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ables/table2.xml" ContentType="application/vnd.openxmlformats-officedocument.spreadsheetml.table+xml"/>
  <Override PartName="/xl/tables/table3.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codeName="ThisWorkbook"/>
  <mc:AlternateContent xmlns:mc="http://schemas.openxmlformats.org/markup-compatibility/2006">
    <mc:Choice Requires="x15">
      <x15ac:absPath xmlns:x15ac="http://schemas.microsoft.com/office/spreadsheetml/2010/11/ac" url="C:\Users\rsouvannakane\OneDrive - The Global Fund\Desktop\00_HIAFR1\2020 Funding Request\GOS Submission_19 June 2020\"/>
    </mc:Choice>
  </mc:AlternateContent>
  <xr:revisionPtr revIDLastSave="0" documentId="13_ncr:1_{3A004757-F71B-47C9-B428-58371A75467A}" xr6:coauthVersionLast="41" xr6:coauthVersionMax="41" xr10:uidLastSave="{00000000-0000-0000-0000-000000000000}"/>
  <bookViews>
    <workbookView xWindow="28680" yWindow="-120" windowWidth="29040" windowHeight="17640" tabRatio="709" firstSheet="1" activeTab="10" xr2:uid="{00000000-000D-0000-FFFF-FFFF00000000}"/>
  </bookViews>
  <sheets>
    <sheet name="Instructions-ES" sheetId="38" state="veryHidden" r:id="rId1"/>
    <sheet name="Instructions-FR" sheetId="39" r:id="rId2"/>
    <sheet name="Overview - Section A" sheetId="1" r:id="rId3"/>
    <sheet name="Version history" sheetId="25" state="veryHidden" r:id="rId4"/>
    <sheet name="Reference Records" sheetId="16" state="veryHidden" r:id="rId5"/>
    <sheet name="Impact Indicators - Section B " sheetId="30" r:id="rId6"/>
    <sheet name="update Helper" sheetId="27" state="veryHidden" r:id="rId7"/>
    <sheet name="Setup" sheetId="29" state="veryHidden" r:id="rId8"/>
    <sheet name="Impact Indicator Target Update" sheetId="28" state="veryHidden" r:id="rId9"/>
    <sheet name="Translations" sheetId="36" state="veryHidden" r:id="rId10"/>
    <sheet name="Outcome Indicators - Section C " sheetId="31" r:id="rId11"/>
    <sheet name="Coverage Indicators - Section D" sheetId="33" r:id="rId12"/>
    <sheet name=" Disaggregation - Section E " sheetId="32" r:id="rId13"/>
    <sheet name="WPTM - Section F" sheetId="34" r:id="rId14"/>
    <sheet name="Print View" sheetId="24" r:id="rId15"/>
    <sheet name="Reference records(soft deleted)" sheetId="23" state="veryHidden" r:id="rId16"/>
    <sheet name="Disaggregation Records" sheetId="20" state="veryHidden" r:id="rId17"/>
    <sheet name="Disaggregation Data" sheetId="22" state="veryHidden" r:id="rId18"/>
    <sheet name="Account Role" sheetId="19" state="veryHidden" r:id="rId19"/>
    <sheet name="apttusmetadata" sheetId="13" state="veryHidden" r:id="rId20"/>
  </sheets>
  <externalReferences>
    <externalReference r:id="rId21"/>
    <externalReference r:id="rId22"/>
  </externalReferences>
  <definedNames>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A'!$A$59</definedName>
    <definedName name="_02305739_ec80_4503_b191_2e272f7ad158">'Reference records(soft deleted)'!$H$22</definedName>
    <definedName name="_0278b5de_0da4_4498_a134_99a2744a9fab">'Overview - Section A'!$X$123</definedName>
    <definedName name="_033fcd6d_adce_4700_8852_ca583a6bef6b">'Disaggregation Records'!$G$69</definedName>
    <definedName name="_041a39b4_8ff8_4bdd_bc99_4f008e44b010">'Reference records(soft deleted)'!$J$22</definedName>
    <definedName name="_0498dc4a_5706_4cf8_9462_13fccb149fe3">'update Helper'!$M$878</definedName>
    <definedName name="_04a05b73_32c0_4d2d_a31f_5fbde1b204a3">'Reference records(soft deleted)'!$I$159</definedName>
    <definedName name="_053d4715_81a5_4c4e_908e_bbbba2cb81d4">'update Helper'!$O$223</definedName>
    <definedName name="_05de697d_8f2c_4184_9d2e_6faa62695a32" comment="Display Map">'Reference records(soft deleted)'!$B$86:$K$153</definedName>
    <definedName name="_06a30c86_360f_426e_8e45_34c8bc342561" comment="Display Map">'Overview - Section A'!$A$25:$S$25</definedName>
    <definedName name="_06f0afa9_1fe3_42c4_a70c_ee03512b1215">'Reference records(soft deleted)'!$B$159</definedName>
    <definedName name="_07c6e9ba_e1f0_4c5a_9be5_1f8f2de0a270" localSheetId="1">'[1]update Helper'!#REF!</definedName>
    <definedName name="_07c6e9ba_e1f0_4c5a_9be5_1f8f2de0a270">'[2]update Helper'!#REF!</definedName>
    <definedName name="_07f6212a_2a5a_452d_b852_a06db9d121bc">'Reference Records'!$M$21</definedName>
    <definedName name="_0883281e_e21d_43ef_9187_230346f845f9">'Overview - Section A'!$C$19</definedName>
    <definedName name="_089c4f14_f445_4edd_986d_5381533aad0a">'update Helper'!$M$39</definedName>
    <definedName name="_0a25a90c_3219_438f_af02_7dbbd6432e17">'Reference Records'!$D$1:$D$603</definedName>
    <definedName name="_0b061e63_2d62_4e7f_be44_4eac7747625a">'update Helper'!$K$3</definedName>
    <definedName name="_0ba5fba9_1998_4ded_9b12_f967fc1c76dc">'update Helper'!$E$223</definedName>
    <definedName name="_0be7695c_11a6_45b5_b154_af6d36015894">'Reference Records'!$B$324</definedName>
    <definedName name="_0beac2ba_bbbb_431d_8bce_14dbf66bdf78">'Overview - Section A'!$E$59</definedName>
    <definedName name="_0c431a0b_6c06_4a8d_9958_df0e381f3233">'update Helper'!$F$3</definedName>
    <definedName name="_0cdb72c3_6724_4a77_bc28_1011a00b051b">'Disaggregation Data'!$K$315</definedName>
    <definedName name="_0d92c2c9_3965_40dd_8ee0_e9f02c0e3ee9">'update Helper'!$C$2196</definedName>
    <definedName name="_0dc96169_1e4e_4b6f_8f38_6c1e88134dc4">'Overview - Section A'!$L$30</definedName>
    <definedName name="_0eecfd33_4a6a_4cbb_afe3_81fb3599f535">'Reference records(soft deleted)'!$I$86:$I$87</definedName>
    <definedName name="_0f39d314_7997_497e_b89c_3c8231e774ea">'Reference Records'!$K$21</definedName>
    <definedName name="_0f6dd035_5a2a_4fb8_9c03_136130f7ba45">'Disaggregation Records'!$P$155</definedName>
    <definedName name="_10373643_8727_4ea7_b41d_1b5ebdd41ba4">'Reference Records'!$M$160</definedName>
    <definedName name="_1121e55d_6d32_4888_b652_ac9583a82d46">'update Helper'!$C$2362</definedName>
    <definedName name="_1279d174_765e_40f7_9774_a1502cee1084">'update Helper'!$D$445</definedName>
    <definedName name="_13f5bbc3_a06d_4a3e_b75e_ac6929e1cb91">'Reference Records'!$A$258:$A$259</definedName>
    <definedName name="_13f7ccf9_e83b_492d_b75e_505ddf064a0d">'update Helper'!$M$2196</definedName>
    <definedName name="_144bb8c4_0b16_4558_9e0b_bfebb0a9604a">'update Helper'!$C$878</definedName>
    <definedName name="_14a567c8_d8f6_4162_9aa0_c1538b8740a0" comment="Display Map">'Reference records(soft deleted)'!$B$5:$K$16</definedName>
    <definedName name="_164e6d09_185f_4eb7_8d48_b40f818dce2a" comment="Display Map">'Reference Records'!$A$60:$Q$119</definedName>
    <definedName name="_181f0491_3526_4056_a1b6_cc19485d3206">'Disaggregation Records'!$K$69</definedName>
    <definedName name="_185f9a59_e3dc_4a86_b1fd_a4a300de92e9">'Reference records(soft deleted)'!$F$86:$F$87</definedName>
    <definedName name="_18fcd6ea_974c_4b82_9069_cd9097340c65">'Disaggregation Records'!$N$155</definedName>
    <definedName name="_1955075b_5332_4022_9e1d_d8310266160b">'Reference Records'!$B$272</definedName>
    <definedName name="_195784db_c268_4c63_8483_153347963bf4">'Reference records(soft deleted)'!$F$87</definedName>
    <definedName name="_1973a1fe_f6bd_4298_a9ef_0f4352e0ed5c">'update Helper'!$AB$445</definedName>
    <definedName name="_198b5a5f_0f03_476f_accf_4c39afec46de">'update Helper'!$L$259</definedName>
    <definedName name="_1a080622_0d74_49cf_97f9_4810bf8030df">'Overview - Section A'!$F$59</definedName>
    <definedName name="_1a5b1cfb_0aff_4bfb_a8cf_305d6cff91c4">'update Helper'!$AD$445</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Records'!$D$160</definedName>
    <definedName name="_1ba5b9ab_2d9b_4eca_b122_0032dff5772a">'Overview - Section A'!$C$19:$C$21</definedName>
    <definedName name="_1c63dced_ef57_49a2_b76c_04f2a67c4e37">'Reference Records'!$G$510</definedName>
    <definedName name="_1c9a6136_ca1e_45b0_8d91_8e499a1c2b64">'update Helper'!$F$259</definedName>
    <definedName name="_1d6a3bac_4285_4496_be35_4b6e94c6c525">'Overview - Section A'!$F$77</definedName>
    <definedName name="_1e4eb8fc_811c_44fb_af4b_e630611aebf1" localSheetId="1">'[1]Impact Indicators - Section B'!#REF!</definedName>
    <definedName name="_1e4eb8fc_811c_44fb_af4b_e630611aebf1">'[2]Impact Indicators - Section B'!#REF!</definedName>
    <definedName name="_1e8031e2_fb17_49db_aa23_60e8be628b5d">'update Helper'!$N$1411</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Helper'!$J$1411</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27c1eef_248d_4636_b70f_e17385d0de94">'Disaggregation Data'!$I$3</definedName>
    <definedName name="_233f4b6b_2a85_4f7c_a11c_783789889f27">'update Helper'!$C$445</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A'!$A$122:$AQ$173</definedName>
    <definedName name="_242d575a_eb16_4795_affc_a818f9b0adad" comment="Display Map">'Disaggregation Data'!$D$2:$R$153</definedName>
    <definedName name="_2440afcf_7038_466b_9f8b_f5cb2d881ac0">'update Helper'!$M$1411</definedName>
    <definedName name="_24ce621f_5feb_4421_aa7b_30c973952869">'Overview - Section A'!$Q$30</definedName>
    <definedName name="_256acc1f_d632_49f3_a230_a7c45fed6c7d">'update Helper'!$A$2362</definedName>
    <definedName name="_25903c5a_79da_48aa_a73a_0efa3fa709b3">'Overview - Section A'!$E$7</definedName>
    <definedName name="_25c4f9c3_a465_4509_8e2f_b4c3afc12d62">'Disaggregation Data'!$M$159</definedName>
    <definedName name="_26871ad2_5643_4577_a42a_cef86a91d97d">'Reference Records'!$T$4</definedName>
    <definedName name="_269ad186_a2a4_4f46_8ca7_07cb583e612e">'update Helper'!$R$2196</definedName>
    <definedName name="_27c6dfb2_6e2c_4519_aff6_82afcaea4b81">'update Helper'!$H$2362</definedName>
    <definedName name="_28d737f3_d683_41ef_b960_db024c047aff">'update Helper'!$V$3</definedName>
    <definedName name="_29114823_71c7_429d_a280_da9290ae2726">'Disaggregation Records'!$N$69</definedName>
    <definedName name="_29485cc3_b6f0_4699_8a0a_9b1b9b557d0a">'update Helper'!$T$445</definedName>
    <definedName name="_295f3441_adc3_4dc5_8a9e_67266d697395">'Overview - Section A'!$N$30</definedName>
    <definedName name="_29cebab7_2d83_4f3c_9514_8297fc24a341">'update Helper'!$AA$445</definedName>
    <definedName name="_29dc2e64_1893_44f6_9dcf_87e619efff18">'update Helper'!$M$3</definedName>
    <definedName name="_29de1210_4fea_46a8_ac63_eb3a3734b209">'Account Role'!$D$36</definedName>
    <definedName name="_2aadba24_f284_4106_939e_021fa73526f3">'Reference Records'!$I$510</definedName>
    <definedName name="_2ab1dfcf_a207_4488_9778_05865ff67402">'Reference records(soft deleted)'!$G$87</definedName>
    <definedName name="_2b6b996f_cb14_4a6f_a9d2_340471f8299f">'update Helper'!$U$445</definedName>
    <definedName name="_2bad41a3_d2d5_4a30_a026_b211ed401ae9">'Impact Indicator Target Update'!$K$1</definedName>
    <definedName name="_2c6b8785_2f7e_4ce5_948e_2066c6838182">'Reference Records'!$O$4</definedName>
    <definedName name="_2cce8ee2_6afd_41d1_bcad_99af3d7b16b5">'update Helper'!$J$511</definedName>
    <definedName name="_2d154807_2b4a_4b96_90cc_90540c97cd87">'update Helper'!$H$878</definedName>
    <definedName name="_2d8b8002_9e00_4e21_821d_5beccbd0b725">'update Helper'!$K$511</definedName>
    <definedName name="_2e072484_37c2_40d3_8ebb_cc2dad56c7bb">'update Helper'!$K$2196</definedName>
    <definedName name="_304a4b38_aadb_465f_bec4_ede79462324a" comment="Display Map">'Account Role'!$A$35:$D$265</definedName>
    <definedName name="_30572134_8290_4750_a680_dd1dbf9fbe17" comment="Display Map">'Disaggregation Data'!$D$158:$O$309</definedName>
    <definedName name="_30b03846_ab03_4151_aecb_ffcd8f9380d3">'Reference records(soft deleted)'!$G$224</definedName>
    <definedName name="_31abdfc0_7b3f_4421_9bb3_3010b64c33c6">'Reference Records'!$B$321</definedName>
    <definedName name="_31d120e8_a153_4549_b61b_13f625c541fd">'Disaggregation Records'!$N$3</definedName>
    <definedName name="_31e1e97a_f8b3_42a3_9dba_54263b984934">'Overview - Section A'!$Q$46</definedName>
    <definedName name="_33898a8c_e55b_4fb6_a523_fc8d172930cd" comment="Display Map">'Reference Records'!$B$3:$T$14</definedName>
    <definedName name="_33f94c69_7ad0_42e4_ae97_cd43ab2f6fb1">'Disaggregation Data'!$D$315</definedName>
    <definedName name="_345d0d9b_6a28_4efe_b573_e24f2d2c320a">'update Helper'!$P$3</definedName>
    <definedName name="_3599e6a2_76d5_4a3e_b94f_263ea328a754">'Overview - Section A'!$AN$10</definedName>
    <definedName name="_35a3a7c3_ebbd_4b4d_a304_0699e84940ff">'Overview - Section A'!$G$123</definedName>
    <definedName name="_35d1b49a_9719_423f_baf2_fde871e1bd58">'Overview - Section A'!$O$30</definedName>
    <definedName name="_3656f8fe_1658_4390_b037_f0db08258404">'update Helper'!$D$509</definedName>
    <definedName name="_36c48884_8351_429d_866b_c7cb8ec9bdfb">'Overview - Section A'!$P$30</definedName>
    <definedName name="_37fc5e03_bcc7_4685_9fef_b3f1646865b7">'Reference Records'!$J$331</definedName>
    <definedName name="_38090fcc_c83f_4075_9748_b307f993e767">'Reference records(soft deleted)'!$B$224</definedName>
    <definedName name="_38727489_790b_4106_8b2a_6a8fd7426747">'update Helper'!$I$1411</definedName>
    <definedName name="_388e9f7b_b253_414f_b074_2b51db867bec">'Overview - Section A'!$K$30</definedName>
    <definedName name="_38de050d_86ee_49c2_9fbb_229243dfc39c">'Reference Records'!$Q$123</definedName>
    <definedName name="_3a54c0cb_5d61_44ab_9f5f_59c0b83c7017" comment="Save Map">'Account Role'!$B$267:$D$267</definedName>
    <definedName name="_3a87c5f7_0769_4a3a_a3e3_82a4b0341068">'Reference Records'!$C$264</definedName>
    <definedName name="_3aa3a9d7_516a_4076_842d_45635c693b16">'Overview - Section A'!$F$123</definedName>
    <definedName name="_3b16469f_3a28_404f_a919_41ed115ef29e">'Disaggregation Data'!$R$3</definedName>
    <definedName name="_3b7422cb_6445_4aa9_93d7_564b3b552a88">'update Helper'!$M$223</definedName>
    <definedName name="_3c45532e_4503_44c3_aed1_88e3c7145bca">'Reference Records'!$E$123</definedName>
    <definedName name="_3c670222_be49_48d4_a6da_55d70e83d153" comment="Display Map">'Reference Records'!$A$271:$C$317</definedName>
    <definedName name="_3c7e6a65_3704_49f1_aeb5_596f9e172566">'update Helper'!$A$1411</definedName>
    <definedName name="_3d3c76b6_9fcf_4cb5_b2a3_ba632337362e">'Overview - Section A'!$Y$123</definedName>
    <definedName name="_3d6d3512_10c0_4de5_aa42_7ee068d75e48">'Reference Records'!$E$510</definedName>
    <definedName name="_3e588f48_5b47_4e13_ab21_55c135645d97">'Reference Records'!$C$272</definedName>
    <definedName name="_3e75799f_c328_461d_aa21_8f9a9eab5513">'Reference Records'!$K$331</definedName>
    <definedName name="_3f09c12b_bc4c_4018_a427_8323f6abdcde">'Impact Indicator Target Update'!$I$1</definedName>
    <definedName name="_3f14779a_3657_4ee9_b857_6b95d77074db">'Reference Records'!$A$272</definedName>
    <definedName name="_3f450a54_eabe_42be_b6a5_18c086a5d786">'Overview - Section A'!$AA$123</definedName>
    <definedName name="_3fdc2ac9_f4a3_4d6a_b2f2_58d6f3e03696">'update Helper'!$I$3</definedName>
    <definedName name="_3fe9ffb0_20f0_4e61_bd05_c39610c7d823">'update Helper'!$J$3</definedName>
    <definedName name="_413e976f_e211_495a_946b_b87ba18376c4">'update Helper'!$A$2196</definedName>
    <definedName name="_4142b5d6_b3a2_4804_93e1_6abaf2166d4c">'Reference records(soft deleted)'!$H$159</definedName>
    <definedName name="_4168f68f_65b0_4ea5_bc1b_2714af57d8d9">'Reference Records'!$P$4</definedName>
    <definedName name="_423d3c20_41cf_4997_a293_9b1150fb8eaa">'Overview - Section A'!$AQ$123</definedName>
    <definedName name="_425b05fb_599f_421c_ad67_1b45a511d0c0">'Reference records(soft deleted)'!$I$87:$I$87</definedName>
    <definedName name="_4266c6da_54ca_4a1a_a567_1b51c0445aba">'Overview - Section A'!$C$9</definedName>
    <definedName name="_42a2ef20_7507_4137_ae83_1c4ed24d9bd9">'Reference Records'!$D$123:$D$151</definedName>
    <definedName name="_42d7fb51_4e33_4fc0_b034_1c2d76e20fd5">'update Helper'!$U$223</definedName>
    <definedName name="_450947d9_3973_46bc_ab14_5dab8bf5c8fb">'Overview - Section A'!$J$123</definedName>
    <definedName name="_45ed0cc2_06fa_47d2_bf1a_8078df921d9b">'Impact Indicator Target Update'!$B$1</definedName>
    <definedName name="_463898c2_94f9_443e_9360_603b31e51356">'Reference Records'!$F$510</definedName>
    <definedName name="_46d565cf_c4b6_4ba9_91a9_ae6e1f229f25">'update Helper'!$N$445</definedName>
    <definedName name="_4820f755_1815_4142_9c1e_22637b4b3c30" comment="Display Map">'update Helper'!$A$222:$W$253</definedName>
    <definedName name="_493718d5_8d74_4e5b_a628_d7a62c064791">'Overview - Section A'!$AN$11</definedName>
    <definedName name="_49926cff_7d8a_446c_9eaf_1304d30c19db">'update Helper'!$C$1182</definedName>
    <definedName name="_4994889e_24bf_4e57_b5fe_4d250c0b598a">'Reference Records'!$B$259</definedName>
    <definedName name="_4ae48ad8_e1d2_4fe8_923d_d826a0a6db3d">'Reference records(soft deleted)'!$J$159</definedName>
    <definedName name="_4af41944_42f7_4e99_8627_878d677a4e30">'Disaggregation Data'!$O$159</definedName>
    <definedName name="_4b36df75_ea3b_4116_b8ac_4a66abe762ad" comment="Display Map">'Disaggregation Records'!$A$68:$Q$151</definedName>
    <definedName name="_4b8d00e4_3b44_4af0_94c2_6912b8089f7c" localSheetId="1">'[1]Reference Records'!#REF!</definedName>
    <definedName name="_4b8d00e4_3b44_4af0_94c2_6912b8089f7c">'[2]Reference Records'!#REF!</definedName>
    <definedName name="_4c42d79f_dbe5_4149_82f9_e7c685dd6770">'Reference Records'!$S$4</definedName>
    <definedName name="_4d0cf32e_0e05_456f_b4d1_14bd4c608721">'Reference records(soft deleted)'!$B$87</definedName>
    <definedName name="_4d2be4fe_13b2_4faf_828e_93509fa81057" comment="Display Map">'update Helper'!$A$877:$O$1178</definedName>
    <definedName name="_4d46f88d_b53f_4725_b903_496b8000bb47">'Reference Records'!$P$123</definedName>
    <definedName name="_4db5cf38_f801_4806_bf2c_599132967e52">'Overview - Section A'!$N$46</definedName>
    <definedName name="_4dc32036_026a_4d5f_beb4_03786a15ba27" comment="Save Map">'update Helper'!$B$3:$I$3</definedName>
    <definedName name="_4e28d14a_809b_451a_94f7_5adb1a78a192">'Reference Records'!$B$160</definedName>
    <definedName name="_4e3ce3cc_8312_431b_a087_d993964fb260">'Overview - Section A'!$H$101</definedName>
    <definedName name="_4e82750a_5fea_44c6_80cf_72f682152f92">'Disaggregation Data'!$O$315</definedName>
    <definedName name="_4ede0df7_bdae_485c_a6aa_cd381b32466f">'Overview - Section A'!$A$123</definedName>
    <definedName name="_4ee906e6_a15a_4bd6_a5ab_48f7e9c4ead2">'update Helper'!$N$2196</definedName>
    <definedName name="_4f178b68_20c0_4f6c_b1b2_a19a8fcafba7">'update Helper'!$C$511</definedName>
    <definedName name="_4f36af19_06bf_4c59_990d_586822b3d259">'Overview - Section A'!$A$77</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A'!$G$77</definedName>
    <definedName name="_52e13748_1182_4a4a_9d8d_bac741435bb8">'update Helper'!$B$3</definedName>
    <definedName name="_53066892_24de_428a_ae98_ea86638a4c62">'Reference Records'!$B$21</definedName>
    <definedName name="_533bb3c1_719b_49f8_944a_16db5ad7c120">'update Helper'!$W$223</definedName>
    <definedName name="_53737226_720f_44cb_8b6f_c2a7829a2378">'Reference records(soft deleted)'!$I$22</definedName>
    <definedName name="_54eeb97e_db74_4058_898e_3c70d10a60fb">'Overview - Section A'!$E$10</definedName>
    <definedName name="_551ff597_4d6b_4e43_80ec_d627591a4405">'update Helper'!$A$39</definedName>
    <definedName name="_556ddeb1_283d_4119_8033_220d00837221">'update Helper'!$G$2362</definedName>
    <definedName name="_57279062_e326_494d_97d1_9dfc8942bd33" comment="Display Map">'Reference records(soft deleted)'!$B$21:$K$82</definedName>
    <definedName name="_572e42ad_37ba_41a9_bff2_b341932489fa">'Disaggregation Data'!$K$159</definedName>
    <definedName name="_5784befd_ba79_46ce_94c3_633c0a4c5b39">'update Helper'!$G$878</definedName>
    <definedName name="_5872670a_ec38_4a89_ad98_a6d82394eb83">'Reference Records'!$D$510</definedName>
    <definedName name="_58bd3376_047f_4dcd_8c2d_825da0f87b4c">'Reference Records'!$N$4</definedName>
    <definedName name="_59a28839_db65_45dc_8a19_59cbc682c3a6">'Reference records(soft deleted)'!$I$6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ab6d726_9fce_48bb_aa46_4986e5a2e80e">'update Helper'!$R$223</definedName>
    <definedName name="_5b7858ba_c7ed_4c9b_bc1f_4266d944d694">'update Helper'!$M$1182</definedName>
    <definedName name="_5bfda244_8ccf_4224_a2ea_9a3800784bec">'update Helper'!$Q$223</definedName>
    <definedName name="_5c348667_29c7_4f46_8bdf_9340e7ffe341">'Reference Records'!$N$160</definedName>
    <definedName name="_5c482c04_4e59_4d71_9f75_de3d9d16970b">'Reference records(soft deleted)'!$K$22</definedName>
    <definedName name="_5ca483d4_a607_464c_bfdb_b77cba9ec0a9">'update Helper'!$Q$3</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Helper'!$D$1411</definedName>
    <definedName name="_5e1f219c_cae5_40fc_ba27_83bc77b94308">'update Helper'!$B$2362</definedName>
    <definedName name="_5e59b3d2_3706_4a8c_932c_fdb0f6aa3c16">'Reference Records'!$K$4</definedName>
    <definedName name="_5e768e91_687d_4dfb_a07c_b558729186db">'Reference Records'!$D$158:$D$160</definedName>
    <definedName name="_5e92d889_8ba8_4c5a_940f_5b9f94b6e30a">'Reference records(soft deleted)'!$J$6</definedName>
    <definedName name="_5fd64279_1bd2_488c_9e62_4053f45567f5">'update Helper'!$K$2362</definedName>
    <definedName name="_5ffe0d1a_8a84_4337_9fd0_deccf895e752">'Account Role'!$G$3</definedName>
    <definedName name="_60cca16c_2bbf_4012_b9ed_84b4cc4c6513">'Overview - Section A'!$E$26</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Helper'!$C$223</definedName>
    <definedName name="_6455b8f3_a4e7_439d_8059_19ecc4f1f876">'Reference records(soft deleted)'!$J$87</definedName>
    <definedName name="_64b80052_1148_4ad0_a719_2605a229a5dd">'Reference Records'!$A$510</definedName>
    <definedName name="_651c1cff_29dc_4f61_8994_ff4aa592187f">'Reference Records'!$B$4</definedName>
    <definedName name="_654bca83_10b5_4fb3_962f_80e82dfc63ce">'Reference Records'!$B$258:$B$259</definedName>
    <definedName name="_65c26b5a_0465_48fc_a362_f2e87b3413d9">'update Helper'!$A$511</definedName>
    <definedName name="_666ecfb3_4890_469f_9405_c844bfec298e">'Disaggregation Data'!$P$3</definedName>
    <definedName name="_66c05feb_5ba4_4d15_8d33_a4f0ff5f795a">'Disaggregation Data'!$H$159</definedName>
    <definedName name="_66ed04dd_0830_439c_b4bc_24d70db2c1e7" comment="Display Map">'update Helper'!$A$1181:$O$1407</definedName>
    <definedName name="_6715a48b_b59c_4776_be88_a55a2bdba187">'update Helper'!$E$1411</definedName>
    <definedName name="_68131f07_373f_4ee5_8db3_e8876679341b">'update Helper'!$J$223</definedName>
    <definedName name="_6817dc8a_703d_4192_a2a8_a72a907275fb">'Reference records(soft deleted)'!$B$6</definedName>
    <definedName name="_6a3dda26_b269_4afa_8b05_c602a881a167">'Overview - Section A'!$A$46</definedName>
    <definedName name="_6ac60fe2_d872_4a35_a5e2_7132294649ec" comment="Display Map">'Reference records(soft deleted)'!$B$158:$K$217</definedName>
    <definedName name="_6b293db8_2064_47cb_abbc_3f4c6d0caeda">'Overview - Section A'!$E$46</definedName>
    <definedName name="_6b7b095a_5e69_4c56_b186_9b24f30d5a48" localSheetId="1">'[1]Overview - Section A'!#REF!</definedName>
    <definedName name="_6b7b095a_5e69_4c56_b186_9b24f30d5a48">'[2]Overview - Section A'!#REF!</definedName>
    <definedName name="_6c432057_801a_4b50_8cf7_6f6149d7c40a">'Overview - Section A'!$T$123</definedName>
    <definedName name="_6ce0ed87_5b35_40ed_9f7a_44a4e37463b9">'update Helper'!$F$39</definedName>
    <definedName name="_6de46edd_2f1b_4343_8ab7_4e70e2856d23">'update Helper'!$C$1411</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Helper'!$I$878</definedName>
    <definedName name="_6f7ec15b_c268_485e_b0b1_4f72a84c4bc6" comment="Display Map">'Overview - Section A'!$A$45:$U$52</definedName>
    <definedName name="_708bc3f4_3b2b_4cbe_89e1_1871c272480d">'Overview - Section A'!$J$101</definedName>
    <definedName name="_70a5cda6_774c_4166_b372_07fbe25d764a">'update Helper'!$J$259</definedName>
    <definedName name="_7111a6af_994e_4c8e_91da_0cd71318b438">'update Helper'!$O$1182</definedName>
    <definedName name="_7210282b_6d37_40e9_9208_b22105dfdb45">'Reference Records'!$J$61</definedName>
    <definedName name="_7318b74f_0f66_4a96_9490_a6e530953ede">'update Helper'!$AG$445</definedName>
    <definedName name="_73ed6a72_5bb2_4e78_b64b_57d38f0409a1">'Disaggregation Data'!$L$3</definedName>
    <definedName name="_745d292d_fc17_4892_81af_e69f39f278df">'Reference Records'!$K$61</definedName>
    <definedName name="_75127888_d602_45ff_b831_0b6cb5ca1689">'Disaggregation Data'!$H$315</definedName>
    <definedName name="_75417d5f_8186_4610_b9ba_588590a586ac">'Disaggregation Data'!$N$3</definedName>
    <definedName name="_7554e4be_d51b_4eff_b8a1_67f281ff6896">'update Helper'!$E$878</definedName>
    <definedName name="_75e01dac_a196_4485_8c4e_3c8181e382da">'Reference Records'!$C$272:$C$318</definedName>
    <definedName name="_7638a94a_e06b_4d66_97b8_ac609d3da203" comment="Save Map">'Overview - Section A'!$E$75</definedName>
    <definedName name="_7643b6aa_7bef_476f_ad52_f8748c078a19">'Overview - Section A'!$E$77</definedName>
    <definedName name="_767e167c_49a5_47f2_969d_5168b626be63">'update Helper'!$G$511</definedName>
    <definedName name="_76f43188_477a_485f_9a13_9e30303f1124">'Overview - Section A'!$D$101</definedName>
    <definedName name="_77290f0f_e3b8_410c_9e2a_f33b99973795">'Disaggregation Records'!$O$155</definedName>
    <definedName name="_77c0e58c_063b_4191_abfd_5b535878c189">'Overview - Section A'!$J$26</definedName>
    <definedName name="_78b9de5e_0b4f_481c_a62c_142b52c36488">'update Helper'!$O$878</definedName>
    <definedName name="_7920b793_d507_4f7a_99e2_756c9f466e52">'Overview - Section A'!$F$101</definedName>
    <definedName name="_7a157943_9cc3_410b_ac27_f2c54152e262">'update Helper'!$G$1182</definedName>
    <definedName name="_7a72f78c_72ee_4007_958d_a1a1ee34b28b">'update Helper'!$C$39</definedName>
    <definedName name="_7ab7b090_6bd0_4a8e_8113_dd21d389a342">'Reference Records'!$D$123:$D$150</definedName>
    <definedName name="_7abccd6d_b26a_464a_a34f_823b62ef9461">'Reference Records'!$A$160</definedName>
    <definedName name="_7bac37da_c8ab_49df_9ce6_06a9736d64f8">'Reference Records'!$A$331</definedName>
    <definedName name="_7c917dad_3e1d_47db_8eb3_2b416550c06c">'update Helper'!$J$2196</definedName>
    <definedName name="_7cbcbc4a_d246_4bbc_a159_edc409a2e4fe">'Reference Records'!$I$61</definedName>
    <definedName name="_7cdc6ffc_7316_43a3_8c10_94815252d4bc">'Overview - Section A'!$E$76</definedName>
    <definedName name="_7dad7a53_3619_44b2_9f14_26d23af8b014">'Impact Indicator Target Update'!$T$1</definedName>
    <definedName name="_7dd1a1e8_b3e5_4977_b435_92933762fedb">'Account Role'!$A$36</definedName>
    <definedName name="_7e97b1d3_ddd6_4d94_b1d6_9a53b33ff98b">'Reference Records'!$D$59:$D$60</definedName>
    <definedName name="_7e97bb3f_85c0_4041_8e33_f4dfd9b2bd63">'update Helper'!$O$1411</definedName>
    <definedName name="_7e99718f_b927_43f8_a72d_f5933e7780ca">'Reference Records'!$Q$21</definedName>
    <definedName name="_7ea43aa2_3fad_4650_821c_ea2dc5b2b6d6">'Reference Records'!$A$61</definedName>
    <definedName name="_7ed2ad39_d4a3_43ed_a915_8a79ae9d08a6">'Overview - Section A'!$S$26</definedName>
    <definedName name="_7fc44159_eb0c_4ec6_937c_83795558bd60">'Disaggregation Data'!$E$3</definedName>
    <definedName name="_824188d8_1928_41a5_8873_0ce612bdaed2">'update Helper'!$S$445</definedName>
    <definedName name="_8273a11c_a030_45ba_bf8f_2b577e1aa93b">'Overview - Section A'!$A$26</definedName>
    <definedName name="_8275e2f9_07b9_4fec_af79_daf5bf5849e5">'Reference Records'!$C$321</definedName>
    <definedName name="_82b810a8_4ed0_4323_bc38_7e1a937be1f8">'Overview - Section A'!$AB$123</definedName>
    <definedName name="_8369de31_1390_409f_b55a_fde61d8d7199">'update Helper'!$J$39</definedName>
    <definedName name="_83a8b122_8cd9_4c5d_9e26_19949421dbb8">'Reference Records'!$S$21</definedName>
    <definedName name="_84592985_545c_4142_977f_19911c1d7be1">'Disaggregation Data'!$D$159</definedName>
    <definedName name="_84d9d01d_791d_4814_96ca_cef45a6abd3a">'update Helper'!$J$2362</definedName>
    <definedName name="_862ffe01_c829_453b_8951_9acfdd7e0f24">'Overview - Section A'!$G$101</definedName>
    <definedName name="_864425d0_252a_4246_909e_cc0826e707f2" comment="Display Map">'Account Role'!$A$2:$G$27</definedName>
    <definedName name="_8680b4e4_73f6_49ed_b636_6796b8fc3007">'update Helper'!$L$3</definedName>
    <definedName name="_872311fc_11bb_401c_8b93_291ded9ec451" localSheetId="1">'[1]Coverage Indicators-Section D'!#REF!</definedName>
    <definedName name="_872311fc_11bb_401c_8b93_291ded9ec451">'[2]Coverage Indicators-Section D'!#REF!</definedName>
    <definedName name="_8740d754_6057_4f92_9544_9f1b0a96c93b">'update Helper'!$H$3</definedName>
    <definedName name="_876c5893_c8a3_4066_ad24_31365064997d">'Overview - Section A'!$AN$9</definedName>
    <definedName name="_87baeec3_d609_48e9_97d3_9acbc31c6bc4">'Overview - Section A'!$U$46</definedName>
    <definedName name="_8945f316_fd9d_4e19_b3cd_c0c8202a52db">'Reference Records'!$D$123:$D$157</definedName>
    <definedName name="_8a469ed4_8916_4154_bbbf_dd81f3ca6037">'Overview - Section A'!$AN$12</definedName>
    <definedName name="_8a518e78_c2e7_4107_86f8_cda6bfbbe864">'Disaggregation Records'!$J$69</definedName>
    <definedName name="_8a9ff9a8_7b42_4a34_a7bb_8f85ce3a36e0">'Reference Records'!$C$259</definedName>
    <definedName name="_8aa2c9e8_97d3_45b0_9755_0e8c5c3f294b">'update Helper'!$T$3</definedName>
    <definedName name="_8aa4cf9f_eda6_4444_a907_3c8c602dbf88">'Impact Indicator Target Update'!$H$1</definedName>
    <definedName name="_8c12beea_ae57_4cdc_a86e_9bbd3bae88f2">'update Helper'!$W$445</definedName>
    <definedName name="_8c83dafc_06c9_46d5_82dd_2edc4cdd71ef">'Reference Records'!$C$254</definedName>
    <definedName name="_8c97b788_a56a_4fd4_ab1d_553fdacd56ee">'Reference Records'!$P$61</definedName>
    <definedName name="_8d086166_aaa3_4eec_872e_985dceb20c48">'Reference Records'!$B$264</definedName>
    <definedName name="_8d18a379_8755_4412_801e_3a24e67a6467" comment="Display Map">'Overview - Section A'!$A$29:$R$39</definedName>
    <definedName name="_8dbce8a5_0984_44b3_b1a6_cf993b957b30">'update Helper'!$A$445</definedName>
    <definedName name="_8f098222_d066_4a46_afe4_a2860f259340">'update Helper'!$Q$2362</definedName>
    <definedName name="_8f38a2c2_0833_4757_9f3f_fd2bfbb481ac">'Reference Records'!$B$327</definedName>
    <definedName name="_8f4065ff_50b1_4767_83af_862a3935b277">'Overview - Section A'!$P$46</definedName>
    <definedName name="_8f4652fd_6fec_47e2_8e29_9e9058be61aa">'update Helper'!$H$223</definedName>
    <definedName name="_8fa4d884_a5b1_4041_8cad_fbf4720a13d4">'Reference Records'!$G$61</definedName>
    <definedName name="_9163a4e6_3076_442b_bf37_db0a0a62793a">'Reference Records'!$G$21</definedName>
    <definedName name="_92015950_0d4a_4354_be6a_adcd93a70857" localSheetId="1">'[1]Outcome Indicators - Section C'!#REF!</definedName>
    <definedName name="_92015950_0d4a_4354_be6a_adcd93a70857">'[2]Outcome Indicators - Section C'!#REF!</definedName>
    <definedName name="_940f4fc6_4a8e_4e0b_b740_efe451214fab">'update Helper'!$D$223</definedName>
    <definedName name="_94171daa_d427_4741_ae4f_2766c79a4da3">'update Helper'!$T$39</definedName>
    <definedName name="_95c01be7_c627_4449_a788_13be67006d54">'Reference Records'!$H$510</definedName>
    <definedName name="_96bf0d26_21c5_4468_ad6a_07580f9dd34c">'Impact Indicator Target Update'!$Q$1</definedName>
    <definedName name="_979ccfd5_b55a_4492_8e26_a6633c09ca4c" localSheetId="0">'Reference Records'!#REF!</definedName>
    <definedName name="_979ccfd5_b55a_4492_8e26_a6633c09ca4c" localSheetId="1">'[1]Reference Records'!#REF!</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Records'!$D$121:$D$123</definedName>
    <definedName name="_9874a6dc_a3b8_4db0_9a74_e4c3c5dd126f">'update Helper'!$G$223</definedName>
    <definedName name="_9898c5eb_afc0_4eaf_8387_942d1b2e57cb">'update Helper'!$O$3</definedName>
    <definedName name="_99c3b064_facc_46ff_8835_927313074f4d">'Disaggregation Records'!$M$3</definedName>
    <definedName name="_9a500917_dab9_4d8c_82b0_84e6e58cb053">'update Helper'!$A$1182</definedName>
    <definedName name="_9a822c43_2840_4d32_8d2c_f62815eccb99">'Disaggregation Records'!$J$155</definedName>
    <definedName name="_9a975b68_4a25_421c_bf56_ce3e9602ca12">'Account Role'!$D$268</definedName>
    <definedName name="_9c766a82_9c33_4b1d_9f4c_76c2bcf6e551" comment="Display Map">'update Helper'!$A$1410:$P$2191</definedName>
    <definedName name="_9c8612d6_cb9f_4fcd_b707_4fdfc8d07b47">'Account Role'!$B$268</definedName>
    <definedName name="_9cbfedb3_84f3_41cb_bf05_f57356c30d3b">'Reference Records'!$F$331</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Records'!$O$61</definedName>
    <definedName name="_9eb66103_54d0_486c_84fe_f3948ec313af">'Disaggregation Records'!$H$155</definedName>
    <definedName name="_9f0d4df8_7f69_41ab_b823_8fad2df76213">'update Helper'!$C$259</definedName>
    <definedName name="_9f29fc9a_a965_4afd_b189_7a3eca59d516">'Reference Records'!$D$1:$D$614</definedName>
    <definedName name="_9f9fdd59_86c9_4295_b308_3619d68d6aaf">'Reference Records'!$K$160</definedName>
    <definedName name="_9ff47b3a_d28b_411b_a98b_bf4244606f53">'Disaggregation Data'!$F$159</definedName>
    <definedName name="_a050c83a_8d4a_49ab_a808_e922507fb301">'update Helper'!$M$445</definedName>
    <definedName name="_a06ae70f_aaf6_4179_9a0c_964df3537fbf" comment="Display Map">'Overview - Section A'!$A$76:$H$89</definedName>
    <definedName name="_a06d7903_f4dc_429c_b13c_c30db338eb1e">#REF!</definedName>
    <definedName name="_a21e317a_560b_434a_9c6a_b52a9755e408">'Reference Records'!$D$120:$D$150</definedName>
    <definedName name="_a2b49755_1adb_4266_aaf8_271d0b7524b1">'update Helper'!$D$1182</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Helper'!$A$223</definedName>
    <definedName name="_a561960e_2837_4ef6_9fb3_06bd14045f9f">'update Helper'!$S$223</definedName>
    <definedName name="_a56e44bf_ca89_4206_8199_57e3e8408cd6">'update Helper'!$H$1182</definedName>
    <definedName name="_a5dfcb7f_e430_4fb5_9b5b_e22c4b6ca98e">'update Helper'!$H$1411</definedName>
    <definedName name="_a676465c_2e79_4840_afcd_6eb0129d896a">#REF!</definedName>
    <definedName name="_a7712b00_96b7_482b_952c_492d2f0b2fc2">'Reference Records'!$R$21</definedName>
    <definedName name="_a7b11238_9f6e_4351_921e_572fe001503d">'update Helper'!$A$878</definedName>
    <definedName name="_a7c4333b_5ea5_49df_97fa_fe1307e6522f">'Disaggregation Records'!$M$155</definedName>
    <definedName name="_a7ecb8b9_6334_4d27_a6e4_bb07adb71898" localSheetId="0">'Overview - Section A'!#REF!</definedName>
    <definedName name="_a7ecb8b9_6334_4d27_a6e4_bb07adb71898" localSheetId="1">'[1]Overview - Section A'!#REF!</definedName>
    <definedName name="_a7ecb8b9_6334_4d27_a6e4_bb07adb71898">'Overview - Section A'!#REF!</definedName>
    <definedName name="_a80237bb_7952_4c04_9a7a_1cdad38cbd16">'Overview - Section A'!$H$59</definedName>
    <definedName name="_a8f46077_3c03_49ff_b812_2b8ac08cae66" comment="Display Map">'Reference Records'!$C$122:$R$149</definedName>
    <definedName name="_aa924ff3_7862_4e6d_9948_5a270e34c8a1">'update Helper'!$Q$259</definedName>
    <definedName name="_aba4e79f_5ce3_41ca_abf0_8cba57c47dec" comment="Display Map">'update Helper'!$A$444:$AG$505</definedName>
    <definedName name="_abbd2de4_555f_487e_a305_ee28249928f4">'Disaggregation Records'!$A$3</definedName>
    <definedName name="_abcb1332_3cc3_40cb_9eb6_e49185148047">'Account Role'!$B$36</definedName>
    <definedName name="_ac5ba2d1_98f0_4aa2_a6c2_322cafcae1b8">'Reference records(soft deleted)'!$G$22</definedName>
    <definedName name="_aca742d7_5b19_4aa5_8a32_739546d173c7">'Disaggregation Data'!$L$315</definedName>
    <definedName name="_aca7f1bf_77d4_41d2_b85a_8fc4694aaa5d">'Disaggregation Records'!$I$155</definedName>
    <definedName name="_ad718d62_e2fd_4c3a_a018_8c8f5eec5644">'Reference Records'!$C$4:$C$18</definedName>
    <definedName name="_ae20a710_31d4_43ea_bb8e_98f8a452d9b5">'update Helper'!$A$259</definedName>
    <definedName name="_aef23396_73a2_4449_b64b_574e315ee717">'Disaggregation Records'!$A$69</definedName>
    <definedName name="_af4893e4_fb2a_43c4_a459_75a79635184d">'Disaggregation Records'!$I$3</definedName>
    <definedName name="_af984491_07b4_45c6_827e_4a5a0e41cd92">'Reference records(soft deleted)'!$F$87:$F$87</definedName>
    <definedName name="_afb1ac33_4702_4bdb_87c5_ccde46f5946b">'update Helper'!$F$1411</definedName>
    <definedName name="_afe46063_176e_42e7_9258_aafceea72a7c">'Account Role'!$E$3</definedName>
    <definedName name="_b00633c8_5ccc_4622_86d1_07ff694c24a1">'update Helper'!$L$511</definedName>
    <definedName name="_b01f6605_c50f_49e5_8841_306b902e21b5">'Reference Records'!$E$160</definedName>
    <definedName name="_b08eede9_e417_4197_bdb0_e7afb6ff7f75">'update Helper'!$F$445</definedName>
    <definedName name="_b160391b_7f82_4ca2_b7a1_742da234e320">'Reference Records'!$B$331</definedName>
    <definedName name="_b184a48f_c367_42e0_abea_de10491cdb89">'Overview - Section A'!$R$123</definedName>
    <definedName name="_b25b57c0_b3c6_4bd0_84af_ecd0c047480e">'Reference Records'!$L$61</definedName>
    <definedName name="_b29140ce_2067_4616_98b2_f6e9312dff45" comment="Display Map">'Reference Records'!$A$320:$C$320</definedName>
    <definedName name="_b29fac7f_0112_4608_9b2f_b935e3a5c47a" localSheetId="0">#REF!</definedName>
    <definedName name="_b29fac7f_0112_4608_9b2f_b935e3a5c47a" localSheetId="1">'[1]Outcome Indicators - Section C'!#REF!</definedName>
    <definedName name="_b29fac7f_0112_4608_9b2f_b935e3a5c47a">#REF!</definedName>
    <definedName name="_b2a433e8_e2eb_496e_9eab_56d34260a1ea">'update Helper'!$O$445</definedName>
    <definedName name="_b38bd4f0_1352_4868_a619_3a6c9defba4d">'update Helper'!$R$3</definedName>
    <definedName name="_b50509cf_996c_4fbc_99d9_4d166ae6823c">'Disaggregation Records'!$Q$69</definedName>
    <definedName name="_b517363e_a660_4f5c_8200_ca9f715b3954">'Reference Records'!$E$331</definedName>
    <definedName name="_b5821112_3c0f_46ea_8691_81e5396982ed">'Reference Records'!$B$258</definedName>
    <definedName name="_b5e8f7c0_1f6c_4f34_9e09_d35ca3f3eb39" comment="Display Map">'Reference records(soft deleted)'!$B$223:$K$314</definedName>
    <definedName name="_b5f2092b_488a_4789_9fbe_8833441f7329">'update Helper'!$P$223</definedName>
    <definedName name="_b625dd51_c3f0_4d71_a2a9_f6fa8dac524b">'Reference records(soft deleted)'!$H$87</definedName>
    <definedName name="_b630336b_3644_4bf6_8d7c_9c418ad44fc5">'Disaggregation Data'!$D$3</definedName>
    <definedName name="_b7198351_a7ba_44b7_a1ec_111ed8317cb2">'Reference Records'!$B$510</definedName>
    <definedName name="_b8526b1f_d531_4d05_a35b_d24976af94b3">'update Helper'!$D$2196</definedName>
    <definedName name="_b88374ec_47cc_43db_8a49_31b8f7dfbe2a">'Reference Records'!$A$321</definedName>
    <definedName name="_b934b5c4_3a3d_4290_b4f5_665f1fa1d8f9">'Disaggregation Data'!$E$159</definedName>
    <definedName name="_b9568051_a72c_4c87_bd12_0a431f6a32e6">'Disaggregation Data'!$I$159</definedName>
    <definedName name="_ba0267ad_21bf_4c68_8330_e529db295d81">'Reference Records'!$R$123</definedName>
    <definedName name="_ba047ad1_b51f_49a2_b3c8_be30d392985a">'Reference Records'!$D$122:$D$156</definedName>
    <definedName name="_ba186ca8_9498_4c8b_870e_5c94facff255">'update Helper'!$X$445</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Helper'!$F$2196</definedName>
    <definedName name="_bcc44ce4_7811_4a37_b19a_adb1c9975c5c">'Overview - Section A'!$O$46</definedName>
    <definedName name="_bd075b26_707d_4b39_aea7_5e22fa05d673">'update Helper'!$F$1182</definedName>
    <definedName name="_bd8c6a42_6cde_4c17_9f1a_04e7b83fd063">'Reference Records'!$E$21</definedName>
    <definedName name="_be2888a7_b322_47d2_be71_a4093cf83c44">'Reference Records'!$D$1:$D$633</definedName>
    <definedName name="_be67395e_f578_42fc_bfe7_912f09db8571">'Disaggregation Records'!$G$3</definedName>
    <definedName name="_bef2cdda_6c4d_45cf_b550_ea24e68795bf">'Overview - Section A'!$M$46</definedName>
    <definedName name="_bf1ad2f1_a865_4b00_8649_f62663e1cb01">'Reference Records'!$M$331</definedName>
    <definedName name="_bf857707_f3ed_43ba_b26e_78e553c3b599">#REF!</definedName>
    <definedName name="_c021eee3_85ca_4b4c_871f_c2ca4000adb3" comment="Display Map">'Reference Records'!$B$20:$U$54</definedName>
    <definedName name="_c0adc2e9_f3e8_47e3_ab9a_3b0590b08e3b">'Reference Records'!$D$122:$D$151</definedName>
    <definedName name="_c0c1183c_d263_4027_b93d_dd5bf32aa5a0">'Disaggregation Records'!$M$69</definedName>
    <definedName name="_c0eb8ac6_1c46_4f57_b21f_9a8652dcb01f">'Reference Records'!$A$261</definedName>
    <definedName name="_c169a647_ad7f_4a68_9402_5984b64252f0">'update Helper'!$M$259</definedName>
    <definedName name="_c1e3d9da_0aa8_4938_92fd_28ad968bd219">'Reference Records'!$P$21</definedName>
    <definedName name="_c27248fe_f16e_4b61_a04b_ff479754f280">'Reference Records'!$N$21</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Helper'!$K$259</definedName>
    <definedName name="_c7239f8e_e972_4d0a_ac9c_049341720ca8">'Reference Records'!$H$123</definedName>
    <definedName name="_c811d6c6_78b7_497a_b948_2c1cd9a8b3fc">'Overview - Section A'!$Z$123</definedName>
    <definedName name="_c85353e2_2d93_4dee_b666_5a9395f33b51">'Overview - Section A'!$R$30</definedName>
    <definedName name="_c86327a0_756e_47de_9960_fc50ad31348d">'Reference records(soft deleted)'!$G$6</definedName>
    <definedName name="_c8d512d8_6c8d_45f3_ade0_c3987af540b2">'update Helper'!$AF$445</definedName>
    <definedName name="_c904cc72_9432_420c_93d8_3f5f3946db88">'Disaggregation Data'!$E$315</definedName>
    <definedName name="_c92aee90_9ab7_4c5b_90be_8f181e56b287">'Disaggregation Data'!$P$315</definedName>
    <definedName name="_c9967ba7_c4a7_4678_af94_bd3ef0f6e3f4">'update Helper'!$N$1182</definedName>
    <definedName name="_c9d716d6_9c15_4e1f_ac60_1e26110a756c" comment="Display Map">'update Helper'!$A$258:$Q$439</definedName>
    <definedName name="_ca097bd7_db68_4bb8_9e65_dadac87572e5">'update Helper'!$P$1411</definedName>
    <definedName name="_ca4ab06b_5324_40ab_a432_1139d7cb9e9a">'Reference Records'!$D$123</definedName>
    <definedName name="_ca7e0af3_de36_4376_a561_5d3c742acebc">'update Helper'!$E$2196</definedName>
    <definedName name="_cad4e7f5_784c_4195_8cb5_8c1ed2df9118">'update Helper'!$V$445</definedName>
    <definedName name="_cbe75001_1b1f_4684_b8fc_dd97cd572e08">'Reference Records'!$M$123</definedName>
    <definedName name="_cc652be8_c987_44b0_a7b8_b38f24a774fd">'Account Role'!$A$3</definedName>
    <definedName name="_cd1a838d_967d_4df8_8959_da3e91d019c7">'update Helper'!$G$2196</definedName>
    <definedName name="_cd3a8228_a564_4a29_bb53_8d23f3af4f8d">'update Helper'!$C$3</definedName>
    <definedName name="_ce356606_b70e_455c_a7f0_278a9274c30f">'Reference records(soft deleted)'!$K$159</definedName>
    <definedName name="_ce427541_94c6_4e19_bfba_334471291dc9">'Disaggregation Records'!$Q$155</definedName>
    <definedName name="_ced5d642_f902_4116_8eec_365c1d0be056">'update Helper'!$F$511</definedName>
    <definedName name="_cf337c18_bbd6_41ea_aeb8_6889dc68b851">'Reference records(soft deleted)'!$I$87</definedName>
    <definedName name="_cfcb4c96_c88e_4a35_803a_a889e9dd7d09" comment="Display Map">'Disaggregation Data'!$D$314:$Q$915</definedName>
    <definedName name="_d0955b05_c628_4518_9af2_80c991d01234">'Reference Records'!$M$61</definedName>
    <definedName name="_d0af162b_ba98_4147_a6fc_7c6ff1aaf471">'Disaggregation Data'!$N$159</definedName>
    <definedName name="_d0c4e2e8_ed5b_4f3b_98ce_3538f040ffdd">'update Helper'!$D$39</definedName>
    <definedName name="_d0e6db09_4210_45d4_bc55_3258a5a7becd">'Reference Records'!$M$3:$M$18</definedName>
    <definedName name="_d11bffcb_80bc_4142_b578_f8fd7b2ed872">'update Helper'!$O$2196</definedName>
    <definedName name="_d1f82863_9819_4548_ae1f_e4cfe92df877">'update Helper'!$I$2362</definedName>
    <definedName name="_d20ef977_ad63_4fe7_833a_109f9e7d5f64">'update Helper'!$C$3</definedName>
    <definedName name="_d23e2880_4b88_4ba1_b381_3bc8c5f940af">'Disaggregation Records'!$S$3</definedName>
    <definedName name="_d24f669d_00e1_4357_b04c_2c97c933dfec">'Overview - Section A'!$I$26</definedName>
    <definedName name="_d2c977b0_75f6_4448_a11e_cb59fc25d8cd" comment="Display Map">'update Helper'!$A$2:$V$33</definedName>
    <definedName name="_d36529d4_505a_4d7c_b7e5_0c40a3c08386" comment="Display Map">'update Helper'!$A$2361:$Q$3322</definedName>
    <definedName name="_d379908f_16e6_4aad_b988_5b7982eb826c">'Disaggregation Records'!$R$3</definedName>
    <definedName name="_d55f73ea_40dd_46a0_b46b_1f915532d5da" comment="Display Map">'Overview - Section A'!$A$18:$C$20</definedName>
    <definedName name="_d5b3d3f7_d9f7_482d_8e65_f987f575a087">'Reference Records'!$K$123</definedName>
    <definedName name="_d60e4a5c_ee1a_41d4_9548_2aede18bc786">'update Helper'!$D$878</definedName>
    <definedName name="_d62bbd88_c7fe_4846_8ed9_76818d8946c8">'Reference Records'!$G$4</definedName>
    <definedName name="_d6de9e79_2a33_496b_9418_d4b52d6dcaf1">'Reference Records'!$B$20:$B$683</definedName>
    <definedName name="_d72177c9_4374_45f7_b5a5_f0b6222e9566">'Reference Records'!$E$4</definedName>
    <definedName name="_d761096d_7819_4297_bee8_1af89e86506d">'update Helper'!$L$2196</definedName>
    <definedName name="_d8f3b323_94ba_4c08_b760_0447353ff6ee">'Reference Records'!$R$4</definedName>
    <definedName name="_d8fd749f_f8d5_4232_b69a_8b62a79328ac">'Overview - Section A'!$L$46</definedName>
    <definedName name="_d9225ee9_4711_40fa_bb89_6747c9d62bad">'Overview - Section A'!$G$59</definedName>
    <definedName name="_d93c4c11_f795_4c65_88eb_c43040eba27e" comment="Display Map">'Overview - Section A'!$A$100:$J$116</definedName>
    <definedName name="_d9ef6160_0711_4f41_8235_1e8bf2ea40ed" comment="Display Map">'update Helper'!$A$38:$T$219</definedName>
    <definedName name="_da2bea4d_26d3_4c8d_8f53_a31050d37481">'Reference Records'!$B$1:$B$803</definedName>
    <definedName name="_daae6694_aad0_48b5_b679_94999f870976">'Reference records(soft deleted)'!$G$159</definedName>
    <definedName name="_db4e2d75_1080_4f7d_bbb6_279cfc0396d6">'Reference Records'!$B$260</definedName>
    <definedName name="_db554049_85ce_4129_b1fc_a4968be4421e">'Reference records(soft deleted)'!$B$87:$B$154</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Helper'!$I$2196</definedName>
    <definedName name="_dce503c9_6770_4063_b9a4_70c4486bab14" comment="Display Map">'Reference Records'!$A$509:$I$568</definedName>
    <definedName name="_dd1bf6a4_f36b_4539_baa8_c7f8ba7742c0">'update Helper'!$I$1182</definedName>
    <definedName name="_dd26d46b_6921_487e_9c78_867c8d059003">'update Helper'!$G$3</definedName>
    <definedName name="_dd59b4c1_0127_483f_94d6_e325d726d50b">'update Helper'!$J$878</definedName>
    <definedName name="_dd5cbb23_508a_4a49_9ee3_de02706f296e">'Reference Records'!$B$61</definedName>
    <definedName name="_dd67381d_8fda_4031_b9f2_2b97d7ad93a0">'update Helper'!$J$1182</definedName>
    <definedName name="_dd82b481_1d70_467c_8a1e_607df41e8dcb">'Reference Records'!$D$1:$D$594</definedName>
    <definedName name="_de349e90_1cd6_4d52_ab09_1d344b331133">'update Helper'!$E$445</definedName>
    <definedName name="_de8125e3_2f55_471a_b44e_3fc797d5bb7c">'Reference records(soft deleted)'!$J$224</definedName>
    <definedName name="_de8310b5_e4d3_4b94_b262_26a424148ac2">#REF!</definedName>
    <definedName name="_e0977557_e4c5_4ef4_9559_6de2a1c73a50">'Overview - Section A'!$A$30</definedName>
    <definedName name="_e10c609e_8d1f_432f_a13e_7b8a8126b45f">'Reference Records'!$U$21</definedName>
    <definedName name="_e1b18bf0_c01a_41f9_9d0f_7ff41a4c9212">'Reference records(soft deleted)'!$B$22</definedName>
    <definedName name="_e298e0a5_e974_47dc_98cc_18bdd69218f6">'update Helper'!$N$878</definedName>
    <definedName name="_e2f4a6c9_b971_491e_a3b4_1227bbe38c83">'Reference records(soft deleted)'!$I$224</definedName>
    <definedName name="_e3593433_048f_4c41_83d3_f74a839a639f">'Disaggregation Records'!$I$69</definedName>
    <definedName name="_e3fd5f4b_01b0_4087_9e0e_fd0199800be6">'Overview - Section A'!$I$101</definedName>
    <definedName name="_e483748a_15bd_4bef_9378_0d3e824decd0">'Reference Records'!$L$123</definedName>
    <definedName name="_e4b1e3b9_6a2a_43ea_8ece_3c48082dabab">'Reference Records'!$C$123</definedName>
    <definedName name="_e4ebe33e_2d9b_4fab_b6ee_d23a5404bb5e" comment="Display Map">'update Helper'!$A$2195:$R$2356</definedName>
    <definedName name="_e4f7af1b_dca3_4c5d_8b1f_84c882749f97">'update Helper'!$L$878</definedName>
    <definedName name="_e588dca0_ef3a_4dbf_9030_9759fda803aa">'update Helper'!$N$223</definedName>
    <definedName name="_e5e0e9c5_229b_41b4_a9b1_b5fd68f1f31c">'Disaggregation Records'!$Q$3</definedName>
    <definedName name="_e6036c71_a0b0_45ea_b10c_37043207b399">'update Helper'!$T$223</definedName>
    <definedName name="_e6d95e65_44bf_4846_b78f_816689d6036f">'Disaggregation Records'!$O$69</definedName>
    <definedName name="_e713ed26_c546_4a6a_a951_288830ca8584">'update Helper'!$E$1182</definedName>
    <definedName name="_e774554e_fb6f_43f6_baf0_c17f0492b38e">'update Helper'!$K$39</definedName>
    <definedName name="_e791e9cc_e0a5_4bd0_a74b_188698c51274">'Reference records(soft deleted)'!$K$224</definedName>
    <definedName name="_e7e9d6df_5983_4b14_8cdc_daf32af1a30f">'Reference Records'!$L$331</definedName>
    <definedName name="_e80f85f8_0abc_454b_92e1_70be11b30e29">'Reference Records'!$Q$61</definedName>
    <definedName name="_e8ee11f8_cd11_4941_8f4e_979bc348765e">'update Helper'!$G$1411</definedName>
    <definedName name="_e997142a_f700_4b71_9747_d54e4a4ef7c7">'Disaggregation Records'!$K$3</definedName>
    <definedName name="_ea0a6aff_050a_4e7c_bb67_efe887a6ff8c">'Reference Records'!$B$123:$B$149</definedName>
    <definedName name="_ea72c56b_d1e9_4c5d_ba1d_cc707a1c7a52">'Reference Records'!$C$260</definedName>
    <definedName name="_eabb6097_6646_49fe_9d42_cce1d696601b">'Overview - Section A'!$A$101</definedName>
    <definedName name="_eb865535_e191_4538_9980_a9996247965e">'Reference Records'!$A$20:$A$683</definedName>
    <definedName name="_eb940844_13db_4509_a1c4_ff0a8c68abd7">'Disaggregation Records'!$L$155</definedName>
    <definedName name="_ec317833_0071_4b2e_932c_62684bcb2384">'Disaggregation Data'!$M$315</definedName>
    <definedName name="_ecb887c9_f351_4ec2_95ef_320af361ff42" comment="Display Map">'update Helper'!$A$510:$T$871</definedName>
    <definedName name="_ed0f40d6_45a1_4737_908f_0fb3a2e7f6d7">'Reference Records'!$B$263</definedName>
    <definedName name="_edacc156_af86_4bf8_90dd_b9a22fc62817">'Account Role'!$D$3</definedName>
    <definedName name="_ee5c2fa9_b685_4c9b_9614_9ed1cefc534c">'update Helper'!$T$511</definedName>
    <definedName name="_ef7c4cda_9fba_4d2c_b2ff_8d22eb3a22ac">'update Helper'!$I$445</definedName>
    <definedName name="_eff8d1d0_83be_4592_a0a6_0649571f1cd1">'update Helper'!$J$445</definedName>
    <definedName name="_f01d1473_f9e7_453c_95a5_ada7b865eabb">'Overview - Section A'!$H$77</definedName>
    <definedName name="_f0e38211_457f_4b07_8179_77ff6278dd2b">'update Helper'!$P$445</definedName>
    <definedName name="_f0f5c51b_e422_42f2_88da_9eff4b5a59d3">'Reference Records'!$L$160</definedName>
    <definedName name="_f1c519aa_961b_42b6_a4f4_d9f451ddf622" comment="Display Map">'Overview - Section A'!$A$58:$H$71</definedName>
    <definedName name="_f2045cc5_f4d7_4b1d_8aeb_d44e7918995b">'Disaggregation Data'!$K$3</definedName>
    <definedName name="_f21c8db1_2baf_45f9_a210_b096e419362b">'Overview - Section A'!$E$11</definedName>
    <definedName name="_f2e17f54_33e5_4fb3_8547_527de2a7d0ac">'Overview - Section A'!$C$19:$C$22</definedName>
    <definedName name="_f3654abd_3fbc_41ef_a2e7_0d54ea478341" comment="Display Map">'Disaggregation Records'!$A$2:$S$65</definedName>
    <definedName name="_f39f3286_1b88_4f0b_b268_bc711c9c67e1">'Reference records(soft deleted)'!$K$87</definedName>
    <definedName name="_f686534e_e5b4_42a0_a0f2_a919117d0136">'update Helper'!$K$445</definedName>
    <definedName name="_f6cc91f7_16cd_4c28_ae23_539a66875c7e" comment="Display Map">'Reference Records'!$A$330:$M$505</definedName>
    <definedName name="_f7611a26_2008_46e2_a2c0_dadeef65f0ed">'update Helper'!$S$3</definedName>
    <definedName name="_f764864d_aa9b_444c_a466_cce493ea1b3b">'Reference Records'!$T$21</definedName>
    <definedName name="_f8da171f_1ef1_4701_824e_35a927e47c50">'Overview - Section A'!$Q$123</definedName>
    <definedName name="_fa55b4d1_29cb_4b51_b2d0_8f7892f292e2">'update Helper'!$L$1182</definedName>
    <definedName name="_fa828cb2_bd98_4c85_a567_d82b0ffa1d3f">'Disaggregation Records'!$P$69</definedName>
    <definedName name="_faacf26c_51ba_405a_bccb_3b2bf0981690">'update Helper'!$Q$2196</definedName>
    <definedName name="_facd5aba_c813_47e2_8877_94bdd6685d41">'update Helper'!$P$2196</definedName>
    <definedName name="_fbc5eaa3_1127_42c4_a746_2bd3d587fad5">'Reference Records'!$N$61</definedName>
    <definedName name="_fbe591c5_4692_4048_ae00_0b5a533edf73">'update Helper'!$E$3</definedName>
    <definedName name="_fccfb4fa_0a30_41be_9334_74bc5779fbd3">'Reference Records'!$C$258:$C$259</definedName>
    <definedName name="_fd286dae_26cb_4aad_a5f8_c4e877a2e920" comment="Display Map">'Reference Records'!$A$159:$N$250</definedName>
    <definedName name="_fe1fc4f2_e57c_4328_acb9_6e901a0a2e1c">'Reference Records'!$G$123</definedName>
    <definedName name="_fe54ad0d_3f3e_403b_8c5a_3ee1b37390d2">'Disaggregation Data'!$Q$315</definedName>
    <definedName name="_feae67d4_d3a5_4668_9be8_07f6d66f3049">'update Helper'!$I$511</definedName>
    <definedName name="_ff85bbe8_e093_4bde_9ecb_ca8f310bef73">'Reference Records'!$B$123:$B$157</definedName>
    <definedName name="_ffc69f08_b317_4d33_8688_bf480f40f783">'Disaggregation Records'!$K$155</definedName>
    <definedName name="_xlnm._FilterDatabase" localSheetId="12" hidden="1">' Disaggregation - Section E '!$A$9:$N$309</definedName>
    <definedName name="_xlnm._FilterDatabase" localSheetId="18" hidden="1">'Account Role'!$B:$B</definedName>
    <definedName name="_xlnm._FilterDatabase" localSheetId="2" hidden="1">'Overview - Section A'!$A$29:$R$39</definedName>
    <definedName name="_xlnm._FilterDatabase" localSheetId="14" hidden="1">'Print View'!$A$147:$AN$207</definedName>
    <definedName name="AccountRole" localSheetId="1">OFFSET('[1]Account Role'!$C$3,1,0,MATCH("*",'[1]Account Role'!$C$3:$C$8,-1)-1,1)</definedName>
    <definedName name="AccountRole">OFFSET('Account Role'!$C$3,1,0,MATCH("*",'Account Role'!$C$3:$C$28,-1)-1,1)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apttusmetadata!$AM$2:$AM$25</definedName>
    <definedName name="AIM_Outcome_Indicator__c.AIM_Baseline_Year__c">apttusmetadata!$AL$2:$AL$25</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apttusmetadata!$AO$2:$AO$25</definedName>
    <definedName name="AIM_Reporting_Period__c.AIM_Report_Period_Category__c">apttusmetadata!$AA$2</definedName>
    <definedName name="baseline_validation" localSheetId="1">OFFSET([1]Setup!$C$31,1,0,SUMPRODUCT(('Instructions-FR'!Baseline_years_list&lt;&gt;"")+0)-1,1)</definedName>
    <definedName name="baseline_validation">OFFSET(Setup!$C$31,1,0,SUMPRODUCT((Baseline_years_list&lt;&gt;"")+0)-1,1)</definedName>
    <definedName name="Baseline_years_list" localSheetId="1">[1]Setup!$C$31:$C$74</definedName>
    <definedName name="Baseline_years_list">Setup!$C$31:$C$74</definedName>
    <definedName name="Country" localSheetId="1">IF('[1]Overview - Section A'!$AN$5="Funding Request",IF('[1]Reference Records'!$B$261&lt;&gt;"",'[1]Reference Records'!$B$261,'[1]Reference Records'!$A$1),OFFSET('[1]Reference Records'!$A$323,1,0,MATCH(" ",'[1]Reference Records'!$A$323:$A$324,-1)-1,1))</definedName>
    <definedName name="Country">IF('Overview - Section A'!$AN$5="Funding Request",IF('Reference Records'!$B$259&lt;&gt;"",'Reference Records'!$B$259,'Reference Records'!$A$1),OFFSET('Reference Records'!$A$321,1,0,MATCH(" ",'Reference Records'!$A$321:$A$322,-1)-1,1))</definedName>
    <definedName name="Coverage_Indicator_Disaggregation">'update Helper'!$A$1409</definedName>
    <definedName name="Coverage_Indicator_Disaggregation_new">' Disaggregation - Section E '!$B$619</definedName>
    <definedName name="Coverage_Indicator_Targets__section_D">'update Helper'!$A$509</definedName>
    <definedName name="Coverage_indicators__secton_D">'update Helper'!$A$443</definedName>
    <definedName name="Coverage_Module" localSheetId="1">OFFSET('[1]Overview - Section A'!$E$101,1,0,MATCH(" ",'[1]Overview - Section A'!$E$101:$E$119,-1)-1,1)</definedName>
    <definedName name="Coverage_Module">OFFSET('Overview - Section A'!$E$101,1,0,MATCH(" ",'Overview - Section A'!$E$101:$E$119,-1)-1,1)</definedName>
    <definedName name="CoverageColumn" localSheetId="1">'[1]Reference Records'!$A$61:$A$122</definedName>
    <definedName name="CoverageColumn">'Reference Records'!$A$61:$A$120</definedName>
    <definedName name="CoverageIndicator" localSheetId="1">OFFSET('[1]Reference Records'!$E$61,1,0,MATCH("*",'[1]Reference Records'!$E$61:$E$122,-1)-1,1)</definedName>
    <definedName name="CoverageIndicator">OFFSET('Reference Records'!$E$61,1,0,MATCH("*",'Reference Records'!$E$61:$E$120,-1)-1,1)</definedName>
    <definedName name="CoverageStart" localSheetId="0">Coverage[Module]</definedName>
    <definedName name="CoverageStart" localSheetId="1">[1]!Coverage[Module]</definedName>
    <definedName name="CoverageStart">Coverage[Module]</definedName>
    <definedName name="_xlnm.Extract" localSheetId="18">'Account Role'!$C:$C</definedName>
    <definedName name="FundingRequestPR" localSheetId="1">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Records'!$C$259&lt;&gt;"",OFFSET('Account Role'!$C$3,1,0,MATCH(" ",'Account Role'!$C$3:$C$28,-1)-1,1),OFFSET('Account Role'!$C$36,1,0,MATCH(" ",'Account Role'!$C$36:$C$268,-1)-1,1)),'Overview - Section A'!$AN$6)</definedName>
    <definedName name="Impact_indicator___section_B">'update Helper'!$A$1</definedName>
    <definedName name="Impact_Indicator_Disaggregation">'update Helper'!$A$1180</definedName>
    <definedName name="Impact_Indicator_Disaggregation_new">' Disaggregation - Section E '!$B$8</definedName>
    <definedName name="Impact_indicator_targets___section_B">'update Helper'!$A$37</definedName>
    <definedName name="ImpactIndicator" localSheetId="1">OFFSET('[1]Reference Records'!$I$4,1,0,MATCH(" ",LEFT('[1]Reference Records'!$I$4:$I$18,255),-1)-1,1)</definedName>
    <definedName name="ImpactIndicator">OFFSET('Reference Records'!$I$4,1,0,MATCH(" ",LEFT('Reference Records'!$I$4:$I$18,255),-1)-1,1)</definedName>
    <definedName name="Instruction__Section_A" localSheetId="1">'Instructions-FR'!$A$33</definedName>
    <definedName name="InstructionA" localSheetId="1">'Instructions-FR'!$A$33</definedName>
    <definedName name="InstructionB" localSheetId="1">'Instructions-FR'!$A$108</definedName>
    <definedName name="InstructionC" localSheetId="1">'Instructions-FR'!$A$183</definedName>
    <definedName name="InstructionD" localSheetId="1">'Instructions-FR'!$A$258</definedName>
    <definedName name="InstructionE" localSheetId="1">'Instructions-FR'!$A$350</definedName>
    <definedName name="InstructionsA">IF(Language="French",#REF!,'Instructions-ES'!$A$33)</definedName>
    <definedName name="InstructionsB">IF(Language="French",#REF!,'Instructions-ES'!$A$108)</definedName>
    <definedName name="InstructionsC">IF(Language="French",#REF!,'Instructions-ES'!$A$183)</definedName>
    <definedName name="InstructionsD">IF(Language="French",#REF!,'Instructions-ES'!$A$258)</definedName>
    <definedName name="InstructionsE">IF(Language="French",#REF!,'Instructions-ES'!$A$350)</definedName>
    <definedName name="InstructionsF">IF(Language="French",#REF!,'Instructions-ES'!$A$374)</definedName>
    <definedName name="InstructionsSectionF" localSheetId="1">'Instructions-FR'!$A$374</definedName>
    <definedName name="Intervention_WPTM" localSheetId="1">OFFSET('[1]Overview - Section A'!$W$123,1,0,MATCH("*",'[1]Overview - Section A'!$W$123:$W$175,-1)-1,1)</definedName>
    <definedName name="Intervention_WPTM">OFFSET('Overview - Section A'!$W$123,1,0,MATCH("*",'Overview - Section A'!$W$123:$W$175,-1)-1,1)</definedName>
    <definedName name="KeyActivityColumn" localSheetId="1">'[1]Overview - Section A'!$AD$123:$AD$175</definedName>
    <definedName name="KeyActivityColumn">'Overview - Section A'!$AD$123:$AD$175</definedName>
    <definedName name="KeyActivityStart" localSheetId="1">'[1]Overview - Section A'!$AD$123:$AD$123</definedName>
    <definedName name="KeyActivityStart">'Overview - Section A'!$AD$123:$AD$123</definedName>
    <definedName name="LangOffset">Translations!$C$1</definedName>
    <definedName name="Language">'Overview - Section A'!$T$3</definedName>
    <definedName name="List" localSheetId="1">'[1]Account Role'!$B$2:$B$13</definedName>
    <definedName name="List">'Account Role'!$B$2:$B$33</definedName>
    <definedName name="MergedAndDistinctPR">IF(SUMPRODUCT(--(Setup!$I$15:$I$41&lt;&gt;""))=0,INDIRECT("FAKE RANGE"),Setup!$I$15:INDEX(Setup!$I$15:$I$41,SUMPRODUCT(--(Setup!$I$15:$I$41&lt;&gt;""))))</definedName>
    <definedName name="Module_List" localSheetId="1">OFFSET('[1]Reference Records'!$J$125,1,0,MATCH(" ",LEFT('[1]Reference Records'!$J$125:$J$159,255),-1)-1,1)</definedName>
    <definedName name="Module_List">OFFSET('Reference Records'!$J$123,1,0,MATCH(" ",LEFT('Reference Records'!$J$123:$J$157,255),-1)-1,1)</definedName>
    <definedName name="ModuleColumn" localSheetId="0">Intervention[Module]</definedName>
    <definedName name="ModuleColumn" localSheetId="1">[1]!Intervention[Module]</definedName>
    <definedName name="ModuleColumn">Intervention[Module]</definedName>
    <definedName name="Modules" localSheetId="1">OFFSET('[1]Overview - Section A'!$E$101,1,0,MATCH(" ",'[1]Overview - Section A'!$E$101:$E$117,-1)-1,1)</definedName>
    <definedName name="Modules">OFFSET('Overview - Section A'!$E$101,1,0,MATCH(" ",'Overview - Section A'!$E$101:$E$117,-1)-1,1)</definedName>
    <definedName name="ModuleStart" localSheetId="1">'[1]Reference Records'!$A$162</definedName>
    <definedName name="ModuleStart">'Reference Records'!$A$160</definedName>
    <definedName name="nstructionsB">#REF!</definedName>
    <definedName name="Outcome_Indicator_Disaggregation">'update Helper'!$A$876</definedName>
    <definedName name="Outcome_Indicator_Disaggregation_new">' Disaggregation - Section E '!$B$314</definedName>
    <definedName name="Outcome_indicators__section_C">'update Helper'!$A$221</definedName>
    <definedName name="Outcome_indicators_Targets__section_C">'update Helper'!$A$257</definedName>
    <definedName name="OutcomeIndicator" localSheetId="1">OFFSET('[1]Reference Records'!$I$21,1,0,MATCH(" ",LEFT('[1]Reference Records'!$I$21:$I$58,255),-1)-1,1)</definedName>
    <definedName name="OutcomeIndicator">OFFSET('Reference Records'!$I$21,1,0,MATCH(" ",LEFT('Reference Records'!$I$21:$I$58,255),-1)-1,1)</definedName>
    <definedName name="PICKLISTKEYVALUEPAIR">apttusmetadata!$Y$2:$Z$13</definedName>
    <definedName name="Population">'Overview - Section A'!$J$123</definedName>
    <definedName name="Population_by_intervention" localSheetId="1">'[1]Reference Records'!$A$332:$F$333</definedName>
    <definedName name="Population_by_intervention">'Reference Records'!$A$330:$M$331</definedName>
    <definedName name="Population_by_Intervention_name">'Reference Records'!$E$330:$M$331</definedName>
    <definedName name="PopulationByCoverage" localSheetId="1">'[1]Reference Records'!$A$511:$F$512</definedName>
    <definedName name="PopulationByCoverage">'Reference Records'!$A$509:$F$510</definedName>
    <definedName name="_xlnm.Print_Area" localSheetId="1">'Instructions-FR'!$A$1:$B$432</definedName>
    <definedName name="_xlnm.Print_Area" localSheetId="2">'Overview - Section A'!$A$1:$AI$182</definedName>
    <definedName name="_xlnm.Print_Area" localSheetId="14">'Print View'!$A$1:$S$300</definedName>
    <definedName name="ResponsiblePR" localSheetId="1">IF('[1]Overview - Section A'!$AN$5="Funding Request",OFFSET('[1]Overview - Section A'!$M$30,1,0,MATCH(" ",'[1]Overview - Section A'!$M$30:$M$40,-1)-1,1),OFFSET('[1]Overview - Section A'!$E$26,1,0,MATCH(" ",'[1]Overview - Section A'!$E$26:$E$27,-1)-1,1))</definedName>
    <definedName name="ResponsiblePR">IF('Overview - Section A'!$AN$5="Funding Request",OFFSET('Overview - Section A'!$M$30,1,0,MATCH(" ",'Overview - Section A'!$M$30:$M$40,-1)-1,1),OFFSET('Overview - Section A'!$E$26,1,0,MATCH(" ",'Overview - Section A'!$E$26:$E$27,-1)-1,1))</definedName>
    <definedName name="SectionAPopulation" localSheetId="1">'[1]Overview - Section A'!$V$123:$V$174</definedName>
    <definedName name="SectionAPopulation">'Overview - Section A'!$V$123:$V$174</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'!$A$9:$AA$10</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1">OFFSET('[1]Coverage Indicators-Section D'!$AA$10,1,0,MATCH(" ",'[1]Coverage Indicators-Section D'!$AA$10:$AA$42,-1)-1,1)</definedName>
    <definedName name="Subset">OFFSET('[2]Coverage Indicators-Section D'!$AA$10,1,0,MATCH(" ",'[2]Coverage Indicators-Section D'!$AA$10:$AA$42,-1)-1,1)</definedName>
    <definedName name="WPTM____Section_F">'update Helper'!$A$2194</definedName>
    <definedName name="WPTM_Results">'update Helper'!$A$2360</definedName>
    <definedName name="XAuthorInvalidPicklistData" localSheetId="1">apttusmetadata!$B$1</definedName>
    <definedName name="XAuthorInvalidPicklistData">apttusmetadata!$B$1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6" i="33" l="1"/>
  <c r="AA26" i="33" s="1"/>
  <c r="AD25" i="33"/>
  <c r="AA25" i="33" s="1"/>
  <c r="AD23" i="33"/>
  <c r="AA23" i="33" s="1"/>
  <c r="AD21" i="33"/>
  <c r="AD19" i="33"/>
  <c r="AD17" i="33"/>
  <c r="AD15" i="33"/>
  <c r="AD13" i="33"/>
  <c r="AA24" i="33"/>
  <c r="AA22" i="33"/>
  <c r="AA21" i="33"/>
  <c r="AA20" i="33"/>
  <c r="AA19" i="33"/>
  <c r="AA18" i="33"/>
  <c r="AA17" i="33"/>
  <c r="AA16" i="33"/>
  <c r="AA15" i="33"/>
  <c r="AA14" i="33"/>
  <c r="AA13" i="33"/>
  <c r="AA12" i="33"/>
  <c r="AA11" i="33"/>
  <c r="AA10" i="33"/>
  <c r="AA9" i="33"/>
  <c r="U26" i="33"/>
  <c r="U25" i="33"/>
  <c r="U24" i="33"/>
  <c r="U23" i="33"/>
  <c r="U22" i="33"/>
  <c r="U21" i="33"/>
  <c r="U20" i="33"/>
  <c r="U19" i="33"/>
  <c r="U18" i="33"/>
  <c r="U17" i="33"/>
  <c r="U16" i="33"/>
  <c r="U15" i="33"/>
  <c r="U14" i="33"/>
  <c r="U13" i="33"/>
  <c r="U12" i="33"/>
  <c r="U11" i="33"/>
  <c r="U10" i="33"/>
  <c r="U9" i="33"/>
  <c r="X26" i="33"/>
  <c r="X25" i="33" s="1"/>
  <c r="X23" i="33"/>
  <c r="X21" i="33"/>
  <c r="X19" i="33"/>
  <c r="X17" i="33"/>
  <c r="X15" i="33"/>
  <c r="X13" i="33"/>
  <c r="R26" i="33"/>
  <c r="R25" i="33" s="1"/>
  <c r="O25" i="33" s="1"/>
  <c r="R23" i="33"/>
  <c r="R21" i="33"/>
  <c r="R19" i="33"/>
  <c r="R17" i="33"/>
  <c r="O17" i="33" s="1"/>
  <c r="R15" i="33"/>
  <c r="R13" i="33"/>
  <c r="O10" i="33"/>
  <c r="O9" i="33"/>
  <c r="O39" i="33"/>
  <c r="O24" i="33"/>
  <c r="O23" i="33"/>
  <c r="O22" i="33"/>
  <c r="O21" i="33"/>
  <c r="O20" i="33"/>
  <c r="O19" i="33"/>
  <c r="O18" i="33"/>
  <c r="O16" i="33"/>
  <c r="O15" i="33"/>
  <c r="O14" i="33"/>
  <c r="O13" i="33"/>
  <c r="O12" i="33"/>
  <c r="O11" i="33"/>
  <c r="O26" i="33" l="1"/>
  <c r="P3322" i="27"/>
  <c r="P3321" i="27"/>
  <c r="P3320" i="27"/>
  <c r="P3319" i="27"/>
  <c r="P3318" i="27"/>
  <c r="P3317" i="27"/>
  <c r="P3316" i="27"/>
  <c r="P3315" i="27"/>
  <c r="P3314" i="27"/>
  <c r="P3313" i="27"/>
  <c r="P3312" i="27"/>
  <c r="P3311" i="27"/>
  <c r="P3310" i="27"/>
  <c r="P3309" i="27"/>
  <c r="P3308" i="27"/>
  <c r="P3307" i="27"/>
  <c r="P3306" i="27"/>
  <c r="P3305" i="27"/>
  <c r="P3304" i="27"/>
  <c r="P3303" i="27"/>
  <c r="P3302" i="27"/>
  <c r="P3301" i="27"/>
  <c r="P3300" i="27"/>
  <c r="P3299" i="27"/>
  <c r="P3298" i="27"/>
  <c r="P3297" i="27"/>
  <c r="P3296" i="27"/>
  <c r="P3295" i="27"/>
  <c r="P3294" i="27"/>
  <c r="P3293" i="27"/>
  <c r="P3292" i="27"/>
  <c r="P3291" i="27"/>
  <c r="P3290" i="27"/>
  <c r="P3289" i="27"/>
  <c r="P3288" i="27"/>
  <c r="P3287" i="27"/>
  <c r="P3286" i="27"/>
  <c r="P3285" i="27"/>
  <c r="P3284" i="27"/>
  <c r="P3283" i="27"/>
  <c r="P3282" i="27"/>
  <c r="P3281" i="27"/>
  <c r="P3280" i="27"/>
  <c r="P3279" i="27"/>
  <c r="P3278" i="27"/>
  <c r="P3277" i="27"/>
  <c r="P3276" i="27"/>
  <c r="P3275" i="27"/>
  <c r="P3274" i="27"/>
  <c r="P3273" i="27"/>
  <c r="P3272" i="27"/>
  <c r="P3271" i="27"/>
  <c r="P3270" i="27"/>
  <c r="P3269" i="27"/>
  <c r="P3268" i="27"/>
  <c r="P3267" i="27"/>
  <c r="P3266" i="27"/>
  <c r="P3265" i="27"/>
  <c r="P3264" i="27"/>
  <c r="P3263" i="27"/>
  <c r="P3262" i="27"/>
  <c r="P3261" i="27"/>
  <c r="P3260" i="27"/>
  <c r="P3259" i="27"/>
  <c r="P3258" i="27"/>
  <c r="P3257" i="27"/>
  <c r="P3256" i="27"/>
  <c r="P3255" i="27"/>
  <c r="P3254" i="27"/>
  <c r="P3253" i="27"/>
  <c r="P3252" i="27"/>
  <c r="P3251" i="27"/>
  <c r="P3250" i="27"/>
  <c r="P3249" i="27"/>
  <c r="P3248" i="27"/>
  <c r="P3247" i="27"/>
  <c r="P3246" i="27"/>
  <c r="P3245" i="27"/>
  <c r="P3244" i="27"/>
  <c r="P3243" i="27"/>
  <c r="P3242" i="27"/>
  <c r="P3241" i="27"/>
  <c r="P3240" i="27"/>
  <c r="P3239" i="27"/>
  <c r="P3238" i="27"/>
  <c r="P3237" i="27"/>
  <c r="P3236" i="27"/>
  <c r="P3235" i="27"/>
  <c r="P3234" i="27"/>
  <c r="P3233" i="27"/>
  <c r="P3232" i="27"/>
  <c r="P3231" i="27"/>
  <c r="P3230" i="27"/>
  <c r="P3229" i="27"/>
  <c r="P3228" i="27"/>
  <c r="P3227" i="27"/>
  <c r="P3226" i="27"/>
  <c r="P3225" i="27"/>
  <c r="P3224" i="27"/>
  <c r="P3223" i="27"/>
  <c r="P3222" i="27"/>
  <c r="P3221" i="27"/>
  <c r="P3220" i="27"/>
  <c r="P3219" i="27"/>
  <c r="P3218" i="27"/>
  <c r="P3217" i="27"/>
  <c r="P3216" i="27"/>
  <c r="P3215" i="27"/>
  <c r="P3214" i="27"/>
  <c r="P3213" i="27"/>
  <c r="P3212" i="27"/>
  <c r="P3211" i="27"/>
  <c r="P3210" i="27"/>
  <c r="P3209" i="27"/>
  <c r="P3208" i="27"/>
  <c r="P3207" i="27"/>
  <c r="P3206" i="27"/>
  <c r="P3205" i="27"/>
  <c r="P3204" i="27"/>
  <c r="P3203" i="27"/>
  <c r="P3202" i="27"/>
  <c r="P3201" i="27"/>
  <c r="P3200" i="27"/>
  <c r="P3199" i="27"/>
  <c r="P3198" i="27"/>
  <c r="P3197" i="27"/>
  <c r="P3196" i="27"/>
  <c r="P3195" i="27"/>
  <c r="P3194" i="27"/>
  <c r="P3193" i="27"/>
  <c r="P3192" i="27"/>
  <c r="P3191" i="27"/>
  <c r="P3190" i="27"/>
  <c r="P3189" i="27"/>
  <c r="P3188" i="27"/>
  <c r="P3187" i="27"/>
  <c r="P3186" i="27"/>
  <c r="P3185" i="27"/>
  <c r="P3184" i="27"/>
  <c r="P3183" i="27"/>
  <c r="P3182" i="27"/>
  <c r="P3181" i="27"/>
  <c r="P3180" i="27"/>
  <c r="P3179" i="27"/>
  <c r="P3178" i="27"/>
  <c r="P3177" i="27"/>
  <c r="P3176" i="27"/>
  <c r="P3175" i="27"/>
  <c r="P3174" i="27"/>
  <c r="P3173" i="27"/>
  <c r="P3172" i="27"/>
  <c r="P3171" i="27"/>
  <c r="P3170" i="27"/>
  <c r="P3169" i="27"/>
  <c r="P3168" i="27"/>
  <c r="P3167" i="27"/>
  <c r="P3166" i="27"/>
  <c r="P3165" i="27"/>
  <c r="P3164" i="27"/>
  <c r="P3163" i="27"/>
  <c r="P3162" i="27"/>
  <c r="P3161" i="27"/>
  <c r="P3160" i="27"/>
  <c r="P3159" i="27"/>
  <c r="P3158" i="27"/>
  <c r="P3157" i="27"/>
  <c r="P3156" i="27"/>
  <c r="P3155" i="27"/>
  <c r="P3154" i="27"/>
  <c r="P3153" i="27"/>
  <c r="P3152" i="27"/>
  <c r="P3151" i="27"/>
  <c r="P3150" i="27"/>
  <c r="P3149" i="27"/>
  <c r="P3148" i="27"/>
  <c r="P3147" i="27"/>
  <c r="P3146" i="27"/>
  <c r="P3145" i="27"/>
  <c r="P3144" i="27"/>
  <c r="P3143" i="27"/>
  <c r="P3142" i="27"/>
  <c r="P3141" i="27"/>
  <c r="P3140" i="27"/>
  <c r="P3139" i="27"/>
  <c r="P3138" i="27"/>
  <c r="P3137" i="27"/>
  <c r="P3136" i="27"/>
  <c r="P3135" i="27"/>
  <c r="P3134" i="27"/>
  <c r="P3133" i="27"/>
  <c r="P3132" i="27"/>
  <c r="P3131" i="27"/>
  <c r="P3130" i="27"/>
  <c r="P3129" i="27"/>
  <c r="P3128" i="27"/>
  <c r="P3127" i="27"/>
  <c r="P3126" i="27"/>
  <c r="P3125" i="27"/>
  <c r="P3124" i="27"/>
  <c r="P3123" i="27"/>
  <c r="P3122" i="27"/>
  <c r="P3121" i="27"/>
  <c r="P3120" i="27"/>
  <c r="P3119" i="27"/>
  <c r="P3118" i="27"/>
  <c r="P3117" i="27"/>
  <c r="P3116" i="27"/>
  <c r="P3115" i="27"/>
  <c r="P3114" i="27"/>
  <c r="P3113" i="27"/>
  <c r="P3112" i="27"/>
  <c r="P3111" i="27"/>
  <c r="P3110" i="27"/>
  <c r="P3109" i="27"/>
  <c r="P3108" i="27"/>
  <c r="P3107" i="27"/>
  <c r="P3106" i="27"/>
  <c r="P3105" i="27"/>
  <c r="P3104" i="27"/>
  <c r="P3103" i="27"/>
  <c r="P3102" i="27"/>
  <c r="P3101" i="27"/>
  <c r="P3100" i="27"/>
  <c r="P3099" i="27"/>
  <c r="P3098" i="27"/>
  <c r="P3097" i="27"/>
  <c r="P3096" i="27"/>
  <c r="P3095" i="27"/>
  <c r="P3094" i="27"/>
  <c r="P3093" i="27"/>
  <c r="P3092" i="27"/>
  <c r="P3091" i="27"/>
  <c r="P3090" i="27"/>
  <c r="P3089" i="27"/>
  <c r="P3088" i="27"/>
  <c r="P3087" i="27"/>
  <c r="P3086" i="27"/>
  <c r="P3085" i="27"/>
  <c r="P3084" i="27"/>
  <c r="P3083" i="27"/>
  <c r="P3082" i="27"/>
  <c r="P3081" i="27"/>
  <c r="P3080" i="27"/>
  <c r="P3079" i="27"/>
  <c r="P3078" i="27"/>
  <c r="P3077" i="27"/>
  <c r="P3076" i="27"/>
  <c r="P3075" i="27"/>
  <c r="P3074" i="27"/>
  <c r="P3073" i="27"/>
  <c r="P3072" i="27"/>
  <c r="P3071" i="27"/>
  <c r="P3070" i="27"/>
  <c r="P3069" i="27"/>
  <c r="P3068" i="27"/>
  <c r="P3067" i="27"/>
  <c r="P3066" i="27"/>
  <c r="P3065" i="27"/>
  <c r="P3064" i="27"/>
  <c r="P3063" i="27"/>
  <c r="P3062" i="27"/>
  <c r="P3061" i="27"/>
  <c r="P3060" i="27"/>
  <c r="P3059" i="27"/>
  <c r="P3058" i="27"/>
  <c r="P3057" i="27"/>
  <c r="P3056" i="27"/>
  <c r="P3055" i="27"/>
  <c r="P3054" i="27"/>
  <c r="P3053" i="27"/>
  <c r="P3052" i="27"/>
  <c r="P3051" i="27"/>
  <c r="P3050" i="27"/>
  <c r="P3049" i="27"/>
  <c r="P3048" i="27"/>
  <c r="P3047" i="27"/>
  <c r="P3046" i="27"/>
  <c r="P3045" i="27"/>
  <c r="P3044" i="27"/>
  <c r="P3043" i="27"/>
  <c r="P3042" i="27"/>
  <c r="P3041" i="27"/>
  <c r="P3040" i="27"/>
  <c r="P3039" i="27"/>
  <c r="P3038" i="27"/>
  <c r="P3037" i="27"/>
  <c r="P3036" i="27"/>
  <c r="P3035" i="27"/>
  <c r="P3034" i="27"/>
  <c r="P3033" i="27"/>
  <c r="P3032" i="27"/>
  <c r="P3031" i="27"/>
  <c r="P3030" i="27"/>
  <c r="P3029" i="27"/>
  <c r="P3028" i="27"/>
  <c r="P3027" i="27"/>
  <c r="P3026" i="27"/>
  <c r="P3025" i="27"/>
  <c r="P3024" i="27"/>
  <c r="P3023" i="27"/>
  <c r="P3022" i="27"/>
  <c r="P3021" i="27"/>
  <c r="P3020" i="27"/>
  <c r="P3019" i="27"/>
  <c r="P3018" i="27"/>
  <c r="P3017" i="27"/>
  <c r="P3016" i="27"/>
  <c r="P3015" i="27"/>
  <c r="P3014" i="27"/>
  <c r="P3013" i="27"/>
  <c r="P3012" i="27"/>
  <c r="P3011" i="27"/>
  <c r="P3010" i="27"/>
  <c r="P3009" i="27"/>
  <c r="P3008" i="27"/>
  <c r="P3007" i="27"/>
  <c r="P3006" i="27"/>
  <c r="P3005" i="27"/>
  <c r="P3004" i="27"/>
  <c r="P3003" i="27"/>
  <c r="P3002" i="27"/>
  <c r="P3001" i="27"/>
  <c r="P3000" i="27"/>
  <c r="P2999" i="27"/>
  <c r="P2998" i="27"/>
  <c r="P2997" i="27"/>
  <c r="P2996" i="27"/>
  <c r="P2995" i="27"/>
  <c r="P2994" i="27"/>
  <c r="P2993" i="27"/>
  <c r="P2992" i="27"/>
  <c r="P2991" i="27"/>
  <c r="P2990" i="27"/>
  <c r="P2989" i="27"/>
  <c r="P2988" i="27"/>
  <c r="P2987" i="27"/>
  <c r="P2986" i="27"/>
  <c r="P2985" i="27"/>
  <c r="P2984" i="27"/>
  <c r="P2983" i="27"/>
  <c r="P2982" i="27"/>
  <c r="P2981" i="27"/>
  <c r="P2980" i="27"/>
  <c r="P2979" i="27"/>
  <c r="P2978" i="27"/>
  <c r="P2977" i="27"/>
  <c r="P2976" i="27"/>
  <c r="P2975" i="27"/>
  <c r="P2974" i="27"/>
  <c r="P2973" i="27"/>
  <c r="P2972" i="27"/>
  <c r="P2971" i="27"/>
  <c r="P2970" i="27"/>
  <c r="P2969" i="27"/>
  <c r="P2968" i="27"/>
  <c r="P2967" i="27"/>
  <c r="P2966" i="27"/>
  <c r="P2965" i="27"/>
  <c r="P2964" i="27"/>
  <c r="P2963" i="27"/>
  <c r="P2962" i="27"/>
  <c r="P2961" i="27"/>
  <c r="P2960" i="27"/>
  <c r="P2959" i="27"/>
  <c r="P2958" i="27"/>
  <c r="P2957" i="27"/>
  <c r="P2956" i="27"/>
  <c r="P2955" i="27"/>
  <c r="P2954" i="27"/>
  <c r="P2953" i="27"/>
  <c r="P2952" i="27"/>
  <c r="P2951" i="27"/>
  <c r="P2950" i="27"/>
  <c r="P2949" i="27"/>
  <c r="P2948" i="27"/>
  <c r="P2947" i="27"/>
  <c r="P2946" i="27"/>
  <c r="P2945" i="27"/>
  <c r="P2944" i="27"/>
  <c r="P2943" i="27"/>
  <c r="P2942" i="27"/>
  <c r="P2941" i="27"/>
  <c r="P2940" i="27"/>
  <c r="P2939" i="27"/>
  <c r="P2938" i="27"/>
  <c r="P2937" i="27"/>
  <c r="P2936" i="27"/>
  <c r="P2935" i="27"/>
  <c r="P2934" i="27"/>
  <c r="P2933" i="27"/>
  <c r="P2932" i="27"/>
  <c r="P2931" i="27"/>
  <c r="P2930" i="27"/>
  <c r="P2929" i="27"/>
  <c r="P2928" i="27"/>
  <c r="P2927" i="27"/>
  <c r="P2926" i="27"/>
  <c r="P2925" i="27"/>
  <c r="P2924" i="27"/>
  <c r="P2923" i="27"/>
  <c r="P2922" i="27"/>
  <c r="P2921" i="27"/>
  <c r="P2920" i="27"/>
  <c r="P2919" i="27"/>
  <c r="P2918" i="27"/>
  <c r="P2917" i="27"/>
  <c r="P2916" i="27"/>
  <c r="P2915" i="27"/>
  <c r="P2914" i="27"/>
  <c r="P2913" i="27"/>
  <c r="P2912" i="27"/>
  <c r="P2911" i="27"/>
  <c r="P2910" i="27"/>
  <c r="P2909" i="27"/>
  <c r="P2908" i="27"/>
  <c r="P2907" i="27"/>
  <c r="P2906" i="27"/>
  <c r="P2905" i="27"/>
  <c r="P2904" i="27"/>
  <c r="P2903" i="27"/>
  <c r="P2902" i="27"/>
  <c r="P2901" i="27"/>
  <c r="P2900" i="27"/>
  <c r="P2899" i="27"/>
  <c r="P2898" i="27"/>
  <c r="P2897" i="27"/>
  <c r="P2896" i="27"/>
  <c r="P2895" i="27"/>
  <c r="P2894" i="27"/>
  <c r="P2893" i="27"/>
  <c r="P2892" i="27"/>
  <c r="P2891" i="27"/>
  <c r="P2890" i="27"/>
  <c r="P2889" i="27"/>
  <c r="P2888" i="27"/>
  <c r="P2887" i="27"/>
  <c r="P2886" i="27"/>
  <c r="P2885" i="27"/>
  <c r="P2884" i="27"/>
  <c r="P2883" i="27"/>
  <c r="P2882" i="27"/>
  <c r="P2881" i="27"/>
  <c r="P2880" i="27"/>
  <c r="P2879" i="27"/>
  <c r="P2878" i="27"/>
  <c r="P2877" i="27"/>
  <c r="P2876" i="27"/>
  <c r="P2875" i="27"/>
  <c r="P2874" i="27"/>
  <c r="P2873" i="27"/>
  <c r="P2872" i="27"/>
  <c r="P2871" i="27"/>
  <c r="P2870" i="27"/>
  <c r="P2869" i="27"/>
  <c r="P2868" i="27"/>
  <c r="P2867" i="27"/>
  <c r="P2866" i="27"/>
  <c r="P2865" i="27"/>
  <c r="P2864" i="27"/>
  <c r="P2863" i="27"/>
  <c r="P2862" i="27"/>
  <c r="P2861" i="27"/>
  <c r="P2860" i="27"/>
  <c r="P2859" i="27"/>
  <c r="P2858" i="27"/>
  <c r="P2857" i="27"/>
  <c r="P2856" i="27"/>
  <c r="P2855" i="27"/>
  <c r="P2854" i="27"/>
  <c r="P2853" i="27"/>
  <c r="P2852" i="27"/>
  <c r="P2851" i="27"/>
  <c r="P2850" i="27"/>
  <c r="P2849" i="27"/>
  <c r="P2848" i="27"/>
  <c r="P2847" i="27"/>
  <c r="P2846" i="27"/>
  <c r="P2845" i="27"/>
  <c r="P2844" i="27"/>
  <c r="P2843" i="27"/>
  <c r="D2843" i="27"/>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C3322" i="27"/>
  <c r="C3321" i="27"/>
  <c r="C3320" i="27"/>
  <c r="C3319" i="27"/>
  <c r="C3318" i="27"/>
  <c r="C3317" i="27"/>
  <c r="C3316" i="27"/>
  <c r="C3315" i="27"/>
  <c r="C3314" i="27"/>
  <c r="C3313" i="27"/>
  <c r="C3312" i="27"/>
  <c r="C3311" i="27"/>
  <c r="C3310" i="27"/>
  <c r="C3309" i="27"/>
  <c r="C3308" i="27"/>
  <c r="C3307" i="27"/>
  <c r="C3306" i="27"/>
  <c r="C3305" i="27"/>
  <c r="C3304" i="27"/>
  <c r="C3303" i="27"/>
  <c r="C3302" i="27"/>
  <c r="C3301" i="27"/>
  <c r="C3300" i="27"/>
  <c r="C3299" i="27"/>
  <c r="C3298" i="27"/>
  <c r="C3297" i="27"/>
  <c r="C3296" i="27"/>
  <c r="C3295" i="27"/>
  <c r="C3294" i="27"/>
  <c r="C3293" i="27"/>
  <c r="C3292" i="27"/>
  <c r="C3291" i="27"/>
  <c r="C3290" i="27"/>
  <c r="C3289" i="27"/>
  <c r="C3288" i="27"/>
  <c r="C3287" i="27"/>
  <c r="C3286" i="27"/>
  <c r="C3285" i="27"/>
  <c r="C3284" i="27"/>
  <c r="C3283" i="27"/>
  <c r="C3282" i="27"/>
  <c r="C3281" i="27"/>
  <c r="C3280" i="27"/>
  <c r="C3279" i="27"/>
  <c r="C3278" i="27"/>
  <c r="C3277" i="27"/>
  <c r="C3276" i="27"/>
  <c r="C3275" i="27"/>
  <c r="C3274" i="27"/>
  <c r="C3273" i="27"/>
  <c r="C3272" i="27"/>
  <c r="C3271" i="27"/>
  <c r="C3270" i="27"/>
  <c r="C3269" i="27"/>
  <c r="C3268" i="27"/>
  <c r="C3267" i="27"/>
  <c r="C3266" i="27"/>
  <c r="C3265" i="27"/>
  <c r="C3264" i="27"/>
  <c r="C3263" i="27"/>
  <c r="C3262" i="27"/>
  <c r="C3261" i="27"/>
  <c r="C3260" i="27"/>
  <c r="C3259" i="27"/>
  <c r="C3258" i="27"/>
  <c r="C3257" i="27"/>
  <c r="C3256" i="27"/>
  <c r="C3255" i="27"/>
  <c r="C3254" i="27"/>
  <c r="C3253" i="27"/>
  <c r="C3252" i="27"/>
  <c r="C3251" i="27"/>
  <c r="C3250" i="27"/>
  <c r="C3249" i="27"/>
  <c r="C3248" i="27"/>
  <c r="C3247" i="27"/>
  <c r="C3246" i="27"/>
  <c r="C3245" i="27"/>
  <c r="C3244" i="27"/>
  <c r="C3243" i="27"/>
  <c r="C3242" i="27"/>
  <c r="C3241" i="27"/>
  <c r="C3240" i="27"/>
  <c r="C3239" i="27"/>
  <c r="C3238" i="27"/>
  <c r="C3237" i="27"/>
  <c r="C3236" i="27"/>
  <c r="C3235" i="27"/>
  <c r="C3234" i="27"/>
  <c r="C3233" i="27"/>
  <c r="C3232" i="27"/>
  <c r="C3231" i="27"/>
  <c r="C3230" i="27"/>
  <c r="C3229" i="27"/>
  <c r="C3228" i="27"/>
  <c r="C3227" i="27"/>
  <c r="C3226" i="27"/>
  <c r="C3225" i="27"/>
  <c r="C3224" i="27"/>
  <c r="C3223" i="27"/>
  <c r="C3222" i="27"/>
  <c r="C3221" i="27"/>
  <c r="C3220" i="27"/>
  <c r="C3219" i="27"/>
  <c r="C3218" i="27"/>
  <c r="C3217" i="27"/>
  <c r="C3216" i="27"/>
  <c r="C3215" i="27"/>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B3288" i="27"/>
  <c r="B3287" i="27"/>
  <c r="B3286" i="27"/>
  <c r="B3285" i="27"/>
  <c r="B3284" i="27"/>
  <c r="B3283" i="27"/>
  <c r="B3282" i="27"/>
  <c r="B3281" i="27"/>
  <c r="B3280" i="27"/>
  <c r="B3279" i="27"/>
  <c r="B3278" i="27"/>
  <c r="B3277" i="27"/>
  <c r="B3276" i="27"/>
  <c r="B3275" i="27"/>
  <c r="B3274" i="27"/>
  <c r="B3273" i="27"/>
  <c r="B3272" i="27"/>
  <c r="B3271" i="27"/>
  <c r="B3270" i="27"/>
  <c r="B3269" i="27"/>
  <c r="B3268" i="27"/>
  <c r="B3267" i="27"/>
  <c r="B3266" i="27"/>
  <c r="B3265" i="27"/>
  <c r="B3264" i="27"/>
  <c r="B3263" i="27"/>
  <c r="B3262" i="27"/>
  <c r="B3261" i="27"/>
  <c r="B3260" i="27"/>
  <c r="B3259" i="27"/>
  <c r="B3258" i="27"/>
  <c r="B3257" i="27"/>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P2363" i="27"/>
  <c r="P2364" i="27" s="1"/>
  <c r="P2365" i="27" s="1"/>
  <c r="P2366" i="27" s="1"/>
  <c r="P2367" i="27" s="1"/>
  <c r="P2368" i="27" s="1"/>
  <c r="P2369" i="27" s="1"/>
  <c r="P2370" i="27" s="1"/>
  <c r="P2371" i="27" s="1"/>
  <c r="P2372" i="27" s="1"/>
  <c r="P2373" i="27" s="1"/>
  <c r="P2374" i="27" s="1"/>
  <c r="P2375" i="27" s="1"/>
  <c r="P2376" i="27" s="1"/>
  <c r="P2377" i="27" s="1"/>
  <c r="P2378" i="27" s="1"/>
  <c r="P2379" i="27" s="1"/>
  <c r="P2380" i="27" s="1"/>
  <c r="P2381" i="27" s="1"/>
  <c r="P2382" i="27" s="1"/>
  <c r="P2383" i="27" s="1"/>
  <c r="P2384" i="27" s="1"/>
  <c r="P2385" i="27" s="1"/>
  <c r="P2386" i="27" s="1"/>
  <c r="P2387" i="27" s="1"/>
  <c r="P2388" i="27" s="1"/>
  <c r="P2389" i="27" s="1"/>
  <c r="P2390" i="27" s="1"/>
  <c r="P2391" i="27" s="1"/>
  <c r="P2392" i="27" s="1"/>
  <c r="P2393" i="27" s="1"/>
  <c r="P2394" i="27" s="1"/>
  <c r="P2395" i="27" s="1"/>
  <c r="P2396" i="27" s="1"/>
  <c r="P2397" i="27" s="1"/>
  <c r="P2398" i="27" s="1"/>
  <c r="P2399" i="27" s="1"/>
  <c r="P2400" i="27" s="1"/>
  <c r="P2401" i="27" s="1"/>
  <c r="P2402" i="27" s="1"/>
  <c r="P2403" i="27" s="1"/>
  <c r="P2404" i="27" s="1"/>
  <c r="P2405" i="27" s="1"/>
  <c r="P2406" i="27" s="1"/>
  <c r="P2407" i="27" s="1"/>
  <c r="P2408" i="27" s="1"/>
  <c r="P2409" i="27" s="1"/>
  <c r="P2410" i="27" s="1"/>
  <c r="P2411" i="27" s="1"/>
  <c r="P2412" i="27" s="1"/>
  <c r="P2413" i="27" s="1"/>
  <c r="P2414" i="27" s="1"/>
  <c r="P2415" i="27" s="1"/>
  <c r="P2416" i="27" s="1"/>
  <c r="P2417" i="27" s="1"/>
  <c r="P2418" i="27" s="1"/>
  <c r="P2419" i="27" s="1"/>
  <c r="P2420" i="27" s="1"/>
  <c r="P2421" i="27" s="1"/>
  <c r="P2422" i="27" s="1"/>
  <c r="P2423" i="27" s="1"/>
  <c r="P2424" i="27" s="1"/>
  <c r="P2425" i="27" s="1"/>
  <c r="P2426" i="27" s="1"/>
  <c r="P2427" i="27" s="1"/>
  <c r="P2428" i="27" s="1"/>
  <c r="P2429" i="27" s="1"/>
  <c r="P2430" i="27" s="1"/>
  <c r="P2431" i="27" s="1"/>
  <c r="P2432" i="27" s="1"/>
  <c r="P2433" i="27" s="1"/>
  <c r="P2434" i="27" s="1"/>
  <c r="P2435" i="27" s="1"/>
  <c r="P2436" i="27" s="1"/>
  <c r="P2437" i="27" s="1"/>
  <c r="P2438" i="27" s="1"/>
  <c r="P2439" i="27" s="1"/>
  <c r="P2440" i="27" s="1"/>
  <c r="P2441" i="27" s="1"/>
  <c r="P2442" i="27" s="1"/>
  <c r="P2443" i="27" s="1"/>
  <c r="P2444" i="27" s="1"/>
  <c r="P2445" i="27" s="1"/>
  <c r="P2446" i="27" s="1"/>
  <c r="P2447" i="27" s="1"/>
  <c r="P2448" i="27" s="1"/>
  <c r="P2449" i="27" s="1"/>
  <c r="P2450" i="27" s="1"/>
  <c r="P2451" i="27" s="1"/>
  <c r="P2452" i="27" s="1"/>
  <c r="P2453" i="27" s="1"/>
  <c r="P2454" i="27" s="1"/>
  <c r="P2455" i="27" s="1"/>
  <c r="P2456" i="27" s="1"/>
  <c r="P2457" i="27" s="1"/>
  <c r="P2458" i="27" s="1"/>
  <c r="P2459" i="27" s="1"/>
  <c r="P2460" i="27" s="1"/>
  <c r="P2461" i="27" s="1"/>
  <c r="P2462" i="27" s="1"/>
  <c r="P2463" i="27" s="1"/>
  <c r="P2464" i="27" s="1"/>
  <c r="P2465" i="27" s="1"/>
  <c r="P2466" i="27" s="1"/>
  <c r="P2467" i="27" s="1"/>
  <c r="P2468" i="27" s="1"/>
  <c r="P2469" i="27" s="1"/>
  <c r="P2470" i="27" s="1"/>
  <c r="P2471" i="27" s="1"/>
  <c r="P2472" i="27" s="1"/>
  <c r="P2473" i="27" s="1"/>
  <c r="P2474" i="27" s="1"/>
  <c r="P2475" i="27" s="1"/>
  <c r="P2476" i="27" s="1"/>
  <c r="P2477" i="27" s="1"/>
  <c r="P2478" i="27" s="1"/>
  <c r="P2479" i="27" s="1"/>
  <c r="P2480" i="27" s="1"/>
  <c r="P2481" i="27" s="1"/>
  <c r="P2482" i="27" s="1"/>
  <c r="P2483" i="27" s="1"/>
  <c r="P2484" i="27" s="1"/>
  <c r="P2485" i="27" s="1"/>
  <c r="P2486" i="27" s="1"/>
  <c r="P2487" i="27" s="1"/>
  <c r="P2488" i="27" s="1"/>
  <c r="P2489" i="27" s="1"/>
  <c r="P2490" i="27" s="1"/>
  <c r="P2491" i="27" s="1"/>
  <c r="P2492" i="27" s="1"/>
  <c r="P2493" i="27" s="1"/>
  <c r="P2494" i="27" s="1"/>
  <c r="P2495" i="27" s="1"/>
  <c r="P2496" i="27" s="1"/>
  <c r="P2497" i="27" s="1"/>
  <c r="P2498" i="27" s="1"/>
  <c r="P2499" i="27" s="1"/>
  <c r="P2500" i="27" s="1"/>
  <c r="P2501" i="27" s="1"/>
  <c r="P2502" i="27" s="1"/>
  <c r="P2503" i="27" s="1"/>
  <c r="P2504" i="27" s="1"/>
  <c r="P2505" i="27" s="1"/>
  <c r="P2506" i="27" s="1"/>
  <c r="P2507" i="27" s="1"/>
  <c r="P2508" i="27" s="1"/>
  <c r="P2509" i="27" s="1"/>
  <c r="P2510" i="27" s="1"/>
  <c r="P2511" i="27" s="1"/>
  <c r="P2512" i="27" s="1"/>
  <c r="P2513" i="27" s="1"/>
  <c r="P2514" i="27" s="1"/>
  <c r="P2515" i="27" s="1"/>
  <c r="P2516" i="27" s="1"/>
  <c r="P2517" i="27" s="1"/>
  <c r="P2518" i="27" s="1"/>
  <c r="P2519" i="27" s="1"/>
  <c r="P2520" i="27" s="1"/>
  <c r="P2521" i="27" s="1"/>
  <c r="P2522" i="27" s="1"/>
  <c r="P2523" i="27" s="1"/>
  <c r="P2524" i="27" s="1"/>
  <c r="P2525" i="27" s="1"/>
  <c r="P2526" i="27" s="1"/>
  <c r="P2527" i="27" s="1"/>
  <c r="P2528" i="27" s="1"/>
  <c r="P2529" i="27" s="1"/>
  <c r="P2530" i="27" s="1"/>
  <c r="P2531" i="27" s="1"/>
  <c r="P2532" i="27" s="1"/>
  <c r="P2533" i="27" s="1"/>
  <c r="P2534" i="27" s="1"/>
  <c r="P2535" i="27" s="1"/>
  <c r="P2536" i="27" s="1"/>
  <c r="P2537" i="27" s="1"/>
  <c r="P2538" i="27" s="1"/>
  <c r="P2539" i="27" s="1"/>
  <c r="P2540" i="27" s="1"/>
  <c r="P2541" i="27" s="1"/>
  <c r="P2542" i="27" s="1"/>
  <c r="P2543" i="27" s="1"/>
  <c r="P2544" i="27" s="1"/>
  <c r="P2545" i="27" s="1"/>
  <c r="P2546" i="27" s="1"/>
  <c r="P2547" i="27" s="1"/>
  <c r="P2548" i="27" s="1"/>
  <c r="P2549" i="27" s="1"/>
  <c r="P2550" i="27" s="1"/>
  <c r="P2551" i="27" s="1"/>
  <c r="P2552" i="27" s="1"/>
  <c r="P2553" i="27" s="1"/>
  <c r="P2554" i="27" s="1"/>
  <c r="P2555" i="27" s="1"/>
  <c r="P2556" i="27" s="1"/>
  <c r="P2557" i="27" s="1"/>
  <c r="P2558" i="27" s="1"/>
  <c r="P2559" i="27" s="1"/>
  <c r="P2560" i="27" s="1"/>
  <c r="P2561" i="27" s="1"/>
  <c r="P2562" i="27" s="1"/>
  <c r="P2563" i="27" s="1"/>
  <c r="P2564" i="27" s="1"/>
  <c r="P2565" i="27" s="1"/>
  <c r="P2566" i="27" s="1"/>
  <c r="P2567" i="27" s="1"/>
  <c r="P2568" i="27" s="1"/>
  <c r="P2569" i="27" s="1"/>
  <c r="P2570" i="27" s="1"/>
  <c r="P2571" i="27" s="1"/>
  <c r="P2572" i="27" s="1"/>
  <c r="P2573" i="27" s="1"/>
  <c r="P2574" i="27" s="1"/>
  <c r="P2575" i="27" s="1"/>
  <c r="P2576" i="27" s="1"/>
  <c r="P2577" i="27" s="1"/>
  <c r="P2578" i="27" s="1"/>
  <c r="P2579" i="27" s="1"/>
  <c r="P2580" i="27" s="1"/>
  <c r="P2581" i="27" s="1"/>
  <c r="P2582" i="27" s="1"/>
  <c r="P2583" i="27" s="1"/>
  <c r="P2584" i="27" s="1"/>
  <c r="P2585" i="27" s="1"/>
  <c r="P2586" i="27" s="1"/>
  <c r="P2587" i="27" s="1"/>
  <c r="P2588" i="27" s="1"/>
  <c r="P2589" i="27" s="1"/>
  <c r="P2590" i="27" s="1"/>
  <c r="P2591" i="27" s="1"/>
  <c r="P2592" i="27" s="1"/>
  <c r="P2593" i="27" s="1"/>
  <c r="P2594" i="27" s="1"/>
  <c r="P2595" i="27" s="1"/>
  <c r="P2596" i="27" s="1"/>
  <c r="P2597" i="27" s="1"/>
  <c r="P2598" i="27" s="1"/>
  <c r="P2599" i="27" s="1"/>
  <c r="P2600" i="27" s="1"/>
  <c r="P2601" i="27" s="1"/>
  <c r="P2602" i="27" s="1"/>
  <c r="P2603" i="27" s="1"/>
  <c r="P2604" i="27" s="1"/>
  <c r="P2605" i="27" s="1"/>
  <c r="P2606" i="27" s="1"/>
  <c r="P2607" i="27" s="1"/>
  <c r="P2608" i="27" s="1"/>
  <c r="P2609" i="27" s="1"/>
  <c r="P2610" i="27" s="1"/>
  <c r="P2611" i="27" s="1"/>
  <c r="P2612" i="27" s="1"/>
  <c r="P2613" i="27" s="1"/>
  <c r="P2614" i="27" s="1"/>
  <c r="P2615" i="27" s="1"/>
  <c r="P2616" i="27" s="1"/>
  <c r="P2617" i="27" s="1"/>
  <c r="P2618" i="27" s="1"/>
  <c r="P2619" i="27" s="1"/>
  <c r="P2620" i="27" s="1"/>
  <c r="P2621" i="27" s="1"/>
  <c r="P2622" i="27" s="1"/>
  <c r="P2623" i="27" s="1"/>
  <c r="P2624" i="27" s="1"/>
  <c r="P2625" i="27" s="1"/>
  <c r="P2626" i="27" s="1"/>
  <c r="P2627" i="27" s="1"/>
  <c r="P2628" i="27" s="1"/>
  <c r="P2629" i="27" s="1"/>
  <c r="P2630" i="27" s="1"/>
  <c r="P2631" i="27" s="1"/>
  <c r="P2632" i="27" s="1"/>
  <c r="P2633" i="27" s="1"/>
  <c r="P2634" i="27" s="1"/>
  <c r="P2635" i="27" s="1"/>
  <c r="P2636" i="27" s="1"/>
  <c r="P2637" i="27" s="1"/>
  <c r="P2638" i="27" s="1"/>
  <c r="P2639" i="27" s="1"/>
  <c r="P2640" i="27" s="1"/>
  <c r="P2641" i="27" s="1"/>
  <c r="P2642" i="27" s="1"/>
  <c r="P2643" i="27" s="1"/>
  <c r="P2644" i="27" s="1"/>
  <c r="P2645" i="27" s="1"/>
  <c r="P2646" i="27" s="1"/>
  <c r="P2647" i="27" s="1"/>
  <c r="P2648" i="27" s="1"/>
  <c r="P2649" i="27" s="1"/>
  <c r="P2650" i="27" s="1"/>
  <c r="P2651" i="27" s="1"/>
  <c r="P2652" i="27" s="1"/>
  <c r="P2653" i="27" s="1"/>
  <c r="P2654" i="27" s="1"/>
  <c r="P2655" i="27" s="1"/>
  <c r="P2656" i="27" s="1"/>
  <c r="P2657" i="27" s="1"/>
  <c r="P2658" i="27" s="1"/>
  <c r="P2659" i="27" s="1"/>
  <c r="P2660" i="27" s="1"/>
  <c r="P2661" i="27" s="1"/>
  <c r="P2662" i="27" s="1"/>
  <c r="P2663" i="27" s="1"/>
  <c r="P2664" i="27" s="1"/>
  <c r="P2665" i="27" s="1"/>
  <c r="P2666" i="27" s="1"/>
  <c r="P2667" i="27" s="1"/>
  <c r="P2668" i="27" s="1"/>
  <c r="P2669" i="27" s="1"/>
  <c r="P2670" i="27" s="1"/>
  <c r="P2671" i="27" s="1"/>
  <c r="P2672" i="27" s="1"/>
  <c r="P2673" i="27" s="1"/>
  <c r="P2674" i="27" s="1"/>
  <c r="P2675" i="27" s="1"/>
  <c r="P2676" i="27" s="1"/>
  <c r="P2677" i="27" s="1"/>
  <c r="P2678" i="27" s="1"/>
  <c r="P2679" i="27" s="1"/>
  <c r="P2680" i="27" s="1"/>
  <c r="P2681" i="27" s="1"/>
  <c r="P2682" i="27" s="1"/>
  <c r="P2683" i="27" s="1"/>
  <c r="P2684" i="27" s="1"/>
  <c r="P2685" i="27" s="1"/>
  <c r="P2686" i="27" s="1"/>
  <c r="P2687" i="27" s="1"/>
  <c r="P2688" i="27" s="1"/>
  <c r="P2689" i="27" s="1"/>
  <c r="P2690" i="27" s="1"/>
  <c r="P2691" i="27" s="1"/>
  <c r="P2692" i="27" s="1"/>
  <c r="P2693" i="27" s="1"/>
  <c r="P2694" i="27" s="1"/>
  <c r="P2695" i="27" s="1"/>
  <c r="P2696" i="27" s="1"/>
  <c r="P2697" i="27" s="1"/>
  <c r="P2698" i="27" s="1"/>
  <c r="P2699" i="27" s="1"/>
  <c r="P2700" i="27" s="1"/>
  <c r="P2701" i="27" s="1"/>
  <c r="P2702" i="27" s="1"/>
  <c r="P2703" i="27" s="1"/>
  <c r="P2704" i="27" s="1"/>
  <c r="P2705" i="27" s="1"/>
  <c r="P2706" i="27" s="1"/>
  <c r="P2707" i="27" s="1"/>
  <c r="P2708" i="27" s="1"/>
  <c r="P2709" i="27" s="1"/>
  <c r="P2710" i="27" s="1"/>
  <c r="P2711" i="27" s="1"/>
  <c r="P2712" i="27" s="1"/>
  <c r="P2713" i="27" s="1"/>
  <c r="P2714" i="27" s="1"/>
  <c r="P2715" i="27" s="1"/>
  <c r="P2716" i="27" s="1"/>
  <c r="P2717" i="27" s="1"/>
  <c r="P2718" i="27" s="1"/>
  <c r="P2719" i="27" s="1"/>
  <c r="P2720" i="27" s="1"/>
  <c r="P2721" i="27" s="1"/>
  <c r="P2722" i="27" s="1"/>
  <c r="P2723" i="27" s="1"/>
  <c r="P2724" i="27" s="1"/>
  <c r="P2725" i="27" s="1"/>
  <c r="P2726" i="27" s="1"/>
  <c r="P2727" i="27" s="1"/>
  <c r="P2728" i="27" s="1"/>
  <c r="P2729" i="27" s="1"/>
  <c r="P2730" i="27" s="1"/>
  <c r="P2731" i="27" s="1"/>
  <c r="P2732" i="27" s="1"/>
  <c r="P2733" i="27" s="1"/>
  <c r="P2734" i="27" s="1"/>
  <c r="P2735" i="27" s="1"/>
  <c r="P2736" i="27" s="1"/>
  <c r="P2737" i="27" s="1"/>
  <c r="P2738" i="27" s="1"/>
  <c r="P2739" i="27" s="1"/>
  <c r="P2740" i="27" s="1"/>
  <c r="P2741" i="27" s="1"/>
  <c r="P2742" i="27" s="1"/>
  <c r="P2743" i="27" s="1"/>
  <c r="P2744" i="27" s="1"/>
  <c r="P2745" i="27" s="1"/>
  <c r="P2746" i="27" s="1"/>
  <c r="P2747" i="27" s="1"/>
  <c r="P2748" i="27" s="1"/>
  <c r="P2749" i="27" s="1"/>
  <c r="P2750" i="27" s="1"/>
  <c r="P2751" i="27" s="1"/>
  <c r="P2752" i="27" s="1"/>
  <c r="P2753" i="27" s="1"/>
  <c r="P2754" i="27" s="1"/>
  <c r="P2755" i="27" s="1"/>
  <c r="P2756" i="27" s="1"/>
  <c r="P2757" i="27" s="1"/>
  <c r="P2758" i="27" s="1"/>
  <c r="P2759" i="27" s="1"/>
  <c r="P2760" i="27" s="1"/>
  <c r="P2761" i="27" s="1"/>
  <c r="P2762" i="27" s="1"/>
  <c r="P2763" i="27" s="1"/>
  <c r="P2764" i="27" s="1"/>
  <c r="P2765" i="27" s="1"/>
  <c r="P2766" i="27" s="1"/>
  <c r="P2767" i="27" s="1"/>
  <c r="P2768" i="27" s="1"/>
  <c r="P2769" i="27" s="1"/>
  <c r="P2770" i="27" s="1"/>
  <c r="P2771" i="27" s="1"/>
  <c r="P2772" i="27" s="1"/>
  <c r="P2773" i="27" s="1"/>
  <c r="P2774" i="27" s="1"/>
  <c r="P2775" i="27" s="1"/>
  <c r="P2776" i="27" s="1"/>
  <c r="P2777" i="27" s="1"/>
  <c r="P2778" i="27" s="1"/>
  <c r="P2779" i="27" s="1"/>
  <c r="P2780" i="27" s="1"/>
  <c r="P2781" i="27" s="1"/>
  <c r="P2782" i="27" s="1"/>
  <c r="P2783" i="27" s="1"/>
  <c r="P2784" i="27" s="1"/>
  <c r="P2785" i="27" s="1"/>
  <c r="P2786" i="27" s="1"/>
  <c r="P2787" i="27" s="1"/>
  <c r="P2788" i="27" s="1"/>
  <c r="P2789" i="27" s="1"/>
  <c r="P2790" i="27" s="1"/>
  <c r="P2791" i="27" s="1"/>
  <c r="P2792" i="27" s="1"/>
  <c r="P2793" i="27" s="1"/>
  <c r="P2794" i="27" s="1"/>
  <c r="P2795" i="27" s="1"/>
  <c r="P2796" i="27" s="1"/>
  <c r="P2797" i="27" s="1"/>
  <c r="P2798" i="27" s="1"/>
  <c r="P2799" i="27" s="1"/>
  <c r="P2800" i="27" s="1"/>
  <c r="P2801" i="27" s="1"/>
  <c r="P2802" i="27" s="1"/>
  <c r="P2803" i="27" s="1"/>
  <c r="P2804" i="27" s="1"/>
  <c r="P2805" i="27" s="1"/>
  <c r="P2806" i="27" s="1"/>
  <c r="P2807" i="27" s="1"/>
  <c r="P2808" i="27" s="1"/>
  <c r="P2809" i="27" s="1"/>
  <c r="P2810" i="27" s="1"/>
  <c r="P2811" i="27" s="1"/>
  <c r="P2812" i="27" s="1"/>
  <c r="P2813" i="27" s="1"/>
  <c r="P2814" i="27" s="1"/>
  <c r="P2815" i="27" s="1"/>
  <c r="P2816" i="27" s="1"/>
  <c r="P2817" i="27" s="1"/>
  <c r="P2818" i="27" s="1"/>
  <c r="P2819" i="27" s="1"/>
  <c r="P2820" i="27" s="1"/>
  <c r="P2821" i="27" s="1"/>
  <c r="P2822" i="27" s="1"/>
  <c r="P2823" i="27" s="1"/>
  <c r="P2824" i="27" s="1"/>
  <c r="P2825" i="27" s="1"/>
  <c r="P2826" i="27" s="1"/>
  <c r="P2827" i="27" s="1"/>
  <c r="P2828" i="27" s="1"/>
  <c r="P2829" i="27" s="1"/>
  <c r="P2830" i="27" s="1"/>
  <c r="P2831" i="27" s="1"/>
  <c r="P2832" i="27" s="1"/>
  <c r="P2833" i="27" s="1"/>
  <c r="P2834" i="27" s="1"/>
  <c r="P2835" i="27" s="1"/>
  <c r="P2836" i="27" s="1"/>
  <c r="P2837" i="27" s="1"/>
  <c r="P2838" i="27" s="1"/>
  <c r="P2839" i="27" s="1"/>
  <c r="P2840" i="27" s="1"/>
  <c r="P2841" i="27" s="1"/>
  <c r="P2842" i="27" s="1"/>
  <c r="F2368" i="27"/>
  <c r="F2367" i="27"/>
  <c r="F2366" i="27"/>
  <c r="F2365" i="27"/>
  <c r="F2364" i="27"/>
  <c r="F2363" i="27"/>
  <c r="E2842" i="27"/>
  <c r="E2841" i="27"/>
  <c r="E2840" i="27"/>
  <c r="E2839" i="27"/>
  <c r="E2838" i="27"/>
  <c r="E2837" i="27"/>
  <c r="E2836" i="27"/>
  <c r="E2835" i="27"/>
  <c r="E2834" i="27"/>
  <c r="E2833" i="27"/>
  <c r="E2832" i="27"/>
  <c r="E2831" i="27"/>
  <c r="E2830" i="27"/>
  <c r="E2829" i="27"/>
  <c r="E2828" i="27"/>
  <c r="E2827" i="27"/>
  <c r="E2826" i="27"/>
  <c r="E2825" i="27"/>
  <c r="E2824" i="27"/>
  <c r="E2823" i="27"/>
  <c r="E2822" i="27"/>
  <c r="E2821" i="27"/>
  <c r="E2820" i="27"/>
  <c r="E2819" i="27"/>
  <c r="E2818" i="27"/>
  <c r="E2817" i="27"/>
  <c r="E2816" i="27"/>
  <c r="E2815" i="27"/>
  <c r="E2814" i="27"/>
  <c r="E2813" i="27"/>
  <c r="E2812" i="27"/>
  <c r="E2811" i="27"/>
  <c r="E2810" i="27"/>
  <c r="E2809" i="27"/>
  <c r="E2808" i="27"/>
  <c r="E2807" i="27"/>
  <c r="E2806" i="27"/>
  <c r="E2805" i="27"/>
  <c r="E2804" i="27"/>
  <c r="E2803" i="27"/>
  <c r="E2802" i="27"/>
  <c r="E2801" i="27"/>
  <c r="E2800" i="27"/>
  <c r="E2799" i="27"/>
  <c r="E2798" i="27"/>
  <c r="E2797" i="27"/>
  <c r="E2796" i="27"/>
  <c r="E2795" i="27"/>
  <c r="E2794" i="27"/>
  <c r="E2793" i="27"/>
  <c r="E2792" i="27"/>
  <c r="E2791" i="27"/>
  <c r="E2790" i="27"/>
  <c r="E2789" i="27"/>
  <c r="E2788" i="27"/>
  <c r="E2787" i="27"/>
  <c r="E2786" i="27"/>
  <c r="E2785" i="27"/>
  <c r="E2784" i="27"/>
  <c r="E2783" i="27"/>
  <c r="E2782" i="27"/>
  <c r="E2781" i="27"/>
  <c r="E2780" i="27"/>
  <c r="E2779" i="27"/>
  <c r="E2778" i="27"/>
  <c r="E2777" i="27"/>
  <c r="E2776" i="27"/>
  <c r="E2775" i="27"/>
  <c r="E2774" i="27"/>
  <c r="E2773" i="27"/>
  <c r="E2772" i="27"/>
  <c r="E2771" i="27"/>
  <c r="E2770" i="27"/>
  <c r="E2769" i="27"/>
  <c r="E2768" i="27"/>
  <c r="E2767" i="27"/>
  <c r="E2766" i="27"/>
  <c r="E2765" i="27"/>
  <c r="E2764" i="27"/>
  <c r="E2763" i="27"/>
  <c r="E2762" i="27"/>
  <c r="E2761" i="27"/>
  <c r="E2760" i="27"/>
  <c r="E2759" i="27"/>
  <c r="E2758" i="27"/>
  <c r="E2757" i="27"/>
  <c r="E2756" i="27"/>
  <c r="E2755" i="27"/>
  <c r="E2754" i="27"/>
  <c r="E2753" i="27"/>
  <c r="E2752" i="27"/>
  <c r="E2751" i="27"/>
  <c r="E2750" i="27"/>
  <c r="E2749" i="27"/>
  <c r="E2748" i="27"/>
  <c r="E2747" i="27"/>
  <c r="E2746" i="27"/>
  <c r="E2745" i="27"/>
  <c r="E2744" i="27"/>
  <c r="E2743" i="27"/>
  <c r="E2742" i="27"/>
  <c r="E2741" i="27"/>
  <c r="E2740" i="27"/>
  <c r="E2739" i="27"/>
  <c r="E2738" i="27"/>
  <c r="E2737" i="27"/>
  <c r="E273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E2532" i="27"/>
  <c r="E2531" i="27"/>
  <c r="E2530" i="27"/>
  <c r="E2529" i="27"/>
  <c r="E2528" i="27"/>
  <c r="E2527" i="27"/>
  <c r="E2526" i="27"/>
  <c r="E2525" i="27"/>
  <c r="E2524" i="27"/>
  <c r="E2523" i="27"/>
  <c r="E2522" i="27"/>
  <c r="E2521" i="27"/>
  <c r="E2520" i="27"/>
  <c r="E2519" i="27"/>
  <c r="E2518" i="27"/>
  <c r="E2517" i="27"/>
  <c r="E2516" i="27"/>
  <c r="E2515" i="27"/>
  <c r="E2514" i="27"/>
  <c r="E2513" i="27"/>
  <c r="E2512" i="27"/>
  <c r="E2511" i="27"/>
  <c r="E2510" i="27"/>
  <c r="E2509" i="27"/>
  <c r="E2508" i="27"/>
  <c r="E2507" i="27"/>
  <c r="E2506" i="27"/>
  <c r="E2505" i="27"/>
  <c r="E2504" i="27"/>
  <c r="E2503" i="27"/>
  <c r="E2502" i="27"/>
  <c r="E2501" i="27"/>
  <c r="E2500" i="27"/>
  <c r="E2499" i="27"/>
  <c r="E2498" i="27"/>
  <c r="E2497" i="27"/>
  <c r="E2496" i="27"/>
  <c r="E2495" i="27"/>
  <c r="E2494" i="27"/>
  <c r="E2493" i="27"/>
  <c r="E2492" i="27"/>
  <c r="E2491" i="27"/>
  <c r="E2490" i="27"/>
  <c r="E2489" i="27"/>
  <c r="E2488" i="27"/>
  <c r="E2487" i="27"/>
  <c r="E2486" i="27"/>
  <c r="E2485" i="27"/>
  <c r="E2484" i="27"/>
  <c r="E2483" i="27"/>
  <c r="E2482" i="27"/>
  <c r="E2481" i="27"/>
  <c r="E2480" i="27"/>
  <c r="E2479" i="27"/>
  <c r="E2478" i="27"/>
  <c r="E2477" i="27"/>
  <c r="E2476" i="27"/>
  <c r="E2475" i="27"/>
  <c r="E2474" i="27"/>
  <c r="E2473" i="27"/>
  <c r="E2472" i="27"/>
  <c r="E2471" i="27"/>
  <c r="E2470" i="27"/>
  <c r="E2469" i="27"/>
  <c r="E2468" i="27"/>
  <c r="E2467" i="27"/>
  <c r="E2466" i="27"/>
  <c r="E2465" i="27"/>
  <c r="E2464" i="27"/>
  <c r="E2463" i="27"/>
  <c r="E2462" i="27"/>
  <c r="E2461" i="27"/>
  <c r="E2460" i="27"/>
  <c r="E2459" i="27"/>
  <c r="E2458" i="27"/>
  <c r="E2457" i="27"/>
  <c r="E2456" i="27"/>
  <c r="E2455" i="27"/>
  <c r="E2454" i="27"/>
  <c r="E2453" i="27"/>
  <c r="E2452" i="27"/>
  <c r="E2451" i="27"/>
  <c r="E2450" i="27"/>
  <c r="E2449" i="27"/>
  <c r="E2448" i="27"/>
  <c r="E2447" i="27"/>
  <c r="E2446" i="27"/>
  <c r="E2445" i="27"/>
  <c r="E2444" i="27"/>
  <c r="E2443" i="27"/>
  <c r="E2442" i="27"/>
  <c r="E2441" i="27"/>
  <c r="E2440" i="27"/>
  <c r="E2439" i="27"/>
  <c r="E2438" i="27"/>
  <c r="E2437" i="27"/>
  <c r="E2436" i="27"/>
  <c r="E2435" i="27"/>
  <c r="E2434" i="27"/>
  <c r="E2433" i="27"/>
  <c r="E2432" i="27"/>
  <c r="E2431" i="27"/>
  <c r="E2430" i="27"/>
  <c r="E2429" i="27"/>
  <c r="E2428" i="27"/>
  <c r="E2427" i="27"/>
  <c r="E2426" i="27"/>
  <c r="E2425" i="27"/>
  <c r="E2424" i="27"/>
  <c r="E2423" i="27"/>
  <c r="E2422" i="27"/>
  <c r="E2421" i="27"/>
  <c r="E2420" i="27"/>
  <c r="E2419" i="27"/>
  <c r="E2418" i="27"/>
  <c r="E2417" i="27"/>
  <c r="E2416" i="27"/>
  <c r="E2415" i="27"/>
  <c r="E2414" i="27"/>
  <c r="E2413" i="27"/>
  <c r="E2412" i="27"/>
  <c r="E2411" i="27"/>
  <c r="E2410" i="27"/>
  <c r="E2409" i="27"/>
  <c r="E2408" i="27"/>
  <c r="E2407" i="27"/>
  <c r="E2406" i="27"/>
  <c r="E2405" i="27"/>
  <c r="E2404" i="27"/>
  <c r="E2403" i="27"/>
  <c r="E2402" i="27"/>
  <c r="E2401" i="27"/>
  <c r="E2400" i="27"/>
  <c r="E2399" i="27"/>
  <c r="E2398" i="27"/>
  <c r="E2397" i="27"/>
  <c r="E2396" i="27"/>
  <c r="E2395" i="27"/>
  <c r="E2394" i="27"/>
  <c r="E2393" i="27"/>
  <c r="E2392" i="27"/>
  <c r="E2391" i="27"/>
  <c r="E2390" i="27"/>
  <c r="E2389" i="27"/>
  <c r="E2388" i="27"/>
  <c r="E2387" i="27"/>
  <c r="E2386" i="27"/>
  <c r="E2385" i="27"/>
  <c r="E2384" i="27"/>
  <c r="E2383" i="27"/>
  <c r="E2382" i="27"/>
  <c r="E2381" i="27"/>
  <c r="E2380" i="27"/>
  <c r="E2379" i="27"/>
  <c r="E2378" i="27"/>
  <c r="E2377" i="27"/>
  <c r="E2376" i="27"/>
  <c r="E2375" i="27"/>
  <c r="E2374" i="27"/>
  <c r="E2373" i="27"/>
  <c r="E2372" i="27"/>
  <c r="E2371" i="27"/>
  <c r="E2370" i="27"/>
  <c r="E2369" i="27"/>
  <c r="E2368" i="27"/>
  <c r="D2363" i="27"/>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094" i="27"/>
  <c r="C2093" i="27"/>
  <c r="C2092" i="27"/>
  <c r="C2091" i="27"/>
  <c r="C2090" i="27"/>
  <c r="C2089" i="27"/>
  <c r="C2088" i="27"/>
  <c r="C2087" i="27"/>
  <c r="C2086" i="27"/>
  <c r="C2085"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H2277" i="27"/>
  <c r="H2278" i="27" s="1"/>
  <c r="H2279" i="27" s="1"/>
  <c r="H2280" i="27" s="1"/>
  <c r="H2281" i="27" s="1"/>
  <c r="H2282" i="27" s="1"/>
  <c r="H2283" i="27" s="1"/>
  <c r="H2284" i="27" s="1"/>
  <c r="H2285" i="27" s="1"/>
  <c r="H2286" i="27" s="1"/>
  <c r="H2287" i="27" s="1"/>
  <c r="H2288" i="27" s="1"/>
  <c r="H2289" i="27" s="1"/>
  <c r="H2290" i="27" s="1"/>
  <c r="H2291" i="27" s="1"/>
  <c r="H2292" i="27" s="1"/>
  <c r="H2293" i="27" s="1"/>
  <c r="H2294" i="27" s="1"/>
  <c r="H2295" i="27" s="1"/>
  <c r="H2296" i="27" s="1"/>
  <c r="H2297" i="27" s="1"/>
  <c r="H2298" i="27" s="1"/>
  <c r="H2299" i="27" s="1"/>
  <c r="H2300" i="27" s="1"/>
  <c r="H2301" i="27" s="1"/>
  <c r="H2302" i="27" s="1"/>
  <c r="H2303" i="27" s="1"/>
  <c r="H2304" i="27" s="1"/>
  <c r="H2305" i="27" s="1"/>
  <c r="H2306" i="27" s="1"/>
  <c r="H2307" i="27" s="1"/>
  <c r="H2308" i="27" s="1"/>
  <c r="H2309" i="27" s="1"/>
  <c r="H2310" i="27" s="1"/>
  <c r="H2311" i="27" s="1"/>
  <c r="H2312" i="27" s="1"/>
  <c r="H2313" i="27" s="1"/>
  <c r="H2314" i="27" s="1"/>
  <c r="H2315" i="27" s="1"/>
  <c r="H2316" i="27" s="1"/>
  <c r="H2317" i="27" s="1"/>
  <c r="H2318" i="27" s="1"/>
  <c r="H2319" i="27" s="1"/>
  <c r="H2320" i="27" s="1"/>
  <c r="H2321" i="27" s="1"/>
  <c r="H2322" i="27" s="1"/>
  <c r="H2323" i="27" s="1"/>
  <c r="H2324" i="27" s="1"/>
  <c r="H2325" i="27" s="1"/>
  <c r="H2326" i="27" s="1"/>
  <c r="H2327" i="27" s="1"/>
  <c r="H2328" i="27" s="1"/>
  <c r="H2329" i="27" s="1"/>
  <c r="H2330" i="27" s="1"/>
  <c r="H2331" i="27" s="1"/>
  <c r="H2332" i="27" s="1"/>
  <c r="H2333" i="27" s="1"/>
  <c r="H2334" i="27" s="1"/>
  <c r="H2335" i="27" s="1"/>
  <c r="H2336" i="27" s="1"/>
  <c r="H2337" i="27" s="1"/>
  <c r="H2338" i="27" s="1"/>
  <c r="H2339" i="27" s="1"/>
  <c r="H2340" i="27" s="1"/>
  <c r="H2341" i="27" s="1"/>
  <c r="H2342" i="27" s="1"/>
  <c r="H2343" i="27" s="1"/>
  <c r="H2344" i="27" s="1"/>
  <c r="H2345" i="27" s="1"/>
  <c r="H2346" i="27" s="1"/>
  <c r="H2347" i="27" s="1"/>
  <c r="H2348" i="27" s="1"/>
  <c r="H2349" i="27" s="1"/>
  <c r="H2350" i="27" s="1"/>
  <c r="H2351" i="27" s="1"/>
  <c r="H2352" i="27" s="1"/>
  <c r="H2353" i="27" s="1"/>
  <c r="H2354" i="27" s="1"/>
  <c r="H2355" i="27" s="1"/>
  <c r="H2356" i="27" s="1"/>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2284" i="27"/>
  <c r="C2283" i="27"/>
  <c r="C2282" i="27"/>
  <c r="C2281" i="27"/>
  <c r="C2280" i="27"/>
  <c r="C2279" i="27"/>
  <c r="C2278" i="27"/>
  <c r="C2277" i="27"/>
  <c r="B2277" i="27"/>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H2197" i="27"/>
  <c r="H2198" i="27" s="1"/>
  <c r="H2199" i="27" s="1"/>
  <c r="H2200" i="27" s="1"/>
  <c r="H2201" i="27" s="1"/>
  <c r="H2202" i="27" s="1"/>
  <c r="H2203" i="27" s="1"/>
  <c r="H2204" i="27" s="1"/>
  <c r="H2205" i="27" s="1"/>
  <c r="H2206" i="27" s="1"/>
  <c r="H2207" i="27" s="1"/>
  <c r="H2208" i="27" s="1"/>
  <c r="H2209" i="27" s="1"/>
  <c r="H2210" i="27" s="1"/>
  <c r="H2211" i="27" s="1"/>
  <c r="H2212" i="27" s="1"/>
  <c r="H2213" i="27" s="1"/>
  <c r="H2214" i="27" s="1"/>
  <c r="H2215" i="27" s="1"/>
  <c r="H2216" i="27" s="1"/>
  <c r="H2217" i="27" s="1"/>
  <c r="H2218" i="27" s="1"/>
  <c r="H2219" i="27" s="1"/>
  <c r="H2220" i="27" s="1"/>
  <c r="H2221" i="27" s="1"/>
  <c r="H2222" i="27" s="1"/>
  <c r="H2223" i="27" s="1"/>
  <c r="H2224" i="27" s="1"/>
  <c r="H2225" i="27" s="1"/>
  <c r="H2226" i="27" s="1"/>
  <c r="H2227" i="27" s="1"/>
  <c r="H2228" i="27" s="1"/>
  <c r="H2229" i="27" s="1"/>
  <c r="H2230" i="27" s="1"/>
  <c r="H2231" i="27" s="1"/>
  <c r="H2232" i="27" s="1"/>
  <c r="H2233" i="27" s="1"/>
  <c r="H2234" i="27" s="1"/>
  <c r="H2235" i="27" s="1"/>
  <c r="H2236" i="27" s="1"/>
  <c r="H2237" i="27" s="1"/>
  <c r="H2238" i="27" s="1"/>
  <c r="H2239" i="27" s="1"/>
  <c r="H2240" i="27" s="1"/>
  <c r="H2241" i="27" s="1"/>
  <c r="H2242" i="27" s="1"/>
  <c r="H2243" i="27" s="1"/>
  <c r="H2244" i="27" s="1"/>
  <c r="H2245" i="27" s="1"/>
  <c r="H2246" i="27" s="1"/>
  <c r="H2247" i="27" s="1"/>
  <c r="H2248" i="27" s="1"/>
  <c r="H2249" i="27" s="1"/>
  <c r="H2250" i="27" s="1"/>
  <c r="H2251" i="27" s="1"/>
  <c r="H2252" i="27" s="1"/>
  <c r="H2253" i="27" s="1"/>
  <c r="H2254" i="27" s="1"/>
  <c r="H2255" i="27" s="1"/>
  <c r="H2256" i="27" s="1"/>
  <c r="H2257" i="27" s="1"/>
  <c r="H2258" i="27" s="1"/>
  <c r="H2259" i="27" s="1"/>
  <c r="H2260" i="27" s="1"/>
  <c r="H2261" i="27" s="1"/>
  <c r="H2262" i="27" s="1"/>
  <c r="H2263" i="27" s="1"/>
  <c r="H2264" i="27" s="1"/>
  <c r="H2265" i="27" s="1"/>
  <c r="H2266" i="27" s="1"/>
  <c r="H2267" i="27" s="1"/>
  <c r="H2268" i="27" s="1"/>
  <c r="H2269" i="27" s="1"/>
  <c r="H2270" i="27" s="1"/>
  <c r="H2271" i="27" s="1"/>
  <c r="H2272" i="27" s="1"/>
  <c r="H2273" i="27" s="1"/>
  <c r="H2274" i="27" s="1"/>
  <c r="H2275" i="27" s="1"/>
  <c r="H2276" i="27" s="1"/>
  <c r="B2197" i="27"/>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P871" i="27"/>
  <c r="P870" i="27"/>
  <c r="P869" i="27"/>
  <c r="P868" i="27"/>
  <c r="P867" i="27"/>
  <c r="P866" i="27"/>
  <c r="P865" i="27"/>
  <c r="P864" i="27"/>
  <c r="P863" i="27"/>
  <c r="P862" i="27"/>
  <c r="P861" i="27"/>
  <c r="P860" i="27"/>
  <c r="P859" i="27"/>
  <c r="P858" i="27"/>
  <c r="P857" i="27"/>
  <c r="P856" i="27"/>
  <c r="P855" i="27"/>
  <c r="P854" i="27"/>
  <c r="P853" i="27"/>
  <c r="P852" i="27"/>
  <c r="P851" i="27"/>
  <c r="P850" i="27"/>
  <c r="P849" i="27"/>
  <c r="P848" i="27"/>
  <c r="P847" i="27"/>
  <c r="P846" i="27"/>
  <c r="P845" i="27"/>
  <c r="P844" i="27"/>
  <c r="P843" i="27"/>
  <c r="P842" i="27"/>
  <c r="P841" i="27"/>
  <c r="P840" i="27"/>
  <c r="P839" i="27"/>
  <c r="P838"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P699" i="27"/>
  <c r="P698" i="27"/>
  <c r="P697" i="27"/>
  <c r="P696" i="27"/>
  <c r="P695" i="27"/>
  <c r="P694" i="27"/>
  <c r="P693" i="27"/>
  <c r="P69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H697" i="27" s="1"/>
  <c r="F696" i="27"/>
  <c r="H696" i="27" s="1"/>
  <c r="F695" i="27"/>
  <c r="H695" i="27" s="1"/>
  <c r="F694" i="27"/>
  <c r="H694" i="27" s="1"/>
  <c r="F693" i="27"/>
  <c r="F692" i="27"/>
  <c r="E692" i="27" s="1"/>
  <c r="P512" i="27"/>
  <c r="P513" i="27" s="1"/>
  <c r="P514" i="27" s="1"/>
  <c r="P515" i="27" s="1"/>
  <c r="P516" i="27" s="1"/>
  <c r="P517" i="27" s="1"/>
  <c r="P518" i="27" s="1"/>
  <c r="P519" i="27" s="1"/>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P658" i="27" s="1"/>
  <c r="P659" i="27" s="1"/>
  <c r="P660" i="27" s="1"/>
  <c r="P661" i="27" s="1"/>
  <c r="P662" i="27" s="1"/>
  <c r="P663" i="27" s="1"/>
  <c r="P664" i="27" s="1"/>
  <c r="P665" i="27" s="1"/>
  <c r="P666" i="27" s="1"/>
  <c r="P667" i="27" s="1"/>
  <c r="P668" i="27" s="1"/>
  <c r="P669" i="27" s="1"/>
  <c r="P670" i="27" s="1"/>
  <c r="P671" i="27" s="1"/>
  <c r="P672" i="27" s="1"/>
  <c r="P673" i="27" s="1"/>
  <c r="P674" i="27" s="1"/>
  <c r="P675" i="27" s="1"/>
  <c r="P676" i="27" s="1"/>
  <c r="P677" i="27" s="1"/>
  <c r="P678" i="27" s="1"/>
  <c r="P679" i="27" s="1"/>
  <c r="P680" i="27" s="1"/>
  <c r="P681" i="27" s="1"/>
  <c r="P682" i="27" s="1"/>
  <c r="P683" i="27" s="1"/>
  <c r="P684" i="27" s="1"/>
  <c r="P685" i="27" s="1"/>
  <c r="P686" i="27" s="1"/>
  <c r="P687" i="27" s="1"/>
  <c r="P688" i="27" s="1"/>
  <c r="P689" i="27" s="1"/>
  <c r="P690" i="27" s="1"/>
  <c r="P691" i="27" s="1"/>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H517" i="27"/>
  <c r="H516" i="27"/>
  <c r="H515" i="27"/>
  <c r="H514" i="27"/>
  <c r="H513" i="27"/>
  <c r="H512" i="27"/>
  <c r="E691" i="27"/>
  <c r="E69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AC505" i="27"/>
  <c r="AC504" i="27"/>
  <c r="AC503" i="27"/>
  <c r="AC502" i="27"/>
  <c r="AC501" i="27"/>
  <c r="AC500" i="27"/>
  <c r="AC499" i="27"/>
  <c r="AC498" i="27"/>
  <c r="AC497" i="27"/>
  <c r="AC496" i="27"/>
  <c r="AC495" i="27"/>
  <c r="AC494" i="27"/>
  <c r="AC493" i="27"/>
  <c r="AC492" i="27"/>
  <c r="AC491" i="27"/>
  <c r="AC490" i="27"/>
  <c r="AC489" i="27"/>
  <c r="AC488" i="27"/>
  <c r="AC487" i="27"/>
  <c r="AC486" i="27"/>
  <c r="AC485" i="27"/>
  <c r="AC484" i="27"/>
  <c r="AC483" i="27"/>
  <c r="AC482" i="27"/>
  <c r="AC481" i="27"/>
  <c r="AC480" i="27"/>
  <c r="AC479" i="27"/>
  <c r="AC478" i="27"/>
  <c r="AC477" i="27"/>
  <c r="AC476" i="27"/>
  <c r="H446" i="27"/>
  <c r="H447" i="27" s="1"/>
  <c r="H448" i="27" s="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H485" i="27" s="1"/>
  <c r="H486" i="27" s="1"/>
  <c r="H487" i="27" s="1"/>
  <c r="H488" i="27" s="1"/>
  <c r="H489" i="27" s="1"/>
  <c r="H490" i="27" s="1"/>
  <c r="H491" i="27" s="1"/>
  <c r="H492" i="27" s="1"/>
  <c r="H493" i="27" s="1"/>
  <c r="H494" i="27" s="1"/>
  <c r="H495" i="27" s="1"/>
  <c r="H496" i="27" s="1"/>
  <c r="H497" i="27" s="1"/>
  <c r="H498" i="27" s="1"/>
  <c r="H499" i="27" s="1"/>
  <c r="H500" i="27" s="1"/>
  <c r="H501" i="27" s="1"/>
  <c r="H502" i="27" s="1"/>
  <c r="H503" i="27" s="1"/>
  <c r="H504" i="27" s="1"/>
  <c r="H505" i="27" s="1"/>
  <c r="B446" i="27"/>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P439" i="27"/>
  <c r="P438" i="27"/>
  <c r="P437" i="27"/>
  <c r="P436" i="27"/>
  <c r="P435" i="27"/>
  <c r="P434" i="27"/>
  <c r="P433" i="27"/>
  <c r="P432" i="27"/>
  <c r="P431" i="27"/>
  <c r="P430" i="27"/>
  <c r="P429" i="27"/>
  <c r="P428" i="27"/>
  <c r="P427" i="27"/>
  <c r="P426" i="27"/>
  <c r="P425" i="27"/>
  <c r="P424" i="27"/>
  <c r="P423" i="27"/>
  <c r="P422" i="27"/>
  <c r="P421" i="27"/>
  <c r="P420" i="27"/>
  <c r="P419"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P357" i="27"/>
  <c r="P356" i="27"/>
  <c r="P355" i="27"/>
  <c r="P354" i="27"/>
  <c r="P353" i="27"/>
  <c r="P352" i="27"/>
  <c r="P351" i="27"/>
  <c r="P35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H351" i="27" s="1"/>
  <c r="F350"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P260" i="27"/>
  <c r="P261" i="27" s="1"/>
  <c r="P262" i="27" s="1"/>
  <c r="P263" i="27" s="1"/>
  <c r="P264" i="27" s="1"/>
  <c r="P265" i="27" s="1"/>
  <c r="P266" i="27" s="1"/>
  <c r="P267" i="27" s="1"/>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P133" i="27"/>
  <c r="P132" i="27"/>
  <c r="P131" i="27"/>
  <c r="P130" i="27"/>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H135" i="27" s="1"/>
  <c r="F134" i="27"/>
  <c r="F133" i="27"/>
  <c r="H133" i="27" s="1"/>
  <c r="F132" i="27"/>
  <c r="H132" i="27" s="1"/>
  <c r="F131" i="27"/>
  <c r="H131" i="27" s="1"/>
  <c r="F130" i="27"/>
  <c r="H130" i="27" s="1"/>
  <c r="V253" i="27"/>
  <c r="V252" i="27"/>
  <c r="V251" i="27"/>
  <c r="V250" i="27"/>
  <c r="V249" i="27"/>
  <c r="V248" i="27"/>
  <c r="V247" i="27"/>
  <c r="V246" i="27"/>
  <c r="V245" i="27"/>
  <c r="V244" i="27"/>
  <c r="V243" i="27"/>
  <c r="V242" i="27"/>
  <c r="V241" i="27"/>
  <c r="V240" i="27"/>
  <c r="V239" i="27"/>
  <c r="B238" i="27"/>
  <c r="B239" i="27" s="1"/>
  <c r="B237" i="27"/>
  <c r="B236" i="27"/>
  <c r="B235" i="27"/>
  <c r="B234" i="27"/>
  <c r="B233" i="27"/>
  <c r="B232" i="27"/>
  <c r="B231" i="27"/>
  <c r="B230" i="27"/>
  <c r="B229" i="27"/>
  <c r="B228" i="27"/>
  <c r="B227" i="27"/>
  <c r="B226" i="27"/>
  <c r="B225" i="27"/>
  <c r="B224" i="27"/>
  <c r="I224" i="27" s="1"/>
  <c r="I225" i="27" s="1"/>
  <c r="I226" i="27" s="1"/>
  <c r="I227" i="27" s="1"/>
  <c r="I228" i="27" s="1"/>
  <c r="I229" i="27" s="1"/>
  <c r="I230" i="27" s="1"/>
  <c r="I231" i="27" s="1"/>
  <c r="I232" i="27" s="1"/>
  <c r="I233" i="27" s="1"/>
  <c r="I234" i="27" s="1"/>
  <c r="I235" i="27" s="1"/>
  <c r="I236" i="27" s="1"/>
  <c r="I237" i="27" s="1"/>
  <c r="I238" i="27" s="1"/>
  <c r="P40" i="27"/>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U33" i="27"/>
  <c r="U32" i="27"/>
  <c r="U31" i="27"/>
  <c r="U30" i="27"/>
  <c r="U29" i="27"/>
  <c r="U28" i="27"/>
  <c r="U27" i="27"/>
  <c r="U26" i="27"/>
  <c r="U25" i="27"/>
  <c r="U24" i="27"/>
  <c r="U23" i="27"/>
  <c r="U22" i="27"/>
  <c r="U21" i="27"/>
  <c r="U20" i="27"/>
  <c r="U19" i="27"/>
  <c r="U4" i="27"/>
  <c r="U5" i="27" s="1"/>
  <c r="U6" i="27" s="1"/>
  <c r="U7" i="27" s="1"/>
  <c r="U8" i="27" s="1"/>
  <c r="U9" i="27" s="1"/>
  <c r="U10" i="27" s="1"/>
  <c r="U11" i="27" s="1"/>
  <c r="U12" i="27" s="1"/>
  <c r="U13" i="27" s="1"/>
  <c r="U14" i="27" s="1"/>
  <c r="U15" i="27" s="1"/>
  <c r="U16" i="27" s="1"/>
  <c r="U17" i="27" s="1"/>
  <c r="U18" i="27" s="1"/>
  <c r="B18" i="27"/>
  <c r="B19" i="27" s="1"/>
  <c r="B20" i="27" s="1"/>
  <c r="B17" i="27"/>
  <c r="B16" i="27"/>
  <c r="B15" i="27"/>
  <c r="B14" i="27"/>
  <c r="B13" i="27"/>
  <c r="B12" i="27"/>
  <c r="B11" i="27"/>
  <c r="B10" i="27"/>
  <c r="B9" i="27"/>
  <c r="B8" i="27"/>
  <c r="B7" i="27"/>
  <c r="B6" i="27"/>
  <c r="B5" i="27"/>
  <c r="B4" i="27"/>
  <c r="I4" i="27" s="1"/>
  <c r="I5" i="27" s="1"/>
  <c r="C568" i="16"/>
  <c r="C567" i="16"/>
  <c r="C566" i="16"/>
  <c r="C565" i="16"/>
  <c r="C564" i="16"/>
  <c r="C563" i="16"/>
  <c r="C562" i="16"/>
  <c r="C561" i="16"/>
  <c r="C560" i="16"/>
  <c r="C559" i="16"/>
  <c r="C558" i="16"/>
  <c r="C557" i="16"/>
  <c r="C556" i="16"/>
  <c r="C555" i="16"/>
  <c r="C554" i="16"/>
  <c r="C553" i="16"/>
  <c r="C552" i="16"/>
  <c r="C551" i="16"/>
  <c r="C550" i="16"/>
  <c r="C549" i="16"/>
  <c r="C548" i="16"/>
  <c r="C547" i="16"/>
  <c r="C546" i="16"/>
  <c r="C545" i="16"/>
  <c r="C544" i="16"/>
  <c r="C543" i="16"/>
  <c r="C542" i="16"/>
  <c r="C541" i="16"/>
  <c r="C540" i="16"/>
  <c r="C539" i="16"/>
  <c r="C538" i="16"/>
  <c r="C537" i="16"/>
  <c r="C536" i="16"/>
  <c r="C535" i="16"/>
  <c r="C534" i="16"/>
  <c r="C533" i="16"/>
  <c r="C532" i="16"/>
  <c r="C531" i="16"/>
  <c r="C530" i="16"/>
  <c r="C529" i="16"/>
  <c r="C528" i="16"/>
  <c r="C527" i="16"/>
  <c r="C526" i="16"/>
  <c r="C525" i="16"/>
  <c r="C524" i="16"/>
  <c r="C523" i="16"/>
  <c r="C522" i="16"/>
  <c r="C521" i="16"/>
  <c r="C520" i="16"/>
  <c r="C519" i="16"/>
  <c r="C518" i="16"/>
  <c r="C517" i="16"/>
  <c r="C516" i="16"/>
  <c r="C515" i="16"/>
  <c r="C514" i="16"/>
  <c r="C513" i="16"/>
  <c r="C512" i="16"/>
  <c r="C511" i="16"/>
  <c r="I505" i="16"/>
  <c r="I504" i="16"/>
  <c r="I503" i="16"/>
  <c r="I502" i="16"/>
  <c r="I501" i="16"/>
  <c r="I500" i="16"/>
  <c r="I499" i="16"/>
  <c r="I498" i="16"/>
  <c r="I497" i="16"/>
  <c r="I496" i="16"/>
  <c r="I495" i="16"/>
  <c r="I494" i="16"/>
  <c r="I493" i="16"/>
  <c r="I492" i="16"/>
  <c r="I491" i="16"/>
  <c r="I490" i="16"/>
  <c r="I489" i="16"/>
  <c r="I488" i="16"/>
  <c r="I487" i="16"/>
  <c r="I486" i="16"/>
  <c r="I485" i="16"/>
  <c r="I484" i="16"/>
  <c r="I483" i="16"/>
  <c r="I482" i="16"/>
  <c r="I481" i="16"/>
  <c r="I480" i="16"/>
  <c r="I479" i="16"/>
  <c r="I478" i="16"/>
  <c r="I477" i="16"/>
  <c r="I476" i="16"/>
  <c r="I475" i="16"/>
  <c r="I474" i="16"/>
  <c r="I473" i="16"/>
  <c r="I472" i="16"/>
  <c r="I471" i="16"/>
  <c r="I470" i="16"/>
  <c r="I469" i="16"/>
  <c r="I468" i="16"/>
  <c r="I467" i="16"/>
  <c r="I466" i="16"/>
  <c r="I465" i="16"/>
  <c r="I464" i="16"/>
  <c r="I463" i="16"/>
  <c r="I462" i="16"/>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I414" i="16"/>
  <c r="I413" i="16"/>
  <c r="I412" i="16"/>
  <c r="I411" i="16"/>
  <c r="I410"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73" i="16"/>
  <c r="I372" i="16"/>
  <c r="I371" i="16"/>
  <c r="I370" i="16"/>
  <c r="I369" i="16"/>
  <c r="I368" i="16"/>
  <c r="I367" i="16"/>
  <c r="I366" i="16"/>
  <c r="I365"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I341" i="16"/>
  <c r="I340" i="16"/>
  <c r="I339" i="16"/>
  <c r="I338" i="16"/>
  <c r="I337" i="16"/>
  <c r="I336" i="16"/>
  <c r="I335" i="16"/>
  <c r="I334" i="16"/>
  <c r="I333" i="16"/>
  <c r="I332"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G504" i="16"/>
  <c r="G501" i="16"/>
  <c r="G500" i="16"/>
  <c r="G499" i="16"/>
  <c r="G496" i="16"/>
  <c r="G493" i="16"/>
  <c r="G492" i="16"/>
  <c r="G491" i="16"/>
  <c r="G488" i="16"/>
  <c r="G485" i="16"/>
  <c r="G484" i="16"/>
  <c r="G483" i="16"/>
  <c r="G480" i="16"/>
  <c r="G477" i="16"/>
  <c r="G476" i="16"/>
  <c r="G475" i="16"/>
  <c r="G472" i="16"/>
  <c r="G469" i="16"/>
  <c r="G468" i="16"/>
  <c r="G467" i="16"/>
  <c r="G464" i="16"/>
  <c r="G461" i="16"/>
  <c r="G460" i="16"/>
  <c r="G459" i="16"/>
  <c r="G456" i="16"/>
  <c r="G453" i="16"/>
  <c r="G452" i="16"/>
  <c r="G451" i="16"/>
  <c r="G448" i="16"/>
  <c r="G445" i="16"/>
  <c r="G444" i="16"/>
  <c r="G443" i="16"/>
  <c r="G440" i="16"/>
  <c r="G437" i="16"/>
  <c r="G436" i="16"/>
  <c r="G435" i="16"/>
  <c r="G432" i="16"/>
  <c r="G429" i="16"/>
  <c r="G428" i="16"/>
  <c r="G427" i="16"/>
  <c r="G424" i="16"/>
  <c r="G421" i="16"/>
  <c r="G420" i="16"/>
  <c r="G419" i="16"/>
  <c r="G416" i="16"/>
  <c r="G413" i="16"/>
  <c r="G412" i="16"/>
  <c r="G411" i="16"/>
  <c r="G408" i="16"/>
  <c r="G405" i="16"/>
  <c r="G404" i="16"/>
  <c r="G403" i="16"/>
  <c r="G400" i="16"/>
  <c r="G397" i="16"/>
  <c r="G396" i="16"/>
  <c r="G395" i="16"/>
  <c r="G392" i="16"/>
  <c r="G389" i="16"/>
  <c r="G388" i="16"/>
  <c r="G387" i="16"/>
  <c r="G384" i="16"/>
  <c r="G381" i="16"/>
  <c r="G380" i="16"/>
  <c r="G379" i="16"/>
  <c r="G376" i="16"/>
  <c r="G373" i="16"/>
  <c r="G372" i="16"/>
  <c r="G371" i="16"/>
  <c r="G368" i="16"/>
  <c r="G365" i="16"/>
  <c r="G364" i="16"/>
  <c r="G363" i="16"/>
  <c r="G360" i="16"/>
  <c r="G357" i="16"/>
  <c r="G356" i="16"/>
  <c r="G355" i="16"/>
  <c r="G352" i="16"/>
  <c r="G349" i="16"/>
  <c r="G348" i="16"/>
  <c r="G347" i="16"/>
  <c r="G344" i="16"/>
  <c r="G341" i="16"/>
  <c r="G340" i="16"/>
  <c r="G339" i="16"/>
  <c r="G336" i="16"/>
  <c r="G333" i="16"/>
  <c r="G332" i="16"/>
  <c r="C505" i="16"/>
  <c r="G505" i="16" s="1"/>
  <c r="C504" i="16"/>
  <c r="C503" i="16"/>
  <c r="G503" i="16" s="1"/>
  <c r="C502" i="16"/>
  <c r="G502" i="16" s="1"/>
  <c r="C501" i="16"/>
  <c r="C500" i="16"/>
  <c r="C499" i="16"/>
  <c r="C498" i="16"/>
  <c r="G498" i="16" s="1"/>
  <c r="C497" i="16"/>
  <c r="G497" i="16" s="1"/>
  <c r="C496" i="16"/>
  <c r="C495" i="16"/>
  <c r="G495" i="16" s="1"/>
  <c r="C494" i="16"/>
  <c r="G494" i="16" s="1"/>
  <c r="C493" i="16"/>
  <c r="C492" i="16"/>
  <c r="C491" i="16"/>
  <c r="C490" i="16"/>
  <c r="G490" i="16" s="1"/>
  <c r="C489" i="16"/>
  <c r="G489" i="16" s="1"/>
  <c r="C488" i="16"/>
  <c r="C487" i="16"/>
  <c r="G487" i="16" s="1"/>
  <c r="C486" i="16"/>
  <c r="G486" i="16" s="1"/>
  <c r="C485" i="16"/>
  <c r="C484" i="16"/>
  <c r="C483" i="16"/>
  <c r="C482" i="16"/>
  <c r="G482" i="16" s="1"/>
  <c r="C481" i="16"/>
  <c r="G481" i="16" s="1"/>
  <c r="C480" i="16"/>
  <c r="C479" i="16"/>
  <c r="G479" i="16" s="1"/>
  <c r="C478" i="16"/>
  <c r="G478" i="16" s="1"/>
  <c r="C477" i="16"/>
  <c r="C476" i="16"/>
  <c r="C475" i="16"/>
  <c r="C474" i="16"/>
  <c r="G474" i="16" s="1"/>
  <c r="C473" i="16"/>
  <c r="G473" i="16" s="1"/>
  <c r="C472" i="16"/>
  <c r="C471" i="16"/>
  <c r="G471" i="16" s="1"/>
  <c r="C470" i="16"/>
  <c r="G470" i="16" s="1"/>
  <c r="C469" i="16"/>
  <c r="C468" i="16"/>
  <c r="C467" i="16"/>
  <c r="C466" i="16"/>
  <c r="G466" i="16" s="1"/>
  <c r="C465" i="16"/>
  <c r="G465" i="16" s="1"/>
  <c r="C464" i="16"/>
  <c r="C463" i="16"/>
  <c r="G463" i="16" s="1"/>
  <c r="C462" i="16"/>
  <c r="G462" i="16" s="1"/>
  <c r="C461" i="16"/>
  <c r="C460" i="16"/>
  <c r="C459" i="16"/>
  <c r="C458" i="16"/>
  <c r="G458" i="16" s="1"/>
  <c r="C457" i="16"/>
  <c r="G457" i="16" s="1"/>
  <c r="C456" i="16"/>
  <c r="C455" i="16"/>
  <c r="G455" i="16" s="1"/>
  <c r="C454" i="16"/>
  <c r="G454" i="16" s="1"/>
  <c r="C453" i="16"/>
  <c r="C452" i="16"/>
  <c r="C451" i="16"/>
  <c r="C450" i="16"/>
  <c r="G450" i="16" s="1"/>
  <c r="C449" i="16"/>
  <c r="G449" i="16" s="1"/>
  <c r="C448" i="16"/>
  <c r="C447" i="16"/>
  <c r="G447" i="16" s="1"/>
  <c r="C446" i="16"/>
  <c r="G446" i="16" s="1"/>
  <c r="C445" i="16"/>
  <c r="C444" i="16"/>
  <c r="C443" i="16"/>
  <c r="C442" i="16"/>
  <c r="G442" i="16" s="1"/>
  <c r="C441" i="16"/>
  <c r="G441" i="16" s="1"/>
  <c r="C440" i="16"/>
  <c r="C439" i="16"/>
  <c r="G439" i="16" s="1"/>
  <c r="C438" i="16"/>
  <c r="G438" i="16" s="1"/>
  <c r="C437" i="16"/>
  <c r="C436" i="16"/>
  <c r="C435" i="16"/>
  <c r="C434" i="16"/>
  <c r="G434" i="16" s="1"/>
  <c r="C433" i="16"/>
  <c r="G433" i="16" s="1"/>
  <c r="C432" i="16"/>
  <c r="C431" i="16"/>
  <c r="G431" i="16" s="1"/>
  <c r="C430" i="16"/>
  <c r="G430" i="16" s="1"/>
  <c r="C429" i="16"/>
  <c r="C428" i="16"/>
  <c r="C427" i="16"/>
  <c r="C426" i="16"/>
  <c r="G426" i="16" s="1"/>
  <c r="C425" i="16"/>
  <c r="G425" i="16" s="1"/>
  <c r="C424" i="16"/>
  <c r="C423" i="16"/>
  <c r="G423" i="16" s="1"/>
  <c r="C422" i="16"/>
  <c r="G422" i="16" s="1"/>
  <c r="C421" i="16"/>
  <c r="C420" i="16"/>
  <c r="C419" i="16"/>
  <c r="C418" i="16"/>
  <c r="G418" i="16" s="1"/>
  <c r="C417" i="16"/>
  <c r="G417" i="16" s="1"/>
  <c r="C416" i="16"/>
  <c r="C415" i="16"/>
  <c r="G415" i="16" s="1"/>
  <c r="C414" i="16"/>
  <c r="G414" i="16" s="1"/>
  <c r="C413" i="16"/>
  <c r="C412" i="16"/>
  <c r="C411" i="16"/>
  <c r="C410" i="16"/>
  <c r="G410" i="16" s="1"/>
  <c r="C409" i="16"/>
  <c r="G409" i="16" s="1"/>
  <c r="C408" i="16"/>
  <c r="C407" i="16"/>
  <c r="G407" i="16" s="1"/>
  <c r="C406" i="16"/>
  <c r="G406" i="16" s="1"/>
  <c r="C405" i="16"/>
  <c r="C404" i="16"/>
  <c r="C403" i="16"/>
  <c r="C402" i="16"/>
  <c r="G402" i="16" s="1"/>
  <c r="C401" i="16"/>
  <c r="G401" i="16" s="1"/>
  <c r="C400" i="16"/>
  <c r="C399" i="16"/>
  <c r="G399" i="16" s="1"/>
  <c r="C398" i="16"/>
  <c r="G398" i="16" s="1"/>
  <c r="C397" i="16"/>
  <c r="C396" i="16"/>
  <c r="C395" i="16"/>
  <c r="C394" i="16"/>
  <c r="G394" i="16" s="1"/>
  <c r="C393" i="16"/>
  <c r="G393" i="16" s="1"/>
  <c r="C392" i="16"/>
  <c r="C391" i="16"/>
  <c r="G391" i="16" s="1"/>
  <c r="C390" i="16"/>
  <c r="G390" i="16" s="1"/>
  <c r="C389" i="16"/>
  <c r="C388" i="16"/>
  <c r="C387" i="16"/>
  <c r="C386" i="16"/>
  <c r="G386" i="16" s="1"/>
  <c r="C385" i="16"/>
  <c r="G385" i="16" s="1"/>
  <c r="C384" i="16"/>
  <c r="C383" i="16"/>
  <c r="G383" i="16" s="1"/>
  <c r="C382" i="16"/>
  <c r="G382" i="16" s="1"/>
  <c r="C381" i="16"/>
  <c r="C380" i="16"/>
  <c r="C379" i="16"/>
  <c r="C378" i="16"/>
  <c r="G378" i="16" s="1"/>
  <c r="C377" i="16"/>
  <c r="G377" i="16" s="1"/>
  <c r="C376" i="16"/>
  <c r="C375" i="16"/>
  <c r="G375" i="16" s="1"/>
  <c r="C374" i="16"/>
  <c r="G374" i="16" s="1"/>
  <c r="C373" i="16"/>
  <c r="C372" i="16"/>
  <c r="C371" i="16"/>
  <c r="C370" i="16"/>
  <c r="G370" i="16" s="1"/>
  <c r="C369" i="16"/>
  <c r="G369" i="16" s="1"/>
  <c r="C368" i="16"/>
  <c r="C367" i="16"/>
  <c r="G367" i="16" s="1"/>
  <c r="C366" i="16"/>
  <c r="G366" i="16" s="1"/>
  <c r="C365" i="16"/>
  <c r="C364" i="16"/>
  <c r="C363" i="16"/>
  <c r="C362" i="16"/>
  <c r="G362" i="16" s="1"/>
  <c r="C361" i="16"/>
  <c r="G361" i="16" s="1"/>
  <c r="C360" i="16"/>
  <c r="C359" i="16"/>
  <c r="G359" i="16" s="1"/>
  <c r="C358" i="16"/>
  <c r="G358" i="16" s="1"/>
  <c r="C357" i="16"/>
  <c r="C356" i="16"/>
  <c r="C355" i="16"/>
  <c r="C354" i="16"/>
  <c r="G354" i="16" s="1"/>
  <c r="C353" i="16"/>
  <c r="G353" i="16" s="1"/>
  <c r="C352" i="16"/>
  <c r="C351" i="16"/>
  <c r="G351" i="16" s="1"/>
  <c r="C350" i="16"/>
  <c r="G350" i="16" s="1"/>
  <c r="C349" i="16"/>
  <c r="C348" i="16"/>
  <c r="C347" i="16"/>
  <c r="C346" i="16"/>
  <c r="G346" i="16" s="1"/>
  <c r="C345" i="16"/>
  <c r="G345" i="16" s="1"/>
  <c r="C344" i="16"/>
  <c r="C343" i="16"/>
  <c r="G343" i="16" s="1"/>
  <c r="C342" i="16"/>
  <c r="G342" i="16" s="1"/>
  <c r="C341" i="16"/>
  <c r="C340" i="16"/>
  <c r="C339" i="16"/>
  <c r="C338" i="16"/>
  <c r="G338" i="16" s="1"/>
  <c r="C337" i="16"/>
  <c r="G337" i="16" s="1"/>
  <c r="C336" i="16"/>
  <c r="C335" i="16"/>
  <c r="G335" i="16" s="1"/>
  <c r="C334" i="16"/>
  <c r="G334" i="16" s="1"/>
  <c r="C333" i="16"/>
  <c r="C332" i="16"/>
  <c r="D314" i="23"/>
  <c r="D313" i="23"/>
  <c r="D312" i="23"/>
  <c r="D311" i="23"/>
  <c r="D310" i="23"/>
  <c r="D309" i="23"/>
  <c r="D308" i="23"/>
  <c r="D307" i="23"/>
  <c r="D306" i="23"/>
  <c r="D305" i="23"/>
  <c r="D304" i="23"/>
  <c r="D303" i="23"/>
  <c r="D302" i="23"/>
  <c r="D301" i="23"/>
  <c r="D300" i="23"/>
  <c r="D299" i="23"/>
  <c r="D298" i="23"/>
  <c r="D297" i="23"/>
  <c r="D296" i="23"/>
  <c r="D295" i="23"/>
  <c r="D294" i="23"/>
  <c r="D293" i="23"/>
  <c r="D292" i="23"/>
  <c r="D291" i="23"/>
  <c r="D290" i="23"/>
  <c r="D289" i="23"/>
  <c r="D288" i="23"/>
  <c r="D287" i="23"/>
  <c r="D286" i="23"/>
  <c r="D285" i="23"/>
  <c r="D284" i="23"/>
  <c r="D283" i="23"/>
  <c r="D282" i="23"/>
  <c r="D281" i="23"/>
  <c r="D280" i="23"/>
  <c r="D279" i="23"/>
  <c r="D278" i="23"/>
  <c r="D277" i="23"/>
  <c r="D276" i="23"/>
  <c r="D275" i="23"/>
  <c r="D274" i="23"/>
  <c r="D273" i="23"/>
  <c r="D272" i="23"/>
  <c r="D271" i="23"/>
  <c r="D270" i="23"/>
  <c r="D269" i="23"/>
  <c r="D268" i="23"/>
  <c r="D267" i="23"/>
  <c r="D266" i="23"/>
  <c r="D265" i="23"/>
  <c r="D264" i="23"/>
  <c r="D263" i="23"/>
  <c r="D262" i="23"/>
  <c r="D261" i="23"/>
  <c r="D260" i="23"/>
  <c r="D259" i="23"/>
  <c r="D258" i="23"/>
  <c r="D257" i="23"/>
  <c r="D256" i="23"/>
  <c r="D255" i="23"/>
  <c r="D254" i="23"/>
  <c r="D253" i="23"/>
  <c r="D252" i="23"/>
  <c r="D251" i="23"/>
  <c r="D250" i="23"/>
  <c r="D249" i="23"/>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70" i="23"/>
  <c r="D169" i="23"/>
  <c r="D168" i="23"/>
  <c r="D167" i="23"/>
  <c r="D166" i="23"/>
  <c r="D165" i="23"/>
  <c r="D164" i="23"/>
  <c r="D163" i="23"/>
  <c r="D162" i="23"/>
  <c r="D161" i="23"/>
  <c r="D160"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16" i="23"/>
  <c r="D15" i="23"/>
  <c r="D14" i="23"/>
  <c r="D13" i="23"/>
  <c r="D12" i="23"/>
  <c r="D11" i="23"/>
  <c r="D10" i="23"/>
  <c r="D9" i="23"/>
  <c r="D8" i="23"/>
  <c r="D7" i="23"/>
  <c r="N39" i="1"/>
  <c r="N38" i="1"/>
  <c r="N37" i="1"/>
  <c r="N36" i="1"/>
  <c r="N35" i="1"/>
  <c r="N34" i="1"/>
  <c r="N33" i="1"/>
  <c r="N32" i="1"/>
  <c r="N31" i="1"/>
  <c r="M39" i="1"/>
  <c r="M38" i="1"/>
  <c r="M37" i="1"/>
  <c r="M36" i="1"/>
  <c r="M35" i="1"/>
  <c r="M34" i="1"/>
  <c r="M33" i="1"/>
  <c r="M32" i="1"/>
  <c r="M31" i="1"/>
  <c r="L39" i="1"/>
  <c r="L38" i="1"/>
  <c r="L37" i="1"/>
  <c r="L36" i="1"/>
  <c r="L35" i="1"/>
  <c r="L34" i="1"/>
  <c r="L33" i="1"/>
  <c r="L32" i="1"/>
  <c r="L31" i="1"/>
  <c r="J39" i="1"/>
  <c r="J38" i="1"/>
  <c r="J37" i="1"/>
  <c r="J36" i="1"/>
  <c r="J35" i="1"/>
  <c r="J34" i="1"/>
  <c r="J33" i="1"/>
  <c r="J32" i="1"/>
  <c r="J31" i="1"/>
  <c r="E39" i="1"/>
  <c r="E38" i="1"/>
  <c r="E37" i="1"/>
  <c r="E36" i="1"/>
  <c r="E35" i="1"/>
  <c r="E34" i="1"/>
  <c r="E33" i="1"/>
  <c r="D32" i="1"/>
  <c r="D39" i="1"/>
  <c r="D38" i="1"/>
  <c r="D37" i="1"/>
  <c r="D36" i="1"/>
  <c r="D35" i="1"/>
  <c r="D34" i="1"/>
  <c r="D33" i="1"/>
  <c r="D31" i="1"/>
  <c r="C37" i="19" a="1"/>
  <c r="C37" i="19" s="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27" i="19"/>
  <c r="F26" i="19"/>
  <c r="F25" i="19"/>
  <c r="F24" i="19"/>
  <c r="F23" i="19"/>
  <c r="F22" i="19"/>
  <c r="F21" i="19"/>
  <c r="F20" i="19"/>
  <c r="F19" i="19"/>
  <c r="F18" i="19"/>
  <c r="F17" i="19"/>
  <c r="F16" i="19"/>
  <c r="F15" i="19"/>
  <c r="F14" i="19"/>
  <c r="F13" i="19"/>
  <c r="F12" i="19"/>
  <c r="F11" i="19"/>
  <c r="F10" i="19"/>
  <c r="F9" i="19"/>
  <c r="F8" i="19"/>
  <c r="F7" i="19"/>
  <c r="F6" i="19"/>
  <c r="F5" i="19"/>
  <c r="F4" i="19"/>
  <c r="I250" i="16"/>
  <c r="I249" i="16"/>
  <c r="I248" i="16"/>
  <c r="I247" i="16"/>
  <c r="I246" i="16"/>
  <c r="I245" i="16"/>
  <c r="I244" i="16"/>
  <c r="I243" i="16"/>
  <c r="I242" i="16"/>
  <c r="I241" i="16"/>
  <c r="I240" i="16"/>
  <c r="I239" i="16"/>
  <c r="I238" i="16"/>
  <c r="I237" i="16"/>
  <c r="I236" i="16"/>
  <c r="I235" i="16"/>
  <c r="I234" i="16"/>
  <c r="I233" i="16"/>
  <c r="I232" i="16"/>
  <c r="I231" i="16"/>
  <c r="I230" i="16"/>
  <c r="I229" i="16"/>
  <c r="I228" i="16"/>
  <c r="I227" i="16"/>
  <c r="I226" i="16"/>
  <c r="I225" i="16"/>
  <c r="I224" i="16"/>
  <c r="I223" i="16"/>
  <c r="I222" i="16"/>
  <c r="I221" i="16"/>
  <c r="I220" i="16"/>
  <c r="I219" i="16"/>
  <c r="I218" i="16"/>
  <c r="I217" i="16"/>
  <c r="I216" i="16"/>
  <c r="I215" i="16"/>
  <c r="I214" i="16"/>
  <c r="I213" i="16"/>
  <c r="I212" i="16"/>
  <c r="I211"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C380" i="20"/>
  <c r="C381" i="20" s="1"/>
  <c r="C382" i="20" s="1"/>
  <c r="C383" i="20" s="1"/>
  <c r="C384" i="20" s="1"/>
  <c r="C377" i="20"/>
  <c r="C378" i="20" s="1"/>
  <c r="C379" i="20" s="1"/>
  <c r="C376" i="20"/>
  <c r="C372" i="20"/>
  <c r="C373" i="20" s="1"/>
  <c r="C374" i="20" s="1"/>
  <c r="C375" i="20" s="1"/>
  <c r="C371" i="20"/>
  <c r="C366" i="20"/>
  <c r="C367" i="20" s="1"/>
  <c r="C368" i="20" s="1"/>
  <c r="C369" i="20" s="1"/>
  <c r="C370" i="20" s="1"/>
  <c r="C362" i="20"/>
  <c r="C363" i="20" s="1"/>
  <c r="C364" i="20" s="1"/>
  <c r="C365" i="20" s="1"/>
  <c r="C361" i="20"/>
  <c r="C360" i="20"/>
  <c r="C359" i="20"/>
  <c r="C358" i="20"/>
  <c r="C356" i="20"/>
  <c r="C357" i="20" s="1"/>
  <c r="C354" i="20"/>
  <c r="C355" i="20" s="1"/>
  <c r="C353" i="20"/>
  <c r="C352" i="20"/>
  <c r="C351" i="20"/>
  <c r="C350" i="20"/>
  <c r="C348" i="20"/>
  <c r="C349" i="20" s="1"/>
  <c r="C347" i="20"/>
  <c r="C346" i="20"/>
  <c r="C345" i="20"/>
  <c r="C344" i="20"/>
  <c r="C340" i="20"/>
  <c r="C341" i="20" s="1"/>
  <c r="C342" i="20" s="1"/>
  <c r="C343" i="20" s="1"/>
  <c r="C337" i="20"/>
  <c r="C338" i="20" s="1"/>
  <c r="C339" i="20" s="1"/>
  <c r="C336" i="20"/>
  <c r="C332" i="20"/>
  <c r="C333" i="20" s="1"/>
  <c r="C334" i="20" s="1"/>
  <c r="C335" i="20" s="1"/>
  <c r="C329" i="20"/>
  <c r="C330" i="20" s="1"/>
  <c r="C331" i="20" s="1"/>
  <c r="C328" i="20"/>
  <c r="C325" i="20"/>
  <c r="C326" i="20" s="1"/>
  <c r="C327" i="20" s="1"/>
  <c r="C316" i="20"/>
  <c r="C317" i="20" s="1"/>
  <c r="C318" i="20" s="1"/>
  <c r="C319" i="20" s="1"/>
  <c r="C320" i="20" s="1"/>
  <c r="C321" i="20" s="1"/>
  <c r="C322" i="20" s="1"/>
  <c r="C323" i="20" s="1"/>
  <c r="C324" i="20" s="1"/>
  <c r="C315" i="20"/>
  <c r="C311" i="20"/>
  <c r="C312" i="20" s="1"/>
  <c r="C313" i="20" s="1"/>
  <c r="C314" i="20" s="1"/>
  <c r="C310" i="20"/>
  <c r="C305" i="20"/>
  <c r="C306" i="20" s="1"/>
  <c r="C307" i="20" s="1"/>
  <c r="C308" i="20" s="1"/>
  <c r="C309" i="20" s="1"/>
  <c r="C304" i="20"/>
  <c r="C298" i="20"/>
  <c r="C299" i="20" s="1"/>
  <c r="C300" i="20" s="1"/>
  <c r="C301" i="20" s="1"/>
  <c r="C302" i="20" s="1"/>
  <c r="C303" i="20" s="1"/>
  <c r="C292" i="20"/>
  <c r="C293" i="20" s="1"/>
  <c r="C294" i="20" s="1"/>
  <c r="C295" i="20" s="1"/>
  <c r="C296" i="20" s="1"/>
  <c r="C297" i="20" s="1"/>
  <c r="C289" i="20"/>
  <c r="C290" i="20" s="1"/>
  <c r="C291" i="20" s="1"/>
  <c r="C288" i="20"/>
  <c r="C287" i="20"/>
  <c r="C286" i="20"/>
  <c r="C284" i="20"/>
  <c r="C285" i="20" s="1"/>
  <c r="C283" i="20"/>
  <c r="C276" i="20"/>
  <c r="C277" i="20" s="1"/>
  <c r="C278" i="20" s="1"/>
  <c r="C279" i="20" s="1"/>
  <c r="C280" i="20" s="1"/>
  <c r="C281" i="20" s="1"/>
  <c r="C282" i="20" s="1"/>
  <c r="C268" i="20"/>
  <c r="C269" i="20" s="1"/>
  <c r="C270" i="20" s="1"/>
  <c r="C271" i="20" s="1"/>
  <c r="C272" i="20" s="1"/>
  <c r="C273" i="20" s="1"/>
  <c r="C274" i="20" s="1"/>
  <c r="C275" i="20" s="1"/>
  <c r="C265" i="20"/>
  <c r="C266" i="20" s="1"/>
  <c r="C267" i="20" s="1"/>
  <c r="C249" i="20"/>
  <c r="C250" i="20" s="1"/>
  <c r="C251" i="20" s="1"/>
  <c r="C252" i="20" s="1"/>
  <c r="C253" i="20" s="1"/>
  <c r="C254" i="20" s="1"/>
  <c r="C255" i="20" s="1"/>
  <c r="C256" i="20" s="1"/>
  <c r="C257" i="20" s="1"/>
  <c r="C258" i="20" s="1"/>
  <c r="C259" i="20" s="1"/>
  <c r="C260" i="20" s="1"/>
  <c r="C261" i="20" s="1"/>
  <c r="C262" i="20" s="1"/>
  <c r="C263" i="20" s="1"/>
  <c r="C264" i="20" s="1"/>
  <c r="C233" i="20"/>
  <c r="C234" i="20" s="1"/>
  <c r="C235" i="20" s="1"/>
  <c r="C236" i="20" s="1"/>
  <c r="C237" i="20" s="1"/>
  <c r="C238" i="20" s="1"/>
  <c r="C239" i="20" s="1"/>
  <c r="C240" i="20" s="1"/>
  <c r="C241" i="20" s="1"/>
  <c r="C242" i="20" s="1"/>
  <c r="C243" i="20" s="1"/>
  <c r="C244" i="20" s="1"/>
  <c r="C245" i="20" s="1"/>
  <c r="C246" i="20" s="1"/>
  <c r="C247" i="20" s="1"/>
  <c r="C248" i="20" s="1"/>
  <c r="C232" i="20"/>
  <c r="C231" i="20"/>
  <c r="C225" i="20"/>
  <c r="C226" i="20" s="1"/>
  <c r="C227" i="20" s="1"/>
  <c r="C228" i="20" s="1"/>
  <c r="C229" i="20" s="1"/>
  <c r="C230" i="20" s="1"/>
  <c r="C224" i="20"/>
  <c r="C214" i="20"/>
  <c r="C215" i="20" s="1"/>
  <c r="C216" i="20" s="1"/>
  <c r="C217" i="20" s="1"/>
  <c r="C218" i="20" s="1"/>
  <c r="C219" i="20" s="1"/>
  <c r="C220" i="20" s="1"/>
  <c r="C221" i="20" s="1"/>
  <c r="C222" i="20" s="1"/>
  <c r="C223" i="20" s="1"/>
  <c r="C213" i="20"/>
  <c r="C212" i="20"/>
  <c r="C211" i="20"/>
  <c r="C209" i="20"/>
  <c r="C210" i="20" s="1"/>
  <c r="C202" i="20"/>
  <c r="C203" i="20" s="1"/>
  <c r="C204" i="20" s="1"/>
  <c r="C205" i="20" s="1"/>
  <c r="C206" i="20" s="1"/>
  <c r="C207" i="20" s="1"/>
  <c r="C208" i="20" s="1"/>
  <c r="C196" i="20"/>
  <c r="C197" i="20" s="1"/>
  <c r="C198" i="20" s="1"/>
  <c r="C199" i="20" s="1"/>
  <c r="C200" i="20" s="1"/>
  <c r="C201" i="20" s="1"/>
  <c r="C195" i="20"/>
  <c r="C193" i="20"/>
  <c r="C194" i="20" s="1"/>
  <c r="C192" i="20"/>
  <c r="C191" i="20"/>
  <c r="C188" i="20"/>
  <c r="C189" i="20" s="1"/>
  <c r="C190" i="20" s="1"/>
  <c r="C187" i="20"/>
  <c r="C185" i="20"/>
  <c r="C186" i="20" s="1"/>
  <c r="C184" i="20"/>
  <c r="C183" i="20"/>
  <c r="C182" i="20"/>
  <c r="C180" i="20"/>
  <c r="C181" i="20" s="1"/>
  <c r="C179" i="20"/>
  <c r="C177" i="20"/>
  <c r="C178" i="20" s="1"/>
  <c r="C176" i="20"/>
  <c r="C175" i="20"/>
  <c r="C174" i="20"/>
  <c r="C172" i="20"/>
  <c r="C173" i="20" s="1"/>
  <c r="C170" i="20"/>
  <c r="C171" i="20" s="1"/>
  <c r="C165" i="20"/>
  <c r="C166" i="20" s="1"/>
  <c r="C167" i="20" s="1"/>
  <c r="C168" i="20" s="1"/>
  <c r="C169" i="20" s="1"/>
  <c r="C161" i="20"/>
  <c r="C162" i="20" s="1"/>
  <c r="C163" i="20" s="1"/>
  <c r="C164" i="20" s="1"/>
  <c r="C160" i="20"/>
  <c r="C159" i="20"/>
  <c r="C158" i="20"/>
  <c r="C156" i="20"/>
  <c r="C157" i="20" s="1"/>
  <c r="C150" i="20"/>
  <c r="C151" i="20" s="1"/>
  <c r="C145" i="20"/>
  <c r="C146" i="20" s="1"/>
  <c r="C147" i="20" s="1"/>
  <c r="C148" i="20" s="1"/>
  <c r="C149" i="20" s="1"/>
  <c r="C144" i="20"/>
  <c r="C143" i="20"/>
  <c r="C141" i="20"/>
  <c r="C142" i="20" s="1"/>
  <c r="C139" i="20"/>
  <c r="C140" i="20" s="1"/>
  <c r="C137" i="20"/>
  <c r="C138" i="20" s="1"/>
  <c r="C136" i="20"/>
  <c r="C135" i="20"/>
  <c r="C133" i="20"/>
  <c r="C134" i="20" s="1"/>
  <c r="C128" i="20"/>
  <c r="C129" i="20" s="1"/>
  <c r="C130" i="20" s="1"/>
  <c r="C131" i="20" s="1"/>
  <c r="C132" i="20" s="1"/>
  <c r="C127" i="20"/>
  <c r="C126" i="20"/>
  <c r="C125" i="20"/>
  <c r="C116" i="20"/>
  <c r="C117" i="20" s="1"/>
  <c r="C118" i="20" s="1"/>
  <c r="C119" i="20" s="1"/>
  <c r="C120" i="20" s="1"/>
  <c r="C121" i="20" s="1"/>
  <c r="C122" i="20" s="1"/>
  <c r="C123" i="20" s="1"/>
  <c r="C124" i="20" s="1"/>
  <c r="C112" i="20"/>
  <c r="C113" i="20" s="1"/>
  <c r="C114" i="20" s="1"/>
  <c r="C115" i="20" s="1"/>
  <c r="C111" i="20"/>
  <c r="C106" i="20"/>
  <c r="C107" i="20" s="1"/>
  <c r="C108" i="20" s="1"/>
  <c r="C109" i="20" s="1"/>
  <c r="C110" i="20" s="1"/>
  <c r="C104" i="20"/>
  <c r="C105" i="20" s="1"/>
  <c r="C103" i="20"/>
  <c r="C102" i="20"/>
  <c r="C100" i="20"/>
  <c r="C101" i="20" s="1"/>
  <c r="C97" i="20"/>
  <c r="C98" i="20" s="1"/>
  <c r="C99" i="20" s="1"/>
  <c r="C96" i="20"/>
  <c r="C95" i="20"/>
  <c r="C94" i="20"/>
  <c r="C89" i="20"/>
  <c r="C90" i="20" s="1"/>
  <c r="C91" i="20" s="1"/>
  <c r="C92" i="20" s="1"/>
  <c r="C93" i="20" s="1"/>
  <c r="C85" i="20"/>
  <c r="C86" i="20" s="1"/>
  <c r="C87" i="20" s="1"/>
  <c r="C88" i="20" s="1"/>
  <c r="C84" i="20"/>
  <c r="C80" i="20"/>
  <c r="C81" i="20" s="1"/>
  <c r="C82" i="20" s="1"/>
  <c r="C83" i="20" s="1"/>
  <c r="C79" i="20"/>
  <c r="C77" i="20"/>
  <c r="C78" i="20" s="1"/>
  <c r="C75" i="20"/>
  <c r="C76" i="20" s="1"/>
  <c r="C70" i="20"/>
  <c r="C71" i="20" s="1"/>
  <c r="C72" i="20" s="1"/>
  <c r="C73" i="20" s="1"/>
  <c r="C74" i="20" s="1"/>
  <c r="C62" i="20"/>
  <c r="C63" i="20" s="1"/>
  <c r="C64" i="20" s="1"/>
  <c r="C65" i="20" s="1"/>
  <c r="C60" i="20"/>
  <c r="C61" i="20" s="1"/>
  <c r="C58" i="20"/>
  <c r="C59" i="20" s="1"/>
  <c r="C55" i="20"/>
  <c r="C56" i="20" s="1"/>
  <c r="C57" i="20" s="1"/>
  <c r="C54" i="20"/>
  <c r="C53" i="20"/>
  <c r="C47" i="20"/>
  <c r="C48" i="20" s="1"/>
  <c r="C49" i="20" s="1"/>
  <c r="C50" i="20" s="1"/>
  <c r="C51" i="20" s="1"/>
  <c r="C52" i="20" s="1"/>
  <c r="C44" i="20"/>
  <c r="C45" i="20" s="1"/>
  <c r="C46" i="20" s="1"/>
  <c r="C43" i="20"/>
  <c r="C38" i="20"/>
  <c r="C39" i="20" s="1"/>
  <c r="C40" i="20" s="1"/>
  <c r="C41" i="20" s="1"/>
  <c r="C42" i="20" s="1"/>
  <c r="C34" i="20"/>
  <c r="C35" i="20" s="1"/>
  <c r="C36" i="20" s="1"/>
  <c r="C37" i="20" s="1"/>
  <c r="C33" i="20"/>
  <c r="C31" i="20"/>
  <c r="C32" i="20" s="1"/>
  <c r="C30" i="20"/>
  <c r="C29" i="20"/>
  <c r="C20" i="20"/>
  <c r="C21" i="20" s="1"/>
  <c r="C22" i="20" s="1"/>
  <c r="C23" i="20" s="1"/>
  <c r="C24" i="20" s="1"/>
  <c r="C25" i="20" s="1"/>
  <c r="C26" i="20" s="1"/>
  <c r="C27" i="20" s="1"/>
  <c r="C28" i="20" s="1"/>
  <c r="C12" i="20"/>
  <c r="C13" i="20" s="1"/>
  <c r="C14" i="20" s="1"/>
  <c r="C15" i="20" s="1"/>
  <c r="C16" i="20" s="1"/>
  <c r="C17" i="20" s="1"/>
  <c r="C18" i="20" s="1"/>
  <c r="C19" i="20" s="1"/>
  <c r="C4" i="20"/>
  <c r="C5" i="20" s="1"/>
  <c r="C6" i="20" s="1"/>
  <c r="C7" i="20" s="1"/>
  <c r="C8" i="20" s="1"/>
  <c r="C9" i="20" s="1"/>
  <c r="C10" i="20" s="1"/>
  <c r="C11" i="20" s="1"/>
  <c r="B47" i="1"/>
  <c r="B48" i="1" s="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K173" i="1"/>
  <c r="Y173" i="1" s="1"/>
  <c r="K172" i="1"/>
  <c r="Y172" i="1" s="1"/>
  <c r="K171" i="1"/>
  <c r="Y171" i="1" s="1"/>
  <c r="K170" i="1"/>
  <c r="Y170" i="1" s="1"/>
  <c r="K169" i="1"/>
  <c r="E169" i="1" s="1"/>
  <c r="AF169" i="1" s="1"/>
  <c r="K168" i="1"/>
  <c r="W168" i="1" s="1"/>
  <c r="K167" i="1"/>
  <c r="E167" i="1" s="1"/>
  <c r="K166" i="1"/>
  <c r="E166" i="1" s="1"/>
  <c r="K165" i="1"/>
  <c r="Y165" i="1" s="1"/>
  <c r="K164" i="1"/>
  <c r="Y164" i="1" s="1"/>
  <c r="K163" i="1"/>
  <c r="Y163" i="1" s="1"/>
  <c r="K162" i="1"/>
  <c r="Y162" i="1" s="1"/>
  <c r="K161" i="1"/>
  <c r="E161" i="1" s="1"/>
  <c r="AF161" i="1" s="1"/>
  <c r="K160" i="1"/>
  <c r="Y160" i="1" s="1"/>
  <c r="K159" i="1"/>
  <c r="E159" i="1" s="1"/>
  <c r="AF159" i="1" s="1"/>
  <c r="K158" i="1"/>
  <c r="E158" i="1" s="1"/>
  <c r="AF158" i="1" s="1"/>
  <c r="K157" i="1"/>
  <c r="Y157" i="1" s="1"/>
  <c r="K156" i="1"/>
  <c r="Y156" i="1" s="1"/>
  <c r="K155" i="1"/>
  <c r="Y155" i="1" s="1"/>
  <c r="K154" i="1"/>
  <c r="Y154" i="1" s="1"/>
  <c r="K153" i="1"/>
  <c r="E153" i="1" s="1"/>
  <c r="AF153" i="1" s="1"/>
  <c r="K152" i="1"/>
  <c r="W152" i="1" s="1"/>
  <c r="K151" i="1"/>
  <c r="E151" i="1" s="1"/>
  <c r="K150" i="1"/>
  <c r="E150" i="1" s="1"/>
  <c r="AD150" i="1" s="1"/>
  <c r="K149" i="1"/>
  <c r="Y149" i="1" s="1"/>
  <c r="K148" i="1"/>
  <c r="Y148" i="1" s="1"/>
  <c r="K147" i="1"/>
  <c r="Y147" i="1" s="1"/>
  <c r="K146" i="1"/>
  <c r="Y146" i="1" s="1"/>
  <c r="K145" i="1"/>
  <c r="E145" i="1" s="1"/>
  <c r="AF145" i="1" s="1"/>
  <c r="K144" i="1"/>
  <c r="Y144" i="1" s="1"/>
  <c r="K143" i="1"/>
  <c r="E143" i="1" s="1"/>
  <c r="AF143" i="1" s="1"/>
  <c r="K142" i="1"/>
  <c r="E142" i="1" s="1"/>
  <c r="AD142" i="1" s="1"/>
  <c r="K141" i="1"/>
  <c r="Y141" i="1" s="1"/>
  <c r="K140" i="1"/>
  <c r="Y140" i="1" s="1"/>
  <c r="K139" i="1"/>
  <c r="Y139" i="1" s="1"/>
  <c r="K138" i="1"/>
  <c r="Y138" i="1" s="1"/>
  <c r="K137" i="1"/>
  <c r="E137" i="1" s="1"/>
  <c r="AF137" i="1" s="1"/>
  <c r="K136" i="1"/>
  <c r="W136" i="1" s="1"/>
  <c r="K135" i="1"/>
  <c r="E135" i="1" s="1"/>
  <c r="AD135" i="1" s="1"/>
  <c r="K134" i="1"/>
  <c r="E134" i="1" s="1"/>
  <c r="AD134" i="1" s="1"/>
  <c r="K133" i="1"/>
  <c r="Y133" i="1" s="1"/>
  <c r="K132" i="1"/>
  <c r="K131" i="1"/>
  <c r="Y131" i="1" s="1"/>
  <c r="K130" i="1"/>
  <c r="Y130" i="1" s="1"/>
  <c r="K129" i="1"/>
  <c r="E129" i="1" s="1"/>
  <c r="AF129" i="1" s="1"/>
  <c r="K128" i="1"/>
  <c r="Y128" i="1" s="1"/>
  <c r="K127" i="1"/>
  <c r="E127" i="1" s="1"/>
  <c r="AD127" i="1" s="1"/>
  <c r="K126" i="1"/>
  <c r="E126" i="1" s="1"/>
  <c r="AD126" i="1" s="1"/>
  <c r="K125" i="1"/>
  <c r="Y125" i="1" s="1"/>
  <c r="K124" i="1"/>
  <c r="E116" i="1"/>
  <c r="G116" i="1" s="1"/>
  <c r="E115" i="1"/>
  <c r="G115" i="1" s="1"/>
  <c r="E114" i="1"/>
  <c r="G114" i="1" s="1"/>
  <c r="E113" i="1"/>
  <c r="C113" i="1" s="1"/>
  <c r="E112" i="1"/>
  <c r="C112" i="1" s="1"/>
  <c r="E111" i="1"/>
  <c r="G111" i="1" s="1"/>
  <c r="C110" i="1"/>
  <c r="C109" i="1"/>
  <c r="C108" i="1"/>
  <c r="G107" i="1"/>
  <c r="C106" i="1"/>
  <c r="G105" i="1"/>
  <c r="C104" i="1"/>
  <c r="G103" i="1"/>
  <c r="C102" i="1"/>
  <c r="G89" i="1"/>
  <c r="G88" i="1"/>
  <c r="G87" i="1"/>
  <c r="G86" i="1"/>
  <c r="G85" i="1"/>
  <c r="G84" i="1"/>
  <c r="G83" i="1"/>
  <c r="G82" i="1"/>
  <c r="G81" i="1"/>
  <c r="G80" i="1"/>
  <c r="G79" i="1"/>
  <c r="G78" i="1"/>
  <c r="G71" i="1"/>
  <c r="G70" i="1"/>
  <c r="G69" i="1"/>
  <c r="G68" i="1"/>
  <c r="G67" i="1"/>
  <c r="G66" i="1"/>
  <c r="G65" i="1"/>
  <c r="G64" i="1"/>
  <c r="G63" i="1"/>
  <c r="G62" i="1"/>
  <c r="G61" i="1"/>
  <c r="G60" i="1"/>
  <c r="G851" i="27"/>
  <c r="G745" i="27"/>
  <c r="G803" i="27"/>
  <c r="G813" i="27"/>
  <c r="G816" i="27"/>
  <c r="G822" i="27"/>
  <c r="G746" i="27"/>
  <c r="G846" i="27"/>
  <c r="G844" i="27"/>
  <c r="G800" i="27"/>
  <c r="G807" i="27"/>
  <c r="G845" i="27"/>
  <c r="G793" i="27"/>
  <c r="G854" i="27"/>
  <c r="G787" i="27"/>
  <c r="G785" i="27"/>
  <c r="G733" i="27"/>
  <c r="G806" i="27"/>
  <c r="G742" i="27"/>
  <c r="G817" i="27"/>
  <c r="G795" i="27"/>
  <c r="G780" i="27"/>
  <c r="G831" i="27"/>
  <c r="G841" i="27"/>
  <c r="G781" i="27"/>
  <c r="G848" i="27"/>
  <c r="G849" i="27"/>
  <c r="G815" i="27"/>
  <c r="G729" i="27"/>
  <c r="G736" i="27"/>
  <c r="G834" i="27"/>
  <c r="G743" i="27"/>
  <c r="G796" i="27"/>
  <c r="G805" i="27"/>
  <c r="G777" i="27"/>
  <c r="G827" i="27"/>
  <c r="G772" i="27"/>
  <c r="G828" i="27"/>
  <c r="G774" i="27"/>
  <c r="G833" i="27"/>
  <c r="G819" i="27"/>
  <c r="G779" i="27"/>
  <c r="G786" i="27"/>
  <c r="G788" i="27"/>
  <c r="G728" i="27"/>
  <c r="G810" i="27"/>
  <c r="G801" i="27"/>
  <c r="G732" i="27"/>
  <c r="G811" i="27"/>
  <c r="G776" i="27"/>
  <c r="G744" i="27"/>
  <c r="G783" i="27"/>
  <c r="G797" i="27"/>
  <c r="G798" i="27"/>
  <c r="G799" i="27"/>
  <c r="G829" i="27"/>
  <c r="G730" i="27"/>
  <c r="G737" i="27"/>
  <c r="G836" i="27"/>
  <c r="G784" i="27"/>
  <c r="G812" i="27"/>
  <c r="G855" i="27"/>
  <c r="G766" i="27"/>
  <c r="G832" i="27"/>
  <c r="G838" i="27"/>
  <c r="G770" i="27"/>
  <c r="G789" i="27"/>
  <c r="G778" i="27"/>
  <c r="G843" i="27"/>
  <c r="G790" i="27"/>
  <c r="G852" i="27"/>
  <c r="G808" i="27"/>
  <c r="G839" i="27"/>
  <c r="G763" i="27"/>
  <c r="G739" i="27"/>
  <c r="G837" i="27"/>
  <c r="G764" i="27"/>
  <c r="G820" i="27"/>
  <c r="G768" i="27"/>
  <c r="G775" i="27"/>
  <c r="G825" i="27"/>
  <c r="G840" i="27"/>
  <c r="G821" i="27"/>
  <c r="G769" i="27"/>
  <c r="G802" i="27"/>
  <c r="G791" i="27"/>
  <c r="G826" i="27"/>
  <c r="G765" i="27"/>
  <c r="G835" i="27"/>
  <c r="G853" i="27"/>
  <c r="G814" i="27"/>
  <c r="G738" i="27"/>
  <c r="G773" i="27"/>
  <c r="G823" i="27"/>
  <c r="G731" i="27"/>
  <c r="G782" i="27"/>
  <c r="G804" i="27"/>
  <c r="G740" i="27"/>
  <c r="G857" i="27"/>
  <c r="G741" i="27"/>
  <c r="G824" i="27"/>
  <c r="G792" i="27"/>
  <c r="G830" i="27"/>
  <c r="G762" i="27"/>
  <c r="G847" i="27"/>
  <c r="G771" i="27"/>
  <c r="G856" i="27"/>
  <c r="G734" i="27"/>
  <c r="G809" i="27"/>
  <c r="G850" i="27"/>
  <c r="G735" i="27"/>
  <c r="G794" i="27"/>
  <c r="G842" i="27"/>
  <c r="G818" i="27"/>
  <c r="E2845" i="27" l="1"/>
  <c r="E2957" i="27"/>
  <c r="E3021" i="27"/>
  <c r="E3192" i="27"/>
  <c r="E3200" i="27"/>
  <c r="E3208" i="27"/>
  <c r="E3216" i="27"/>
  <c r="E3224" i="27"/>
  <c r="E3232" i="27"/>
  <c r="E3240" i="27"/>
  <c r="E3248" i="27"/>
  <c r="E3256" i="27"/>
  <c r="E3264" i="27"/>
  <c r="E3272" i="27"/>
  <c r="E3280" i="27"/>
  <c r="E3288" i="27"/>
  <c r="E3296" i="27"/>
  <c r="E3304" i="27"/>
  <c r="E3312" i="27"/>
  <c r="E3320" i="27"/>
  <c r="E3201" i="27"/>
  <c r="E3209" i="27"/>
  <c r="E3217" i="27"/>
  <c r="E3225" i="27"/>
  <c r="E3233" i="27"/>
  <c r="E3241" i="27"/>
  <c r="E3249" i="27"/>
  <c r="E3257" i="27"/>
  <c r="E3265" i="27"/>
  <c r="E3273" i="27"/>
  <c r="E3281" i="27"/>
  <c r="E3289" i="27"/>
  <c r="E3297" i="27"/>
  <c r="E3305" i="27"/>
  <c r="E3313" i="27"/>
  <c r="E3321" i="27"/>
  <c r="E3213" i="27"/>
  <c r="E3277" i="27"/>
  <c r="E2846" i="27"/>
  <c r="F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3030" i="27"/>
  <c r="E3038" i="27"/>
  <c r="E3046" i="27"/>
  <c r="E3054" i="27"/>
  <c r="E3062" i="27"/>
  <c r="E3070" i="27"/>
  <c r="E3078" i="27"/>
  <c r="E3086" i="27"/>
  <c r="E3094" i="27"/>
  <c r="E3102" i="27"/>
  <c r="E3110" i="27"/>
  <c r="E3118" i="27"/>
  <c r="E3126" i="27"/>
  <c r="E3134" i="27"/>
  <c r="E3142" i="27"/>
  <c r="E3150" i="27"/>
  <c r="E3158" i="27"/>
  <c r="E3166" i="27"/>
  <c r="E3174" i="27"/>
  <c r="E3085" i="27"/>
  <c r="E2847" i="27"/>
  <c r="F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3023" i="27"/>
  <c r="E3031" i="27"/>
  <c r="E3039" i="27"/>
  <c r="E3047" i="27"/>
  <c r="E3055" i="27"/>
  <c r="E3063" i="27"/>
  <c r="E3071" i="27"/>
  <c r="E3079" i="27"/>
  <c r="E3087" i="27"/>
  <c r="E3095" i="27"/>
  <c r="E3103" i="27"/>
  <c r="E3111" i="27"/>
  <c r="E3119" i="27"/>
  <c r="E3127" i="27"/>
  <c r="E3135" i="27"/>
  <c r="E3143" i="27"/>
  <c r="E3151" i="27"/>
  <c r="E3159" i="27"/>
  <c r="E3167" i="27"/>
  <c r="E3175" i="27"/>
  <c r="E3183" i="27"/>
  <c r="E3149" i="27"/>
  <c r="E2848" i="27"/>
  <c r="F2848" i="27"/>
  <c r="E2856" i="27"/>
  <c r="E2864" i="27"/>
  <c r="E2872" i="27"/>
  <c r="E2880" i="27"/>
  <c r="E2888" i="27"/>
  <c r="E2896" i="27"/>
  <c r="E2904" i="27"/>
  <c r="E2912" i="27"/>
  <c r="E2920" i="27"/>
  <c r="E2928" i="27"/>
  <c r="E2936" i="27"/>
  <c r="E2944" i="27"/>
  <c r="E2952" i="27"/>
  <c r="E2960" i="27"/>
  <c r="E2968" i="27"/>
  <c r="E2976" i="27"/>
  <c r="E2984" i="27"/>
  <c r="E2992" i="27"/>
  <c r="E3000" i="27"/>
  <c r="E3008" i="27"/>
  <c r="E3016" i="27"/>
  <c r="E3024" i="27"/>
  <c r="E3032" i="27"/>
  <c r="E3040" i="27"/>
  <c r="E3048" i="27"/>
  <c r="E3056" i="27"/>
  <c r="E3064" i="27"/>
  <c r="E3072" i="27"/>
  <c r="E3080" i="27"/>
  <c r="E3088" i="27"/>
  <c r="E3096" i="27"/>
  <c r="E3104" i="27"/>
  <c r="E3112" i="27"/>
  <c r="E3120" i="27"/>
  <c r="E3128" i="27"/>
  <c r="E3136" i="27"/>
  <c r="E3144" i="27"/>
  <c r="E3152" i="27"/>
  <c r="E3160" i="27"/>
  <c r="E3168" i="27"/>
  <c r="E3176" i="27"/>
  <c r="E3184"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3081" i="27"/>
  <c r="E3089" i="27"/>
  <c r="E3097" i="27"/>
  <c r="E3105" i="27"/>
  <c r="E3113" i="27"/>
  <c r="E3121" i="27"/>
  <c r="E3129" i="27"/>
  <c r="E3137" i="27"/>
  <c r="E3145" i="27"/>
  <c r="E3153" i="27"/>
  <c r="E3161" i="27"/>
  <c r="E3169" i="27"/>
  <c r="E3177" i="27"/>
  <c r="E3185" i="27"/>
  <c r="E3193"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3026" i="27"/>
  <c r="E3034" i="27"/>
  <c r="E3042" i="27"/>
  <c r="E3050" i="27"/>
  <c r="E3058" i="27"/>
  <c r="E3066" i="27"/>
  <c r="E3074" i="27"/>
  <c r="E3082" i="27"/>
  <c r="E3090" i="27"/>
  <c r="E3098" i="27"/>
  <c r="E3106" i="27"/>
  <c r="E3114" i="27"/>
  <c r="E3122" i="27"/>
  <c r="E3130" i="27"/>
  <c r="E3138" i="27"/>
  <c r="E3146" i="27"/>
  <c r="E3154" i="27"/>
  <c r="E3162" i="27"/>
  <c r="E3170" i="27"/>
  <c r="E3178" i="27"/>
  <c r="E3186" i="27"/>
  <c r="E3194" i="27"/>
  <c r="E3202" i="27"/>
  <c r="E3210" i="27"/>
  <c r="E3218" i="27"/>
  <c r="E3226" i="27"/>
  <c r="E3234" i="27"/>
  <c r="E3242" i="27"/>
  <c r="E3250" i="27"/>
  <c r="E3258" i="27"/>
  <c r="E3266" i="27"/>
  <c r="E3274" i="27"/>
  <c r="E3282" i="27"/>
  <c r="E3290" i="27"/>
  <c r="E3298" i="27"/>
  <c r="E3306" i="27"/>
  <c r="E3314" i="27"/>
  <c r="E3322" i="27"/>
  <c r="F2845" i="27"/>
  <c r="E2843" i="27"/>
  <c r="F2843"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3027" i="27"/>
  <c r="E3035" i="27"/>
  <c r="E3043" i="27"/>
  <c r="E3051" i="27"/>
  <c r="E3059" i="27"/>
  <c r="E3067" i="27"/>
  <c r="E3075" i="27"/>
  <c r="E3083" i="27"/>
  <c r="E3091" i="27"/>
  <c r="E3099" i="27"/>
  <c r="E3107" i="27"/>
  <c r="E3115" i="27"/>
  <c r="E3123" i="27"/>
  <c r="E3131" i="27"/>
  <c r="E3139" i="27"/>
  <c r="E3147" i="27"/>
  <c r="E3155" i="27"/>
  <c r="E3163" i="27"/>
  <c r="E3171" i="27"/>
  <c r="E3179" i="27"/>
  <c r="E3187" i="27"/>
  <c r="E2844" i="27"/>
  <c r="F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3076" i="27"/>
  <c r="E3084" i="27"/>
  <c r="E3092" i="27"/>
  <c r="E3100" i="27"/>
  <c r="E3108" i="27"/>
  <c r="E3116" i="27"/>
  <c r="E3124" i="27"/>
  <c r="E3132" i="27"/>
  <c r="E3140" i="27"/>
  <c r="E3148" i="27"/>
  <c r="E3156" i="27"/>
  <c r="E3164" i="27"/>
  <c r="E3172" i="27"/>
  <c r="E3180" i="27"/>
  <c r="E3188" i="27"/>
  <c r="E2853" i="27"/>
  <c r="E2861" i="27"/>
  <c r="E2869" i="27"/>
  <c r="E2877" i="27"/>
  <c r="E2885" i="27"/>
  <c r="E2893" i="27"/>
  <c r="E2901" i="27"/>
  <c r="E2909" i="27"/>
  <c r="E2917" i="27"/>
  <c r="E2925" i="27"/>
  <c r="E2933" i="27"/>
  <c r="E2941" i="27"/>
  <c r="E2949" i="27"/>
  <c r="E2965" i="27"/>
  <c r="E2973" i="27"/>
  <c r="E2981" i="27"/>
  <c r="E2989" i="27"/>
  <c r="E2997" i="27"/>
  <c r="E3005" i="27"/>
  <c r="E3013" i="27"/>
  <c r="E3029" i="27"/>
  <c r="E3037" i="27"/>
  <c r="E3045" i="27"/>
  <c r="E3053" i="27"/>
  <c r="E3061" i="27"/>
  <c r="E3069" i="27"/>
  <c r="E3077" i="27"/>
  <c r="E3093" i="27"/>
  <c r="E3101" i="27"/>
  <c r="E3109" i="27"/>
  <c r="E3117" i="27"/>
  <c r="E3125" i="27"/>
  <c r="E3133" i="27"/>
  <c r="E3141" i="27"/>
  <c r="E3157" i="27"/>
  <c r="E3165" i="27"/>
  <c r="E3173" i="27"/>
  <c r="E3181" i="27"/>
  <c r="E3189" i="27"/>
  <c r="E3197" i="27"/>
  <c r="E3205" i="27"/>
  <c r="E3221" i="27"/>
  <c r="E3229" i="27"/>
  <c r="E3237" i="27"/>
  <c r="E3245" i="27"/>
  <c r="E3253" i="27"/>
  <c r="E3261" i="27"/>
  <c r="E3269" i="27"/>
  <c r="E3285" i="27"/>
  <c r="E3293" i="27"/>
  <c r="E3301" i="27"/>
  <c r="E3309" i="27"/>
  <c r="E3317" i="27"/>
  <c r="E3195" i="27"/>
  <c r="E3203" i="27"/>
  <c r="E3211" i="27"/>
  <c r="E3219" i="27"/>
  <c r="E3227" i="27"/>
  <c r="E3235" i="27"/>
  <c r="E3243" i="27"/>
  <c r="E3251" i="27"/>
  <c r="E3259" i="27"/>
  <c r="E3267" i="27"/>
  <c r="E3275" i="27"/>
  <c r="E3283" i="27"/>
  <c r="E3291" i="27"/>
  <c r="E3299" i="27"/>
  <c r="E3307" i="27"/>
  <c r="E3315" i="27"/>
  <c r="E3196" i="27"/>
  <c r="E3204" i="27"/>
  <c r="E3212" i="27"/>
  <c r="E3220" i="27"/>
  <c r="E3228" i="27"/>
  <c r="E3236" i="27"/>
  <c r="E3244" i="27"/>
  <c r="E3252" i="27"/>
  <c r="E3260" i="27"/>
  <c r="E3268" i="27"/>
  <c r="E3276" i="27"/>
  <c r="E3284" i="27"/>
  <c r="E3292" i="27"/>
  <c r="E3300" i="27"/>
  <c r="E3308" i="27"/>
  <c r="E3316" i="27"/>
  <c r="E3182" i="27"/>
  <c r="E3190" i="27"/>
  <c r="E3198" i="27"/>
  <c r="E3206" i="27"/>
  <c r="E3214" i="27"/>
  <c r="E3222" i="27"/>
  <c r="E3230" i="27"/>
  <c r="E3238" i="27"/>
  <c r="E3246" i="27"/>
  <c r="E3254" i="27"/>
  <c r="E3262" i="27"/>
  <c r="E3270" i="27"/>
  <c r="E3278" i="27"/>
  <c r="E3286" i="27"/>
  <c r="E3294" i="27"/>
  <c r="E3302" i="27"/>
  <c r="E3310" i="27"/>
  <c r="E3318" i="27"/>
  <c r="E3191" i="27"/>
  <c r="E3199" i="27"/>
  <c r="E3207" i="27"/>
  <c r="E3215" i="27"/>
  <c r="E3223" i="27"/>
  <c r="E3231" i="27"/>
  <c r="E3239" i="27"/>
  <c r="E3247" i="27"/>
  <c r="E3255" i="27"/>
  <c r="E3263" i="27"/>
  <c r="E3271" i="27"/>
  <c r="E3279" i="27"/>
  <c r="E3287" i="27"/>
  <c r="E3295" i="27"/>
  <c r="E3303" i="27"/>
  <c r="E3311" i="27"/>
  <c r="E3319" i="27"/>
  <c r="I239" i="27"/>
  <c r="C239" i="27"/>
  <c r="B240" i="27"/>
  <c r="B241" i="27" s="1"/>
  <c r="I6" i="27"/>
  <c r="I7" i="27" s="1"/>
  <c r="I8" i="27" s="1"/>
  <c r="I9" i="27" s="1"/>
  <c r="I10" i="27" s="1"/>
  <c r="I11" i="27" s="1"/>
  <c r="I12" i="27" s="1"/>
  <c r="I13" i="27" s="1"/>
  <c r="I14" i="27" s="1"/>
  <c r="I15" i="27" s="1"/>
  <c r="I16" i="27" s="1"/>
  <c r="I17" i="27" s="1"/>
  <c r="I18" i="27" s="1"/>
  <c r="C19" i="27"/>
  <c r="E700" i="27"/>
  <c r="E724" i="27"/>
  <c r="E812" i="27"/>
  <c r="E852" i="27"/>
  <c r="E860" i="27"/>
  <c r="E764" i="27"/>
  <c r="E708" i="27"/>
  <c r="E732" i="27"/>
  <c r="E756" i="27"/>
  <c r="E694" i="27"/>
  <c r="E716" i="27"/>
  <c r="E748" i="27"/>
  <c r="E788" i="27"/>
  <c r="H692" i="27"/>
  <c r="E772" i="27"/>
  <c r="E796" i="27"/>
  <c r="H693" i="27"/>
  <c r="E780" i="27"/>
  <c r="E804" i="27"/>
  <c r="E820" i="27"/>
  <c r="E828" i="27"/>
  <c r="E844" i="27"/>
  <c r="E868" i="27"/>
  <c r="E693" i="27"/>
  <c r="E740" i="27"/>
  <c r="E695" i="27"/>
  <c r="E763" i="27"/>
  <c r="E771" i="27"/>
  <c r="E779" i="27"/>
  <c r="E787" i="27"/>
  <c r="E795" i="27"/>
  <c r="E803" i="27"/>
  <c r="E811" i="27"/>
  <c r="E819" i="27"/>
  <c r="E827" i="27"/>
  <c r="E835" i="27"/>
  <c r="E843" i="27"/>
  <c r="E851" i="27"/>
  <c r="E859" i="27"/>
  <c r="E867" i="27"/>
  <c r="E808" i="27"/>
  <c r="E816" i="27"/>
  <c r="E824" i="27"/>
  <c r="E832" i="27"/>
  <c r="E840" i="27"/>
  <c r="E848" i="27"/>
  <c r="E856" i="27"/>
  <c r="E864" i="27"/>
  <c r="E766" i="27"/>
  <c r="E774" i="27"/>
  <c r="E781" i="27"/>
  <c r="E701" i="27"/>
  <c r="E709" i="27"/>
  <c r="E717" i="27"/>
  <c r="E725" i="27"/>
  <c r="E733" i="27"/>
  <c r="E741" i="27"/>
  <c r="E749" i="27"/>
  <c r="E757" i="27"/>
  <c r="E765" i="27"/>
  <c r="E773" i="27"/>
  <c r="E789" i="27"/>
  <c r="E797" i="27"/>
  <c r="E805" i="27"/>
  <c r="E813" i="27"/>
  <c r="E821" i="27"/>
  <c r="E829" i="27"/>
  <c r="E837" i="27"/>
  <c r="E845" i="27"/>
  <c r="E853" i="27"/>
  <c r="E861" i="27"/>
  <c r="E869" i="27"/>
  <c r="E702" i="27"/>
  <c r="E710" i="27"/>
  <c r="E718" i="27"/>
  <c r="E726" i="27"/>
  <c r="E734" i="27"/>
  <c r="E742" i="27"/>
  <c r="E750" i="27"/>
  <c r="E758" i="27"/>
  <c r="E782" i="27"/>
  <c r="E790" i="27"/>
  <c r="E798" i="27"/>
  <c r="E806" i="27"/>
  <c r="E814" i="27"/>
  <c r="E822" i="27"/>
  <c r="E830" i="27"/>
  <c r="E838" i="27"/>
  <c r="E846" i="27"/>
  <c r="E854" i="27"/>
  <c r="E862" i="27"/>
  <c r="E870" i="27"/>
  <c r="E703" i="27"/>
  <c r="E711" i="27"/>
  <c r="E719" i="27"/>
  <c r="E727" i="27"/>
  <c r="E735" i="27"/>
  <c r="E743" i="27"/>
  <c r="E751" i="27"/>
  <c r="E759" i="27"/>
  <c r="E767" i="27"/>
  <c r="E775" i="27"/>
  <c r="E783" i="27"/>
  <c r="E791" i="27"/>
  <c r="E799" i="27"/>
  <c r="E807" i="27"/>
  <c r="E815" i="27"/>
  <c r="E823" i="27"/>
  <c r="E831" i="27"/>
  <c r="E839" i="27"/>
  <c r="E847" i="27"/>
  <c r="E855" i="27"/>
  <c r="E863" i="27"/>
  <c r="E871" i="27"/>
  <c r="E836" i="27"/>
  <c r="E696" i="27"/>
  <c r="E704" i="27"/>
  <c r="E712" i="27"/>
  <c r="E720" i="27"/>
  <c r="E728" i="27"/>
  <c r="E736" i="27"/>
  <c r="E744" i="27"/>
  <c r="E752" i="27"/>
  <c r="E760" i="27"/>
  <c r="E768" i="27"/>
  <c r="E776" i="27"/>
  <c r="E784" i="27"/>
  <c r="E792" i="27"/>
  <c r="E800" i="27"/>
  <c r="E697" i="27"/>
  <c r="E705" i="27"/>
  <c r="E713" i="27"/>
  <c r="E721" i="27"/>
  <c r="E729" i="27"/>
  <c r="E737" i="27"/>
  <c r="E745" i="27"/>
  <c r="E753" i="27"/>
  <c r="E761" i="27"/>
  <c r="E769" i="27"/>
  <c r="E777" i="27"/>
  <c r="E785" i="27"/>
  <c r="E793" i="27"/>
  <c r="E801" i="27"/>
  <c r="E809" i="27"/>
  <c r="E817" i="27"/>
  <c r="E825" i="27"/>
  <c r="E833" i="27"/>
  <c r="E841" i="27"/>
  <c r="E849" i="27"/>
  <c r="E857" i="27"/>
  <c r="E865" i="27"/>
  <c r="E698" i="27"/>
  <c r="E706" i="27"/>
  <c r="E714" i="27"/>
  <c r="E722" i="27"/>
  <c r="E730" i="27"/>
  <c r="E738" i="27"/>
  <c r="E746" i="27"/>
  <c r="E754" i="27"/>
  <c r="E762" i="27"/>
  <c r="E770" i="27"/>
  <c r="E778" i="27"/>
  <c r="E786" i="27"/>
  <c r="E794" i="27"/>
  <c r="E802" i="27"/>
  <c r="E810" i="27"/>
  <c r="E818" i="27"/>
  <c r="E826" i="27"/>
  <c r="E834" i="27"/>
  <c r="E842" i="27"/>
  <c r="E850" i="27"/>
  <c r="E858" i="27"/>
  <c r="E866" i="27"/>
  <c r="E699" i="27"/>
  <c r="E707" i="27"/>
  <c r="E715" i="27"/>
  <c r="E723" i="27"/>
  <c r="E731" i="27"/>
  <c r="E739" i="27"/>
  <c r="E747" i="27"/>
  <c r="E755" i="27"/>
  <c r="E362" i="27"/>
  <c r="E426" i="27"/>
  <c r="E351" i="27"/>
  <c r="E352" i="27"/>
  <c r="H352" i="27"/>
  <c r="E353" i="27"/>
  <c r="E361" i="27"/>
  <c r="E369" i="27"/>
  <c r="E377" i="27"/>
  <c r="E385" i="27"/>
  <c r="E393" i="27"/>
  <c r="E401" i="27"/>
  <c r="E409" i="27"/>
  <c r="E417" i="27"/>
  <c r="E354" i="27"/>
  <c r="E386" i="27"/>
  <c r="E394" i="27"/>
  <c r="E402" i="27"/>
  <c r="E410" i="27"/>
  <c r="E418" i="27"/>
  <c r="E439" i="27"/>
  <c r="E370" i="27"/>
  <c r="E431" i="27"/>
  <c r="E359" i="27"/>
  <c r="E367" i="27"/>
  <c r="E375" i="27"/>
  <c r="E383" i="27"/>
  <c r="E391" i="27"/>
  <c r="E399" i="27"/>
  <c r="E407" i="27"/>
  <c r="E415" i="27"/>
  <c r="E423" i="27"/>
  <c r="H353" i="27"/>
  <c r="E378" i="27"/>
  <c r="E434" i="27"/>
  <c r="H354" i="27"/>
  <c r="H355" i="27"/>
  <c r="E360" i="27"/>
  <c r="E368" i="27"/>
  <c r="E376" i="27"/>
  <c r="E384" i="27"/>
  <c r="E392" i="27"/>
  <c r="E400" i="27"/>
  <c r="E408" i="27"/>
  <c r="E416" i="27"/>
  <c r="E424" i="27"/>
  <c r="E432" i="27"/>
  <c r="H350" i="27"/>
  <c r="E425" i="27"/>
  <c r="E433" i="27"/>
  <c r="E355" i="27"/>
  <c r="N355" i="27" s="1"/>
  <c r="E363" i="27"/>
  <c r="E371" i="27"/>
  <c r="E379" i="27"/>
  <c r="E387" i="27"/>
  <c r="E395" i="27"/>
  <c r="E403" i="27"/>
  <c r="E411" i="27"/>
  <c r="E419" i="27"/>
  <c r="E427" i="27"/>
  <c r="E435" i="27"/>
  <c r="E356" i="27"/>
  <c r="E364" i="27"/>
  <c r="E372" i="27"/>
  <c r="E380" i="27"/>
  <c r="E388" i="27"/>
  <c r="E396" i="27"/>
  <c r="E404" i="27"/>
  <c r="E412" i="27"/>
  <c r="E420" i="27"/>
  <c r="E428" i="27"/>
  <c r="E436" i="27"/>
  <c r="E357" i="27"/>
  <c r="E365" i="27"/>
  <c r="E373" i="27"/>
  <c r="E381" i="27"/>
  <c r="E389" i="27"/>
  <c r="E397" i="27"/>
  <c r="E405" i="27"/>
  <c r="E413" i="27"/>
  <c r="E421" i="27"/>
  <c r="E429" i="27"/>
  <c r="E437" i="27"/>
  <c r="E350" i="27"/>
  <c r="E358" i="27"/>
  <c r="E366" i="27"/>
  <c r="E374" i="27"/>
  <c r="E382" i="27"/>
  <c r="E390" i="27"/>
  <c r="E398" i="27"/>
  <c r="E406" i="27"/>
  <c r="E414" i="27"/>
  <c r="E422" i="27"/>
  <c r="E430" i="27"/>
  <c r="E438" i="27"/>
  <c r="E213" i="27"/>
  <c r="K213" i="27" s="1"/>
  <c r="E131" i="27"/>
  <c r="E189" i="27"/>
  <c r="K189" i="27" s="1"/>
  <c r="E197" i="27"/>
  <c r="E205" i="27"/>
  <c r="E192" i="27"/>
  <c r="E132" i="27"/>
  <c r="E136" i="27"/>
  <c r="E165" i="27"/>
  <c r="E212" i="27"/>
  <c r="E148" i="27"/>
  <c r="E156" i="27"/>
  <c r="E180" i="27"/>
  <c r="E204" i="27"/>
  <c r="E130" i="27"/>
  <c r="E149" i="27"/>
  <c r="E157" i="27"/>
  <c r="E181" i="27"/>
  <c r="E184" i="27"/>
  <c r="E164" i="27"/>
  <c r="E188" i="27"/>
  <c r="E208" i="27"/>
  <c r="E139" i="27"/>
  <c r="E147" i="27"/>
  <c r="E155" i="27"/>
  <c r="E163" i="27"/>
  <c r="E171" i="27"/>
  <c r="E179" i="27"/>
  <c r="E187" i="27"/>
  <c r="E195" i="27"/>
  <c r="E203" i="27"/>
  <c r="E211" i="27"/>
  <c r="E219" i="27"/>
  <c r="H134" i="27"/>
  <c r="E140" i="27"/>
  <c r="E172" i="27"/>
  <c r="E141" i="27"/>
  <c r="E173" i="27"/>
  <c r="E196" i="27"/>
  <c r="E216" i="27"/>
  <c r="E176" i="27"/>
  <c r="E200" i="27"/>
  <c r="E133" i="27"/>
  <c r="E146" i="27"/>
  <c r="E154" i="27"/>
  <c r="E144" i="27"/>
  <c r="E134" i="27"/>
  <c r="E142" i="27"/>
  <c r="E150" i="27"/>
  <c r="E158" i="27"/>
  <c r="E166" i="27"/>
  <c r="E174" i="27"/>
  <c r="E182" i="27"/>
  <c r="E190" i="27"/>
  <c r="E198" i="27"/>
  <c r="E206" i="27"/>
  <c r="E214" i="27"/>
  <c r="E135" i="27"/>
  <c r="E143" i="27"/>
  <c r="E151" i="27"/>
  <c r="E159" i="27"/>
  <c r="E167" i="27"/>
  <c r="E175" i="27"/>
  <c r="E183" i="27"/>
  <c r="E191" i="27"/>
  <c r="E199" i="27"/>
  <c r="E207" i="27"/>
  <c r="E215" i="27"/>
  <c r="E152" i="27"/>
  <c r="E160" i="27"/>
  <c r="E168" i="27"/>
  <c r="E137" i="27"/>
  <c r="E145" i="27"/>
  <c r="E153" i="27"/>
  <c r="E161" i="27"/>
  <c r="E169" i="27"/>
  <c r="E177" i="27"/>
  <c r="E185" i="27"/>
  <c r="E193" i="27"/>
  <c r="E201" i="27"/>
  <c r="E209" i="27"/>
  <c r="E217" i="27"/>
  <c r="E138" i="27"/>
  <c r="E162" i="27"/>
  <c r="E170" i="27"/>
  <c r="E178" i="27"/>
  <c r="E186" i="27"/>
  <c r="E194" i="27"/>
  <c r="E202" i="27"/>
  <c r="E210" i="27"/>
  <c r="E218" i="27"/>
  <c r="B21" i="27"/>
  <c r="C21" i="27" s="1"/>
  <c r="I19" i="27"/>
  <c r="I20" i="27" s="1"/>
  <c r="B242" i="27"/>
  <c r="C241" i="27"/>
  <c r="C240" i="27"/>
  <c r="C20" i="27"/>
  <c r="C103" i="1"/>
  <c r="C111" i="1"/>
  <c r="C38" i="19" a="1"/>
  <c r="C38" i="19" s="1"/>
  <c r="E136" i="1"/>
  <c r="AD136" i="1" s="1"/>
  <c r="E152" i="1"/>
  <c r="AD152" i="1" s="1"/>
  <c r="E165" i="1"/>
  <c r="AF165" i="1" s="1"/>
  <c r="E125" i="1"/>
  <c r="AD125" i="1" s="1"/>
  <c r="E173" i="1"/>
  <c r="AF173" i="1" s="1"/>
  <c r="E133" i="1"/>
  <c r="AD133" i="1" s="1"/>
  <c r="E157" i="1"/>
  <c r="AF157" i="1" s="1"/>
  <c r="E149" i="1"/>
  <c r="AD149" i="1" s="1"/>
  <c r="E168" i="1"/>
  <c r="AD168" i="1" s="1"/>
  <c r="E141" i="1"/>
  <c r="AD141" i="1" s="1"/>
  <c r="E164" i="1"/>
  <c r="AF164" i="1" s="1"/>
  <c r="E140" i="1"/>
  <c r="AF140" i="1" s="1"/>
  <c r="E148" i="1"/>
  <c r="AD148" i="1" s="1"/>
  <c r="E172" i="1"/>
  <c r="AD172" i="1" s="1"/>
  <c r="E156" i="1"/>
  <c r="AF156" i="1" s="1"/>
  <c r="B49" i="1"/>
  <c r="G113" i="1"/>
  <c r="W165" i="1"/>
  <c r="C114" i="1"/>
  <c r="G106" i="1"/>
  <c r="W162" i="1"/>
  <c r="E144" i="1"/>
  <c r="AF144" i="1" s="1"/>
  <c r="E160" i="1"/>
  <c r="AF160" i="1" s="1"/>
  <c r="W170" i="1"/>
  <c r="E128" i="1"/>
  <c r="AF128" i="1" s="1"/>
  <c r="E146" i="1"/>
  <c r="AF146" i="1" s="1"/>
  <c r="E162" i="1"/>
  <c r="AF162" i="1" s="1"/>
  <c r="W173" i="1"/>
  <c r="E130" i="1"/>
  <c r="AF130" i="1" s="1"/>
  <c r="E138" i="1"/>
  <c r="AF138" i="1" s="1"/>
  <c r="E154" i="1"/>
  <c r="AF154" i="1" s="1"/>
  <c r="E170" i="1"/>
  <c r="AF170" i="1" s="1"/>
  <c r="C116" i="1"/>
  <c r="W127" i="1"/>
  <c r="W135" i="1"/>
  <c r="W143" i="1"/>
  <c r="W151" i="1"/>
  <c r="W159" i="1"/>
  <c r="W167" i="1"/>
  <c r="Y136" i="1"/>
  <c r="Y152" i="1"/>
  <c r="Y168" i="1"/>
  <c r="AF135" i="1"/>
  <c r="AF151" i="1"/>
  <c r="AF167" i="1"/>
  <c r="E131" i="1"/>
  <c r="AD157" i="1"/>
  <c r="E171" i="1"/>
  <c r="W128" i="1"/>
  <c r="W144" i="1"/>
  <c r="W160" i="1"/>
  <c r="Y137" i="1"/>
  <c r="Y153" i="1"/>
  <c r="Y169" i="1"/>
  <c r="G108" i="1"/>
  <c r="E147" i="1"/>
  <c r="W129" i="1"/>
  <c r="W137" i="1"/>
  <c r="W145" i="1"/>
  <c r="W153" i="1"/>
  <c r="W161" i="1"/>
  <c r="W169" i="1"/>
  <c r="Y126" i="1"/>
  <c r="Y142" i="1"/>
  <c r="Y158" i="1"/>
  <c r="AF125" i="1"/>
  <c r="W130" i="1"/>
  <c r="W138" i="1"/>
  <c r="W146" i="1"/>
  <c r="W154" i="1"/>
  <c r="Y127" i="1"/>
  <c r="Y143" i="1"/>
  <c r="Y159" i="1"/>
  <c r="AD129" i="1"/>
  <c r="AD145" i="1"/>
  <c r="AD161" i="1"/>
  <c r="AF126" i="1"/>
  <c r="AF142" i="1"/>
  <c r="E163" i="1"/>
  <c r="E124" i="1"/>
  <c r="Y124" i="1"/>
  <c r="E132" i="1"/>
  <c r="Y132" i="1"/>
  <c r="W131" i="1"/>
  <c r="W139" i="1"/>
  <c r="W147" i="1"/>
  <c r="W155" i="1"/>
  <c r="W163" i="1"/>
  <c r="W171" i="1"/>
  <c r="AF127" i="1"/>
  <c r="E139" i="1"/>
  <c r="W124" i="1"/>
  <c r="W132" i="1"/>
  <c r="W140" i="1"/>
  <c r="W148" i="1"/>
  <c r="W156" i="1"/>
  <c r="W164" i="1"/>
  <c r="W172" i="1"/>
  <c r="Y129" i="1"/>
  <c r="Y145" i="1"/>
  <c r="Y161" i="1"/>
  <c r="AD166" i="1"/>
  <c r="W125" i="1"/>
  <c r="W133" i="1"/>
  <c r="W141" i="1"/>
  <c r="W149" i="1"/>
  <c r="W157" i="1"/>
  <c r="Y134" i="1"/>
  <c r="Y150" i="1"/>
  <c r="Y166" i="1"/>
  <c r="AD158" i="1"/>
  <c r="E155" i="1"/>
  <c r="AD143" i="1"/>
  <c r="AD151" i="1"/>
  <c r="AD159" i="1"/>
  <c r="AD167" i="1"/>
  <c r="W126" i="1"/>
  <c r="W134" i="1"/>
  <c r="W142" i="1"/>
  <c r="W150" i="1"/>
  <c r="W158" i="1"/>
  <c r="W166" i="1"/>
  <c r="Y135" i="1"/>
  <c r="Y151" i="1"/>
  <c r="Y167" i="1"/>
  <c r="AD137" i="1"/>
  <c r="AD153" i="1"/>
  <c r="AD169" i="1"/>
  <c r="AF134" i="1"/>
  <c r="AF150" i="1"/>
  <c r="AF166" i="1"/>
  <c r="C115" i="1"/>
  <c r="G109" i="1"/>
  <c r="C105" i="1"/>
  <c r="G102" i="1"/>
  <c r="G110" i="1"/>
  <c r="C107" i="1"/>
  <c r="G104" i="1"/>
  <c r="G112" i="1"/>
  <c r="B223" i="27"/>
  <c r="B3" i="27"/>
  <c r="I3" i="27" s="1"/>
  <c r="B2" i="27"/>
  <c r="U3" i="27"/>
  <c r="G747" i="27"/>
  <c r="F2849" i="27" l="1"/>
  <c r="I240" i="27"/>
  <c r="B22" i="27"/>
  <c r="C22" i="27" s="1"/>
  <c r="I241" i="27"/>
  <c r="H698" i="27"/>
  <c r="M438" i="27"/>
  <c r="N438" i="27"/>
  <c r="M432" i="27"/>
  <c r="N432" i="27"/>
  <c r="M415" i="27"/>
  <c r="N415" i="27"/>
  <c r="M354" i="27"/>
  <c r="N354" i="27"/>
  <c r="M361" i="27"/>
  <c r="N361" i="27"/>
  <c r="M366" i="27"/>
  <c r="N366" i="27"/>
  <c r="M420" i="27"/>
  <c r="N420" i="27"/>
  <c r="M379" i="27"/>
  <c r="N379" i="27"/>
  <c r="M360" i="27"/>
  <c r="N360" i="27"/>
  <c r="M372" i="27"/>
  <c r="N372" i="27"/>
  <c r="M397" i="27"/>
  <c r="N397" i="27"/>
  <c r="M439" i="27"/>
  <c r="N439" i="27"/>
  <c r="M409" i="27"/>
  <c r="N409" i="27"/>
  <c r="M408" i="27"/>
  <c r="N408" i="27"/>
  <c r="M427" i="27"/>
  <c r="N427" i="27"/>
  <c r="M391" i="27"/>
  <c r="N391" i="27"/>
  <c r="M396" i="27"/>
  <c r="N396" i="27"/>
  <c r="M414" i="27"/>
  <c r="N414" i="27"/>
  <c r="M373" i="27"/>
  <c r="N373" i="27"/>
  <c r="M433" i="27"/>
  <c r="N433" i="27"/>
  <c r="M378" i="27"/>
  <c r="N378" i="27"/>
  <c r="M402" i="27"/>
  <c r="N402" i="27"/>
  <c r="M385" i="27"/>
  <c r="N385" i="27"/>
  <c r="J426" i="27"/>
  <c r="N426" i="27"/>
  <c r="M390" i="27"/>
  <c r="N390" i="27"/>
  <c r="M421" i="27"/>
  <c r="N421" i="27"/>
  <c r="M403" i="27"/>
  <c r="N403" i="27"/>
  <c r="M384" i="27"/>
  <c r="N384" i="27"/>
  <c r="M367" i="27"/>
  <c r="N367" i="27"/>
  <c r="L355" i="27"/>
  <c r="M355" i="27"/>
  <c r="K426" i="27"/>
  <c r="M426" i="27"/>
  <c r="K366" i="27"/>
  <c r="L366" i="27"/>
  <c r="K397" i="27"/>
  <c r="L397" i="27"/>
  <c r="K420" i="27"/>
  <c r="L420" i="27"/>
  <c r="K379" i="27"/>
  <c r="L379" i="27"/>
  <c r="K360" i="27"/>
  <c r="L360" i="27"/>
  <c r="K439" i="27"/>
  <c r="L439" i="27"/>
  <c r="K409" i="27"/>
  <c r="L409" i="27"/>
  <c r="K414" i="27"/>
  <c r="L414" i="27"/>
  <c r="K427" i="27"/>
  <c r="L427" i="27"/>
  <c r="K408" i="27"/>
  <c r="L408" i="27"/>
  <c r="K391" i="27"/>
  <c r="L391" i="27"/>
  <c r="K373" i="27"/>
  <c r="L373" i="27"/>
  <c r="K396" i="27"/>
  <c r="L396" i="27"/>
  <c r="K433" i="27"/>
  <c r="L433" i="27"/>
  <c r="K378" i="27"/>
  <c r="L378" i="27"/>
  <c r="K402" i="27"/>
  <c r="L402" i="27"/>
  <c r="K385" i="27"/>
  <c r="L385" i="27"/>
  <c r="K384" i="27"/>
  <c r="L384" i="27"/>
  <c r="K367" i="27"/>
  <c r="L367" i="27"/>
  <c r="K390" i="27"/>
  <c r="L390" i="27"/>
  <c r="K403" i="27"/>
  <c r="L403" i="27"/>
  <c r="K372" i="27"/>
  <c r="L372" i="27"/>
  <c r="I426" i="27"/>
  <c r="L426" i="27"/>
  <c r="K421" i="27"/>
  <c r="L421" i="27"/>
  <c r="K438" i="27"/>
  <c r="L438" i="27"/>
  <c r="K432" i="27"/>
  <c r="L432" i="27"/>
  <c r="K415" i="27"/>
  <c r="L415" i="27"/>
  <c r="K354" i="27"/>
  <c r="L354" i="27"/>
  <c r="K361" i="27"/>
  <c r="L361" i="27"/>
  <c r="J355" i="27"/>
  <c r="K355" i="27"/>
  <c r="I373" i="27"/>
  <c r="J373" i="27"/>
  <c r="I390" i="27"/>
  <c r="J390" i="27"/>
  <c r="I421" i="27"/>
  <c r="J421" i="27"/>
  <c r="I403" i="27"/>
  <c r="J403" i="27"/>
  <c r="I384" i="27"/>
  <c r="J384" i="27"/>
  <c r="I367" i="27"/>
  <c r="J367" i="27"/>
  <c r="I372" i="27"/>
  <c r="J372" i="27"/>
  <c r="I438" i="27"/>
  <c r="J438" i="27"/>
  <c r="I366" i="27"/>
  <c r="J366" i="27"/>
  <c r="I397" i="27"/>
  <c r="J397" i="27"/>
  <c r="I420" i="27"/>
  <c r="J420" i="27"/>
  <c r="I379" i="27"/>
  <c r="J379" i="27"/>
  <c r="I360" i="27"/>
  <c r="J360" i="27"/>
  <c r="I354" i="27"/>
  <c r="J354" i="27"/>
  <c r="I439" i="27"/>
  <c r="J439" i="27"/>
  <c r="I409" i="27"/>
  <c r="J409" i="27"/>
  <c r="I432" i="27"/>
  <c r="J432" i="27"/>
  <c r="I415" i="27"/>
  <c r="J415" i="27"/>
  <c r="I361" i="27"/>
  <c r="J361" i="27"/>
  <c r="I414" i="27"/>
  <c r="J414" i="27"/>
  <c r="I427" i="27"/>
  <c r="J427" i="27"/>
  <c r="I408" i="27"/>
  <c r="J408" i="27"/>
  <c r="I391" i="27"/>
  <c r="J391" i="27"/>
  <c r="I396" i="27"/>
  <c r="J396" i="27"/>
  <c r="I433" i="27"/>
  <c r="J433" i="27"/>
  <c r="I378" i="27"/>
  <c r="J378" i="27"/>
  <c r="I402" i="27"/>
  <c r="J402" i="27"/>
  <c r="I385" i="27"/>
  <c r="J385" i="27"/>
  <c r="H356" i="27"/>
  <c r="I355" i="27"/>
  <c r="M170" i="27"/>
  <c r="N170" i="27"/>
  <c r="M177" i="27"/>
  <c r="N177" i="27"/>
  <c r="M152" i="27"/>
  <c r="N152" i="27"/>
  <c r="M159" i="27"/>
  <c r="N159" i="27"/>
  <c r="M182" i="27"/>
  <c r="N182" i="27"/>
  <c r="M141" i="27"/>
  <c r="N141" i="27"/>
  <c r="M188" i="27"/>
  <c r="N188" i="27"/>
  <c r="M195" i="27"/>
  <c r="N195" i="27"/>
  <c r="M146" i="27"/>
  <c r="N146" i="27"/>
  <c r="M164" i="27"/>
  <c r="N164" i="27"/>
  <c r="M218" i="27"/>
  <c r="N218" i="27"/>
  <c r="M207" i="27"/>
  <c r="N207" i="27"/>
  <c r="M140" i="27"/>
  <c r="N140" i="27"/>
  <c r="M171" i="27"/>
  <c r="N171" i="27"/>
  <c r="M153" i="27"/>
  <c r="N153" i="27"/>
  <c r="M135" i="27"/>
  <c r="N135" i="27"/>
  <c r="M158" i="27"/>
  <c r="N158" i="27"/>
  <c r="M200" i="27"/>
  <c r="N200" i="27"/>
  <c r="M212" i="27"/>
  <c r="N212" i="27"/>
  <c r="M176" i="27"/>
  <c r="N176" i="27"/>
  <c r="M219" i="27"/>
  <c r="N219" i="27"/>
  <c r="M165" i="27"/>
  <c r="N165" i="27"/>
  <c r="M189" i="27"/>
  <c r="N189" i="27"/>
  <c r="M194" i="27"/>
  <c r="N194" i="27"/>
  <c r="M201" i="27"/>
  <c r="N201" i="27"/>
  <c r="M183" i="27"/>
  <c r="N183" i="27"/>
  <c r="M206" i="27"/>
  <c r="N206" i="27"/>
  <c r="M147" i="27"/>
  <c r="N147" i="27"/>
  <c r="M134" i="27"/>
  <c r="N134" i="27"/>
  <c r="M213" i="27"/>
  <c r="N213" i="27"/>
  <c r="L213" i="27"/>
  <c r="J213" i="27"/>
  <c r="I213" i="27"/>
  <c r="K218" i="27"/>
  <c r="L218" i="27"/>
  <c r="K171" i="27"/>
  <c r="L171" i="27"/>
  <c r="K153" i="27"/>
  <c r="L153" i="27"/>
  <c r="K135" i="27"/>
  <c r="L135" i="27"/>
  <c r="K158" i="27"/>
  <c r="L158" i="27"/>
  <c r="K200" i="27"/>
  <c r="L200" i="27"/>
  <c r="K212" i="27"/>
  <c r="L212" i="27"/>
  <c r="K176" i="27"/>
  <c r="L176" i="27"/>
  <c r="K219" i="27"/>
  <c r="L219" i="27"/>
  <c r="K165" i="27"/>
  <c r="L165" i="27"/>
  <c r="K194" i="27"/>
  <c r="L194" i="27"/>
  <c r="K201" i="27"/>
  <c r="L201" i="27"/>
  <c r="K183" i="27"/>
  <c r="L183" i="27"/>
  <c r="K206" i="27"/>
  <c r="L206" i="27"/>
  <c r="K147" i="27"/>
  <c r="L147" i="27"/>
  <c r="K207" i="27"/>
  <c r="L207" i="27"/>
  <c r="K134" i="27"/>
  <c r="L134" i="27"/>
  <c r="I189" i="27"/>
  <c r="L189" i="27"/>
  <c r="K140" i="27"/>
  <c r="L140" i="27"/>
  <c r="K195" i="27"/>
  <c r="L195" i="27"/>
  <c r="K170" i="27"/>
  <c r="L170" i="27"/>
  <c r="K177" i="27"/>
  <c r="L177" i="27"/>
  <c r="K152" i="27"/>
  <c r="L152" i="27"/>
  <c r="K159" i="27"/>
  <c r="L159" i="27"/>
  <c r="K182" i="27"/>
  <c r="L182" i="27"/>
  <c r="K141" i="27"/>
  <c r="L141" i="27"/>
  <c r="K188" i="27"/>
  <c r="L188" i="27"/>
  <c r="K146" i="27"/>
  <c r="L146" i="27"/>
  <c r="K164" i="27"/>
  <c r="L164" i="27"/>
  <c r="J189" i="27"/>
  <c r="I176" i="27"/>
  <c r="J176" i="27"/>
  <c r="I219" i="27"/>
  <c r="J219" i="27"/>
  <c r="I212" i="27"/>
  <c r="J212" i="27"/>
  <c r="I194" i="27"/>
  <c r="J194" i="27"/>
  <c r="I201" i="27"/>
  <c r="J201" i="27"/>
  <c r="I183" i="27"/>
  <c r="J183" i="27"/>
  <c r="I206" i="27"/>
  <c r="J206" i="27"/>
  <c r="I147" i="27"/>
  <c r="J147" i="27"/>
  <c r="I134" i="27"/>
  <c r="J134" i="27"/>
  <c r="I165" i="27"/>
  <c r="J165" i="27"/>
  <c r="I195" i="27"/>
  <c r="J195" i="27"/>
  <c r="I135" i="27"/>
  <c r="J135" i="27"/>
  <c r="I170" i="27"/>
  <c r="J170" i="27"/>
  <c r="I177" i="27"/>
  <c r="J177" i="27"/>
  <c r="I152" i="27"/>
  <c r="J152" i="27"/>
  <c r="I159" i="27"/>
  <c r="J159" i="27"/>
  <c r="I182" i="27"/>
  <c r="J182" i="27"/>
  <c r="I141" i="27"/>
  <c r="J141" i="27"/>
  <c r="I188" i="27"/>
  <c r="J188" i="27"/>
  <c r="I158" i="27"/>
  <c r="J158" i="27"/>
  <c r="I146" i="27"/>
  <c r="J146" i="27"/>
  <c r="I164" i="27"/>
  <c r="J164" i="27"/>
  <c r="I153" i="27"/>
  <c r="J153" i="27"/>
  <c r="I200" i="27"/>
  <c r="J200" i="27"/>
  <c r="I218" i="27"/>
  <c r="J218" i="27"/>
  <c r="I207" i="27"/>
  <c r="J207" i="27"/>
  <c r="I140" i="27"/>
  <c r="J140" i="27"/>
  <c r="I171" i="27"/>
  <c r="J171" i="27"/>
  <c r="H136" i="27"/>
  <c r="I21" i="27"/>
  <c r="I22" i="27" s="1"/>
  <c r="B243" i="27"/>
  <c r="C242" i="27"/>
  <c r="AD165" i="1"/>
  <c r="AF152" i="1"/>
  <c r="AF133" i="1"/>
  <c r="C39" i="19" a="1"/>
  <c r="C39" i="19" s="1"/>
  <c r="AD160" i="1"/>
  <c r="AD173" i="1"/>
  <c r="AD144" i="1"/>
  <c r="AF136" i="1"/>
  <c r="AF168" i="1"/>
  <c r="AD138" i="1"/>
  <c r="AD164" i="1"/>
  <c r="AD162" i="1"/>
  <c r="AF149" i="1"/>
  <c r="AD146" i="1"/>
  <c r="AD170" i="1"/>
  <c r="AD156" i="1"/>
  <c r="AF148" i="1"/>
  <c r="AF172" i="1"/>
  <c r="AD140" i="1"/>
  <c r="AF141" i="1"/>
  <c r="B50" i="1"/>
  <c r="AD154" i="1"/>
  <c r="AD130" i="1"/>
  <c r="AD128" i="1"/>
  <c r="AF124" i="1"/>
  <c r="AD124" i="1"/>
  <c r="AF147" i="1"/>
  <c r="AD147" i="1"/>
  <c r="AF139" i="1"/>
  <c r="AD139" i="1"/>
  <c r="AF163" i="1"/>
  <c r="AD163" i="1"/>
  <c r="AF171" i="1"/>
  <c r="AD171" i="1"/>
  <c r="AF131" i="1"/>
  <c r="AD131" i="1"/>
  <c r="AF132" i="1"/>
  <c r="AD132" i="1"/>
  <c r="AF155" i="1"/>
  <c r="AD155" i="1"/>
  <c r="AC445" i="27"/>
  <c r="V223" i="27"/>
  <c r="B21" i="29"/>
  <c r="G720" i="27"/>
  <c r="G721" i="27"/>
  <c r="G726" i="27"/>
  <c r="G749" i="27"/>
  <c r="G715" i="27"/>
  <c r="G708" i="27"/>
  <c r="G863" i="27"/>
  <c r="G696" i="27"/>
  <c r="G714" i="27"/>
  <c r="G697" i="27"/>
  <c r="G869" i="27"/>
  <c r="G703" i="27"/>
  <c r="G748" i="27"/>
  <c r="G868" i="27"/>
  <c r="G709" i="27"/>
  <c r="G862" i="27"/>
  <c r="G702" i="27"/>
  <c r="G727" i="27"/>
  <c r="F2850" i="27" l="1"/>
  <c r="B23" i="27"/>
  <c r="C23" i="27" s="1"/>
  <c r="I242" i="27"/>
  <c r="H699" i="27"/>
  <c r="AC446" i="27"/>
  <c r="AC447" i="27" s="1"/>
  <c r="AC448" i="27" s="1"/>
  <c r="AC449" i="27" s="1"/>
  <c r="AC450" i="27" s="1"/>
  <c r="AC451" i="27" s="1"/>
  <c r="AC452" i="27" s="1"/>
  <c r="AC453" i="27" s="1"/>
  <c r="AC454" i="27" s="1"/>
  <c r="AC455" i="27" s="1"/>
  <c r="AC456" i="27" s="1"/>
  <c r="AC457" i="27" s="1"/>
  <c r="AC458" i="27" s="1"/>
  <c r="AC459" i="27" s="1"/>
  <c r="AC460" i="27" s="1"/>
  <c r="AC461" i="27" s="1"/>
  <c r="AC462" i="27" s="1"/>
  <c r="AC463" i="27" s="1"/>
  <c r="AC464" i="27" s="1"/>
  <c r="AC465" i="27" s="1"/>
  <c r="AC466" i="27" s="1"/>
  <c r="AC467" i="27" s="1"/>
  <c r="AC468" i="27" s="1"/>
  <c r="AC469" i="27" s="1"/>
  <c r="AC470" i="27" s="1"/>
  <c r="AC471" i="27" s="1"/>
  <c r="AC472" i="27" s="1"/>
  <c r="AC473" i="27" s="1"/>
  <c r="AC474" i="27" s="1"/>
  <c r="AC475" i="27" s="1"/>
  <c r="A426" i="27"/>
  <c r="A385" i="27"/>
  <c r="A414" i="27"/>
  <c r="A409" i="27"/>
  <c r="A379" i="27"/>
  <c r="A403" i="27"/>
  <c r="H357" i="27"/>
  <c r="A361" i="27"/>
  <c r="A439" i="27"/>
  <c r="A420" i="27"/>
  <c r="A408" i="27"/>
  <c r="A415" i="27"/>
  <c r="A367" i="27"/>
  <c r="A390" i="27"/>
  <c r="A433" i="27"/>
  <c r="A355" i="27"/>
  <c r="A402" i="27"/>
  <c r="A391" i="27"/>
  <c r="A432" i="27"/>
  <c r="A354" i="27"/>
  <c r="A438" i="27"/>
  <c r="A372" i="27"/>
  <c r="A421" i="27"/>
  <c r="A360" i="27"/>
  <c r="A397" i="27"/>
  <c r="A384" i="27"/>
  <c r="A378" i="27"/>
  <c r="A366" i="27"/>
  <c r="A396" i="27"/>
  <c r="A427" i="27"/>
  <c r="A373" i="27"/>
  <c r="A213" i="27"/>
  <c r="T213" i="27" s="1"/>
  <c r="A135" i="27"/>
  <c r="T135" i="27" s="1"/>
  <c r="A189" i="27"/>
  <c r="T189" i="27" s="1"/>
  <c r="A201" i="27"/>
  <c r="T201" i="27" s="1"/>
  <c r="A176" i="27"/>
  <c r="T176" i="27" s="1"/>
  <c r="A170" i="27"/>
  <c r="T170" i="27" s="1"/>
  <c r="A140" i="27"/>
  <c r="T140" i="27" s="1"/>
  <c r="A195" i="27"/>
  <c r="T195" i="27" s="1"/>
  <c r="A206" i="27"/>
  <c r="T206" i="27" s="1"/>
  <c r="A218" i="27"/>
  <c r="T218" i="27" s="1"/>
  <c r="A182" i="27"/>
  <c r="T182" i="27" s="1"/>
  <c r="A219" i="27"/>
  <c r="T219" i="27" s="1"/>
  <c r="A141" i="27"/>
  <c r="T141" i="27" s="1"/>
  <c r="A183" i="27"/>
  <c r="T183" i="27" s="1"/>
  <c r="A146" i="27"/>
  <c r="T146" i="27" s="1"/>
  <c r="A158" i="27"/>
  <c r="T158" i="27" s="1"/>
  <c r="A177" i="27"/>
  <c r="T177" i="27" s="1"/>
  <c r="A147" i="27"/>
  <c r="T147" i="27" s="1"/>
  <c r="A152" i="27"/>
  <c r="T152" i="27" s="1"/>
  <c r="A200" i="27"/>
  <c r="T200" i="27" s="1"/>
  <c r="A207" i="27"/>
  <c r="T207" i="27" s="1"/>
  <c r="A153" i="27"/>
  <c r="T153" i="27" s="1"/>
  <c r="A165" i="27"/>
  <c r="T165" i="27" s="1"/>
  <c r="A134" i="27"/>
  <c r="T134" i="27" s="1"/>
  <c r="A212" i="27"/>
  <c r="T212" i="27" s="1"/>
  <c r="A171" i="27"/>
  <c r="T171" i="27" s="1"/>
  <c r="A164" i="27"/>
  <c r="T164" i="27" s="1"/>
  <c r="A188" i="27"/>
  <c r="T188" i="27" s="1"/>
  <c r="A159" i="27"/>
  <c r="T159" i="27" s="1"/>
  <c r="A194" i="27"/>
  <c r="T194" i="27" s="1"/>
  <c r="H137" i="27"/>
  <c r="I23" i="27"/>
  <c r="C243" i="27"/>
  <c r="B244" i="27"/>
  <c r="V224" i="27"/>
  <c r="V225" i="27" s="1"/>
  <c r="V226" i="27" s="1"/>
  <c r="V227" i="27" s="1"/>
  <c r="V228" i="27" s="1"/>
  <c r="V229" i="27" s="1"/>
  <c r="V230" i="27" s="1"/>
  <c r="V231" i="27" s="1"/>
  <c r="V232" i="27" s="1"/>
  <c r="V233" i="27" s="1"/>
  <c r="V234" i="27" s="1"/>
  <c r="V235" i="27" s="1"/>
  <c r="V236" i="27" s="1"/>
  <c r="V237" i="27" s="1"/>
  <c r="V238" i="27" s="1"/>
  <c r="C40" i="19" a="1"/>
  <c r="C40" i="19" s="1"/>
  <c r="B51" i="1"/>
  <c r="P2362" i="27"/>
  <c r="G750" i="27"/>
  <c r="F2851" i="27" l="1"/>
  <c r="B24" i="27"/>
  <c r="I24" i="27" s="1"/>
  <c r="I243" i="27"/>
  <c r="H700" i="27"/>
  <c r="B25" i="29"/>
  <c r="H358" i="27"/>
  <c r="H138" i="27"/>
  <c r="B23" i="29"/>
  <c r="C244" i="27"/>
  <c r="B245" i="27"/>
  <c r="C24" i="27"/>
  <c r="B25" i="27"/>
  <c r="C41" i="19" a="1"/>
  <c r="C41" i="19" s="1"/>
  <c r="B52" i="1"/>
  <c r="P511" i="27"/>
  <c r="P259" i="27"/>
  <c r="G751" i="27"/>
  <c r="F2852" i="27" l="1"/>
  <c r="I25" i="27"/>
  <c r="I244" i="27"/>
  <c r="H701" i="27"/>
  <c r="H359" i="27"/>
  <c r="H139" i="27"/>
  <c r="B246" i="27"/>
  <c r="C245" i="27"/>
  <c r="B26" i="27"/>
  <c r="C25" i="27"/>
  <c r="C42" i="19" a="1"/>
  <c r="C42" i="19" s="1"/>
  <c r="B27" i="29"/>
  <c r="B26" i="29"/>
  <c r="P39" i="27"/>
  <c r="B22" i="29" s="1"/>
  <c r="G752" i="27"/>
  <c r="F2853" i="27" l="1"/>
  <c r="I26" i="27"/>
  <c r="I245" i="27"/>
  <c r="H702" i="27"/>
  <c r="H360" i="27"/>
  <c r="H140" i="27"/>
  <c r="C246" i="27"/>
  <c r="B247" i="27"/>
  <c r="B27" i="27"/>
  <c r="C26" i="27"/>
  <c r="C43" i="19" a="1"/>
  <c r="C43" i="19" s="1"/>
  <c r="K123" i="1"/>
  <c r="G753" i="27"/>
  <c r="F2855" i="27" l="1"/>
  <c r="F2854" i="27"/>
  <c r="I27" i="27"/>
  <c r="I246" i="27"/>
  <c r="H704" i="27"/>
  <c r="H703" i="27"/>
  <c r="H362" i="27"/>
  <c r="H361" i="27"/>
  <c r="H142" i="27"/>
  <c r="H141" i="27"/>
  <c r="C247" i="27"/>
  <c r="B248" i="27"/>
  <c r="C27" i="27"/>
  <c r="B28" i="27"/>
  <c r="I28" i="27" s="1"/>
  <c r="C44" i="19"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BE89" i="34"/>
  <c r="BF89" i="34"/>
  <c r="V123" i="1"/>
  <c r="G754" i="27"/>
  <c r="F2856" i="27" l="1"/>
  <c r="I247" i="27"/>
  <c r="H705" i="27"/>
  <c r="H363" i="27"/>
  <c r="H143" i="27"/>
  <c r="B249" i="27"/>
  <c r="C248" i="27"/>
  <c r="B29" i="27"/>
  <c r="I29" i="27" s="1"/>
  <c r="C28" i="27"/>
  <c r="C119" i="19"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S123" i="1"/>
  <c r="M26" i="1"/>
  <c r="G25" i="29"/>
  <c r="G26" i="29"/>
  <c r="G27" i="29"/>
  <c r="G28" i="29"/>
  <c r="G29" i="29"/>
  <c r="G30" i="29"/>
  <c r="G31" i="29"/>
  <c r="G32" i="29"/>
  <c r="G24" i="29"/>
  <c r="G755" i="27"/>
  <c r="F2857" i="27" l="1"/>
  <c r="I248" i="27"/>
  <c r="H706" i="27"/>
  <c r="H364" i="27"/>
  <c r="H144" i="27"/>
  <c r="B250" i="27"/>
  <c r="C249" i="27"/>
  <c r="B30" i="27"/>
  <c r="I30" i="27" s="1"/>
  <c r="C29" i="27"/>
  <c r="P26" i="1"/>
  <c r="P27" i="1"/>
  <c r="G756" i="27"/>
  <c r="F2858" i="27" l="1"/>
  <c r="I249" i="27"/>
  <c r="H707" i="27"/>
  <c r="H365" i="27"/>
  <c r="H145" i="27"/>
  <c r="B251" i="27"/>
  <c r="C250" i="27"/>
  <c r="B31" i="27"/>
  <c r="I31" i="27" s="1"/>
  <c r="C30" i="27"/>
  <c r="J30" i="1"/>
  <c r="G757" i="27"/>
  <c r="F2859" i="27" l="1"/>
  <c r="I250" i="27"/>
  <c r="H708" i="27"/>
  <c r="H366" i="27"/>
  <c r="H146" i="27"/>
  <c r="I32" i="27"/>
  <c r="C251" i="27"/>
  <c r="B252" i="27"/>
  <c r="C31" i="27"/>
  <c r="B32" i="27"/>
  <c r="F511" i="27"/>
  <c r="F259" i="27"/>
  <c r="F39" i="27"/>
  <c r="G758" i="27"/>
  <c r="F2860" i="27" l="1"/>
  <c r="F2861" i="27"/>
  <c r="I251" i="27"/>
  <c r="H710" i="27"/>
  <c r="H709" i="27"/>
  <c r="Y2" i="27"/>
  <c r="E578" i="27"/>
  <c r="E577" i="27"/>
  <c r="E576" i="27"/>
  <c r="E575" i="27"/>
  <c r="E574" i="27"/>
  <c r="E573" i="27"/>
  <c r="H367" i="27"/>
  <c r="H368" i="27"/>
  <c r="X2" i="27"/>
  <c r="E261" i="27"/>
  <c r="E260" i="27"/>
  <c r="E264" i="27"/>
  <c r="H266" i="27" s="1"/>
  <c r="H267" i="27" s="1"/>
  <c r="H268" i="27" s="1"/>
  <c r="H269" i="27" s="1"/>
  <c r="H270" i="27" s="1"/>
  <c r="E263" i="27"/>
  <c r="E262" i="27"/>
  <c r="H147" i="27"/>
  <c r="H148" i="27"/>
  <c r="C252" i="27"/>
  <c r="B253" i="27"/>
  <c r="C253" i="27" s="1"/>
  <c r="W2" i="27"/>
  <c r="E41" i="27"/>
  <c r="E40" i="27"/>
  <c r="E44" i="27"/>
  <c r="H46" i="27" s="1"/>
  <c r="H47" i="27" s="1"/>
  <c r="H48" i="27" s="1"/>
  <c r="H49" i="27" s="1"/>
  <c r="H50" i="27" s="1"/>
  <c r="E42" i="27"/>
  <c r="E43" i="27"/>
  <c r="C32" i="27"/>
  <c r="B33" i="27"/>
  <c r="C33" i="27" s="1"/>
  <c r="L26" i="1"/>
  <c r="G759" i="27"/>
  <c r="F2862" i="27" l="1"/>
  <c r="I33" i="27"/>
  <c r="I252" i="27"/>
  <c r="H711" i="27"/>
  <c r="H369" i="27"/>
  <c r="H271" i="27"/>
  <c r="H272" i="27"/>
  <c r="H273" i="27" s="1"/>
  <c r="H274" i="27" s="1"/>
  <c r="H275" i="27" s="1"/>
  <c r="H276" i="27" s="1"/>
  <c r="H149" i="27"/>
  <c r="H52" i="27"/>
  <c r="H53" i="27" s="1"/>
  <c r="H54" i="27" s="1"/>
  <c r="H55" i="27" s="1"/>
  <c r="H56" i="27" s="1"/>
  <c r="H51" i="27"/>
  <c r="G33" i="29"/>
  <c r="G23" i="29"/>
  <c r="G760" i="27"/>
  <c r="F2863" i="27" l="1"/>
  <c r="I253" i="27"/>
  <c r="H712" i="27"/>
  <c r="H370" i="27"/>
  <c r="H277" i="27"/>
  <c r="H278" i="27"/>
  <c r="H279" i="27" s="1"/>
  <c r="H280" i="27" s="1"/>
  <c r="H281" i="27" s="1"/>
  <c r="H282" i="27" s="1"/>
  <c r="H150" i="27"/>
  <c r="H57" i="27"/>
  <c r="H58" i="27"/>
  <c r="H59" i="27" s="1"/>
  <c r="H60" i="27" s="1"/>
  <c r="H61" i="27" s="1"/>
  <c r="H62" i="27" s="1"/>
  <c r="N511" i="27"/>
  <c r="AC2" i="27"/>
  <c r="B24" i="29" s="1"/>
  <c r="C259" i="27"/>
  <c r="G761" i="27"/>
  <c r="F2864" i="27" l="1"/>
  <c r="H713" i="27"/>
  <c r="H371" i="27"/>
  <c r="H284" i="27"/>
  <c r="H285" i="27" s="1"/>
  <c r="H286" i="27" s="1"/>
  <c r="H287" i="27" s="1"/>
  <c r="H288" i="27" s="1"/>
  <c r="H283" i="27"/>
  <c r="H151" i="27"/>
  <c r="H64" i="27"/>
  <c r="H65" i="27" s="1"/>
  <c r="H66" i="27" s="1"/>
  <c r="H67" i="27" s="1"/>
  <c r="H68" i="27" s="1"/>
  <c r="H63" i="27"/>
  <c r="H445" i="27"/>
  <c r="B445" i="27"/>
  <c r="B2196" i="27"/>
  <c r="K2196" i="27"/>
  <c r="P2196" i="27"/>
  <c r="F2865" i="27" l="1"/>
  <c r="H714" i="27"/>
  <c r="H372" i="27"/>
  <c r="H290" i="27"/>
  <c r="H291" i="27" s="1"/>
  <c r="H292" i="27" s="1"/>
  <c r="H293" i="27" s="1"/>
  <c r="H294" i="27" s="1"/>
  <c r="H289" i="27"/>
  <c r="H152" i="27"/>
  <c r="H69" i="27"/>
  <c r="H70" i="27"/>
  <c r="H71" i="27" s="1"/>
  <c r="H72" i="27" s="1"/>
  <c r="H73" i="27" s="1"/>
  <c r="H74" i="27" s="1"/>
  <c r="G34" i="29"/>
  <c r="G35" i="29"/>
  <c r="G36" i="29"/>
  <c r="G37" i="29"/>
  <c r="G16" i="29"/>
  <c r="G17" i="29"/>
  <c r="G18" i="29"/>
  <c r="G19" i="29"/>
  <c r="G20" i="29"/>
  <c r="G21" i="29"/>
  <c r="G22" i="29"/>
  <c r="G15" i="29"/>
  <c r="F2866" i="27" l="1"/>
  <c r="F2867" i="27"/>
  <c r="H716" i="27"/>
  <c r="H715" i="27"/>
  <c r="H374" i="27"/>
  <c r="H373" i="27"/>
  <c r="H295" i="27"/>
  <c r="H296" i="27"/>
  <c r="H297" i="27" s="1"/>
  <c r="H298" i="27" s="1"/>
  <c r="H299" i="27" s="1"/>
  <c r="H300" i="27" s="1"/>
  <c r="H154" i="27"/>
  <c r="H153" i="27"/>
  <c r="H76" i="27"/>
  <c r="H77" i="27" s="1"/>
  <c r="H78" i="27" s="1"/>
  <c r="H79" i="27" s="1"/>
  <c r="H80" i="27" s="1"/>
  <c r="H75" i="27"/>
  <c r="G207" i="24"/>
  <c r="G203" i="24"/>
  <c r="G199" i="24"/>
  <c r="G195" i="24"/>
  <c r="G191" i="24"/>
  <c r="G187" i="24"/>
  <c r="G183" i="24"/>
  <c r="G179" i="24"/>
  <c r="G205" i="24"/>
  <c r="G201" i="24"/>
  <c r="G197" i="24"/>
  <c r="G193" i="24"/>
  <c r="G189" i="24"/>
  <c r="G185" i="24"/>
  <c r="G181" i="24"/>
  <c r="F2868" i="27" l="1"/>
  <c r="H717" i="27"/>
  <c r="H375" i="27"/>
  <c r="H301" i="27"/>
  <c r="H302" i="27"/>
  <c r="H303" i="27" s="1"/>
  <c r="H304" i="27" s="1"/>
  <c r="H305" i="27" s="1"/>
  <c r="H306" i="27" s="1"/>
  <c r="H155" i="27"/>
  <c r="H81" i="27"/>
  <c r="H82" i="27"/>
  <c r="H83" i="27" s="1"/>
  <c r="H84" i="27" s="1"/>
  <c r="H85" i="27" s="1"/>
  <c r="H86" i="27" s="1"/>
  <c r="I331" i="16"/>
  <c r="F2869" i="27" l="1"/>
  <c r="H718" i="27"/>
  <c r="H376" i="27"/>
  <c r="H308" i="27"/>
  <c r="H309" i="27" s="1"/>
  <c r="H310" i="27" s="1"/>
  <c r="H311" i="27" s="1"/>
  <c r="H312" i="27" s="1"/>
  <c r="H307" i="27"/>
  <c r="H156" i="27"/>
  <c r="H88" i="27"/>
  <c r="H89" i="27" s="1"/>
  <c r="H90" i="27" s="1"/>
  <c r="H91" i="27" s="1"/>
  <c r="H92" i="27" s="1"/>
  <c r="H87" i="27"/>
  <c r="H331" i="16"/>
  <c r="T445" i="27"/>
  <c r="U445" i="27"/>
  <c r="L445" i="27"/>
  <c r="N445" i="27"/>
  <c r="G445" i="27"/>
  <c r="R445" i="27"/>
  <c r="D445" i="27"/>
  <c r="V445" i="27"/>
  <c r="O445" i="27"/>
  <c r="Q445" i="27"/>
  <c r="I445" i="27"/>
  <c r="F445" i="27"/>
  <c r="F2870" i="27" l="1"/>
  <c r="H719" i="27"/>
  <c r="H377" i="27"/>
  <c r="H314" i="27"/>
  <c r="H315" i="27" s="1"/>
  <c r="H316" i="27" s="1"/>
  <c r="H317" i="27" s="1"/>
  <c r="H318" i="27" s="1"/>
  <c r="H313" i="27"/>
  <c r="H157" i="27"/>
  <c r="H93" i="27"/>
  <c r="H94" i="27"/>
  <c r="H95" i="27" s="1"/>
  <c r="H96" i="27" s="1"/>
  <c r="H97" i="27" s="1"/>
  <c r="H98" i="27" s="1"/>
  <c r="BB9" i="33"/>
  <c r="BB11" i="33" s="1"/>
  <c r="BB13" i="33" s="1"/>
  <c r="BB15" i="33" s="1"/>
  <c r="BB17" i="33" s="1"/>
  <c r="BB19" i="33" s="1"/>
  <c r="BB21" i="33" s="1"/>
  <c r="BB23" i="33" s="1"/>
  <c r="BB25" i="33" s="1"/>
  <c r="BB27" i="33" s="1"/>
  <c r="BB29" i="33" s="1"/>
  <c r="BB31" i="33" s="1"/>
  <c r="BB33" i="33" s="1"/>
  <c r="BB35" i="33" s="1"/>
  <c r="BB37" i="33" s="1"/>
  <c r="BB39" i="33" s="1"/>
  <c r="BB41" i="33" s="1"/>
  <c r="BB43" i="33" s="1"/>
  <c r="BB45" i="33" s="1"/>
  <c r="BB47" i="33" s="1"/>
  <c r="BB49" i="33" s="1"/>
  <c r="BB51" i="33" s="1"/>
  <c r="BB53" i="33" s="1"/>
  <c r="BB55" i="33" s="1"/>
  <c r="BB57" i="33" s="1"/>
  <c r="BB59" i="33" s="1"/>
  <c r="BB61" i="33" s="1"/>
  <c r="BB63" i="33" s="1"/>
  <c r="BB65" i="33" s="1"/>
  <c r="BB67" i="33" s="1"/>
  <c r="BA9" i="33"/>
  <c r="K694" i="27"/>
  <c r="J476" i="27"/>
  <c r="AK9" i="33"/>
  <c r="J697" i="27"/>
  <c r="K696" i="27"/>
  <c r="AH9" i="33"/>
  <c r="L697" i="27"/>
  <c r="BD9" i="33"/>
  <c r="K476" i="27"/>
  <c r="BC9" i="33"/>
  <c r="L693" i="27"/>
  <c r="L694" i="27"/>
  <c r="J696" i="27"/>
  <c r="M476" i="27"/>
  <c r="F476" i="27"/>
  <c r="L692" i="27"/>
  <c r="Y9" i="33"/>
  <c r="L696" i="27"/>
  <c r="K693" i="27"/>
  <c r="K695" i="27"/>
  <c r="J694" i="27"/>
  <c r="AB9" i="33"/>
  <c r="J693" i="27"/>
  <c r="K697" i="27"/>
  <c r="AE9" i="33"/>
  <c r="J695" i="27"/>
  <c r="L695" i="27"/>
  <c r="R67" i="33"/>
  <c r="F2871" i="27" l="1"/>
  <c r="H720" i="27"/>
  <c r="H378" i="27"/>
  <c r="H319" i="27"/>
  <c r="H320" i="27"/>
  <c r="H321" i="27" s="1"/>
  <c r="H322" i="27" s="1"/>
  <c r="H323" i="27" s="1"/>
  <c r="H324" i="27" s="1"/>
  <c r="H158" i="27"/>
  <c r="H99" i="27"/>
  <c r="H100" i="27"/>
  <c r="H101" i="27" s="1"/>
  <c r="H102" i="27" s="1"/>
  <c r="H103" i="27" s="1"/>
  <c r="H104" i="27" s="1"/>
  <c r="BA11" i="33"/>
  <c r="BA13" i="33" s="1"/>
  <c r="J703" i="27"/>
  <c r="J701" i="27"/>
  <c r="BD13" i="33"/>
  <c r="AI67" i="33"/>
  <c r="AA68" i="33"/>
  <c r="L699" i="27"/>
  <c r="J700" i="27"/>
  <c r="BD11" i="33"/>
  <c r="L702" i="27"/>
  <c r="AL67" i="33"/>
  <c r="M478" i="27"/>
  <c r="AD68" i="33"/>
  <c r="K700" i="27"/>
  <c r="AK67" i="33"/>
  <c r="AF67" i="33"/>
  <c r="F478" i="27"/>
  <c r="K478" i="27"/>
  <c r="L700" i="27"/>
  <c r="J692" i="27"/>
  <c r="Z67" i="33"/>
  <c r="AG67" i="33"/>
  <c r="K699" i="27"/>
  <c r="W67" i="33"/>
  <c r="U68" i="33"/>
  <c r="J478" i="27"/>
  <c r="I697" i="27"/>
  <c r="U67" i="33"/>
  <c r="AE11" i="33"/>
  <c r="AK11" i="33"/>
  <c r="V9" i="33"/>
  <c r="Q67" i="33"/>
  <c r="X67" i="33"/>
  <c r="T67" i="33"/>
  <c r="L698" i="27"/>
  <c r="I696" i="27"/>
  <c r="O67" i="33"/>
  <c r="R68" i="33"/>
  <c r="Y11" i="33"/>
  <c r="I695" i="27"/>
  <c r="M477" i="27"/>
  <c r="G9" i="33"/>
  <c r="F477" i="27"/>
  <c r="J699" i="27"/>
  <c r="AD67" i="33"/>
  <c r="AJ67" i="33"/>
  <c r="AG68" i="33"/>
  <c r="L703" i="27"/>
  <c r="X68" i="33"/>
  <c r="AA67" i="33"/>
  <c r="P9" i="33"/>
  <c r="J477" i="27"/>
  <c r="O68" i="33"/>
  <c r="K477" i="27"/>
  <c r="AH11" i="33"/>
  <c r="K692" i="27"/>
  <c r="K701" i="27"/>
  <c r="K703" i="27"/>
  <c r="AJ68" i="33"/>
  <c r="AH67" i="33"/>
  <c r="AC67" i="33"/>
  <c r="A695" i="27" l="1"/>
  <c r="A697" i="27"/>
  <c r="A696" i="27"/>
  <c r="F2873" i="27"/>
  <c r="F2872" i="27"/>
  <c r="H722" i="27"/>
  <c r="H721" i="27"/>
  <c r="H379" i="27"/>
  <c r="H380" i="27"/>
  <c r="H325" i="27"/>
  <c r="H326" i="27"/>
  <c r="H327" i="27" s="1"/>
  <c r="H328" i="27" s="1"/>
  <c r="H329" i="27" s="1"/>
  <c r="H330" i="27" s="1"/>
  <c r="H159" i="27"/>
  <c r="H160" i="27"/>
  <c r="H105" i="27"/>
  <c r="H106" i="27"/>
  <c r="H107" i="27" s="1"/>
  <c r="H108" i="27" s="1"/>
  <c r="H109" i="27" s="1"/>
  <c r="H110" i="27" s="1"/>
  <c r="BA15" i="33"/>
  <c r="AH13" i="33"/>
  <c r="F479" i="27"/>
  <c r="L704" i="27"/>
  <c r="G13" i="33"/>
  <c r="J698" i="27"/>
  <c r="K479" i="27"/>
  <c r="J705" i="27"/>
  <c r="L707" i="27"/>
  <c r="I694" i="27"/>
  <c r="Y67" i="33"/>
  <c r="Y13" i="33"/>
  <c r="J479" i="27"/>
  <c r="I703" i="27"/>
  <c r="I692" i="27"/>
  <c r="J709" i="27"/>
  <c r="K708" i="27"/>
  <c r="J708" i="27"/>
  <c r="M479" i="27"/>
  <c r="AE13" i="33"/>
  <c r="S11" i="33"/>
  <c r="AE67" i="33"/>
  <c r="AB67" i="33"/>
  <c r="K709" i="27"/>
  <c r="AK13" i="33"/>
  <c r="L709" i="27"/>
  <c r="P67" i="33"/>
  <c r="L706" i="27"/>
  <c r="K698" i="27"/>
  <c r="K707" i="27"/>
  <c r="L708" i="27"/>
  <c r="K705" i="27"/>
  <c r="J707" i="27"/>
  <c r="D476" i="27"/>
  <c r="V67" i="33"/>
  <c r="BD15" i="33"/>
  <c r="AB13" i="33"/>
  <c r="S67" i="33"/>
  <c r="I701" i="27"/>
  <c r="A694" i="27" l="1"/>
  <c r="A701" i="27"/>
  <c r="A703" i="27"/>
  <c r="A692" i="27"/>
  <c r="F2874" i="27"/>
  <c r="H723" i="27"/>
  <c r="H381" i="27"/>
  <c r="H332" i="27"/>
  <c r="H333" i="27" s="1"/>
  <c r="H334" i="27" s="1"/>
  <c r="H335" i="27" s="1"/>
  <c r="H336" i="27" s="1"/>
  <c r="H331" i="27"/>
  <c r="H161" i="27"/>
  <c r="H112" i="27"/>
  <c r="H113" i="27" s="1"/>
  <c r="H114" i="27" s="1"/>
  <c r="H115" i="27" s="1"/>
  <c r="H116" i="27" s="1"/>
  <c r="H111" i="27"/>
  <c r="BA17" i="33"/>
  <c r="D477" i="27"/>
  <c r="P13" i="33"/>
  <c r="BD17" i="33"/>
  <c r="L712" i="27"/>
  <c r="V11" i="33"/>
  <c r="K714" i="27"/>
  <c r="K704" i="27"/>
  <c r="K715" i="27"/>
  <c r="AH15" i="33"/>
  <c r="J715" i="27"/>
  <c r="J704" i="27"/>
  <c r="AE15" i="33"/>
  <c r="I707" i="27"/>
  <c r="L715" i="27"/>
  <c r="L711" i="27"/>
  <c r="I708" i="27"/>
  <c r="J713" i="27"/>
  <c r="AK15" i="33"/>
  <c r="F480" i="27"/>
  <c r="M480" i="27"/>
  <c r="I699" i="27"/>
  <c r="Y15" i="33"/>
  <c r="L713" i="27"/>
  <c r="K713" i="27"/>
  <c r="D478" i="27"/>
  <c r="AB15" i="33"/>
  <c r="L714" i="27"/>
  <c r="J480" i="27"/>
  <c r="J712" i="27"/>
  <c r="I709" i="27"/>
  <c r="J714" i="27"/>
  <c r="K480" i="27"/>
  <c r="S13" i="33"/>
  <c r="K712" i="27"/>
  <c r="L710" i="27"/>
  <c r="A699" i="27" l="1"/>
  <c r="A708" i="27"/>
  <c r="A707" i="27"/>
  <c r="A709" i="27"/>
  <c r="F2875" i="27"/>
  <c r="H724" i="27"/>
  <c r="H382" i="27"/>
  <c r="H338" i="27"/>
  <c r="H339" i="27" s="1"/>
  <c r="H340" i="27" s="1"/>
  <c r="H341" i="27" s="1"/>
  <c r="H342" i="27" s="1"/>
  <c r="H337" i="27"/>
  <c r="H162" i="27"/>
  <c r="H118" i="27"/>
  <c r="H119" i="27" s="1"/>
  <c r="H120" i="27" s="1"/>
  <c r="H121" i="27" s="1"/>
  <c r="H122" i="27" s="1"/>
  <c r="H117" i="27"/>
  <c r="BA19" i="33"/>
  <c r="C2196" i="27"/>
  <c r="C1411" i="27"/>
  <c r="C878" i="27"/>
  <c r="I705" i="27"/>
  <c r="K721" i="27"/>
  <c r="AK17" i="33"/>
  <c r="L721" i="27"/>
  <c r="AH17" i="33"/>
  <c r="K710" i="27"/>
  <c r="L720" i="27"/>
  <c r="I715" i="27"/>
  <c r="J481" i="27"/>
  <c r="L716" i="27"/>
  <c r="J710" i="27"/>
  <c r="J720" i="27"/>
  <c r="J719" i="27"/>
  <c r="G15" i="33"/>
  <c r="L719" i="27"/>
  <c r="J718" i="27"/>
  <c r="L717" i="27"/>
  <c r="P15" i="33"/>
  <c r="K481" i="27"/>
  <c r="I713" i="27"/>
  <c r="AB17" i="33"/>
  <c r="AE17" i="33"/>
  <c r="K719" i="27"/>
  <c r="K720" i="27"/>
  <c r="J721" i="27"/>
  <c r="I700" i="27"/>
  <c r="G17" i="33"/>
  <c r="K718" i="27"/>
  <c r="L718" i="27"/>
  <c r="I714" i="27"/>
  <c r="Y17" i="33"/>
  <c r="I704" i="27"/>
  <c r="BD19" i="33"/>
  <c r="A714" i="27" l="1"/>
  <c r="A700" i="27"/>
  <c r="A704" i="27"/>
  <c r="A715" i="27"/>
  <c r="A713" i="27"/>
  <c r="A705" i="27"/>
  <c r="F2876" i="27"/>
  <c r="H725" i="27"/>
  <c r="H383" i="27"/>
  <c r="H343" i="27"/>
  <c r="H344" i="27"/>
  <c r="H345" i="27" s="1"/>
  <c r="H346" i="27" s="1"/>
  <c r="H347" i="27" s="1"/>
  <c r="H348" i="27" s="1"/>
  <c r="H349" i="27" s="1"/>
  <c r="H163" i="27"/>
  <c r="H124" i="27"/>
  <c r="H125" i="27" s="1"/>
  <c r="H126" i="27" s="1"/>
  <c r="H127" i="27" s="1"/>
  <c r="H128" i="27" s="1"/>
  <c r="H129" i="27" s="1"/>
  <c r="H123" i="27"/>
  <c r="BA21" i="33"/>
  <c r="AG9" i="31"/>
  <c r="AH9" i="31"/>
  <c r="U621" i="32"/>
  <c r="U316" i="32"/>
  <c r="I353" i="27"/>
  <c r="J352" i="27"/>
  <c r="AI9" i="31"/>
  <c r="M351" i="27"/>
  <c r="M350" i="27"/>
  <c r="AK19" i="33"/>
  <c r="I719" i="27"/>
  <c r="BD21" i="33"/>
  <c r="L724" i="27"/>
  <c r="K482" i="27"/>
  <c r="F482" i="27"/>
  <c r="AE19" i="33"/>
  <c r="K723" i="27"/>
  <c r="J351" i="27"/>
  <c r="I351" i="27"/>
  <c r="AH19" i="33"/>
  <c r="D479" i="27"/>
  <c r="N351" i="27"/>
  <c r="M353" i="27"/>
  <c r="I710" i="27"/>
  <c r="N350" i="27"/>
  <c r="I350" i="27"/>
  <c r="J482" i="27"/>
  <c r="I721" i="27"/>
  <c r="J723" i="27"/>
  <c r="L723" i="27"/>
  <c r="N353" i="27"/>
  <c r="AB19" i="33"/>
  <c r="Y19" i="33"/>
  <c r="M482" i="27"/>
  <c r="J716" i="27"/>
  <c r="M352" i="27"/>
  <c r="K716" i="27"/>
  <c r="J724" i="27"/>
  <c r="D480" i="27"/>
  <c r="L722" i="27"/>
  <c r="I720" i="27"/>
  <c r="J353" i="27"/>
  <c r="K724" i="27"/>
  <c r="N352" i="27"/>
  <c r="P17" i="33"/>
  <c r="I352" i="27"/>
  <c r="J350" i="27"/>
  <c r="L725" i="27"/>
  <c r="A720" i="27" l="1"/>
  <c r="A719" i="27"/>
  <c r="A710" i="27"/>
  <c r="A721" i="27"/>
  <c r="F2877" i="27"/>
  <c r="H726" i="27"/>
  <c r="H384" i="27"/>
  <c r="H164" i="27"/>
  <c r="U623" i="32"/>
  <c r="U318" i="32"/>
  <c r="BA23" i="33"/>
  <c r="U10" i="32"/>
  <c r="K725" i="27"/>
  <c r="AK21" i="33"/>
  <c r="G859" i="27"/>
  <c r="AH21" i="33"/>
  <c r="G861" i="27"/>
  <c r="F483" i="27"/>
  <c r="J725" i="27"/>
  <c r="J483" i="27"/>
  <c r="G860" i="27"/>
  <c r="I725" i="27"/>
  <c r="K483" i="27"/>
  <c r="K722" i="27"/>
  <c r="J722" i="27"/>
  <c r="M483" i="27"/>
  <c r="BD23" i="33"/>
  <c r="G21" i="33"/>
  <c r="AE21" i="33"/>
  <c r="Y21" i="33"/>
  <c r="AB21" i="33"/>
  <c r="G858" i="27"/>
  <c r="I716" i="27"/>
  <c r="L726" i="27"/>
  <c r="A716" i="27" l="1"/>
  <c r="F2878" i="27"/>
  <c r="F2879" i="27"/>
  <c r="A725" i="27"/>
  <c r="H727" i="27"/>
  <c r="H728" i="27"/>
  <c r="H385" i="27"/>
  <c r="H386" i="27"/>
  <c r="H165" i="27"/>
  <c r="H166" i="27"/>
  <c r="BA25" i="33"/>
  <c r="U320" i="32"/>
  <c r="U625" i="32"/>
  <c r="U12" i="32"/>
  <c r="K726" i="27"/>
  <c r="D482" i="27"/>
  <c r="L727" i="27"/>
  <c r="I726" i="27"/>
  <c r="F484" i="27"/>
  <c r="K484" i="27"/>
  <c r="AH23" i="33"/>
  <c r="I727" i="27"/>
  <c r="AB23" i="33"/>
  <c r="Y23" i="33"/>
  <c r="M484" i="27"/>
  <c r="AK23" i="33"/>
  <c r="J726" i="27"/>
  <c r="BD25" i="33"/>
  <c r="K727" i="27"/>
  <c r="J484" i="27"/>
  <c r="G23" i="33"/>
  <c r="AE23" i="33"/>
  <c r="K728" i="27"/>
  <c r="F2880" i="27" l="1"/>
  <c r="A726" i="27"/>
  <c r="H729" i="27"/>
  <c r="H387" i="27"/>
  <c r="H167" i="27"/>
  <c r="U627" i="32"/>
  <c r="U14" i="32"/>
  <c r="U322" i="32"/>
  <c r="U324" i="32" s="1"/>
  <c r="BA27" i="33"/>
  <c r="AZ9" i="34"/>
  <c r="AY9" i="34"/>
  <c r="L728" i="27"/>
  <c r="H2848" i="27"/>
  <c r="K729" i="27"/>
  <c r="AE25" i="33"/>
  <c r="J727" i="27"/>
  <c r="BB9" i="34"/>
  <c r="I2843" i="27"/>
  <c r="J485" i="27"/>
  <c r="J2848" i="27"/>
  <c r="J2844" i="27"/>
  <c r="L729" i="27"/>
  <c r="J2843" i="27"/>
  <c r="AK25" i="33"/>
  <c r="J2847" i="27"/>
  <c r="H2847" i="27"/>
  <c r="I2845" i="27"/>
  <c r="H2844" i="27"/>
  <c r="H2843" i="27"/>
  <c r="K2845" i="27"/>
  <c r="K2847" i="27"/>
  <c r="K2843" i="27"/>
  <c r="H2845" i="27"/>
  <c r="K2848" i="27"/>
  <c r="J2845" i="27"/>
  <c r="J728" i="27"/>
  <c r="J2846" i="27"/>
  <c r="AB25" i="33"/>
  <c r="Y25" i="33"/>
  <c r="D483" i="27"/>
  <c r="I2847" i="27"/>
  <c r="M485" i="27"/>
  <c r="I2844" i="27"/>
  <c r="K485" i="27"/>
  <c r="K2846" i="27"/>
  <c r="F485" i="27"/>
  <c r="I2846" i="27"/>
  <c r="BD9" i="34"/>
  <c r="I2848" i="27"/>
  <c r="AH25" i="33"/>
  <c r="H2846" i="27"/>
  <c r="BC9" i="34"/>
  <c r="BD27" i="33"/>
  <c r="K2844" i="27"/>
  <c r="G25" i="33"/>
  <c r="A2846" i="27" l="1"/>
  <c r="A2848" i="27"/>
  <c r="A2843" i="27"/>
  <c r="A2844" i="27"/>
  <c r="A2845" i="27"/>
  <c r="A2847" i="27"/>
  <c r="F2881" i="27"/>
  <c r="A727" i="27"/>
  <c r="H730" i="27"/>
  <c r="H388" i="27"/>
  <c r="H168" i="27"/>
  <c r="BA29" i="33"/>
  <c r="U326" i="32"/>
  <c r="U16" i="32"/>
  <c r="U18" i="32" s="1"/>
  <c r="U629" i="32"/>
  <c r="AY10" i="34"/>
  <c r="AH11" i="31"/>
  <c r="BD29" i="33"/>
  <c r="BC10" i="34"/>
  <c r="BB10" i="34"/>
  <c r="AB27" i="33"/>
  <c r="J486" i="27"/>
  <c r="AE27" i="33"/>
  <c r="AH27" i="33"/>
  <c r="AK27" i="33"/>
  <c r="J729" i="27"/>
  <c r="D484" i="27"/>
  <c r="BD10" i="34"/>
  <c r="AI11" i="31"/>
  <c r="M486" i="27"/>
  <c r="K486" i="27"/>
  <c r="F486" i="27"/>
  <c r="Y27" i="33"/>
  <c r="G27" i="33"/>
  <c r="L730" i="27"/>
  <c r="F2882" i="27" l="1"/>
  <c r="H731" i="27"/>
  <c r="H389" i="27"/>
  <c r="H169" i="27"/>
  <c r="U20" i="32"/>
  <c r="AY11" i="34"/>
  <c r="U631" i="32"/>
  <c r="U328" i="32"/>
  <c r="BA31" i="33"/>
  <c r="AH13" i="31"/>
  <c r="AH29" i="33"/>
  <c r="BD31" i="33"/>
  <c r="D485" i="27"/>
  <c r="AE29" i="33"/>
  <c r="M487" i="27"/>
  <c r="K487" i="27"/>
  <c r="AK29" i="33"/>
  <c r="K731" i="27"/>
  <c r="BB11" i="34"/>
  <c r="F487" i="27"/>
  <c r="L731" i="27"/>
  <c r="AI13" i="31"/>
  <c r="G29" i="33"/>
  <c r="J487" i="27"/>
  <c r="BD11" i="34"/>
  <c r="BC11" i="34"/>
  <c r="AB29" i="33"/>
  <c r="K730" i="27"/>
  <c r="Y29" i="33"/>
  <c r="I731" i="27"/>
  <c r="J730" i="27"/>
  <c r="F2883" i="27" l="1"/>
  <c r="H732" i="27"/>
  <c r="H390" i="27"/>
  <c r="H170" i="27"/>
  <c r="AY12" i="34"/>
  <c r="AY13" i="34" s="1"/>
  <c r="BA33" i="33"/>
  <c r="U330" i="32"/>
  <c r="U332" i="32" s="1"/>
  <c r="U633" i="32"/>
  <c r="U22" i="32"/>
  <c r="AH15" i="31"/>
  <c r="A621" i="32"/>
  <c r="F488" i="27"/>
  <c r="AB31" i="33"/>
  <c r="A326" i="32"/>
  <c r="AI15" i="31"/>
  <c r="A332" i="32"/>
  <c r="A625" i="32"/>
  <c r="A316" i="32"/>
  <c r="K488" i="27"/>
  <c r="Y31" i="33"/>
  <c r="D486" i="27"/>
  <c r="A324" i="32"/>
  <c r="M239" i="27" a="1"/>
  <c r="A12" i="32"/>
  <c r="A623" i="32"/>
  <c r="AE31" i="33"/>
  <c r="L732" i="27"/>
  <c r="BC13" i="34"/>
  <c r="J488" i="27"/>
  <c r="BD33" i="33"/>
  <c r="A320" i="32"/>
  <c r="BD13" i="34"/>
  <c r="A20" i="32"/>
  <c r="BB13" i="34"/>
  <c r="A16" i="32"/>
  <c r="A10" i="32"/>
  <c r="A22" i="32"/>
  <c r="A18" i="32"/>
  <c r="A627" i="32"/>
  <c r="A14" i="32"/>
  <c r="G31" i="33"/>
  <c r="A318" i="32"/>
  <c r="AH31" i="33"/>
  <c r="BD12" i="34"/>
  <c r="BB12" i="34"/>
  <c r="A633" i="32"/>
  <c r="K732" i="27"/>
  <c r="AK31" i="33"/>
  <c r="BC12" i="34"/>
  <c r="A631" i="32"/>
  <c r="J731" i="27"/>
  <c r="I732" i="27"/>
  <c r="A328" i="32"/>
  <c r="F2885" i="27" l="1"/>
  <c r="F2884" i="27"/>
  <c r="P2015" i="27"/>
  <c r="P2012" i="27"/>
  <c r="P2013" i="27"/>
  <c r="P2014" i="27"/>
  <c r="O2012" i="27"/>
  <c r="O2013" i="27"/>
  <c r="O2014" i="27"/>
  <c r="O2015" i="27"/>
  <c r="N2013" i="27"/>
  <c r="N2014" i="27"/>
  <c r="N2015" i="27"/>
  <c r="N2012" i="27"/>
  <c r="J2015" i="27"/>
  <c r="K1416" i="27"/>
  <c r="O1029" i="27"/>
  <c r="O1030" i="27"/>
  <c r="O1031" i="27"/>
  <c r="N1031" i="27"/>
  <c r="N1029" i="27"/>
  <c r="N1030" i="27"/>
  <c r="O1337" i="27"/>
  <c r="O1335" i="27"/>
  <c r="O1338" i="27"/>
  <c r="O1339" i="27"/>
  <c r="O1333" i="27"/>
  <c r="O1334" i="27"/>
  <c r="N1337" i="27"/>
  <c r="N1335" i="27"/>
  <c r="N1338" i="27"/>
  <c r="N1339" i="27"/>
  <c r="N1333" i="27"/>
  <c r="N1334" i="27"/>
  <c r="J1335" i="27"/>
  <c r="J1333" i="27"/>
  <c r="J1334" i="27"/>
  <c r="A731" i="27"/>
  <c r="H734" i="27"/>
  <c r="H733" i="27"/>
  <c r="H391" i="27"/>
  <c r="H392" i="27"/>
  <c r="H171" i="27"/>
  <c r="H172" i="27"/>
  <c r="M239" i="27"/>
  <c r="O1411" i="27"/>
  <c r="M1411" i="27"/>
  <c r="U24" i="32"/>
  <c r="U635" i="32"/>
  <c r="U334" i="32"/>
  <c r="BA35" i="33"/>
  <c r="N1411" i="27"/>
  <c r="AH17" i="31"/>
  <c r="AY14" i="34"/>
  <c r="A635" i="32"/>
  <c r="AI17" i="31"/>
  <c r="Y33" i="33"/>
  <c r="AE33" i="33"/>
  <c r="K489" i="27"/>
  <c r="BC14" i="34"/>
  <c r="A24" i="32"/>
  <c r="AH33" i="33"/>
  <c r="BB14" i="34"/>
  <c r="J732" i="27"/>
  <c r="AB33" i="33"/>
  <c r="BD14" i="34"/>
  <c r="BD35" i="33"/>
  <c r="A334" i="32"/>
  <c r="D487" i="27"/>
  <c r="AK33" i="33"/>
  <c r="F489" i="27"/>
  <c r="M489" i="27"/>
  <c r="J489" i="27"/>
  <c r="L734" i="27"/>
  <c r="K733" i="27"/>
  <c r="F2886" i="27" l="1"/>
  <c r="O1340" i="27"/>
  <c r="O1336" i="27"/>
  <c r="N1336" i="27"/>
  <c r="N1340" i="27"/>
  <c r="J1340" i="27"/>
  <c r="A732" i="27"/>
  <c r="H735" i="27"/>
  <c r="H393" i="27"/>
  <c r="H173" i="27"/>
  <c r="BA37" i="33"/>
  <c r="U336" i="32"/>
  <c r="U637" i="32"/>
  <c r="U26" i="32"/>
  <c r="AH19" i="31"/>
  <c r="AY15" i="34"/>
  <c r="O39" i="27"/>
  <c r="AI9" i="30"/>
  <c r="AJ9" i="30"/>
  <c r="M130" i="27"/>
  <c r="AE35" i="33"/>
  <c r="K490" i="27"/>
  <c r="I130" i="27"/>
  <c r="G19" i="27"/>
  <c r="A26" i="32"/>
  <c r="J132" i="27"/>
  <c r="AB35" i="33"/>
  <c r="K735" i="27"/>
  <c r="M131" i="27"/>
  <c r="AK9" i="30"/>
  <c r="AI19" i="31"/>
  <c r="Y35" i="33"/>
  <c r="BC15" i="34"/>
  <c r="I131" i="27"/>
  <c r="J490" i="27"/>
  <c r="I132" i="27"/>
  <c r="K734" i="27"/>
  <c r="A336" i="32"/>
  <c r="J19" i="27"/>
  <c r="G35" i="33"/>
  <c r="J734" i="27"/>
  <c r="BD15" i="34"/>
  <c r="Q19" i="27"/>
  <c r="BD37" i="33"/>
  <c r="M132" i="27"/>
  <c r="M490" i="27"/>
  <c r="J733" i="27"/>
  <c r="I733" i="27"/>
  <c r="BB15" i="34"/>
  <c r="AH35" i="33"/>
  <c r="N132" i="27"/>
  <c r="AK35" i="33"/>
  <c r="F490" i="27"/>
  <c r="L733" i="27"/>
  <c r="A637" i="32"/>
  <c r="N130" i="27"/>
  <c r="J131" i="27"/>
  <c r="N131" i="27"/>
  <c r="AL9" i="30"/>
  <c r="J130" i="27"/>
  <c r="R19" i="27"/>
  <c r="L735" i="27"/>
  <c r="F2887" i="27" l="1"/>
  <c r="A733" i="27"/>
  <c r="H736" i="27"/>
  <c r="H394" i="27"/>
  <c r="H174" i="27"/>
  <c r="AJ11" i="30"/>
  <c r="U28" i="32"/>
  <c r="U639" i="32"/>
  <c r="U338" i="32"/>
  <c r="BA39" i="33"/>
  <c r="AH21" i="31"/>
  <c r="AY16" i="34"/>
  <c r="F491" i="27"/>
  <c r="T9" i="30"/>
  <c r="BC16" i="34"/>
  <c r="O491" i="27"/>
  <c r="AK37" i="33"/>
  <c r="K491" i="27"/>
  <c r="R20" i="27"/>
  <c r="L20" i="27"/>
  <c r="K736" i="27"/>
  <c r="AH37" i="33"/>
  <c r="AL11" i="30"/>
  <c r="G37" i="33"/>
  <c r="BD39" i="33"/>
  <c r="Q491" i="27"/>
  <c r="D489" i="27"/>
  <c r="L736" i="27"/>
  <c r="V491" i="27"/>
  <c r="M491" i="27"/>
  <c r="L491" i="27"/>
  <c r="G491" i="27"/>
  <c r="R491" i="27"/>
  <c r="I491" i="27"/>
  <c r="N491" i="27"/>
  <c r="A28" i="32"/>
  <c r="J491" i="27"/>
  <c r="P491" i="27"/>
  <c r="J735" i="27"/>
  <c r="BD16" i="34"/>
  <c r="AB37" i="33"/>
  <c r="AE37" i="33"/>
  <c r="AI21" i="31"/>
  <c r="A338" i="32"/>
  <c r="A639" i="32"/>
  <c r="Y37" i="33"/>
  <c r="Q20" i="27"/>
  <c r="U491" i="27"/>
  <c r="J20" i="27"/>
  <c r="G20" i="27"/>
  <c r="T491" i="27"/>
  <c r="F2888" i="27" l="1"/>
  <c r="H737" i="27"/>
  <c r="H395" i="27"/>
  <c r="H175" i="27"/>
  <c r="AU39" i="33"/>
  <c r="BA41" i="33"/>
  <c r="U340" i="32"/>
  <c r="U342" i="32" s="1"/>
  <c r="U641" i="32"/>
  <c r="U30" i="32"/>
  <c r="AJ13" i="30"/>
  <c r="AH23" i="31"/>
  <c r="AY17" i="34"/>
  <c r="AI23" i="31"/>
  <c r="V492" i="27"/>
  <c r="T492" i="27"/>
  <c r="K492" i="27"/>
  <c r="R21" i="27"/>
  <c r="BC17" i="34"/>
  <c r="L21" i="27"/>
  <c r="J21" i="27"/>
  <c r="Y39" i="33"/>
  <c r="A30" i="32"/>
  <c r="P492" i="27"/>
  <c r="D490" i="27"/>
  <c r="G39" i="33"/>
  <c r="U492" i="27"/>
  <c r="BD41" i="33"/>
  <c r="Q21" i="27"/>
  <c r="AB39" i="33"/>
  <c r="BD17" i="34"/>
  <c r="G21" i="27"/>
  <c r="K132" i="27"/>
  <c r="AK39" i="33"/>
  <c r="Q492" i="27"/>
  <c r="AH39" i="33"/>
  <c r="AL13" i="30"/>
  <c r="AE39" i="33"/>
  <c r="J736" i="27"/>
  <c r="J492" i="27"/>
  <c r="A342" i="32"/>
  <c r="L737" i="27"/>
  <c r="F2889" i="27" l="1"/>
  <c r="H738" i="27"/>
  <c r="H396" i="27"/>
  <c r="H176" i="27"/>
  <c r="C1223" i="32"/>
  <c r="C1247" i="32"/>
  <c r="C1221" i="32"/>
  <c r="C1225" i="32"/>
  <c r="C1249" i="32"/>
  <c r="C1227" i="32"/>
  <c r="C1251" i="32"/>
  <c r="C1229" i="32"/>
  <c r="C1253" i="32"/>
  <c r="C1231" i="32"/>
  <c r="C1255" i="32"/>
  <c r="C1233" i="32"/>
  <c r="C1257" i="32"/>
  <c r="C1235" i="32"/>
  <c r="C1259" i="32"/>
  <c r="C1245" i="32"/>
  <c r="C1237" i="32"/>
  <c r="C1239" i="32"/>
  <c r="C1241" i="32"/>
  <c r="C1243" i="32"/>
  <c r="AU41" i="33"/>
  <c r="AJ15" i="30"/>
  <c r="U32" i="32"/>
  <c r="U643" i="32"/>
  <c r="BA43" i="33"/>
  <c r="U344" i="32"/>
  <c r="AH25" i="31"/>
  <c r="AY18" i="34"/>
  <c r="D491" i="27"/>
  <c r="L738" i="27"/>
  <c r="AK41" i="33"/>
  <c r="V493" i="27"/>
  <c r="Q493" i="27"/>
  <c r="L493" i="27"/>
  <c r="I738" i="27"/>
  <c r="BD43" i="33"/>
  <c r="F493" i="27"/>
  <c r="G22" i="27"/>
  <c r="A32" i="32"/>
  <c r="R22" i="27"/>
  <c r="BD18" i="34"/>
  <c r="A344" i="32"/>
  <c r="N493" i="27"/>
  <c r="Y41" i="33"/>
  <c r="Q22" i="27"/>
  <c r="G493" i="27"/>
  <c r="AH41" i="33"/>
  <c r="O493" i="27"/>
  <c r="R493" i="27"/>
  <c r="T493" i="27"/>
  <c r="AB41" i="33"/>
  <c r="M493" i="27"/>
  <c r="AE41" i="33"/>
  <c r="K493" i="27"/>
  <c r="J737" i="27"/>
  <c r="BC18" i="34"/>
  <c r="I737" i="27"/>
  <c r="J493" i="27"/>
  <c r="K738" i="27"/>
  <c r="P493" i="27"/>
  <c r="I493" i="27"/>
  <c r="K737" i="27"/>
  <c r="U493" i="27"/>
  <c r="AI25" i="31"/>
  <c r="L22" i="27"/>
  <c r="A643" i="32"/>
  <c r="AL15" i="30"/>
  <c r="F2891" i="27" l="1"/>
  <c r="F2890" i="27"/>
  <c r="A737" i="27"/>
  <c r="H739" i="27"/>
  <c r="H740" i="27"/>
  <c r="H398" i="27"/>
  <c r="H397" i="27"/>
  <c r="H177" i="27"/>
  <c r="H178" i="27"/>
  <c r="C1271" i="32"/>
  <c r="C1295" i="32"/>
  <c r="C1273" i="32"/>
  <c r="C1297" i="32"/>
  <c r="C1275" i="32"/>
  <c r="C1299" i="32"/>
  <c r="C1269" i="32"/>
  <c r="C1277" i="32"/>
  <c r="C1279" i="32"/>
  <c r="C1281" i="32"/>
  <c r="C1283" i="32"/>
  <c r="C1261" i="32"/>
  <c r="C1285" i="32"/>
  <c r="C1263" i="32"/>
  <c r="C1287" i="32"/>
  <c r="C1293" i="32"/>
  <c r="C1265" i="32"/>
  <c r="C1289" i="32"/>
  <c r="C1267" i="32"/>
  <c r="C1291" i="32"/>
  <c r="AU43" i="33"/>
  <c r="AJ17" i="30"/>
  <c r="U645" i="32"/>
  <c r="U346" i="32"/>
  <c r="BA45" i="33"/>
  <c r="U34" i="32"/>
  <c r="AH27" i="31"/>
  <c r="AY19" i="34"/>
  <c r="G494" i="27"/>
  <c r="AB43" i="33"/>
  <c r="AH43" i="33"/>
  <c r="R494" i="27"/>
  <c r="A346" i="32"/>
  <c r="J494" i="27"/>
  <c r="U494" i="27"/>
  <c r="AE43" i="33"/>
  <c r="K494" i="27"/>
  <c r="K739" i="27"/>
  <c r="J738" i="27"/>
  <c r="G43" i="33"/>
  <c r="L739" i="27"/>
  <c r="L494" i="27"/>
  <c r="L23" i="27"/>
  <c r="F494" i="27"/>
  <c r="A34" i="32"/>
  <c r="Q494" i="27"/>
  <c r="P494" i="27"/>
  <c r="M494" i="27"/>
  <c r="BD19" i="34"/>
  <c r="A645" i="32"/>
  <c r="J23" i="27"/>
  <c r="K740" i="27"/>
  <c r="AL17" i="30"/>
  <c r="T494" i="27"/>
  <c r="L740" i="27"/>
  <c r="G23" i="27"/>
  <c r="BC19" i="34"/>
  <c r="AI27" i="31"/>
  <c r="I739" i="27"/>
  <c r="O494" i="27"/>
  <c r="R23" i="27"/>
  <c r="BD45" i="33"/>
  <c r="I494" i="27"/>
  <c r="N494" i="27"/>
  <c r="Q23" i="27"/>
  <c r="V494" i="27"/>
  <c r="AK43" i="33"/>
  <c r="Y43" i="33"/>
  <c r="F2892" i="27" l="1"/>
  <c r="A738" i="27"/>
  <c r="H741" i="27"/>
  <c r="H399" i="27"/>
  <c r="H179" i="27"/>
  <c r="C1319" i="32"/>
  <c r="C1321" i="32"/>
  <c r="C1323" i="32"/>
  <c r="C1301" i="32"/>
  <c r="C1325" i="32"/>
  <c r="C1303" i="32"/>
  <c r="C1327" i="32"/>
  <c r="C1317" i="32"/>
  <c r="C1305" i="32"/>
  <c r="C1329" i="32"/>
  <c r="C1307" i="32"/>
  <c r="C1331" i="32"/>
  <c r="C1309" i="32"/>
  <c r="C1333" i="32"/>
  <c r="C1311" i="32"/>
  <c r="C1335" i="32"/>
  <c r="C1313" i="32"/>
  <c r="C1337" i="32"/>
  <c r="C1315" i="32"/>
  <c r="C1339" i="32"/>
  <c r="AU45" i="33"/>
  <c r="U348" i="32"/>
  <c r="AJ19" i="30"/>
  <c r="U36" i="32"/>
  <c r="BA47" i="33"/>
  <c r="U647" i="32"/>
  <c r="AH29" i="31"/>
  <c r="AY20" i="34"/>
  <c r="C1182" i="27"/>
  <c r="D493" i="27"/>
  <c r="Y45" i="33"/>
  <c r="Q24" i="27"/>
  <c r="A348" i="32"/>
  <c r="L495" i="27"/>
  <c r="AI29" i="31"/>
  <c r="K741" i="27"/>
  <c r="J739" i="27"/>
  <c r="R24" i="27"/>
  <c r="U495" i="27"/>
  <c r="G45" i="33"/>
  <c r="L741" i="27"/>
  <c r="P495" i="27"/>
  <c r="J740" i="27"/>
  <c r="G24" i="27"/>
  <c r="A36" i="32"/>
  <c r="T495" i="27"/>
  <c r="N495" i="27"/>
  <c r="Q495" i="27"/>
  <c r="A647" i="32"/>
  <c r="I495" i="27"/>
  <c r="F495" i="27"/>
  <c r="O495" i="27"/>
  <c r="K495" i="27"/>
  <c r="R495" i="27"/>
  <c r="AE45" i="33"/>
  <c r="G495" i="27"/>
  <c r="AH45" i="33"/>
  <c r="BD20" i="34"/>
  <c r="J495" i="27"/>
  <c r="M495" i="27"/>
  <c r="BC20" i="34"/>
  <c r="V495" i="27"/>
  <c r="AB45" i="33"/>
  <c r="AK45" i="33"/>
  <c r="BD47" i="33"/>
  <c r="F2893" i="27" l="1"/>
  <c r="A739" i="27"/>
  <c r="H742" i="27"/>
  <c r="H400" i="27"/>
  <c r="H180" i="27"/>
  <c r="C1341" i="32"/>
  <c r="C1365" i="32"/>
  <c r="C1343" i="32"/>
  <c r="C1367" i="32"/>
  <c r="C1345" i="32"/>
  <c r="C1369" i="32"/>
  <c r="C1347" i="32"/>
  <c r="C1349" i="32"/>
  <c r="C1351" i="32"/>
  <c r="C1375" i="32"/>
  <c r="C1361" i="32"/>
  <c r="C1353" i="32"/>
  <c r="C1377" i="32"/>
  <c r="C1355" i="32"/>
  <c r="C1379" i="32"/>
  <c r="C1359" i="32"/>
  <c r="C1373" i="32"/>
  <c r="C1357" i="32"/>
  <c r="C1363" i="32"/>
  <c r="C1371" i="32"/>
  <c r="AU47" i="33"/>
  <c r="C1417" i="32" s="1"/>
  <c r="U38" i="32"/>
  <c r="AJ21" i="30"/>
  <c r="U649" i="32"/>
  <c r="BA49" i="33"/>
  <c r="U350" i="32"/>
  <c r="AH31" i="31"/>
  <c r="AY21" i="34"/>
  <c r="AG123" i="1"/>
  <c r="Y47" i="33"/>
  <c r="K496" i="27"/>
  <c r="BC21" i="34"/>
  <c r="BD49" i="33"/>
  <c r="V496" i="27"/>
  <c r="AE47" i="33"/>
  <c r="R25" i="27"/>
  <c r="AL21" i="30"/>
  <c r="BD21" i="34"/>
  <c r="D494" i="27"/>
  <c r="G47" i="33"/>
  <c r="L496" i="27"/>
  <c r="M496" i="27"/>
  <c r="Q25" i="27"/>
  <c r="N496" i="27"/>
  <c r="L25" i="27"/>
  <c r="O496" i="27"/>
  <c r="AK47" i="33"/>
  <c r="T496" i="27"/>
  <c r="Q496" i="27"/>
  <c r="AH47" i="33"/>
  <c r="J741" i="27"/>
  <c r="U496" i="27"/>
  <c r="L742" i="27"/>
  <c r="A649" i="32"/>
  <c r="A350" i="32"/>
  <c r="AB47" i="33"/>
  <c r="AI31" i="31"/>
  <c r="J496" i="27"/>
  <c r="G25" i="27"/>
  <c r="F2894" i="27" l="1"/>
  <c r="H743" i="27"/>
  <c r="H401" i="27"/>
  <c r="H181" i="27"/>
  <c r="C1419" i="32"/>
  <c r="C1387" i="32"/>
  <c r="C1383" i="32"/>
  <c r="C1415" i="32"/>
  <c r="C1385" i="32"/>
  <c r="C1407" i="32"/>
  <c r="C1393" i="32"/>
  <c r="C1413" i="32"/>
  <c r="C1391" i="32"/>
  <c r="C1403" i="32"/>
  <c r="C1401" i="32"/>
  <c r="C1381" i="32"/>
  <c r="C1389" i="32"/>
  <c r="C1399" i="32"/>
  <c r="C1405" i="32"/>
  <c r="C1411" i="32"/>
  <c r="C1397" i="32"/>
  <c r="C1409" i="32"/>
  <c r="C1395" i="32"/>
  <c r="AU49" i="33"/>
  <c r="C1443" i="32" s="1"/>
  <c r="U651" i="32"/>
  <c r="U40" i="32"/>
  <c r="U352" i="32"/>
  <c r="BA51" i="33"/>
  <c r="AJ23" i="30"/>
  <c r="AH33" i="31"/>
  <c r="AY22" i="34"/>
  <c r="BD22" i="34"/>
  <c r="N497" i="27"/>
  <c r="L497" i="27"/>
  <c r="AK49" i="33"/>
  <c r="O50" i="33"/>
  <c r="J497" i="27"/>
  <c r="AB49" i="33"/>
  <c r="AH49" i="33"/>
  <c r="T497" i="27"/>
  <c r="A40" i="32"/>
  <c r="Q26" i="27"/>
  <c r="Q497" i="27"/>
  <c r="M497" i="27"/>
  <c r="R26" i="27"/>
  <c r="F497" i="27"/>
  <c r="G497" i="27"/>
  <c r="Y49" i="33"/>
  <c r="AE49" i="33"/>
  <c r="BC22" i="34"/>
  <c r="O49" i="33"/>
  <c r="K743" i="27"/>
  <c r="K742" i="27"/>
  <c r="BD51" i="33"/>
  <c r="I497" i="27"/>
  <c r="A651" i="32"/>
  <c r="G26" i="27"/>
  <c r="D495" i="27"/>
  <c r="AL23" i="30"/>
  <c r="V497" i="27"/>
  <c r="L26" i="27"/>
  <c r="J742" i="27"/>
  <c r="O497" i="27"/>
  <c r="P497" i="27"/>
  <c r="K497" i="27"/>
  <c r="AI33" i="31"/>
  <c r="U497" i="27"/>
  <c r="R497" i="27"/>
  <c r="I743" i="27"/>
  <c r="F2895" i="27" l="1"/>
  <c r="H744" i="27"/>
  <c r="H402" i="27"/>
  <c r="H182" i="27"/>
  <c r="C1423" i="32"/>
  <c r="Q1423" i="32" s="1"/>
  <c r="C1437" i="32"/>
  <c r="Q1437" i="32" s="1"/>
  <c r="C1431" i="32"/>
  <c r="Q1431" i="32" s="1"/>
  <c r="C1441" i="32"/>
  <c r="Q1441" i="32" s="1"/>
  <c r="C1453" i="32"/>
  <c r="Q1453" i="32" s="1"/>
  <c r="C1439" i="32"/>
  <c r="Q1439" i="32" s="1"/>
  <c r="C1429" i="32"/>
  <c r="Q1429" i="32" s="1"/>
  <c r="C1451" i="32"/>
  <c r="Q1451" i="32" s="1"/>
  <c r="C1427" i="32"/>
  <c r="Q1427" i="32" s="1"/>
  <c r="C1449" i="32"/>
  <c r="Q1449" i="32" s="1"/>
  <c r="C1425" i="32"/>
  <c r="Q1425" i="32" s="1"/>
  <c r="C1459" i="32"/>
  <c r="Q1459" i="32" s="1"/>
  <c r="C1435" i="32"/>
  <c r="Q1435" i="32" s="1"/>
  <c r="C1447" i="32"/>
  <c r="Q1447" i="32" s="1"/>
  <c r="C1457" i="32"/>
  <c r="Q1457" i="32" s="1"/>
  <c r="C1445" i="32"/>
  <c r="Q1445" i="32" s="1"/>
  <c r="C1433" i="32"/>
  <c r="Q1433" i="32" s="1"/>
  <c r="C1421" i="32"/>
  <c r="Q1421" i="32" s="1"/>
  <c r="C1455" i="32"/>
  <c r="Q1455" i="32" s="1"/>
  <c r="Q1443" i="32"/>
  <c r="AU51" i="33"/>
  <c r="C1497" i="32" s="1"/>
  <c r="U653" i="32"/>
  <c r="U354" i="32"/>
  <c r="AJ25" i="30"/>
  <c r="BA53" i="33"/>
  <c r="U42" i="32"/>
  <c r="AH35" i="31"/>
  <c r="AY23" i="34"/>
  <c r="N123" i="16"/>
  <c r="L743" i="27"/>
  <c r="A354" i="32"/>
  <c r="J27" i="27"/>
  <c r="I744" i="27"/>
  <c r="G27" i="27"/>
  <c r="AL25" i="30"/>
  <c r="R498" i="27"/>
  <c r="J743" i="27"/>
  <c r="U498" i="27"/>
  <c r="K498" i="27"/>
  <c r="O51" i="33"/>
  <c r="BD23" i="34"/>
  <c r="G51" i="33"/>
  <c r="AH51" i="33"/>
  <c r="AI35" i="31"/>
  <c r="I498" i="27"/>
  <c r="BD53" i="33"/>
  <c r="AE51" i="33"/>
  <c r="O52" i="33"/>
  <c r="O498" i="27"/>
  <c r="Q27" i="27"/>
  <c r="N498" i="27"/>
  <c r="K744" i="27"/>
  <c r="Q498" i="27"/>
  <c r="F498" i="27"/>
  <c r="AB51" i="33"/>
  <c r="J498" i="27"/>
  <c r="L744" i="27"/>
  <c r="P498" i="27"/>
  <c r="BC23" i="34"/>
  <c r="R27" i="27"/>
  <c r="V498" i="27"/>
  <c r="L498" i="27"/>
  <c r="M498" i="27"/>
  <c r="G498" i="27"/>
  <c r="AK51" i="33"/>
  <c r="L27" i="27"/>
  <c r="A653" i="32"/>
  <c r="A42" i="32"/>
  <c r="Y51" i="33"/>
  <c r="T498" i="27"/>
  <c r="F2896" i="27" l="1"/>
  <c r="F2897" i="27"/>
  <c r="A743" i="27"/>
  <c r="H745" i="27"/>
  <c r="H746" i="27"/>
  <c r="H404" i="27"/>
  <c r="H403" i="27"/>
  <c r="H184" i="27"/>
  <c r="H183" i="27"/>
  <c r="C1473" i="32"/>
  <c r="Q1473" i="32" s="1"/>
  <c r="C1495" i="32"/>
  <c r="Q1495" i="32" s="1"/>
  <c r="C1483" i="32"/>
  <c r="Q1483" i="32" s="1"/>
  <c r="C1479" i="32"/>
  <c r="Q1479" i="32" s="1"/>
  <c r="C1493" i="32"/>
  <c r="Q1493" i="32" s="1"/>
  <c r="C1491" i="32"/>
  <c r="Q1491" i="32" s="1"/>
  <c r="C1471" i="32"/>
  <c r="Q1471" i="32" s="1"/>
  <c r="C1481" i="32"/>
  <c r="Q1481" i="32" s="1"/>
  <c r="C1469" i="32"/>
  <c r="Q1469" i="32" s="1"/>
  <c r="C1477" i="32"/>
  <c r="Q1477" i="32" s="1"/>
  <c r="C1461" i="32"/>
  <c r="Q1461" i="32" s="1"/>
  <c r="C1499" i="32"/>
  <c r="Q1499" i="32" s="1"/>
  <c r="C1465" i="32"/>
  <c r="Q1465" i="32" s="1"/>
  <c r="C1475" i="32"/>
  <c r="Q1475" i="32" s="1"/>
  <c r="C1487" i="32"/>
  <c r="Q1487" i="32" s="1"/>
  <c r="C1489" i="32"/>
  <c r="Q1489" i="32" s="1"/>
  <c r="C1485" i="32"/>
  <c r="Q1485" i="32" s="1"/>
  <c r="C1463" i="32"/>
  <c r="Q1463" i="32" s="1"/>
  <c r="C1467" i="32"/>
  <c r="Q1467" i="32" s="1"/>
  <c r="Q1497" i="32"/>
  <c r="AU53" i="33"/>
  <c r="C1529" i="32" s="1"/>
  <c r="AJ27" i="30"/>
  <c r="U44" i="32"/>
  <c r="U655" i="32"/>
  <c r="BA55" i="33"/>
  <c r="U356" i="32"/>
  <c r="AH37" i="31"/>
  <c r="AY24" i="34"/>
  <c r="P499" i="27"/>
  <c r="AK53" i="33"/>
  <c r="O499" i="27"/>
  <c r="O53" i="33"/>
  <c r="K746" i="27"/>
  <c r="BD55" i="33"/>
  <c r="J499" i="27"/>
  <c r="L746" i="27"/>
  <c r="AH53" i="33"/>
  <c r="G53" i="33"/>
  <c r="AI37" i="31"/>
  <c r="U499" i="27"/>
  <c r="BC24" i="34"/>
  <c r="AB53" i="33"/>
  <c r="J744" i="27"/>
  <c r="A356" i="32"/>
  <c r="M499" i="27"/>
  <c r="A44" i="32"/>
  <c r="L499" i="27"/>
  <c r="O54" i="33"/>
  <c r="R499" i="27"/>
  <c r="V499" i="27"/>
  <c r="I499" i="27"/>
  <c r="Q499" i="27"/>
  <c r="Y53" i="33"/>
  <c r="D497" i="27"/>
  <c r="K499" i="27"/>
  <c r="G499" i="27"/>
  <c r="AE53" i="33"/>
  <c r="N499" i="27"/>
  <c r="BD24" i="34"/>
  <c r="T499" i="27"/>
  <c r="F499" i="27"/>
  <c r="K745" i="27"/>
  <c r="A655" i="32"/>
  <c r="F2898" i="27" l="1"/>
  <c r="A744" i="27"/>
  <c r="H747" i="27"/>
  <c r="H405" i="27"/>
  <c r="H185" i="27"/>
  <c r="AJ29" i="30"/>
  <c r="C1521" i="32"/>
  <c r="Q1521" i="32" s="1"/>
  <c r="C1515" i="32"/>
  <c r="Q1515" i="32" s="1"/>
  <c r="C1505" i="32"/>
  <c r="Q1505" i="32" s="1"/>
  <c r="C1509" i="32"/>
  <c r="Q1509" i="32" s="1"/>
  <c r="C1533" i="32"/>
  <c r="Q1533" i="32" s="1"/>
  <c r="C1503" i="32"/>
  <c r="Q1503" i="32" s="1"/>
  <c r="C1535" i="32"/>
  <c r="Q1535" i="32" s="1"/>
  <c r="C1537" i="32"/>
  <c r="Q1537" i="32" s="1"/>
  <c r="C1525" i="32"/>
  <c r="Q1525" i="32" s="1"/>
  <c r="C1511" i="32"/>
  <c r="Q1511" i="32" s="1"/>
  <c r="C1513" i="32"/>
  <c r="Q1513" i="32" s="1"/>
  <c r="C1501" i="32"/>
  <c r="C1527" i="32"/>
  <c r="Q1527" i="32" s="1"/>
  <c r="C1523" i="32"/>
  <c r="Q1523" i="32" s="1"/>
  <c r="C1519" i="32"/>
  <c r="Q1519" i="32" s="1"/>
  <c r="C1531" i="32"/>
  <c r="Q1531" i="32" s="1"/>
  <c r="C1507" i="32"/>
  <c r="Q1507" i="32" s="1"/>
  <c r="C1539" i="32"/>
  <c r="Q1539" i="32" s="1"/>
  <c r="C1517" i="32"/>
  <c r="Q1517" i="32" s="1"/>
  <c r="Q1529" i="32"/>
  <c r="AU55" i="33"/>
  <c r="C1565" i="32" s="1"/>
  <c r="BA57" i="33"/>
  <c r="U358" i="32"/>
  <c r="U657" i="32"/>
  <c r="U46" i="32"/>
  <c r="AY25" i="34"/>
  <c r="C1" i="36"/>
  <c r="D498" i="27"/>
  <c r="G500" i="27"/>
  <c r="J29" i="27"/>
  <c r="I500" i="27"/>
  <c r="L29" i="27"/>
  <c r="G29" i="27"/>
  <c r="R500" i="27"/>
  <c r="J500" i="27"/>
  <c r="O56" i="33"/>
  <c r="N500" i="27"/>
  <c r="K500" i="27"/>
  <c r="L500" i="27"/>
  <c r="A46" i="32"/>
  <c r="A657" i="32"/>
  <c r="O500" i="27"/>
  <c r="R29" i="27"/>
  <c r="Q29" i="27"/>
  <c r="J746" i="27"/>
  <c r="F500" i="27"/>
  <c r="AK55" i="33"/>
  <c r="AB55" i="33"/>
  <c r="J745" i="27"/>
  <c r="O55" i="33"/>
  <c r="T500" i="27"/>
  <c r="AE55" i="33"/>
  <c r="BD57" i="33"/>
  <c r="AH55" i="33"/>
  <c r="G55" i="33"/>
  <c r="L745" i="27"/>
  <c r="AL29" i="30"/>
  <c r="Y55" i="33"/>
  <c r="P500" i="27"/>
  <c r="M500" i="27"/>
  <c r="Q500" i="27"/>
  <c r="I745" i="27"/>
  <c r="V500" i="27"/>
  <c r="BC25" i="34"/>
  <c r="A358" i="32"/>
  <c r="BD25" i="34"/>
  <c r="U500" i="27"/>
  <c r="K747" i="27"/>
  <c r="L747" i="27"/>
  <c r="F2899" i="27" l="1"/>
  <c r="A745" i="27"/>
  <c r="H748" i="27"/>
  <c r="H406" i="27"/>
  <c r="H186" i="27"/>
  <c r="C249" i="16"/>
  <c r="C241" i="16"/>
  <c r="C233" i="16"/>
  <c r="C225" i="16"/>
  <c r="C217" i="16"/>
  <c r="C209" i="16"/>
  <c r="C201" i="16"/>
  <c r="C193" i="16"/>
  <c r="C185" i="16"/>
  <c r="C177" i="16"/>
  <c r="C169" i="16"/>
  <c r="C161" i="16"/>
  <c r="D118" i="16"/>
  <c r="D110" i="16"/>
  <c r="D102" i="16"/>
  <c r="D94" i="16"/>
  <c r="D86" i="16"/>
  <c r="D78" i="16"/>
  <c r="D70" i="16"/>
  <c r="D62" i="16"/>
  <c r="C112" i="16"/>
  <c r="E112" i="16" s="1"/>
  <c r="C104" i="16"/>
  <c r="E104" i="16" s="1"/>
  <c r="C96" i="16"/>
  <c r="E96" i="16" s="1"/>
  <c r="C88" i="16"/>
  <c r="E88" i="16" s="1"/>
  <c r="C80" i="16"/>
  <c r="E80" i="16" s="1"/>
  <c r="C72" i="16"/>
  <c r="E72" i="16" s="1"/>
  <c r="C64" i="16"/>
  <c r="E64" i="16" s="1"/>
  <c r="F146" i="16"/>
  <c r="F138" i="16"/>
  <c r="F130" i="16"/>
  <c r="D54" i="16"/>
  <c r="D46" i="16"/>
  <c r="D38" i="16"/>
  <c r="D30" i="16"/>
  <c r="D22" i="16"/>
  <c r="C47" i="16"/>
  <c r="J47" i="16" s="1"/>
  <c r="C39" i="16"/>
  <c r="J39" i="16" s="1"/>
  <c r="C31" i="16"/>
  <c r="J31" i="16" s="1"/>
  <c r="C23" i="16"/>
  <c r="J23" i="16" s="1"/>
  <c r="D8" i="16"/>
  <c r="C10" i="16"/>
  <c r="J10" i="16" s="1"/>
  <c r="F382" i="20"/>
  <c r="F374" i="20"/>
  <c r="F366" i="20"/>
  <c r="F358" i="20"/>
  <c r="F350" i="20"/>
  <c r="F342" i="20"/>
  <c r="F334" i="20"/>
  <c r="F326" i="20"/>
  <c r="F318" i="20"/>
  <c r="F310" i="20"/>
  <c r="F302" i="20"/>
  <c r="F294" i="20"/>
  <c r="F286" i="20"/>
  <c r="F278" i="20"/>
  <c r="F270" i="20"/>
  <c r="F262" i="20"/>
  <c r="F254" i="20"/>
  <c r="F246" i="20"/>
  <c r="F238" i="20"/>
  <c r="F230" i="20"/>
  <c r="F222" i="20"/>
  <c r="F214" i="20"/>
  <c r="F206" i="20"/>
  <c r="F198" i="20"/>
  <c r="F190" i="20"/>
  <c r="F182" i="20"/>
  <c r="F174" i="20"/>
  <c r="F166" i="20"/>
  <c r="F158" i="20"/>
  <c r="E379" i="20"/>
  <c r="E371" i="20"/>
  <c r="E363" i="20"/>
  <c r="E355" i="20"/>
  <c r="E347" i="20"/>
  <c r="E339" i="20"/>
  <c r="E331" i="20"/>
  <c r="E323" i="20"/>
  <c r="E315" i="20"/>
  <c r="E307" i="20"/>
  <c r="E299" i="20"/>
  <c r="E291" i="20"/>
  <c r="C246" i="16"/>
  <c r="C238" i="16"/>
  <c r="C230" i="16"/>
  <c r="C222" i="16"/>
  <c r="C214" i="16"/>
  <c r="C206" i="16"/>
  <c r="C198" i="16"/>
  <c r="C190" i="16"/>
  <c r="C182" i="16"/>
  <c r="C174" i="16"/>
  <c r="C166" i="16"/>
  <c r="D115" i="16"/>
  <c r="D107" i="16"/>
  <c r="D99" i="16"/>
  <c r="D91" i="16"/>
  <c r="D83" i="16"/>
  <c r="D75" i="16"/>
  <c r="D67" i="16"/>
  <c r="C117" i="16"/>
  <c r="E117" i="16" s="1"/>
  <c r="C109" i="16"/>
  <c r="E109" i="16" s="1"/>
  <c r="C101" i="16"/>
  <c r="E101" i="16" s="1"/>
  <c r="C93" i="16"/>
  <c r="E93" i="16" s="1"/>
  <c r="C85" i="16"/>
  <c r="E85" i="16" s="1"/>
  <c r="C77" i="16"/>
  <c r="E77" i="16" s="1"/>
  <c r="C69" i="16"/>
  <c r="E69" i="16" s="1"/>
  <c r="F143" i="16"/>
  <c r="F135" i="16"/>
  <c r="F127" i="16"/>
  <c r="D51" i="16"/>
  <c r="D43" i="16"/>
  <c r="D35" i="16"/>
  <c r="D27" i="16"/>
  <c r="C52" i="16"/>
  <c r="J52" i="16" s="1"/>
  <c r="C44" i="16"/>
  <c r="J44" i="16" s="1"/>
  <c r="C36" i="16"/>
  <c r="J36" i="16" s="1"/>
  <c r="C28" i="16"/>
  <c r="J28" i="16" s="1"/>
  <c r="D13" i="16"/>
  <c r="D5" i="16"/>
  <c r="C7" i="16"/>
  <c r="J7" i="16" s="1"/>
  <c r="F379" i="20"/>
  <c r="F371" i="20"/>
  <c r="F363" i="20"/>
  <c r="F355" i="20"/>
  <c r="F347" i="20"/>
  <c r="F339" i="20"/>
  <c r="F331" i="20"/>
  <c r="F323" i="20"/>
  <c r="F315" i="20"/>
  <c r="F307" i="20"/>
  <c r="F299" i="20"/>
  <c r="F291" i="20"/>
  <c r="F283" i="20"/>
  <c r="F275" i="20"/>
  <c r="F267" i="20"/>
  <c r="F259" i="20"/>
  <c r="F251" i="20"/>
  <c r="F243" i="20"/>
  <c r="F235" i="20"/>
  <c r="F227" i="20"/>
  <c r="F219" i="20"/>
  <c r="F211" i="20"/>
  <c r="F203" i="20"/>
  <c r="F195" i="20"/>
  <c r="F187" i="20"/>
  <c r="F179" i="20"/>
  <c r="F171" i="20"/>
  <c r="F163" i="20"/>
  <c r="E384" i="20"/>
  <c r="E376" i="20"/>
  <c r="E368" i="20"/>
  <c r="E360" i="20"/>
  <c r="E352" i="20"/>
  <c r="E344" i="20"/>
  <c r="E336" i="20"/>
  <c r="E328" i="20"/>
  <c r="E320" i="20"/>
  <c r="E312" i="20"/>
  <c r="E304" i="20"/>
  <c r="E296" i="20"/>
  <c r="C245" i="16"/>
  <c r="C237" i="16"/>
  <c r="C229" i="16"/>
  <c r="C221" i="16"/>
  <c r="C213" i="16"/>
  <c r="C205" i="16"/>
  <c r="C197" i="16"/>
  <c r="C189" i="16"/>
  <c r="C181" i="16"/>
  <c r="C173" i="16"/>
  <c r="C165" i="16"/>
  <c r="D114" i="16"/>
  <c r="D106" i="16"/>
  <c r="D98" i="16"/>
  <c r="D90" i="16"/>
  <c r="D82" i="16"/>
  <c r="D74" i="16"/>
  <c r="D66" i="16"/>
  <c r="C116" i="16"/>
  <c r="E116" i="16" s="1"/>
  <c r="C108" i="16"/>
  <c r="E108" i="16" s="1"/>
  <c r="C100" i="16"/>
  <c r="E100" i="16" s="1"/>
  <c r="C92" i="16"/>
  <c r="E92" i="16" s="1"/>
  <c r="C84" i="16"/>
  <c r="E84" i="16" s="1"/>
  <c r="C76" i="16"/>
  <c r="E76" i="16" s="1"/>
  <c r="C68" i="16"/>
  <c r="E68" i="16" s="1"/>
  <c r="F142" i="16"/>
  <c r="F134" i="16"/>
  <c r="F126" i="16"/>
  <c r="D50" i="16"/>
  <c r="D42" i="16"/>
  <c r="D34" i="16"/>
  <c r="D26" i="16"/>
  <c r="C51" i="16"/>
  <c r="J51" i="16" s="1"/>
  <c r="C43" i="16"/>
  <c r="J43" i="16" s="1"/>
  <c r="C35" i="16"/>
  <c r="J35" i="16" s="1"/>
  <c r="C27" i="16"/>
  <c r="J27" i="16" s="1"/>
  <c r="D12" i="16"/>
  <c r="C14" i="16"/>
  <c r="J14" i="16" s="1"/>
  <c r="C6" i="16"/>
  <c r="J6" i="16" s="1"/>
  <c r="F378" i="20"/>
  <c r="F370" i="20"/>
  <c r="F362" i="20"/>
  <c r="F354" i="20"/>
  <c r="F346" i="20"/>
  <c r="F338" i="20"/>
  <c r="F330" i="20"/>
  <c r="F322" i="20"/>
  <c r="F314" i="20"/>
  <c r="F306" i="20"/>
  <c r="F298" i="20"/>
  <c r="F290" i="20"/>
  <c r="F282" i="20"/>
  <c r="F274" i="20"/>
  <c r="F266" i="20"/>
  <c r="F258" i="20"/>
  <c r="F250" i="20"/>
  <c r="F242" i="20"/>
  <c r="F234" i="20"/>
  <c r="F226" i="20"/>
  <c r="F218" i="20"/>
  <c r="F210" i="20"/>
  <c r="F202" i="20"/>
  <c r="F194" i="20"/>
  <c r="F186" i="20"/>
  <c r="F178" i="20"/>
  <c r="F170" i="20"/>
  <c r="F162" i="20"/>
  <c r="E383" i="20"/>
  <c r="E375" i="20"/>
  <c r="E367" i="20"/>
  <c r="E359" i="20"/>
  <c r="E351" i="20"/>
  <c r="E343" i="20"/>
  <c r="E335" i="20"/>
  <c r="E327" i="20"/>
  <c r="E319" i="20"/>
  <c r="E311" i="20"/>
  <c r="E303" i="20"/>
  <c r="E295" i="20"/>
  <c r="C244" i="16"/>
  <c r="C236" i="16"/>
  <c r="C228" i="16"/>
  <c r="C220" i="16"/>
  <c r="C212" i="16"/>
  <c r="C204" i="16"/>
  <c r="C196" i="16"/>
  <c r="C188" i="16"/>
  <c r="C180" i="16"/>
  <c r="C172" i="16"/>
  <c r="C164" i="16"/>
  <c r="D113" i="16"/>
  <c r="D105" i="16"/>
  <c r="D97" i="16"/>
  <c r="D89" i="16"/>
  <c r="D81" i="16"/>
  <c r="D73" i="16"/>
  <c r="D65" i="16"/>
  <c r="C115" i="16"/>
  <c r="E115" i="16" s="1"/>
  <c r="C107" i="16"/>
  <c r="E107" i="16" s="1"/>
  <c r="C99" i="16"/>
  <c r="E99" i="16" s="1"/>
  <c r="C91" i="16"/>
  <c r="E91" i="16" s="1"/>
  <c r="C83" i="16"/>
  <c r="E83" i="16" s="1"/>
  <c r="C75" i="16"/>
  <c r="E75" i="16" s="1"/>
  <c r="C67" i="16"/>
  <c r="E67" i="16" s="1"/>
  <c r="F149" i="16"/>
  <c r="F141" i="16"/>
  <c r="F133" i="16"/>
  <c r="F125" i="16"/>
  <c r="D49" i="16"/>
  <c r="D41" i="16"/>
  <c r="D33" i="16"/>
  <c r="D25" i="16"/>
  <c r="C50" i="16"/>
  <c r="J50" i="16" s="1"/>
  <c r="C42" i="16"/>
  <c r="J42" i="16" s="1"/>
  <c r="C34" i="16"/>
  <c r="J34" i="16" s="1"/>
  <c r="C26" i="16"/>
  <c r="J26" i="16" s="1"/>
  <c r="D11" i="16"/>
  <c r="C13" i="16"/>
  <c r="J13" i="16" s="1"/>
  <c r="C5" i="16"/>
  <c r="J5" i="16" s="1"/>
  <c r="F377" i="20"/>
  <c r="F369" i="20"/>
  <c r="F361" i="20"/>
  <c r="F353" i="20"/>
  <c r="F345" i="20"/>
  <c r="F337" i="20"/>
  <c r="F329" i="20"/>
  <c r="F321" i="20"/>
  <c r="F313" i="20"/>
  <c r="F305" i="20"/>
  <c r="F297" i="20"/>
  <c r="F289" i="20"/>
  <c r="F281" i="20"/>
  <c r="F273" i="20"/>
  <c r="F265" i="20"/>
  <c r="F257" i="20"/>
  <c r="F249" i="20"/>
  <c r="F241" i="20"/>
  <c r="F233" i="20"/>
  <c r="F225" i="20"/>
  <c r="F217" i="20"/>
  <c r="F209" i="20"/>
  <c r="F201" i="20"/>
  <c r="F193" i="20"/>
  <c r="F185" i="20"/>
  <c r="F177" i="20"/>
  <c r="F169" i="20"/>
  <c r="F161" i="20"/>
  <c r="E382" i="20"/>
  <c r="E374" i="20"/>
  <c r="E366" i="20"/>
  <c r="E358" i="20"/>
  <c r="E350" i="20"/>
  <c r="E342" i="20"/>
  <c r="E334" i="20"/>
  <c r="E326" i="20"/>
  <c r="E318" i="20"/>
  <c r="E310" i="20"/>
  <c r="E302" i="20"/>
  <c r="E294" i="20"/>
  <c r="C243" i="16"/>
  <c r="C235" i="16"/>
  <c r="C227" i="16"/>
  <c r="C219" i="16"/>
  <c r="C211" i="16"/>
  <c r="C203" i="16"/>
  <c r="C195" i="16"/>
  <c r="C187" i="16"/>
  <c r="C179" i="16"/>
  <c r="C171" i="16"/>
  <c r="C163" i="16"/>
  <c r="D112" i="16"/>
  <c r="D104" i="16"/>
  <c r="D96" i="16"/>
  <c r="D88" i="16"/>
  <c r="D80" i="16"/>
  <c r="D72" i="16"/>
  <c r="D64" i="16"/>
  <c r="C114" i="16"/>
  <c r="E114" i="16" s="1"/>
  <c r="C106" i="16"/>
  <c r="E106" i="16" s="1"/>
  <c r="C98" i="16"/>
  <c r="E98" i="16" s="1"/>
  <c r="C90" i="16"/>
  <c r="E90" i="16" s="1"/>
  <c r="C82" i="16"/>
  <c r="E82" i="16" s="1"/>
  <c r="C74" i="16"/>
  <c r="E74" i="16" s="1"/>
  <c r="C66" i="16"/>
  <c r="E66" i="16" s="1"/>
  <c r="F148" i="16"/>
  <c r="F140" i="16"/>
  <c r="F132" i="16"/>
  <c r="F124" i="16"/>
  <c r="D48" i="16"/>
  <c r="D40" i="16"/>
  <c r="D32" i="16"/>
  <c r="D24" i="16"/>
  <c r="C49" i="16"/>
  <c r="J49" i="16" s="1"/>
  <c r="C41" i="16"/>
  <c r="J41" i="16" s="1"/>
  <c r="C33" i="16"/>
  <c r="J33" i="16" s="1"/>
  <c r="C25" i="16"/>
  <c r="J25" i="16" s="1"/>
  <c r="D10" i="16"/>
  <c r="C12" i="16"/>
  <c r="J12" i="16" s="1"/>
  <c r="F384" i="20"/>
  <c r="F376" i="20"/>
  <c r="F368" i="20"/>
  <c r="F360" i="20"/>
  <c r="F352" i="20"/>
  <c r="F344" i="20"/>
  <c r="F336" i="20"/>
  <c r="F328" i="20"/>
  <c r="F320" i="20"/>
  <c r="F312" i="20"/>
  <c r="F304" i="20"/>
  <c r="F296" i="20"/>
  <c r="F288" i="20"/>
  <c r="F280" i="20"/>
  <c r="F272" i="20"/>
  <c r="F264" i="20"/>
  <c r="F256" i="20"/>
  <c r="F248" i="20"/>
  <c r="F240" i="20"/>
  <c r="F232" i="20"/>
  <c r="F224" i="20"/>
  <c r="F216" i="20"/>
  <c r="F208" i="20"/>
  <c r="F200" i="20"/>
  <c r="F192" i="20"/>
  <c r="F184" i="20"/>
  <c r="F176" i="20"/>
  <c r="F168" i="20"/>
  <c r="F160" i="20"/>
  <c r="E381" i="20"/>
  <c r="E373" i="20"/>
  <c r="E365" i="20"/>
  <c r="E357" i="20"/>
  <c r="E349" i="20"/>
  <c r="E341" i="20"/>
  <c r="E333" i="20"/>
  <c r="E325" i="20"/>
  <c r="E317" i="20"/>
  <c r="E309" i="20"/>
  <c r="E301" i="20"/>
  <c r="E293" i="20"/>
  <c r="C234" i="16"/>
  <c r="C215" i="16"/>
  <c r="C192" i="16"/>
  <c r="C170" i="16"/>
  <c r="D116" i="16"/>
  <c r="D93" i="16"/>
  <c r="D71" i="16"/>
  <c r="C110" i="16"/>
  <c r="E110" i="16" s="1"/>
  <c r="C87" i="16"/>
  <c r="E87" i="16" s="1"/>
  <c r="C65" i="16"/>
  <c r="E65" i="16" s="1"/>
  <c r="F139" i="16"/>
  <c r="D52" i="16"/>
  <c r="D29" i="16"/>
  <c r="C40" i="16"/>
  <c r="J40" i="16" s="1"/>
  <c r="D14" i="16"/>
  <c r="F381" i="20"/>
  <c r="F359" i="20"/>
  <c r="F340" i="20"/>
  <c r="F317" i="20"/>
  <c r="F295" i="20"/>
  <c r="F276" i="20"/>
  <c r="F253" i="20"/>
  <c r="F231" i="20"/>
  <c r="F212" i="20"/>
  <c r="F189" i="20"/>
  <c r="F167" i="20"/>
  <c r="E377" i="20"/>
  <c r="E354" i="20"/>
  <c r="E332" i="20"/>
  <c r="E313" i="20"/>
  <c r="E290" i="20"/>
  <c r="E282" i="20"/>
  <c r="E274" i="20"/>
  <c r="E266" i="20"/>
  <c r="E258" i="20"/>
  <c r="E250" i="20"/>
  <c r="E242" i="20"/>
  <c r="E234" i="20"/>
  <c r="E226" i="20"/>
  <c r="E218" i="20"/>
  <c r="E210" i="20"/>
  <c r="E202" i="20"/>
  <c r="E194" i="20"/>
  <c r="E186" i="20"/>
  <c r="E178" i="20"/>
  <c r="E170" i="20"/>
  <c r="E162" i="20"/>
  <c r="B383" i="20"/>
  <c r="D383" i="20" s="1"/>
  <c r="B375" i="20"/>
  <c r="D375" i="20" s="1"/>
  <c r="B367" i="20"/>
  <c r="D367" i="20" s="1"/>
  <c r="B359" i="20"/>
  <c r="D359" i="20" s="1"/>
  <c r="B351" i="20"/>
  <c r="D351" i="20" s="1"/>
  <c r="B343" i="20"/>
  <c r="D343" i="20" s="1"/>
  <c r="B335" i="20"/>
  <c r="D335" i="20" s="1"/>
  <c r="C232" i="16"/>
  <c r="C210" i="16"/>
  <c r="C191" i="16"/>
  <c r="C168" i="16"/>
  <c r="D111" i="16"/>
  <c r="D92" i="16"/>
  <c r="D69" i="16"/>
  <c r="C105" i="16"/>
  <c r="E105" i="16" s="1"/>
  <c r="C86" i="16"/>
  <c r="E86" i="16" s="1"/>
  <c r="C63" i="16"/>
  <c r="E63" i="16" s="1"/>
  <c r="F137" i="16"/>
  <c r="D47" i="16"/>
  <c r="D28" i="16"/>
  <c r="C38" i="16"/>
  <c r="J38" i="16" s="1"/>
  <c r="D9" i="16"/>
  <c r="F380" i="20"/>
  <c r="F357" i="20"/>
  <c r="F335" i="20"/>
  <c r="F316" i="20"/>
  <c r="F293" i="20"/>
  <c r="F271" i="20"/>
  <c r="F252" i="20"/>
  <c r="F229" i="20"/>
  <c r="F207" i="20"/>
  <c r="F188" i="20"/>
  <c r="F165" i="20"/>
  <c r="E372" i="20"/>
  <c r="E353" i="20"/>
  <c r="E330" i="20"/>
  <c r="E308" i="20"/>
  <c r="E289" i="20"/>
  <c r="E281" i="20"/>
  <c r="E273" i="20"/>
  <c r="E265" i="20"/>
  <c r="E257" i="20"/>
  <c r="E249" i="20"/>
  <c r="E241" i="20"/>
  <c r="E233" i="20"/>
  <c r="E225" i="20"/>
  <c r="E217" i="20"/>
  <c r="E209" i="20"/>
  <c r="E201" i="20"/>
  <c r="E193" i="20"/>
  <c r="E185" i="20"/>
  <c r="E177" i="20"/>
  <c r="E169" i="20"/>
  <c r="E161" i="20"/>
  <c r="B382" i="20"/>
  <c r="D382" i="20" s="1"/>
  <c r="B374" i="20"/>
  <c r="D374" i="20" s="1"/>
  <c r="B366" i="20"/>
  <c r="D366" i="20" s="1"/>
  <c r="B358" i="20"/>
  <c r="D358" i="20" s="1"/>
  <c r="B350" i="20"/>
  <c r="D350" i="20" s="1"/>
  <c r="B342" i="20"/>
  <c r="D342" i="20" s="1"/>
  <c r="B334" i="20"/>
  <c r="D334" i="20" s="1"/>
  <c r="C248" i="16"/>
  <c r="C226" i="16"/>
  <c r="C207" i="16"/>
  <c r="C184" i="16"/>
  <c r="C162" i="16"/>
  <c r="D108" i="16"/>
  <c r="D85" i="16"/>
  <c r="D63" i="16"/>
  <c r="C102" i="16"/>
  <c r="E102" i="16" s="1"/>
  <c r="C79" i="16"/>
  <c r="E79" i="16" s="1"/>
  <c r="F131" i="16"/>
  <c r="D44" i="16"/>
  <c r="C54" i="16"/>
  <c r="J54" i="16" s="1"/>
  <c r="C32" i="16"/>
  <c r="J32" i="16" s="1"/>
  <c r="D6" i="16"/>
  <c r="F373" i="20"/>
  <c r="F351" i="20"/>
  <c r="F332" i="20"/>
  <c r="F309" i="20"/>
  <c r="F287" i="20"/>
  <c r="F268" i="20"/>
  <c r="F245" i="20"/>
  <c r="F223" i="20"/>
  <c r="F204" i="20"/>
  <c r="F181" i="20"/>
  <c r="F159" i="20"/>
  <c r="E369" i="20"/>
  <c r="E346" i="20"/>
  <c r="E324" i="20"/>
  <c r="E305" i="20"/>
  <c r="E287" i="20"/>
  <c r="E279" i="20"/>
  <c r="E271" i="20"/>
  <c r="E263" i="20"/>
  <c r="E255" i="20"/>
  <c r="E247" i="20"/>
  <c r="E239" i="20"/>
  <c r="E231" i="20"/>
  <c r="E223" i="20"/>
  <c r="E215" i="20"/>
  <c r="E207" i="20"/>
  <c r="E199" i="20"/>
  <c r="E191" i="20"/>
  <c r="E183" i="20"/>
  <c r="E175" i="20"/>
  <c r="E167" i="20"/>
  <c r="E159" i="20"/>
  <c r="B380" i="20"/>
  <c r="D380" i="20" s="1"/>
  <c r="B372" i="20"/>
  <c r="D372" i="20" s="1"/>
  <c r="B364" i="20"/>
  <c r="D364" i="20" s="1"/>
  <c r="B356" i="20"/>
  <c r="D356" i="20" s="1"/>
  <c r="B348" i="20"/>
  <c r="D348" i="20" s="1"/>
  <c r="B340" i="20"/>
  <c r="D340" i="20" s="1"/>
  <c r="B332" i="20"/>
  <c r="D332" i="20" s="1"/>
  <c r="C247" i="16"/>
  <c r="C224" i="16"/>
  <c r="C202" i="16"/>
  <c r="C183" i="16"/>
  <c r="D103" i="16"/>
  <c r="D84" i="16"/>
  <c r="C119" i="16"/>
  <c r="E119" i="16" s="1"/>
  <c r="C97" i="16"/>
  <c r="E97" i="16" s="1"/>
  <c r="C78" i="16"/>
  <c r="E78" i="16" s="1"/>
  <c r="F129" i="16"/>
  <c r="D39" i="16"/>
  <c r="C53" i="16"/>
  <c r="J53" i="16" s="1"/>
  <c r="C30" i="16"/>
  <c r="J30" i="16" s="1"/>
  <c r="C11" i="16"/>
  <c r="J11" i="16" s="1"/>
  <c r="F372" i="20"/>
  <c r="F349" i="20"/>
  <c r="F327" i="20"/>
  <c r="F308" i="20"/>
  <c r="F285" i="20"/>
  <c r="F263" i="20"/>
  <c r="F244" i="20"/>
  <c r="F221" i="20"/>
  <c r="F199" i="20"/>
  <c r="F180" i="20"/>
  <c r="F157" i="20"/>
  <c r="E364" i="20"/>
  <c r="E345" i="20"/>
  <c r="E322" i="20"/>
  <c r="E300" i="20"/>
  <c r="E286" i="20"/>
  <c r="E278" i="20"/>
  <c r="E270" i="20"/>
  <c r="E262" i="20"/>
  <c r="E254" i="20"/>
  <c r="E246" i="20"/>
  <c r="E238" i="20"/>
  <c r="E230" i="20"/>
  <c r="E222" i="20"/>
  <c r="E214" i="20"/>
  <c r="E206" i="20"/>
  <c r="E198" i="20"/>
  <c r="E190" i="20"/>
  <c r="E182" i="20"/>
  <c r="E174" i="20"/>
  <c r="E166" i="20"/>
  <c r="E158" i="20"/>
  <c r="B379" i="20"/>
  <c r="D379" i="20" s="1"/>
  <c r="B371" i="20"/>
  <c r="D371" i="20" s="1"/>
  <c r="B363" i="20"/>
  <c r="D363" i="20" s="1"/>
  <c r="B355" i="20"/>
  <c r="D355" i="20" s="1"/>
  <c r="B347" i="20"/>
  <c r="D347" i="20" s="1"/>
  <c r="B339" i="20"/>
  <c r="D339" i="20" s="1"/>
  <c r="B331" i="20"/>
  <c r="D331" i="20" s="1"/>
  <c r="C240" i="16"/>
  <c r="C218" i="16"/>
  <c r="C199" i="16"/>
  <c r="C176" i="16"/>
  <c r="D119" i="16"/>
  <c r="D100" i="16"/>
  <c r="D77" i="16"/>
  <c r="C113" i="16"/>
  <c r="E113" i="16" s="1"/>
  <c r="C94" i="16"/>
  <c r="E94" i="16" s="1"/>
  <c r="C71" i="16"/>
  <c r="E71" i="16" s="1"/>
  <c r="F145" i="16"/>
  <c r="D36" i="16"/>
  <c r="C46" i="16"/>
  <c r="J46" i="16" s="1"/>
  <c r="C24" i="16"/>
  <c r="J24" i="16" s="1"/>
  <c r="C8" i="16"/>
  <c r="J8" i="16" s="1"/>
  <c r="F365" i="20"/>
  <c r="F343" i="20"/>
  <c r="F324" i="20"/>
  <c r="F301" i="20"/>
  <c r="F279" i="20"/>
  <c r="F260" i="20"/>
  <c r="F237" i="20"/>
  <c r="F215" i="20"/>
  <c r="F196" i="20"/>
  <c r="F173" i="20"/>
  <c r="E380" i="20"/>
  <c r="E361" i="20"/>
  <c r="E338" i="20"/>
  <c r="E316" i="20"/>
  <c r="E297" i="20"/>
  <c r="E284" i="20"/>
  <c r="E276" i="20"/>
  <c r="E268" i="20"/>
  <c r="E260" i="20"/>
  <c r="E252" i="20"/>
  <c r="E244" i="20"/>
  <c r="E236" i="20"/>
  <c r="E228" i="20"/>
  <c r="E220" i="20"/>
  <c r="E212" i="20"/>
  <c r="E204" i="20"/>
  <c r="E196" i="20"/>
  <c r="E188" i="20"/>
  <c r="E180" i="20"/>
  <c r="E172" i="20"/>
  <c r="E164" i="20"/>
  <c r="E156" i="20"/>
  <c r="B377" i="20"/>
  <c r="D377" i="20" s="1"/>
  <c r="B369" i="20"/>
  <c r="D369" i="20" s="1"/>
  <c r="B361" i="20"/>
  <c r="D361" i="20" s="1"/>
  <c r="B353" i="20"/>
  <c r="D353" i="20" s="1"/>
  <c r="B345" i="20"/>
  <c r="D345" i="20" s="1"/>
  <c r="B337" i="20"/>
  <c r="D337" i="20" s="1"/>
  <c r="B329" i="20"/>
  <c r="D329" i="20" s="1"/>
  <c r="C239" i="16"/>
  <c r="C216" i="16"/>
  <c r="C194" i="16"/>
  <c r="C175" i="16"/>
  <c r="D117" i="16"/>
  <c r="D95" i="16"/>
  <c r="D76" i="16"/>
  <c r="C111" i="16"/>
  <c r="E111" i="16" s="1"/>
  <c r="C89" i="16"/>
  <c r="E89" i="16" s="1"/>
  <c r="C70" i="16"/>
  <c r="E70" i="16" s="1"/>
  <c r="F144" i="16"/>
  <c r="D53" i="16"/>
  <c r="D31" i="16"/>
  <c r="C45" i="16"/>
  <c r="J45" i="16" s="1"/>
  <c r="C22" i="16"/>
  <c r="J22" i="16" s="1"/>
  <c r="F383" i="20"/>
  <c r="F364" i="20"/>
  <c r="F341" i="20"/>
  <c r="F319" i="20"/>
  <c r="F300" i="20"/>
  <c r="F277" i="20"/>
  <c r="F255" i="20"/>
  <c r="F236" i="20"/>
  <c r="F213" i="20"/>
  <c r="F191" i="20"/>
  <c r="F172" i="20"/>
  <c r="E378" i="20"/>
  <c r="E356" i="20"/>
  <c r="E337" i="20"/>
  <c r="E314" i="20"/>
  <c r="E292" i="20"/>
  <c r="E283" i="20"/>
  <c r="E275" i="20"/>
  <c r="E267" i="20"/>
  <c r="E259" i="20"/>
  <c r="E251" i="20"/>
  <c r="E243" i="20"/>
  <c r="E235" i="20"/>
  <c r="E227" i="20"/>
  <c r="E219" i="20"/>
  <c r="E211" i="20"/>
  <c r="E203" i="20"/>
  <c r="E195" i="20"/>
  <c r="E187" i="20"/>
  <c r="E179" i="20"/>
  <c r="E171" i="20"/>
  <c r="E163" i="20"/>
  <c r="B384" i="20"/>
  <c r="D384" i="20" s="1"/>
  <c r="B376" i="20"/>
  <c r="D376" i="20" s="1"/>
  <c r="B368" i="20"/>
  <c r="D368" i="20" s="1"/>
  <c r="B360" i="20"/>
  <c r="D360" i="20" s="1"/>
  <c r="B352" i="20"/>
  <c r="D352" i="20" s="1"/>
  <c r="B344" i="20"/>
  <c r="D344" i="20" s="1"/>
  <c r="B336" i="20"/>
  <c r="D336" i="20" s="1"/>
  <c r="C178" i="16"/>
  <c r="D68" i="16"/>
  <c r="C48" i="16"/>
  <c r="J48" i="16" s="1"/>
  <c r="F348" i="20"/>
  <c r="F261" i="20"/>
  <c r="F175" i="20"/>
  <c r="E321" i="20"/>
  <c r="E269" i="20"/>
  <c r="E237" i="20"/>
  <c r="E205" i="20"/>
  <c r="E173" i="20"/>
  <c r="B354" i="20"/>
  <c r="D354" i="20" s="1"/>
  <c r="B327" i="20"/>
  <c r="D327" i="20" s="1"/>
  <c r="B319" i="20"/>
  <c r="D319" i="20" s="1"/>
  <c r="B311" i="20"/>
  <c r="D311" i="20" s="1"/>
  <c r="B303" i="20"/>
  <c r="D303" i="20" s="1"/>
  <c r="B295" i="20"/>
  <c r="D295" i="20" s="1"/>
  <c r="B287" i="20"/>
  <c r="D287" i="20" s="1"/>
  <c r="B279" i="20"/>
  <c r="D279" i="20" s="1"/>
  <c r="B271" i="20"/>
  <c r="D271" i="20" s="1"/>
  <c r="B263" i="20"/>
  <c r="D263" i="20" s="1"/>
  <c r="B255" i="20"/>
  <c r="D255" i="20" s="1"/>
  <c r="B247" i="20"/>
  <c r="D247" i="20" s="1"/>
  <c r="B239" i="20"/>
  <c r="D239" i="20" s="1"/>
  <c r="B231" i="20"/>
  <c r="D231" i="20" s="1"/>
  <c r="B223" i="20"/>
  <c r="D223" i="20" s="1"/>
  <c r="B215" i="20"/>
  <c r="D215" i="20" s="1"/>
  <c r="B207" i="20"/>
  <c r="D207" i="20" s="1"/>
  <c r="B199" i="20"/>
  <c r="D199" i="20" s="1"/>
  <c r="B191" i="20"/>
  <c r="D191" i="20" s="1"/>
  <c r="B183" i="20"/>
  <c r="D183" i="20" s="1"/>
  <c r="B175" i="20"/>
  <c r="D175" i="20" s="1"/>
  <c r="B167" i="20"/>
  <c r="D167" i="20" s="1"/>
  <c r="B159" i="20"/>
  <c r="D159" i="20" s="1"/>
  <c r="F147" i="20"/>
  <c r="F139" i="20"/>
  <c r="F131" i="20"/>
  <c r="F123" i="20"/>
  <c r="F115" i="20"/>
  <c r="F107" i="20"/>
  <c r="F99" i="20"/>
  <c r="F91" i="20"/>
  <c r="F83" i="20"/>
  <c r="F75" i="20"/>
  <c r="E149" i="20"/>
  <c r="E141" i="20"/>
  <c r="E133" i="20"/>
  <c r="E125" i="20"/>
  <c r="E117" i="20"/>
  <c r="E109" i="20"/>
  <c r="E101" i="20"/>
  <c r="E93" i="20"/>
  <c r="E85" i="20"/>
  <c r="E77" i="20"/>
  <c r="B144" i="20"/>
  <c r="D144" i="20" s="1"/>
  <c r="B136" i="20"/>
  <c r="D136" i="20" s="1"/>
  <c r="B128" i="20"/>
  <c r="D128" i="20" s="1"/>
  <c r="B120" i="20"/>
  <c r="D120" i="20" s="1"/>
  <c r="B112" i="20"/>
  <c r="D112" i="20" s="1"/>
  <c r="B104" i="20"/>
  <c r="D104" i="20" s="1"/>
  <c r="B96" i="20"/>
  <c r="D96" i="20" s="1"/>
  <c r="B88" i="20"/>
  <c r="D88" i="20" s="1"/>
  <c r="B80" i="20"/>
  <c r="D80" i="20" s="1"/>
  <c r="B72" i="20"/>
  <c r="D72" i="20" s="1"/>
  <c r="F60" i="20"/>
  <c r="F52" i="20"/>
  <c r="F44" i="20"/>
  <c r="F36" i="20"/>
  <c r="F28" i="20"/>
  <c r="F20" i="20"/>
  <c r="F12" i="20"/>
  <c r="F4" i="20"/>
  <c r="C242" i="16"/>
  <c r="C103" i="16"/>
  <c r="E103" i="16" s="1"/>
  <c r="F136" i="16"/>
  <c r="C29" i="16"/>
  <c r="J29" i="16" s="1"/>
  <c r="F325" i="20"/>
  <c r="F239" i="20"/>
  <c r="F156" i="20"/>
  <c r="E298" i="20"/>
  <c r="E261" i="20"/>
  <c r="E229" i="20"/>
  <c r="E197" i="20"/>
  <c r="E165" i="20"/>
  <c r="B378" i="20"/>
  <c r="D378" i="20" s="1"/>
  <c r="B346" i="20"/>
  <c r="D346" i="20" s="1"/>
  <c r="B325" i="20"/>
  <c r="D325" i="20" s="1"/>
  <c r="B317" i="20"/>
  <c r="D317" i="20" s="1"/>
  <c r="B309" i="20"/>
  <c r="D309" i="20" s="1"/>
  <c r="B301" i="20"/>
  <c r="D301" i="20" s="1"/>
  <c r="B293" i="20"/>
  <c r="D293" i="20" s="1"/>
  <c r="B285" i="20"/>
  <c r="D285" i="20" s="1"/>
  <c r="B277" i="20"/>
  <c r="D277" i="20" s="1"/>
  <c r="B269" i="20"/>
  <c r="D269" i="20" s="1"/>
  <c r="B261" i="20"/>
  <c r="D261" i="20" s="1"/>
  <c r="B253" i="20"/>
  <c r="D253" i="20" s="1"/>
  <c r="B245" i="20"/>
  <c r="D245" i="20" s="1"/>
  <c r="B237" i="20"/>
  <c r="D237" i="20" s="1"/>
  <c r="B229" i="20"/>
  <c r="D229" i="20" s="1"/>
  <c r="B221" i="20"/>
  <c r="D221" i="20" s="1"/>
  <c r="B213" i="20"/>
  <c r="D213" i="20" s="1"/>
  <c r="B205" i="20"/>
  <c r="D205" i="20" s="1"/>
  <c r="B197" i="20"/>
  <c r="D197" i="20" s="1"/>
  <c r="B189" i="20"/>
  <c r="D189" i="20" s="1"/>
  <c r="B181" i="20"/>
  <c r="D181" i="20" s="1"/>
  <c r="B173" i="20"/>
  <c r="D173" i="20" s="1"/>
  <c r="B165" i="20"/>
  <c r="D165" i="20" s="1"/>
  <c r="B157" i="20"/>
  <c r="D157" i="20" s="1"/>
  <c r="F145" i="20"/>
  <c r="F137" i="20"/>
  <c r="F129" i="20"/>
  <c r="F121" i="20"/>
  <c r="F113" i="20"/>
  <c r="F105" i="20"/>
  <c r="F97" i="20"/>
  <c r="F89" i="20"/>
  <c r="F81" i="20"/>
  <c r="F73" i="20"/>
  <c r="E147" i="20"/>
  <c r="E139" i="20"/>
  <c r="E131" i="20"/>
  <c r="E123" i="20"/>
  <c r="E115" i="20"/>
  <c r="E107" i="20"/>
  <c r="E99" i="20"/>
  <c r="E91" i="20"/>
  <c r="E83" i="20"/>
  <c r="E75" i="20"/>
  <c r="B150" i="20"/>
  <c r="D150" i="20" s="1"/>
  <c r="B142" i="20"/>
  <c r="D142" i="20" s="1"/>
  <c r="B134" i="20"/>
  <c r="D134" i="20" s="1"/>
  <c r="B126" i="20"/>
  <c r="D126" i="20" s="1"/>
  <c r="B118" i="20"/>
  <c r="D118" i="20" s="1"/>
  <c r="B110" i="20"/>
  <c r="D110" i="20" s="1"/>
  <c r="B102" i="20"/>
  <c r="D102" i="20" s="1"/>
  <c r="B94" i="20"/>
  <c r="D94" i="20" s="1"/>
  <c r="B86" i="20"/>
  <c r="D86" i="20" s="1"/>
  <c r="B78" i="20"/>
  <c r="D78" i="20" s="1"/>
  <c r="B70" i="20"/>
  <c r="D70" i="20" s="1"/>
  <c r="F58" i="20"/>
  <c r="F50" i="20"/>
  <c r="F42" i="20"/>
  <c r="F34" i="20"/>
  <c r="F26" i="20"/>
  <c r="F18" i="20"/>
  <c r="C231" i="16"/>
  <c r="C95" i="16"/>
  <c r="E95" i="16" s="1"/>
  <c r="F128" i="16"/>
  <c r="D7" i="16"/>
  <c r="F311" i="20"/>
  <c r="F228" i="20"/>
  <c r="E370" i="20"/>
  <c r="E288" i="20"/>
  <c r="E256" i="20"/>
  <c r="E224" i="20"/>
  <c r="E192" i="20"/>
  <c r="E160" i="20"/>
  <c r="B373" i="20"/>
  <c r="D373" i="20" s="1"/>
  <c r="B341" i="20"/>
  <c r="D341" i="20" s="1"/>
  <c r="B324" i="20"/>
  <c r="D324" i="20" s="1"/>
  <c r="B316" i="20"/>
  <c r="D316" i="20" s="1"/>
  <c r="B308" i="20"/>
  <c r="D308" i="20" s="1"/>
  <c r="B300" i="20"/>
  <c r="D300" i="20" s="1"/>
  <c r="B292" i="20"/>
  <c r="D292" i="20" s="1"/>
  <c r="B284" i="20"/>
  <c r="D284" i="20" s="1"/>
  <c r="B276" i="20"/>
  <c r="D276" i="20" s="1"/>
  <c r="B268" i="20"/>
  <c r="D268" i="20" s="1"/>
  <c r="B260" i="20"/>
  <c r="D260" i="20" s="1"/>
  <c r="B252" i="20"/>
  <c r="D252" i="20" s="1"/>
  <c r="B244" i="20"/>
  <c r="D244" i="20" s="1"/>
  <c r="B236" i="20"/>
  <c r="D236" i="20" s="1"/>
  <c r="B228" i="20"/>
  <c r="D228" i="20" s="1"/>
  <c r="B220" i="20"/>
  <c r="D220" i="20" s="1"/>
  <c r="B212" i="20"/>
  <c r="D212" i="20" s="1"/>
  <c r="B204" i="20"/>
  <c r="D204" i="20" s="1"/>
  <c r="B196" i="20"/>
  <c r="D196" i="20" s="1"/>
  <c r="B188" i="20"/>
  <c r="D188" i="20" s="1"/>
  <c r="B180" i="20"/>
  <c r="D180" i="20" s="1"/>
  <c r="B172" i="20"/>
  <c r="D172" i="20" s="1"/>
  <c r="B164" i="20"/>
  <c r="D164" i="20" s="1"/>
  <c r="B156" i="20"/>
  <c r="D156" i="20" s="1"/>
  <c r="F144" i="20"/>
  <c r="F136" i="20"/>
  <c r="F128" i="20"/>
  <c r="F120" i="20"/>
  <c r="F112" i="20"/>
  <c r="F104" i="20"/>
  <c r="F96" i="20"/>
  <c r="F88" i="20"/>
  <c r="F80" i="20"/>
  <c r="F72" i="20"/>
  <c r="E146" i="20"/>
  <c r="E138" i="20"/>
  <c r="E130" i="20"/>
  <c r="E122" i="20"/>
  <c r="E114" i="20"/>
  <c r="E106" i="20"/>
  <c r="E98" i="20"/>
  <c r="E90" i="20"/>
  <c r="E82" i="20"/>
  <c r="E74" i="20"/>
  <c r="B149" i="20"/>
  <c r="D149" i="20" s="1"/>
  <c r="B141" i="20"/>
  <c r="D141" i="20" s="1"/>
  <c r="B133" i="20"/>
  <c r="D133" i="20" s="1"/>
  <c r="B125" i="20"/>
  <c r="D125" i="20" s="1"/>
  <c r="B117" i="20"/>
  <c r="D117" i="20" s="1"/>
  <c r="B109" i="20"/>
  <c r="D109" i="20" s="1"/>
  <c r="B101" i="20"/>
  <c r="D101" i="20" s="1"/>
  <c r="B93" i="20"/>
  <c r="D93" i="20" s="1"/>
  <c r="B85" i="20"/>
  <c r="D85" i="20" s="1"/>
  <c r="B77" i="20"/>
  <c r="D77" i="20" s="1"/>
  <c r="F65" i="20"/>
  <c r="F57" i="20"/>
  <c r="F49" i="20"/>
  <c r="F41" i="20"/>
  <c r="F33" i="20"/>
  <c r="C223" i="16"/>
  <c r="D109" i="16"/>
  <c r="C81" i="16"/>
  <c r="E81" i="16" s="1"/>
  <c r="C9" i="16"/>
  <c r="J9" i="16" s="1"/>
  <c r="F303" i="20"/>
  <c r="F220" i="20"/>
  <c r="E362" i="20"/>
  <c r="E285" i="20"/>
  <c r="E253" i="20"/>
  <c r="E221" i="20"/>
  <c r="E189" i="20"/>
  <c r="E157" i="20"/>
  <c r="B370" i="20"/>
  <c r="D370" i="20" s="1"/>
  <c r="B338" i="20"/>
  <c r="D338" i="20" s="1"/>
  <c r="B323" i="20"/>
  <c r="D323" i="20" s="1"/>
  <c r="B315" i="20"/>
  <c r="D315" i="20" s="1"/>
  <c r="B307" i="20"/>
  <c r="D307" i="20" s="1"/>
  <c r="B299" i="20"/>
  <c r="D299" i="20" s="1"/>
  <c r="B291" i="20"/>
  <c r="D291" i="20" s="1"/>
  <c r="B283" i="20"/>
  <c r="D283" i="20" s="1"/>
  <c r="B275" i="20"/>
  <c r="D275" i="20" s="1"/>
  <c r="B267" i="20"/>
  <c r="D267" i="20" s="1"/>
  <c r="B259" i="20"/>
  <c r="D259" i="20" s="1"/>
  <c r="B251" i="20"/>
  <c r="D251" i="20" s="1"/>
  <c r="B243" i="20"/>
  <c r="D243" i="20" s="1"/>
  <c r="B235" i="20"/>
  <c r="D235" i="20" s="1"/>
  <c r="B227" i="20"/>
  <c r="D227" i="20" s="1"/>
  <c r="B219" i="20"/>
  <c r="D219" i="20" s="1"/>
  <c r="B211" i="20"/>
  <c r="D211" i="20" s="1"/>
  <c r="B203" i="20"/>
  <c r="D203" i="20" s="1"/>
  <c r="B195" i="20"/>
  <c r="D195" i="20" s="1"/>
  <c r="B187" i="20"/>
  <c r="D187" i="20" s="1"/>
  <c r="B179" i="20"/>
  <c r="D179" i="20" s="1"/>
  <c r="B171" i="20"/>
  <c r="D171" i="20" s="1"/>
  <c r="B163" i="20"/>
  <c r="D163" i="20" s="1"/>
  <c r="F151" i="20"/>
  <c r="F143" i="20"/>
  <c r="F135" i="20"/>
  <c r="F127" i="20"/>
  <c r="F119" i="20"/>
  <c r="F111" i="20"/>
  <c r="F103" i="20"/>
  <c r="F95" i="20"/>
  <c r="F87" i="20"/>
  <c r="F79" i="20"/>
  <c r="F71" i="20"/>
  <c r="E145" i="20"/>
  <c r="E137" i="20"/>
  <c r="E129" i="20"/>
  <c r="E121" i="20"/>
  <c r="E113" i="20"/>
  <c r="E105" i="20"/>
  <c r="E97" i="20"/>
  <c r="E89" i="20"/>
  <c r="E81" i="20"/>
  <c r="E73" i="20"/>
  <c r="B148" i="20"/>
  <c r="D148" i="20" s="1"/>
  <c r="B140" i="20"/>
  <c r="D140" i="20" s="1"/>
  <c r="B132" i="20"/>
  <c r="D132" i="20" s="1"/>
  <c r="B124" i="20"/>
  <c r="D124" i="20" s="1"/>
  <c r="B116" i="20"/>
  <c r="D116" i="20" s="1"/>
  <c r="B108" i="20"/>
  <c r="D108" i="20" s="1"/>
  <c r="B100" i="20"/>
  <c r="D100" i="20" s="1"/>
  <c r="B92" i="20"/>
  <c r="D92" i="20" s="1"/>
  <c r="B84" i="20"/>
  <c r="D84" i="20" s="1"/>
  <c r="B76" i="20"/>
  <c r="D76" i="20" s="1"/>
  <c r="F64" i="20"/>
  <c r="F56" i="20"/>
  <c r="F48" i="20"/>
  <c r="F40" i="20"/>
  <c r="F32" i="20"/>
  <c r="F24" i="20"/>
  <c r="F16" i="20"/>
  <c r="F8" i="20"/>
  <c r="C200" i="16"/>
  <c r="D87" i="16"/>
  <c r="C62" i="16"/>
  <c r="E62" i="16" s="1"/>
  <c r="D37" i="16"/>
  <c r="F367" i="20"/>
  <c r="F284" i="20"/>
  <c r="F197" i="20"/>
  <c r="E340" i="20"/>
  <c r="E277" i="20"/>
  <c r="E245" i="20"/>
  <c r="E213" i="20"/>
  <c r="E181" i="20"/>
  <c r="B362" i="20"/>
  <c r="D362" i="20" s="1"/>
  <c r="B330" i="20"/>
  <c r="D330" i="20" s="1"/>
  <c r="B321" i="20"/>
  <c r="D321" i="20" s="1"/>
  <c r="B313" i="20"/>
  <c r="D313" i="20" s="1"/>
  <c r="B305" i="20"/>
  <c r="D305" i="20" s="1"/>
  <c r="B297" i="20"/>
  <c r="D297" i="20" s="1"/>
  <c r="B289" i="20"/>
  <c r="D289" i="20" s="1"/>
  <c r="B281" i="20"/>
  <c r="D281" i="20" s="1"/>
  <c r="B273" i="20"/>
  <c r="D273" i="20" s="1"/>
  <c r="B265" i="20"/>
  <c r="D265" i="20" s="1"/>
  <c r="B257" i="20"/>
  <c r="D257" i="20" s="1"/>
  <c r="B249" i="20"/>
  <c r="D249" i="20" s="1"/>
  <c r="B241" i="20"/>
  <c r="D241" i="20" s="1"/>
  <c r="B233" i="20"/>
  <c r="D233" i="20" s="1"/>
  <c r="B225" i="20"/>
  <c r="D225" i="20" s="1"/>
  <c r="B217" i="20"/>
  <c r="D217" i="20" s="1"/>
  <c r="B209" i="20"/>
  <c r="D209" i="20" s="1"/>
  <c r="B201" i="20"/>
  <c r="D201" i="20" s="1"/>
  <c r="B193" i="20"/>
  <c r="D193" i="20" s="1"/>
  <c r="B185" i="20"/>
  <c r="D185" i="20" s="1"/>
  <c r="B177" i="20"/>
  <c r="D177" i="20" s="1"/>
  <c r="B169" i="20"/>
  <c r="D169" i="20" s="1"/>
  <c r="B161" i="20"/>
  <c r="D161" i="20" s="1"/>
  <c r="F149" i="20"/>
  <c r="F141" i="20"/>
  <c r="F133" i="20"/>
  <c r="F125" i="20"/>
  <c r="F117" i="20"/>
  <c r="F109" i="20"/>
  <c r="F101" i="20"/>
  <c r="F93" i="20"/>
  <c r="F85" i="20"/>
  <c r="F77" i="20"/>
  <c r="E151" i="20"/>
  <c r="E143" i="20"/>
  <c r="E135" i="20"/>
  <c r="E127" i="20"/>
  <c r="E119" i="20"/>
  <c r="E111" i="20"/>
  <c r="E103" i="20"/>
  <c r="E95" i="20"/>
  <c r="E87" i="20"/>
  <c r="E79" i="20"/>
  <c r="E71" i="20"/>
  <c r="B146" i="20"/>
  <c r="D146" i="20" s="1"/>
  <c r="B138" i="20"/>
  <c r="D138" i="20" s="1"/>
  <c r="B130" i="20"/>
  <c r="D130" i="20" s="1"/>
  <c r="C186" i="16"/>
  <c r="D79" i="16"/>
  <c r="D23" i="16"/>
  <c r="F356" i="20"/>
  <c r="F269" i="20"/>
  <c r="F183" i="20"/>
  <c r="E329" i="20"/>
  <c r="E272" i="20"/>
  <c r="E240" i="20"/>
  <c r="E208" i="20"/>
  <c r="E176" i="20"/>
  <c r="B357" i="20"/>
  <c r="D357" i="20" s="1"/>
  <c r="B328" i="20"/>
  <c r="D328" i="20" s="1"/>
  <c r="B320" i="20"/>
  <c r="D320" i="20" s="1"/>
  <c r="B312" i="20"/>
  <c r="D312" i="20" s="1"/>
  <c r="B304" i="20"/>
  <c r="D304" i="20" s="1"/>
  <c r="B296" i="20"/>
  <c r="D296" i="20" s="1"/>
  <c r="B288" i="20"/>
  <c r="D288" i="20" s="1"/>
  <c r="B280" i="20"/>
  <c r="D280" i="20" s="1"/>
  <c r="B272" i="20"/>
  <c r="D272" i="20" s="1"/>
  <c r="B264" i="20"/>
  <c r="D264" i="20" s="1"/>
  <c r="B256" i="20"/>
  <c r="D256" i="20" s="1"/>
  <c r="B248" i="20"/>
  <c r="D248" i="20" s="1"/>
  <c r="B240" i="20"/>
  <c r="D240" i="20" s="1"/>
  <c r="B232" i="20"/>
  <c r="D232" i="20" s="1"/>
  <c r="B224" i="20"/>
  <c r="D224" i="20" s="1"/>
  <c r="B216" i="20"/>
  <c r="D216" i="20" s="1"/>
  <c r="B208" i="20"/>
  <c r="D208" i="20" s="1"/>
  <c r="B200" i="20"/>
  <c r="D200" i="20" s="1"/>
  <c r="B192" i="20"/>
  <c r="D192" i="20" s="1"/>
  <c r="B184" i="20"/>
  <c r="D184" i="20" s="1"/>
  <c r="B176" i="20"/>
  <c r="D176" i="20" s="1"/>
  <c r="B168" i="20"/>
  <c r="D168" i="20" s="1"/>
  <c r="B160" i="20"/>
  <c r="D160" i="20" s="1"/>
  <c r="F148" i="20"/>
  <c r="F140" i="20"/>
  <c r="F132" i="20"/>
  <c r="F124" i="20"/>
  <c r="F116" i="20"/>
  <c r="F108" i="20"/>
  <c r="F100" i="20"/>
  <c r="F92" i="20"/>
  <c r="F84" i="20"/>
  <c r="F76" i="20"/>
  <c r="E150" i="20"/>
  <c r="E142" i="20"/>
  <c r="E134" i="20"/>
  <c r="E126" i="20"/>
  <c r="E118" i="20"/>
  <c r="E110" i="20"/>
  <c r="E102" i="20"/>
  <c r="E94" i="20"/>
  <c r="E86" i="20"/>
  <c r="E78" i="20"/>
  <c r="E70" i="20"/>
  <c r="C73" i="16"/>
  <c r="E73" i="16" s="1"/>
  <c r="F333" i="20"/>
  <c r="E264" i="20"/>
  <c r="B314" i="20"/>
  <c r="D314" i="20" s="1"/>
  <c r="B282" i="20"/>
  <c r="D282" i="20" s="1"/>
  <c r="B250" i="20"/>
  <c r="D250" i="20" s="1"/>
  <c r="B218" i="20"/>
  <c r="D218" i="20" s="1"/>
  <c r="B186" i="20"/>
  <c r="D186" i="20" s="1"/>
  <c r="F150" i="20"/>
  <c r="F118" i="20"/>
  <c r="F86" i="20"/>
  <c r="E136" i="20"/>
  <c r="E104" i="20"/>
  <c r="E72" i="20"/>
  <c r="B137" i="20"/>
  <c r="D137" i="20" s="1"/>
  <c r="B119" i="20"/>
  <c r="D119" i="20" s="1"/>
  <c r="B103" i="20"/>
  <c r="D103" i="20" s="1"/>
  <c r="B87" i="20"/>
  <c r="D87" i="20" s="1"/>
  <c r="B71" i="20"/>
  <c r="D71" i="20" s="1"/>
  <c r="F51" i="20"/>
  <c r="F35" i="20"/>
  <c r="F21" i="20"/>
  <c r="F9" i="20"/>
  <c r="E61" i="20"/>
  <c r="E53" i="20"/>
  <c r="E45" i="20"/>
  <c r="E37" i="20"/>
  <c r="E29" i="20"/>
  <c r="E21" i="20"/>
  <c r="E13" i="20"/>
  <c r="E5" i="20"/>
  <c r="B61" i="20"/>
  <c r="D61" i="20" s="1"/>
  <c r="B53" i="20"/>
  <c r="D53" i="20" s="1"/>
  <c r="B45" i="20"/>
  <c r="D45" i="20" s="1"/>
  <c r="B37" i="20"/>
  <c r="D37" i="20" s="1"/>
  <c r="B29" i="20"/>
  <c r="D29" i="20" s="1"/>
  <c r="B21" i="20"/>
  <c r="D21" i="20" s="1"/>
  <c r="B13" i="20"/>
  <c r="D13" i="20" s="1"/>
  <c r="B5" i="20"/>
  <c r="D5" i="20" s="1"/>
  <c r="C250" i="16"/>
  <c r="F292" i="20"/>
  <c r="E248" i="20"/>
  <c r="B381" i="20"/>
  <c r="D381" i="20" s="1"/>
  <c r="B310" i="20"/>
  <c r="D310" i="20" s="1"/>
  <c r="B278" i="20"/>
  <c r="D278" i="20" s="1"/>
  <c r="B246" i="20"/>
  <c r="D246" i="20" s="1"/>
  <c r="B214" i="20"/>
  <c r="D214" i="20" s="1"/>
  <c r="B182" i="20"/>
  <c r="D182" i="20" s="1"/>
  <c r="F146" i="20"/>
  <c r="F114" i="20"/>
  <c r="F82" i="20"/>
  <c r="E132" i="20"/>
  <c r="E100" i="20"/>
  <c r="B135" i="20"/>
  <c r="D135" i="20" s="1"/>
  <c r="B115" i="20"/>
  <c r="D115" i="20" s="1"/>
  <c r="B99" i="20"/>
  <c r="D99" i="20" s="1"/>
  <c r="B83" i="20"/>
  <c r="D83" i="20" s="1"/>
  <c r="F63" i="20"/>
  <c r="F47" i="20"/>
  <c r="F31" i="20"/>
  <c r="F19" i="20"/>
  <c r="F7" i="20"/>
  <c r="E60" i="20"/>
  <c r="E52" i="20"/>
  <c r="E44" i="20"/>
  <c r="E36" i="20"/>
  <c r="E28" i="20"/>
  <c r="E20" i="20"/>
  <c r="E12" i="20"/>
  <c r="E4" i="20"/>
  <c r="B60" i="20"/>
  <c r="D60" i="20" s="1"/>
  <c r="B52" i="20"/>
  <c r="D52" i="20" s="1"/>
  <c r="B44" i="20"/>
  <c r="D44" i="20" s="1"/>
  <c r="B36" i="20"/>
  <c r="D36" i="20" s="1"/>
  <c r="B28" i="20"/>
  <c r="D28" i="20" s="1"/>
  <c r="B20" i="20"/>
  <c r="D20" i="20" s="1"/>
  <c r="B12" i="20"/>
  <c r="D12" i="20" s="1"/>
  <c r="B4" i="20"/>
  <c r="D4" i="20" s="1"/>
  <c r="C208" i="16"/>
  <c r="F247" i="20"/>
  <c r="E232" i="20"/>
  <c r="B365" i="20"/>
  <c r="D365" i="20" s="1"/>
  <c r="B306" i="20"/>
  <c r="D306" i="20" s="1"/>
  <c r="B274" i="20"/>
  <c r="D274" i="20" s="1"/>
  <c r="B242" i="20"/>
  <c r="D242" i="20" s="1"/>
  <c r="B210" i="20"/>
  <c r="D210" i="20" s="1"/>
  <c r="B178" i="20"/>
  <c r="D178" i="20" s="1"/>
  <c r="F142" i="20"/>
  <c r="F110" i="20"/>
  <c r="F78" i="20"/>
  <c r="E128" i="20"/>
  <c r="E96" i="20"/>
  <c r="B131" i="20"/>
  <c r="D131" i="20" s="1"/>
  <c r="B114" i="20"/>
  <c r="D114" i="20" s="1"/>
  <c r="B98" i="20"/>
  <c r="D98" i="20" s="1"/>
  <c r="B82" i="20"/>
  <c r="D82" i="20" s="1"/>
  <c r="F62" i="20"/>
  <c r="F46" i="20"/>
  <c r="F30" i="20"/>
  <c r="F17" i="20"/>
  <c r="F6" i="20"/>
  <c r="E59" i="20"/>
  <c r="E51" i="20"/>
  <c r="E43" i="20"/>
  <c r="E35" i="20"/>
  <c r="E27" i="20"/>
  <c r="E19" i="20"/>
  <c r="E11" i="20"/>
  <c r="B59" i="20"/>
  <c r="D59" i="20" s="1"/>
  <c r="B51" i="20"/>
  <c r="D51" i="20" s="1"/>
  <c r="B43" i="20"/>
  <c r="D43" i="20" s="1"/>
  <c r="B35" i="20"/>
  <c r="D35" i="20" s="1"/>
  <c r="B27" i="20"/>
  <c r="D27" i="20" s="1"/>
  <c r="B19" i="20"/>
  <c r="D19" i="20" s="1"/>
  <c r="B11" i="20"/>
  <c r="D11" i="20" s="1"/>
  <c r="C167" i="16"/>
  <c r="F147" i="16"/>
  <c r="F205" i="20"/>
  <c r="E216" i="20"/>
  <c r="B349" i="20"/>
  <c r="D349" i="20" s="1"/>
  <c r="B302" i="20"/>
  <c r="D302" i="20" s="1"/>
  <c r="B270" i="20"/>
  <c r="D270" i="20" s="1"/>
  <c r="B238" i="20"/>
  <c r="D238" i="20" s="1"/>
  <c r="B206" i="20"/>
  <c r="D206" i="20" s="1"/>
  <c r="B174" i="20"/>
  <c r="D174" i="20" s="1"/>
  <c r="F138" i="20"/>
  <c r="F106" i="20"/>
  <c r="F74" i="20"/>
  <c r="E124" i="20"/>
  <c r="E92" i="20"/>
  <c r="B151" i="20"/>
  <c r="D151" i="20" s="1"/>
  <c r="B129" i="20"/>
  <c r="D129" i="20" s="1"/>
  <c r="B113" i="20"/>
  <c r="D113" i="20" s="1"/>
  <c r="B97" i="20"/>
  <c r="D97" i="20" s="1"/>
  <c r="B81" i="20"/>
  <c r="D81" i="20" s="1"/>
  <c r="F61" i="20"/>
  <c r="F45" i="20"/>
  <c r="F29" i="20"/>
  <c r="F15" i="20"/>
  <c r="F5" i="20"/>
  <c r="E58" i="20"/>
  <c r="E50" i="20"/>
  <c r="E42" i="20"/>
  <c r="E34" i="20"/>
  <c r="E26" i="20"/>
  <c r="E18" i="20"/>
  <c r="E10" i="20"/>
  <c r="B58" i="20"/>
  <c r="D58" i="20" s="1"/>
  <c r="B50" i="20"/>
  <c r="D50" i="20" s="1"/>
  <c r="B42" i="20"/>
  <c r="D42" i="20" s="1"/>
  <c r="B34" i="20"/>
  <c r="D34" i="20" s="1"/>
  <c r="B26" i="20"/>
  <c r="D26" i="20" s="1"/>
  <c r="B18" i="20"/>
  <c r="D18" i="20" s="1"/>
  <c r="B10" i="20"/>
  <c r="D10" i="20" s="1"/>
  <c r="F164" i="20"/>
  <c r="E200" i="20"/>
  <c r="B333" i="20"/>
  <c r="D333" i="20" s="1"/>
  <c r="B298" i="20"/>
  <c r="D298" i="20" s="1"/>
  <c r="B266" i="20"/>
  <c r="D266" i="20" s="1"/>
  <c r="B234" i="20"/>
  <c r="D234" i="20" s="1"/>
  <c r="B202" i="20"/>
  <c r="D202" i="20" s="1"/>
  <c r="B170" i="20"/>
  <c r="D170" i="20" s="1"/>
  <c r="F134" i="20"/>
  <c r="F102" i="20"/>
  <c r="F70" i="20"/>
  <c r="E120" i="20"/>
  <c r="E88" i="20"/>
  <c r="B147" i="20"/>
  <c r="D147" i="20" s="1"/>
  <c r="B127" i="20"/>
  <c r="D127" i="20" s="1"/>
  <c r="B111" i="20"/>
  <c r="D111" i="20" s="1"/>
  <c r="B95" i="20"/>
  <c r="D95" i="20" s="1"/>
  <c r="B79" i="20"/>
  <c r="D79" i="20" s="1"/>
  <c r="F59" i="20"/>
  <c r="F43" i="20"/>
  <c r="F27" i="20"/>
  <c r="F14" i="20"/>
  <c r="E65" i="20"/>
  <c r="E57" i="20"/>
  <c r="E49" i="20"/>
  <c r="E41" i="20"/>
  <c r="E33" i="20"/>
  <c r="E25" i="20"/>
  <c r="E17" i="20"/>
  <c r="E9" i="20"/>
  <c r="B65" i="20"/>
  <c r="D65" i="20" s="1"/>
  <c r="B57" i="20"/>
  <c r="D57" i="20" s="1"/>
  <c r="B49" i="20"/>
  <c r="D49" i="20" s="1"/>
  <c r="B41" i="20"/>
  <c r="D41" i="20" s="1"/>
  <c r="B33" i="20"/>
  <c r="D33" i="20" s="1"/>
  <c r="B25" i="20"/>
  <c r="D25" i="20" s="1"/>
  <c r="B17" i="20"/>
  <c r="D17" i="20" s="1"/>
  <c r="B9" i="20"/>
  <c r="D9" i="20" s="1"/>
  <c r="D45" i="16"/>
  <c r="E348" i="20"/>
  <c r="E184" i="20"/>
  <c r="B326" i="20"/>
  <c r="D326" i="20" s="1"/>
  <c r="B294" i="20"/>
  <c r="D294" i="20" s="1"/>
  <c r="B262" i="20"/>
  <c r="D262" i="20" s="1"/>
  <c r="B230" i="20"/>
  <c r="D230" i="20" s="1"/>
  <c r="B198" i="20"/>
  <c r="D198" i="20" s="1"/>
  <c r="B166" i="20"/>
  <c r="D166" i="20" s="1"/>
  <c r="F130" i="20"/>
  <c r="F98" i="20"/>
  <c r="E148" i="20"/>
  <c r="E116" i="20"/>
  <c r="E84" i="20"/>
  <c r="B145" i="20"/>
  <c r="D145" i="20" s="1"/>
  <c r="B123" i="20"/>
  <c r="D123" i="20" s="1"/>
  <c r="B107" i="20"/>
  <c r="D107" i="20" s="1"/>
  <c r="B91" i="20"/>
  <c r="D91" i="20" s="1"/>
  <c r="B75" i="20"/>
  <c r="D75" i="20" s="1"/>
  <c r="F55" i="20"/>
  <c r="F39" i="20"/>
  <c r="F25" i="20"/>
  <c r="F13" i="20"/>
  <c r="E64" i="20"/>
  <c r="E56" i="20"/>
  <c r="E48" i="20"/>
  <c r="E40" i="20"/>
  <c r="E32" i="20"/>
  <c r="E24" i="20"/>
  <c r="E16" i="20"/>
  <c r="E8" i="20"/>
  <c r="B64" i="20"/>
  <c r="D64" i="20" s="1"/>
  <c r="B56" i="20"/>
  <c r="D56" i="20" s="1"/>
  <c r="B48" i="20"/>
  <c r="D48" i="20" s="1"/>
  <c r="B40" i="20"/>
  <c r="D40" i="20" s="1"/>
  <c r="B32" i="20"/>
  <c r="D32" i="20" s="1"/>
  <c r="B24" i="20"/>
  <c r="D24" i="20" s="1"/>
  <c r="B16" i="20"/>
  <c r="D16" i="20" s="1"/>
  <c r="B8" i="20"/>
  <c r="D8" i="20" s="1"/>
  <c r="D101" i="16"/>
  <c r="C37" i="16"/>
  <c r="J37" i="16" s="1"/>
  <c r="E306" i="20"/>
  <c r="E168" i="20"/>
  <c r="B322" i="20"/>
  <c r="D322" i="20" s="1"/>
  <c r="B290" i="20"/>
  <c r="D290" i="20" s="1"/>
  <c r="B258" i="20"/>
  <c r="D258" i="20" s="1"/>
  <c r="B226" i="20"/>
  <c r="D226" i="20" s="1"/>
  <c r="B194" i="20"/>
  <c r="D194" i="20" s="1"/>
  <c r="B162" i="20"/>
  <c r="D162" i="20" s="1"/>
  <c r="F126" i="20"/>
  <c r="F94" i="20"/>
  <c r="E144" i="20"/>
  <c r="E112" i="20"/>
  <c r="E80" i="20"/>
  <c r="B143" i="20"/>
  <c r="D143" i="20" s="1"/>
  <c r="B122" i="20"/>
  <c r="D122" i="20" s="1"/>
  <c r="B106" i="20"/>
  <c r="D106" i="20" s="1"/>
  <c r="B90" i="20"/>
  <c r="D90" i="20" s="1"/>
  <c r="B74" i="20"/>
  <c r="D74" i="20" s="1"/>
  <c r="F54" i="20"/>
  <c r="F38" i="20"/>
  <c r="F23" i="20"/>
  <c r="F11" i="20"/>
  <c r="E63" i="20"/>
  <c r="E55" i="20"/>
  <c r="E47" i="20"/>
  <c r="E39" i="20"/>
  <c r="E31" i="20"/>
  <c r="E23" i="20"/>
  <c r="E15" i="20"/>
  <c r="E7" i="20"/>
  <c r="B63" i="20"/>
  <c r="D63" i="20" s="1"/>
  <c r="B55" i="20"/>
  <c r="D55" i="20" s="1"/>
  <c r="B47" i="20"/>
  <c r="D47" i="20" s="1"/>
  <c r="B39" i="20"/>
  <c r="D39" i="20" s="1"/>
  <c r="B31" i="20"/>
  <c r="D31" i="20" s="1"/>
  <c r="B23" i="20"/>
  <c r="D23" i="20" s="1"/>
  <c r="B15" i="20"/>
  <c r="D15" i="20" s="1"/>
  <c r="B7" i="20"/>
  <c r="D7" i="20" s="1"/>
  <c r="C118" i="16"/>
  <c r="E118" i="16" s="1"/>
  <c r="F375" i="20"/>
  <c r="E280" i="20"/>
  <c r="B318" i="20"/>
  <c r="D318" i="20" s="1"/>
  <c r="B286" i="20"/>
  <c r="D286" i="20" s="1"/>
  <c r="B254" i="20"/>
  <c r="D254" i="20" s="1"/>
  <c r="B222" i="20"/>
  <c r="D222" i="20" s="1"/>
  <c r="B190" i="20"/>
  <c r="D190" i="20" s="1"/>
  <c r="B158" i="20"/>
  <c r="D158" i="20" s="1"/>
  <c r="F122" i="20"/>
  <c r="F90" i="20"/>
  <c r="E140" i="20"/>
  <c r="E108" i="20"/>
  <c r="E76" i="20"/>
  <c r="B139" i="20"/>
  <c r="D139" i="20" s="1"/>
  <c r="B121" i="20"/>
  <c r="D121" i="20" s="1"/>
  <c r="B105" i="20"/>
  <c r="D105" i="20" s="1"/>
  <c r="B89" i="20"/>
  <c r="D89" i="20" s="1"/>
  <c r="B73" i="20"/>
  <c r="D73" i="20" s="1"/>
  <c r="F53" i="20"/>
  <c r="F37" i="20"/>
  <c r="F22" i="20"/>
  <c r="F10" i="20"/>
  <c r="E62" i="20"/>
  <c r="E54" i="20"/>
  <c r="E46" i="20"/>
  <c r="E38" i="20"/>
  <c r="E30" i="20"/>
  <c r="E22" i="20"/>
  <c r="E14" i="20"/>
  <c r="E6" i="20"/>
  <c r="B62" i="20"/>
  <c r="D62" i="20" s="1"/>
  <c r="B54" i="20"/>
  <c r="D54" i="20" s="1"/>
  <c r="B46" i="20"/>
  <c r="D46" i="20" s="1"/>
  <c r="B38" i="20"/>
  <c r="D38" i="20" s="1"/>
  <c r="B30" i="20"/>
  <c r="D30" i="20" s="1"/>
  <c r="B22" i="20"/>
  <c r="D22" i="20" s="1"/>
  <c r="B14" i="20"/>
  <c r="D14" i="20" s="1"/>
  <c r="B6" i="20"/>
  <c r="D6" i="20" s="1"/>
  <c r="AJ31" i="30"/>
  <c r="AJ33" i="30" s="1"/>
  <c r="C1553" i="32"/>
  <c r="Q1553" i="32" s="1"/>
  <c r="C1551" i="32"/>
  <c r="Q1551" i="32" s="1"/>
  <c r="C1561" i="32"/>
  <c r="Q1561" i="32" s="1"/>
  <c r="C1575" i="32"/>
  <c r="Q1575" i="32" s="1"/>
  <c r="C1541" i="32"/>
  <c r="Q1541" i="32" s="1"/>
  <c r="C1547" i="32"/>
  <c r="Q1547" i="32" s="1"/>
  <c r="C1563" i="32"/>
  <c r="Q1563" i="32" s="1"/>
  <c r="C1573" i="32"/>
  <c r="Q1573" i="32" s="1"/>
  <c r="C1559" i="32"/>
  <c r="Q1559" i="32" s="1"/>
  <c r="C1549" i="32"/>
  <c r="Q1549" i="32" s="1"/>
  <c r="C1571" i="32"/>
  <c r="Q1571" i="32" s="1"/>
  <c r="C1569" i="32"/>
  <c r="Q1569" i="32" s="1"/>
  <c r="C1545" i="32"/>
  <c r="Q1545" i="32" s="1"/>
  <c r="C1579" i="32"/>
  <c r="Q1579" i="32" s="1"/>
  <c r="C1567" i="32"/>
  <c r="Q1567" i="32" s="1"/>
  <c r="C1555" i="32"/>
  <c r="Q1555" i="32" s="1"/>
  <c r="C1543" i="32"/>
  <c r="Q1543" i="32" s="1"/>
  <c r="C1557" i="32"/>
  <c r="Q1557" i="32" s="1"/>
  <c r="C1577" i="32"/>
  <c r="Q1577" i="32" s="1"/>
  <c r="Q1501" i="32"/>
  <c r="Q1565" i="32"/>
  <c r="AU57" i="33"/>
  <c r="C1609" i="32" s="1"/>
  <c r="U360" i="32"/>
  <c r="U48" i="32"/>
  <c r="U659" i="32"/>
  <c r="BA59" i="33"/>
  <c r="AY26" i="34"/>
  <c r="A4" i="36"/>
  <c r="A8" i="36"/>
  <c r="A13" i="24" s="1"/>
  <c r="A12" i="36"/>
  <c r="A16" i="36"/>
  <c r="A20" i="36"/>
  <c r="A24" i="36"/>
  <c r="A28" i="36"/>
  <c r="A32" i="36"/>
  <c r="A36" i="36"/>
  <c r="A40" i="36"/>
  <c r="A44" i="36"/>
  <c r="A48" i="36"/>
  <c r="V13" i="1" s="1"/>
  <c r="A52" i="36"/>
  <c r="F220" i="24" s="1"/>
  <c r="A56" i="36"/>
  <c r="A60" i="36"/>
  <c r="A64" i="36"/>
  <c r="A68" i="36"/>
  <c r="A72" i="36"/>
  <c r="A76" i="36"/>
  <c r="B314" i="32" s="1"/>
  <c r="A80" i="36"/>
  <c r="B619" i="32" s="1"/>
  <c r="A84" i="36"/>
  <c r="A88" i="36"/>
  <c r="A92" i="36"/>
  <c r="A96" i="36"/>
  <c r="A100" i="36"/>
  <c r="A5" i="36"/>
  <c r="A10" i="24" s="1"/>
  <c r="A9" i="36"/>
  <c r="A14" i="24" s="1"/>
  <c r="A13" i="36"/>
  <c r="A17" i="36"/>
  <c r="A21" i="36"/>
  <c r="A25" i="36"/>
  <c r="A29" i="36"/>
  <c r="A100" i="1" s="1"/>
  <c r="A33" i="36"/>
  <c r="A37" i="36"/>
  <c r="A41" i="36"/>
  <c r="G620" i="32" s="1"/>
  <c r="A45" i="36"/>
  <c r="A49" i="36"/>
  <c r="A53" i="36"/>
  <c r="A57" i="36"/>
  <c r="Q8" i="33" s="1"/>
  <c r="A61" i="36"/>
  <c r="A65" i="36"/>
  <c r="A69" i="36"/>
  <c r="A73" i="36"/>
  <c r="K9" i="32" s="1"/>
  <c r="A77" i="36"/>
  <c r="A81" i="36"/>
  <c r="B620" i="32" s="1"/>
  <c r="A85" i="36"/>
  <c r="A89" i="36"/>
  <c r="A93" i="36"/>
  <c r="A97" i="36"/>
  <c r="A101" i="36"/>
  <c r="A11" i="36"/>
  <c r="A16" i="24" s="1"/>
  <c r="A31" i="36"/>
  <c r="A39" i="36"/>
  <c r="A51" i="36"/>
  <c r="A63" i="36"/>
  <c r="A75" i="36"/>
  <c r="E620" i="32" s="1"/>
  <c r="A87" i="36"/>
  <c r="A95" i="36"/>
  <c r="R148" i="24" s="1"/>
  <c r="A103" i="36"/>
  <c r="A6" i="36"/>
  <c r="A11" i="24" s="1"/>
  <c r="A10" i="36"/>
  <c r="A15" i="24" s="1"/>
  <c r="A14" i="36"/>
  <c r="A18" i="36"/>
  <c r="A22" i="36"/>
  <c r="A26" i="36"/>
  <c r="A30" i="36"/>
  <c r="A34" i="36"/>
  <c r="A38" i="36"/>
  <c r="A42" i="36"/>
  <c r="A46" i="36"/>
  <c r="D8" i="34" s="1"/>
  <c r="A50" i="36"/>
  <c r="A54" i="36"/>
  <c r="A58" i="36"/>
  <c r="A62" i="36"/>
  <c r="A66" i="36"/>
  <c r="A70" i="36"/>
  <c r="A74" i="36"/>
  <c r="A78" i="36"/>
  <c r="A82" i="36"/>
  <c r="A86" i="36"/>
  <c r="A90" i="36"/>
  <c r="A94" i="36"/>
  <c r="A98" i="36"/>
  <c r="A102" i="36"/>
  <c r="A7" i="36"/>
  <c r="A12" i="24" s="1"/>
  <c r="A15" i="36"/>
  <c r="G10" i="24" s="1"/>
  <c r="A19" i="36"/>
  <c r="A23" i="36"/>
  <c r="A27" i="36"/>
  <c r="A35" i="36"/>
  <c r="A43" i="36"/>
  <c r="A47" i="36"/>
  <c r="A55" i="36"/>
  <c r="A59" i="36"/>
  <c r="A67" i="36"/>
  <c r="A71" i="36"/>
  <c r="A79" i="36"/>
  <c r="K315" i="32" s="1"/>
  <c r="A83" i="36"/>
  <c r="A91" i="36"/>
  <c r="A99" i="36"/>
  <c r="A3" i="36"/>
  <c r="K3" i="1" s="1"/>
  <c r="D159" i="23"/>
  <c r="D224" i="23"/>
  <c r="D6" i="23"/>
  <c r="D87" i="23"/>
  <c r="D22" i="23"/>
  <c r="B3" i="20"/>
  <c r="E155" i="20"/>
  <c r="C61" i="16"/>
  <c r="D4" i="16"/>
  <c r="C160" i="16"/>
  <c r="F155" i="20"/>
  <c r="C510" i="16"/>
  <c r="E69" i="20"/>
  <c r="D61" i="16"/>
  <c r="C21" i="16"/>
  <c r="B155" i="20"/>
  <c r="F3" i="20"/>
  <c r="C331" i="16"/>
  <c r="G331" i="16" s="1"/>
  <c r="B69" i="20"/>
  <c r="F69" i="20"/>
  <c r="E3" i="20"/>
  <c r="D21" i="16"/>
  <c r="C4" i="16"/>
  <c r="F123" i="16"/>
  <c r="A659" i="32"/>
  <c r="G30" i="27"/>
  <c r="R31" i="27"/>
  <c r="G57" i="33"/>
  <c r="AL31" i="30"/>
  <c r="AB57" i="33"/>
  <c r="A48" i="32"/>
  <c r="R30" i="27"/>
  <c r="L748" i="27"/>
  <c r="BC26" i="34"/>
  <c r="U501" i="27"/>
  <c r="D499" i="27"/>
  <c r="Q30" i="27"/>
  <c r="Q501" i="27"/>
  <c r="K501" i="27"/>
  <c r="A360" i="32"/>
  <c r="Q31" i="27"/>
  <c r="M445" i="27"/>
  <c r="AL33" i="30"/>
  <c r="G501" i="27"/>
  <c r="L30" i="27"/>
  <c r="T501" i="27"/>
  <c r="AH57" i="33"/>
  <c r="J747" i="27"/>
  <c r="J30" i="27"/>
  <c r="BD26" i="34"/>
  <c r="AK57" i="33"/>
  <c r="V501" i="27"/>
  <c r="BD59" i="33"/>
  <c r="J445" i="27"/>
  <c r="J501" i="27"/>
  <c r="K748" i="27"/>
  <c r="O58" i="33"/>
  <c r="G31" i="27"/>
  <c r="L31" i="27"/>
  <c r="O57" i="33"/>
  <c r="Y57" i="33"/>
  <c r="AE57" i="33"/>
  <c r="F2900" i="27" l="1"/>
  <c r="H749" i="27"/>
  <c r="H407" i="27"/>
  <c r="H187" i="27"/>
  <c r="G194" i="16"/>
  <c r="H194" i="16"/>
  <c r="G240" i="16"/>
  <c r="H240" i="16"/>
  <c r="G184" i="16"/>
  <c r="H184" i="16"/>
  <c r="G210" i="16"/>
  <c r="H210" i="16"/>
  <c r="G187" i="16"/>
  <c r="H187" i="16"/>
  <c r="G188" i="16"/>
  <c r="H188" i="16"/>
  <c r="H197" i="16"/>
  <c r="G197" i="16"/>
  <c r="H206" i="16"/>
  <c r="G206" i="16"/>
  <c r="H193" i="16"/>
  <c r="G193" i="16"/>
  <c r="G250" i="16"/>
  <c r="H250" i="16"/>
  <c r="G216" i="16"/>
  <c r="H216" i="16"/>
  <c r="H207" i="16"/>
  <c r="G207" i="16"/>
  <c r="G232" i="16"/>
  <c r="H232" i="16"/>
  <c r="G195" i="16"/>
  <c r="H195" i="16"/>
  <c r="G196" i="16"/>
  <c r="H196" i="16"/>
  <c r="H205" i="16"/>
  <c r="G205" i="16"/>
  <c r="H214" i="16"/>
  <c r="G214" i="16"/>
  <c r="H201" i="16"/>
  <c r="G201" i="16"/>
  <c r="G208" i="16"/>
  <c r="H208" i="16"/>
  <c r="G200" i="16"/>
  <c r="H200" i="16"/>
  <c r="H239" i="16"/>
  <c r="G239" i="16"/>
  <c r="H183" i="16"/>
  <c r="G183" i="16"/>
  <c r="G226" i="16"/>
  <c r="H226" i="16"/>
  <c r="G203" i="16"/>
  <c r="H203" i="16"/>
  <c r="G204" i="16"/>
  <c r="H204" i="16"/>
  <c r="H213" i="16"/>
  <c r="G213" i="16"/>
  <c r="H222" i="16"/>
  <c r="G222" i="16"/>
  <c r="H209" i="16"/>
  <c r="G209" i="16"/>
  <c r="H231" i="16"/>
  <c r="G231" i="16"/>
  <c r="G202" i="16"/>
  <c r="H202" i="16"/>
  <c r="G248" i="16"/>
  <c r="H248" i="16"/>
  <c r="G211" i="16"/>
  <c r="H211" i="16"/>
  <c r="G212" i="16"/>
  <c r="H212" i="16"/>
  <c r="H221" i="16"/>
  <c r="G221" i="16"/>
  <c r="H166" i="16"/>
  <c r="G166" i="16"/>
  <c r="H230" i="16"/>
  <c r="G230" i="16"/>
  <c r="H217" i="16"/>
  <c r="G217" i="16"/>
  <c r="H223" i="16"/>
  <c r="G223" i="16"/>
  <c r="G242" i="16"/>
  <c r="H242" i="16"/>
  <c r="G178" i="16"/>
  <c r="H178" i="16"/>
  <c r="G224" i="16"/>
  <c r="H224" i="16"/>
  <c r="G170" i="16"/>
  <c r="H170" i="16"/>
  <c r="G219" i="16"/>
  <c r="H219" i="16"/>
  <c r="G220" i="16"/>
  <c r="H220" i="16"/>
  <c r="H165" i="16"/>
  <c r="G165" i="16"/>
  <c r="H229" i="16"/>
  <c r="G229" i="16"/>
  <c r="H174" i="16"/>
  <c r="G174" i="16"/>
  <c r="H238" i="16"/>
  <c r="G238" i="16"/>
  <c r="H161" i="16"/>
  <c r="G161" i="16"/>
  <c r="H225" i="16"/>
  <c r="G225" i="16"/>
  <c r="H167" i="16"/>
  <c r="G167" i="16"/>
  <c r="G176" i="16"/>
  <c r="H176" i="16"/>
  <c r="H247" i="16"/>
  <c r="G247" i="16"/>
  <c r="G192" i="16"/>
  <c r="H192" i="16"/>
  <c r="G163" i="16"/>
  <c r="H163" i="16"/>
  <c r="G227" i="16"/>
  <c r="H227" i="16"/>
  <c r="G164" i="16"/>
  <c r="H164" i="16"/>
  <c r="G228" i="16"/>
  <c r="H228" i="16"/>
  <c r="H173" i="16"/>
  <c r="G173" i="16"/>
  <c r="H237" i="16"/>
  <c r="G237" i="16"/>
  <c r="H182" i="16"/>
  <c r="G182" i="16"/>
  <c r="H246" i="16"/>
  <c r="G246" i="16"/>
  <c r="H169" i="16"/>
  <c r="G169" i="16"/>
  <c r="H233" i="16"/>
  <c r="G233" i="16"/>
  <c r="H199" i="16"/>
  <c r="G199" i="16"/>
  <c r="G168" i="16"/>
  <c r="H168" i="16"/>
  <c r="H215" i="16"/>
  <c r="G215" i="16"/>
  <c r="G171" i="16"/>
  <c r="H171" i="16"/>
  <c r="G235" i="16"/>
  <c r="H235" i="16"/>
  <c r="G172" i="16"/>
  <c r="H172" i="16"/>
  <c r="G236" i="16"/>
  <c r="H236" i="16"/>
  <c r="H181" i="16"/>
  <c r="G181" i="16"/>
  <c r="H245" i="16"/>
  <c r="G245" i="16"/>
  <c r="H190" i="16"/>
  <c r="G190" i="16"/>
  <c r="H177" i="16"/>
  <c r="G177" i="16"/>
  <c r="H241" i="16"/>
  <c r="G241" i="16"/>
  <c r="G186" i="16"/>
  <c r="H186" i="16"/>
  <c r="H175" i="16"/>
  <c r="G175" i="16"/>
  <c r="G218" i="16"/>
  <c r="H218" i="16"/>
  <c r="G162" i="16"/>
  <c r="H162" i="16"/>
  <c r="H191" i="16"/>
  <c r="G191" i="16"/>
  <c r="G234" i="16"/>
  <c r="H234" i="16"/>
  <c r="G179" i="16"/>
  <c r="H179" i="16"/>
  <c r="G243" i="16"/>
  <c r="H243" i="16"/>
  <c r="G180" i="16"/>
  <c r="H180" i="16"/>
  <c r="G244" i="16"/>
  <c r="H244" i="16"/>
  <c r="H189" i="16"/>
  <c r="G189" i="16"/>
  <c r="H198" i="16"/>
  <c r="G198" i="16"/>
  <c r="H185" i="16"/>
  <c r="G185" i="16"/>
  <c r="H249" i="16"/>
  <c r="G249" i="16"/>
  <c r="E61" i="16"/>
  <c r="AR9" i="33" a="1"/>
  <c r="AR9" i="33" s="1"/>
  <c r="J21" i="16"/>
  <c r="J4" i="16"/>
  <c r="K52" i="1"/>
  <c r="K51" i="1"/>
  <c r="K49" i="1"/>
  <c r="K47" i="1"/>
  <c r="U169" i="1"/>
  <c r="U161" i="1"/>
  <c r="U153" i="1"/>
  <c r="U145" i="1"/>
  <c r="U172" i="1"/>
  <c r="U173" i="1"/>
  <c r="U134" i="1"/>
  <c r="U137" i="1"/>
  <c r="U148" i="1"/>
  <c r="U142" i="1"/>
  <c r="U130" i="1"/>
  <c r="U164" i="1"/>
  <c r="U150" i="1"/>
  <c r="U128" i="1"/>
  <c r="U138" i="1"/>
  <c r="U166" i="1"/>
  <c r="U125" i="1"/>
  <c r="U158" i="1"/>
  <c r="U127" i="1"/>
  <c r="U136" i="1"/>
  <c r="U146" i="1"/>
  <c r="U149" i="1"/>
  <c r="U133" i="1"/>
  <c r="U135" i="1"/>
  <c r="U144" i="1"/>
  <c r="U154" i="1"/>
  <c r="U151" i="1"/>
  <c r="U141" i="1"/>
  <c r="U143" i="1"/>
  <c r="U152" i="1"/>
  <c r="U162" i="1"/>
  <c r="U167" i="1"/>
  <c r="U140" i="1"/>
  <c r="U157" i="1"/>
  <c r="U159" i="1"/>
  <c r="U160" i="1"/>
  <c r="U170" i="1"/>
  <c r="U156" i="1"/>
  <c r="U165" i="1"/>
  <c r="U126" i="1"/>
  <c r="U168" i="1"/>
  <c r="U129" i="1"/>
  <c r="U155" i="1"/>
  <c r="U124" i="1"/>
  <c r="U139" i="1"/>
  <c r="U171" i="1"/>
  <c r="U132" i="1"/>
  <c r="U131" i="1"/>
  <c r="U147" i="1"/>
  <c r="U163" i="1"/>
  <c r="I106" i="1"/>
  <c r="I114" i="1"/>
  <c r="I109" i="1"/>
  <c r="I116" i="1"/>
  <c r="I108" i="1"/>
  <c r="I113" i="1"/>
  <c r="I107" i="1"/>
  <c r="I115" i="1"/>
  <c r="I105" i="1"/>
  <c r="I103" i="1"/>
  <c r="I111" i="1"/>
  <c r="I104" i="1"/>
  <c r="I102" i="1"/>
  <c r="I112" i="1"/>
  <c r="I110" i="1"/>
  <c r="W1369" i="32"/>
  <c r="K1369" i="32" s="1"/>
  <c r="W1371" i="32"/>
  <c r="K1371" i="32" s="1"/>
  <c r="W1347" i="32"/>
  <c r="K1347" i="32" s="1"/>
  <c r="W1365" i="32"/>
  <c r="K1365" i="32" s="1"/>
  <c r="W1341" i="32"/>
  <c r="K1341" i="32" s="1"/>
  <c r="W1367" i="32"/>
  <c r="K1367" i="32" s="1"/>
  <c r="W1345" i="32"/>
  <c r="K1345" i="32" s="1"/>
  <c r="W1351" i="32"/>
  <c r="K1351" i="32" s="1"/>
  <c r="W1349" i="32"/>
  <c r="K1349" i="32" s="1"/>
  <c r="W1359" i="32"/>
  <c r="K1359" i="32" s="1"/>
  <c r="W1353" i="32"/>
  <c r="K1353" i="32" s="1"/>
  <c r="W1357" i="32"/>
  <c r="K1357" i="32" s="1"/>
  <c r="W1361" i="32"/>
  <c r="K1361" i="32" s="1"/>
  <c r="W1379" i="32"/>
  <c r="K1379" i="32" s="1"/>
  <c r="W1343" i="32"/>
  <c r="K1343" i="32" s="1"/>
  <c r="W1355" i="32"/>
  <c r="K1355" i="32" s="1"/>
  <c r="W1375" i="32"/>
  <c r="K1375" i="32" s="1"/>
  <c r="W1373" i="32"/>
  <c r="K1373" i="32" s="1"/>
  <c r="W1363" i="32"/>
  <c r="K1363" i="32" s="1"/>
  <c r="W1377" i="32"/>
  <c r="K1377" i="32" s="1"/>
  <c r="C1601" i="32"/>
  <c r="W1601" i="32" s="1"/>
  <c r="C1593" i="32"/>
  <c r="W1593" i="32" s="1"/>
  <c r="C1603" i="32"/>
  <c r="W1603" i="32" s="1"/>
  <c r="C1583" i="32"/>
  <c r="W1583" i="32" s="1"/>
  <c r="C1619" i="32"/>
  <c r="W1619" i="32" s="1"/>
  <c r="C1595" i="32"/>
  <c r="W1595" i="32" s="1"/>
  <c r="C1617" i="32"/>
  <c r="W1617" i="32" s="1"/>
  <c r="C1615" i="32"/>
  <c r="Q1615" i="32" s="1"/>
  <c r="C1613" i="32"/>
  <c r="Q1613" i="32" s="1"/>
  <c r="C1589" i="32"/>
  <c r="Q1589" i="32" s="1"/>
  <c r="C1585" i="32"/>
  <c r="W1585" i="32" s="1"/>
  <c r="C1607" i="32"/>
  <c r="W1607" i="32" s="1"/>
  <c r="C1591" i="32"/>
  <c r="Q1591" i="32" s="1"/>
  <c r="C1605" i="32"/>
  <c r="Q1605" i="32" s="1"/>
  <c r="C1599" i="32"/>
  <c r="Q1599" i="32" s="1"/>
  <c r="C1611" i="32"/>
  <c r="W1611" i="32" s="1"/>
  <c r="C1581" i="32"/>
  <c r="W1581" i="32" s="1"/>
  <c r="C1587" i="32"/>
  <c r="W1587" i="32" s="1"/>
  <c r="C1597" i="32"/>
  <c r="Q1597" i="32" s="1"/>
  <c r="W1557" i="32"/>
  <c r="K1557" i="32" s="1"/>
  <c r="K46" i="1"/>
  <c r="L46" i="1" s="1"/>
  <c r="W1555" i="32"/>
  <c r="W1579" i="32"/>
  <c r="W1609" i="32"/>
  <c r="W1545" i="32"/>
  <c r="W1563" i="32"/>
  <c r="W1547" i="32"/>
  <c r="W1565" i="32"/>
  <c r="W1571" i="32"/>
  <c r="W1543" i="32"/>
  <c r="W1573" i="32"/>
  <c r="W1567" i="32"/>
  <c r="W1551" i="32"/>
  <c r="W1237" i="32"/>
  <c r="W1241" i="32"/>
  <c r="W1245" i="32"/>
  <c r="W1251" i="32"/>
  <c r="W1225" i="32"/>
  <c r="W1233" i="32"/>
  <c r="W1235" i="32"/>
  <c r="W1249" i="32"/>
  <c r="W1257" i="32"/>
  <c r="W1253" i="32"/>
  <c r="W1229" i="32"/>
  <c r="W1231" i="32"/>
  <c r="W1227" i="32"/>
  <c r="W1255" i="32"/>
  <c r="W1223" i="32"/>
  <c r="W1247" i="32"/>
  <c r="W1243" i="32"/>
  <c r="W1221" i="32"/>
  <c r="W1259" i="32"/>
  <c r="W1239" i="32"/>
  <c r="W1271" i="32"/>
  <c r="W1297" i="32"/>
  <c r="W1281" i="32"/>
  <c r="W1263" i="32"/>
  <c r="W1269" i="32"/>
  <c r="W1299" i="32"/>
  <c r="W1275" i="32"/>
  <c r="W1291" i="32"/>
  <c r="W1289" i="32"/>
  <c r="W1293" i="32"/>
  <c r="W1277" i="32"/>
  <c r="W1287" i="32"/>
  <c r="W1273" i="32"/>
  <c r="W1285" i="32"/>
  <c r="W1279" i="32"/>
  <c r="W1265" i="32"/>
  <c r="W1267" i="32"/>
  <c r="W1295" i="32"/>
  <c r="W1283" i="32"/>
  <c r="W1261" i="32"/>
  <c r="W1317" i="32"/>
  <c r="W1303" i="32"/>
  <c r="W1327" i="32"/>
  <c r="W1339" i="32"/>
  <c r="W1315" i="32"/>
  <c r="W1333" i="32"/>
  <c r="W1325" i="32"/>
  <c r="W1337" i="32"/>
  <c r="W1335" i="32"/>
  <c r="W1309" i="32"/>
  <c r="W1311" i="32"/>
  <c r="W1331" i="32"/>
  <c r="W1307" i="32"/>
  <c r="W1319" i="32"/>
  <c r="W1323" i="32"/>
  <c r="W1329" i="32"/>
  <c r="W1305" i="32"/>
  <c r="W1313" i="32"/>
  <c r="W1321" i="32"/>
  <c r="W1301" i="32"/>
  <c r="W1405" i="32"/>
  <c r="W1407" i="32"/>
  <c r="W1403" i="32"/>
  <c r="W1383" i="32"/>
  <c r="W1411" i="32"/>
  <c r="W1391" i="32"/>
  <c r="W1401" i="32"/>
  <c r="W1381" i="32"/>
  <c r="W1409" i="32"/>
  <c r="W1385" i="32"/>
  <c r="W1389" i="32"/>
  <c r="W1393" i="32"/>
  <c r="W1399" i="32"/>
  <c r="W1413" i="32"/>
  <c r="W1419" i="32"/>
  <c r="W1395" i="32"/>
  <c r="W1417" i="32"/>
  <c r="W1415" i="32"/>
  <c r="W1397" i="32"/>
  <c r="W1387" i="32"/>
  <c r="W1451" i="32"/>
  <c r="W1453" i="32"/>
  <c r="W1459" i="32"/>
  <c r="W1439" i="32"/>
  <c r="W1427" i="32"/>
  <c r="W1437" i="32"/>
  <c r="W1457" i="32"/>
  <c r="W1421" i="32"/>
  <c r="W1455" i="32"/>
  <c r="W1435" i="32"/>
  <c r="W1443" i="32"/>
  <c r="W1447" i="32"/>
  <c r="W1431" i="32"/>
  <c r="W1441" i="32"/>
  <c r="W1445" i="32"/>
  <c r="W1425" i="32"/>
  <c r="W1449" i="32"/>
  <c r="W1433" i="32"/>
  <c r="W1429" i="32"/>
  <c r="W1423" i="32"/>
  <c r="W1497" i="32"/>
  <c r="W1461" i="32"/>
  <c r="W1483" i="32"/>
  <c r="W1499" i="32"/>
  <c r="W1465" i="32"/>
  <c r="W1481" i="32"/>
  <c r="W1463" i="32"/>
  <c r="W1475" i="32"/>
  <c r="W1493" i="32"/>
  <c r="W1473" i="32"/>
  <c r="W1487" i="32"/>
  <c r="W1469" i="32"/>
  <c r="W1479" i="32"/>
  <c r="W1495" i="32"/>
  <c r="W1467" i="32"/>
  <c r="W1471" i="32"/>
  <c r="W1489" i="32"/>
  <c r="W1485" i="32"/>
  <c r="W1491" i="32"/>
  <c r="W1477" i="32"/>
  <c r="W1507" i="32"/>
  <c r="W1519" i="32"/>
  <c r="W1515" i="32"/>
  <c r="W1531" i="32"/>
  <c r="W1539" i="32"/>
  <c r="W1533" i="32"/>
  <c r="W1537" i="32"/>
  <c r="W1529" i="32"/>
  <c r="W1503" i="32"/>
  <c r="W1535" i="32"/>
  <c r="W1517" i="32"/>
  <c r="W1527" i="32"/>
  <c r="W1511" i="32"/>
  <c r="W1525" i="32"/>
  <c r="W1513" i="32"/>
  <c r="W1523" i="32"/>
  <c r="W1501" i="32"/>
  <c r="W1521" i="32"/>
  <c r="W1509" i="32"/>
  <c r="W1505" i="32"/>
  <c r="W1559" i="32"/>
  <c r="W1575" i="32"/>
  <c r="W1541" i="32"/>
  <c r="W1569" i="32"/>
  <c r="W1553" i="32"/>
  <c r="W1549" i="32"/>
  <c r="W1577" i="32"/>
  <c r="W1561" i="32"/>
  <c r="Q1609" i="32"/>
  <c r="AU59" i="33"/>
  <c r="C1629" i="32" s="1"/>
  <c r="W1629" i="32" s="1"/>
  <c r="BA61" i="33"/>
  <c r="U661" i="32"/>
  <c r="AJ35" i="30"/>
  <c r="U50" i="32"/>
  <c r="U362" i="32"/>
  <c r="AZ47" i="33"/>
  <c r="AZ45" i="33"/>
  <c r="AZ41" i="33"/>
  <c r="AZ39" i="33"/>
  <c r="AZ59" i="33"/>
  <c r="AZ51" i="33"/>
  <c r="AZ53" i="33"/>
  <c r="AZ49" i="33"/>
  <c r="AZ55" i="33"/>
  <c r="AZ57" i="33"/>
  <c r="AZ43" i="33"/>
  <c r="AV39" i="33"/>
  <c r="AV47" i="33"/>
  <c r="AV59" i="33"/>
  <c r="AV53" i="33"/>
  <c r="AV49" i="33"/>
  <c r="AV55" i="33"/>
  <c r="AV41" i="33"/>
  <c r="AV45" i="33"/>
  <c r="AV43" i="33"/>
  <c r="AV51" i="33"/>
  <c r="AV57" i="33"/>
  <c r="AQ47" i="33" a="1"/>
  <c r="AQ47" i="33" s="1"/>
  <c r="J47" i="33" s="1"/>
  <c r="AR39" i="33" a="1"/>
  <c r="AR39" i="33" s="1"/>
  <c r="AQ39" i="33" a="1"/>
  <c r="AQ39" i="33" s="1"/>
  <c r="J39" i="33" s="1"/>
  <c r="AQ59" i="33" a="1"/>
  <c r="AQ59" i="33" s="1"/>
  <c r="J59" i="33" s="1"/>
  <c r="G175" i="24" s="1"/>
  <c r="AR49" i="33" a="1"/>
  <c r="AR49" i="33" s="1"/>
  <c r="AR59" i="33" a="1"/>
  <c r="AR59" i="33" s="1"/>
  <c r="AR47" i="33" a="1"/>
  <c r="AR47" i="33" s="1"/>
  <c r="AQ53" i="33" a="1"/>
  <c r="AQ53" i="33" s="1"/>
  <c r="J53" i="33" s="1"/>
  <c r="AR53" i="33" a="1"/>
  <c r="AR53" i="33" s="1"/>
  <c r="AQ49" i="33" a="1"/>
  <c r="AQ49" i="33" s="1"/>
  <c r="J49" i="33" s="1"/>
  <c r="G169" i="24" s="1"/>
  <c r="AR57" i="33" a="1"/>
  <c r="AR57" i="33" s="1"/>
  <c r="AQ57" i="33" a="1"/>
  <c r="AQ57" i="33" s="1"/>
  <c r="J57" i="33" s="1"/>
  <c r="G173" i="24" s="1"/>
  <c r="AQ55" i="33" a="1"/>
  <c r="AQ55" i="33" s="1"/>
  <c r="J55" i="33" s="1"/>
  <c r="AR51" i="33" a="1"/>
  <c r="AR51" i="33" s="1"/>
  <c r="AR55" i="33" a="1"/>
  <c r="AR55" i="33" s="1"/>
  <c r="AR45" i="33" a="1"/>
  <c r="AR45" i="33" s="1"/>
  <c r="AQ45" i="33" a="1"/>
  <c r="AQ45" i="33" s="1"/>
  <c r="J45" i="33" s="1"/>
  <c r="AQ43" i="33" a="1"/>
  <c r="AQ43" i="33" s="1"/>
  <c r="J43" i="33" s="1"/>
  <c r="G167" i="24" s="1"/>
  <c r="AR43" i="33" a="1"/>
  <c r="AR43" i="33" s="1"/>
  <c r="AQ51" i="33" a="1"/>
  <c r="AQ51" i="33" s="1"/>
  <c r="J51" i="33" s="1"/>
  <c r="G171" i="24" s="1"/>
  <c r="AR41" i="33" a="1"/>
  <c r="AR41" i="33" s="1"/>
  <c r="AQ41" i="33" a="1"/>
  <c r="AQ41" i="33" s="1"/>
  <c r="J41" i="33" s="1"/>
  <c r="G165" i="24" s="1"/>
  <c r="H160" i="16"/>
  <c r="G160" i="16"/>
  <c r="AQ17" i="33" a="1"/>
  <c r="AQ17" i="33" s="1"/>
  <c r="J17" i="33" s="1"/>
  <c r="G153" i="24" s="1"/>
  <c r="AQ29" i="33" a="1"/>
  <c r="AQ29" i="33" s="1"/>
  <c r="J29" i="33" s="1"/>
  <c r="AR29" i="33" a="1"/>
  <c r="AR29" i="33" s="1"/>
  <c r="AR27" i="33" a="1"/>
  <c r="AR27" i="33" s="1"/>
  <c r="AQ15" i="33" a="1"/>
  <c r="AQ15" i="33" s="1"/>
  <c r="J15" i="33" s="1"/>
  <c r="AR17" i="33" a="1"/>
  <c r="AR17" i="33" s="1"/>
  <c r="AQ25" i="33" a="1"/>
  <c r="AQ25" i="33" s="1"/>
  <c r="J25" i="33" s="1"/>
  <c r="G157" i="24" s="1"/>
  <c r="AR25" i="33" a="1"/>
  <c r="AR25" i="33" s="1"/>
  <c r="AQ33" i="33" a="1"/>
  <c r="AQ33" i="33" s="1"/>
  <c r="J33" i="33" s="1"/>
  <c r="G161" i="24" s="1"/>
  <c r="AQ37" i="33" a="1"/>
  <c r="AQ37" i="33" s="1"/>
  <c r="J37" i="33" s="1"/>
  <c r="AR37" i="33" a="1"/>
  <c r="AR37" i="33" s="1"/>
  <c r="AR33" i="33" a="1"/>
  <c r="AR33" i="33" s="1"/>
  <c r="AR11" i="33" a="1"/>
  <c r="AR11" i="33" s="1"/>
  <c r="AQ11" i="33" a="1"/>
  <c r="AQ11" i="33" s="1"/>
  <c r="J11" i="33" s="1"/>
  <c r="G151" i="24" s="1"/>
  <c r="AR31" i="33" a="1"/>
  <c r="AR31" i="33" s="1"/>
  <c r="AQ27" i="33" a="1"/>
  <c r="AQ27" i="33" s="1"/>
  <c r="J27" i="33" s="1"/>
  <c r="G159" i="24" s="1"/>
  <c r="AQ19" i="33" a="1"/>
  <c r="AQ19" i="33" s="1"/>
  <c r="J19" i="33" s="1"/>
  <c r="G155" i="24" s="1"/>
  <c r="AQ23" i="33" a="1"/>
  <c r="AQ23" i="33" s="1"/>
  <c r="J23" i="33" s="1"/>
  <c r="AQ13" i="33" a="1"/>
  <c r="AQ13" i="33" s="1"/>
  <c r="J13" i="33" s="1"/>
  <c r="AR23" i="33" a="1"/>
  <c r="AR23" i="33" s="1"/>
  <c r="AQ31" i="33" a="1"/>
  <c r="AQ31" i="33" s="1"/>
  <c r="J31" i="33" s="1"/>
  <c r="AR19" i="33" a="1"/>
  <c r="AR19" i="33" s="1"/>
  <c r="AR35" i="33" a="1"/>
  <c r="AR35" i="33" s="1"/>
  <c r="AQ35" i="33" a="1"/>
  <c r="AQ35" i="33" s="1"/>
  <c r="J35" i="33" s="1"/>
  <c r="G163" i="24" s="1"/>
  <c r="AQ21" i="33" a="1"/>
  <c r="AQ21" i="33" s="1"/>
  <c r="J21" i="33" s="1"/>
  <c r="AR21" i="33" a="1"/>
  <c r="AR21" i="33" s="1"/>
  <c r="AR15" i="33" a="1"/>
  <c r="AR15" i="33" s="1"/>
  <c r="AR13" i="33" a="1"/>
  <c r="AR13" i="33" s="1"/>
  <c r="AV17" i="33"/>
  <c r="AV29" i="33"/>
  <c r="AV25" i="33"/>
  <c r="AV33" i="33"/>
  <c r="AV37" i="33"/>
  <c r="AV27" i="33"/>
  <c r="AV23" i="33"/>
  <c r="AV19" i="33"/>
  <c r="AV31" i="33"/>
  <c r="AV11" i="33"/>
  <c r="AV35" i="33"/>
  <c r="AV21" i="33"/>
  <c r="AV13" i="33"/>
  <c r="AV15" i="33"/>
  <c r="AY27" i="34"/>
  <c r="C620" i="32"/>
  <c r="K620" i="32"/>
  <c r="L620" i="32"/>
  <c r="D620" i="32"/>
  <c r="F5" i="32"/>
  <c r="B5" i="34"/>
  <c r="B5" i="31"/>
  <c r="B4" i="33"/>
  <c r="B5" i="30"/>
  <c r="L315" i="32"/>
  <c r="AJ8" i="34"/>
  <c r="T8" i="34"/>
  <c r="L8" i="34"/>
  <c r="H8" i="34"/>
  <c r="X8" i="34"/>
  <c r="AF8" i="34"/>
  <c r="AB8" i="34"/>
  <c r="P8" i="34"/>
  <c r="XEP1" i="33"/>
  <c r="XEO1" i="33"/>
  <c r="AK8" i="34"/>
  <c r="AC8" i="34"/>
  <c r="U8" i="34"/>
  <c r="M8" i="34"/>
  <c r="AG8" i="34"/>
  <c r="Y8" i="34"/>
  <c r="Q8" i="34"/>
  <c r="I8" i="34"/>
  <c r="B5" i="32"/>
  <c r="A5" i="34"/>
  <c r="A5" i="31"/>
  <c r="A4" i="33"/>
  <c r="J502" i="27"/>
  <c r="AH59" i="33"/>
  <c r="AB59" i="33"/>
  <c r="BD27" i="34"/>
  <c r="F502" i="27"/>
  <c r="L749" i="27"/>
  <c r="BC27" i="34"/>
  <c r="AK59" i="33"/>
  <c r="O59" i="33"/>
  <c r="I749" i="27"/>
  <c r="K749" i="27"/>
  <c r="D500" i="27"/>
  <c r="O60" i="33"/>
  <c r="K502" i="27"/>
  <c r="J748" i="27"/>
  <c r="M502" i="27"/>
  <c r="AE59" i="33"/>
  <c r="L32" i="27"/>
  <c r="Y59" i="33"/>
  <c r="BD61" i="33"/>
  <c r="AL35" i="30"/>
  <c r="F2901" i="27" l="1"/>
  <c r="H750" i="27"/>
  <c r="H408" i="27"/>
  <c r="H188" i="27"/>
  <c r="L49" i="1"/>
  <c r="L50" i="1"/>
  <c r="L51" i="1"/>
  <c r="L52" i="1"/>
  <c r="G40" i="29"/>
  <c r="L47" i="1"/>
  <c r="G41" i="29"/>
  <c r="L48" i="1"/>
  <c r="L131" i="1"/>
  <c r="L126" i="1"/>
  <c r="L167" i="1"/>
  <c r="L135" i="1"/>
  <c r="L166" i="1"/>
  <c r="L137" i="1"/>
  <c r="L132" i="1"/>
  <c r="L165" i="1"/>
  <c r="L162" i="1"/>
  <c r="L133" i="1"/>
  <c r="L138" i="1"/>
  <c r="L134" i="1"/>
  <c r="L171" i="1"/>
  <c r="L156" i="1"/>
  <c r="L152" i="1"/>
  <c r="L149" i="1"/>
  <c r="L128" i="1"/>
  <c r="L173" i="1"/>
  <c r="L139" i="1"/>
  <c r="L170" i="1"/>
  <c r="L143" i="1"/>
  <c r="L146" i="1"/>
  <c r="L150" i="1"/>
  <c r="L172" i="1"/>
  <c r="L124" i="1"/>
  <c r="L160" i="1"/>
  <c r="L141" i="1"/>
  <c r="L136" i="1"/>
  <c r="L164" i="1"/>
  <c r="L145" i="1"/>
  <c r="L155" i="1"/>
  <c r="L159" i="1"/>
  <c r="L151" i="1"/>
  <c r="L127" i="1"/>
  <c r="L130" i="1"/>
  <c r="L153" i="1"/>
  <c r="L163" i="1"/>
  <c r="L129" i="1"/>
  <c r="L157" i="1"/>
  <c r="L154" i="1"/>
  <c r="L158" i="1"/>
  <c r="L142" i="1"/>
  <c r="L161" i="1"/>
  <c r="L147" i="1"/>
  <c r="L168" i="1"/>
  <c r="L140" i="1"/>
  <c r="L144" i="1"/>
  <c r="L125" i="1"/>
  <c r="L148" i="1"/>
  <c r="L169" i="1"/>
  <c r="Q1593" i="32"/>
  <c r="Q1603" i="32"/>
  <c r="Q1601" i="32"/>
  <c r="W1589" i="32"/>
  <c r="K1589" i="32" s="1"/>
  <c r="Q1617" i="32"/>
  <c r="Q1595" i="32"/>
  <c r="Q1587" i="32"/>
  <c r="W1615" i="32"/>
  <c r="K1615" i="32" s="1"/>
  <c r="Q1619" i="32"/>
  <c r="Q1607" i="32"/>
  <c r="Q1583" i="32"/>
  <c r="Q1585" i="32"/>
  <c r="Q1581" i="32"/>
  <c r="W1613" i="32"/>
  <c r="K1613" i="32" s="1"/>
  <c r="Q1611" i="32"/>
  <c r="W1605" i="32"/>
  <c r="K1605" i="32" s="1"/>
  <c r="C1659" i="32"/>
  <c r="W1659" i="32" s="1"/>
  <c r="K1659" i="32" s="1"/>
  <c r="C1643" i="32"/>
  <c r="W1643" i="32" s="1"/>
  <c r="K1643" i="32" s="1"/>
  <c r="W1591" i="32"/>
  <c r="K1591" i="32" s="1"/>
  <c r="C1635" i="32"/>
  <c r="W1635" i="32" s="1"/>
  <c r="K1635" i="32" s="1"/>
  <c r="C1657" i="32"/>
  <c r="W1657" i="32" s="1"/>
  <c r="K1657" i="32" s="1"/>
  <c r="C1631" i="32"/>
  <c r="W1631" i="32" s="1"/>
  <c r="K1631" i="32" s="1"/>
  <c r="C1627" i="32"/>
  <c r="W1627" i="32" s="1"/>
  <c r="K1627" i="32" s="1"/>
  <c r="C1649" i="32"/>
  <c r="W1649" i="32" s="1"/>
  <c r="K1649" i="32" s="1"/>
  <c r="C1625" i="32"/>
  <c r="W1625" i="32" s="1"/>
  <c r="K1625" i="32" s="1"/>
  <c r="C1647" i="32"/>
  <c r="W1647" i="32" s="1"/>
  <c r="K1647" i="32" s="1"/>
  <c r="C1621" i="32"/>
  <c r="W1621" i="32" s="1"/>
  <c r="K1621" i="32" s="1"/>
  <c r="C1645" i="32"/>
  <c r="W1645" i="32" s="1"/>
  <c r="K1645" i="32" s="1"/>
  <c r="C1655" i="32"/>
  <c r="W1655" i="32" s="1"/>
  <c r="K1655" i="32" s="1"/>
  <c r="C1641" i="32"/>
  <c r="W1641" i="32" s="1"/>
  <c r="K1641" i="32" s="1"/>
  <c r="W1597" i="32"/>
  <c r="K1597" i="32" s="1"/>
  <c r="C1639" i="32"/>
  <c r="W1639" i="32" s="1"/>
  <c r="K1639" i="32" s="1"/>
  <c r="C1637" i="32"/>
  <c r="W1637" i="32" s="1"/>
  <c r="K1637" i="32" s="1"/>
  <c r="W1599" i="32"/>
  <c r="K1599" i="32" s="1"/>
  <c r="C1651" i="32"/>
  <c r="W1651" i="32" s="1"/>
  <c r="K1651" i="32" s="1"/>
  <c r="C1653" i="32"/>
  <c r="W1653" i="32" s="1"/>
  <c r="K1653" i="32" s="1"/>
  <c r="C1633" i="32"/>
  <c r="W1633" i="32" s="1"/>
  <c r="K1633" i="32" s="1"/>
  <c r="C1623" i="32"/>
  <c r="W1623" i="32" s="1"/>
  <c r="K1623" i="32" s="1"/>
  <c r="G39" i="29"/>
  <c r="K1617" i="32"/>
  <c r="K1587" i="32"/>
  <c r="K1611" i="32"/>
  <c r="K1619" i="32"/>
  <c r="K1581" i="32"/>
  <c r="K1607" i="32"/>
  <c r="K1609" i="32"/>
  <c r="K1585" i="32"/>
  <c r="K1603" i="32"/>
  <c r="K1583" i="32"/>
  <c r="K1595" i="32"/>
  <c r="K1577" i="32"/>
  <c r="K1503" i="32"/>
  <c r="K1489" i="32"/>
  <c r="K1465" i="32"/>
  <c r="K1431" i="32"/>
  <c r="K1451" i="32"/>
  <c r="K1409" i="32"/>
  <c r="K1305" i="32"/>
  <c r="K1315" i="32"/>
  <c r="K1273" i="32"/>
  <c r="K1271" i="32"/>
  <c r="K1257" i="32"/>
  <c r="K1573" i="32"/>
  <c r="K1505" i="32"/>
  <c r="K1529" i="32"/>
  <c r="K1471" i="32"/>
  <c r="K1499" i="32"/>
  <c r="K1447" i="32"/>
  <c r="K1387" i="32"/>
  <c r="K1381" i="32"/>
  <c r="K1329" i="32"/>
  <c r="K1339" i="32"/>
  <c r="K1287" i="32"/>
  <c r="K1239" i="32"/>
  <c r="K1249" i="32"/>
  <c r="K1509" i="32"/>
  <c r="K1537" i="32"/>
  <c r="K1467" i="32"/>
  <c r="K1483" i="32"/>
  <c r="K1443" i="32"/>
  <c r="K1397" i="32"/>
  <c r="K1401" i="32"/>
  <c r="K1323" i="32"/>
  <c r="K1327" i="32"/>
  <c r="K1277" i="32"/>
  <c r="K1259" i="32"/>
  <c r="K1235" i="32"/>
  <c r="K1543" i="32"/>
  <c r="K1545" i="32"/>
  <c r="K1549" i="32"/>
  <c r="K1521" i="32"/>
  <c r="K1533" i="32"/>
  <c r="K1495" i="32"/>
  <c r="K1461" i="32"/>
  <c r="K1435" i="32"/>
  <c r="K1415" i="32"/>
  <c r="K1391" i="32"/>
  <c r="K1319" i="32"/>
  <c r="K1303" i="32"/>
  <c r="K1293" i="32"/>
  <c r="K1221" i="32"/>
  <c r="K1233" i="32"/>
  <c r="K1571" i="32"/>
  <c r="K1601" i="32"/>
  <c r="K1553" i="32"/>
  <c r="K1501" i="32"/>
  <c r="K1539" i="32"/>
  <c r="K1479" i="32"/>
  <c r="K1497" i="32"/>
  <c r="K1455" i="32"/>
  <c r="K1417" i="32"/>
  <c r="K1411" i="32"/>
  <c r="K1307" i="32"/>
  <c r="K1317" i="32"/>
  <c r="K1289" i="32"/>
  <c r="K1243" i="32"/>
  <c r="K1225" i="32"/>
  <c r="K1579" i="32"/>
  <c r="K1523" i="32"/>
  <c r="K1531" i="32"/>
  <c r="K1469" i="32"/>
  <c r="K1423" i="32"/>
  <c r="K1421" i="32"/>
  <c r="K1395" i="32"/>
  <c r="K1383" i="32"/>
  <c r="K1331" i="32"/>
  <c r="K1261" i="32"/>
  <c r="K1291" i="32"/>
  <c r="K1247" i="32"/>
  <c r="K1251" i="32"/>
  <c r="K1513" i="32"/>
  <c r="K1515" i="32"/>
  <c r="K1487" i="32"/>
  <c r="K1429" i="32"/>
  <c r="K1457" i="32"/>
  <c r="K1419" i="32"/>
  <c r="K1403" i="32"/>
  <c r="K1311" i="32"/>
  <c r="K1283" i="32"/>
  <c r="K1275" i="32"/>
  <c r="K1223" i="32"/>
  <c r="K1245" i="32"/>
  <c r="K1569" i="32"/>
  <c r="K1525" i="32"/>
  <c r="K1519" i="32"/>
  <c r="K1473" i="32"/>
  <c r="K1433" i="32"/>
  <c r="K1437" i="32"/>
  <c r="K1413" i="32"/>
  <c r="K1407" i="32"/>
  <c r="K1309" i="32"/>
  <c r="K1295" i="32"/>
  <c r="K1299" i="32"/>
  <c r="K1255" i="32"/>
  <c r="K1241" i="32"/>
  <c r="K1565" i="32"/>
  <c r="K1555" i="32"/>
  <c r="K1541" i="32"/>
  <c r="K1511" i="32"/>
  <c r="K1507" i="32"/>
  <c r="K1493" i="32"/>
  <c r="K1449" i="32"/>
  <c r="K1427" i="32"/>
  <c r="K1399" i="32"/>
  <c r="K1405" i="32"/>
  <c r="K1335" i="32"/>
  <c r="K1267" i="32"/>
  <c r="K1269" i="32"/>
  <c r="K1227" i="32"/>
  <c r="K1237" i="32"/>
  <c r="K1547" i="32"/>
  <c r="K1527" i="32"/>
  <c r="K1477" i="32"/>
  <c r="K1475" i="32"/>
  <c r="K1425" i="32"/>
  <c r="K1439" i="32"/>
  <c r="K1393" i="32"/>
  <c r="K1301" i="32"/>
  <c r="K1337" i="32"/>
  <c r="K1265" i="32"/>
  <c r="K1263" i="32"/>
  <c r="K1231" i="32"/>
  <c r="K1551" i="32"/>
  <c r="K1575" i="32"/>
  <c r="K1517" i="32"/>
  <c r="K1491" i="32"/>
  <c r="K1463" i="32"/>
  <c r="K1445" i="32"/>
  <c r="K1459" i="32"/>
  <c r="K1389" i="32"/>
  <c r="K1321" i="32"/>
  <c r="K1325" i="32"/>
  <c r="K1279" i="32"/>
  <c r="K1281" i="32"/>
  <c r="K1229" i="32"/>
  <c r="K1593" i="32"/>
  <c r="K1561" i="32"/>
  <c r="K1559" i="32"/>
  <c r="K1535" i="32"/>
  <c r="K1485" i="32"/>
  <c r="K1481" i="32"/>
  <c r="K1441" i="32"/>
  <c r="K1453" i="32"/>
  <c r="K1385" i="32"/>
  <c r="K1313" i="32"/>
  <c r="K1333" i="32"/>
  <c r="K1285" i="32"/>
  <c r="K1297" i="32"/>
  <c r="K1253" i="32"/>
  <c r="K1567" i="32"/>
  <c r="K1563" i="32"/>
  <c r="K1629" i="32"/>
  <c r="U364" i="32"/>
  <c r="U52" i="32"/>
  <c r="AJ37" i="30"/>
  <c r="U663" i="32"/>
  <c r="BA63" i="33"/>
  <c r="AT51" i="33"/>
  <c r="AS51" i="33"/>
  <c r="AT57" i="33"/>
  <c r="AS57" i="33"/>
  <c r="AX59" i="33"/>
  <c r="AY59" i="33"/>
  <c r="AW59" i="33"/>
  <c r="AT53" i="33"/>
  <c r="AS53" i="33"/>
  <c r="AW47" i="33"/>
  <c r="AY47" i="33"/>
  <c r="AX47" i="33"/>
  <c r="AY39" i="33"/>
  <c r="AW39" i="33"/>
  <c r="AX39" i="33"/>
  <c r="AS47" i="33"/>
  <c r="AT47" i="33"/>
  <c r="AS59" i="33"/>
  <c r="AT59" i="33"/>
  <c r="AS49" i="33"/>
  <c r="AT49" i="33"/>
  <c r="AS55" i="33"/>
  <c r="AT55" i="33"/>
  <c r="AS39" i="33"/>
  <c r="AT39" i="33"/>
  <c r="AW49" i="33"/>
  <c r="AY49" i="33"/>
  <c r="AX49" i="33"/>
  <c r="AY41" i="33"/>
  <c r="AX41" i="33"/>
  <c r="AW41" i="33"/>
  <c r="AT41" i="33"/>
  <c r="AS41" i="33"/>
  <c r="AX45" i="33"/>
  <c r="AY45" i="33"/>
  <c r="AW45" i="33"/>
  <c r="AT43" i="33"/>
  <c r="AS43" i="33"/>
  <c r="AW57" i="33"/>
  <c r="AX57" i="33"/>
  <c r="AY57" i="33"/>
  <c r="AW51" i="33"/>
  <c r="AX51" i="33"/>
  <c r="AY51" i="33"/>
  <c r="AY55" i="33"/>
  <c r="AW55" i="33"/>
  <c r="AX55" i="33"/>
  <c r="AY53" i="33"/>
  <c r="AW53" i="33"/>
  <c r="AX53" i="33"/>
  <c r="AS45" i="33"/>
  <c r="AT45" i="33"/>
  <c r="AX43" i="33"/>
  <c r="AY43" i="33"/>
  <c r="AW43" i="33"/>
  <c r="AY37" i="33"/>
  <c r="AX37" i="33"/>
  <c r="AW37" i="33"/>
  <c r="AY33" i="33"/>
  <c r="AX33" i="33"/>
  <c r="AW33" i="33"/>
  <c r="AS25" i="33"/>
  <c r="AT25" i="33"/>
  <c r="AY25" i="33"/>
  <c r="AW25" i="33"/>
  <c r="AX25" i="33"/>
  <c r="AX29" i="33"/>
  <c r="AW29" i="33"/>
  <c r="AY29" i="33"/>
  <c r="AT17" i="33"/>
  <c r="AS17" i="33"/>
  <c r="AW17" i="33"/>
  <c r="AX17" i="33"/>
  <c r="AY17" i="33"/>
  <c r="AS27" i="33"/>
  <c r="AT27" i="33"/>
  <c r="AT15" i="33"/>
  <c r="AS15" i="33"/>
  <c r="AT29" i="33"/>
  <c r="AS29" i="33"/>
  <c r="AT21" i="33"/>
  <c r="AS21" i="33"/>
  <c r="AT35" i="33"/>
  <c r="AS35" i="33"/>
  <c r="AS19" i="33"/>
  <c r="AT19" i="33"/>
  <c r="AT13" i="33"/>
  <c r="AS13" i="33"/>
  <c r="AT23" i="33"/>
  <c r="AS23" i="33"/>
  <c r="AY15" i="33"/>
  <c r="AW15" i="33"/>
  <c r="AX15" i="33"/>
  <c r="AX13" i="33"/>
  <c r="AY13" i="33"/>
  <c r="AW13" i="33"/>
  <c r="AY21" i="33"/>
  <c r="AW21" i="33"/>
  <c r="AX21" i="33"/>
  <c r="AX35" i="33"/>
  <c r="AY35" i="33"/>
  <c r="AW35" i="33"/>
  <c r="AS31" i="33"/>
  <c r="AT31" i="33"/>
  <c r="AX11" i="33"/>
  <c r="AW11" i="33"/>
  <c r="AY11" i="33"/>
  <c r="AY31" i="33"/>
  <c r="AW31" i="33"/>
  <c r="AX31" i="33"/>
  <c r="AT11" i="33"/>
  <c r="AS11" i="33"/>
  <c r="AT33" i="33"/>
  <c r="AS33" i="33"/>
  <c r="AT37" i="33"/>
  <c r="AS37" i="33"/>
  <c r="AY19" i="33"/>
  <c r="AX19" i="33"/>
  <c r="AW19" i="33"/>
  <c r="AY23" i="33"/>
  <c r="AX23" i="33"/>
  <c r="AW23" i="33"/>
  <c r="AY27" i="33"/>
  <c r="AX27" i="33"/>
  <c r="AW27" i="33"/>
  <c r="AY28" i="34"/>
  <c r="E101" i="1"/>
  <c r="C101" i="1"/>
  <c r="K503" i="27"/>
  <c r="BD28" i="34"/>
  <c r="AL37" i="30"/>
  <c r="AH61" i="33"/>
  <c r="AK61" i="33"/>
  <c r="O62" i="33"/>
  <c r="AB61" i="33"/>
  <c r="I750" i="27"/>
  <c r="BC28" i="34"/>
  <c r="L33" i="27"/>
  <c r="O61" i="33"/>
  <c r="M503" i="27"/>
  <c r="AE61" i="33"/>
  <c r="J749" i="27"/>
  <c r="BD63" i="33"/>
  <c r="Y61" i="33"/>
  <c r="K750" i="27"/>
  <c r="F2903" i="27" l="1"/>
  <c r="F2902" i="27"/>
  <c r="A749" i="27"/>
  <c r="H752" i="27"/>
  <c r="H751" i="27"/>
  <c r="H409" i="27"/>
  <c r="H410" i="27"/>
  <c r="H189" i="27"/>
  <c r="H190" i="27"/>
  <c r="M125" i="1"/>
  <c r="AO125" i="1"/>
  <c r="AC125" i="1"/>
  <c r="O125" i="1"/>
  <c r="N125" i="1"/>
  <c r="N154" i="1"/>
  <c r="AO154" i="1"/>
  <c r="AC154" i="1"/>
  <c r="O154" i="1"/>
  <c r="M154" i="1"/>
  <c r="O159" i="1"/>
  <c r="AC159" i="1"/>
  <c r="AO159" i="1"/>
  <c r="M159" i="1"/>
  <c r="N159" i="1"/>
  <c r="M172" i="1"/>
  <c r="AO172" i="1"/>
  <c r="AC172" i="1"/>
  <c r="N172" i="1"/>
  <c r="O172" i="1"/>
  <c r="M149" i="1"/>
  <c r="AO149" i="1"/>
  <c r="AC149" i="1"/>
  <c r="N149" i="1"/>
  <c r="O149" i="1"/>
  <c r="M165" i="1"/>
  <c r="AO165" i="1"/>
  <c r="AC165" i="1"/>
  <c r="O165" i="1"/>
  <c r="N165" i="1"/>
  <c r="O144" i="1"/>
  <c r="AC144" i="1"/>
  <c r="AO144" i="1"/>
  <c r="M144" i="1"/>
  <c r="N144" i="1"/>
  <c r="M157" i="1"/>
  <c r="AO157" i="1"/>
  <c r="AC157" i="1"/>
  <c r="N157" i="1"/>
  <c r="O157" i="1"/>
  <c r="N155" i="1"/>
  <c r="AC155" i="1"/>
  <c r="AO155" i="1"/>
  <c r="M155" i="1"/>
  <c r="O155" i="1"/>
  <c r="AC150" i="1"/>
  <c r="AO150" i="1"/>
  <c r="O150" i="1"/>
  <c r="N150" i="1"/>
  <c r="M150" i="1"/>
  <c r="O152" i="1"/>
  <c r="AC152" i="1"/>
  <c r="AO152" i="1"/>
  <c r="N152" i="1"/>
  <c r="M152" i="1"/>
  <c r="M132" i="1"/>
  <c r="AC132" i="1"/>
  <c r="N132" i="1"/>
  <c r="AO132" i="1"/>
  <c r="O132" i="1"/>
  <c r="M140" i="1"/>
  <c r="N140" i="1"/>
  <c r="AO140" i="1"/>
  <c r="AC140" i="1"/>
  <c r="O140" i="1"/>
  <c r="O129" i="1"/>
  <c r="AC129" i="1"/>
  <c r="AO129" i="1"/>
  <c r="N129" i="1"/>
  <c r="M129" i="1"/>
  <c r="O145" i="1"/>
  <c r="AC145" i="1"/>
  <c r="AO145" i="1"/>
  <c r="M145" i="1"/>
  <c r="N145" i="1"/>
  <c r="N146" i="1"/>
  <c r="AO146" i="1"/>
  <c r="O146" i="1"/>
  <c r="AC146" i="1"/>
  <c r="M146" i="1"/>
  <c r="M156" i="1"/>
  <c r="N156" i="1"/>
  <c r="AO156" i="1"/>
  <c r="AC156" i="1"/>
  <c r="O156" i="1"/>
  <c r="O137" i="1"/>
  <c r="AC137" i="1"/>
  <c r="AO137" i="1"/>
  <c r="M137" i="1"/>
  <c r="N137" i="1"/>
  <c r="O168" i="1"/>
  <c r="AC168" i="1"/>
  <c r="AO168" i="1"/>
  <c r="N168" i="1"/>
  <c r="M168" i="1"/>
  <c r="N163" i="1"/>
  <c r="AO163" i="1"/>
  <c r="AC163" i="1"/>
  <c r="O163" i="1"/>
  <c r="M163" i="1"/>
  <c r="M164" i="1"/>
  <c r="N164" i="1"/>
  <c r="AO164" i="1"/>
  <c r="AC164" i="1"/>
  <c r="O164" i="1"/>
  <c r="O143" i="1"/>
  <c r="AC143" i="1"/>
  <c r="AO143" i="1"/>
  <c r="M143" i="1"/>
  <c r="N143" i="1"/>
  <c r="N171" i="1"/>
  <c r="AC171" i="1"/>
  <c r="AO171" i="1"/>
  <c r="O171" i="1"/>
  <c r="M171" i="1"/>
  <c r="AC166" i="1"/>
  <c r="AO166" i="1"/>
  <c r="N166" i="1"/>
  <c r="M166" i="1"/>
  <c r="O166" i="1"/>
  <c r="N147" i="1"/>
  <c r="AO147" i="1"/>
  <c r="AC147" i="1"/>
  <c r="M147" i="1"/>
  <c r="O147" i="1"/>
  <c r="O153" i="1"/>
  <c r="AC153" i="1"/>
  <c r="AO153" i="1"/>
  <c r="M153" i="1"/>
  <c r="N153" i="1"/>
  <c r="O136" i="1"/>
  <c r="AC136" i="1"/>
  <c r="AO136" i="1"/>
  <c r="M136" i="1"/>
  <c r="N136" i="1"/>
  <c r="N170" i="1"/>
  <c r="AO170" i="1"/>
  <c r="O170" i="1"/>
  <c r="AC170" i="1"/>
  <c r="M170" i="1"/>
  <c r="AC134" i="1"/>
  <c r="AO134" i="1"/>
  <c r="O134" i="1"/>
  <c r="M134" i="1"/>
  <c r="N134" i="1"/>
  <c r="O135" i="1"/>
  <c r="AC135" i="1"/>
  <c r="AO135" i="1"/>
  <c r="M135" i="1"/>
  <c r="N135" i="1"/>
  <c r="O161" i="1"/>
  <c r="AC161" i="1"/>
  <c r="AO161" i="1"/>
  <c r="N161" i="1"/>
  <c r="M161" i="1"/>
  <c r="N130" i="1"/>
  <c r="AO130" i="1"/>
  <c r="AC130" i="1"/>
  <c r="O130" i="1"/>
  <c r="M130" i="1"/>
  <c r="M141" i="1"/>
  <c r="AO141" i="1"/>
  <c r="AC141" i="1"/>
  <c r="O141" i="1"/>
  <c r="N141" i="1"/>
  <c r="N139" i="1"/>
  <c r="AC139" i="1"/>
  <c r="AO139" i="1"/>
  <c r="M139" i="1"/>
  <c r="O139" i="1"/>
  <c r="N138" i="1"/>
  <c r="AO138" i="1"/>
  <c r="AC138" i="1"/>
  <c r="O138" i="1"/>
  <c r="M138" i="1"/>
  <c r="O167" i="1"/>
  <c r="AC167" i="1"/>
  <c r="AO167" i="1"/>
  <c r="M167" i="1"/>
  <c r="N167" i="1"/>
  <c r="X170" i="1"/>
  <c r="X135" i="1"/>
  <c r="X128" i="1"/>
  <c r="X138" i="1"/>
  <c r="X167" i="1"/>
  <c r="X140" i="1"/>
  <c r="X145" i="1"/>
  <c r="X136" i="1"/>
  <c r="AH136" i="1" s="1"/>
  <c r="X164" i="1"/>
  <c r="X150" i="1"/>
  <c r="AH150" i="1" s="1"/>
  <c r="X172" i="1"/>
  <c r="X160" i="1"/>
  <c r="X146" i="1"/>
  <c r="X143" i="1"/>
  <c r="X126" i="1"/>
  <c r="X161" i="1"/>
  <c r="X125" i="1"/>
  <c r="X157" i="1"/>
  <c r="AH157" i="1" s="1"/>
  <c r="X134" i="1"/>
  <c r="X151" i="1"/>
  <c r="X156" i="1"/>
  <c r="X133" i="1"/>
  <c r="X144" i="1"/>
  <c r="X165" i="1"/>
  <c r="AH165" i="1" s="1"/>
  <c r="X149" i="1"/>
  <c r="X129" i="1"/>
  <c r="X173" i="1"/>
  <c r="X141" i="1"/>
  <c r="X142" i="1"/>
  <c r="X148" i="1"/>
  <c r="X137" i="1"/>
  <c r="X166" i="1"/>
  <c r="AH166" i="1" s="1"/>
  <c r="X152" i="1"/>
  <c r="X159" i="1"/>
  <c r="X153" i="1"/>
  <c r="AH153" i="1" s="1"/>
  <c r="X154" i="1"/>
  <c r="AH154" i="1" s="1"/>
  <c r="X127" i="1"/>
  <c r="X162" i="1"/>
  <c r="X130" i="1"/>
  <c r="X168" i="1"/>
  <c r="AH168" i="1" s="1"/>
  <c r="X158" i="1"/>
  <c r="X169" i="1"/>
  <c r="X124" i="1"/>
  <c r="X171" i="1"/>
  <c r="AH171" i="1" s="1"/>
  <c r="X132" i="1"/>
  <c r="AH132" i="1" s="1"/>
  <c r="X139" i="1"/>
  <c r="X131" i="1"/>
  <c r="X163" i="1"/>
  <c r="X147" i="1"/>
  <c r="X155" i="1"/>
  <c r="O169" i="1"/>
  <c r="AC169" i="1"/>
  <c r="AO169" i="1"/>
  <c r="M169" i="1"/>
  <c r="N169" i="1"/>
  <c r="AC142" i="1"/>
  <c r="AO142" i="1"/>
  <c r="M142" i="1"/>
  <c r="O142" i="1"/>
  <c r="N142" i="1"/>
  <c r="O127" i="1"/>
  <c r="AC127" i="1"/>
  <c r="AO127" i="1"/>
  <c r="N127" i="1"/>
  <c r="M127" i="1"/>
  <c r="O160" i="1"/>
  <c r="AC160" i="1"/>
  <c r="AO160" i="1"/>
  <c r="N160" i="1"/>
  <c r="M160" i="1"/>
  <c r="M173" i="1"/>
  <c r="AO173" i="1"/>
  <c r="AC173" i="1"/>
  <c r="O173" i="1"/>
  <c r="N173" i="1"/>
  <c r="M133" i="1"/>
  <c r="AO133" i="1"/>
  <c r="AC133" i="1"/>
  <c r="O133" i="1"/>
  <c r="N133" i="1"/>
  <c r="AC126" i="1"/>
  <c r="AO126" i="1"/>
  <c r="M126" i="1"/>
  <c r="O126" i="1"/>
  <c r="N126" i="1"/>
  <c r="M148" i="1"/>
  <c r="AO148" i="1"/>
  <c r="N148" i="1"/>
  <c r="AC148" i="1"/>
  <c r="O148" i="1"/>
  <c r="AC158" i="1"/>
  <c r="AO158" i="1"/>
  <c r="O158" i="1"/>
  <c r="M158" i="1"/>
  <c r="N158" i="1"/>
  <c r="O151" i="1"/>
  <c r="AC151" i="1"/>
  <c r="AO151" i="1"/>
  <c r="N151" i="1"/>
  <c r="M151" i="1"/>
  <c r="M124" i="1"/>
  <c r="AO124" i="1"/>
  <c r="N124" i="1"/>
  <c r="AC124" i="1"/>
  <c r="O124" i="1"/>
  <c r="O128" i="1"/>
  <c r="AC128" i="1"/>
  <c r="AO128" i="1"/>
  <c r="N128" i="1"/>
  <c r="M128" i="1"/>
  <c r="N162" i="1"/>
  <c r="AO162" i="1"/>
  <c r="O162" i="1"/>
  <c r="AC162" i="1"/>
  <c r="M162" i="1"/>
  <c r="N131" i="1"/>
  <c r="AO131" i="1"/>
  <c r="AC131" i="1"/>
  <c r="O131" i="1"/>
  <c r="M131" i="1"/>
  <c r="Q1621" i="32"/>
  <c r="Q1627" i="32"/>
  <c r="Q1639" i="32"/>
  <c r="Q1655" i="32"/>
  <c r="Q1653" i="32"/>
  <c r="Q1641" i="32"/>
  <c r="Q1645" i="32"/>
  <c r="Q1651" i="32"/>
  <c r="Q1643" i="32"/>
  <c r="Q1629" i="32"/>
  <c r="Q1637" i="32"/>
  <c r="Q1623" i="32"/>
  <c r="Q1633" i="32"/>
  <c r="Q1647" i="32"/>
  <c r="Q1657" i="32"/>
  <c r="Q1625" i="32"/>
  <c r="Q1635" i="32"/>
  <c r="Q1631" i="32"/>
  <c r="Q1649" i="32"/>
  <c r="AS17" i="34"/>
  <c r="AS10" i="34"/>
  <c r="AS21" i="34"/>
  <c r="AS26" i="34"/>
  <c r="AS13" i="34"/>
  <c r="AS19" i="34"/>
  <c r="AS14" i="34"/>
  <c r="AS11" i="34"/>
  <c r="AS18" i="34"/>
  <c r="AS23" i="34"/>
  <c r="AS20" i="34"/>
  <c r="AS27" i="34"/>
  <c r="AS12" i="34"/>
  <c r="AS25" i="34"/>
  <c r="AS16" i="34"/>
  <c r="AS24" i="34"/>
  <c r="AS22" i="34"/>
  <c r="AS15" i="34"/>
  <c r="AS9" i="34"/>
  <c r="AZ15" i="33"/>
  <c r="AZ13" i="33"/>
  <c r="AZ27" i="33"/>
  <c r="AZ19" i="33"/>
  <c r="AZ25" i="33"/>
  <c r="AZ33" i="33"/>
  <c r="AZ23" i="33"/>
  <c r="AZ9" i="33"/>
  <c r="AZ37" i="33"/>
  <c r="AZ17" i="33"/>
  <c r="AZ35" i="33"/>
  <c r="AZ21" i="33"/>
  <c r="AZ29" i="33"/>
  <c r="AZ31" i="33"/>
  <c r="AZ11" i="33"/>
  <c r="AQ61" i="33" a="1"/>
  <c r="AQ61" i="33" s="1"/>
  <c r="J61" i="33" s="1"/>
  <c r="AR61" i="33" a="1"/>
  <c r="AR61" i="33" s="1"/>
  <c r="AT61" i="33" s="1"/>
  <c r="AV61" i="33"/>
  <c r="AW61" i="33" s="1"/>
  <c r="AZ61" i="33"/>
  <c r="AZ63" i="33"/>
  <c r="U665" i="32"/>
  <c r="U54" i="32"/>
  <c r="U366" i="32"/>
  <c r="BA65" i="33"/>
  <c r="BA67" i="33" s="1"/>
  <c r="AY29" i="34"/>
  <c r="L750" i="27"/>
  <c r="I751" i="27"/>
  <c r="L752" i="27"/>
  <c r="L751" i="27"/>
  <c r="J750" i="27"/>
  <c r="K751" i="27"/>
  <c r="F2904" i="27" l="1"/>
  <c r="A750" i="27"/>
  <c r="H753" i="27"/>
  <c r="H411" i="27"/>
  <c r="H191" i="27"/>
  <c r="AH155" i="1"/>
  <c r="AH137" i="1"/>
  <c r="AH138" i="1"/>
  <c r="AH134" i="1"/>
  <c r="AH172" i="1"/>
  <c r="AH163" i="1"/>
  <c r="AH156" i="1"/>
  <c r="AH164" i="1"/>
  <c r="AH130" i="1"/>
  <c r="AH144" i="1"/>
  <c r="AH145" i="1"/>
  <c r="AH161" i="1"/>
  <c r="AH140" i="1"/>
  <c r="AH167" i="1"/>
  <c r="AH159" i="1"/>
  <c r="AH152" i="1"/>
  <c r="AH141" i="1"/>
  <c r="AH129" i="1"/>
  <c r="AH135" i="1"/>
  <c r="AH147" i="1"/>
  <c r="AH149" i="1"/>
  <c r="AH125" i="1"/>
  <c r="AH170" i="1"/>
  <c r="AH139" i="1"/>
  <c r="AH143" i="1"/>
  <c r="AH146" i="1"/>
  <c r="AA169" i="1"/>
  <c r="H169" i="1"/>
  <c r="AH151" i="1"/>
  <c r="AH160" i="1"/>
  <c r="AA161" i="1"/>
  <c r="H161" i="1"/>
  <c r="AA171" i="1"/>
  <c r="H171" i="1"/>
  <c r="H164" i="1"/>
  <c r="AA164" i="1"/>
  <c r="H145" i="1"/>
  <c r="AA145" i="1"/>
  <c r="AA140" i="1"/>
  <c r="H140" i="1"/>
  <c r="AA144" i="1"/>
  <c r="H144" i="1"/>
  <c r="AA154" i="1"/>
  <c r="H154" i="1"/>
  <c r="AA128" i="1"/>
  <c r="H128" i="1"/>
  <c r="AA158" i="1"/>
  <c r="H158" i="1"/>
  <c r="AA160" i="1"/>
  <c r="H160" i="1"/>
  <c r="AH124" i="1"/>
  <c r="AH173" i="1"/>
  <c r="AH128" i="1"/>
  <c r="AA139" i="1"/>
  <c r="H139" i="1"/>
  <c r="AA153" i="1"/>
  <c r="H153" i="1"/>
  <c r="H137" i="1"/>
  <c r="AA137" i="1"/>
  <c r="AA146" i="1"/>
  <c r="H146" i="1"/>
  <c r="AA149" i="1"/>
  <c r="H149" i="1"/>
  <c r="AA162" i="1"/>
  <c r="H162" i="1"/>
  <c r="AH169" i="1"/>
  <c r="AA130" i="1"/>
  <c r="H130" i="1"/>
  <c r="AA150" i="1"/>
  <c r="H150" i="1"/>
  <c r="H157" i="1"/>
  <c r="AA157" i="1"/>
  <c r="AA151" i="1"/>
  <c r="H151" i="1"/>
  <c r="AA148" i="1"/>
  <c r="H148" i="1"/>
  <c r="AA126" i="1"/>
  <c r="H126" i="1"/>
  <c r="AA173" i="1"/>
  <c r="H173" i="1"/>
  <c r="AH158" i="1"/>
  <c r="AA138" i="1"/>
  <c r="H138" i="1"/>
  <c r="AA134" i="1"/>
  <c r="H134" i="1"/>
  <c r="AA124" i="1"/>
  <c r="H124" i="1"/>
  <c r="AA142" i="1"/>
  <c r="H142" i="1"/>
  <c r="H136" i="1"/>
  <c r="AA136" i="1"/>
  <c r="AA166" i="1"/>
  <c r="H166" i="1"/>
  <c r="AA168" i="1"/>
  <c r="H168" i="1"/>
  <c r="H156" i="1"/>
  <c r="AA156" i="1"/>
  <c r="AA152" i="1"/>
  <c r="H152" i="1"/>
  <c r="AA165" i="1"/>
  <c r="H165" i="1"/>
  <c r="AA159" i="1"/>
  <c r="H159" i="1"/>
  <c r="AH131" i="1"/>
  <c r="AH126" i="1"/>
  <c r="AA141" i="1"/>
  <c r="H141" i="1"/>
  <c r="AA135" i="1"/>
  <c r="H135" i="1"/>
  <c r="AA170" i="1"/>
  <c r="H170" i="1"/>
  <c r="AA147" i="1"/>
  <c r="H147" i="1"/>
  <c r="AA143" i="1"/>
  <c r="H143" i="1"/>
  <c r="AA129" i="1"/>
  <c r="H129" i="1"/>
  <c r="AA125" i="1"/>
  <c r="H125" i="1"/>
  <c r="AA131" i="1"/>
  <c r="H131" i="1"/>
  <c r="AA133" i="1"/>
  <c r="H133" i="1"/>
  <c r="AA127" i="1"/>
  <c r="H127" i="1"/>
  <c r="AH162" i="1"/>
  <c r="AH148" i="1"/>
  <c r="AH133" i="1"/>
  <c r="AA163" i="1"/>
  <c r="H163" i="1"/>
  <c r="AA155" i="1"/>
  <c r="H155" i="1"/>
  <c r="AA172" i="1"/>
  <c r="H172" i="1"/>
  <c r="AH127" i="1"/>
  <c r="AH142" i="1"/>
  <c r="AA167" i="1"/>
  <c r="H167" i="1"/>
  <c r="AA132" i="1"/>
  <c r="H132" i="1"/>
  <c r="AS28" i="34"/>
  <c r="AY61" i="33"/>
  <c r="AX61" i="33"/>
  <c r="AS61" i="33"/>
  <c r="U368" i="32"/>
  <c r="U56" i="32"/>
  <c r="U667" i="32"/>
  <c r="AY30" i="34"/>
  <c r="C2362" i="27"/>
  <c r="B2362" i="27"/>
  <c r="J751" i="27"/>
  <c r="K752" i="27"/>
  <c r="K753" i="27"/>
  <c r="J752" i="27"/>
  <c r="L753" i="27"/>
  <c r="F2905" i="27" l="1"/>
  <c r="Z2" i="27"/>
  <c r="E2367" i="27"/>
  <c r="F2369" i="27" s="1"/>
  <c r="F2370" i="27" s="1"/>
  <c r="F2371" i="27" s="1"/>
  <c r="F2372" i="27" s="1"/>
  <c r="F2373" i="27" s="1"/>
  <c r="E2366" i="27"/>
  <c r="E2363" i="27"/>
  <c r="E2365" i="27"/>
  <c r="E2364" i="27"/>
  <c r="A751" i="27"/>
  <c r="H754" i="27"/>
  <c r="H412" i="27"/>
  <c r="H192" i="27"/>
  <c r="U370" i="32"/>
  <c r="U669" i="32"/>
  <c r="U58" i="32"/>
  <c r="AY31" i="34"/>
  <c r="D2362" i="27"/>
  <c r="J753" i="27"/>
  <c r="K754" i="27"/>
  <c r="L754" i="27"/>
  <c r="F2906" i="27" l="1"/>
  <c r="F2375" i="27"/>
  <c r="F2376" i="27" s="1"/>
  <c r="F2377" i="27" s="1"/>
  <c r="F2378" i="27" s="1"/>
  <c r="F2379" i="27" s="1"/>
  <c r="F2374" i="27"/>
  <c r="H755" i="27"/>
  <c r="H413" i="27"/>
  <c r="H193" i="27"/>
  <c r="U60" i="32"/>
  <c r="U671" i="32"/>
  <c r="U372" i="32"/>
  <c r="AY32" i="34"/>
  <c r="O487" i="27"/>
  <c r="L251" i="27"/>
  <c r="M2290" i="27"/>
  <c r="E243" i="27"/>
  <c r="A370" i="32"/>
  <c r="N480" i="27"/>
  <c r="L243" i="27"/>
  <c r="O489" i="27"/>
  <c r="O2278" i="27"/>
  <c r="P23" i="27"/>
  <c r="M68" i="33"/>
  <c r="I485" i="27"/>
  <c r="N479" i="27"/>
  <c r="BD30" i="34"/>
  <c r="T503" i="27"/>
  <c r="N502" i="27"/>
  <c r="O65" i="33"/>
  <c r="L504" i="27"/>
  <c r="A641" i="32"/>
  <c r="G253" i="27"/>
  <c r="A362" i="32"/>
  <c r="M240" i="27" a="1"/>
  <c r="E25" i="27"/>
  <c r="H26" i="27"/>
  <c r="P245" i="27"/>
  <c r="A368" i="32"/>
  <c r="L479" i="27"/>
  <c r="N2290" i="27"/>
  <c r="O2287" i="27"/>
  <c r="R243" i="27"/>
  <c r="O2291" i="27"/>
  <c r="N245" i="27"/>
  <c r="I755" i="27"/>
  <c r="E242" i="27"/>
  <c r="R3" i="27"/>
  <c r="G489" i="27"/>
  <c r="V481" i="27"/>
  <c r="F32" i="27"/>
  <c r="J246" i="27"/>
  <c r="P239" i="27"/>
  <c r="I480" i="27"/>
  <c r="E249" i="27"/>
  <c r="R241" i="27"/>
  <c r="N241" i="27"/>
  <c r="BD29" i="34"/>
  <c r="U502" i="27"/>
  <c r="A663" i="32"/>
  <c r="O2284" i="27"/>
  <c r="O480" i="27"/>
  <c r="L248" i="27"/>
  <c r="L253" i="27"/>
  <c r="R242" i="27"/>
  <c r="U479" i="27"/>
  <c r="K25" i="27"/>
  <c r="G487" i="27"/>
  <c r="O477" i="27"/>
  <c r="F31" i="27"/>
  <c r="P486" i="27"/>
  <c r="G252" i="27"/>
  <c r="N2296" i="27"/>
  <c r="R252" i="27"/>
  <c r="E67" i="33"/>
  <c r="O63" i="33"/>
  <c r="L478" i="27"/>
  <c r="P3" i="27"/>
  <c r="R504" i="27"/>
  <c r="L486" i="27"/>
  <c r="P252" i="27"/>
  <c r="Q503" i="27"/>
  <c r="BD32" i="34"/>
  <c r="O2282" i="27"/>
  <c r="U488" i="27"/>
  <c r="U482" i="27"/>
  <c r="L483" i="27"/>
  <c r="U485" i="27"/>
  <c r="A667" i="32"/>
  <c r="F241" i="27"/>
  <c r="N504" i="27"/>
  <c r="A669" i="32"/>
  <c r="P480" i="27"/>
  <c r="M253" i="27" a="1"/>
  <c r="O2297" i="27"/>
  <c r="H30" i="27"/>
  <c r="Q33" i="27"/>
  <c r="E21" i="27"/>
  <c r="A352" i="32"/>
  <c r="M2296" i="27"/>
  <c r="L242" i="27"/>
  <c r="M242" i="27" a="1"/>
  <c r="Q485" i="27"/>
  <c r="F246" i="27"/>
  <c r="AB63" i="33"/>
  <c r="J2281" i="27"/>
  <c r="O504" i="27"/>
  <c r="G243" i="27"/>
  <c r="I503" i="27"/>
  <c r="T483" i="27"/>
  <c r="G61" i="33"/>
  <c r="AK63" i="33"/>
  <c r="N476" i="27"/>
  <c r="T486" i="27"/>
  <c r="O2280" i="27"/>
  <c r="T502" i="27"/>
  <c r="N486" i="27"/>
  <c r="M2288" i="27"/>
  <c r="G251" i="27"/>
  <c r="N2294" i="27"/>
  <c r="J504" i="27"/>
  <c r="J3" i="27"/>
  <c r="R489" i="27"/>
  <c r="O483" i="27"/>
  <c r="L239" i="27"/>
  <c r="P483" i="27"/>
  <c r="O485" i="27"/>
  <c r="N247" i="27"/>
  <c r="F23" i="27"/>
  <c r="O2295" i="27"/>
  <c r="P251" i="27"/>
  <c r="A661" i="32"/>
  <c r="H27" i="27"/>
  <c r="F504" i="27"/>
  <c r="L67" i="33"/>
  <c r="Q478" i="27"/>
  <c r="O2293" i="27"/>
  <c r="H33" i="27"/>
  <c r="M2277" i="27"/>
  <c r="R246" i="27"/>
  <c r="K27" i="27"/>
  <c r="N2282" i="27"/>
  <c r="G479" i="27"/>
  <c r="E26" i="27"/>
  <c r="J33" i="27"/>
  <c r="K21" i="27"/>
  <c r="T481" i="27"/>
  <c r="K31" i="27"/>
  <c r="N2299" i="27"/>
  <c r="A60" i="32"/>
  <c r="H20" i="27"/>
  <c r="A58" i="32"/>
  <c r="H223" i="27"/>
  <c r="Q3" i="27"/>
  <c r="BC32" i="34"/>
  <c r="H67" i="33"/>
  <c r="N2287" i="27"/>
  <c r="F239" i="27"/>
  <c r="K22" i="27"/>
  <c r="U489" i="27"/>
  <c r="R503" i="27"/>
  <c r="R247" i="27"/>
  <c r="Q483" i="27"/>
  <c r="R490" i="27"/>
  <c r="E253" i="27"/>
  <c r="N251" i="27"/>
  <c r="O2279" i="27"/>
  <c r="E246" i="27"/>
  <c r="M67" i="33"/>
  <c r="P476" i="27"/>
  <c r="T485" i="27"/>
  <c r="G485" i="27"/>
  <c r="V504" i="27"/>
  <c r="Q482" i="27"/>
  <c r="P241" i="27"/>
  <c r="V488" i="27"/>
  <c r="P240" i="27"/>
  <c r="L240" i="27"/>
  <c r="O2289" i="27"/>
  <c r="AH63" i="33"/>
  <c r="V485" i="27"/>
  <c r="R483" i="27"/>
  <c r="M2289" i="27"/>
  <c r="R485" i="27"/>
  <c r="M2285" i="27"/>
  <c r="F247" i="27"/>
  <c r="BD65" i="33"/>
  <c r="P25" i="27"/>
  <c r="G242" i="27"/>
  <c r="H22" i="27"/>
  <c r="BC31" i="34"/>
  <c r="M244" i="27" a="1"/>
  <c r="N2285" i="27"/>
  <c r="L249" i="27"/>
  <c r="I478" i="27"/>
  <c r="N2298" i="27"/>
  <c r="P488" i="27"/>
  <c r="O482" i="27"/>
  <c r="BC29" i="34"/>
  <c r="A54" i="32"/>
  <c r="E20" i="27"/>
  <c r="M252" i="27" a="1"/>
  <c r="P243" i="27"/>
  <c r="O2299" i="27"/>
  <c r="E247" i="27"/>
  <c r="F249" i="27"/>
  <c r="N2293" i="27"/>
  <c r="BD67" i="33"/>
  <c r="N2281" i="27"/>
  <c r="R486" i="27"/>
  <c r="A665" i="32"/>
  <c r="O64" i="33"/>
  <c r="M243" i="27" a="1"/>
  <c r="Q32" i="27"/>
  <c r="K26" i="27"/>
  <c r="A322" i="32"/>
  <c r="I484" i="27"/>
  <c r="N487" i="27"/>
  <c r="K445" i="27"/>
  <c r="V478" i="27"/>
  <c r="G244" i="27"/>
  <c r="G503" i="27"/>
  <c r="J252" i="27"/>
  <c r="K20" i="27"/>
  <c r="T487" i="27"/>
  <c r="J249" i="27"/>
  <c r="Q502" i="27"/>
  <c r="K28" i="27"/>
  <c r="AK65" i="33"/>
  <c r="V476" i="27"/>
  <c r="N2278" i="27"/>
  <c r="G502" i="27"/>
  <c r="A364" i="32"/>
  <c r="J243" i="27"/>
  <c r="R239" i="27"/>
  <c r="N249" i="27"/>
  <c r="O479" i="27"/>
  <c r="I483" i="27"/>
  <c r="AE63" i="33"/>
  <c r="E30" i="27"/>
  <c r="M2298" i="27"/>
  <c r="R32" i="27"/>
  <c r="O2294" i="27"/>
  <c r="R480" i="27"/>
  <c r="N243" i="27"/>
  <c r="G478" i="27"/>
  <c r="G246" i="27"/>
  <c r="O2285" i="27"/>
  <c r="F67" i="33"/>
  <c r="R482" i="27"/>
  <c r="F252" i="27"/>
  <c r="H32" i="27"/>
  <c r="P244" i="27"/>
  <c r="U487" i="27"/>
  <c r="N503" i="27"/>
  <c r="F25" i="27"/>
  <c r="L19" i="27"/>
  <c r="N67" i="33"/>
  <c r="K755" i="27"/>
  <c r="Q476" i="27"/>
  <c r="M2282" i="27"/>
  <c r="Q486" i="27"/>
  <c r="F503" i="27"/>
  <c r="P504" i="27"/>
  <c r="R253" i="27"/>
  <c r="O66" i="33"/>
  <c r="P20" i="27"/>
  <c r="V480" i="27"/>
  <c r="T476" i="27"/>
  <c r="R476" i="27"/>
  <c r="Q504" i="27"/>
  <c r="F19" i="27"/>
  <c r="N2280" i="27"/>
  <c r="N483" i="27"/>
  <c r="O2283" i="27"/>
  <c r="A671" i="32"/>
  <c r="G484" i="27"/>
  <c r="P29" i="27"/>
  <c r="Q487" i="27"/>
  <c r="I489" i="27"/>
  <c r="BD31" i="34"/>
  <c r="B67" i="33"/>
  <c r="V484" i="27"/>
  <c r="R251" i="27"/>
  <c r="J251" i="27"/>
  <c r="Q223" i="27"/>
  <c r="V503" i="27"/>
  <c r="AE65" i="33"/>
  <c r="U483" i="27"/>
  <c r="Q489" i="27"/>
  <c r="E22" i="27"/>
  <c r="P19" i="27"/>
  <c r="U503" i="27"/>
  <c r="P482" i="27"/>
  <c r="V502" i="27"/>
  <c r="D67" i="33"/>
  <c r="P502" i="27"/>
  <c r="E32" i="27"/>
  <c r="K30" i="27"/>
  <c r="R245" i="27"/>
  <c r="M2297" i="27"/>
  <c r="E29" i="27"/>
  <c r="G482" i="27"/>
  <c r="G476" i="27"/>
  <c r="E33" i="27"/>
  <c r="E241" i="27"/>
  <c r="P24" i="27"/>
  <c r="N2284" i="27"/>
  <c r="H31" i="27"/>
  <c r="H29" i="27"/>
  <c r="F243" i="27"/>
  <c r="I477" i="27"/>
  <c r="G241" i="27"/>
  <c r="L489" i="27"/>
  <c r="M2294" i="27"/>
  <c r="P249" i="27"/>
  <c r="Q480" i="27"/>
  <c r="R484" i="27"/>
  <c r="O2288" i="27"/>
  <c r="J240" i="27"/>
  <c r="O2281" i="27"/>
  <c r="R244" i="27"/>
  <c r="M2281" i="27"/>
  <c r="N242" i="27"/>
  <c r="Q481" i="27"/>
  <c r="T482" i="27"/>
  <c r="U504" i="27"/>
  <c r="V486" i="27"/>
  <c r="O502" i="27"/>
  <c r="L241" i="27"/>
  <c r="P31" i="27"/>
  <c r="F245" i="27"/>
  <c r="P479" i="27"/>
  <c r="G486" i="27"/>
  <c r="T489" i="27"/>
  <c r="Q477" i="27"/>
  <c r="T504" i="27"/>
  <c r="A56" i="32"/>
  <c r="P503" i="27"/>
  <c r="P246" i="27"/>
  <c r="F21" i="27"/>
  <c r="I502" i="27"/>
  <c r="U477" i="27"/>
  <c r="K29" i="27"/>
  <c r="M2293" i="27"/>
  <c r="G3" i="27"/>
  <c r="F242" i="27"/>
  <c r="M504" i="27"/>
  <c r="E240" i="27"/>
  <c r="M2299" i="27"/>
  <c r="P26" i="27"/>
  <c r="O476" i="27"/>
  <c r="P21" i="27"/>
  <c r="L247" i="27"/>
  <c r="BC30" i="34"/>
  <c r="H19" i="27"/>
  <c r="I479" i="27"/>
  <c r="V483" i="27"/>
  <c r="J754" i="27"/>
  <c r="L252" i="27"/>
  <c r="L480" i="27"/>
  <c r="F33" i="27"/>
  <c r="M246" i="27" a="1"/>
  <c r="M245" i="27" a="1"/>
  <c r="N2283" i="27"/>
  <c r="F68" i="33"/>
  <c r="Y63" i="33"/>
  <c r="M251" i="27" a="1"/>
  <c r="N246" i="27"/>
  <c r="L246" i="27"/>
  <c r="AM67" i="33"/>
  <c r="V490" i="27"/>
  <c r="K33" i="27"/>
  <c r="O486" i="27"/>
  <c r="O484" i="27"/>
  <c r="A52" i="32"/>
  <c r="M2295" i="27"/>
  <c r="G239" i="27"/>
  <c r="F29" i="27"/>
  <c r="R479" i="27"/>
  <c r="M247" i="27" a="1"/>
  <c r="AN67" i="33"/>
  <c r="N478" i="27"/>
  <c r="O2290" i="27"/>
  <c r="T477" i="27"/>
  <c r="R248" i="27"/>
  <c r="N2292" i="27"/>
  <c r="I486" i="27"/>
  <c r="P247" i="27"/>
  <c r="N239" i="27"/>
  <c r="AO67" i="33"/>
  <c r="M2280" i="27"/>
  <c r="J245" i="27"/>
  <c r="O490" i="27"/>
  <c r="F20" i="27"/>
  <c r="T479" i="27"/>
  <c r="E31" i="27"/>
  <c r="U486" i="27"/>
  <c r="K23" i="27"/>
  <c r="N482" i="27"/>
  <c r="P33" i="27"/>
  <c r="P32" i="27"/>
  <c r="P248" i="27"/>
  <c r="K504" i="27"/>
  <c r="P487" i="27"/>
  <c r="L502" i="27"/>
  <c r="E19" i="27"/>
  <c r="J503" i="27"/>
  <c r="N490" i="27"/>
  <c r="N253" i="27"/>
  <c r="O2292" i="27"/>
  <c r="R249" i="27"/>
  <c r="A366" i="32"/>
  <c r="U478" i="27"/>
  <c r="E252" i="27"/>
  <c r="N481" i="27"/>
  <c r="N2277" i="27"/>
  <c r="M2287" i="27"/>
  <c r="U484" i="27"/>
  <c r="A372" i="32"/>
  <c r="I504" i="27"/>
  <c r="A50" i="32"/>
  <c r="P490" i="27"/>
  <c r="M2292" i="27"/>
  <c r="O503" i="27"/>
  <c r="N240" i="27"/>
  <c r="R502" i="27"/>
  <c r="I487" i="27"/>
  <c r="R487" i="27"/>
  <c r="O2296" i="27"/>
  <c r="E251" i="27"/>
  <c r="E27" i="27"/>
  <c r="P30" i="27"/>
  <c r="P242" i="27"/>
  <c r="N2289" i="27"/>
  <c r="C67" i="33"/>
  <c r="H21" i="27"/>
  <c r="T480" i="27"/>
  <c r="R240" i="27"/>
  <c r="P489" i="27"/>
  <c r="Q488" i="27"/>
  <c r="P253" i="27"/>
  <c r="M2283" i="27"/>
  <c r="V487" i="27"/>
  <c r="L484" i="27"/>
  <c r="N2279" i="27"/>
  <c r="N485" i="27"/>
  <c r="G247" i="27"/>
  <c r="V479" i="27"/>
  <c r="O2298" i="27"/>
  <c r="H25" i="27"/>
  <c r="I476" i="27"/>
  <c r="K67" i="33"/>
  <c r="A38" i="32"/>
  <c r="P27" i="27"/>
  <c r="U480" i="27"/>
  <c r="M2279" i="27"/>
  <c r="M2284" i="27"/>
  <c r="V482" i="27"/>
  <c r="R33" i="27"/>
  <c r="AP67" i="33"/>
  <c r="U490" i="27"/>
  <c r="F26" i="27"/>
  <c r="L503" i="27"/>
  <c r="P477" i="27"/>
  <c r="M2286" i="27"/>
  <c r="F27" i="27"/>
  <c r="I67" i="33"/>
  <c r="E23" i="27"/>
  <c r="N484" i="27"/>
  <c r="K19" i="27"/>
  <c r="F253" i="27"/>
  <c r="E245" i="27"/>
  <c r="M241" i="27" a="1"/>
  <c r="I482" i="27"/>
  <c r="N489" i="27"/>
  <c r="K32" i="27"/>
  <c r="F24" i="27"/>
  <c r="F22" i="27"/>
  <c r="AB65" i="33"/>
  <c r="Q490" i="27"/>
  <c r="O481" i="27"/>
  <c r="P478" i="27"/>
  <c r="L476" i="27"/>
  <c r="P485" i="27"/>
  <c r="M248" i="27" a="1"/>
  <c r="G483" i="27"/>
  <c r="N2297" i="27"/>
  <c r="G249" i="27"/>
  <c r="V489" i="27"/>
  <c r="L487" i="27"/>
  <c r="J239" i="27"/>
  <c r="AH65" i="33"/>
  <c r="N2295" i="27"/>
  <c r="G490" i="27"/>
  <c r="M2291" i="27"/>
  <c r="N2288" i="27"/>
  <c r="E239" i="27"/>
  <c r="L482" i="27"/>
  <c r="G33" i="27"/>
  <c r="U481" i="27"/>
  <c r="T484" i="27"/>
  <c r="G504" i="27"/>
  <c r="G480" i="27"/>
  <c r="Y65" i="33"/>
  <c r="Q484" i="27"/>
  <c r="N2291" i="27"/>
  <c r="F240" i="27"/>
  <c r="G245" i="27"/>
  <c r="O2277" i="27"/>
  <c r="M249" i="27" a="1"/>
  <c r="G240" i="27"/>
  <c r="L3" i="27"/>
  <c r="L477" i="27"/>
  <c r="Q479" i="27"/>
  <c r="P22" i="27"/>
  <c r="O2286" i="27"/>
  <c r="M2278" i="27"/>
  <c r="P484" i="27"/>
  <c r="L490" i="27"/>
  <c r="O478" i="27"/>
  <c r="G477" i="27"/>
  <c r="R477" i="27"/>
  <c r="I490" i="27"/>
  <c r="P481" i="27"/>
  <c r="L485" i="27"/>
  <c r="U476" i="27"/>
  <c r="N2286" i="27"/>
  <c r="T490" i="27"/>
  <c r="H23" i="27"/>
  <c r="T478" i="27"/>
  <c r="L755" i="27"/>
  <c r="F251" i="27"/>
  <c r="L245" i="27"/>
  <c r="V477" i="27"/>
  <c r="T488" i="27"/>
  <c r="G32" i="27"/>
  <c r="R478" i="27"/>
  <c r="N252" i="27"/>
  <c r="F30" i="27"/>
  <c r="F244" i="27"/>
  <c r="N477" i="27"/>
  <c r="F2907" i="27" l="1"/>
  <c r="F2381" i="27"/>
  <c r="F2382" i="27" s="1"/>
  <c r="F2383" i="27" s="1"/>
  <c r="F2384" i="27" s="1"/>
  <c r="F2385" i="27" s="1"/>
  <c r="F2380" i="27"/>
  <c r="I2015" i="27"/>
  <c r="I2014" i="27"/>
  <c r="I2012" i="27"/>
  <c r="I2013" i="27"/>
  <c r="H2014" i="27"/>
  <c r="H2013" i="27"/>
  <c r="H2012" i="27"/>
  <c r="H2015" i="27"/>
  <c r="G2015" i="27"/>
  <c r="G2012" i="27"/>
  <c r="G2014" i="27"/>
  <c r="G2013" i="27"/>
  <c r="O1034" i="27"/>
  <c r="O1033" i="27"/>
  <c r="O1035" i="27"/>
  <c r="N1035" i="27"/>
  <c r="N1034" i="27"/>
  <c r="N1033" i="27"/>
  <c r="L1030" i="27"/>
  <c r="L1029" i="27"/>
  <c r="L1035" i="27"/>
  <c r="L1034" i="27"/>
  <c r="L1033" i="27"/>
  <c r="L1031" i="27"/>
  <c r="J1035" i="27"/>
  <c r="J1033" i="27"/>
  <c r="J1034" i="27"/>
  <c r="J1029" i="27"/>
  <c r="J1031" i="27"/>
  <c r="J1030" i="27"/>
  <c r="I1033" i="27"/>
  <c r="I1034" i="27"/>
  <c r="I1035" i="27"/>
  <c r="I1029" i="27"/>
  <c r="I1030" i="27"/>
  <c r="I1031" i="27"/>
  <c r="H1035" i="27"/>
  <c r="H1033" i="27"/>
  <c r="H1034" i="27"/>
  <c r="H1030" i="27"/>
  <c r="H1029" i="27"/>
  <c r="H1031" i="27"/>
  <c r="G1030" i="27"/>
  <c r="G1035" i="27"/>
  <c r="G1033" i="27"/>
  <c r="G1034" i="27"/>
  <c r="G1029" i="27"/>
  <c r="G1031" i="27"/>
  <c r="L1333" i="27"/>
  <c r="L1340" i="27"/>
  <c r="L1338" i="27"/>
  <c r="L1336" i="27"/>
  <c r="L1334" i="27"/>
  <c r="L1337" i="27"/>
  <c r="L1335" i="27"/>
  <c r="L1339" i="27"/>
  <c r="I1340" i="27"/>
  <c r="I1337" i="27"/>
  <c r="I1333" i="27"/>
  <c r="I1334" i="27"/>
  <c r="I1339" i="27"/>
  <c r="I1335" i="27"/>
  <c r="I1338" i="27"/>
  <c r="H1333" i="27"/>
  <c r="H1334" i="27"/>
  <c r="H1335" i="27"/>
  <c r="H1339" i="27"/>
  <c r="H1338" i="27"/>
  <c r="H1337" i="27"/>
  <c r="H1340" i="27"/>
  <c r="G1339" i="27"/>
  <c r="G1338" i="27"/>
  <c r="G1337" i="27"/>
  <c r="G1334" i="27"/>
  <c r="G1340" i="27"/>
  <c r="G1333" i="27"/>
  <c r="G1335" i="27"/>
  <c r="H756" i="27"/>
  <c r="H414" i="27"/>
  <c r="H194" i="27"/>
  <c r="M245" i="27"/>
  <c r="M240" i="27"/>
  <c r="M242" i="27"/>
  <c r="M247" i="27"/>
  <c r="M249" i="27"/>
  <c r="M246" i="27"/>
  <c r="M251" i="27"/>
  <c r="M244" i="27"/>
  <c r="M253" i="27"/>
  <c r="M252" i="27"/>
  <c r="M243" i="27"/>
  <c r="M248" i="27"/>
  <c r="M241" i="27"/>
  <c r="AG37" i="30"/>
  <c r="AE37" i="30" a="1"/>
  <c r="AE37" i="30" s="1"/>
  <c r="H37" i="30" s="1"/>
  <c r="AF37" i="30" s="1"/>
  <c r="C290" i="32" s="1"/>
  <c r="AH37" i="30" a="1"/>
  <c r="AH37" i="30" s="1"/>
  <c r="AU13" i="33"/>
  <c r="C735" i="32" s="1"/>
  <c r="AU29" i="33"/>
  <c r="C1045" i="32" s="1"/>
  <c r="AU19" i="33"/>
  <c r="C847" i="32" s="1"/>
  <c r="W847" i="32" s="1"/>
  <c r="K847" i="32" s="1"/>
  <c r="AU27" i="33"/>
  <c r="C991" i="32" s="1"/>
  <c r="AE35" i="30" a="1"/>
  <c r="AE35" i="30" s="1"/>
  <c r="H35" i="30" s="1"/>
  <c r="AF35" i="30" s="1"/>
  <c r="C280" i="32" s="1"/>
  <c r="AH35" i="30" a="1"/>
  <c r="AH35" i="30" s="1"/>
  <c r="AG35" i="30"/>
  <c r="AS30" i="34"/>
  <c r="AU17" i="33"/>
  <c r="C791" i="32" s="1"/>
  <c r="W791" i="32" s="1"/>
  <c r="K791" i="32" s="1"/>
  <c r="O108" i="24"/>
  <c r="AU11" i="33"/>
  <c r="C681" i="32" s="1"/>
  <c r="O124" i="24"/>
  <c r="AU31" i="33"/>
  <c r="C1061" i="32" s="1"/>
  <c r="AU15" i="33"/>
  <c r="C767" i="32" s="1"/>
  <c r="AU37" i="33"/>
  <c r="C1211" i="32" s="1"/>
  <c r="O128" i="24"/>
  <c r="O112" i="24"/>
  <c r="O114" i="24"/>
  <c r="AS29" i="34"/>
  <c r="AU61" i="33"/>
  <c r="C1667" i="32" s="1"/>
  <c r="O122" i="24"/>
  <c r="AU65" i="33"/>
  <c r="C1773" i="32" s="1"/>
  <c r="AV65" i="33"/>
  <c r="AW65" i="33" s="1"/>
  <c r="AR65" i="33" a="1"/>
  <c r="AR65" i="33" s="1"/>
  <c r="AS65" i="33" s="1"/>
  <c r="AQ65" i="33" a="1"/>
  <c r="AQ65" i="33" s="1"/>
  <c r="J65" i="33" s="1"/>
  <c r="G177" i="24" s="1"/>
  <c r="O134" i="24"/>
  <c r="O120" i="24"/>
  <c r="AU35" i="33"/>
  <c r="C1151" i="32" s="1"/>
  <c r="AR67" i="33" a="1"/>
  <c r="AR67" i="33" s="1"/>
  <c r="AT67" i="33" s="1"/>
  <c r="AQ67" i="33" a="1"/>
  <c r="AQ67" i="33" s="1"/>
  <c r="J67" i="33" s="1"/>
  <c r="AU67" i="33"/>
  <c r="C1785" i="32" s="1"/>
  <c r="AV67" i="33"/>
  <c r="AX67" i="33" s="1"/>
  <c r="AU23" i="33"/>
  <c r="C931" i="32" s="1"/>
  <c r="AZ65" i="33"/>
  <c r="O110" i="24"/>
  <c r="O136" i="24"/>
  <c r="O116" i="24"/>
  <c r="AU25" i="33"/>
  <c r="C959" i="32" s="1"/>
  <c r="AR63" i="33" a="1"/>
  <c r="AR63" i="33" s="1"/>
  <c r="AT63" i="33" s="1"/>
  <c r="AU63" i="33"/>
  <c r="C1721" i="32" s="1"/>
  <c r="AQ63" i="33" a="1"/>
  <c r="AQ63" i="33" s="1"/>
  <c r="J63" i="33" s="1"/>
  <c r="AV63" i="33"/>
  <c r="AX63" i="33" s="1"/>
  <c r="AZ67" i="33"/>
  <c r="AU33" i="33"/>
  <c r="C1103" i="32" s="1"/>
  <c r="AU21" i="33"/>
  <c r="C863" i="32" s="1"/>
  <c r="O132" i="24"/>
  <c r="C1779" i="32"/>
  <c r="C1777" i="32"/>
  <c r="AS31" i="34"/>
  <c r="U673" i="32"/>
  <c r="U62" i="32"/>
  <c r="U374" i="32"/>
  <c r="AY33" i="34"/>
  <c r="K29" i="1"/>
  <c r="A8" i="33"/>
  <c r="B1" i="32"/>
  <c r="C9" i="32"/>
  <c r="B315" i="32"/>
  <c r="A50" i="24"/>
  <c r="A213" i="24"/>
  <c r="K148" i="24"/>
  <c r="A1" i="24"/>
  <c r="A120" i="1"/>
  <c r="H148" i="24"/>
  <c r="C5" i="32"/>
  <c r="D5" i="32"/>
  <c r="A8" i="31"/>
  <c r="A8" i="34"/>
  <c r="H220" i="24"/>
  <c r="A1" i="31"/>
  <c r="J148" i="24"/>
  <c r="E5" i="32"/>
  <c r="C315" i="32"/>
  <c r="A1" i="34"/>
  <c r="L148" i="24"/>
  <c r="I220" i="24"/>
  <c r="A1" i="33"/>
  <c r="D220" i="24"/>
  <c r="E13" i="1"/>
  <c r="T13" i="1"/>
  <c r="A29" i="1"/>
  <c r="B9" i="32"/>
  <c r="T45" i="1"/>
  <c r="A21" i="24"/>
  <c r="A18" i="1"/>
  <c r="E29" i="1"/>
  <c r="E58" i="1"/>
  <c r="C8" i="31"/>
  <c r="C220" i="24"/>
  <c r="E76" i="1"/>
  <c r="A6" i="1"/>
  <c r="A7" i="1"/>
  <c r="A8" i="1"/>
  <c r="A9" i="1"/>
  <c r="A10" i="1"/>
  <c r="A11" i="1"/>
  <c r="A5" i="30"/>
  <c r="A1" i="1"/>
  <c r="Q244" i="27"/>
  <c r="Q249" i="27"/>
  <c r="G318" i="32"/>
  <c r="G653" i="32"/>
  <c r="A62" i="32"/>
  <c r="I756" i="27"/>
  <c r="Q246" i="27"/>
  <c r="E29" i="31"/>
  <c r="H241" i="27"/>
  <c r="G637" i="32"/>
  <c r="Q505" i="27"/>
  <c r="E23" i="30"/>
  <c r="G671" i="32"/>
  <c r="G360" i="32"/>
  <c r="H240" i="27"/>
  <c r="Q247" i="27"/>
  <c r="Q28" i="27"/>
  <c r="E17" i="30"/>
  <c r="G655" i="32"/>
  <c r="I505" i="27"/>
  <c r="O2300" i="27"/>
  <c r="G647" i="32"/>
  <c r="G639" i="32"/>
  <c r="E33" i="31"/>
  <c r="G46" i="32"/>
  <c r="G22" i="32"/>
  <c r="H252" i="27"/>
  <c r="E33" i="30"/>
  <c r="L756" i="27"/>
  <c r="N2300" i="27"/>
  <c r="G366" i="32"/>
  <c r="Q245" i="27"/>
  <c r="G659" i="32"/>
  <c r="H245" i="27"/>
  <c r="O239" i="27"/>
  <c r="G643" i="32"/>
  <c r="G370" i="32"/>
  <c r="G633" i="32"/>
  <c r="G324" i="32"/>
  <c r="Q243" i="27"/>
  <c r="A374" i="32"/>
  <c r="H246" i="27"/>
  <c r="G505" i="27"/>
  <c r="P505" i="27"/>
  <c r="G36" i="32"/>
  <c r="G348" i="32"/>
  <c r="H242" i="27"/>
  <c r="G65" i="33"/>
  <c r="G50" i="32"/>
  <c r="G42" i="32"/>
  <c r="G340" i="32"/>
  <c r="G346" i="32"/>
  <c r="G52" i="32"/>
  <c r="G657" i="32"/>
  <c r="M2300" i="27"/>
  <c r="Q253" i="27"/>
  <c r="E9" i="30"/>
  <c r="E31" i="30"/>
  <c r="H247" i="27"/>
  <c r="G10" i="32"/>
  <c r="M32" i="27"/>
  <c r="E23" i="31"/>
  <c r="M33" i="27"/>
  <c r="H243" i="27"/>
  <c r="V505" i="27"/>
  <c r="G32" i="32"/>
  <c r="O505" i="27"/>
  <c r="L492" i="27"/>
  <c r="G54" i="32"/>
  <c r="G625" i="32"/>
  <c r="Q240" i="27"/>
  <c r="Q242" i="27"/>
  <c r="H253" i="27"/>
  <c r="G14" i="32"/>
  <c r="H28" i="27"/>
  <c r="Q241" i="27"/>
  <c r="G58" i="32"/>
  <c r="K505" i="27"/>
  <c r="H248" i="27"/>
  <c r="G356" i="32"/>
  <c r="G627" i="32"/>
  <c r="K3" i="27"/>
  <c r="BD33" i="34"/>
  <c r="G44" i="32"/>
  <c r="G320" i="32"/>
  <c r="G336" i="32"/>
  <c r="G368" i="32"/>
  <c r="E17" i="31"/>
  <c r="S505" i="27"/>
  <c r="E35" i="31"/>
  <c r="G364" i="32"/>
  <c r="G26" i="32"/>
  <c r="E13" i="31"/>
  <c r="G344" i="32"/>
  <c r="Q239" i="27"/>
  <c r="G663" i="32"/>
  <c r="E21" i="31"/>
  <c r="G661" i="32"/>
  <c r="E35" i="30"/>
  <c r="E15" i="31"/>
  <c r="G34" i="32"/>
  <c r="BC33" i="34"/>
  <c r="G24" i="32"/>
  <c r="U505" i="27"/>
  <c r="G358" i="32"/>
  <c r="M505" i="27"/>
  <c r="G60" i="32"/>
  <c r="D502" i="27"/>
  <c r="E29" i="30"/>
  <c r="A673" i="32"/>
  <c r="G651" i="32"/>
  <c r="F505" i="27"/>
  <c r="G326" i="32"/>
  <c r="G635" i="32"/>
  <c r="E25" i="31"/>
  <c r="G30" i="32"/>
  <c r="E25" i="30"/>
  <c r="G645" i="32"/>
  <c r="G631" i="32"/>
  <c r="R505" i="27"/>
  <c r="G667" i="32"/>
  <c r="G328" i="32"/>
  <c r="G354" i="32"/>
  <c r="J755" i="27"/>
  <c r="N505" i="27"/>
  <c r="G48" i="32"/>
  <c r="G372" i="32"/>
  <c r="G332" i="32"/>
  <c r="G669" i="32"/>
  <c r="Q252" i="27"/>
  <c r="G665" i="32"/>
  <c r="Q251" i="27"/>
  <c r="E37" i="31"/>
  <c r="J505" i="27"/>
  <c r="G20" i="32"/>
  <c r="E37" i="30"/>
  <c r="G350" i="32"/>
  <c r="E21" i="30"/>
  <c r="H239" i="27"/>
  <c r="T505" i="27"/>
  <c r="G649" i="32"/>
  <c r="G362" i="32"/>
  <c r="G629" i="32"/>
  <c r="K756" i="27"/>
  <c r="H251" i="27"/>
  <c r="G12" i="32"/>
  <c r="G28" i="32"/>
  <c r="G67" i="33"/>
  <c r="G623" i="32"/>
  <c r="G56" i="32"/>
  <c r="G40" i="32"/>
  <c r="H249" i="27"/>
  <c r="G338" i="32"/>
  <c r="G334" i="32"/>
  <c r="O19" i="27"/>
  <c r="G63" i="33"/>
  <c r="L505" i="27"/>
  <c r="G316" i="32"/>
  <c r="G342" i="32"/>
  <c r="E15" i="30"/>
  <c r="E11" i="30"/>
  <c r="Q248" i="27"/>
  <c r="G621" i="32"/>
  <c r="G18" i="32"/>
  <c r="E571" i="27" l="1"/>
  <c r="E570" i="27"/>
  <c r="E569" i="27"/>
  <c r="E572" i="27"/>
  <c r="F2908" i="27"/>
  <c r="F2909" i="27"/>
  <c r="F2386" i="27"/>
  <c r="F2387" i="27"/>
  <c r="F2388" i="27" s="1"/>
  <c r="F2389" i="27" s="1"/>
  <c r="F2390" i="27" s="1"/>
  <c r="F2391" i="27" s="1"/>
  <c r="E2012" i="27"/>
  <c r="E2013" i="27"/>
  <c r="E2014" i="27"/>
  <c r="E2015" i="27"/>
  <c r="E1034" i="27"/>
  <c r="E1031" i="27"/>
  <c r="E1035" i="27"/>
  <c r="E1030" i="27"/>
  <c r="E1029" i="27"/>
  <c r="E1033" i="27"/>
  <c r="E1335" i="27"/>
  <c r="E1337" i="27"/>
  <c r="E1333" i="27"/>
  <c r="E1338" i="27"/>
  <c r="E1340" i="27"/>
  <c r="E1334" i="27"/>
  <c r="E1339" i="27"/>
  <c r="A755" i="27"/>
  <c r="H758" i="27"/>
  <c r="H757" i="27"/>
  <c r="H415" i="27"/>
  <c r="H416" i="27"/>
  <c r="H196" i="27"/>
  <c r="H195" i="27"/>
  <c r="C993" i="32"/>
  <c r="C983" i="32"/>
  <c r="W983" i="32" s="1"/>
  <c r="K983" i="32" s="1"/>
  <c r="C719" i="32"/>
  <c r="C1803" i="32"/>
  <c r="Q1803" i="32" s="1"/>
  <c r="C1185" i="32"/>
  <c r="W1185" i="32" s="1"/>
  <c r="K1185" i="32" s="1"/>
  <c r="C1009" i="32"/>
  <c r="W1009" i="32" s="1"/>
  <c r="K1009" i="32" s="1"/>
  <c r="C1017" i="32"/>
  <c r="C1789" i="32"/>
  <c r="W1789" i="32" s="1"/>
  <c r="K1789" i="32" s="1"/>
  <c r="C1059" i="32"/>
  <c r="C711" i="32"/>
  <c r="W711" i="32" s="1"/>
  <c r="K711" i="32" s="1"/>
  <c r="C703" i="32"/>
  <c r="W703" i="32" s="1"/>
  <c r="K703" i="32" s="1"/>
  <c r="C1811" i="32"/>
  <c r="W1811" i="32" s="1"/>
  <c r="K1811" i="32" s="1"/>
  <c r="C1047" i="32"/>
  <c r="W1047" i="32" s="1"/>
  <c r="K1047" i="32" s="1"/>
  <c r="AY65" i="33"/>
  <c r="C1795" i="32"/>
  <c r="W1795" i="32" s="1"/>
  <c r="K1795" i="32" s="1"/>
  <c r="C1817" i="32"/>
  <c r="Q1817" i="32" s="1"/>
  <c r="C707" i="32"/>
  <c r="C705" i="32"/>
  <c r="W705" i="32" s="1"/>
  <c r="K705" i="32" s="1"/>
  <c r="C731" i="32"/>
  <c r="W731" i="32" s="1"/>
  <c r="K731" i="32" s="1"/>
  <c r="C701" i="32"/>
  <c r="W701" i="32" s="1"/>
  <c r="K701" i="32" s="1"/>
  <c r="C805" i="32"/>
  <c r="W805" i="32" s="1"/>
  <c r="K805" i="32" s="1"/>
  <c r="C713" i="32"/>
  <c r="W713" i="32" s="1"/>
  <c r="K713" i="32" s="1"/>
  <c r="C727" i="32"/>
  <c r="W727" i="32" s="1"/>
  <c r="K727" i="32" s="1"/>
  <c r="C809" i="32"/>
  <c r="W809" i="32" s="1"/>
  <c r="K809" i="32" s="1"/>
  <c r="C737" i="32"/>
  <c r="C1019" i="32"/>
  <c r="C985" i="32"/>
  <c r="W985" i="32" s="1"/>
  <c r="K985" i="32" s="1"/>
  <c r="C1003" i="32"/>
  <c r="W1003" i="32" s="1"/>
  <c r="K1003" i="32" s="1"/>
  <c r="C1011" i="32"/>
  <c r="C1015" i="32"/>
  <c r="W1015" i="32" s="1"/>
  <c r="K1015" i="32" s="1"/>
  <c r="C995" i="32"/>
  <c r="W995" i="32" s="1"/>
  <c r="K995" i="32" s="1"/>
  <c r="C989" i="32"/>
  <c r="W989" i="32" s="1"/>
  <c r="K989" i="32" s="1"/>
  <c r="C1013" i="32"/>
  <c r="W1013" i="32" s="1"/>
  <c r="K1013" i="32" s="1"/>
  <c r="C1197" i="32"/>
  <c r="W1197" i="32" s="1"/>
  <c r="K1197" i="32" s="1"/>
  <c r="C765" i="32"/>
  <c r="W765" i="32" s="1"/>
  <c r="K765" i="32" s="1"/>
  <c r="C799" i="32"/>
  <c r="W799" i="32" s="1"/>
  <c r="K799" i="32" s="1"/>
  <c r="C729" i="32"/>
  <c r="C717" i="32"/>
  <c r="W717" i="32" s="1"/>
  <c r="K717" i="32" s="1"/>
  <c r="C757" i="32"/>
  <c r="C807" i="32"/>
  <c r="W807" i="32" s="1"/>
  <c r="K807" i="32" s="1"/>
  <c r="C721" i="32"/>
  <c r="W721" i="32" s="1"/>
  <c r="K721" i="32" s="1"/>
  <c r="C739" i="32"/>
  <c r="W739" i="32" s="1"/>
  <c r="K739" i="32" s="1"/>
  <c r="C749" i="32"/>
  <c r="W749" i="32" s="1"/>
  <c r="K749" i="32" s="1"/>
  <c r="C811" i="32"/>
  <c r="W811" i="32" s="1"/>
  <c r="K811" i="32" s="1"/>
  <c r="C723" i="32"/>
  <c r="C751" i="32"/>
  <c r="W751" i="32" s="1"/>
  <c r="K751" i="32" s="1"/>
  <c r="C787" i="32"/>
  <c r="W787" i="32" s="1"/>
  <c r="K787" i="32" s="1"/>
  <c r="C733" i="32"/>
  <c r="W733" i="32" s="1"/>
  <c r="K733" i="32" s="1"/>
  <c r="C709" i="32"/>
  <c r="W709" i="32" s="1"/>
  <c r="K709" i="32" s="1"/>
  <c r="C745" i="32"/>
  <c r="C793" i="32"/>
  <c r="W793" i="32" s="1"/>
  <c r="K793" i="32" s="1"/>
  <c r="C725" i="32"/>
  <c r="W725" i="32" s="1"/>
  <c r="K725" i="32" s="1"/>
  <c r="C715" i="32"/>
  <c r="C763" i="32"/>
  <c r="C815" i="32"/>
  <c r="W815" i="32" s="1"/>
  <c r="K815" i="32" s="1"/>
  <c r="C1039" i="32"/>
  <c r="W1039" i="32" s="1"/>
  <c r="K1039" i="32" s="1"/>
  <c r="C1791" i="32"/>
  <c r="W1791" i="32" s="1"/>
  <c r="K1791" i="32" s="1"/>
  <c r="AX65" i="33"/>
  <c r="C1031" i="32"/>
  <c r="C1815" i="32"/>
  <c r="W1815" i="32" s="1"/>
  <c r="K1815" i="32" s="1"/>
  <c r="C1049" i="32"/>
  <c r="W1049" i="32" s="1"/>
  <c r="K1049" i="32" s="1"/>
  <c r="C1029" i="32"/>
  <c r="W1029" i="32" s="1"/>
  <c r="K1029" i="32" s="1"/>
  <c r="C761" i="32"/>
  <c r="W761" i="32" s="1"/>
  <c r="K761" i="32" s="1"/>
  <c r="C779" i="32"/>
  <c r="W779" i="32" s="1"/>
  <c r="K779" i="32" s="1"/>
  <c r="C753" i="32"/>
  <c r="C777" i="32"/>
  <c r="W777" i="32" s="1"/>
  <c r="K777" i="32" s="1"/>
  <c r="AW63" i="33"/>
  <c r="C981" i="32"/>
  <c r="W981" i="32" s="1"/>
  <c r="K981" i="32" s="1"/>
  <c r="C1007" i="32"/>
  <c r="C1079" i="32"/>
  <c r="W1079" i="32" s="1"/>
  <c r="K1079" i="32" s="1"/>
  <c r="C1001" i="32"/>
  <c r="W1001" i="32" s="1"/>
  <c r="K1001" i="32" s="1"/>
  <c r="C999" i="32"/>
  <c r="W999" i="32" s="1"/>
  <c r="K999" i="32" s="1"/>
  <c r="C987" i="32"/>
  <c r="W987" i="32" s="1"/>
  <c r="K987" i="32" s="1"/>
  <c r="C997" i="32"/>
  <c r="W997" i="32" s="1"/>
  <c r="K997" i="32" s="1"/>
  <c r="C1783" i="32"/>
  <c r="W1783" i="32" s="1"/>
  <c r="K1783" i="32" s="1"/>
  <c r="C1005" i="32"/>
  <c r="W1005" i="32" s="1"/>
  <c r="K1005" i="32" s="1"/>
  <c r="C775" i="32"/>
  <c r="C741" i="32"/>
  <c r="C1787" i="32"/>
  <c r="W1787" i="32" s="1"/>
  <c r="K1787" i="32" s="1"/>
  <c r="C1203" i="32"/>
  <c r="W1203" i="32" s="1"/>
  <c r="K1203" i="32" s="1"/>
  <c r="C1025" i="32"/>
  <c r="W1025" i="32" s="1"/>
  <c r="K1025" i="32" s="1"/>
  <c r="C755" i="32"/>
  <c r="W755" i="32" s="1"/>
  <c r="K755" i="32" s="1"/>
  <c r="C785" i="32"/>
  <c r="W785" i="32" s="1"/>
  <c r="K785" i="32" s="1"/>
  <c r="C817" i="32"/>
  <c r="W817" i="32" s="1"/>
  <c r="K817" i="32" s="1"/>
  <c r="C1809" i="32"/>
  <c r="W1809" i="32" s="1"/>
  <c r="K1809" i="32" s="1"/>
  <c r="C1183" i="32"/>
  <c r="W1183" i="32" s="1"/>
  <c r="K1183" i="32" s="1"/>
  <c r="C1033" i="32"/>
  <c r="W1033" i="32" s="1"/>
  <c r="K1033" i="32" s="1"/>
  <c r="C859" i="32"/>
  <c r="W859" i="32" s="1"/>
  <c r="K859" i="32" s="1"/>
  <c r="C759" i="32"/>
  <c r="W759" i="32" s="1"/>
  <c r="K759" i="32" s="1"/>
  <c r="C795" i="32"/>
  <c r="W795" i="32" s="1"/>
  <c r="K795" i="32" s="1"/>
  <c r="C819" i="32"/>
  <c r="W819" i="32" s="1"/>
  <c r="K819" i="32" s="1"/>
  <c r="C1801" i="32"/>
  <c r="W1801" i="32" s="1"/>
  <c r="K1801" i="32" s="1"/>
  <c r="C1213" i="32"/>
  <c r="W1213" i="32" s="1"/>
  <c r="K1213" i="32" s="1"/>
  <c r="C743" i="32"/>
  <c r="C769" i="32"/>
  <c r="W769" i="32" s="1"/>
  <c r="K769" i="32" s="1"/>
  <c r="C781" i="32"/>
  <c r="C797" i="32"/>
  <c r="W797" i="32" s="1"/>
  <c r="K797" i="32" s="1"/>
  <c r="C1819" i="32"/>
  <c r="W1819" i="32" s="1"/>
  <c r="K1819" i="32" s="1"/>
  <c r="C1793" i="32"/>
  <c r="Q1793" i="32" s="1"/>
  <c r="C1191" i="32"/>
  <c r="C1767" i="32"/>
  <c r="Q1767" i="32" s="1"/>
  <c r="C1201" i="32"/>
  <c r="W1201" i="32" s="1"/>
  <c r="K1201" i="32" s="1"/>
  <c r="C921" i="32"/>
  <c r="C1799" i="32"/>
  <c r="W1799" i="32" s="1"/>
  <c r="K1799" i="32" s="1"/>
  <c r="C1797" i="32"/>
  <c r="W1797" i="32" s="1"/>
  <c r="K1797" i="32" s="1"/>
  <c r="C831" i="32"/>
  <c r="W831" i="32" s="1"/>
  <c r="K831" i="32" s="1"/>
  <c r="C851" i="32"/>
  <c r="W851" i="32" s="1"/>
  <c r="K851" i="32" s="1"/>
  <c r="C1711" i="32"/>
  <c r="W1711" i="32" s="1"/>
  <c r="K1711" i="32" s="1"/>
  <c r="C1807" i="32"/>
  <c r="W1807" i="32" s="1"/>
  <c r="K1807" i="32" s="1"/>
  <c r="C1813" i="32"/>
  <c r="W1813" i="32" s="1"/>
  <c r="K1813" i="32" s="1"/>
  <c r="C1781" i="32"/>
  <c r="W1781" i="32" s="1"/>
  <c r="K1781" i="32" s="1"/>
  <c r="C1181" i="32"/>
  <c r="C1057" i="32"/>
  <c r="W1057" i="32" s="1"/>
  <c r="K1057" i="32" s="1"/>
  <c r="C835" i="32"/>
  <c r="W835" i="32" s="1"/>
  <c r="K835" i="32" s="1"/>
  <c r="C773" i="32"/>
  <c r="W773" i="32" s="1"/>
  <c r="K773" i="32" s="1"/>
  <c r="C747" i="32"/>
  <c r="W747" i="32" s="1"/>
  <c r="K747" i="32" s="1"/>
  <c r="C813" i="32"/>
  <c r="W813" i="32" s="1"/>
  <c r="K813" i="32" s="1"/>
  <c r="C789" i="32"/>
  <c r="W789" i="32" s="1"/>
  <c r="K789" i="32" s="1"/>
  <c r="C783" i="32"/>
  <c r="W783" i="32" s="1"/>
  <c r="K783" i="32" s="1"/>
  <c r="C1701" i="32"/>
  <c r="W1701" i="32" s="1"/>
  <c r="K1701" i="32" s="1"/>
  <c r="C1805" i="32"/>
  <c r="W1805" i="32" s="1"/>
  <c r="K1805" i="32" s="1"/>
  <c r="C1193" i="32"/>
  <c r="C1187" i="32"/>
  <c r="C1041" i="32"/>
  <c r="W1041" i="32" s="1"/>
  <c r="K1041" i="32" s="1"/>
  <c r="C833" i="32"/>
  <c r="W833" i="32" s="1"/>
  <c r="K833" i="32" s="1"/>
  <c r="C771" i="32"/>
  <c r="W771" i="32" s="1"/>
  <c r="K771" i="32" s="1"/>
  <c r="C801" i="32"/>
  <c r="W801" i="32" s="1"/>
  <c r="K801" i="32" s="1"/>
  <c r="C803" i="32"/>
  <c r="W803" i="32" s="1"/>
  <c r="K803" i="32" s="1"/>
  <c r="C1717" i="32"/>
  <c r="W1717" i="32" s="1"/>
  <c r="K1717" i="32" s="1"/>
  <c r="C1729" i="32"/>
  <c r="W1729" i="32" s="1"/>
  <c r="K1729" i="32" s="1"/>
  <c r="C1719" i="32"/>
  <c r="W1719" i="32" s="1"/>
  <c r="K1719" i="32" s="1"/>
  <c r="C1761" i="32"/>
  <c r="W1761" i="32" s="1"/>
  <c r="K1761" i="32" s="1"/>
  <c r="C1723" i="32"/>
  <c r="W1723" i="32" s="1"/>
  <c r="K1723" i="32" s="1"/>
  <c r="C1751" i="32"/>
  <c r="W1751" i="32" s="1"/>
  <c r="K1751" i="32" s="1"/>
  <c r="C1731" i="32"/>
  <c r="W1731" i="32" s="1"/>
  <c r="K1731" i="32" s="1"/>
  <c r="C1727" i="32"/>
  <c r="W1727" i="32" s="1"/>
  <c r="K1727" i="32" s="1"/>
  <c r="C947" i="32"/>
  <c r="W947" i="32" s="1"/>
  <c r="K947" i="32" s="1"/>
  <c r="C1775" i="32"/>
  <c r="W1775" i="32" s="1"/>
  <c r="K1775" i="32" s="1"/>
  <c r="C1715" i="32"/>
  <c r="W1715" i="32" s="1"/>
  <c r="K1715" i="32" s="1"/>
  <c r="C821" i="32"/>
  <c r="W821" i="32" s="1"/>
  <c r="K821" i="32" s="1"/>
  <c r="C1771" i="32"/>
  <c r="W1771" i="32" s="1"/>
  <c r="K1771" i="32" s="1"/>
  <c r="C685" i="32"/>
  <c r="W685" i="32" s="1"/>
  <c r="K685" i="32" s="1"/>
  <c r="C1725" i="32"/>
  <c r="W1725" i="32" s="1"/>
  <c r="K1725" i="32" s="1"/>
  <c r="C1707" i="32"/>
  <c r="W1707" i="32" s="1"/>
  <c r="K1707" i="32" s="1"/>
  <c r="C1737" i="32"/>
  <c r="W1737" i="32" s="1"/>
  <c r="K1737" i="32" s="1"/>
  <c r="C1735" i="32"/>
  <c r="W1735" i="32" s="1"/>
  <c r="K1735" i="32" s="1"/>
  <c r="C1709" i="32"/>
  <c r="Q1709" i="32" s="1"/>
  <c r="C1713" i="32"/>
  <c r="W1713" i="32" s="1"/>
  <c r="K1713" i="32" s="1"/>
  <c r="AY67" i="33"/>
  <c r="C693" i="32"/>
  <c r="W693" i="32" s="1"/>
  <c r="K693" i="32" s="1"/>
  <c r="C302" i="32"/>
  <c r="W302" i="32" s="1"/>
  <c r="C286" i="32"/>
  <c r="W286" i="32" s="1"/>
  <c r="C1195" i="32"/>
  <c r="W1195" i="32" s="1"/>
  <c r="K1195" i="32" s="1"/>
  <c r="C1207" i="32"/>
  <c r="W1207" i="32" s="1"/>
  <c r="K1207" i="32" s="1"/>
  <c r="C1037" i="32"/>
  <c r="W1037" i="32" s="1"/>
  <c r="K1037" i="32" s="1"/>
  <c r="C1023" i="32"/>
  <c r="W1023" i="32" s="1"/>
  <c r="K1023" i="32" s="1"/>
  <c r="C1055" i="32"/>
  <c r="C827" i="32"/>
  <c r="W827" i="32" s="1"/>
  <c r="K827" i="32" s="1"/>
  <c r="C855" i="32"/>
  <c r="W855" i="32" s="1"/>
  <c r="K855" i="32" s="1"/>
  <c r="C1741" i="32"/>
  <c r="W1741" i="32" s="1"/>
  <c r="K1741" i="32" s="1"/>
  <c r="C1757" i="32"/>
  <c r="W1757" i="32" s="1"/>
  <c r="K1757" i="32" s="1"/>
  <c r="C677" i="32"/>
  <c r="W677" i="32" s="1"/>
  <c r="K677" i="32" s="1"/>
  <c r="C294" i="32"/>
  <c r="Q294" i="32" s="1"/>
  <c r="C306" i="32"/>
  <c r="W306" i="32" s="1"/>
  <c r="C839" i="32"/>
  <c r="W839" i="32" s="1"/>
  <c r="K839" i="32" s="1"/>
  <c r="C1205" i="32"/>
  <c r="W1205" i="32" s="1"/>
  <c r="K1205" i="32" s="1"/>
  <c r="C1217" i="32"/>
  <c r="W1217" i="32" s="1"/>
  <c r="K1217" i="32" s="1"/>
  <c r="C1215" i="32"/>
  <c r="W1215" i="32" s="1"/>
  <c r="K1215" i="32" s="1"/>
  <c r="C1021" i="32"/>
  <c r="W1021" i="32" s="1"/>
  <c r="K1021" i="32" s="1"/>
  <c r="C1051" i="32"/>
  <c r="W1051" i="32" s="1"/>
  <c r="K1051" i="32" s="1"/>
  <c r="AY63" i="33"/>
  <c r="C823" i="32"/>
  <c r="W823" i="32" s="1"/>
  <c r="K823" i="32" s="1"/>
  <c r="C841" i="32"/>
  <c r="W841" i="32" s="1"/>
  <c r="K841" i="32" s="1"/>
  <c r="C917" i="32"/>
  <c r="C1755" i="32"/>
  <c r="W1755" i="32" s="1"/>
  <c r="K1755" i="32" s="1"/>
  <c r="C665" i="32"/>
  <c r="W665" i="32" s="1"/>
  <c r="K665" i="32" s="1"/>
  <c r="C667" i="32"/>
  <c r="C292" i="32"/>
  <c r="W292" i="32" s="1"/>
  <c r="C845" i="32"/>
  <c r="W845" i="32" s="1"/>
  <c r="K845" i="32" s="1"/>
  <c r="C687" i="32"/>
  <c r="W687" i="32" s="1"/>
  <c r="K687" i="32" s="1"/>
  <c r="C300" i="32"/>
  <c r="Q300" i="32" s="1"/>
  <c r="C1209" i="32"/>
  <c r="W1209" i="32" s="1"/>
  <c r="K1209" i="32" s="1"/>
  <c r="C1219" i="32"/>
  <c r="W1219" i="32" s="1"/>
  <c r="K1219" i="32" s="1"/>
  <c r="C1199" i="32"/>
  <c r="C1035" i="32"/>
  <c r="W1035" i="32" s="1"/>
  <c r="K1035" i="32" s="1"/>
  <c r="C1053" i="32"/>
  <c r="W1053" i="32" s="1"/>
  <c r="K1053" i="32" s="1"/>
  <c r="C829" i="32"/>
  <c r="W829" i="32" s="1"/>
  <c r="K829" i="32" s="1"/>
  <c r="C825" i="32"/>
  <c r="W825" i="32" s="1"/>
  <c r="K825" i="32" s="1"/>
  <c r="C837" i="32"/>
  <c r="W837" i="32" s="1"/>
  <c r="K837" i="32" s="1"/>
  <c r="C973" i="32"/>
  <c r="W973" i="32" s="1"/>
  <c r="K973" i="32" s="1"/>
  <c r="C905" i="32"/>
  <c r="W905" i="32" s="1"/>
  <c r="K905" i="32" s="1"/>
  <c r="C1747" i="32"/>
  <c r="W1747" i="32" s="1"/>
  <c r="K1747" i="32" s="1"/>
  <c r="C691" i="32"/>
  <c r="W691" i="32" s="1"/>
  <c r="K691" i="32" s="1"/>
  <c r="C671" i="32"/>
  <c r="C296" i="32"/>
  <c r="W296" i="32" s="1"/>
  <c r="C849" i="32"/>
  <c r="W849" i="32" s="1"/>
  <c r="K849" i="32" s="1"/>
  <c r="C843" i="32"/>
  <c r="W843" i="32" s="1"/>
  <c r="K843" i="32" s="1"/>
  <c r="C673" i="32"/>
  <c r="W673" i="32" s="1"/>
  <c r="K673" i="32" s="1"/>
  <c r="C697" i="32"/>
  <c r="C1153" i="32"/>
  <c r="W1153" i="32" s="1"/>
  <c r="K1153" i="32" s="1"/>
  <c r="C1189" i="32"/>
  <c r="C1043" i="32"/>
  <c r="W1043" i="32" s="1"/>
  <c r="K1043" i="32" s="1"/>
  <c r="C1027" i="32"/>
  <c r="W1027" i="32" s="1"/>
  <c r="K1027" i="32" s="1"/>
  <c r="C857" i="32"/>
  <c r="W857" i="32" s="1"/>
  <c r="K857" i="32" s="1"/>
  <c r="C853" i="32"/>
  <c r="W853" i="32" s="1"/>
  <c r="K853" i="32" s="1"/>
  <c r="C971" i="32"/>
  <c r="W971" i="32" s="1"/>
  <c r="K971" i="32" s="1"/>
  <c r="C1749" i="32"/>
  <c r="W1749" i="32" s="1"/>
  <c r="K1749" i="32" s="1"/>
  <c r="C1765" i="32"/>
  <c r="Q1765" i="32" s="1"/>
  <c r="C695" i="32"/>
  <c r="W695" i="32" s="1"/>
  <c r="K695" i="32" s="1"/>
  <c r="C308" i="32"/>
  <c r="Q308" i="32" s="1"/>
  <c r="C1073" i="32"/>
  <c r="W1073" i="32" s="1"/>
  <c r="K1073" i="32" s="1"/>
  <c r="C1091" i="32"/>
  <c r="W1091" i="32" s="1"/>
  <c r="K1091" i="32" s="1"/>
  <c r="C1083" i="32"/>
  <c r="W1083" i="32" s="1"/>
  <c r="K1083" i="32" s="1"/>
  <c r="C1099" i="32"/>
  <c r="W1099" i="32" s="1"/>
  <c r="K1099" i="32" s="1"/>
  <c r="C1113" i="32"/>
  <c r="W1113" i="32" s="1"/>
  <c r="K1113" i="32" s="1"/>
  <c r="C1677" i="32"/>
  <c r="W1677" i="32" s="1"/>
  <c r="K1677" i="32" s="1"/>
  <c r="C1147" i="32"/>
  <c r="W1147" i="32" s="1"/>
  <c r="K1147" i="32" s="1"/>
  <c r="C1679" i="32"/>
  <c r="W1679" i="32" s="1"/>
  <c r="K1679" i="32" s="1"/>
  <c r="C1085" i="32"/>
  <c r="W1085" i="32" s="1"/>
  <c r="K1085" i="32" s="1"/>
  <c r="C1673" i="32"/>
  <c r="W1673" i="32" s="1"/>
  <c r="K1673" i="32" s="1"/>
  <c r="C1111" i="32"/>
  <c r="W1111" i="32" s="1"/>
  <c r="K1111" i="32" s="1"/>
  <c r="C1067" i="32"/>
  <c r="C1687" i="32"/>
  <c r="W1687" i="32" s="1"/>
  <c r="K1687" i="32" s="1"/>
  <c r="C1135" i="32"/>
  <c r="C1173" i="32"/>
  <c r="W1173" i="32" s="1"/>
  <c r="K1173" i="32" s="1"/>
  <c r="C1077" i="32"/>
  <c r="W1077" i="32" s="1"/>
  <c r="K1077" i="32" s="1"/>
  <c r="C1661" i="32"/>
  <c r="Q1661" i="32" s="1"/>
  <c r="C1117" i="32"/>
  <c r="W1117" i="32" s="1"/>
  <c r="K1117" i="32" s="1"/>
  <c r="C1177" i="32"/>
  <c r="W1177" i="32" s="1"/>
  <c r="K1177" i="32" s="1"/>
  <c r="C1065" i="32"/>
  <c r="W1065" i="32" s="1"/>
  <c r="K1065" i="32" s="1"/>
  <c r="C1733" i="32"/>
  <c r="W1733" i="32" s="1"/>
  <c r="K1733" i="32" s="1"/>
  <c r="C1705" i="32"/>
  <c r="Q1705" i="32" s="1"/>
  <c r="C977" i="32"/>
  <c r="W977" i="32" s="1"/>
  <c r="K977" i="32" s="1"/>
  <c r="C919" i="32"/>
  <c r="W919" i="32" s="1"/>
  <c r="K919" i="32" s="1"/>
  <c r="C1769" i="32"/>
  <c r="W1769" i="32" s="1"/>
  <c r="K1769" i="32" s="1"/>
  <c r="C1745" i="32"/>
  <c r="W1745" i="32" s="1"/>
  <c r="K1745" i="32" s="1"/>
  <c r="C679" i="32"/>
  <c r="W679" i="32" s="1"/>
  <c r="K679" i="32" s="1"/>
  <c r="C683" i="32"/>
  <c r="C304" i="32"/>
  <c r="W304" i="32" s="1"/>
  <c r="C1739" i="32"/>
  <c r="Q1739" i="32" s="1"/>
  <c r="C1703" i="32"/>
  <c r="W1703" i="32" s="1"/>
  <c r="K1703" i="32" s="1"/>
  <c r="C949" i="32"/>
  <c r="C937" i="32"/>
  <c r="W937" i="32" s="1"/>
  <c r="K937" i="32" s="1"/>
  <c r="C1753" i="32"/>
  <c r="W1753" i="32" s="1"/>
  <c r="K1753" i="32" s="1"/>
  <c r="C1743" i="32"/>
  <c r="W1743" i="32" s="1"/>
  <c r="K1743" i="32" s="1"/>
  <c r="C699" i="32"/>
  <c r="W699" i="32" s="1"/>
  <c r="K699" i="32" s="1"/>
  <c r="C669" i="32"/>
  <c r="W669" i="32" s="1"/>
  <c r="K669" i="32" s="1"/>
  <c r="C298" i="32"/>
  <c r="W298" i="32" s="1"/>
  <c r="C1763" i="32"/>
  <c r="W1763" i="32" s="1"/>
  <c r="K1763" i="32" s="1"/>
  <c r="C1759" i="32"/>
  <c r="W1759" i="32" s="1"/>
  <c r="K1759" i="32" s="1"/>
  <c r="C663" i="32"/>
  <c r="C1159" i="32"/>
  <c r="C1087" i="32"/>
  <c r="C1089" i="32"/>
  <c r="C1689" i="32"/>
  <c r="W1689" i="32" s="1"/>
  <c r="K1689" i="32" s="1"/>
  <c r="C1693" i="32"/>
  <c r="Q1693" i="32" s="1"/>
  <c r="C1139" i="32"/>
  <c r="W1139" i="32" s="1"/>
  <c r="K1139" i="32" s="1"/>
  <c r="C1133" i="32"/>
  <c r="W1133" i="32" s="1"/>
  <c r="K1133" i="32" s="1"/>
  <c r="C1115" i="32"/>
  <c r="W1115" i="32" s="1"/>
  <c r="K1115" i="32" s="1"/>
  <c r="C1155" i="32"/>
  <c r="C1093" i="32"/>
  <c r="C1143" i="32"/>
  <c r="W1143" i="32" s="1"/>
  <c r="K1143" i="32" s="1"/>
  <c r="C1163" i="32"/>
  <c r="C1179" i="32"/>
  <c r="C1063" i="32"/>
  <c r="W1063" i="32" s="1"/>
  <c r="K1063" i="32" s="1"/>
  <c r="C1075" i="32"/>
  <c r="W1075" i="32" s="1"/>
  <c r="K1075" i="32" s="1"/>
  <c r="C1665" i="32"/>
  <c r="W1665" i="32" s="1"/>
  <c r="K1665" i="32" s="1"/>
  <c r="C1675" i="32"/>
  <c r="Q1675" i="32" s="1"/>
  <c r="C282" i="32"/>
  <c r="W282" i="32" s="1"/>
  <c r="C1119" i="32"/>
  <c r="C1121" i="32"/>
  <c r="W1121" i="32" s="1"/>
  <c r="K1121" i="32" s="1"/>
  <c r="C1101" i="32"/>
  <c r="W1101" i="32" s="1"/>
  <c r="K1101" i="32" s="1"/>
  <c r="C1157" i="32"/>
  <c r="W1157" i="32" s="1"/>
  <c r="K1157" i="32" s="1"/>
  <c r="C1069" i="32"/>
  <c r="W1069" i="32" s="1"/>
  <c r="K1069" i="32" s="1"/>
  <c r="C1081" i="32"/>
  <c r="C1663" i="32"/>
  <c r="W1663" i="32" s="1"/>
  <c r="K1663" i="32" s="1"/>
  <c r="C1685" i="32"/>
  <c r="W1685" i="32" s="1"/>
  <c r="K1685" i="32" s="1"/>
  <c r="C270" i="32"/>
  <c r="W270" i="32" s="1"/>
  <c r="C1127" i="32"/>
  <c r="W1127" i="32" s="1"/>
  <c r="K1127" i="32" s="1"/>
  <c r="C1109" i="32"/>
  <c r="W1109" i="32" s="1"/>
  <c r="K1109" i="32" s="1"/>
  <c r="C1125" i="32"/>
  <c r="W1125" i="32" s="1"/>
  <c r="K1125" i="32" s="1"/>
  <c r="C883" i="32"/>
  <c r="C1149" i="32"/>
  <c r="W1149" i="32" s="1"/>
  <c r="K1149" i="32" s="1"/>
  <c r="C1683" i="32"/>
  <c r="W1683" i="32" s="1"/>
  <c r="K1683" i="32" s="1"/>
  <c r="C1123" i="32"/>
  <c r="W1123" i="32" s="1"/>
  <c r="K1123" i="32" s="1"/>
  <c r="C1171" i="32"/>
  <c r="C1145" i="32"/>
  <c r="W1145" i="32" s="1"/>
  <c r="K1145" i="32" s="1"/>
  <c r="C1165" i="32"/>
  <c r="W1165" i="32" s="1"/>
  <c r="K1165" i="32" s="1"/>
  <c r="C1141" i="32"/>
  <c r="C1097" i="32"/>
  <c r="W1097" i="32" s="1"/>
  <c r="K1097" i="32" s="1"/>
  <c r="C1095" i="32"/>
  <c r="C1671" i="32"/>
  <c r="W1671" i="32" s="1"/>
  <c r="K1671" i="32" s="1"/>
  <c r="C1681" i="32"/>
  <c r="Q1681" i="32" s="1"/>
  <c r="C272" i="32"/>
  <c r="W272" i="32" s="1"/>
  <c r="C1107" i="32"/>
  <c r="W1107" i="32" s="1"/>
  <c r="K1107" i="32" s="1"/>
  <c r="C1105" i="32"/>
  <c r="C1137" i="32"/>
  <c r="C873" i="32"/>
  <c r="C1161" i="32"/>
  <c r="C1167" i="32"/>
  <c r="W1167" i="32" s="1"/>
  <c r="K1167" i="32" s="1"/>
  <c r="C1169" i="32"/>
  <c r="W1169" i="32" s="1"/>
  <c r="K1169" i="32" s="1"/>
  <c r="C1175" i="32"/>
  <c r="C1071" i="32"/>
  <c r="W1071" i="32" s="1"/>
  <c r="K1071" i="32" s="1"/>
  <c r="C1669" i="32"/>
  <c r="Q1669" i="32" s="1"/>
  <c r="C1131" i="32"/>
  <c r="W1131" i="32" s="1"/>
  <c r="K1131" i="32" s="1"/>
  <c r="C1129" i="32"/>
  <c r="C877" i="32"/>
  <c r="W877" i="32" s="1"/>
  <c r="K877" i="32" s="1"/>
  <c r="C869" i="32"/>
  <c r="C897" i="32"/>
  <c r="W897" i="32" s="1"/>
  <c r="K897" i="32" s="1"/>
  <c r="C861" i="32"/>
  <c r="AW67" i="33"/>
  <c r="C875" i="32"/>
  <c r="W875" i="32" s="1"/>
  <c r="K875" i="32" s="1"/>
  <c r="C865" i="32"/>
  <c r="W865" i="32" s="1"/>
  <c r="K865" i="32" s="1"/>
  <c r="C867" i="32"/>
  <c r="W867" i="32" s="1"/>
  <c r="K867" i="32" s="1"/>
  <c r="C899" i="32"/>
  <c r="C879" i="32"/>
  <c r="W879" i="32" s="1"/>
  <c r="K879" i="32" s="1"/>
  <c r="C893" i="32"/>
  <c r="W893" i="32" s="1"/>
  <c r="K893" i="32" s="1"/>
  <c r="AS67" i="33"/>
  <c r="C871" i="32"/>
  <c r="W871" i="32" s="1"/>
  <c r="K871" i="32" s="1"/>
  <c r="C881" i="32"/>
  <c r="W881" i="32" s="1"/>
  <c r="K881" i="32" s="1"/>
  <c r="C895" i="32"/>
  <c r="W895" i="32" s="1"/>
  <c r="K895" i="32" s="1"/>
  <c r="C963" i="32"/>
  <c r="C943" i="32"/>
  <c r="W943" i="32" s="1"/>
  <c r="K943" i="32" s="1"/>
  <c r="C961" i="32"/>
  <c r="C923" i="32"/>
  <c r="C925" i="32"/>
  <c r="W925" i="32" s="1"/>
  <c r="K925" i="32" s="1"/>
  <c r="C911" i="32"/>
  <c r="C891" i="32"/>
  <c r="C885" i="32"/>
  <c r="C979" i="32"/>
  <c r="W979" i="32" s="1"/>
  <c r="K979" i="32" s="1"/>
  <c r="C945" i="32"/>
  <c r="AS63" i="33"/>
  <c r="C909" i="32"/>
  <c r="C903" i="32"/>
  <c r="C901" i="32"/>
  <c r="C965" i="32"/>
  <c r="W965" i="32" s="1"/>
  <c r="K965" i="32" s="1"/>
  <c r="C951" i="32"/>
  <c r="C913" i="32"/>
  <c r="W913" i="32" s="1"/>
  <c r="K913" i="32" s="1"/>
  <c r="C927" i="32"/>
  <c r="C935" i="32"/>
  <c r="W935" i="32" s="1"/>
  <c r="K935" i="32" s="1"/>
  <c r="C975" i="32"/>
  <c r="W975" i="32" s="1"/>
  <c r="K975" i="32" s="1"/>
  <c r="C953" i="32"/>
  <c r="W953" i="32" s="1"/>
  <c r="K953" i="32" s="1"/>
  <c r="C915" i="32"/>
  <c r="W915" i="32" s="1"/>
  <c r="K915" i="32" s="1"/>
  <c r="C929" i="32"/>
  <c r="C1691" i="32"/>
  <c r="C1699" i="32"/>
  <c r="W1699" i="32" s="1"/>
  <c r="K1699" i="32" s="1"/>
  <c r="C1697" i="32"/>
  <c r="C1695" i="32"/>
  <c r="C957" i="32"/>
  <c r="C955" i="32"/>
  <c r="C941" i="32"/>
  <c r="C939" i="32"/>
  <c r="W939" i="32" s="1"/>
  <c r="K939" i="32" s="1"/>
  <c r="C907" i="32"/>
  <c r="W907" i="32" s="1"/>
  <c r="K907" i="32" s="1"/>
  <c r="AT65" i="33"/>
  <c r="C887" i="32"/>
  <c r="C889" i="32"/>
  <c r="W889" i="32" s="1"/>
  <c r="K889" i="32" s="1"/>
  <c r="C969" i="32"/>
  <c r="W969" i="32" s="1"/>
  <c r="K969" i="32" s="1"/>
  <c r="C967" i="32"/>
  <c r="C933" i="32"/>
  <c r="C689" i="32"/>
  <c r="C675" i="32"/>
  <c r="C661" i="32"/>
  <c r="C284" i="32"/>
  <c r="C278" i="32"/>
  <c r="C276" i="32"/>
  <c r="C288" i="32"/>
  <c r="C274" i="32"/>
  <c r="W1151" i="32"/>
  <c r="K1151" i="32" s="1"/>
  <c r="W1061" i="32"/>
  <c r="K1061" i="32" s="1"/>
  <c r="W1667" i="32"/>
  <c r="K1667" i="32" s="1"/>
  <c r="Q1667" i="32"/>
  <c r="W280" i="32"/>
  <c r="Q280" i="32"/>
  <c r="W1211" i="32"/>
  <c r="K1211" i="32" s="1"/>
  <c r="W1045" i="32"/>
  <c r="K1045" i="32" s="1"/>
  <c r="W767" i="32"/>
  <c r="K767" i="32" s="1"/>
  <c r="W1773" i="32"/>
  <c r="K1773" i="32" s="1"/>
  <c r="Q1773" i="32"/>
  <c r="W681" i="32"/>
  <c r="K681" i="32" s="1"/>
  <c r="W290" i="32"/>
  <c r="Q290" i="32"/>
  <c r="W1721" i="32"/>
  <c r="K1721" i="32" s="1"/>
  <c r="Q1721" i="32"/>
  <c r="W1785" i="32"/>
  <c r="K1785" i="32" s="1"/>
  <c r="Q1785" i="32"/>
  <c r="W1103" i="32"/>
  <c r="K1103" i="32" s="1"/>
  <c r="W991" i="32"/>
  <c r="K991" i="32" s="1"/>
  <c r="W863" i="32"/>
  <c r="K863" i="32" s="1"/>
  <c r="W959" i="32"/>
  <c r="K959" i="32" s="1"/>
  <c r="W931" i="32"/>
  <c r="K931" i="32" s="1"/>
  <c r="W1777" i="32"/>
  <c r="K1777" i="32" s="1"/>
  <c r="Q1777" i="32"/>
  <c r="W1779" i="32"/>
  <c r="K1779" i="32" s="1"/>
  <c r="Q1779" i="32"/>
  <c r="W735" i="32"/>
  <c r="K735" i="32" s="1"/>
  <c r="C245" i="24"/>
  <c r="L157" i="24"/>
  <c r="L155" i="24"/>
  <c r="L153" i="24"/>
  <c r="M153" i="24"/>
  <c r="M151" i="24"/>
  <c r="L149" i="24"/>
  <c r="B245" i="24"/>
  <c r="AS32" i="34"/>
  <c r="U376" i="32"/>
  <c r="U64" i="32"/>
  <c r="U675" i="32"/>
  <c r="N227" i="24"/>
  <c r="N226" i="24"/>
  <c r="N225" i="24"/>
  <c r="N224" i="24"/>
  <c r="N223" i="24"/>
  <c r="S185" i="24"/>
  <c r="S149" i="24"/>
  <c r="S151" i="24"/>
  <c r="R185" i="24"/>
  <c r="R155" i="24"/>
  <c r="R151" i="24"/>
  <c r="R153" i="24"/>
  <c r="Q185" i="24"/>
  <c r="Q149" i="24"/>
  <c r="Q151" i="24"/>
  <c r="P185" i="24"/>
  <c r="P149" i="24"/>
  <c r="O185" i="24"/>
  <c r="O149" i="24"/>
  <c r="O151" i="24"/>
  <c r="N149" i="24"/>
  <c r="N151" i="24"/>
  <c r="E205" i="24"/>
  <c r="E207" i="24"/>
  <c r="E203" i="24"/>
  <c r="E197" i="24"/>
  <c r="E193" i="24"/>
  <c r="E195" i="24"/>
  <c r="E185" i="24"/>
  <c r="E187" i="24"/>
  <c r="E183" i="24"/>
  <c r="E177" i="24"/>
  <c r="E179" i="24"/>
  <c r="E175" i="24"/>
  <c r="E171" i="24"/>
  <c r="E167" i="24"/>
  <c r="E169" i="24"/>
  <c r="E165" i="24"/>
  <c r="E161" i="24"/>
  <c r="E163" i="24"/>
  <c r="E157" i="24"/>
  <c r="E153" i="24"/>
  <c r="E155" i="24"/>
  <c r="E149" i="24"/>
  <c r="E151" i="24"/>
  <c r="B300" i="24"/>
  <c r="B284" i="24"/>
  <c r="B292" i="24"/>
  <c r="B268" i="24"/>
  <c r="B276" i="24"/>
  <c r="B260" i="24"/>
  <c r="B244" i="24"/>
  <c r="B252" i="24"/>
  <c r="B236" i="24"/>
  <c r="B228" i="24"/>
  <c r="I227" i="24"/>
  <c r="I226" i="24"/>
  <c r="I225" i="24"/>
  <c r="I223" i="24"/>
  <c r="I224" i="24"/>
  <c r="I222" i="24"/>
  <c r="I221" i="24"/>
  <c r="AY34" i="34"/>
  <c r="AD8" i="31"/>
  <c r="AD8" i="30"/>
  <c r="AA8" i="31"/>
  <c r="C148" i="24"/>
  <c r="B8" i="31"/>
  <c r="A104" i="24"/>
  <c r="AA8" i="30"/>
  <c r="A33" i="24"/>
  <c r="L9" i="32"/>
  <c r="AV8" i="34"/>
  <c r="AI8" i="34"/>
  <c r="AH8" i="34"/>
  <c r="AA8" i="34"/>
  <c r="Z8" i="34"/>
  <c r="AE8" i="34"/>
  <c r="AD8" i="34"/>
  <c r="W8" i="34"/>
  <c r="V8" i="34"/>
  <c r="AL8" i="34"/>
  <c r="AM8" i="34"/>
  <c r="S8" i="34"/>
  <c r="R8" i="34"/>
  <c r="J8" i="34"/>
  <c r="N8" i="34"/>
  <c r="K8" i="34"/>
  <c r="O8" i="34"/>
  <c r="N220" i="24"/>
  <c r="AU8" i="34"/>
  <c r="AB8" i="31"/>
  <c r="AC8" i="31"/>
  <c r="D148" i="24"/>
  <c r="AB8" i="30"/>
  <c r="AN8" i="34"/>
  <c r="O107" i="24"/>
  <c r="G220" i="24"/>
  <c r="E8" i="34"/>
  <c r="E220" i="24"/>
  <c r="E122" i="1"/>
  <c r="B220" i="24"/>
  <c r="A148" i="24"/>
  <c r="A220" i="24"/>
  <c r="B8" i="34"/>
  <c r="B148" i="24"/>
  <c r="F148" i="24"/>
  <c r="E148" i="24"/>
  <c r="J107" i="24"/>
  <c r="G148" i="24"/>
  <c r="N107" i="24"/>
  <c r="I148" i="24"/>
  <c r="N148" i="24"/>
  <c r="M148" i="24"/>
  <c r="P148" i="24"/>
  <c r="O148" i="24"/>
  <c r="S148" i="24"/>
  <c r="Q148" i="24"/>
  <c r="R107" i="24"/>
  <c r="S107" i="24"/>
  <c r="P107" i="24"/>
  <c r="Q107" i="24"/>
  <c r="I53" i="24"/>
  <c r="I107" i="24"/>
  <c r="H53" i="24"/>
  <c r="H107" i="24"/>
  <c r="E53" i="24"/>
  <c r="E107" i="24"/>
  <c r="B53" i="24"/>
  <c r="B107" i="24"/>
  <c r="A53" i="24"/>
  <c r="A107" i="24"/>
  <c r="A75" i="1"/>
  <c r="A87" i="24"/>
  <c r="R53" i="24"/>
  <c r="S53" i="24"/>
  <c r="P53" i="24"/>
  <c r="Q53" i="24"/>
  <c r="G8" i="34"/>
  <c r="O53" i="24"/>
  <c r="F8" i="34"/>
  <c r="N53" i="24"/>
  <c r="J8" i="33"/>
  <c r="J53" i="24"/>
  <c r="T14" i="1"/>
  <c r="C8" i="34"/>
  <c r="B8" i="32"/>
  <c r="D9" i="32"/>
  <c r="D315" i="32"/>
  <c r="G9" i="32"/>
  <c r="G315" i="32"/>
  <c r="E9" i="32"/>
  <c r="E315" i="32"/>
  <c r="AH8" i="33"/>
  <c r="AK8" i="33"/>
  <c r="AB8" i="33"/>
  <c r="AE8" i="33"/>
  <c r="W8" i="33"/>
  <c r="V8" i="33"/>
  <c r="Y8" i="33"/>
  <c r="X8" i="33"/>
  <c r="U8" i="33"/>
  <c r="T8" i="33"/>
  <c r="P8" i="33"/>
  <c r="S8" i="33"/>
  <c r="R8" i="33"/>
  <c r="O8" i="33"/>
  <c r="E8" i="31"/>
  <c r="G8" i="33"/>
  <c r="D8" i="31"/>
  <c r="E100" i="1"/>
  <c r="V8" i="31"/>
  <c r="Z8" i="31"/>
  <c r="T8" i="31"/>
  <c r="X8" i="31"/>
  <c r="W8" i="31"/>
  <c r="U8" i="31"/>
  <c r="Y8" i="31"/>
  <c r="S8" i="31"/>
  <c r="N8" i="31"/>
  <c r="R8" i="31"/>
  <c r="L8" i="31"/>
  <c r="P8" i="31"/>
  <c r="O8" i="31"/>
  <c r="M8" i="31"/>
  <c r="Q8" i="31"/>
  <c r="K8" i="31"/>
  <c r="J8" i="31"/>
  <c r="I8" i="31"/>
  <c r="H8" i="30"/>
  <c r="H8" i="31"/>
  <c r="G8" i="31"/>
  <c r="F8" i="31"/>
  <c r="W8" i="30"/>
  <c r="U8" i="30"/>
  <c r="Y8" i="30"/>
  <c r="V8" i="30"/>
  <c r="Z8" i="30"/>
  <c r="T8" i="30"/>
  <c r="X8" i="30"/>
  <c r="N8" i="30"/>
  <c r="L8" i="30"/>
  <c r="P8" i="30"/>
  <c r="O8" i="30"/>
  <c r="M8" i="30"/>
  <c r="E8" i="30"/>
  <c r="D8" i="30"/>
  <c r="C8" i="30"/>
  <c r="B8" i="30"/>
  <c r="A8" i="30"/>
  <c r="A1" i="30"/>
  <c r="A182" i="1"/>
  <c r="T122" i="1"/>
  <c r="K122" i="1"/>
  <c r="A122" i="1"/>
  <c r="K14" i="1"/>
  <c r="A99" i="1"/>
  <c r="A76" i="1"/>
  <c r="A58" i="1"/>
  <c r="A57" i="1"/>
  <c r="K45" i="1"/>
  <c r="G38" i="29" s="1"/>
  <c r="I15" i="29" s="1"/>
  <c r="E45" i="1"/>
  <c r="A45" i="1"/>
  <c r="A44" i="1"/>
  <c r="E25" i="1"/>
  <c r="A25" i="1"/>
  <c r="E14" i="1"/>
  <c r="K13" i="1"/>
  <c r="A13" i="1"/>
  <c r="A5" i="1"/>
  <c r="F3" i="19"/>
  <c r="D22" i="27"/>
  <c r="A376" i="32"/>
  <c r="G374" i="32"/>
  <c r="D23" i="27"/>
  <c r="E489" i="27"/>
  <c r="D27" i="27"/>
  <c r="E497" i="27"/>
  <c r="E480" i="27"/>
  <c r="E487" i="27"/>
  <c r="F2279" i="27"/>
  <c r="F2283" i="27"/>
  <c r="F2295" i="27"/>
  <c r="K757" i="27"/>
  <c r="F2296" i="27"/>
  <c r="P445" i="27"/>
  <c r="D251" i="27"/>
  <c r="D505" i="27"/>
  <c r="N2301" i="27"/>
  <c r="F2290" i="27"/>
  <c r="D241" i="27"/>
  <c r="D245" i="27"/>
  <c r="E490" i="27"/>
  <c r="F2300" i="27"/>
  <c r="K758" i="27"/>
  <c r="F2293" i="27"/>
  <c r="F2278" i="27"/>
  <c r="M2301" i="27"/>
  <c r="D20" i="27"/>
  <c r="L2196" i="27"/>
  <c r="D240" i="27"/>
  <c r="E445" i="27"/>
  <c r="D246" i="27"/>
  <c r="D249" i="27"/>
  <c r="L758" i="27"/>
  <c r="A64" i="32"/>
  <c r="E500" i="27"/>
  <c r="F2289" i="27"/>
  <c r="D252" i="27"/>
  <c r="F2294" i="27"/>
  <c r="D32" i="27"/>
  <c r="E484" i="27"/>
  <c r="F2291" i="27"/>
  <c r="F2299" i="27"/>
  <c r="F2286" i="27"/>
  <c r="F2298" i="27"/>
  <c r="E483" i="27"/>
  <c r="E503" i="27"/>
  <c r="D19" i="27"/>
  <c r="D33" i="27"/>
  <c r="F2280" i="27"/>
  <c r="F2281" i="27"/>
  <c r="BC34" i="34"/>
  <c r="E478" i="27"/>
  <c r="E501" i="27"/>
  <c r="D253" i="27"/>
  <c r="E498" i="27"/>
  <c r="D30" i="27"/>
  <c r="E491" i="27"/>
  <c r="J756" i="27"/>
  <c r="D25" i="27"/>
  <c r="F2297" i="27"/>
  <c r="G62" i="32"/>
  <c r="F2292" i="27"/>
  <c r="E476" i="27"/>
  <c r="D243" i="27"/>
  <c r="D29" i="27"/>
  <c r="E495" i="27"/>
  <c r="D21" i="27"/>
  <c r="A675" i="32"/>
  <c r="O2196" i="27"/>
  <c r="F2285" i="27"/>
  <c r="F2288" i="27"/>
  <c r="E494" i="27"/>
  <c r="E477" i="27"/>
  <c r="D26" i="27"/>
  <c r="F2284" i="27"/>
  <c r="D31" i="27"/>
  <c r="E499" i="27"/>
  <c r="E505" i="27"/>
  <c r="O240" i="27"/>
  <c r="D247" i="27"/>
  <c r="BD34" i="34"/>
  <c r="D504" i="27"/>
  <c r="F2301" i="27"/>
  <c r="O20" i="27"/>
  <c r="F2277" i="27"/>
  <c r="E482" i="27"/>
  <c r="D503" i="27"/>
  <c r="E504" i="27"/>
  <c r="E502" i="27"/>
  <c r="D239" i="27"/>
  <c r="E485" i="27"/>
  <c r="E486" i="27"/>
  <c r="E493" i="27"/>
  <c r="O2301" i="27"/>
  <c r="F2287" i="27"/>
  <c r="G673" i="32"/>
  <c r="D242" i="27"/>
  <c r="E479" i="27"/>
  <c r="A242" i="27" l="1"/>
  <c r="A245" i="27"/>
  <c r="A247" i="27"/>
  <c r="A253" i="27"/>
  <c r="A251" i="27"/>
  <c r="A249" i="27"/>
  <c r="A243" i="27"/>
  <c r="A241" i="27"/>
  <c r="A32" i="27"/>
  <c r="A246" i="27"/>
  <c r="A240" i="27"/>
  <c r="A33" i="27"/>
  <c r="A252" i="27"/>
  <c r="A239" i="27"/>
  <c r="F2910" i="27"/>
  <c r="F2393" i="27"/>
  <c r="F2394" i="27" s="1"/>
  <c r="F2395" i="27" s="1"/>
  <c r="F2396" i="27" s="1"/>
  <c r="F2397" i="27" s="1"/>
  <c r="F2392" i="27"/>
  <c r="A756" i="27"/>
  <c r="H759" i="27"/>
  <c r="A505" i="27"/>
  <c r="A497" i="27"/>
  <c r="A489" i="27"/>
  <c r="A490" i="27"/>
  <c r="A504" i="27"/>
  <c r="A480" i="27"/>
  <c r="A503" i="27"/>
  <c r="A495" i="27"/>
  <c r="A487" i="27"/>
  <c r="A479" i="27"/>
  <c r="A498" i="27"/>
  <c r="A502" i="27"/>
  <c r="A494" i="27"/>
  <c r="A486" i="27"/>
  <c r="A478" i="27"/>
  <c r="A483" i="27"/>
  <c r="A493" i="27"/>
  <c r="A485" i="27"/>
  <c r="A477" i="27"/>
  <c r="A491" i="27"/>
  <c r="A482" i="27"/>
  <c r="A500" i="27"/>
  <c r="A484" i="27"/>
  <c r="A476" i="27"/>
  <c r="A499" i="27"/>
  <c r="H417" i="27"/>
  <c r="H197" i="27"/>
  <c r="W1011" i="32"/>
  <c r="K1011" i="32" s="1"/>
  <c r="W715" i="32"/>
  <c r="K715" i="32" s="1"/>
  <c r="W1803" i="32"/>
  <c r="K1803" i="32" s="1"/>
  <c r="Q1811" i="32"/>
  <c r="W719" i="32"/>
  <c r="K719" i="32" s="1"/>
  <c r="W993" i="32"/>
  <c r="K993" i="32" s="1"/>
  <c r="W723" i="32"/>
  <c r="K723" i="32" s="1"/>
  <c r="W763" i="32"/>
  <c r="K763" i="32" s="1"/>
  <c r="W1817" i="32"/>
  <c r="K1817" i="32" s="1"/>
  <c r="Q1789" i="32"/>
  <c r="W1017" i="32"/>
  <c r="K1017" i="32" s="1"/>
  <c r="Q1795" i="32"/>
  <c r="W1059" i="32"/>
  <c r="K1059" i="32" s="1"/>
  <c r="W707" i="32"/>
  <c r="K707" i="32" s="1"/>
  <c r="W1019" i="32"/>
  <c r="K1019" i="32" s="1"/>
  <c r="W737" i="32"/>
  <c r="K737" i="32" s="1"/>
  <c r="W294" i="32"/>
  <c r="Q1783" i="32"/>
  <c r="W1661" i="32"/>
  <c r="K1661" i="32" s="1"/>
  <c r="W1031" i="32"/>
  <c r="K1031" i="32" s="1"/>
  <c r="W1793" i="32"/>
  <c r="K1793" i="32" s="1"/>
  <c r="W1081" i="32"/>
  <c r="K1081" i="32" s="1"/>
  <c r="W1187" i="32"/>
  <c r="K1187" i="32" s="1"/>
  <c r="W1709" i="32"/>
  <c r="K1709" i="32" s="1"/>
  <c r="W757" i="32"/>
  <c r="K757" i="32" s="1"/>
  <c r="W1767" i="32"/>
  <c r="K1767" i="32" s="1"/>
  <c r="W729" i="32"/>
  <c r="K729" i="32" s="1"/>
  <c r="W1181" i="32"/>
  <c r="K1181" i="32" s="1"/>
  <c r="Q1689" i="32"/>
  <c r="W753" i="32"/>
  <c r="K753" i="32" s="1"/>
  <c r="Q1791" i="32"/>
  <c r="W745" i="32"/>
  <c r="K745" i="32" s="1"/>
  <c r="W1193" i="32"/>
  <c r="K1193" i="32" s="1"/>
  <c r="Q1815" i="32"/>
  <c r="Q1781" i="32"/>
  <c r="Q1687" i="32"/>
  <c r="W1163" i="32"/>
  <c r="K1163" i="32" s="1"/>
  <c r="Q1731" i="32"/>
  <c r="W921" i="32"/>
  <c r="K921" i="32" s="1"/>
  <c r="W775" i="32"/>
  <c r="K775" i="32" s="1"/>
  <c r="Q1755" i="32"/>
  <c r="Q302" i="32"/>
  <c r="Q304" i="32"/>
  <c r="Q1787" i="32"/>
  <c r="Q1733" i="32"/>
  <c r="Q1749" i="32"/>
  <c r="W901" i="32"/>
  <c r="K901" i="32" s="1"/>
  <c r="W697" i="32"/>
  <c r="K697" i="32" s="1"/>
  <c r="W933" i="32"/>
  <c r="K933" i="32" s="1"/>
  <c r="W941" i="32"/>
  <c r="K941" i="32" s="1"/>
  <c r="Q1809" i="32"/>
  <c r="Q1725" i="32"/>
  <c r="W1007" i="32"/>
  <c r="K1007" i="32" s="1"/>
  <c r="Q1761" i="32"/>
  <c r="W1161" i="32"/>
  <c r="K1161" i="32" s="1"/>
  <c r="W1159" i="32"/>
  <c r="K1159" i="32" s="1"/>
  <c r="W1191" i="32"/>
  <c r="K1191" i="32" s="1"/>
  <c r="Q1711" i="32"/>
  <c r="Q1753" i="32"/>
  <c r="W1171" i="32"/>
  <c r="K1171" i="32" s="1"/>
  <c r="W781" i="32"/>
  <c r="K781" i="32" s="1"/>
  <c r="Q1799" i="32"/>
  <c r="W1119" i="32"/>
  <c r="K1119" i="32" s="1"/>
  <c r="W683" i="32"/>
  <c r="K683" i="32" s="1"/>
  <c r="W917" i="32"/>
  <c r="K917" i="32" s="1"/>
  <c r="W1765" i="32"/>
  <c r="K1765" i="32" s="1"/>
  <c r="Q1701" i="32"/>
  <c r="W1135" i="32"/>
  <c r="K1135" i="32" s="1"/>
  <c r="W1175" i="32"/>
  <c r="K1175" i="32" s="1"/>
  <c r="W741" i="32"/>
  <c r="K741" i="32" s="1"/>
  <c r="W743" i="32"/>
  <c r="K743" i="32" s="1"/>
  <c r="W1067" i="32"/>
  <c r="K1067" i="32" s="1"/>
  <c r="Q272" i="32"/>
  <c r="Q306" i="32"/>
  <c r="Q1801" i="32"/>
  <c r="Q1713" i="32"/>
  <c r="Q270" i="32"/>
  <c r="Q1751" i="32"/>
  <c r="Q1813" i="32"/>
  <c r="Q1677" i="32"/>
  <c r="W1129" i="32"/>
  <c r="K1129" i="32" s="1"/>
  <c r="W1739" i="32"/>
  <c r="K1739" i="32" s="1"/>
  <c r="W1199" i="32"/>
  <c r="K1199" i="32" s="1"/>
  <c r="Q1797" i="32"/>
  <c r="W927" i="32"/>
  <c r="K927" i="32" s="1"/>
  <c r="W869" i="32"/>
  <c r="K869" i="32" s="1"/>
  <c r="W1675" i="32"/>
  <c r="K1675" i="32" s="1"/>
  <c r="W899" i="32"/>
  <c r="K899" i="32" s="1"/>
  <c r="W1095" i="32"/>
  <c r="K1095" i="32" s="1"/>
  <c r="W945" i="32"/>
  <c r="K945" i="32" s="1"/>
  <c r="Q1665" i="32"/>
  <c r="Q1819" i="32"/>
  <c r="W887" i="32"/>
  <c r="K887" i="32" s="1"/>
  <c r="Q1719" i="32"/>
  <c r="Q1769" i="32"/>
  <c r="Q296" i="32"/>
  <c r="Q1735" i="32"/>
  <c r="Q1729" i="32"/>
  <c r="Q1715" i="32"/>
  <c r="W300" i="32"/>
  <c r="Q1723" i="32"/>
  <c r="Q1807" i="32"/>
  <c r="Q1771" i="32"/>
  <c r="W1705" i="32"/>
  <c r="K1705" i="32" s="1"/>
  <c r="W1669" i="32"/>
  <c r="K1669" i="32" s="1"/>
  <c r="W667" i="32"/>
  <c r="K667" i="32" s="1"/>
  <c r="Q1805" i="32"/>
  <c r="W885" i="32"/>
  <c r="K885" i="32" s="1"/>
  <c r="Q1717" i="32"/>
  <c r="W891" i="32"/>
  <c r="K891" i="32" s="1"/>
  <c r="W1179" i="32"/>
  <c r="K1179" i="32" s="1"/>
  <c r="W308" i="32"/>
  <c r="W911" i="32"/>
  <c r="K911" i="32" s="1"/>
  <c r="Q1747" i="32"/>
  <c r="Q292" i="32"/>
  <c r="W1105" i="32"/>
  <c r="K1105" i="32" s="1"/>
  <c r="Q1707" i="32"/>
  <c r="Q1775" i="32"/>
  <c r="Q298" i="32"/>
  <c r="W1693" i="32"/>
  <c r="K1693" i="32" s="1"/>
  <c r="Q286" i="32"/>
  <c r="Q1727" i="32"/>
  <c r="W671" i="32"/>
  <c r="K671" i="32" s="1"/>
  <c r="Q1741" i="32"/>
  <c r="W1141" i="32"/>
  <c r="K1141" i="32" s="1"/>
  <c r="W951" i="32"/>
  <c r="K951" i="32" s="1"/>
  <c r="W1189" i="32"/>
  <c r="K1189" i="32" s="1"/>
  <c r="W1137" i="32"/>
  <c r="K1137" i="32" s="1"/>
  <c r="Q1703" i="32"/>
  <c r="Q1763" i="32"/>
  <c r="Q1757" i="32"/>
  <c r="Q1737" i="32"/>
  <c r="W961" i="32"/>
  <c r="K961" i="32" s="1"/>
  <c r="W1055" i="32"/>
  <c r="K1055" i="32" s="1"/>
  <c r="Q1673" i="32"/>
  <c r="Q1743" i="32"/>
  <c r="Q1685" i="32"/>
  <c r="W1681" i="32"/>
  <c r="K1681" i="32" s="1"/>
  <c r="Q1683" i="32"/>
  <c r="Q1663" i="32"/>
  <c r="Q1671" i="32"/>
  <c r="Q1745" i="32"/>
  <c r="W1155" i="32"/>
  <c r="K1155" i="32" s="1"/>
  <c r="W949" i="32"/>
  <c r="K949" i="32" s="1"/>
  <c r="Q1679" i="32"/>
  <c r="W883" i="32"/>
  <c r="K883" i="32" s="1"/>
  <c r="Q1759" i="32"/>
  <c r="W873" i="32"/>
  <c r="K873" i="32" s="1"/>
  <c r="Q1699" i="32"/>
  <c r="W963" i="32"/>
  <c r="K963" i="32" s="1"/>
  <c r="W861" i="32"/>
  <c r="K861" i="32" s="1"/>
  <c r="W967" i="32"/>
  <c r="K967" i="32" s="1"/>
  <c r="W903" i="32"/>
  <c r="K903" i="32" s="1"/>
  <c r="W955" i="32"/>
  <c r="K955" i="32" s="1"/>
  <c r="W1089" i="32"/>
  <c r="K1089" i="32" s="1"/>
  <c r="Q282" i="32"/>
  <c r="W1087" i="32"/>
  <c r="K1087" i="32" s="1"/>
  <c r="W909" i="32"/>
  <c r="K909" i="32" s="1"/>
  <c r="W957" i="32"/>
  <c r="K957" i="32" s="1"/>
  <c r="W929" i="32"/>
  <c r="K929" i="32" s="1"/>
  <c r="W1093" i="32"/>
  <c r="K1093" i="32" s="1"/>
  <c r="W663" i="32"/>
  <c r="K663" i="32" s="1"/>
  <c r="W923" i="32"/>
  <c r="K923" i="32" s="1"/>
  <c r="W675" i="32"/>
  <c r="K675" i="32" s="1"/>
  <c r="W1691" i="32"/>
  <c r="K1691" i="32" s="1"/>
  <c r="Q1691" i="32"/>
  <c r="W689" i="32"/>
  <c r="K689" i="32" s="1"/>
  <c r="W274" i="32"/>
  <c r="Q274" i="32"/>
  <c r="W288" i="32"/>
  <c r="Q288" i="32"/>
  <c r="W276" i="32"/>
  <c r="Q276" i="32"/>
  <c r="W278" i="32"/>
  <c r="Q278" i="32"/>
  <c r="Q1695" i="32"/>
  <c r="W1695" i="32"/>
  <c r="K1695" i="32" s="1"/>
  <c r="Q284" i="32"/>
  <c r="W284" i="32"/>
  <c r="W1697" i="32"/>
  <c r="K1697" i="32" s="1"/>
  <c r="Q1697" i="32"/>
  <c r="W661" i="32"/>
  <c r="K661" i="32" s="1"/>
  <c r="Q1659" i="32"/>
  <c r="AS33" i="34"/>
  <c r="U677" i="32"/>
  <c r="U66" i="32"/>
  <c r="U378" i="32"/>
  <c r="G11" i="24"/>
  <c r="I16" i="29"/>
  <c r="G12" i="24" s="1"/>
  <c r="B60" i="24"/>
  <c r="AY35" i="34"/>
  <c r="AO9" i="34"/>
  <c r="A378" i="32"/>
  <c r="L757" i="27"/>
  <c r="A66" i="32"/>
  <c r="F2302" i="27"/>
  <c r="N2302" i="27"/>
  <c r="A677" i="32"/>
  <c r="BC35" i="34"/>
  <c r="L759" i="27"/>
  <c r="J757" i="27"/>
  <c r="M2302" i="27"/>
  <c r="I757" i="27"/>
  <c r="G376" i="32"/>
  <c r="O2302" i="27"/>
  <c r="G64" i="32"/>
  <c r="G675" i="32"/>
  <c r="K759" i="27"/>
  <c r="J758" i="27"/>
  <c r="BD35" i="34"/>
  <c r="F2911" i="27" l="1"/>
  <c r="F2399" i="27"/>
  <c r="F2400" i="27" s="1"/>
  <c r="F2401" i="27" s="1"/>
  <c r="F2402" i="27" s="1"/>
  <c r="F2403" i="27" s="1"/>
  <c r="F2398" i="27"/>
  <c r="A757" i="27"/>
  <c r="H760" i="27"/>
  <c r="H418" i="27"/>
  <c r="H198" i="27"/>
  <c r="AS34" i="34"/>
  <c r="U68" i="32"/>
  <c r="U679" i="32"/>
  <c r="U380" i="32"/>
  <c r="I17" i="29"/>
  <c r="AY36" i="34"/>
  <c r="F2" i="19"/>
  <c r="G378" i="32"/>
  <c r="BD36" i="34"/>
  <c r="G677" i="32"/>
  <c r="L760" i="27"/>
  <c r="F2303" i="27"/>
  <c r="A380" i="32"/>
  <c r="A68" i="32"/>
  <c r="N2303" i="27"/>
  <c r="G66" i="32"/>
  <c r="A679" i="32"/>
  <c r="BC36" i="34"/>
  <c r="M2303" i="27"/>
  <c r="K760" i="27"/>
  <c r="O2303" i="27"/>
  <c r="J759" i="27"/>
  <c r="F2912" i="27" l="1"/>
  <c r="F2405" i="27"/>
  <c r="F2406" i="27" s="1"/>
  <c r="F2407" i="27" s="1"/>
  <c r="F2408" i="27" s="1"/>
  <c r="F2409" i="27" s="1"/>
  <c r="F2404" i="27"/>
  <c r="H761" i="27"/>
  <c r="H419" i="27"/>
  <c r="H199" i="27"/>
  <c r="AS35" i="34"/>
  <c r="U382" i="32"/>
  <c r="U681" i="32"/>
  <c r="U70" i="32"/>
  <c r="G13" i="24"/>
  <c r="I18" i="29"/>
  <c r="G14" i="24" s="1"/>
  <c r="AY37" i="34"/>
  <c r="A33" i="29"/>
  <c r="G679" i="32"/>
  <c r="I761" i="27"/>
  <c r="M2304" i="27"/>
  <c r="BC37" i="34"/>
  <c r="J760" i="27"/>
  <c r="O2304" i="27"/>
  <c r="G68" i="32"/>
  <c r="A70" i="32"/>
  <c r="F2304" i="27"/>
  <c r="A382" i="32"/>
  <c r="L761" i="27"/>
  <c r="N2304" i="27"/>
  <c r="K761" i="27"/>
  <c r="BD37" i="34"/>
  <c r="A681" i="32"/>
  <c r="G380" i="32"/>
  <c r="F2913" i="27" l="1"/>
  <c r="F2410" i="27"/>
  <c r="F2411" i="27"/>
  <c r="F2412" i="27" s="1"/>
  <c r="F2413" i="27" s="1"/>
  <c r="F2414" i="27" s="1"/>
  <c r="F2415" i="27" s="1"/>
  <c r="H762" i="27"/>
  <c r="H420" i="27"/>
  <c r="H200" i="27"/>
  <c r="AS36" i="34"/>
  <c r="U72" i="32"/>
  <c r="U683" i="32"/>
  <c r="U384" i="32"/>
  <c r="I19" i="29"/>
  <c r="R54" i="24"/>
  <c r="AY38" i="34"/>
  <c r="B99" i="24"/>
  <c r="B89" i="24"/>
  <c r="B90" i="24"/>
  <c r="B91" i="24"/>
  <c r="B92" i="24"/>
  <c r="B93" i="24"/>
  <c r="B94" i="24"/>
  <c r="B95" i="24"/>
  <c r="B96" i="24"/>
  <c r="B97" i="24"/>
  <c r="B98" i="24"/>
  <c r="B88" i="24"/>
  <c r="A683" i="32"/>
  <c r="L762" i="27"/>
  <c r="G70" i="32"/>
  <c r="A384" i="32"/>
  <c r="M2305" i="27"/>
  <c r="O2305" i="27"/>
  <c r="BD38" i="34"/>
  <c r="BC38" i="34"/>
  <c r="J761" i="27"/>
  <c r="F2305" i="27"/>
  <c r="A72" i="32"/>
  <c r="G681" i="32"/>
  <c r="N2305" i="27"/>
  <c r="I762" i="27"/>
  <c r="K762" i="27"/>
  <c r="G382" i="32"/>
  <c r="F2914" i="27" l="1"/>
  <c r="F2915" i="27"/>
  <c r="F2417" i="27"/>
  <c r="F2418" i="27" s="1"/>
  <c r="F2419" i="27" s="1"/>
  <c r="F2420" i="27" s="1"/>
  <c r="F2421" i="27" s="1"/>
  <c r="F2416" i="27"/>
  <c r="A761" i="27"/>
  <c r="H764" i="27"/>
  <c r="H763" i="27"/>
  <c r="H421" i="27"/>
  <c r="H422" i="27"/>
  <c r="H201" i="27"/>
  <c r="H202" i="27"/>
  <c r="AS37" i="34"/>
  <c r="U386" i="32"/>
  <c r="U685" i="32"/>
  <c r="U74" i="32"/>
  <c r="I20" i="29"/>
  <c r="G16" i="24" s="1"/>
  <c r="G15" i="24"/>
  <c r="AY39" i="34"/>
  <c r="L2" i="29" a="1"/>
  <c r="L2" i="29" s="1"/>
  <c r="L3" i="29" s="1" a="1"/>
  <c r="L3" i="29" s="1"/>
  <c r="G72" i="32"/>
  <c r="A74" i="32"/>
  <c r="BD39" i="34"/>
  <c r="J762" i="27"/>
  <c r="A685" i="32"/>
  <c r="O2306" i="27"/>
  <c r="A386" i="32"/>
  <c r="BC39" i="34"/>
  <c r="M2306" i="27"/>
  <c r="G384" i="32"/>
  <c r="N2306" i="27"/>
  <c r="F2306" i="27"/>
  <c r="G683" i="32"/>
  <c r="L764" i="27"/>
  <c r="K764" i="27"/>
  <c r="L763" i="27"/>
  <c r="F2916" i="27" l="1"/>
  <c r="F2423" i="27"/>
  <c r="F2424" i="27" s="1"/>
  <c r="F2425" i="27" s="1"/>
  <c r="F2426" i="27" s="1"/>
  <c r="F2427" i="27" s="1"/>
  <c r="F2422" i="27"/>
  <c r="A762" i="27"/>
  <c r="H765" i="27"/>
  <c r="H423" i="27"/>
  <c r="H203" i="27"/>
  <c r="AS38" i="34"/>
  <c r="U76" i="32"/>
  <c r="U687" i="32"/>
  <c r="U388" i="32"/>
  <c r="I21" i="29"/>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AY40" i="34"/>
  <c r="L4" i="29" a="1"/>
  <c r="L4" i="29" s="1"/>
  <c r="L5" i="29" s="1" a="1"/>
  <c r="L5" i="29" s="1"/>
  <c r="G74" i="32"/>
  <c r="J763" i="27"/>
  <c r="G685" i="32"/>
  <c r="BD40" i="34"/>
  <c r="A687" i="32"/>
  <c r="A388" i="32"/>
  <c r="M2307" i="27"/>
  <c r="K765" i="27"/>
  <c r="N2307" i="27"/>
  <c r="A76" i="32"/>
  <c r="I763" i="27"/>
  <c r="F2307" i="27"/>
  <c r="J764" i="27"/>
  <c r="K763" i="27"/>
  <c r="G386" i="32"/>
  <c r="BC40" i="34"/>
  <c r="O2307" i="27"/>
  <c r="L765" i="27"/>
  <c r="F2917" i="27" l="1"/>
  <c r="F2429" i="27"/>
  <c r="F2430" i="27" s="1"/>
  <c r="F2431" i="27" s="1"/>
  <c r="F2432" i="27" s="1"/>
  <c r="F2433" i="27" s="1"/>
  <c r="F2428" i="27"/>
  <c r="A763" i="27"/>
  <c r="H766" i="27"/>
  <c r="H424" i="27"/>
  <c r="H204" i="27"/>
  <c r="AS39" i="34"/>
  <c r="U390" i="32"/>
  <c r="U689" i="32"/>
  <c r="U78" i="32"/>
  <c r="AY41" i="34"/>
  <c r="L6" i="29" a="1"/>
  <c r="L6" i="29" s="1"/>
  <c r="L7" i="29" s="1" a="1"/>
  <c r="L7" i="29" s="1"/>
  <c r="N2308" i="27"/>
  <c r="A689" i="32"/>
  <c r="BD41" i="34"/>
  <c r="O2308" i="27"/>
  <c r="A390" i="32"/>
  <c r="F2308" i="27"/>
  <c r="A78" i="32"/>
  <c r="G76" i="32"/>
  <c r="J765" i="27"/>
  <c r="BC41" i="34"/>
  <c r="M2308" i="27"/>
  <c r="G687" i="32"/>
  <c r="G388" i="32"/>
  <c r="K766" i="27"/>
  <c r="L766" i="27"/>
  <c r="F2918" i="27" l="1"/>
  <c r="F2434" i="27"/>
  <c r="F2435" i="27"/>
  <c r="F2436" i="27" s="1"/>
  <c r="F2437" i="27" s="1"/>
  <c r="F2438" i="27" s="1"/>
  <c r="F2439" i="27" s="1"/>
  <c r="H767" i="27"/>
  <c r="H425" i="27"/>
  <c r="H205" i="27"/>
  <c r="AS40" i="34"/>
  <c r="U80" i="32"/>
  <c r="U691" i="32"/>
  <c r="U392" i="32"/>
  <c r="AY42" i="34"/>
  <c r="L8" i="29" a="1"/>
  <c r="L8" i="29" s="1"/>
  <c r="L9" i="29" s="1" a="1"/>
  <c r="L9" i="29" s="1"/>
  <c r="A392" i="32"/>
  <c r="G689" i="32"/>
  <c r="G78" i="32"/>
  <c r="O2309" i="27"/>
  <c r="J766" i="27"/>
  <c r="A691" i="32"/>
  <c r="A80" i="32"/>
  <c r="I767" i="27"/>
  <c r="F2309" i="27"/>
  <c r="N2309" i="27"/>
  <c r="K767" i="27"/>
  <c r="BC42" i="34"/>
  <c r="L767" i="27"/>
  <c r="M2309" i="27"/>
  <c r="G390" i="32"/>
  <c r="BD42" i="34"/>
  <c r="F2919" i="27" l="1"/>
  <c r="F2441" i="27"/>
  <c r="F2442" i="27" s="1"/>
  <c r="F2443" i="27" s="1"/>
  <c r="F2444" i="27" s="1"/>
  <c r="F2445" i="27" s="1"/>
  <c r="F2440" i="27"/>
  <c r="H768" i="27"/>
  <c r="H426" i="27"/>
  <c r="H206" i="27"/>
  <c r="AS41" i="34"/>
  <c r="U693" i="32"/>
  <c r="U82" i="32"/>
  <c r="U394" i="32"/>
  <c r="AY43" i="34"/>
  <c r="L10" i="29" a="1"/>
  <c r="L10" i="29" s="1"/>
  <c r="N2310" i="27"/>
  <c r="A693" i="32"/>
  <c r="M2310" i="27"/>
  <c r="A394" i="32"/>
  <c r="O2310" i="27"/>
  <c r="K768" i="27"/>
  <c r="F2310" i="27"/>
  <c r="BC43" i="34"/>
  <c r="L768" i="27"/>
  <c r="I768" i="27"/>
  <c r="BD43" i="34"/>
  <c r="G691" i="32"/>
  <c r="G80" i="32"/>
  <c r="A82" i="32"/>
  <c r="G392" i="32"/>
  <c r="J767" i="27"/>
  <c r="F2920" i="27" l="1"/>
  <c r="F2921" i="27"/>
  <c r="F2447" i="27"/>
  <c r="F2448" i="27" s="1"/>
  <c r="F2449" i="27" s="1"/>
  <c r="F2450" i="27" s="1"/>
  <c r="F2451" i="27" s="1"/>
  <c r="F2446" i="27"/>
  <c r="A767" i="27"/>
  <c r="H770" i="27"/>
  <c r="H769" i="27"/>
  <c r="H428" i="27"/>
  <c r="H427" i="27"/>
  <c r="H207" i="27"/>
  <c r="H208" i="27"/>
  <c r="AS42" i="34"/>
  <c r="U84" i="32"/>
  <c r="U396" i="32"/>
  <c r="U695" i="32"/>
  <c r="AY44" i="34"/>
  <c r="L11" i="29" a="1"/>
  <c r="L11" i="29" s="1"/>
  <c r="M2311" i="27"/>
  <c r="BD44" i="34"/>
  <c r="J768" i="27"/>
  <c r="O2311" i="27"/>
  <c r="N2311" i="27"/>
  <c r="K770" i="27"/>
  <c r="A84" i="32"/>
  <c r="G693" i="32"/>
  <c r="L769" i="27"/>
  <c r="G82" i="32"/>
  <c r="BC44" i="34"/>
  <c r="A695" i="32"/>
  <c r="A396" i="32"/>
  <c r="G394" i="32"/>
  <c r="L770" i="27"/>
  <c r="F2311" i="27"/>
  <c r="K769" i="27"/>
  <c r="F2922" i="27" l="1"/>
  <c r="F2453" i="27"/>
  <c r="F2454" i="27" s="1"/>
  <c r="F2455" i="27" s="1"/>
  <c r="F2456" i="27" s="1"/>
  <c r="F2457" i="27" s="1"/>
  <c r="F2452" i="27"/>
  <c r="A768" i="27"/>
  <c r="H771" i="27"/>
  <c r="H429" i="27"/>
  <c r="H209" i="27"/>
  <c r="AS43" i="34"/>
  <c r="U697" i="32"/>
  <c r="U398" i="32"/>
  <c r="U86" i="32"/>
  <c r="AY45" i="34"/>
  <c r="L12" i="29" a="1"/>
  <c r="L12" i="29" s="1"/>
  <c r="A398" i="32"/>
  <c r="G396" i="32"/>
  <c r="K771" i="27"/>
  <c r="G84" i="32"/>
  <c r="BD45" i="34"/>
  <c r="N2312" i="27"/>
  <c r="F2312" i="27"/>
  <c r="BC45" i="34"/>
  <c r="I769" i="27"/>
  <c r="M2312" i="27"/>
  <c r="J769" i="27"/>
  <c r="A697" i="32"/>
  <c r="J770" i="27"/>
  <c r="G695" i="32"/>
  <c r="O2312" i="27"/>
  <c r="A86" i="32"/>
  <c r="F2923" i="27" l="1"/>
  <c r="F2458" i="27"/>
  <c r="F2459" i="27"/>
  <c r="F2460" i="27" s="1"/>
  <c r="F2461" i="27" s="1"/>
  <c r="F2462" i="27" s="1"/>
  <c r="F2463" i="27" s="1"/>
  <c r="A769" i="27"/>
  <c r="H772" i="27"/>
  <c r="H430" i="27"/>
  <c r="H210" i="27"/>
  <c r="AS44" i="34"/>
  <c r="U88" i="32"/>
  <c r="U699" i="32"/>
  <c r="U400" i="32"/>
  <c r="AY46" i="34"/>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59" i="27"/>
  <c r="BD46" i="34"/>
  <c r="M2196" i="27"/>
  <c r="N248" i="27"/>
  <c r="J771" i="27"/>
  <c r="A699" i="32"/>
  <c r="G86" i="32"/>
  <c r="D2196" i="27"/>
  <c r="M2313" i="27"/>
  <c r="L772" i="27"/>
  <c r="F2196" i="27"/>
  <c r="K772" i="27"/>
  <c r="K711" i="27"/>
  <c r="F2313" i="27"/>
  <c r="BC46" i="34"/>
  <c r="N2196" i="27"/>
  <c r="G398" i="32"/>
  <c r="A400" i="32"/>
  <c r="J2196" i="27"/>
  <c r="O2313" i="27"/>
  <c r="G697" i="32"/>
  <c r="N2313" i="27"/>
  <c r="A88" i="32"/>
  <c r="L771" i="27"/>
  <c r="F2924" i="27" l="1"/>
  <c r="F2465" i="27"/>
  <c r="F2466" i="27" s="1"/>
  <c r="F2467" i="27" s="1"/>
  <c r="F2468" i="27" s="1"/>
  <c r="F2469" i="27" s="1"/>
  <c r="F2464" i="27"/>
  <c r="H773" i="27"/>
  <c r="H431" i="27"/>
  <c r="H211" i="27"/>
  <c r="AS45" i="34"/>
  <c r="A2196" i="27"/>
  <c r="U402" i="32"/>
  <c r="U701" i="32"/>
  <c r="U90" i="32"/>
  <c r="O126" i="24"/>
  <c r="AY47" i="34"/>
  <c r="H2196" i="27"/>
  <c r="J772" i="27"/>
  <c r="M2314" i="27"/>
  <c r="O501" i="27"/>
  <c r="A90" i="32"/>
  <c r="O2314" i="27"/>
  <c r="F2314" i="27"/>
  <c r="BC47" i="34"/>
  <c r="F501" i="27"/>
  <c r="P501" i="27"/>
  <c r="M501" i="27"/>
  <c r="G88" i="32"/>
  <c r="G400" i="32"/>
  <c r="N2314" i="27"/>
  <c r="BD47" i="34"/>
  <c r="A701" i="32"/>
  <c r="N501" i="27"/>
  <c r="L501" i="27"/>
  <c r="L773" i="27"/>
  <c r="J711" i="27"/>
  <c r="A402" i="32"/>
  <c r="R501" i="27"/>
  <c r="G699" i="32"/>
  <c r="F2925" i="27" l="1"/>
  <c r="F2471" i="27"/>
  <c r="F2472" i="27" s="1"/>
  <c r="F2473" i="27" s="1"/>
  <c r="F2474" i="27" s="1"/>
  <c r="F2475" i="27" s="1"/>
  <c r="F2470" i="27"/>
  <c r="H774" i="27"/>
  <c r="E568" i="27"/>
  <c r="E567" i="27"/>
  <c r="E566" i="27"/>
  <c r="E565" i="27"/>
  <c r="E564" i="27"/>
  <c r="H432" i="27"/>
  <c r="H212" i="27"/>
  <c r="AS46" i="34"/>
  <c r="U92" i="32"/>
  <c r="U703" i="32"/>
  <c r="U404" i="32"/>
  <c r="AY48" i="34"/>
  <c r="AV9" i="33"/>
  <c r="I773" i="27"/>
  <c r="I774" i="27"/>
  <c r="K774" i="27"/>
  <c r="D3" i="27"/>
  <c r="L774" i="27"/>
  <c r="K773" i="27"/>
  <c r="A92" i="32"/>
  <c r="A703" i="32"/>
  <c r="A404" i="32"/>
  <c r="G90" i="32"/>
  <c r="BC48" i="34"/>
  <c r="G402" i="32"/>
  <c r="F2315" i="27"/>
  <c r="O2315" i="27"/>
  <c r="BD48" i="34"/>
  <c r="G701" i="32"/>
  <c r="J773" i="27"/>
  <c r="N2315" i="27"/>
  <c r="G59" i="33"/>
  <c r="M2315" i="27"/>
  <c r="F2926" i="27" l="1"/>
  <c r="F2927" i="27"/>
  <c r="F2477" i="27"/>
  <c r="F2478" i="27" s="1"/>
  <c r="F2479" i="27" s="1"/>
  <c r="F2480" i="27" s="1"/>
  <c r="F2481" i="27" s="1"/>
  <c r="F2476" i="27"/>
  <c r="A773" i="27"/>
  <c r="H775" i="27"/>
  <c r="H776" i="27"/>
  <c r="H434" i="27"/>
  <c r="H433" i="27"/>
  <c r="H214" i="27"/>
  <c r="H213" i="27"/>
  <c r="E199" i="24"/>
  <c r="AS47" i="34"/>
  <c r="E201" i="24"/>
  <c r="U406" i="32"/>
  <c r="U705" i="32"/>
  <c r="U94" i="32"/>
  <c r="AY49" i="34"/>
  <c r="AX9" i="33"/>
  <c r="AW9" i="33"/>
  <c r="AY9" i="33"/>
  <c r="O2316" i="27"/>
  <c r="N2316" i="27"/>
  <c r="G92" i="32"/>
  <c r="G703" i="32"/>
  <c r="G404" i="32"/>
  <c r="A705" i="32"/>
  <c r="A94" i="32"/>
  <c r="M2316" i="27"/>
  <c r="A406" i="32"/>
  <c r="D501" i="27"/>
  <c r="F2316" i="27"/>
  <c r="BC49" i="34"/>
  <c r="J774" i="27"/>
  <c r="BD49" i="34"/>
  <c r="K775" i="27"/>
  <c r="L776" i="27"/>
  <c r="A501" i="27" l="1"/>
  <c r="F2928" i="27"/>
  <c r="F2482" i="27"/>
  <c r="F2483" i="27"/>
  <c r="F2484" i="27" s="1"/>
  <c r="F2485" i="27" s="1"/>
  <c r="F2486" i="27" s="1"/>
  <c r="F2487" i="27" s="1"/>
  <c r="A774" i="27"/>
  <c r="H777" i="27"/>
  <c r="H435" i="27"/>
  <c r="H215" i="27"/>
  <c r="AS48" i="34"/>
  <c r="U96" i="32"/>
  <c r="U707" i="32"/>
  <c r="U408" i="32"/>
  <c r="C445" i="27"/>
  <c r="AY50" i="34"/>
  <c r="I223" i="27"/>
  <c r="K776" i="27"/>
  <c r="G406" i="32"/>
  <c r="O2317" i="27"/>
  <c r="F2317" i="27"/>
  <c r="A96" i="32"/>
  <c r="BC50" i="34"/>
  <c r="K777" i="27"/>
  <c r="L775" i="27"/>
  <c r="I775" i="27"/>
  <c r="BD50" i="34"/>
  <c r="G705" i="32"/>
  <c r="G94" i="32"/>
  <c r="A408" i="32"/>
  <c r="N2317" i="27"/>
  <c r="M223" i="27" a="1"/>
  <c r="J776" i="27"/>
  <c r="J223" i="27"/>
  <c r="R223" i="27"/>
  <c r="A707" i="32"/>
  <c r="M2317" i="27"/>
  <c r="L223" i="27"/>
  <c r="L777" i="27"/>
  <c r="J775" i="27"/>
  <c r="F2929" i="27" l="1"/>
  <c r="F2489" i="27"/>
  <c r="F2490" i="27" s="1"/>
  <c r="F2491" i="27" s="1"/>
  <c r="F2492" i="27" s="1"/>
  <c r="F2493" i="27" s="1"/>
  <c r="F2488" i="27"/>
  <c r="A775" i="27"/>
  <c r="H778" i="27"/>
  <c r="H436" i="27"/>
  <c r="H216" i="27"/>
  <c r="M223" i="27"/>
  <c r="AS49" i="34"/>
  <c r="U410" i="32"/>
  <c r="U709" i="32"/>
  <c r="U98" i="32"/>
  <c r="A445" i="27"/>
  <c r="C223" i="27"/>
  <c r="AY51" i="34"/>
  <c r="E39" i="27"/>
  <c r="N2318" i="27"/>
  <c r="A709" i="32"/>
  <c r="P250" i="27"/>
  <c r="O2318" i="27"/>
  <c r="BC51" i="34"/>
  <c r="BD51" i="34"/>
  <c r="E250" i="27"/>
  <c r="G96" i="32"/>
  <c r="A410" i="32"/>
  <c r="A98" i="32"/>
  <c r="R250" i="27"/>
  <c r="G707" i="32"/>
  <c r="F2318" i="27"/>
  <c r="N223" i="27"/>
  <c r="G408" i="32"/>
  <c r="K778" i="27"/>
  <c r="H250" i="27"/>
  <c r="G250" i="27"/>
  <c r="L778" i="27"/>
  <c r="J777" i="27"/>
  <c r="P223" i="27"/>
  <c r="N250" i="27"/>
  <c r="D223" i="27"/>
  <c r="M481" i="27"/>
  <c r="J250" i="27"/>
  <c r="M2318" i="27"/>
  <c r="L28" i="27"/>
  <c r="L250" i="27"/>
  <c r="F250" i="27"/>
  <c r="E24" i="27"/>
  <c r="F2930" i="27" l="1"/>
  <c r="F2495" i="27"/>
  <c r="F2496" i="27" s="1"/>
  <c r="F2497" i="27" s="1"/>
  <c r="F2498" i="27" s="1"/>
  <c r="F2499" i="27" s="1"/>
  <c r="F2494" i="27"/>
  <c r="H779" i="27"/>
  <c r="H437" i="27"/>
  <c r="H217" i="27"/>
  <c r="AS50" i="34"/>
  <c r="U412" i="32"/>
  <c r="U100" i="32"/>
  <c r="U711" i="32"/>
  <c r="O130" i="24"/>
  <c r="AY52" i="34"/>
  <c r="N39" i="27"/>
  <c r="L39" i="27"/>
  <c r="M39" i="27"/>
  <c r="J39" i="27"/>
  <c r="K39" i="27"/>
  <c r="I39" i="27"/>
  <c r="H39" i="27"/>
  <c r="L21" i="16"/>
  <c r="L20" i="16"/>
  <c r="Q250" i="27"/>
  <c r="M2319" i="27"/>
  <c r="G98" i="32"/>
  <c r="E19" i="30"/>
  <c r="AL19" i="30"/>
  <c r="E223" i="27"/>
  <c r="BC52" i="34"/>
  <c r="N2319" i="27"/>
  <c r="G709" i="32"/>
  <c r="L24" i="27"/>
  <c r="O2319" i="27"/>
  <c r="A100" i="32"/>
  <c r="E31" i="31"/>
  <c r="A412" i="32"/>
  <c r="L779" i="27"/>
  <c r="P28" i="27"/>
  <c r="K779" i="27"/>
  <c r="F2319" i="27"/>
  <c r="G223" i="27"/>
  <c r="J24" i="27"/>
  <c r="J28" i="27"/>
  <c r="R28" i="27"/>
  <c r="H24" i="27"/>
  <c r="J778" i="27"/>
  <c r="BD52" i="34"/>
  <c r="I779" i="27"/>
  <c r="F223" i="27"/>
  <c r="G410" i="32"/>
  <c r="A711" i="32"/>
  <c r="F2931" i="27" l="1"/>
  <c r="F2501" i="27"/>
  <c r="F2502" i="27" s="1"/>
  <c r="F2503" i="27" s="1"/>
  <c r="F2504" i="27" s="1"/>
  <c r="F2505" i="27" s="1"/>
  <c r="F2500" i="27"/>
  <c r="H780" i="27"/>
  <c r="H438" i="27"/>
  <c r="H439" i="27" s="1"/>
  <c r="H218" i="27"/>
  <c r="H219" i="27" s="1"/>
  <c r="AS51" i="34"/>
  <c r="U713" i="32"/>
  <c r="U102" i="32"/>
  <c r="U414" i="32"/>
  <c r="AY53" i="34"/>
  <c r="AI11" i="30"/>
  <c r="A223" i="27"/>
  <c r="E248" i="27"/>
  <c r="D24" i="27"/>
  <c r="J779" i="27"/>
  <c r="F2320" i="27"/>
  <c r="E3" i="27"/>
  <c r="N2320" i="27"/>
  <c r="J133" i="27"/>
  <c r="L780" i="27"/>
  <c r="A713" i="32"/>
  <c r="A102" i="32"/>
  <c r="BC53" i="34"/>
  <c r="F3" i="27"/>
  <c r="M2320" i="27"/>
  <c r="G100" i="32"/>
  <c r="H3" i="27"/>
  <c r="I133" i="27"/>
  <c r="BD53" i="34"/>
  <c r="N137" i="27"/>
  <c r="E28" i="27"/>
  <c r="D250" i="27"/>
  <c r="K780" i="27"/>
  <c r="I780" i="27"/>
  <c r="G511" i="27"/>
  <c r="A414" i="32"/>
  <c r="F28" i="27"/>
  <c r="M133" i="27"/>
  <c r="G711" i="32"/>
  <c r="G248" i="27"/>
  <c r="O2320" i="27"/>
  <c r="G28" i="27"/>
  <c r="N133" i="27"/>
  <c r="G412" i="32"/>
  <c r="F248" i="27"/>
  <c r="F2932" i="27" l="1"/>
  <c r="F2933" i="27"/>
  <c r="F2506" i="27"/>
  <c r="F2507" i="27"/>
  <c r="F2508" i="27" s="1"/>
  <c r="F2509" i="27" s="1"/>
  <c r="F2510" i="27" s="1"/>
  <c r="F2511" i="27" s="1"/>
  <c r="A779" i="27"/>
  <c r="H782" i="27"/>
  <c r="H781" i="27"/>
  <c r="AS52" i="34"/>
  <c r="U416" i="32"/>
  <c r="U104" i="32"/>
  <c r="U715" i="32"/>
  <c r="AY54" i="34"/>
  <c r="AI13" i="30"/>
  <c r="N138" i="27"/>
  <c r="N136" i="27"/>
  <c r="A416" i="32"/>
  <c r="J137" i="27"/>
  <c r="E27" i="30"/>
  <c r="M138" i="27"/>
  <c r="M137" i="27"/>
  <c r="M2321" i="27"/>
  <c r="BD54" i="34"/>
  <c r="I138" i="27"/>
  <c r="J138" i="27"/>
  <c r="J139" i="27"/>
  <c r="M139" i="27"/>
  <c r="G414" i="32"/>
  <c r="I781" i="27"/>
  <c r="I136" i="27"/>
  <c r="N145" i="27"/>
  <c r="G713" i="32"/>
  <c r="J780" i="27"/>
  <c r="BC54" i="34"/>
  <c r="G481" i="27"/>
  <c r="O2321" i="27"/>
  <c r="X9" i="30"/>
  <c r="K781" i="27"/>
  <c r="M136" i="27"/>
  <c r="N2321" i="27"/>
  <c r="E27" i="31"/>
  <c r="K24" i="27"/>
  <c r="I137" i="27"/>
  <c r="L782" i="27"/>
  <c r="F2321" i="27"/>
  <c r="A715" i="32"/>
  <c r="I139" i="27"/>
  <c r="J136" i="27"/>
  <c r="N139" i="27"/>
  <c r="A104" i="32"/>
  <c r="G102" i="32"/>
  <c r="L781" i="27"/>
  <c r="K782" i="27"/>
  <c r="F2934" i="27" l="1"/>
  <c r="F2513" i="27"/>
  <c r="F2514" i="27" s="1"/>
  <c r="F2515" i="27" s="1"/>
  <c r="F2516" i="27" s="1"/>
  <c r="F2517" i="27" s="1"/>
  <c r="F2512" i="27"/>
  <c r="A780" i="27"/>
  <c r="H783" i="27"/>
  <c r="AS53" i="34"/>
  <c r="U106" i="32"/>
  <c r="U717" i="32"/>
  <c r="U418" i="32"/>
  <c r="AY55" i="34"/>
  <c r="AI15" i="30"/>
  <c r="O2322" i="27"/>
  <c r="I142" i="27"/>
  <c r="M142" i="27"/>
  <c r="N144" i="27"/>
  <c r="K133" i="27"/>
  <c r="J782" i="27"/>
  <c r="A106" i="32"/>
  <c r="J145" i="27"/>
  <c r="X11" i="30"/>
  <c r="D28" i="27"/>
  <c r="I145" i="27"/>
  <c r="L11" i="30"/>
  <c r="J781" i="27"/>
  <c r="M145" i="27"/>
  <c r="I143" i="27"/>
  <c r="M150" i="27"/>
  <c r="BC55" i="34"/>
  <c r="A418" i="32"/>
  <c r="J142" i="27"/>
  <c r="G416" i="32"/>
  <c r="G104" i="32"/>
  <c r="J144" i="27"/>
  <c r="M144" i="27"/>
  <c r="BD55" i="34"/>
  <c r="J143" i="27"/>
  <c r="G715" i="32"/>
  <c r="K783" i="27"/>
  <c r="D248" i="27"/>
  <c r="N143" i="27"/>
  <c r="I144" i="27"/>
  <c r="A717" i="32"/>
  <c r="M2322" i="27"/>
  <c r="F2322" i="27"/>
  <c r="N142" i="27"/>
  <c r="M143" i="27"/>
  <c r="N2322" i="27"/>
  <c r="A248" i="27" l="1"/>
  <c r="F2935" i="27"/>
  <c r="F2519" i="27"/>
  <c r="F2520" i="27" s="1"/>
  <c r="F2521" i="27" s="1"/>
  <c r="F2522" i="27" s="1"/>
  <c r="F2523" i="27" s="1"/>
  <c r="F2518" i="27"/>
  <c r="A781" i="27"/>
  <c r="H784" i="27"/>
  <c r="AS54" i="34"/>
  <c r="U420" i="32"/>
  <c r="U108" i="32"/>
  <c r="U719" i="32"/>
  <c r="AY56" i="34"/>
  <c r="AI17" i="30"/>
  <c r="N222" i="24"/>
  <c r="N221" i="24"/>
  <c r="F293" i="24"/>
  <c r="F285" i="24"/>
  <c r="F277" i="24"/>
  <c r="F269" i="24"/>
  <c r="F253" i="24"/>
  <c r="F245" i="24"/>
  <c r="F237" i="24"/>
  <c r="F229" i="24"/>
  <c r="F221" i="24"/>
  <c r="E293" i="24"/>
  <c r="E285" i="24"/>
  <c r="E277" i="24"/>
  <c r="E269" i="24"/>
  <c r="E253" i="24"/>
  <c r="E245" i="24"/>
  <c r="E237" i="24"/>
  <c r="E229" i="24"/>
  <c r="E221" i="24"/>
  <c r="D221" i="24"/>
  <c r="B293" i="24"/>
  <c r="B285" i="24"/>
  <c r="B277" i="24"/>
  <c r="B269" i="24"/>
  <c r="B261" i="24"/>
  <c r="B253" i="24"/>
  <c r="B237" i="24"/>
  <c r="B229" i="24"/>
  <c r="C229" i="24"/>
  <c r="B221" i="24"/>
  <c r="C237" i="24"/>
  <c r="C253" i="24"/>
  <c r="G253" i="24"/>
  <c r="C255" i="24"/>
  <c r="C257" i="24"/>
  <c r="C259" i="24"/>
  <c r="C261" i="24"/>
  <c r="C258" i="24"/>
  <c r="C262" i="24"/>
  <c r="C263" i="24"/>
  <c r="C285" i="24"/>
  <c r="C293" i="24"/>
  <c r="C256" i="24"/>
  <c r="C264" i="24"/>
  <c r="C265" i="24"/>
  <c r="C269" i="24"/>
  <c r="C254" i="24"/>
  <c r="C266" i="24"/>
  <c r="C277" i="24"/>
  <c r="C221" i="24"/>
  <c r="AU9" i="33"/>
  <c r="K139" i="27"/>
  <c r="N2323" i="27"/>
  <c r="L784" i="27"/>
  <c r="F2323" i="27"/>
  <c r="BD56" i="34"/>
  <c r="I148" i="27"/>
  <c r="O2323" i="27"/>
  <c r="N156" i="27"/>
  <c r="I149" i="27"/>
  <c r="M149" i="27"/>
  <c r="J149" i="27"/>
  <c r="J151" i="27"/>
  <c r="J148" i="27"/>
  <c r="N149" i="27"/>
  <c r="M2323" i="27"/>
  <c r="J783" i="27"/>
  <c r="N150" i="27"/>
  <c r="A108" i="32"/>
  <c r="BC56" i="34"/>
  <c r="A420" i="32"/>
  <c r="L783" i="27"/>
  <c r="G418" i="32"/>
  <c r="M151" i="27"/>
  <c r="I150" i="27"/>
  <c r="X13" i="30"/>
  <c r="J150" i="27"/>
  <c r="I151" i="27"/>
  <c r="A719" i="32"/>
  <c r="G717" i="32"/>
  <c r="K784" i="27"/>
  <c r="M148" i="27"/>
  <c r="K136" i="27"/>
  <c r="G106" i="32"/>
  <c r="N151" i="27"/>
  <c r="N148" i="27"/>
  <c r="F2936" i="27" l="1"/>
  <c r="F2525" i="27"/>
  <c r="F2526" i="27" s="1"/>
  <c r="F2527" i="27" s="1"/>
  <c r="F2528" i="27" s="1"/>
  <c r="F2529" i="27" s="1"/>
  <c r="F2524" i="27"/>
  <c r="H785" i="27"/>
  <c r="AS55" i="34"/>
  <c r="C621" i="32"/>
  <c r="C623" i="32"/>
  <c r="C647" i="32"/>
  <c r="C625" i="32"/>
  <c r="C649" i="32"/>
  <c r="C627" i="32"/>
  <c r="C651" i="32"/>
  <c r="C629" i="32"/>
  <c r="C653" i="32"/>
  <c r="C631" i="32"/>
  <c r="C655" i="32"/>
  <c r="C633" i="32"/>
  <c r="C657" i="32"/>
  <c r="C635" i="32"/>
  <c r="C659" i="32"/>
  <c r="C637" i="32"/>
  <c r="C639" i="32"/>
  <c r="C641" i="32"/>
  <c r="C643" i="32"/>
  <c r="C645" i="32"/>
  <c r="U721" i="32"/>
  <c r="U110" i="32"/>
  <c r="U422" i="32"/>
  <c r="C267" i="24"/>
  <c r="AY57" i="34"/>
  <c r="AI19" i="30"/>
  <c r="AS9" i="33"/>
  <c r="K143" i="27"/>
  <c r="N2324" i="27"/>
  <c r="I156" i="27"/>
  <c r="M154" i="27"/>
  <c r="J154" i="27"/>
  <c r="X15" i="30"/>
  <c r="N154" i="27"/>
  <c r="I157" i="27"/>
  <c r="L785" i="27"/>
  <c r="K785" i="27"/>
  <c r="G108" i="32"/>
  <c r="BC57" i="34"/>
  <c r="M157" i="27"/>
  <c r="J784" i="27"/>
  <c r="N157" i="27"/>
  <c r="M156" i="27"/>
  <c r="M160" i="27"/>
  <c r="A110" i="32"/>
  <c r="F2324" i="27"/>
  <c r="O2324" i="27"/>
  <c r="J157" i="27"/>
  <c r="J156" i="27"/>
  <c r="G420" i="32"/>
  <c r="K142" i="27"/>
  <c r="BD57" i="34"/>
  <c r="T15" i="30"/>
  <c r="A721" i="32"/>
  <c r="P15" i="30"/>
  <c r="A422" i="32"/>
  <c r="M2324" i="27"/>
  <c r="G719" i="32"/>
  <c r="K145" i="27"/>
  <c r="L15" i="30"/>
  <c r="I154" i="27"/>
  <c r="I785" i="27"/>
  <c r="F2937" i="27" l="1"/>
  <c r="F2530" i="27"/>
  <c r="F2531" i="27"/>
  <c r="F2532" i="27" s="1"/>
  <c r="F2533" i="27" s="1"/>
  <c r="F2534" i="27" s="1"/>
  <c r="F2535" i="27" s="1"/>
  <c r="K1415" i="27"/>
  <c r="K2015" i="27"/>
  <c r="K1414" i="27"/>
  <c r="K2014" i="27"/>
  <c r="K1413" i="27"/>
  <c r="K2013" i="27"/>
  <c r="K1412" i="27"/>
  <c r="K2012" i="27"/>
  <c r="H786" i="27"/>
  <c r="W641" i="32"/>
  <c r="W649" i="32"/>
  <c r="W625" i="32"/>
  <c r="W655" i="32"/>
  <c r="W631" i="32"/>
  <c r="W653" i="32"/>
  <c r="W645" i="32"/>
  <c r="W629" i="32"/>
  <c r="W627" i="32"/>
  <c r="W637" i="32"/>
  <c r="W633" i="32"/>
  <c r="W643" i="32"/>
  <c r="W651" i="32"/>
  <c r="W639" i="32"/>
  <c r="W659" i="32"/>
  <c r="W647" i="32"/>
  <c r="W635" i="32"/>
  <c r="W623" i="32"/>
  <c r="W657" i="32"/>
  <c r="W621" i="32"/>
  <c r="AS56" i="34"/>
  <c r="U723" i="32"/>
  <c r="U424" i="32"/>
  <c r="U112" i="32"/>
  <c r="R60" i="24"/>
  <c r="AY58" i="34"/>
  <c r="AI21" i="30"/>
  <c r="AT9" i="33"/>
  <c r="AQ9" i="33" a="1"/>
  <c r="AQ9" i="33" s="1"/>
  <c r="F61" i="16"/>
  <c r="K149" i="27"/>
  <c r="K150" i="27"/>
  <c r="G721" i="32"/>
  <c r="I160" i="27"/>
  <c r="M2325" i="27"/>
  <c r="K148" i="27"/>
  <c r="N160" i="27"/>
  <c r="G422" i="32"/>
  <c r="N2325" i="27"/>
  <c r="A112" i="32"/>
  <c r="J163" i="27"/>
  <c r="J161" i="27"/>
  <c r="I786" i="27"/>
  <c r="T17" i="30"/>
  <c r="J162" i="27"/>
  <c r="M162" i="27"/>
  <c r="I162" i="27"/>
  <c r="I163" i="27"/>
  <c r="I161" i="27"/>
  <c r="BD58" i="34"/>
  <c r="N163" i="27"/>
  <c r="L17" i="30"/>
  <c r="BC58" i="34"/>
  <c r="J785" i="27"/>
  <c r="F2325" i="27"/>
  <c r="O2325" i="27"/>
  <c r="N161" i="27"/>
  <c r="X17" i="30"/>
  <c r="M161" i="27"/>
  <c r="K151" i="27"/>
  <c r="M169" i="27"/>
  <c r="J160" i="27"/>
  <c r="N162" i="27"/>
  <c r="A424" i="32"/>
  <c r="A723" i="32"/>
  <c r="M163" i="27"/>
  <c r="G110" i="32"/>
  <c r="F2938" i="27" l="1"/>
  <c r="F2939" i="27"/>
  <c r="F2537" i="27"/>
  <c r="F2538" i="27" s="1"/>
  <c r="F2539" i="27" s="1"/>
  <c r="F2540" i="27" s="1"/>
  <c r="F2541" i="27" s="1"/>
  <c r="F2536" i="27"/>
  <c r="A785" i="27"/>
  <c r="H788" i="27"/>
  <c r="H787" i="27"/>
  <c r="K651" i="32"/>
  <c r="K641" i="32"/>
  <c r="K643" i="32"/>
  <c r="K657" i="32"/>
  <c r="K631" i="32"/>
  <c r="K647" i="32"/>
  <c r="K659" i="32"/>
  <c r="K625" i="32"/>
  <c r="K639" i="32"/>
  <c r="K649" i="32"/>
  <c r="K633" i="32"/>
  <c r="K637" i="32"/>
  <c r="K627" i="32"/>
  <c r="K629" i="32"/>
  <c r="K645" i="32"/>
  <c r="K653" i="32"/>
  <c r="K635" i="32"/>
  <c r="K623" i="32"/>
  <c r="K655" i="32"/>
  <c r="K621" i="32"/>
  <c r="AS57" i="34"/>
  <c r="U114" i="32"/>
  <c r="U426" i="32"/>
  <c r="U725" i="32"/>
  <c r="R62" i="24"/>
  <c r="AY59" i="34"/>
  <c r="AI23" i="30"/>
  <c r="J9" i="33"/>
  <c r="G149" i="24" s="1"/>
  <c r="A426" i="32"/>
  <c r="I166" i="27"/>
  <c r="J169" i="27"/>
  <c r="K157" i="27"/>
  <c r="F2326" i="27"/>
  <c r="L788" i="27"/>
  <c r="M2326" i="27"/>
  <c r="G723" i="32"/>
  <c r="A725" i="32"/>
  <c r="K786" i="27"/>
  <c r="G424" i="32"/>
  <c r="X19" i="30"/>
  <c r="L787" i="27"/>
  <c r="N167" i="27"/>
  <c r="M167" i="27"/>
  <c r="N2326" i="27"/>
  <c r="I167" i="27"/>
  <c r="N174" i="27"/>
  <c r="A114" i="32"/>
  <c r="K788" i="27"/>
  <c r="BC59" i="34"/>
  <c r="M166" i="27"/>
  <c r="I169" i="27"/>
  <c r="T19" i="30"/>
  <c r="O2326" i="27"/>
  <c r="K154" i="27"/>
  <c r="L19" i="30"/>
  <c r="J786" i="27"/>
  <c r="K156" i="27"/>
  <c r="BD59" i="34"/>
  <c r="P19" i="30"/>
  <c r="N169" i="27"/>
  <c r="L786" i="27"/>
  <c r="G112" i="32"/>
  <c r="J166" i="27"/>
  <c r="N166" i="27"/>
  <c r="J167" i="27"/>
  <c r="I787" i="27"/>
  <c r="F2940" i="27" l="1"/>
  <c r="F2543" i="27"/>
  <c r="F2544" i="27" s="1"/>
  <c r="F2545" i="27" s="1"/>
  <c r="F2546" i="27" s="1"/>
  <c r="F2547" i="27" s="1"/>
  <c r="F2542" i="27"/>
  <c r="A786" i="27"/>
  <c r="H789" i="27"/>
  <c r="AS58" i="34"/>
  <c r="U116" i="32"/>
  <c r="U727" i="32"/>
  <c r="U428" i="32"/>
  <c r="R64" i="24"/>
  <c r="C270" i="24"/>
  <c r="AY60" i="34"/>
  <c r="AI25" i="30"/>
  <c r="F160" i="16"/>
  <c r="I160" i="16" s="1"/>
  <c r="K787" i="27"/>
  <c r="M175" i="27"/>
  <c r="F2327" i="27"/>
  <c r="N175" i="27"/>
  <c r="P21" i="30"/>
  <c r="L789" i="27"/>
  <c r="M172" i="27"/>
  <c r="K161" i="27"/>
  <c r="J175" i="27"/>
  <c r="X21" i="30"/>
  <c r="I172" i="27"/>
  <c r="L21" i="30"/>
  <c r="I174" i="27"/>
  <c r="J788" i="27"/>
  <c r="A727" i="32"/>
  <c r="M174" i="27"/>
  <c r="N172" i="27"/>
  <c r="G725" i="32"/>
  <c r="J172" i="27"/>
  <c r="M179" i="27"/>
  <c r="J787" i="27"/>
  <c r="K162" i="27"/>
  <c r="O2327" i="27"/>
  <c r="G426" i="32"/>
  <c r="A428" i="32"/>
  <c r="K163" i="27"/>
  <c r="I175" i="27"/>
  <c r="K160" i="27"/>
  <c r="BD60" i="34"/>
  <c r="M2327" i="27"/>
  <c r="J174" i="27"/>
  <c r="G114" i="32"/>
  <c r="N2327" i="27"/>
  <c r="A116" i="32"/>
  <c r="BC60" i="34"/>
  <c r="F2941" i="27" l="1"/>
  <c r="F2549" i="27"/>
  <c r="F2550" i="27" s="1"/>
  <c r="F2551" i="27" s="1"/>
  <c r="F2552" i="27" s="1"/>
  <c r="F2553" i="27" s="1"/>
  <c r="F2548" i="27"/>
  <c r="A787" i="27"/>
  <c r="H790" i="27"/>
  <c r="AS59" i="34"/>
  <c r="U118" i="32"/>
  <c r="U430" i="32"/>
  <c r="U729" i="32"/>
  <c r="C271" i="24"/>
  <c r="AY61" i="34"/>
  <c r="AI27" i="30"/>
  <c r="BD61" i="34"/>
  <c r="M178" i="27"/>
  <c r="J179" i="27"/>
  <c r="J178" i="27"/>
  <c r="M181" i="27"/>
  <c r="M187" i="27"/>
  <c r="N181" i="27"/>
  <c r="J180" i="27"/>
  <c r="G727" i="32"/>
  <c r="N2328" i="27"/>
  <c r="I181" i="27"/>
  <c r="N179" i="27"/>
  <c r="A118" i="32"/>
  <c r="M180" i="27"/>
  <c r="N178" i="27"/>
  <c r="F2328" i="27"/>
  <c r="K789" i="27"/>
  <c r="BC61" i="34"/>
  <c r="K790" i="27"/>
  <c r="A430" i="32"/>
  <c r="A729" i="32"/>
  <c r="K166" i="27"/>
  <c r="I180" i="27"/>
  <c r="L790" i="27"/>
  <c r="G116" i="32"/>
  <c r="K167" i="27"/>
  <c r="G428" i="32"/>
  <c r="J181" i="27"/>
  <c r="J789" i="27"/>
  <c r="M2328" i="27"/>
  <c r="I179" i="27"/>
  <c r="L23" i="30"/>
  <c r="I178" i="27"/>
  <c r="O2328" i="27"/>
  <c r="K169" i="27"/>
  <c r="N180" i="27"/>
  <c r="X23" i="30"/>
  <c r="F2942" i="27" l="1"/>
  <c r="F2554" i="27"/>
  <c r="F2555" i="27"/>
  <c r="F2556" i="27" s="1"/>
  <c r="F2557" i="27" s="1"/>
  <c r="F2558" i="27" s="1"/>
  <c r="F2559" i="27" s="1"/>
  <c r="H791" i="27"/>
  <c r="AS60" i="34"/>
  <c r="U120" i="32"/>
  <c r="U731" i="32"/>
  <c r="U432" i="32"/>
  <c r="C272" i="24"/>
  <c r="AY62" i="34"/>
  <c r="AI29" i="30"/>
  <c r="K175" i="27"/>
  <c r="A731" i="32"/>
  <c r="N187" i="27"/>
  <c r="M185" i="27"/>
  <c r="N2329" i="27"/>
  <c r="J185" i="27"/>
  <c r="L791" i="27"/>
  <c r="I791" i="27"/>
  <c r="O2329" i="27"/>
  <c r="N184" i="27"/>
  <c r="M193" i="27"/>
  <c r="J790" i="27"/>
  <c r="K172" i="27"/>
  <c r="X25" i="30"/>
  <c r="I187" i="27"/>
  <c r="M2329" i="27"/>
  <c r="G729" i="32"/>
  <c r="BC62" i="34"/>
  <c r="M184" i="27"/>
  <c r="A120" i="32"/>
  <c r="I185" i="27"/>
  <c r="J184" i="27"/>
  <c r="BD62" i="34"/>
  <c r="F2329" i="27"/>
  <c r="L25" i="30"/>
  <c r="J187" i="27"/>
  <c r="A432" i="32"/>
  <c r="I184" i="27"/>
  <c r="N185" i="27"/>
  <c r="K791" i="27"/>
  <c r="G118" i="32"/>
  <c r="G430" i="32"/>
  <c r="F2943" i="27" l="1"/>
  <c r="F2561" i="27"/>
  <c r="F2562" i="27" s="1"/>
  <c r="F2563" i="27" s="1"/>
  <c r="F2564" i="27" s="1"/>
  <c r="F2565" i="27" s="1"/>
  <c r="F2560" i="27"/>
  <c r="H792" i="27"/>
  <c r="AS61" i="34"/>
  <c r="U434" i="32"/>
  <c r="U733" i="32"/>
  <c r="U122" i="32"/>
  <c r="C273" i="24"/>
  <c r="AY63" i="34"/>
  <c r="AI31" i="30"/>
  <c r="N191" i="27"/>
  <c r="K181" i="27"/>
  <c r="M192" i="27"/>
  <c r="X27" i="30"/>
  <c r="N192" i="27"/>
  <c r="A733" i="32"/>
  <c r="K792" i="27"/>
  <c r="BC63" i="34"/>
  <c r="J192" i="27"/>
  <c r="N199" i="27"/>
  <c r="G693" i="27"/>
  <c r="I191" i="27"/>
  <c r="I192" i="27"/>
  <c r="M191" i="27"/>
  <c r="J191" i="27"/>
  <c r="K178" i="27"/>
  <c r="G692" i="27"/>
  <c r="A122" i="32"/>
  <c r="I792" i="27"/>
  <c r="G731" i="32"/>
  <c r="G432" i="32"/>
  <c r="N193" i="27"/>
  <c r="A434" i="32"/>
  <c r="I193" i="27"/>
  <c r="J190" i="27"/>
  <c r="J791" i="27"/>
  <c r="N190" i="27"/>
  <c r="BD63" i="34"/>
  <c r="N2330" i="27"/>
  <c r="O2330" i="27"/>
  <c r="F2330" i="27"/>
  <c r="G120" i="32"/>
  <c r="L792" i="27"/>
  <c r="M190" i="27"/>
  <c r="P27" i="30"/>
  <c r="G695" i="27"/>
  <c r="J193" i="27"/>
  <c r="I190" i="27"/>
  <c r="M2330" i="27"/>
  <c r="F2944" i="27" l="1"/>
  <c r="F2945" i="27"/>
  <c r="F2567" i="27"/>
  <c r="F2568" i="27" s="1"/>
  <c r="F2569" i="27" s="1"/>
  <c r="F2570" i="27" s="1"/>
  <c r="F2571" i="27" s="1"/>
  <c r="F2566" i="27"/>
  <c r="A791" i="27"/>
  <c r="H793" i="27"/>
  <c r="H794" i="27"/>
  <c r="AS62" i="34"/>
  <c r="U124" i="32"/>
  <c r="U735" i="32"/>
  <c r="U436" i="32"/>
  <c r="C274" i="24"/>
  <c r="AY64" i="34"/>
  <c r="AI33" i="30"/>
  <c r="F2331" i="27"/>
  <c r="K185" i="27"/>
  <c r="N197" i="27"/>
  <c r="A735" i="32"/>
  <c r="J197" i="27"/>
  <c r="J196" i="27"/>
  <c r="N2331" i="27"/>
  <c r="G700" i="27"/>
  <c r="N203" i="27"/>
  <c r="I196" i="27"/>
  <c r="BC64" i="34"/>
  <c r="M2331" i="27"/>
  <c r="G698" i="27"/>
  <c r="G122" i="32"/>
  <c r="N196" i="27"/>
  <c r="A124" i="32"/>
  <c r="J199" i="27"/>
  <c r="M196" i="27"/>
  <c r="G733" i="32"/>
  <c r="I198" i="27"/>
  <c r="K187" i="27"/>
  <c r="O2331" i="27"/>
  <c r="M197" i="27"/>
  <c r="G699" i="27"/>
  <c r="I197" i="27"/>
  <c r="I199" i="27"/>
  <c r="M199" i="27"/>
  <c r="X29" i="30"/>
  <c r="A436" i="32"/>
  <c r="J792" i="27"/>
  <c r="G434" i="32"/>
  <c r="G701" i="27"/>
  <c r="J198" i="27"/>
  <c r="N198" i="27"/>
  <c r="BD64" i="34"/>
  <c r="M198" i="27"/>
  <c r="L793" i="27"/>
  <c r="L794" i="27"/>
  <c r="F2946" i="27" l="1"/>
  <c r="F2573" i="27"/>
  <c r="F2574" i="27" s="1"/>
  <c r="F2575" i="27" s="1"/>
  <c r="F2576" i="27" s="1"/>
  <c r="F2577" i="27" s="1"/>
  <c r="F2572" i="27"/>
  <c r="A792" i="27"/>
  <c r="H795" i="27"/>
  <c r="AS63" i="34"/>
  <c r="U438" i="32"/>
  <c r="U737" i="32"/>
  <c r="U126" i="32"/>
  <c r="C275" i="24"/>
  <c r="AY65" i="34"/>
  <c r="AI35" i="30"/>
  <c r="AP9" i="34"/>
  <c r="K794" i="27"/>
  <c r="M205" i="27"/>
  <c r="M202" i="27"/>
  <c r="N209" i="27"/>
  <c r="J794" i="27"/>
  <c r="M2332" i="27"/>
  <c r="L795" i="27"/>
  <c r="G707" i="27"/>
  <c r="N205" i="27"/>
  <c r="G735" i="32"/>
  <c r="J202" i="27"/>
  <c r="G436" i="32"/>
  <c r="BD65" i="34"/>
  <c r="N2332" i="27"/>
  <c r="N204" i="27"/>
  <c r="J793" i="27"/>
  <c r="K193" i="27"/>
  <c r="K793" i="27"/>
  <c r="F2332" i="27"/>
  <c r="X31" i="30"/>
  <c r="I204" i="27"/>
  <c r="J204" i="27"/>
  <c r="G704" i="27"/>
  <c r="M204" i="27"/>
  <c r="J205" i="27"/>
  <c r="G706" i="27"/>
  <c r="L2277" i="27"/>
  <c r="A737" i="32"/>
  <c r="K795" i="27"/>
  <c r="J203" i="27"/>
  <c r="I203" i="27"/>
  <c r="I202" i="27"/>
  <c r="BC65" i="34"/>
  <c r="I205" i="27"/>
  <c r="G705" i="27"/>
  <c r="A126" i="32"/>
  <c r="N202" i="27"/>
  <c r="O2332" i="27"/>
  <c r="I793" i="27"/>
  <c r="M203" i="27"/>
  <c r="G124" i="32"/>
  <c r="A438" i="32"/>
  <c r="F2947" i="27" l="1"/>
  <c r="F2578" i="27"/>
  <c r="F2579" i="27"/>
  <c r="F2580" i="27" s="1"/>
  <c r="F2581" i="27" s="1"/>
  <c r="F2582" i="27" s="1"/>
  <c r="F2583" i="27" s="1"/>
  <c r="AR9" i="34"/>
  <c r="A793" i="27"/>
  <c r="H796" i="27"/>
  <c r="AS64" i="34"/>
  <c r="U128" i="32"/>
  <c r="U739" i="32"/>
  <c r="U440" i="32"/>
  <c r="P621" i="32"/>
  <c r="P623" i="32" s="1"/>
  <c r="P625" i="32" s="1"/>
  <c r="P627" i="32" s="1"/>
  <c r="P629" i="32" s="1"/>
  <c r="P631" i="32" s="1"/>
  <c r="P633" i="32" s="1"/>
  <c r="P635" i="32" s="1"/>
  <c r="P637" i="32" s="1"/>
  <c r="P639" i="32" s="1"/>
  <c r="P641" i="32" s="1"/>
  <c r="P643" i="32" s="1"/>
  <c r="P645" i="32" s="1"/>
  <c r="P647" i="32" s="1"/>
  <c r="P649" i="32" s="1"/>
  <c r="P651" i="32" s="1"/>
  <c r="P653" i="32" s="1"/>
  <c r="P655" i="32" s="1"/>
  <c r="P657" i="32" s="1"/>
  <c r="P659" i="32" s="1"/>
  <c r="P661" i="32" s="1"/>
  <c r="AY66" i="34"/>
  <c r="AI37" i="30"/>
  <c r="AQ9" i="34"/>
  <c r="A739" i="32"/>
  <c r="G126" i="32"/>
  <c r="J209" i="27"/>
  <c r="G438" i="32"/>
  <c r="M2333" i="27"/>
  <c r="I211" i="27"/>
  <c r="J210" i="27"/>
  <c r="O2333" i="27"/>
  <c r="N211" i="27"/>
  <c r="BC66" i="34"/>
  <c r="G713" i="27"/>
  <c r="A128" i="32"/>
  <c r="N215" i="27"/>
  <c r="I209" i="27"/>
  <c r="M208" i="27"/>
  <c r="G710" i="27"/>
  <c r="I210" i="27"/>
  <c r="N208" i="27"/>
  <c r="A440" i="32"/>
  <c r="M210" i="27"/>
  <c r="J795" i="27"/>
  <c r="N210" i="27"/>
  <c r="I208" i="27"/>
  <c r="G711" i="27"/>
  <c r="J208" i="27"/>
  <c r="G737" i="32"/>
  <c r="G712" i="27"/>
  <c r="BD66" i="34"/>
  <c r="N2333" i="27"/>
  <c r="L796" i="27"/>
  <c r="F2333" i="27"/>
  <c r="M211" i="27"/>
  <c r="X33" i="30"/>
  <c r="M209" i="27"/>
  <c r="J211" i="27"/>
  <c r="K199" i="27"/>
  <c r="K796" i="27"/>
  <c r="Q621" i="32" l="1"/>
  <c r="P663" i="32"/>
  <c r="Q661" i="32"/>
  <c r="Q623" i="32"/>
  <c r="Q641" i="32"/>
  <c r="Q643" i="32"/>
  <c r="Q647" i="32"/>
  <c r="Q635" i="32"/>
  <c r="Q637" i="32"/>
  <c r="Q633" i="32"/>
  <c r="Q657" i="32"/>
  <c r="Q625" i="32"/>
  <c r="Q629" i="32"/>
  <c r="Q631" i="32"/>
  <c r="Q639" i="32"/>
  <c r="Q653" i="32"/>
  <c r="Q659" i="32"/>
  <c r="Q655" i="32"/>
  <c r="Q645" i="32"/>
  <c r="Q649" i="32"/>
  <c r="Q627" i="32"/>
  <c r="Q651" i="32"/>
  <c r="F2948" i="27"/>
  <c r="F2585" i="27"/>
  <c r="F2586" i="27" s="1"/>
  <c r="F2587" i="27" s="1"/>
  <c r="F2588" i="27" s="1"/>
  <c r="F2589" i="27" s="1"/>
  <c r="F2584" i="27"/>
  <c r="H797" i="27"/>
  <c r="AS65" i="34"/>
  <c r="U442" i="32"/>
  <c r="U741" i="32"/>
  <c r="U130" i="32"/>
  <c r="AY67" i="34"/>
  <c r="H2" i="29"/>
  <c r="K797" i="27"/>
  <c r="J796" i="27"/>
  <c r="J215" i="27"/>
  <c r="J217" i="27"/>
  <c r="M217" i="27"/>
  <c r="X35" i="30"/>
  <c r="L797" i="27"/>
  <c r="A130" i="32"/>
  <c r="M216" i="27"/>
  <c r="N2334" i="27"/>
  <c r="M215" i="27"/>
  <c r="I216" i="27"/>
  <c r="BC67" i="34"/>
  <c r="O2334" i="27"/>
  <c r="I214" i="27"/>
  <c r="N214" i="27"/>
  <c r="I797" i="27"/>
  <c r="BD67" i="34"/>
  <c r="I217" i="27"/>
  <c r="G717" i="27"/>
  <c r="G716" i="27"/>
  <c r="F2334" i="27"/>
  <c r="A741" i="32"/>
  <c r="M2334" i="27"/>
  <c r="N216" i="27"/>
  <c r="G128" i="32"/>
  <c r="J214" i="27"/>
  <c r="M214" i="27"/>
  <c r="G718" i="27"/>
  <c r="A442" i="32"/>
  <c r="J216" i="27"/>
  <c r="I215" i="27"/>
  <c r="N217" i="27"/>
  <c r="K205" i="27"/>
  <c r="G440" i="32"/>
  <c r="G719" i="27"/>
  <c r="G739" i="32"/>
  <c r="P665" i="32" l="1"/>
  <c r="Q663" i="32"/>
  <c r="F2949" i="27"/>
  <c r="F2591" i="27"/>
  <c r="F2592" i="27" s="1"/>
  <c r="F2593" i="27" s="1"/>
  <c r="F2594" i="27" s="1"/>
  <c r="F2595" i="27" s="1"/>
  <c r="F2590" i="27"/>
  <c r="H798" i="27"/>
  <c r="AS66" i="34"/>
  <c r="U132" i="32"/>
  <c r="U743" i="32"/>
  <c r="U444" i="32"/>
  <c r="C278" i="24"/>
  <c r="AY68" i="34"/>
  <c r="G2" i="29"/>
  <c r="F2" i="29"/>
  <c r="A132" i="32"/>
  <c r="G741" i="32"/>
  <c r="A743" i="32"/>
  <c r="BC68" i="34"/>
  <c r="G130" i="32"/>
  <c r="O2335" i="27"/>
  <c r="G723" i="27"/>
  <c r="F2335" i="27"/>
  <c r="M2335" i="27"/>
  <c r="BD68" i="34"/>
  <c r="X37" i="30"/>
  <c r="K798" i="27"/>
  <c r="G442" i="32"/>
  <c r="G725" i="27"/>
  <c r="K211" i="27"/>
  <c r="J797" i="27"/>
  <c r="N2335" i="27"/>
  <c r="G724" i="27"/>
  <c r="G722" i="27"/>
  <c r="A444" i="32"/>
  <c r="L798" i="27"/>
  <c r="P667" i="32" l="1"/>
  <c r="Q665" i="32"/>
  <c r="F2951" i="27"/>
  <c r="F2950" i="27"/>
  <c r="F2597" i="27"/>
  <c r="F2598" i="27" s="1"/>
  <c r="F2599" i="27" s="1"/>
  <c r="F2600" i="27" s="1"/>
  <c r="F2601" i="27" s="1"/>
  <c r="F2596" i="27"/>
  <c r="A797" i="27"/>
  <c r="H800" i="27"/>
  <c r="H799" i="27"/>
  <c r="AS67" i="34"/>
  <c r="U446" i="32"/>
  <c r="U745" i="32"/>
  <c r="U134" i="32"/>
  <c r="C279" i="24"/>
  <c r="AY69" i="34"/>
  <c r="G3" i="29"/>
  <c r="F3" i="29"/>
  <c r="E2" i="29"/>
  <c r="D2" i="29"/>
  <c r="D3" i="29" s="1"/>
  <c r="G132" i="32"/>
  <c r="F2336" i="27"/>
  <c r="BD69" i="34"/>
  <c r="J798" i="27"/>
  <c r="BC69" i="34"/>
  <c r="O2336" i="27"/>
  <c r="A446" i="32"/>
  <c r="K217" i="27"/>
  <c r="N2336" i="27"/>
  <c r="M2336" i="27"/>
  <c r="A745" i="32"/>
  <c r="I798" i="27"/>
  <c r="G743" i="32"/>
  <c r="A134" i="32"/>
  <c r="L800" i="27"/>
  <c r="G444" i="32"/>
  <c r="I799" i="27"/>
  <c r="K800" i="27"/>
  <c r="P669" i="32" l="1"/>
  <c r="Q667" i="32"/>
  <c r="F2952" i="27"/>
  <c r="F2602" i="27"/>
  <c r="F2603" i="27"/>
  <c r="F2604" i="27" s="1"/>
  <c r="F2605" i="27" s="1"/>
  <c r="F2606" i="27" s="1"/>
  <c r="F2607" i="27" s="1"/>
  <c r="A798" i="27"/>
  <c r="H801" i="27"/>
  <c r="AS68" i="34"/>
  <c r="U448" i="32"/>
  <c r="U136" i="32"/>
  <c r="U747" i="32"/>
  <c r="C280" i="24"/>
  <c r="AY70" i="34"/>
  <c r="B9" i="29"/>
  <c r="E3" i="29"/>
  <c r="C2" i="29"/>
  <c r="C3" i="29" s="1"/>
  <c r="BC70" i="34"/>
  <c r="J800" i="27"/>
  <c r="L799" i="27"/>
  <c r="M2337" i="27"/>
  <c r="BD70" i="34"/>
  <c r="N2337" i="27"/>
  <c r="A448" i="32"/>
  <c r="A747" i="32"/>
  <c r="G134" i="32"/>
  <c r="J799" i="27"/>
  <c r="K799" i="27"/>
  <c r="G745" i="32"/>
  <c r="G446" i="32"/>
  <c r="O2337" i="27"/>
  <c r="F2337" i="27"/>
  <c r="A136" i="32"/>
  <c r="K801" i="27"/>
  <c r="P671" i="32" l="1"/>
  <c r="Q669" i="32"/>
  <c r="F2953" i="27"/>
  <c r="F2609" i="27"/>
  <c r="F2610" i="27" s="1"/>
  <c r="F2611" i="27" s="1"/>
  <c r="F2612" i="27" s="1"/>
  <c r="F2613" i="27" s="1"/>
  <c r="F2608" i="27"/>
  <c r="A799" i="27"/>
  <c r="H802" i="27"/>
  <c r="AS69" i="34"/>
  <c r="U749" i="32"/>
  <c r="U138" i="32"/>
  <c r="U450" i="32"/>
  <c r="C281" i="24"/>
  <c r="AY71" i="34"/>
  <c r="B10" i="29"/>
  <c r="C10" i="29" s="1"/>
  <c r="C9" i="29"/>
  <c r="B2" i="29"/>
  <c r="B3" i="29" s="1"/>
  <c r="BD71" i="34"/>
  <c r="G747" i="32"/>
  <c r="A138" i="32"/>
  <c r="A749" i="32"/>
  <c r="N2338" i="27"/>
  <c r="G136" i="32"/>
  <c r="G448" i="32"/>
  <c r="L802" i="27"/>
  <c r="K802" i="27"/>
  <c r="BC71" i="34"/>
  <c r="A450" i="32"/>
  <c r="M2338" i="27"/>
  <c r="L801" i="27"/>
  <c r="O2338" i="27"/>
  <c r="J801" i="27"/>
  <c r="F2338" i="27"/>
  <c r="P673" i="32" l="1"/>
  <c r="Q671" i="32"/>
  <c r="F2954" i="27"/>
  <c r="F2615" i="27"/>
  <c r="F2616" i="27" s="1"/>
  <c r="F2617" i="27" s="1"/>
  <c r="F2618" i="27" s="1"/>
  <c r="F2619" i="27" s="1"/>
  <c r="F2614" i="27"/>
  <c r="H803" i="27"/>
  <c r="AS70" i="34"/>
  <c r="U452" i="32"/>
  <c r="U140" i="32"/>
  <c r="U751" i="32"/>
  <c r="C282" i="24"/>
  <c r="AY72" i="34"/>
  <c r="A452" i="32"/>
  <c r="M2339" i="27"/>
  <c r="I803" i="27"/>
  <c r="BC72" i="34"/>
  <c r="G749" i="32"/>
  <c r="F2339" i="27"/>
  <c r="J802" i="27"/>
  <c r="G450" i="32"/>
  <c r="N2339" i="27"/>
  <c r="BD72" i="34"/>
  <c r="A751" i="32"/>
  <c r="A140" i="32"/>
  <c r="G138" i="32"/>
  <c r="O2339" i="27"/>
  <c r="K803" i="27"/>
  <c r="P675" i="32" l="1"/>
  <c r="Q673" i="32"/>
  <c r="F2955" i="27"/>
  <c r="F2621" i="27"/>
  <c r="F2622" i="27" s="1"/>
  <c r="F2623" i="27" s="1"/>
  <c r="F2624" i="27" s="1"/>
  <c r="F2625" i="27" s="1"/>
  <c r="F2620" i="27"/>
  <c r="H804" i="27"/>
  <c r="AS71" i="34"/>
  <c r="U753" i="32"/>
  <c r="U142" i="32"/>
  <c r="U454" i="32"/>
  <c r="C283" i="24"/>
  <c r="AY73" i="34"/>
  <c r="I54" i="24"/>
  <c r="I56" i="24"/>
  <c r="I58" i="24"/>
  <c r="I60" i="24"/>
  <c r="I62" i="24"/>
  <c r="I64" i="24"/>
  <c r="I66" i="24"/>
  <c r="I68" i="24"/>
  <c r="I70" i="24"/>
  <c r="I72" i="24"/>
  <c r="I74" i="24"/>
  <c r="I76" i="24"/>
  <c r="H70" i="24"/>
  <c r="H68" i="24"/>
  <c r="H66" i="24"/>
  <c r="H64" i="24"/>
  <c r="H62" i="24"/>
  <c r="H60" i="24"/>
  <c r="H58" i="24"/>
  <c r="H56" i="24"/>
  <c r="B135" i="24"/>
  <c r="B133" i="24"/>
  <c r="B131" i="24"/>
  <c r="B129" i="24"/>
  <c r="B123" i="24"/>
  <c r="B121" i="24"/>
  <c r="B117" i="24"/>
  <c r="B111" i="24"/>
  <c r="B83" i="24"/>
  <c r="B75" i="24"/>
  <c r="B71" i="24"/>
  <c r="B69" i="24"/>
  <c r="B81" i="24"/>
  <c r="B73" i="24"/>
  <c r="B79" i="24"/>
  <c r="B77" i="24"/>
  <c r="B67" i="24"/>
  <c r="B65" i="24"/>
  <c r="B63" i="24"/>
  <c r="B61" i="24"/>
  <c r="B59" i="24"/>
  <c r="B57" i="24"/>
  <c r="B55" i="24"/>
  <c r="O82" i="24"/>
  <c r="O80" i="24"/>
  <c r="O78" i="24"/>
  <c r="O76" i="24"/>
  <c r="O74" i="24"/>
  <c r="O72" i="24"/>
  <c r="O70" i="24"/>
  <c r="O68" i="24"/>
  <c r="O66" i="24"/>
  <c r="O64" i="24"/>
  <c r="O62" i="24"/>
  <c r="O60" i="24"/>
  <c r="O58" i="24"/>
  <c r="O56" i="24"/>
  <c r="O54" i="24"/>
  <c r="N82" i="24"/>
  <c r="N80" i="24"/>
  <c r="N78" i="24"/>
  <c r="N76" i="24"/>
  <c r="N74" i="24"/>
  <c r="N70" i="24"/>
  <c r="N68" i="24"/>
  <c r="N66" i="24"/>
  <c r="N60" i="24"/>
  <c r="N58" i="24"/>
  <c r="N56" i="24"/>
  <c r="J82" i="24"/>
  <c r="J80" i="24"/>
  <c r="I82" i="24"/>
  <c r="I80" i="24"/>
  <c r="I78" i="24"/>
  <c r="E82" i="24"/>
  <c r="E80" i="24"/>
  <c r="E78" i="24"/>
  <c r="E76" i="24"/>
  <c r="E74" i="24"/>
  <c r="E72" i="24"/>
  <c r="E70" i="24"/>
  <c r="E68" i="24"/>
  <c r="E66" i="24"/>
  <c r="E62" i="24"/>
  <c r="E60" i="24"/>
  <c r="E58" i="24"/>
  <c r="E56" i="24"/>
  <c r="E54" i="24"/>
  <c r="B82" i="24"/>
  <c r="B80" i="24"/>
  <c r="B54" i="24"/>
  <c r="AH9" i="30" a="1"/>
  <c r="AH9" i="30" s="1"/>
  <c r="AO56" i="24"/>
  <c r="AO64" i="24"/>
  <c r="AO72" i="24"/>
  <c r="AO80" i="24"/>
  <c r="AO58" i="24"/>
  <c r="AO66" i="24"/>
  <c r="AO74" i="24"/>
  <c r="AO82" i="24"/>
  <c r="AO60" i="24"/>
  <c r="AO68" i="24"/>
  <c r="AO76" i="24"/>
  <c r="AO62" i="24"/>
  <c r="AO70" i="24"/>
  <c r="AO78" i="24"/>
  <c r="AO54" i="24"/>
  <c r="AG9" i="30"/>
  <c r="AE9" i="30" a="1"/>
  <c r="AE9" i="30" s="1"/>
  <c r="H9" i="30" s="1"/>
  <c r="AF9" i="30" s="1"/>
  <c r="L803" i="27"/>
  <c r="F2340" i="27"/>
  <c r="A753" i="32"/>
  <c r="L804" i="27"/>
  <c r="J803" i="27"/>
  <c r="G751" i="32"/>
  <c r="N2340" i="27"/>
  <c r="M2340" i="27"/>
  <c r="BD73" i="34"/>
  <c r="M19" i="27"/>
  <c r="G140" i="32"/>
  <c r="A142" i="32"/>
  <c r="A454" i="32"/>
  <c r="BC73" i="34"/>
  <c r="O2340" i="27"/>
  <c r="G452" i="32"/>
  <c r="M3" i="27"/>
  <c r="K804" i="27"/>
  <c r="P677" i="32" l="1"/>
  <c r="Q675" i="32"/>
  <c r="F2956" i="27"/>
  <c r="F2957" i="27"/>
  <c r="F2626" i="27"/>
  <c r="F2627" i="27"/>
  <c r="F2628" i="27" s="1"/>
  <c r="F2629" i="27" s="1"/>
  <c r="F2630" i="27" s="1"/>
  <c r="F2631" i="27" s="1"/>
  <c r="A803" i="27"/>
  <c r="H805" i="27"/>
  <c r="H806" i="27"/>
  <c r="A19" i="27"/>
  <c r="A3" i="27"/>
  <c r="AS72" i="34"/>
  <c r="U456" i="32"/>
  <c r="U144" i="32"/>
  <c r="U755" i="32"/>
  <c r="C10" i="32"/>
  <c r="K1333" i="27" s="1"/>
  <c r="C12" i="32"/>
  <c r="K1334" i="27" s="1"/>
  <c r="C14" i="32"/>
  <c r="K1335" i="27" s="1"/>
  <c r="C16" i="32"/>
  <c r="K1336" i="27" s="1"/>
  <c r="C18" i="32"/>
  <c r="K1337" i="27" s="1"/>
  <c r="C20" i="32"/>
  <c r="K1338" i="27" s="1"/>
  <c r="C22" i="32"/>
  <c r="K1339" i="27" s="1"/>
  <c r="C24" i="32"/>
  <c r="K1340" i="27" s="1"/>
  <c r="C26" i="32"/>
  <c r="C28" i="32"/>
  <c r="N54" i="24"/>
  <c r="AY74" i="34"/>
  <c r="B171" i="24"/>
  <c r="B204" i="24"/>
  <c r="I181" i="24"/>
  <c r="F195" i="24"/>
  <c r="J187" i="24"/>
  <c r="F205" i="24"/>
  <c r="B202" i="24"/>
  <c r="F177" i="24"/>
  <c r="I189" i="24"/>
  <c r="H185" i="24"/>
  <c r="AO187" i="24"/>
  <c r="B160" i="24"/>
  <c r="I175" i="24"/>
  <c r="D187" i="24"/>
  <c r="AO155" i="24"/>
  <c r="H203" i="24"/>
  <c r="D181" i="24"/>
  <c r="C201" i="24"/>
  <c r="B195" i="24"/>
  <c r="J201" i="24"/>
  <c r="J167" i="24"/>
  <c r="H183" i="24"/>
  <c r="H179" i="24"/>
  <c r="B152" i="24"/>
  <c r="B163" i="24"/>
  <c r="H151" i="24"/>
  <c r="J199" i="24"/>
  <c r="D163" i="24"/>
  <c r="D173" i="24"/>
  <c r="J185" i="24"/>
  <c r="K163" i="24"/>
  <c r="J205" i="24"/>
  <c r="J195" i="24"/>
  <c r="C207" i="24"/>
  <c r="H195" i="24"/>
  <c r="F193" i="24"/>
  <c r="B156" i="24"/>
  <c r="H153" i="24"/>
  <c r="AO181" i="24"/>
  <c r="B168" i="24"/>
  <c r="K177" i="24"/>
  <c r="F183" i="24"/>
  <c r="I157" i="24"/>
  <c r="D189" i="24"/>
  <c r="B174" i="24"/>
  <c r="AO183" i="24"/>
  <c r="I149" i="24"/>
  <c r="D177" i="24"/>
  <c r="AO197" i="24"/>
  <c r="F203" i="24"/>
  <c r="C157" i="24"/>
  <c r="D199" i="24"/>
  <c r="J165" i="24"/>
  <c r="B172" i="24"/>
  <c r="B170" i="24"/>
  <c r="B191" i="24"/>
  <c r="C153" i="24"/>
  <c r="K183" i="24"/>
  <c r="C183" i="24"/>
  <c r="C189" i="24"/>
  <c r="K193" i="24"/>
  <c r="I195" i="24"/>
  <c r="B205" i="24"/>
  <c r="B150" i="24"/>
  <c r="B185" i="24"/>
  <c r="I183" i="24"/>
  <c r="D169" i="24"/>
  <c r="B151" i="24"/>
  <c r="K157" i="24"/>
  <c r="D149" i="24"/>
  <c r="J151" i="24"/>
  <c r="H177" i="24"/>
  <c r="B162" i="24"/>
  <c r="C167" i="24"/>
  <c r="H207" i="24"/>
  <c r="I205" i="24"/>
  <c r="K201" i="24"/>
  <c r="B178" i="24"/>
  <c r="I155" i="24"/>
  <c r="D205" i="24"/>
  <c r="D175" i="24"/>
  <c r="AO179" i="24"/>
  <c r="AO207" i="24"/>
  <c r="B188" i="24"/>
  <c r="J169" i="24"/>
  <c r="AO195" i="24"/>
  <c r="I193" i="24"/>
  <c r="D165" i="24"/>
  <c r="J163" i="24"/>
  <c r="B158" i="24"/>
  <c r="H193" i="24"/>
  <c r="K155" i="24"/>
  <c r="I199" i="24"/>
  <c r="I191" i="24"/>
  <c r="C169" i="24"/>
  <c r="H165" i="24"/>
  <c r="H157" i="24"/>
  <c r="F197" i="24"/>
  <c r="H149" i="24"/>
  <c r="AO159" i="24"/>
  <c r="B166" i="24"/>
  <c r="K199" i="24"/>
  <c r="D171" i="24"/>
  <c r="AO203" i="24"/>
  <c r="D183" i="24"/>
  <c r="F191" i="24"/>
  <c r="K153" i="24"/>
  <c r="AO185" i="24"/>
  <c r="F187" i="24"/>
  <c r="AO167" i="24"/>
  <c r="AO201" i="24"/>
  <c r="K195" i="24"/>
  <c r="K167" i="24"/>
  <c r="C159" i="24"/>
  <c r="AO191" i="24"/>
  <c r="I151" i="24"/>
  <c r="D195" i="24"/>
  <c r="B183" i="24"/>
  <c r="J153" i="24"/>
  <c r="C149" i="24"/>
  <c r="B161" i="24"/>
  <c r="C151" i="24"/>
  <c r="AO193" i="24"/>
  <c r="J179" i="24"/>
  <c r="H199" i="24"/>
  <c r="B149" i="24"/>
  <c r="I171" i="24"/>
  <c r="B196" i="24"/>
  <c r="B169" i="24"/>
  <c r="I177" i="24"/>
  <c r="B167" i="24"/>
  <c r="B190" i="24"/>
  <c r="K185" i="24"/>
  <c r="H171" i="24"/>
  <c r="F169" i="24"/>
  <c r="AO169" i="24"/>
  <c r="AO161" i="24"/>
  <c r="B157" i="24"/>
  <c r="K171" i="24"/>
  <c r="B154" i="24"/>
  <c r="I187" i="24"/>
  <c r="D157" i="24"/>
  <c r="H205" i="24"/>
  <c r="K179" i="24"/>
  <c r="AO165" i="24"/>
  <c r="I203" i="24"/>
  <c r="B197" i="24"/>
  <c r="K149" i="24"/>
  <c r="AO173" i="24"/>
  <c r="F157" i="24"/>
  <c r="C193" i="24"/>
  <c r="H155" i="24"/>
  <c r="B179" i="24"/>
  <c r="B201" i="24"/>
  <c r="F207" i="24"/>
  <c r="F201" i="24"/>
  <c r="K207" i="24"/>
  <c r="K151" i="24"/>
  <c r="I207" i="24"/>
  <c r="C177" i="24"/>
  <c r="I197" i="24"/>
  <c r="B176" i="24"/>
  <c r="B192" i="24"/>
  <c r="D151" i="24"/>
  <c r="H169" i="24"/>
  <c r="C185" i="24"/>
  <c r="B208" i="24"/>
  <c r="H201" i="24"/>
  <c r="C187" i="24"/>
  <c r="J197" i="24"/>
  <c r="AO153" i="24"/>
  <c r="B175" i="24"/>
  <c r="B182" i="24"/>
  <c r="AO163" i="24"/>
  <c r="K159" i="24"/>
  <c r="F199" i="24"/>
  <c r="I173" i="24"/>
  <c r="J161" i="24"/>
  <c r="I179" i="24"/>
  <c r="D153" i="24"/>
  <c r="K169" i="24"/>
  <c r="C181" i="24"/>
  <c r="D191" i="24"/>
  <c r="D197" i="24"/>
  <c r="C175" i="24"/>
  <c r="F155" i="24"/>
  <c r="I161" i="24"/>
  <c r="B164" i="24"/>
  <c r="C173" i="24"/>
  <c r="J207" i="24"/>
  <c r="AO171" i="24"/>
  <c r="I153" i="24"/>
  <c r="AO149" i="24"/>
  <c r="B153" i="24"/>
  <c r="C197" i="24"/>
  <c r="J203" i="24"/>
  <c r="J177" i="24"/>
  <c r="C161" i="24"/>
  <c r="AO199" i="24"/>
  <c r="I165" i="24"/>
  <c r="F161" i="24"/>
  <c r="I185" i="24"/>
  <c r="B173" i="24"/>
  <c r="C155" i="24"/>
  <c r="D159" i="24"/>
  <c r="H167" i="24"/>
  <c r="D193" i="24"/>
  <c r="K165" i="24"/>
  <c r="D185" i="24"/>
  <c r="B200" i="24"/>
  <c r="J155" i="24"/>
  <c r="J157" i="24"/>
  <c r="B165" i="24"/>
  <c r="I169" i="24"/>
  <c r="D161" i="24"/>
  <c r="J183" i="24"/>
  <c r="J159" i="24"/>
  <c r="B194" i="24"/>
  <c r="I159" i="24"/>
  <c r="K173" i="24"/>
  <c r="K187" i="24"/>
  <c r="D203" i="24"/>
  <c r="D155" i="24"/>
  <c r="B203" i="24"/>
  <c r="F153" i="24"/>
  <c r="AO205" i="24"/>
  <c r="B187" i="24"/>
  <c r="B206" i="24"/>
  <c r="B198" i="24"/>
  <c r="C179" i="24"/>
  <c r="I163" i="24"/>
  <c r="K175" i="24"/>
  <c r="F149" i="24"/>
  <c r="H187" i="24"/>
  <c r="H161" i="24"/>
  <c r="B181" i="24"/>
  <c r="AO175" i="24"/>
  <c r="C163" i="24"/>
  <c r="AO189" i="24"/>
  <c r="K189" i="24"/>
  <c r="D167" i="24"/>
  <c r="K205" i="24"/>
  <c r="C171" i="24"/>
  <c r="J171" i="24"/>
  <c r="B207" i="24"/>
  <c r="B193" i="24"/>
  <c r="B184" i="24"/>
  <c r="B177" i="24"/>
  <c r="AO151" i="24"/>
  <c r="K161" i="24"/>
  <c r="K203" i="24"/>
  <c r="B180" i="24"/>
  <c r="F189" i="24"/>
  <c r="D207" i="24"/>
  <c r="H197" i="24"/>
  <c r="F167" i="24"/>
  <c r="C191" i="24"/>
  <c r="F185" i="24"/>
  <c r="H175" i="24"/>
  <c r="B186" i="24"/>
  <c r="C205" i="24"/>
  <c r="J149" i="24"/>
  <c r="B155" i="24"/>
  <c r="K191" i="24"/>
  <c r="AO177" i="24"/>
  <c r="B189" i="24"/>
  <c r="D201" i="24"/>
  <c r="AO157" i="24"/>
  <c r="F181" i="24"/>
  <c r="K181" i="24"/>
  <c r="I167" i="24"/>
  <c r="J175" i="24"/>
  <c r="F171" i="24"/>
  <c r="B199" i="24"/>
  <c r="C203" i="24"/>
  <c r="I201" i="24"/>
  <c r="J193" i="24"/>
  <c r="C199" i="24"/>
  <c r="F151" i="24"/>
  <c r="F179" i="24"/>
  <c r="C195" i="24"/>
  <c r="F175" i="24"/>
  <c r="H163" i="24"/>
  <c r="F163" i="24"/>
  <c r="B159" i="24"/>
  <c r="F165" i="24"/>
  <c r="K197" i="24"/>
  <c r="D179" i="24"/>
  <c r="C165" i="24"/>
  <c r="AG25" i="30"/>
  <c r="AE25" i="30" a="1"/>
  <c r="AE25" i="30" s="1"/>
  <c r="H25" i="30" s="1"/>
  <c r="AH25" i="30" a="1"/>
  <c r="AH25" i="30" s="1"/>
  <c r="B70" i="24"/>
  <c r="AG15" i="30"/>
  <c r="AH15" i="30" a="1"/>
  <c r="AH15" i="30" s="1"/>
  <c r="AE15" i="30" a="1"/>
  <c r="AE15" i="30" s="1"/>
  <c r="H15" i="30" s="1"/>
  <c r="AG23" i="30"/>
  <c r="AE23" i="30" a="1"/>
  <c r="AE23" i="30" s="1"/>
  <c r="H23" i="30" s="1"/>
  <c r="AH23" i="30" a="1"/>
  <c r="AH23" i="30" s="1"/>
  <c r="B68" i="24"/>
  <c r="AG31" i="30"/>
  <c r="AE31" i="30" a="1"/>
  <c r="AE31" i="30" s="1"/>
  <c r="H31" i="30" s="1"/>
  <c r="AH31" i="30" a="1"/>
  <c r="AH31" i="30" s="1"/>
  <c r="B76" i="24"/>
  <c r="AG13" i="30"/>
  <c r="AE13" i="30" a="1"/>
  <c r="AE13" i="30" s="1"/>
  <c r="H13" i="30" s="1"/>
  <c r="AH13" i="30" a="1"/>
  <c r="AH13" i="30" s="1"/>
  <c r="B58" i="24"/>
  <c r="AG21" i="30"/>
  <c r="AH21" i="30" a="1"/>
  <c r="AH21" i="30" s="1"/>
  <c r="AE21" i="30" a="1"/>
  <c r="AE21" i="30" s="1"/>
  <c r="H21" i="30" s="1"/>
  <c r="B66" i="24"/>
  <c r="AG29" i="30"/>
  <c r="AE29" i="30" a="1"/>
  <c r="AE29" i="30" s="1"/>
  <c r="H29" i="30" s="1"/>
  <c r="AH29" i="30" a="1"/>
  <c r="AH29" i="30" s="1"/>
  <c r="B74" i="24"/>
  <c r="AG17" i="30"/>
  <c r="AH17" i="30" a="1"/>
  <c r="AH17" i="30" s="1"/>
  <c r="AE17" i="30" a="1"/>
  <c r="AE17" i="30" s="1"/>
  <c r="H17" i="30" s="1"/>
  <c r="B62" i="24"/>
  <c r="AG33" i="30"/>
  <c r="AH33" i="30" a="1"/>
  <c r="AH33" i="30" s="1"/>
  <c r="AE33" i="30" a="1"/>
  <c r="AE33" i="30" s="1"/>
  <c r="H33" i="30" s="1"/>
  <c r="B78" i="24"/>
  <c r="AG11" i="30"/>
  <c r="AE11" i="30" a="1"/>
  <c r="AE11" i="30" s="1"/>
  <c r="H11" i="30" s="1"/>
  <c r="AH11" i="30" a="1"/>
  <c r="AH11" i="30" s="1"/>
  <c r="B56" i="24"/>
  <c r="AE19" i="30" a="1"/>
  <c r="AE19" i="30" s="1"/>
  <c r="H19" i="30" s="1"/>
  <c r="AH19" i="30" a="1"/>
  <c r="AH19" i="30" s="1"/>
  <c r="B64" i="24"/>
  <c r="AG27" i="30"/>
  <c r="AE27" i="30" a="1"/>
  <c r="AE27" i="30" s="1"/>
  <c r="H27" i="30" s="1"/>
  <c r="AH27" i="30" a="1"/>
  <c r="AH27" i="30" s="1"/>
  <c r="B72" i="24"/>
  <c r="J54" i="24"/>
  <c r="I804" i="27"/>
  <c r="M20" i="27"/>
  <c r="K805" i="27"/>
  <c r="A755" i="32"/>
  <c r="BC74" i="34"/>
  <c r="O2341" i="27"/>
  <c r="G753" i="32"/>
  <c r="J804" i="27"/>
  <c r="M23" i="27"/>
  <c r="G142" i="32"/>
  <c r="A144" i="32"/>
  <c r="M22" i="27"/>
  <c r="K806" i="27"/>
  <c r="M28" i="27"/>
  <c r="M29" i="27"/>
  <c r="N2341" i="27"/>
  <c r="M21" i="27"/>
  <c r="F2341" i="27"/>
  <c r="M26" i="27"/>
  <c r="M25" i="27"/>
  <c r="M30" i="27"/>
  <c r="L806" i="27"/>
  <c r="M31" i="27"/>
  <c r="M2341" i="27"/>
  <c r="A456" i="32"/>
  <c r="I805" i="27"/>
  <c r="M27" i="27"/>
  <c r="M24" i="27"/>
  <c r="G454" i="32"/>
  <c r="L805" i="27"/>
  <c r="BD74" i="34"/>
  <c r="P679" i="32" l="1"/>
  <c r="Q677" i="32"/>
  <c r="F2958" i="27"/>
  <c r="F2633" i="27"/>
  <c r="F2634" i="27" s="1"/>
  <c r="F2635" i="27" s="1"/>
  <c r="F2636" i="27" s="1"/>
  <c r="F2637" i="27" s="1"/>
  <c r="F2632" i="27"/>
  <c r="W18" i="32"/>
  <c r="K1187" i="27"/>
  <c r="W16" i="32"/>
  <c r="K1186" i="27"/>
  <c r="W14" i="32"/>
  <c r="K1185" i="27"/>
  <c r="W28" i="32"/>
  <c r="K1192" i="27"/>
  <c r="W12" i="32"/>
  <c r="K1184" i="27"/>
  <c r="W26" i="32"/>
  <c r="K1191" i="27"/>
  <c r="W10" i="32"/>
  <c r="K1183" i="27"/>
  <c r="W24" i="32"/>
  <c r="K1190" i="27"/>
  <c r="W22" i="32"/>
  <c r="K1189" i="27"/>
  <c r="W20" i="32"/>
  <c r="K1188" i="27"/>
  <c r="A804" i="27"/>
  <c r="H807" i="27"/>
  <c r="A23" i="27"/>
  <c r="A27" i="27"/>
  <c r="A29" i="27"/>
  <c r="A21" i="27"/>
  <c r="A26" i="27"/>
  <c r="A28" i="27"/>
  <c r="A31" i="27"/>
  <c r="A25" i="27"/>
  <c r="A24" i="27"/>
  <c r="A20" i="27"/>
  <c r="A30" i="27"/>
  <c r="A22" i="27"/>
  <c r="AS73" i="34"/>
  <c r="U757" i="32"/>
  <c r="U146" i="32"/>
  <c r="U458" i="32"/>
  <c r="P10" i="32"/>
  <c r="P12" i="32" s="1"/>
  <c r="P14" i="32" s="1"/>
  <c r="P16" i="32" s="1"/>
  <c r="P18" i="32" s="1"/>
  <c r="P20" i="32" s="1"/>
  <c r="P22" i="32" s="1"/>
  <c r="P24" i="32" s="1"/>
  <c r="P26" i="32" s="1"/>
  <c r="P28" i="32" s="1"/>
  <c r="Q28" i="32" s="1"/>
  <c r="AY75" i="34"/>
  <c r="AF15" i="30"/>
  <c r="J60" i="24"/>
  <c r="AF33" i="30"/>
  <c r="J78" i="24"/>
  <c r="AF17" i="30"/>
  <c r="J62" i="24"/>
  <c r="AF21" i="30"/>
  <c r="J66" i="24"/>
  <c r="AF25" i="30"/>
  <c r="J70" i="24"/>
  <c r="AF27" i="30"/>
  <c r="J72" i="24"/>
  <c r="AF19" i="30"/>
  <c r="J64" i="24"/>
  <c r="AF11" i="30"/>
  <c r="J56" i="24"/>
  <c r="AF29" i="30"/>
  <c r="J74" i="24"/>
  <c r="AF13" i="30"/>
  <c r="J58" i="24"/>
  <c r="AF31" i="30"/>
  <c r="J76" i="24"/>
  <c r="AF23" i="30"/>
  <c r="J68" i="24"/>
  <c r="A458" i="32"/>
  <c r="G456" i="32"/>
  <c r="J806" i="27"/>
  <c r="F2342" i="27"/>
  <c r="BC75" i="34"/>
  <c r="N2342" i="27"/>
  <c r="O2342" i="27"/>
  <c r="L807" i="27"/>
  <c r="J805" i="27"/>
  <c r="BD75" i="34"/>
  <c r="A757" i="32"/>
  <c r="M2342" i="27"/>
  <c r="G755" i="32"/>
  <c r="G144" i="32"/>
  <c r="A146" i="32"/>
  <c r="K807" i="27"/>
  <c r="P681" i="32" l="1"/>
  <c r="Q679" i="32"/>
  <c r="Q16" i="32"/>
  <c r="Q10" i="32"/>
  <c r="Q18" i="32"/>
  <c r="Q20" i="32"/>
  <c r="Q22" i="32"/>
  <c r="Q24" i="32"/>
  <c r="Q26" i="32"/>
  <c r="Q12" i="32"/>
  <c r="Q14" i="32"/>
  <c r="F2959" i="27"/>
  <c r="F2639" i="27"/>
  <c r="F2640" i="27" s="1"/>
  <c r="F2641" i="27" s="1"/>
  <c r="F2642" i="27" s="1"/>
  <c r="F2643" i="27" s="1"/>
  <c r="F2638" i="27"/>
  <c r="A805" i="27"/>
  <c r="H808" i="27"/>
  <c r="AS74" i="34"/>
  <c r="U460" i="32"/>
  <c r="U148" i="32"/>
  <c r="U759" i="32"/>
  <c r="C170" i="32"/>
  <c r="W170" i="32" s="1"/>
  <c r="C172" i="32"/>
  <c r="W172" i="32" s="1"/>
  <c r="C174" i="32"/>
  <c r="W174" i="32" s="1"/>
  <c r="C176" i="32"/>
  <c r="W176" i="32" s="1"/>
  <c r="C178" i="32"/>
  <c r="W178" i="32" s="1"/>
  <c r="C180" i="32"/>
  <c r="W180" i="32" s="1"/>
  <c r="C182" i="32"/>
  <c r="W182" i="32" s="1"/>
  <c r="C184" i="32"/>
  <c r="W184" i="32" s="1"/>
  <c r="C186" i="32"/>
  <c r="W186" i="32" s="1"/>
  <c r="C188" i="32"/>
  <c r="W188" i="32" s="1"/>
  <c r="C258" i="32"/>
  <c r="W258" i="32" s="1"/>
  <c r="C268" i="32"/>
  <c r="W268" i="32" s="1"/>
  <c r="C260" i="32"/>
  <c r="W260" i="32" s="1"/>
  <c r="C262" i="32"/>
  <c r="W262" i="32" s="1"/>
  <c r="C254" i="32"/>
  <c r="W254" i="32" s="1"/>
  <c r="C264" i="32"/>
  <c r="W264" i="32" s="1"/>
  <c r="C266" i="32"/>
  <c r="W266" i="32" s="1"/>
  <c r="C256" i="32"/>
  <c r="W256" i="32" s="1"/>
  <c r="C252" i="32"/>
  <c r="W252" i="32" s="1"/>
  <c r="C250" i="32"/>
  <c r="W250" i="32" s="1"/>
  <c r="C210" i="32"/>
  <c r="W210" i="32" s="1"/>
  <c r="C224" i="32"/>
  <c r="W224" i="32" s="1"/>
  <c r="C212" i="32"/>
  <c r="W212" i="32" s="1"/>
  <c r="C214" i="32"/>
  <c r="W214" i="32" s="1"/>
  <c r="C216" i="32"/>
  <c r="W216" i="32" s="1"/>
  <c r="C218" i="32"/>
  <c r="W218" i="32" s="1"/>
  <c r="C220" i="32"/>
  <c r="W220" i="32" s="1"/>
  <c r="C222" i="32"/>
  <c r="W222" i="32" s="1"/>
  <c r="C226" i="32"/>
  <c r="W226" i="32" s="1"/>
  <c r="C228" i="32"/>
  <c r="W228" i="32" s="1"/>
  <c r="C162" i="32"/>
  <c r="W162" i="32" s="1"/>
  <c r="C164" i="32"/>
  <c r="W164" i="32" s="1"/>
  <c r="C166" i="32"/>
  <c r="W166" i="32" s="1"/>
  <c r="C168" i="32"/>
  <c r="W168" i="32" s="1"/>
  <c r="C230" i="32"/>
  <c r="W230" i="32" s="1"/>
  <c r="C232" i="32"/>
  <c r="W232" i="32" s="1"/>
  <c r="C246" i="32"/>
  <c r="W246" i="32" s="1"/>
  <c r="C234" i="32"/>
  <c r="W234" i="32" s="1"/>
  <c r="C244" i="32"/>
  <c r="W244" i="32" s="1"/>
  <c r="C248" i="32"/>
  <c r="W248" i="32" s="1"/>
  <c r="C236" i="32"/>
  <c r="W236" i="32" s="1"/>
  <c r="C238" i="32"/>
  <c r="W238" i="32" s="1"/>
  <c r="C240" i="32"/>
  <c r="W240" i="32" s="1"/>
  <c r="C242" i="32"/>
  <c r="W242" i="32" s="1"/>
  <c r="C208" i="32"/>
  <c r="W208" i="32" s="1"/>
  <c r="C202" i="32"/>
  <c r="W202" i="32" s="1"/>
  <c r="C198" i="32"/>
  <c r="W198" i="32" s="1"/>
  <c r="C190" i="32"/>
  <c r="W190" i="32" s="1"/>
  <c r="C204" i="32"/>
  <c r="W204" i="32" s="1"/>
  <c r="C192" i="32"/>
  <c r="W192" i="32" s="1"/>
  <c r="C200" i="32"/>
  <c r="W200" i="32" s="1"/>
  <c r="C206" i="32"/>
  <c r="W206" i="32" s="1"/>
  <c r="C194" i="32"/>
  <c r="W194" i="32" s="1"/>
  <c r="C196" i="32"/>
  <c r="W196" i="32" s="1"/>
  <c r="C110" i="32"/>
  <c r="W110" i="32" s="1"/>
  <c r="C112" i="32"/>
  <c r="W112" i="32" s="1"/>
  <c r="C114" i="32"/>
  <c r="W114" i="32" s="1"/>
  <c r="C116" i="32"/>
  <c r="W116" i="32" s="1"/>
  <c r="C118" i="32"/>
  <c r="W118" i="32" s="1"/>
  <c r="C120" i="32"/>
  <c r="W120" i="32" s="1"/>
  <c r="C122" i="32"/>
  <c r="W122" i="32" s="1"/>
  <c r="C124" i="32"/>
  <c r="W124" i="32" s="1"/>
  <c r="C126" i="32"/>
  <c r="W126" i="32" s="1"/>
  <c r="C128" i="32"/>
  <c r="W128" i="32" s="1"/>
  <c r="C70" i="32"/>
  <c r="C72" i="32"/>
  <c r="C74" i="32"/>
  <c r="W74" i="32" s="1"/>
  <c r="C76" i="32"/>
  <c r="W76" i="32" s="1"/>
  <c r="C78" i="32"/>
  <c r="W78" i="32" s="1"/>
  <c r="C80" i="32"/>
  <c r="W80" i="32" s="1"/>
  <c r="C88" i="32"/>
  <c r="W88" i="32" s="1"/>
  <c r="C82" i="32"/>
  <c r="W82" i="32" s="1"/>
  <c r="C84" i="32"/>
  <c r="W84" i="32" s="1"/>
  <c r="C86" i="32"/>
  <c r="W86" i="32" s="1"/>
  <c r="C30" i="32"/>
  <c r="C32" i="32"/>
  <c r="C48" i="32"/>
  <c r="C34" i="32"/>
  <c r="W34" i="32" s="1"/>
  <c r="C46" i="32"/>
  <c r="C36" i="32"/>
  <c r="W36" i="32" s="1"/>
  <c r="C38" i="32"/>
  <c r="C40" i="32"/>
  <c r="C42" i="32"/>
  <c r="C44" i="32"/>
  <c r="C146" i="32"/>
  <c r="W146" i="32" s="1"/>
  <c r="C130" i="32"/>
  <c r="W130" i="32" s="1"/>
  <c r="C132" i="32"/>
  <c r="W132" i="32" s="1"/>
  <c r="C134" i="32"/>
  <c r="W134" i="32" s="1"/>
  <c r="C140" i="32"/>
  <c r="W140" i="32" s="1"/>
  <c r="C144" i="32"/>
  <c r="W144" i="32" s="1"/>
  <c r="C148" i="32"/>
  <c r="W148" i="32" s="1"/>
  <c r="C136" i="32"/>
  <c r="W136" i="32" s="1"/>
  <c r="C138" i="32"/>
  <c r="W138" i="32" s="1"/>
  <c r="C142" i="32"/>
  <c r="W142" i="32" s="1"/>
  <c r="C156" i="32"/>
  <c r="W156" i="32" s="1"/>
  <c r="C158" i="32"/>
  <c r="W158" i="32" s="1"/>
  <c r="C160" i="32"/>
  <c r="W160" i="32" s="1"/>
  <c r="C154" i="32"/>
  <c r="W154" i="32" s="1"/>
  <c r="C152" i="32"/>
  <c r="W152" i="32" s="1"/>
  <c r="C150" i="32"/>
  <c r="W150" i="32" s="1"/>
  <c r="C108" i="32"/>
  <c r="W108" i="32" s="1"/>
  <c r="C104" i="32"/>
  <c r="W104" i="32" s="1"/>
  <c r="C106" i="32"/>
  <c r="W106" i="32" s="1"/>
  <c r="C90" i="32"/>
  <c r="W90" i="32" s="1"/>
  <c r="C94" i="32"/>
  <c r="W94" i="32" s="1"/>
  <c r="C92" i="32"/>
  <c r="W92" i="32" s="1"/>
  <c r="C96" i="32"/>
  <c r="W96" i="32" s="1"/>
  <c r="C98" i="32"/>
  <c r="W98" i="32" s="1"/>
  <c r="C100" i="32"/>
  <c r="W100" i="32" s="1"/>
  <c r="C102" i="32"/>
  <c r="W102" i="32" s="1"/>
  <c r="C60" i="32"/>
  <c r="C62" i="32"/>
  <c r="C64" i="32"/>
  <c r="C66" i="32"/>
  <c r="C68" i="32"/>
  <c r="W68" i="32" s="1"/>
  <c r="C52" i="32"/>
  <c r="W52" i="32" s="1"/>
  <c r="C50" i="32"/>
  <c r="C58" i="32"/>
  <c r="C54" i="32"/>
  <c r="C56" i="32"/>
  <c r="C286" i="24"/>
  <c r="AY76" i="34"/>
  <c r="P66" i="24"/>
  <c r="P62" i="24"/>
  <c r="P56" i="24"/>
  <c r="P60" i="24"/>
  <c r="P68" i="24"/>
  <c r="P58" i="24"/>
  <c r="P70" i="24"/>
  <c r="Q66" i="24"/>
  <c r="Q60" i="24"/>
  <c r="Q58" i="24"/>
  <c r="Q72" i="24"/>
  <c r="A460" i="32"/>
  <c r="BD76" i="34"/>
  <c r="O2343" i="27"/>
  <c r="L808" i="27"/>
  <c r="G458" i="32"/>
  <c r="N2343" i="27"/>
  <c r="A759" i="32"/>
  <c r="BC76" i="34"/>
  <c r="A148" i="32"/>
  <c r="K808" i="27"/>
  <c r="F2343" i="27"/>
  <c r="J807" i="27"/>
  <c r="M2343" i="27"/>
  <c r="G146" i="32"/>
  <c r="G757" i="32"/>
  <c r="P683" i="32" l="1"/>
  <c r="Q681" i="32"/>
  <c r="F2960" i="27"/>
  <c r="F2645" i="27"/>
  <c r="F2646" i="27" s="1"/>
  <c r="F2647" i="27" s="1"/>
  <c r="F2648" i="27" s="1"/>
  <c r="F2649" i="27" s="1"/>
  <c r="F2644" i="27"/>
  <c r="W56" i="32"/>
  <c r="K1206" i="27"/>
  <c r="W62" i="32"/>
  <c r="K1209" i="27"/>
  <c r="W66" i="32"/>
  <c r="K1211" i="27"/>
  <c r="W54" i="32"/>
  <c r="K1205" i="27"/>
  <c r="W60" i="32"/>
  <c r="K1208" i="27"/>
  <c r="W46" i="32"/>
  <c r="K1201" i="27"/>
  <c r="W58" i="32"/>
  <c r="K1207" i="27"/>
  <c r="W50" i="32"/>
  <c r="K1203" i="27"/>
  <c r="W48" i="32"/>
  <c r="K1202" i="27"/>
  <c r="W44" i="32"/>
  <c r="K1200" i="27"/>
  <c r="W32" i="32"/>
  <c r="K1194" i="27"/>
  <c r="W42" i="32"/>
  <c r="K1199" i="27"/>
  <c r="W30" i="32"/>
  <c r="K1193" i="27"/>
  <c r="W40" i="32"/>
  <c r="K1198" i="27"/>
  <c r="W72" i="32"/>
  <c r="K1214" i="27"/>
  <c r="W64" i="32"/>
  <c r="K1210" i="27"/>
  <c r="W38" i="32"/>
  <c r="K1197" i="27"/>
  <c r="W70" i="32"/>
  <c r="K1213" i="27"/>
  <c r="H809" i="27"/>
  <c r="AS75" i="34"/>
  <c r="U761" i="32"/>
  <c r="U150" i="32"/>
  <c r="U462" i="32"/>
  <c r="Q190" i="32"/>
  <c r="Q214" i="32"/>
  <c r="Q198" i="32"/>
  <c r="Q212" i="32"/>
  <c r="Q202" i="32"/>
  <c r="Q224" i="32"/>
  <c r="Q208" i="32"/>
  <c r="Q210" i="32"/>
  <c r="Q242" i="32"/>
  <c r="Q250" i="32"/>
  <c r="Q240" i="32"/>
  <c r="Q252" i="32"/>
  <c r="Q238" i="32"/>
  <c r="Q256" i="32"/>
  <c r="Q236" i="32"/>
  <c r="Q266" i="32"/>
  <c r="Q248" i="32"/>
  <c r="Q264" i="32"/>
  <c r="Q244" i="32"/>
  <c r="Q254" i="32"/>
  <c r="Q234" i="32"/>
  <c r="Q262" i="32"/>
  <c r="Q246" i="32"/>
  <c r="Q260" i="32"/>
  <c r="Q232" i="32"/>
  <c r="Q268" i="32"/>
  <c r="Q230" i="32"/>
  <c r="Q258" i="32"/>
  <c r="Q168" i="32"/>
  <c r="Q188" i="32"/>
  <c r="Q186" i="32"/>
  <c r="Q164" i="32"/>
  <c r="Q184" i="32"/>
  <c r="Q162" i="32"/>
  <c r="Q182" i="32"/>
  <c r="Q196" i="32"/>
  <c r="Q228" i="32"/>
  <c r="Q180" i="32"/>
  <c r="Q194" i="32"/>
  <c r="Q226" i="32"/>
  <c r="Q178" i="32"/>
  <c r="Q206" i="32"/>
  <c r="Q222" i="32"/>
  <c r="Q176" i="32"/>
  <c r="Q166" i="32"/>
  <c r="Q200" i="32"/>
  <c r="Q220" i="32"/>
  <c r="Q174" i="32"/>
  <c r="Q192" i="32"/>
  <c r="Q218" i="32"/>
  <c r="Q172" i="32"/>
  <c r="Q204" i="32"/>
  <c r="Q216" i="32"/>
  <c r="Q170" i="32"/>
  <c r="Q152" i="32"/>
  <c r="Q132" i="32"/>
  <c r="Q154" i="32"/>
  <c r="Q130" i="32"/>
  <c r="Q158" i="32"/>
  <c r="Q156" i="32"/>
  <c r="Q146" i="32"/>
  <c r="Q50" i="32"/>
  <c r="Q56" i="32"/>
  <c r="Q66" i="32"/>
  <c r="Q64" i="32"/>
  <c r="Q62" i="32"/>
  <c r="Q60" i="32"/>
  <c r="Q102" i="32"/>
  <c r="Q54" i="32"/>
  <c r="Q128" i="32"/>
  <c r="Q100" i="32"/>
  <c r="Q96" i="32"/>
  <c r="Q124" i="32"/>
  <c r="Q160" i="32"/>
  <c r="Q58" i="32"/>
  <c r="Q52" i="32"/>
  <c r="Q98" i="32"/>
  <c r="Q92" i="32"/>
  <c r="Q142" i="32"/>
  <c r="Q122" i="32"/>
  <c r="P30" i="32"/>
  <c r="P32" i="32" s="1"/>
  <c r="P34" i="32" s="1"/>
  <c r="P36" i="32" s="1"/>
  <c r="P38" i="32" s="1"/>
  <c r="P40" i="32" s="1"/>
  <c r="P42" i="32" s="1"/>
  <c r="P44" i="32" s="1"/>
  <c r="P46" i="32" s="1"/>
  <c r="P48" i="32" s="1"/>
  <c r="P50" i="32" s="1"/>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8" i="32"/>
  <c r="Q120" i="32"/>
  <c r="Q136" i="32"/>
  <c r="Q118" i="32"/>
  <c r="Q148" i="32"/>
  <c r="Q116" i="32"/>
  <c r="Q68" i="32"/>
  <c r="Q126" i="32"/>
  <c r="Q144" i="32"/>
  <c r="Q114" i="32"/>
  <c r="Q94" i="32"/>
  <c r="Q106" i="32"/>
  <c r="Q104" i="32"/>
  <c r="Q108" i="32"/>
  <c r="Q140" i="32"/>
  <c r="Q112" i="32"/>
  <c r="Q90" i="32"/>
  <c r="Q150" i="32"/>
  <c r="Q134" i="32"/>
  <c r="Q110" i="32"/>
  <c r="C287" i="24"/>
  <c r="AY77" i="34"/>
  <c r="R2" i="28"/>
  <c r="E2" i="28"/>
  <c r="J808" i="27"/>
  <c r="L809" i="27"/>
  <c r="N2344" i="27"/>
  <c r="BD77" i="34"/>
  <c r="F2344" i="27"/>
  <c r="A462" i="32"/>
  <c r="A761" i="32"/>
  <c r="M2344" i="27"/>
  <c r="G148" i="32"/>
  <c r="O2344" i="27"/>
  <c r="I809" i="27"/>
  <c r="BC77" i="34"/>
  <c r="G460" i="32"/>
  <c r="G759" i="32"/>
  <c r="K809" i="27"/>
  <c r="A150" i="32"/>
  <c r="P685" i="32" l="1"/>
  <c r="Q683" i="32"/>
  <c r="Q78" i="32"/>
  <c r="Q86" i="32"/>
  <c r="Q72" i="32"/>
  <c r="Q80" i="32"/>
  <c r="Q74" i="32"/>
  <c r="Q88" i="32"/>
  <c r="Q82" i="32"/>
  <c r="Q76" i="32"/>
  <c r="Q84" i="32"/>
  <c r="Q70" i="32"/>
  <c r="Q34" i="32"/>
  <c r="Q32" i="32"/>
  <c r="Q40" i="32"/>
  <c r="Q46" i="32"/>
  <c r="Q30" i="32"/>
  <c r="Q36" i="32"/>
  <c r="Q42" i="32"/>
  <c r="Q38" i="32"/>
  <c r="Q44" i="32"/>
  <c r="Q48" i="32"/>
  <c r="F2961" i="27"/>
  <c r="F2650" i="27"/>
  <c r="F2651" i="27"/>
  <c r="F2652" i="27" s="1"/>
  <c r="F2653" i="27" s="1"/>
  <c r="F2654" i="27" s="1"/>
  <c r="F2655" i="27" s="1"/>
  <c r="H810" i="27"/>
  <c r="AS76" i="34"/>
  <c r="U464" i="32"/>
  <c r="U152" i="32"/>
  <c r="U763" i="32"/>
  <c r="C288" i="24"/>
  <c r="AY78" i="34"/>
  <c r="C2" i="28"/>
  <c r="G462" i="32"/>
  <c r="G150" i="32"/>
  <c r="M2345" i="27"/>
  <c r="J809" i="27"/>
  <c r="A763" i="32"/>
  <c r="A464" i="32"/>
  <c r="BD78" i="34"/>
  <c r="N2345" i="27"/>
  <c r="O2345" i="27"/>
  <c r="BC78" i="34"/>
  <c r="F2345" i="27"/>
  <c r="A152" i="32"/>
  <c r="G761" i="32"/>
  <c r="L810" i="27"/>
  <c r="P687" i="32" l="1"/>
  <c r="Q685" i="32"/>
  <c r="F2963" i="27"/>
  <c r="F2962" i="27"/>
  <c r="F2657" i="27"/>
  <c r="F2658" i="27" s="1"/>
  <c r="F2659" i="27" s="1"/>
  <c r="F2660" i="27" s="1"/>
  <c r="F2661" i="27" s="1"/>
  <c r="F2656" i="27"/>
  <c r="A809" i="27"/>
  <c r="H811" i="27"/>
  <c r="H812" i="27"/>
  <c r="AS77" i="34"/>
  <c r="U466" i="32"/>
  <c r="U765" i="32"/>
  <c r="U154" i="32"/>
  <c r="C289" i="24"/>
  <c r="AY79" i="34"/>
  <c r="N2" i="28"/>
  <c r="A2" i="28" s="1"/>
  <c r="B2" i="28"/>
  <c r="J2" i="28"/>
  <c r="F2" i="28"/>
  <c r="K2" i="28"/>
  <c r="H2" i="28"/>
  <c r="I2" i="28"/>
  <c r="A466" i="32"/>
  <c r="A765" i="32"/>
  <c r="M2" i="28"/>
  <c r="J810" i="27"/>
  <c r="K812" i="27"/>
  <c r="K810" i="27"/>
  <c r="K811" i="27"/>
  <c r="O2346" i="27"/>
  <c r="A154" i="32"/>
  <c r="BD79" i="34"/>
  <c r="G152" i="32"/>
  <c r="G464" i="32"/>
  <c r="M2346" i="27"/>
  <c r="F2346" i="27"/>
  <c r="BC79" i="34"/>
  <c r="N2346" i="27"/>
  <c r="I811" i="27"/>
  <c r="G763" i="32"/>
  <c r="I810" i="27"/>
  <c r="L812" i="27"/>
  <c r="P689" i="32" l="1"/>
  <c r="Q687" i="32"/>
  <c r="F2964" i="27"/>
  <c r="F2663" i="27"/>
  <c r="F2664" i="27" s="1"/>
  <c r="F2665" i="27" s="1"/>
  <c r="F2666" i="27" s="1"/>
  <c r="F2667" i="27" s="1"/>
  <c r="F2662" i="27"/>
  <c r="A810" i="27"/>
  <c r="H813" i="27"/>
  <c r="AS78" i="34"/>
  <c r="U156" i="32"/>
  <c r="U767" i="32"/>
  <c r="U468" i="32"/>
  <c r="C290" i="24"/>
  <c r="AY80" i="34"/>
  <c r="D2" i="28"/>
  <c r="O2347" i="27"/>
  <c r="J811" i="27"/>
  <c r="G154" i="32"/>
  <c r="L811" i="27"/>
  <c r="A767" i="32"/>
  <c r="J812" i="27"/>
  <c r="N2347" i="27"/>
  <c r="BD80" i="34"/>
  <c r="A156" i="32"/>
  <c r="G466" i="32"/>
  <c r="G765" i="32"/>
  <c r="BC80" i="34"/>
  <c r="A468" i="32"/>
  <c r="M2347" i="27"/>
  <c r="F2347" i="27"/>
  <c r="L813" i="27"/>
  <c r="P691" i="32" l="1"/>
  <c r="Q689" i="32"/>
  <c r="F2965" i="27"/>
  <c r="F2669" i="27"/>
  <c r="F2670" i="27" s="1"/>
  <c r="F2671" i="27" s="1"/>
  <c r="F2672" i="27" s="1"/>
  <c r="F2673" i="27" s="1"/>
  <c r="F2668" i="27"/>
  <c r="O1342" i="27"/>
  <c r="O1341" i="27"/>
  <c r="N1342" i="27"/>
  <c r="N1341" i="27"/>
  <c r="L1342" i="27"/>
  <c r="L1341" i="27"/>
  <c r="K1342" i="27"/>
  <c r="K1341" i="27"/>
  <c r="J1341" i="27"/>
  <c r="I1342" i="27"/>
  <c r="H1341" i="27"/>
  <c r="H1342" i="27"/>
  <c r="G1342" i="27"/>
  <c r="G1341" i="27"/>
  <c r="E1342" i="27"/>
  <c r="E1341" i="27"/>
  <c r="A811" i="27"/>
  <c r="H814" i="27"/>
  <c r="AS79" i="34"/>
  <c r="U470" i="32"/>
  <c r="U769" i="32"/>
  <c r="U158" i="32"/>
  <c r="C291" i="24"/>
  <c r="AY81" i="34"/>
  <c r="A470" i="32"/>
  <c r="G468" i="32"/>
  <c r="O2348" i="27"/>
  <c r="A158" i="32"/>
  <c r="F2348" i="27"/>
  <c r="G767" i="32"/>
  <c r="BC81" i="34"/>
  <c r="G156" i="32"/>
  <c r="M2348" i="27"/>
  <c r="N2348" i="27"/>
  <c r="A769" i="32"/>
  <c r="K813" i="27"/>
  <c r="J813" i="27"/>
  <c r="BD81" i="34"/>
  <c r="K814" i="27"/>
  <c r="P693" i="32" l="1"/>
  <c r="Q691" i="32"/>
  <c r="F2966" i="27"/>
  <c r="F2674" i="27"/>
  <c r="F2675" i="27"/>
  <c r="F2676" i="27" s="1"/>
  <c r="F2677" i="27" s="1"/>
  <c r="F2678" i="27" s="1"/>
  <c r="F2679" i="27" s="1"/>
  <c r="O1343" i="27"/>
  <c r="O1344" i="27"/>
  <c r="N1343" i="27"/>
  <c r="N1344" i="27"/>
  <c r="L1343" i="27"/>
  <c r="L1344" i="27"/>
  <c r="K1343" i="27"/>
  <c r="K1344" i="27"/>
  <c r="I1343" i="27"/>
  <c r="I1344" i="27"/>
  <c r="H1343" i="27"/>
  <c r="H1344" i="27"/>
  <c r="G1343" i="27"/>
  <c r="G1344" i="27"/>
  <c r="E1344" i="27"/>
  <c r="E1343" i="27"/>
  <c r="H815" i="27"/>
  <c r="AS80" i="34"/>
  <c r="U160" i="32"/>
  <c r="U771" i="32"/>
  <c r="U472" i="32"/>
  <c r="AY82" i="34"/>
  <c r="L814" i="27"/>
  <c r="M2349" i="27"/>
  <c r="F2349" i="27"/>
  <c r="G470" i="32"/>
  <c r="J814" i="27"/>
  <c r="G769" i="32"/>
  <c r="BD82" i="34"/>
  <c r="N2349" i="27"/>
  <c r="A160" i="32"/>
  <c r="G158" i="32"/>
  <c r="A472" i="32"/>
  <c r="A771" i="32"/>
  <c r="BC82" i="34"/>
  <c r="O2349" i="27"/>
  <c r="L815" i="27"/>
  <c r="P695" i="32" l="1"/>
  <c r="Q693" i="32"/>
  <c r="F2967" i="27"/>
  <c r="F2681" i="27"/>
  <c r="F2682" i="27" s="1"/>
  <c r="F2683" i="27" s="1"/>
  <c r="F2684" i="27" s="1"/>
  <c r="F2685" i="27" s="1"/>
  <c r="F2680" i="27"/>
  <c r="O1346" i="27"/>
  <c r="O1345" i="27"/>
  <c r="N1346" i="27"/>
  <c r="N1345" i="27"/>
  <c r="L1346" i="27"/>
  <c r="L1345" i="27"/>
  <c r="K1346" i="27"/>
  <c r="K1345" i="27"/>
  <c r="J1346" i="27"/>
  <c r="I1346" i="27"/>
  <c r="I1345" i="27"/>
  <c r="H1345" i="27"/>
  <c r="H1346" i="27"/>
  <c r="G1346" i="27"/>
  <c r="G1345" i="27"/>
  <c r="E1346" i="27"/>
  <c r="E1345" i="27"/>
  <c r="H816" i="27"/>
  <c r="AS81" i="34"/>
  <c r="U773" i="32"/>
  <c r="U474" i="32"/>
  <c r="U162" i="32"/>
  <c r="AY83" i="34"/>
  <c r="Q2" i="28"/>
  <c r="A773" i="32"/>
  <c r="N2350" i="27"/>
  <c r="A162" i="32"/>
  <c r="F2350" i="27"/>
  <c r="G160" i="32"/>
  <c r="G771" i="32"/>
  <c r="K816" i="27"/>
  <c r="G472" i="32"/>
  <c r="A474" i="32"/>
  <c r="BC83" i="34"/>
  <c r="K815" i="27"/>
  <c r="BD83" i="34"/>
  <c r="J815" i="27"/>
  <c r="I815" i="27"/>
  <c r="O2350" i="27"/>
  <c r="M2350" i="27"/>
  <c r="I816" i="27"/>
  <c r="L816" i="27"/>
  <c r="P697" i="32" l="1"/>
  <c r="Q695" i="32"/>
  <c r="F2969" i="27"/>
  <c r="F2968" i="27"/>
  <c r="F2687" i="27"/>
  <c r="F2688" i="27" s="1"/>
  <c r="F2689" i="27" s="1"/>
  <c r="F2690" i="27" s="1"/>
  <c r="F2691" i="27" s="1"/>
  <c r="F2686" i="27"/>
  <c r="O1348" i="27"/>
  <c r="O1347" i="27"/>
  <c r="N1348" i="27"/>
  <c r="N1347" i="27"/>
  <c r="L1348" i="27"/>
  <c r="L1347" i="27"/>
  <c r="K1348" i="27"/>
  <c r="K1347" i="27"/>
  <c r="I1348" i="27"/>
  <c r="H1348" i="27"/>
  <c r="G1348" i="27"/>
  <c r="G1347" i="27"/>
  <c r="E1348" i="27"/>
  <c r="A815" i="27"/>
  <c r="H818" i="27"/>
  <c r="H817" i="27"/>
  <c r="AS82" i="34"/>
  <c r="U164" i="32"/>
  <c r="U476" i="32"/>
  <c r="U775" i="32"/>
  <c r="C294" i="24"/>
  <c r="AY84" i="34"/>
  <c r="J220" i="27"/>
  <c r="J221" i="27"/>
  <c r="J256" i="27"/>
  <c r="J257" i="27"/>
  <c r="J442" i="27"/>
  <c r="J443" i="27"/>
  <c r="J508" i="27"/>
  <c r="J509" i="27"/>
  <c r="J873" i="27"/>
  <c r="J2192" i="27"/>
  <c r="J2193" i="27"/>
  <c r="J2194" i="27"/>
  <c r="J2357" i="27"/>
  <c r="J2358" i="27"/>
  <c r="J2359" i="27"/>
  <c r="J2360"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J3806" i="27"/>
  <c r="J3807" i="27"/>
  <c r="J3808" i="27"/>
  <c r="J3809" i="27"/>
  <c r="J3810" i="27"/>
  <c r="J3811" i="27"/>
  <c r="J3812" i="27"/>
  <c r="J3813" i="27"/>
  <c r="J3814" i="27"/>
  <c r="J3815" i="27"/>
  <c r="J3816" i="27"/>
  <c r="J3817" i="27"/>
  <c r="J3818" i="27"/>
  <c r="J3819" i="27"/>
  <c r="J3820" i="27"/>
  <c r="J3821" i="27"/>
  <c r="J3822" i="27"/>
  <c r="J3823" i="27"/>
  <c r="J3824" i="27"/>
  <c r="J382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L818" i="27"/>
  <c r="I817" i="27"/>
  <c r="BD84" i="34"/>
  <c r="A775" i="32"/>
  <c r="G162" i="32"/>
  <c r="J816" i="27"/>
  <c r="K818" i="27"/>
  <c r="G474" i="32"/>
  <c r="G773" i="32"/>
  <c r="BC84" i="34"/>
  <c r="A164" i="32"/>
  <c r="K817" i="27"/>
  <c r="A476" i="32"/>
  <c r="L817" i="27"/>
  <c r="P699" i="32" l="1"/>
  <c r="Q697" i="32"/>
  <c r="F2970" i="27"/>
  <c r="F2693" i="27"/>
  <c r="F2694" i="27" s="1"/>
  <c r="F2695" i="27" s="1"/>
  <c r="F2696" i="27" s="1"/>
  <c r="F2697" i="27" s="1"/>
  <c r="F2692" i="27"/>
  <c r="J2013" i="27"/>
  <c r="J2014" i="27"/>
  <c r="J2012" i="27"/>
  <c r="O1350" i="27"/>
  <c r="O1349" i="27"/>
  <c r="N1350" i="27"/>
  <c r="N1349" i="27"/>
  <c r="L1350" i="27"/>
  <c r="L1349" i="27"/>
  <c r="K1350" i="27"/>
  <c r="K1349" i="27"/>
  <c r="J1350" i="27"/>
  <c r="J1339" i="27"/>
  <c r="J1349" i="27"/>
  <c r="J1343" i="27"/>
  <c r="J1342" i="27"/>
  <c r="J1345" i="27"/>
  <c r="J1348" i="27"/>
  <c r="J1344" i="27"/>
  <c r="J1337" i="27"/>
  <c r="J1338" i="27"/>
  <c r="I1350" i="27"/>
  <c r="I1349" i="27"/>
  <c r="H1350" i="27"/>
  <c r="H1349" i="27"/>
  <c r="G1350" i="27"/>
  <c r="G1349" i="27"/>
  <c r="E1350" i="27"/>
  <c r="E1349" i="27"/>
  <c r="A816" i="27"/>
  <c r="H819" i="27"/>
  <c r="U777" i="32"/>
  <c r="U478" i="32"/>
  <c r="U166" i="32"/>
  <c r="B125" i="24"/>
  <c r="B115" i="24"/>
  <c r="B137" i="24"/>
  <c r="B113" i="24"/>
  <c r="B127" i="24"/>
  <c r="AY85" i="34"/>
  <c r="J2335" i="27"/>
  <c r="O2351" i="27"/>
  <c r="J2338" i="27"/>
  <c r="J2333" i="27"/>
  <c r="J2316" i="27"/>
  <c r="J2293" i="27"/>
  <c r="P31" i="33"/>
  <c r="J2299" i="27"/>
  <c r="L819" i="27"/>
  <c r="S53" i="33"/>
  <c r="V21" i="33"/>
  <c r="K819" i="27"/>
  <c r="P41" i="33"/>
  <c r="J2286" i="27"/>
  <c r="J2347" i="27"/>
  <c r="J817" i="27"/>
  <c r="J2305" i="27"/>
  <c r="J2329" i="27"/>
  <c r="J2284" i="27"/>
  <c r="J2346" i="27"/>
  <c r="J2312" i="27"/>
  <c r="J2328" i="27"/>
  <c r="J2345" i="27"/>
  <c r="P65" i="33"/>
  <c r="J2314" i="27"/>
  <c r="S35" i="33"/>
  <c r="P27" i="33"/>
  <c r="J2287" i="27"/>
  <c r="V59" i="33"/>
  <c r="V41" i="33"/>
  <c r="S27" i="33"/>
  <c r="J2300" i="27"/>
  <c r="J2323" i="27"/>
  <c r="J2295" i="27"/>
  <c r="V53" i="33"/>
  <c r="V47" i="33"/>
  <c r="F2352" i="27"/>
  <c r="J2322" i="27"/>
  <c r="J2306" i="27"/>
  <c r="J2289" i="27"/>
  <c r="P33" i="33"/>
  <c r="P63" i="33"/>
  <c r="S31" i="33"/>
  <c r="J2279" i="27"/>
  <c r="P23" i="33"/>
  <c r="V49" i="33"/>
  <c r="S43" i="33"/>
  <c r="J2283" i="27"/>
  <c r="P19" i="33"/>
  <c r="P45" i="33"/>
  <c r="P57" i="33"/>
  <c r="V37" i="33"/>
  <c r="P39" i="33"/>
  <c r="J2330" i="27"/>
  <c r="F2351" i="27"/>
  <c r="J2298" i="27"/>
  <c r="J2325" i="27"/>
  <c r="S41" i="33"/>
  <c r="J25" i="27"/>
  <c r="J2302" i="27"/>
  <c r="V17" i="33"/>
  <c r="V45" i="33"/>
  <c r="S63" i="33"/>
  <c r="J2327" i="27"/>
  <c r="BC85" i="34"/>
  <c r="O2352" i="27"/>
  <c r="V55" i="33"/>
  <c r="S19" i="33"/>
  <c r="S33" i="33"/>
  <c r="S25" i="33"/>
  <c r="M2352" i="27"/>
  <c r="S49" i="33"/>
  <c r="V19" i="33"/>
  <c r="J2297" i="27"/>
  <c r="J2285" i="27"/>
  <c r="S9" i="33"/>
  <c r="V63" i="33"/>
  <c r="J2344" i="27"/>
  <c r="J2349" i="27"/>
  <c r="A478" i="32"/>
  <c r="S45" i="33"/>
  <c r="S65" i="33"/>
  <c r="J2336" i="27"/>
  <c r="J2340" i="27"/>
  <c r="V57" i="33"/>
  <c r="J2311" i="27"/>
  <c r="J32" i="27"/>
  <c r="V23" i="33"/>
  <c r="J31" i="27"/>
  <c r="A166" i="32"/>
  <c r="S59" i="33"/>
  <c r="V27" i="33"/>
  <c r="J2334" i="27"/>
  <c r="P51" i="33"/>
  <c r="J26" i="27"/>
  <c r="J2303" i="27"/>
  <c r="M2351" i="27"/>
  <c r="S29" i="33"/>
  <c r="J2331" i="27"/>
  <c r="J248" i="27"/>
  <c r="J2324" i="27"/>
  <c r="V61" i="33"/>
  <c r="J2278" i="27"/>
  <c r="P43" i="33"/>
  <c r="J2304" i="27"/>
  <c r="P25" i="33"/>
  <c r="V31" i="33"/>
  <c r="J2313" i="27"/>
  <c r="P21" i="33"/>
  <c r="V65" i="33"/>
  <c r="V43" i="33"/>
  <c r="P47" i="33"/>
  <c r="P53" i="33"/>
  <c r="J2318" i="27"/>
  <c r="J2310" i="27"/>
  <c r="J2332" i="27"/>
  <c r="J2294" i="27"/>
  <c r="J2288" i="27"/>
  <c r="V29" i="33"/>
  <c r="J253" i="27"/>
  <c r="J2290" i="27"/>
  <c r="P35" i="33"/>
  <c r="N2352" i="27"/>
  <c r="S51" i="33"/>
  <c r="V39" i="33"/>
  <c r="P59" i="33"/>
  <c r="S37" i="33"/>
  <c r="P29" i="33"/>
  <c r="G476" i="32"/>
  <c r="J2280" i="27"/>
  <c r="J2291" i="27"/>
  <c r="J241" i="27"/>
  <c r="J2296" i="27"/>
  <c r="S21" i="33"/>
  <c r="J2339" i="27"/>
  <c r="P49" i="33"/>
  <c r="V33" i="33"/>
  <c r="S39" i="33"/>
  <c r="J2319" i="27"/>
  <c r="P55" i="33"/>
  <c r="J2307" i="27"/>
  <c r="N2351" i="27"/>
  <c r="S57" i="33"/>
  <c r="J2342" i="27"/>
  <c r="J2350" i="27"/>
  <c r="G164" i="32"/>
  <c r="J2352" i="27"/>
  <c r="BD85" i="34"/>
  <c r="J2315" i="27"/>
  <c r="J2309" i="27"/>
  <c r="J2326" i="27"/>
  <c r="J2337" i="27"/>
  <c r="J2317" i="27"/>
  <c r="P61" i="33"/>
  <c r="J2301" i="27"/>
  <c r="J2321" i="27"/>
  <c r="A777" i="32"/>
  <c r="J2351" i="27"/>
  <c r="J2343" i="27"/>
  <c r="J2348" i="27"/>
  <c r="P37" i="33"/>
  <c r="S47" i="33"/>
  <c r="J2341" i="27"/>
  <c r="J242" i="27"/>
  <c r="J2277" i="27"/>
  <c r="S23" i="33"/>
  <c r="J2308" i="27"/>
  <c r="S55" i="33"/>
  <c r="J818" i="27"/>
  <c r="G775" i="32"/>
  <c r="J247" i="27"/>
  <c r="V35" i="33"/>
  <c r="V51" i="33"/>
  <c r="J2292" i="27"/>
  <c r="V15" i="33"/>
  <c r="J2320" i="27"/>
  <c r="V25" i="33"/>
  <c r="J22" i="27"/>
  <c r="S61" i="33"/>
  <c r="P701" i="32" l="1"/>
  <c r="Q699" i="32"/>
  <c r="F2971" i="27"/>
  <c r="F2698" i="27"/>
  <c r="F2699" i="27"/>
  <c r="F2700" i="27" s="1"/>
  <c r="F2701" i="27" s="1"/>
  <c r="F2702" i="27" s="1"/>
  <c r="F2703" i="27" s="1"/>
  <c r="O1351" i="27"/>
  <c r="O1352" i="27"/>
  <c r="N1351" i="27"/>
  <c r="N1352" i="27"/>
  <c r="L1351" i="27"/>
  <c r="L1352" i="27"/>
  <c r="K1351" i="27"/>
  <c r="K1352" i="27"/>
  <c r="J1351" i="27"/>
  <c r="J1352" i="27"/>
  <c r="I1351" i="27"/>
  <c r="I1352" i="27"/>
  <c r="H1351" i="27"/>
  <c r="H1352" i="27"/>
  <c r="G1351" i="27"/>
  <c r="G1352" i="27"/>
  <c r="E1351" i="27"/>
  <c r="E1352" i="27"/>
  <c r="K1228" i="27"/>
  <c r="K1227" i="27"/>
  <c r="K1243" i="27"/>
  <c r="K1244" i="27"/>
  <c r="K1240" i="27"/>
  <c r="K1239" i="27"/>
  <c r="K1252" i="27"/>
  <c r="K1251" i="27"/>
  <c r="K1217" i="27"/>
  <c r="K1218" i="27"/>
  <c r="K1242" i="27"/>
  <c r="K1241" i="27"/>
  <c r="K1250" i="27"/>
  <c r="K1249" i="27"/>
  <c r="K1258" i="27"/>
  <c r="K1257" i="27"/>
  <c r="K1219" i="27"/>
  <c r="K1220" i="27"/>
  <c r="K1253" i="27"/>
  <c r="K1254" i="27"/>
  <c r="K1237" i="27"/>
  <c r="K1238" i="27"/>
  <c r="K1236" i="27"/>
  <c r="K1235" i="27"/>
  <c r="K1234" i="27"/>
  <c r="K1233" i="27"/>
  <c r="K1245" i="27"/>
  <c r="K1246" i="27"/>
  <c r="K1230" i="27"/>
  <c r="K1229" i="27"/>
  <c r="K1232" i="27"/>
  <c r="K1231" i="27"/>
  <c r="K1215" i="27"/>
  <c r="K1216" i="27"/>
  <c r="K1221" i="27"/>
  <c r="K1222" i="27"/>
  <c r="K1261" i="27"/>
  <c r="K1259" i="27"/>
  <c r="K1260" i="27"/>
  <c r="K1255" i="27"/>
  <c r="K1256" i="27"/>
  <c r="K1247" i="27"/>
  <c r="K1248" i="27"/>
  <c r="A817" i="27"/>
  <c r="H820" i="27"/>
  <c r="M185" i="24"/>
  <c r="L185" i="24"/>
  <c r="N185" i="24"/>
  <c r="G245" i="24"/>
  <c r="M207" i="24"/>
  <c r="L207" i="24"/>
  <c r="M205" i="24"/>
  <c r="L205" i="24"/>
  <c r="M203" i="24"/>
  <c r="L203" i="24"/>
  <c r="L201" i="24"/>
  <c r="M201" i="24"/>
  <c r="M199" i="24"/>
  <c r="L199" i="24"/>
  <c r="M197" i="24"/>
  <c r="L197" i="24"/>
  <c r="M195" i="24"/>
  <c r="L195" i="24"/>
  <c r="L193" i="24"/>
  <c r="M193" i="24"/>
  <c r="M191" i="24"/>
  <c r="L191" i="24"/>
  <c r="M189" i="24"/>
  <c r="L189" i="24"/>
  <c r="L187" i="24"/>
  <c r="M187" i="24"/>
  <c r="L183" i="24"/>
  <c r="M183" i="24"/>
  <c r="M181" i="24"/>
  <c r="L181" i="24"/>
  <c r="L179" i="24"/>
  <c r="M179" i="24"/>
  <c r="L177" i="24"/>
  <c r="M177" i="24"/>
  <c r="M175" i="24"/>
  <c r="L175" i="24"/>
  <c r="L173" i="24"/>
  <c r="M173" i="24"/>
  <c r="M171" i="24"/>
  <c r="L171" i="24"/>
  <c r="L169" i="24"/>
  <c r="M169" i="24"/>
  <c r="M167" i="24"/>
  <c r="L167" i="24"/>
  <c r="M165" i="24"/>
  <c r="L165" i="24"/>
  <c r="M163" i="24"/>
  <c r="L163" i="24"/>
  <c r="M161" i="24"/>
  <c r="L161" i="24"/>
  <c r="L159" i="24"/>
  <c r="M159" i="24"/>
  <c r="M149" i="24"/>
  <c r="AS84" i="34"/>
  <c r="AS83" i="34"/>
  <c r="U168" i="32"/>
  <c r="U480" i="32"/>
  <c r="U779" i="32"/>
  <c r="G229" i="24"/>
  <c r="S207" i="24"/>
  <c r="S205" i="24"/>
  <c r="S203" i="24"/>
  <c r="S201" i="24"/>
  <c r="S199" i="24"/>
  <c r="S197" i="24"/>
  <c r="S195" i="24"/>
  <c r="S193" i="24"/>
  <c r="S191" i="24"/>
  <c r="S189" i="24"/>
  <c r="S187" i="24"/>
  <c r="S183" i="24"/>
  <c r="S181" i="24"/>
  <c r="S179" i="24"/>
  <c r="S177" i="24"/>
  <c r="S175" i="24"/>
  <c r="S173" i="24"/>
  <c r="S171" i="24"/>
  <c r="S169" i="24"/>
  <c r="S167" i="24"/>
  <c r="S165" i="24"/>
  <c r="S163" i="24"/>
  <c r="S161" i="24"/>
  <c r="S159" i="24"/>
  <c r="S157" i="24"/>
  <c r="R207" i="24"/>
  <c r="R205" i="24"/>
  <c r="R203" i="24"/>
  <c r="R201" i="24"/>
  <c r="R199" i="24"/>
  <c r="R197" i="24"/>
  <c r="R195" i="24"/>
  <c r="R193" i="24"/>
  <c r="R191" i="24"/>
  <c r="R189" i="24"/>
  <c r="R187" i="24"/>
  <c r="R183" i="24"/>
  <c r="R181" i="24"/>
  <c r="R179" i="24"/>
  <c r="R177" i="24"/>
  <c r="R175" i="24"/>
  <c r="R173" i="24"/>
  <c r="R171" i="24"/>
  <c r="R169" i="24"/>
  <c r="R167" i="24"/>
  <c r="R165" i="24"/>
  <c r="R163" i="24"/>
  <c r="R161" i="24"/>
  <c r="R159" i="24"/>
  <c r="R157" i="24"/>
  <c r="Q207" i="24"/>
  <c r="Q205" i="24"/>
  <c r="Q203" i="24"/>
  <c r="Q201" i="24"/>
  <c r="Q199" i="24"/>
  <c r="Q197" i="24"/>
  <c r="Q195" i="24"/>
  <c r="Q193" i="24"/>
  <c r="Q191" i="24"/>
  <c r="Q189" i="24"/>
  <c r="Q187" i="24"/>
  <c r="Q183" i="24"/>
  <c r="Q181" i="24"/>
  <c r="Q179" i="24"/>
  <c r="Q177" i="24"/>
  <c r="Q175" i="24"/>
  <c r="Q173" i="24"/>
  <c r="Q171" i="24"/>
  <c r="Q169" i="24"/>
  <c r="Q167" i="24"/>
  <c r="Q165" i="24"/>
  <c r="Q163" i="24"/>
  <c r="Q161" i="24"/>
  <c r="Q159" i="24"/>
  <c r="Q157" i="24"/>
  <c r="Q155" i="24"/>
  <c r="Q153" i="24"/>
  <c r="P207" i="24"/>
  <c r="P205" i="24"/>
  <c r="P203" i="24"/>
  <c r="P201" i="24"/>
  <c r="P199" i="24"/>
  <c r="P197" i="24"/>
  <c r="P195" i="24"/>
  <c r="P193" i="24"/>
  <c r="P191" i="24"/>
  <c r="P189" i="24"/>
  <c r="P187" i="24"/>
  <c r="P183" i="24"/>
  <c r="P181" i="24"/>
  <c r="P179" i="24"/>
  <c r="P177" i="24"/>
  <c r="P175" i="24"/>
  <c r="P173" i="24"/>
  <c r="P171" i="24"/>
  <c r="P169" i="24"/>
  <c r="P167" i="24"/>
  <c r="P165" i="24"/>
  <c r="P163" i="24"/>
  <c r="P161" i="24"/>
  <c r="P159" i="24"/>
  <c r="P157" i="24"/>
  <c r="P155" i="24"/>
  <c r="P153" i="24"/>
  <c r="O207" i="24"/>
  <c r="O203" i="24"/>
  <c r="O199" i="24"/>
  <c r="O195" i="24"/>
  <c r="O191" i="24"/>
  <c r="O187" i="24"/>
  <c r="O183" i="24"/>
  <c r="O179" i="24"/>
  <c r="O175" i="24"/>
  <c r="O171" i="24"/>
  <c r="O167" i="24"/>
  <c r="O163" i="24"/>
  <c r="O159" i="24"/>
  <c r="O155" i="24"/>
  <c r="O205" i="24"/>
  <c r="O201" i="24"/>
  <c r="O197" i="24"/>
  <c r="O193" i="24"/>
  <c r="O189" i="24"/>
  <c r="O181" i="24"/>
  <c r="O177" i="24"/>
  <c r="O173" i="24"/>
  <c r="O169" i="24"/>
  <c r="O165" i="24"/>
  <c r="O161" i="24"/>
  <c r="O157" i="24"/>
  <c r="N207" i="24"/>
  <c r="N203" i="24"/>
  <c r="N199" i="24"/>
  <c r="N195" i="24"/>
  <c r="N191" i="24"/>
  <c r="N187" i="24"/>
  <c r="N183" i="24"/>
  <c r="N179" i="24"/>
  <c r="N175" i="24"/>
  <c r="N171" i="24"/>
  <c r="N167" i="24"/>
  <c r="N163" i="24"/>
  <c r="N159" i="24"/>
  <c r="N155" i="24"/>
  <c r="N205" i="24"/>
  <c r="N201" i="24"/>
  <c r="N197" i="24"/>
  <c r="N193" i="24"/>
  <c r="N189" i="24"/>
  <c r="N181" i="24"/>
  <c r="N177" i="24"/>
  <c r="N173" i="24"/>
  <c r="N169" i="24"/>
  <c r="N165" i="24"/>
  <c r="N161" i="24"/>
  <c r="N157" i="24"/>
  <c r="H80" i="24"/>
  <c r="H78" i="24"/>
  <c r="H76" i="24"/>
  <c r="H74" i="24"/>
  <c r="H72" i="24"/>
  <c r="H82" i="24"/>
  <c r="H54" i="24"/>
  <c r="G290" i="24"/>
  <c r="G266" i="24"/>
  <c r="G283" i="24"/>
  <c r="G275" i="24"/>
  <c r="G272" i="24"/>
  <c r="G264" i="24"/>
  <c r="G271" i="24"/>
  <c r="G258" i="24"/>
  <c r="G277" i="24"/>
  <c r="G237" i="24"/>
  <c r="G286" i="24"/>
  <c r="G263" i="24"/>
  <c r="G259" i="24"/>
  <c r="G295" i="24"/>
  <c r="G282" i="24"/>
  <c r="G255" i="24"/>
  <c r="G296" i="24"/>
  <c r="G265" i="24"/>
  <c r="G288" i="24"/>
  <c r="G257" i="24"/>
  <c r="G221" i="24"/>
  <c r="G270" i="24"/>
  <c r="G278" i="24"/>
  <c r="G281" i="24"/>
  <c r="C295" i="24"/>
  <c r="G285" i="24"/>
  <c r="G293" i="24"/>
  <c r="G254" i="24"/>
  <c r="G267" i="24"/>
  <c r="G274" i="24"/>
  <c r="G269" i="24"/>
  <c r="G289" i="24"/>
  <c r="G280" i="24"/>
  <c r="G279" i="24"/>
  <c r="G287" i="24"/>
  <c r="G256" i="24"/>
  <c r="G294" i="24"/>
  <c r="G273" i="24"/>
  <c r="G262" i="24"/>
  <c r="G291" i="24"/>
  <c r="C296" i="24"/>
  <c r="AY86" i="34"/>
  <c r="I790" i="27"/>
  <c r="P9" i="31"/>
  <c r="I746" i="27"/>
  <c r="P33" i="30"/>
  <c r="I728" i="27"/>
  <c r="BC86" i="34"/>
  <c r="I752" i="27"/>
  <c r="L33" i="30"/>
  <c r="F2353" i="27"/>
  <c r="I712" i="27"/>
  <c r="T11" i="30"/>
  <c r="I802" i="27"/>
  <c r="BD86" i="34"/>
  <c r="I820" i="27"/>
  <c r="T25" i="30"/>
  <c r="I736" i="27"/>
  <c r="I759" i="27"/>
  <c r="I794" i="27"/>
  <c r="I770" i="27"/>
  <c r="I758" i="27"/>
  <c r="T33" i="30"/>
  <c r="L820" i="27"/>
  <c r="L27" i="30"/>
  <c r="P37" i="30"/>
  <c r="L31" i="30"/>
  <c r="X9" i="31"/>
  <c r="I735" i="27"/>
  <c r="T31" i="30"/>
  <c r="I734" i="27"/>
  <c r="G166" i="32"/>
  <c r="I722" i="27"/>
  <c r="A480" i="32"/>
  <c r="I723" i="27"/>
  <c r="I789" i="27"/>
  <c r="I808" i="27"/>
  <c r="I778" i="27"/>
  <c r="I777" i="27"/>
  <c r="I772" i="27"/>
  <c r="G478" i="32"/>
  <c r="I783" i="27"/>
  <c r="T35" i="30"/>
  <c r="I693" i="27"/>
  <c r="P31" i="30"/>
  <c r="I788" i="27"/>
  <c r="T29" i="30"/>
  <c r="I784" i="27"/>
  <c r="T37" i="30"/>
  <c r="J819" i="27"/>
  <c r="I771" i="27"/>
  <c r="O2353" i="27"/>
  <c r="I800" i="27"/>
  <c r="J2353" i="27"/>
  <c r="T23" i="30"/>
  <c r="I818" i="27"/>
  <c r="I730" i="27"/>
  <c r="I741" i="27"/>
  <c r="A779" i="32"/>
  <c r="M2353" i="27"/>
  <c r="I795" i="27"/>
  <c r="I814" i="27"/>
  <c r="I753" i="27"/>
  <c r="I782" i="27"/>
  <c r="I742" i="27"/>
  <c r="A168" i="32"/>
  <c r="K820" i="27"/>
  <c r="I748" i="27"/>
  <c r="I764" i="27"/>
  <c r="I813" i="27"/>
  <c r="I766" i="27"/>
  <c r="I776" i="27"/>
  <c r="P11" i="30"/>
  <c r="I765" i="27"/>
  <c r="G777" i="32"/>
  <c r="I812" i="27"/>
  <c r="I801" i="27"/>
  <c r="I819" i="27"/>
  <c r="I754" i="27"/>
  <c r="L9" i="31"/>
  <c r="I729" i="27"/>
  <c r="I724" i="27"/>
  <c r="I718" i="27"/>
  <c r="I806" i="27"/>
  <c r="L35" i="30"/>
  <c r="I807" i="27"/>
  <c r="L37" i="30"/>
  <c r="I747" i="27"/>
  <c r="I796" i="27"/>
  <c r="P9" i="30"/>
  <c r="I760" i="27"/>
  <c r="N2353" i="27"/>
  <c r="I740" i="27"/>
  <c r="L9" i="30"/>
  <c r="P29" i="30"/>
  <c r="P35" i="30"/>
  <c r="L29" i="30"/>
  <c r="P703" i="32" l="1"/>
  <c r="Q701" i="32"/>
  <c r="A777" i="27"/>
  <c r="A712" i="27"/>
  <c r="A796" i="27"/>
  <c r="A729" i="27"/>
  <c r="A766" i="27"/>
  <c r="A748" i="27"/>
  <c r="A771" i="27"/>
  <c r="A778" i="27"/>
  <c r="A808" i="27"/>
  <c r="A802" i="27"/>
  <c r="A759" i="27"/>
  <c r="A747" i="27"/>
  <c r="A754" i="27"/>
  <c r="A782" i="27"/>
  <c r="A789" i="27"/>
  <c r="A784" i="27"/>
  <c r="A723" i="27"/>
  <c r="A758" i="27"/>
  <c r="A736" i="27"/>
  <c r="A807" i="27"/>
  <c r="A753" i="27"/>
  <c r="A741" i="27"/>
  <c r="A746" i="27"/>
  <c r="A801" i="27"/>
  <c r="A813" i="27"/>
  <c r="A730" i="27"/>
  <c r="A788" i="27"/>
  <c r="A722" i="27"/>
  <c r="A770" i="27"/>
  <c r="A740" i="27"/>
  <c r="A752" i="27"/>
  <c r="A806" i="27"/>
  <c r="A812" i="27"/>
  <c r="A814" i="27"/>
  <c r="A818" i="27"/>
  <c r="A693" i="27"/>
  <c r="A734" i="27"/>
  <c r="A718" i="27"/>
  <c r="A765" i="27"/>
  <c r="A764" i="27"/>
  <c r="A742" i="27"/>
  <c r="A783" i="27"/>
  <c r="A735" i="27"/>
  <c r="A794" i="27"/>
  <c r="A724" i="27"/>
  <c r="A760" i="27"/>
  <c r="A728" i="27"/>
  <c r="A790" i="27"/>
  <c r="A776" i="27"/>
  <c r="A795" i="27"/>
  <c r="A800" i="27"/>
  <c r="A772" i="27"/>
  <c r="F2972" i="27"/>
  <c r="F2705" i="27"/>
  <c r="F2706" i="27" s="1"/>
  <c r="F2707" i="27" s="1"/>
  <c r="F2708" i="27" s="1"/>
  <c r="F2709" i="27" s="1"/>
  <c r="F2704" i="27"/>
  <c r="O1354" i="27"/>
  <c r="O1353" i="27"/>
  <c r="N1354" i="27"/>
  <c r="N1353" i="27"/>
  <c r="L1354" i="27"/>
  <c r="L1353" i="27"/>
  <c r="K1354" i="27"/>
  <c r="K1353" i="27"/>
  <c r="J1354" i="27"/>
  <c r="J1353" i="27"/>
  <c r="I1354" i="27"/>
  <c r="I1353" i="27"/>
  <c r="H1354" i="27"/>
  <c r="H1353" i="27"/>
  <c r="G1354" i="27"/>
  <c r="G1353" i="27"/>
  <c r="E1353" i="27"/>
  <c r="E1354" i="27"/>
  <c r="K1262" i="27"/>
  <c r="A819" i="27"/>
  <c r="H821" i="27"/>
  <c r="R108" i="24"/>
  <c r="AS85" i="34"/>
  <c r="U781" i="32"/>
  <c r="U482" i="32"/>
  <c r="U170" i="32"/>
  <c r="R82" i="24"/>
  <c r="R80" i="24"/>
  <c r="R78" i="24"/>
  <c r="R76" i="24"/>
  <c r="R74" i="24"/>
  <c r="R70" i="24"/>
  <c r="R68" i="24"/>
  <c r="R58" i="24"/>
  <c r="R56" i="24"/>
  <c r="S108" i="24"/>
  <c r="Q108" i="24"/>
  <c r="S56" i="24"/>
  <c r="P108" i="24"/>
  <c r="S68" i="24"/>
  <c r="S60" i="24"/>
  <c r="S62" i="24"/>
  <c r="S70" i="24"/>
  <c r="S76" i="24"/>
  <c r="S82" i="24"/>
  <c r="S58" i="24"/>
  <c r="S74" i="24"/>
  <c r="S80" i="24"/>
  <c r="S78" i="24"/>
  <c r="Q78" i="24"/>
  <c r="Q76" i="24"/>
  <c r="Q80" i="24"/>
  <c r="Q82" i="24"/>
  <c r="Q74" i="24"/>
  <c r="Q56" i="24"/>
  <c r="P72" i="24"/>
  <c r="P80" i="24"/>
  <c r="P76" i="24"/>
  <c r="P74" i="24"/>
  <c r="P78" i="24"/>
  <c r="P82" i="24"/>
  <c r="P54" i="24"/>
  <c r="C297" i="24"/>
  <c r="G297" i="24"/>
  <c r="AY87" i="34"/>
  <c r="S54" i="24"/>
  <c r="Q54" i="24"/>
  <c r="L2" i="28"/>
  <c r="P2" i="28" s="1"/>
  <c r="J2354" i="27"/>
  <c r="A170" i="32"/>
  <c r="M2354" i="27"/>
  <c r="K350" i="27"/>
  <c r="K137" i="27"/>
  <c r="O2354" i="27"/>
  <c r="G779" i="32"/>
  <c r="G480" i="32"/>
  <c r="F2354" i="27"/>
  <c r="K204" i="27"/>
  <c r="K203" i="27"/>
  <c r="K130" i="27"/>
  <c r="K353" i="27"/>
  <c r="K821" i="27"/>
  <c r="A482" i="32"/>
  <c r="K216" i="27"/>
  <c r="K196" i="27"/>
  <c r="K197" i="27"/>
  <c r="K208" i="27"/>
  <c r="K131" i="27"/>
  <c r="K198" i="27"/>
  <c r="K215" i="27"/>
  <c r="K351" i="27"/>
  <c r="G168" i="32"/>
  <c r="L821" i="27"/>
  <c r="BC87" i="34"/>
  <c r="K210" i="27"/>
  <c r="I821" i="27"/>
  <c r="A781" i="32"/>
  <c r="K184" i="27"/>
  <c r="K138" i="27"/>
  <c r="K202" i="27"/>
  <c r="BD87" i="34"/>
  <c r="K209" i="27"/>
  <c r="K174" i="27"/>
  <c r="K214" i="27"/>
  <c r="K190" i="27"/>
  <c r="J820" i="27"/>
  <c r="K352" i="27"/>
  <c r="N2354" i="27"/>
  <c r="K144" i="27"/>
  <c r="K192" i="27"/>
  <c r="K180" i="27"/>
  <c r="K191" i="27"/>
  <c r="P705" i="32" l="1"/>
  <c r="Q703" i="32"/>
  <c r="F2973" i="27"/>
  <c r="F2711" i="27"/>
  <c r="F2712" i="27" s="1"/>
  <c r="F2713" i="27" s="1"/>
  <c r="F2714" i="27" s="1"/>
  <c r="F2715" i="27" s="1"/>
  <c r="F2710" i="27"/>
  <c r="O1356" i="27"/>
  <c r="O1355" i="27"/>
  <c r="N1356" i="27"/>
  <c r="N1355" i="27"/>
  <c r="L1356" i="27"/>
  <c r="L1355" i="27"/>
  <c r="K1356" i="27"/>
  <c r="K1355" i="27"/>
  <c r="J1356" i="27"/>
  <c r="J1355" i="27"/>
  <c r="I1356" i="27"/>
  <c r="I1355" i="27"/>
  <c r="H1355" i="27"/>
  <c r="H1356" i="27"/>
  <c r="G1356" i="27"/>
  <c r="G1355" i="27"/>
  <c r="E1355" i="27"/>
  <c r="E1356" i="27"/>
  <c r="K1263" i="27"/>
  <c r="A820" i="27"/>
  <c r="H822" i="27"/>
  <c r="AS86" i="34"/>
  <c r="U172" i="32"/>
  <c r="U484" i="32"/>
  <c r="U783" i="32"/>
  <c r="G298" i="24"/>
  <c r="C298" i="24"/>
  <c r="AY88" i="34"/>
  <c r="A484" i="32"/>
  <c r="G170" i="32"/>
  <c r="A172" i="32"/>
  <c r="BD88" i="34"/>
  <c r="BC88" i="34"/>
  <c r="M2355" i="27"/>
  <c r="J2355" i="27"/>
  <c r="A783" i="32"/>
  <c r="G781" i="32"/>
  <c r="F2355" i="27"/>
  <c r="N2355" i="27"/>
  <c r="O2355" i="27"/>
  <c r="G482" i="32"/>
  <c r="J821" i="27"/>
  <c r="I822" i="27"/>
  <c r="P707" i="32" l="1"/>
  <c r="Q705" i="32"/>
  <c r="F2974" i="27"/>
  <c r="F2975" i="27"/>
  <c r="F2717" i="27"/>
  <c r="F2718" i="27" s="1"/>
  <c r="F2719" i="27" s="1"/>
  <c r="F2720" i="27" s="1"/>
  <c r="F2721" i="27" s="1"/>
  <c r="F2716" i="27"/>
  <c r="O1358" i="27"/>
  <c r="O1357" i="27"/>
  <c r="N1358" i="27"/>
  <c r="N1357" i="27"/>
  <c r="L1358" i="27"/>
  <c r="L1357" i="27"/>
  <c r="K1358" i="27"/>
  <c r="K1357" i="27"/>
  <c r="J1358" i="27"/>
  <c r="J1357" i="27"/>
  <c r="I1358" i="27"/>
  <c r="I1357" i="27"/>
  <c r="H1358" i="27"/>
  <c r="H1357" i="27"/>
  <c r="G1358" i="27"/>
  <c r="G1357" i="27"/>
  <c r="E1358" i="27"/>
  <c r="E1357" i="27"/>
  <c r="K1264" i="27"/>
  <c r="A821" i="27"/>
  <c r="H824" i="27"/>
  <c r="H823" i="27"/>
  <c r="AS87" i="34"/>
  <c r="U785" i="32"/>
  <c r="U486" i="32"/>
  <c r="U174" i="32"/>
  <c r="G299" i="24"/>
  <c r="C299" i="24"/>
  <c r="K822" i="27"/>
  <c r="M2356" i="27"/>
  <c r="L822" i="27"/>
  <c r="A785" i="32"/>
  <c r="N2356" i="27"/>
  <c r="I824" i="27"/>
  <c r="A174" i="32"/>
  <c r="K824" i="27"/>
  <c r="G484" i="32"/>
  <c r="O2356" i="27"/>
  <c r="G783" i="32"/>
  <c r="F2356" i="27"/>
  <c r="A486" i="32"/>
  <c r="J2356" i="27"/>
  <c r="J822" i="27"/>
  <c r="L824" i="27"/>
  <c r="G172" i="32"/>
  <c r="K823" i="27"/>
  <c r="P709" i="32" l="1"/>
  <c r="Q707" i="32"/>
  <c r="F2976" i="27"/>
  <c r="F2722" i="27"/>
  <c r="F2723" i="27"/>
  <c r="F2724" i="27" s="1"/>
  <c r="F2725" i="27" s="1"/>
  <c r="F2726" i="27" s="1"/>
  <c r="F2727" i="27" s="1"/>
  <c r="O1360" i="27"/>
  <c r="O1359" i="27"/>
  <c r="N1360" i="27"/>
  <c r="N1359" i="27"/>
  <c r="L1360" i="27"/>
  <c r="L1359" i="27"/>
  <c r="K1360" i="27"/>
  <c r="K1359" i="27"/>
  <c r="J1360" i="27"/>
  <c r="J1359" i="27"/>
  <c r="I1360" i="27"/>
  <c r="I1359" i="27"/>
  <c r="H1359" i="27"/>
  <c r="H1360" i="27"/>
  <c r="G1360" i="27"/>
  <c r="G1359" i="27"/>
  <c r="E1359" i="27"/>
  <c r="E1360" i="27"/>
  <c r="K1265" i="27"/>
  <c r="A822" i="27"/>
  <c r="H825" i="27"/>
  <c r="AS88" i="34"/>
  <c r="U176" i="32"/>
  <c r="U488" i="32"/>
  <c r="U787" i="32"/>
  <c r="B123" i="16" a="1"/>
  <c r="B123" i="16" s="1"/>
  <c r="I123" i="16" a="1"/>
  <c r="I123" i="16" s="1"/>
  <c r="H21" i="16" a="1"/>
  <c r="H21" i="16" s="1"/>
  <c r="H4" i="16" a="1"/>
  <c r="H4" i="16" s="1"/>
  <c r="A787" i="32"/>
  <c r="A488" i="32"/>
  <c r="G486" i="32"/>
  <c r="L823" i="27"/>
  <c r="G785" i="32"/>
  <c r="L825" i="27"/>
  <c r="K825" i="27"/>
  <c r="I823" i="27"/>
  <c r="J824" i="27"/>
  <c r="J823" i="27"/>
  <c r="G174" i="32"/>
  <c r="A176" i="32"/>
  <c r="P711" i="32" l="1"/>
  <c r="Q709" i="32"/>
  <c r="F2977" i="27"/>
  <c r="F2729" i="27"/>
  <c r="F2730" i="27" s="1"/>
  <c r="F2731" i="27" s="1"/>
  <c r="F2732" i="27" s="1"/>
  <c r="F2733" i="27" s="1"/>
  <c r="F2728" i="27"/>
  <c r="O1361" i="27"/>
  <c r="O1362" i="27"/>
  <c r="N1361" i="27"/>
  <c r="N1362" i="27"/>
  <c r="L1361" i="27"/>
  <c r="L1362" i="27"/>
  <c r="K1361" i="27"/>
  <c r="K1362" i="27"/>
  <c r="J1361" i="27"/>
  <c r="J1362" i="27"/>
  <c r="I1361" i="27"/>
  <c r="I1362" i="27"/>
  <c r="H1362" i="27"/>
  <c r="H1361" i="27"/>
  <c r="G1361" i="27"/>
  <c r="G1362" i="27"/>
  <c r="E1361" i="27"/>
  <c r="E1362" i="27"/>
  <c r="A823" i="27"/>
  <c r="A824" i="27"/>
  <c r="H826" i="27"/>
  <c r="I124" i="16" a="1"/>
  <c r="I124" i="16" s="1"/>
  <c r="J124" i="16" s="1" a="1"/>
  <c r="J124" i="16" s="1"/>
  <c r="J123" i="16" a="1"/>
  <c r="J123" i="16" s="1"/>
  <c r="B124" i="16" a="1"/>
  <c r="B124" i="16" s="1"/>
  <c r="H22" i="16" a="1"/>
  <c r="H22" i="16" s="1"/>
  <c r="I22" i="16" s="1" a="1"/>
  <c r="I22" i="16" s="1"/>
  <c r="H5" i="16" a="1"/>
  <c r="H5" i="16" s="1"/>
  <c r="I5" i="16" s="1" a="1"/>
  <c r="I5" i="16" s="1"/>
  <c r="U490" i="32"/>
  <c r="U789" i="32"/>
  <c r="U178" i="32"/>
  <c r="I21" i="16" a="1"/>
  <c r="I21" i="16" s="1"/>
  <c r="I4" i="16" a="1"/>
  <c r="I4" i="16" s="1"/>
  <c r="D16" i="24"/>
  <c r="D15" i="24"/>
  <c r="A789" i="32"/>
  <c r="A178" i="32"/>
  <c r="J825" i="27"/>
  <c r="A490" i="32"/>
  <c r="G488" i="32"/>
  <c r="I825" i="27"/>
  <c r="G787" i="32"/>
  <c r="L826" i="27"/>
  <c r="G176" i="32"/>
  <c r="P713" i="32" l="1"/>
  <c r="Q711" i="32"/>
  <c r="F2978" i="27"/>
  <c r="F2735" i="27"/>
  <c r="F2736" i="27" s="1"/>
  <c r="F2737" i="27" s="1"/>
  <c r="F2738" i="27" s="1"/>
  <c r="F2739" i="27" s="1"/>
  <c r="F2734" i="27"/>
  <c r="O1364" i="27"/>
  <c r="O1363" i="27"/>
  <c r="N1364" i="27"/>
  <c r="N1363" i="27"/>
  <c r="L1364" i="27"/>
  <c r="L1363" i="27"/>
  <c r="K1364" i="27"/>
  <c r="K1363" i="27"/>
  <c r="J1364" i="27"/>
  <c r="J1363" i="27"/>
  <c r="I1364" i="27"/>
  <c r="I1363" i="27"/>
  <c r="H1364" i="27"/>
  <c r="H1363" i="27"/>
  <c r="G1364" i="27"/>
  <c r="G1363" i="27"/>
  <c r="E1364" i="27"/>
  <c r="E1363" i="27"/>
  <c r="A825" i="27"/>
  <c r="H827" i="27"/>
  <c r="B125" i="16" a="1"/>
  <c r="B125" i="16" s="1"/>
  <c r="B126" i="16" s="1" a="1"/>
  <c r="B126" i="16" s="1"/>
  <c r="I125" i="16" a="1"/>
  <c r="I125" i="16" s="1"/>
  <c r="J125" i="16" s="1" a="1"/>
  <c r="J125" i="16" s="1"/>
  <c r="H23" i="16" a="1"/>
  <c r="H23" i="16" s="1"/>
  <c r="I23" i="16" s="1" a="1"/>
  <c r="I23" i="16" s="1"/>
  <c r="H6" i="16" a="1"/>
  <c r="H6" i="16" s="1"/>
  <c r="I6" i="16" s="1" a="1"/>
  <c r="I6" i="16" s="1"/>
  <c r="U180" i="32"/>
  <c r="U791" i="32"/>
  <c r="U492" i="32"/>
  <c r="B327" i="16"/>
  <c r="K827" i="27"/>
  <c r="K826" i="27"/>
  <c r="J826" i="27"/>
  <c r="A791" i="32"/>
  <c r="G178" i="32"/>
  <c r="A180" i="32"/>
  <c r="I827" i="27"/>
  <c r="G789" i="32"/>
  <c r="I826" i="27"/>
  <c r="A492" i="32"/>
  <c r="G490" i="32"/>
  <c r="L827" i="27"/>
  <c r="P715" i="32" l="1"/>
  <c r="Q713" i="32"/>
  <c r="F2979" i="27"/>
  <c r="F2741" i="27"/>
  <c r="F2742" i="27" s="1"/>
  <c r="F2743" i="27" s="1"/>
  <c r="F2744" i="27" s="1"/>
  <c r="F2745" i="27" s="1"/>
  <c r="F2740" i="27"/>
  <c r="O1366" i="27"/>
  <c r="O1365" i="27"/>
  <c r="N1366" i="27"/>
  <c r="N1365" i="27"/>
  <c r="L1366" i="27"/>
  <c r="L1365" i="27"/>
  <c r="K1366" i="27"/>
  <c r="K1365" i="27"/>
  <c r="J1366" i="27"/>
  <c r="J1365" i="27"/>
  <c r="I1366" i="27"/>
  <c r="I1365" i="27"/>
  <c r="H1365" i="27"/>
  <c r="H1366" i="27"/>
  <c r="G1366" i="27"/>
  <c r="G1365" i="27"/>
  <c r="E1366" i="27"/>
  <c r="E1365" i="27"/>
  <c r="A826" i="27"/>
  <c r="H828" i="27"/>
  <c r="B127" i="16" a="1"/>
  <c r="B127" i="16" s="1"/>
  <c r="B128" i="16" s="1" a="1"/>
  <c r="B128" i="16" s="1"/>
  <c r="I126" i="16" a="1"/>
  <c r="I126" i="16" s="1"/>
  <c r="J126" i="16" s="1" a="1"/>
  <c r="J126" i="16" s="1"/>
  <c r="H24" i="16" a="1"/>
  <c r="H24" i="16" s="1"/>
  <c r="I24" i="16" s="1" a="1"/>
  <c r="I24" i="16" s="1"/>
  <c r="H7" i="16" a="1"/>
  <c r="H7" i="16" s="1"/>
  <c r="I7" i="16" s="1" a="1"/>
  <c r="I7" i="16" s="1"/>
  <c r="U494" i="32"/>
  <c r="U793" i="32"/>
  <c r="U182" i="32"/>
  <c r="A26" i="1"/>
  <c r="G492" i="32"/>
  <c r="A182" i="32"/>
  <c r="A494" i="32"/>
  <c r="A793" i="32"/>
  <c r="G180" i="32"/>
  <c r="G791" i="32"/>
  <c r="J827" i="27"/>
  <c r="I828" i="27"/>
  <c r="P717" i="32" l="1"/>
  <c r="Q715" i="32"/>
  <c r="F2980" i="27"/>
  <c r="F2981" i="27"/>
  <c r="F2746" i="27"/>
  <c r="F2747" i="27"/>
  <c r="F2748" i="27" s="1"/>
  <c r="F2749" i="27" s="1"/>
  <c r="F2750" i="27" s="1"/>
  <c r="F2751" i="27" s="1"/>
  <c r="O1367" i="27"/>
  <c r="O1368" i="27"/>
  <c r="N1367" i="27"/>
  <c r="N1368" i="27"/>
  <c r="L1367" i="27"/>
  <c r="L1368" i="27"/>
  <c r="K1367" i="27"/>
  <c r="K1368" i="27"/>
  <c r="J1367" i="27"/>
  <c r="J1368" i="27"/>
  <c r="I1367" i="27"/>
  <c r="I1368" i="27"/>
  <c r="H1367" i="27"/>
  <c r="H1368" i="27"/>
  <c r="G1367" i="27"/>
  <c r="G1368" i="27"/>
  <c r="E1368" i="27"/>
  <c r="E1367" i="27"/>
  <c r="A827" i="27"/>
  <c r="H830" i="27"/>
  <c r="H829" i="27"/>
  <c r="B129" i="16" a="1"/>
  <c r="B129" i="16" s="1"/>
  <c r="B130" i="16" s="1" a="1"/>
  <c r="B130" i="16" s="1"/>
  <c r="B131" i="16" s="1" a="1"/>
  <c r="B131" i="16" s="1"/>
  <c r="I127" i="16" a="1"/>
  <c r="I127" i="16" s="1"/>
  <c r="J127" i="16" s="1" a="1"/>
  <c r="J127" i="16" s="1"/>
  <c r="H25" i="16" a="1"/>
  <c r="H25" i="16" s="1"/>
  <c r="I25" i="16" s="1" a="1"/>
  <c r="I25" i="16" s="1"/>
  <c r="H8" i="16" a="1"/>
  <c r="H8" i="16" s="1"/>
  <c r="I8" i="16" s="1" a="1"/>
  <c r="I8" i="16" s="1"/>
  <c r="U184" i="32"/>
  <c r="U795" i="32"/>
  <c r="U496" i="32"/>
  <c r="B35" i="24"/>
  <c r="B36" i="24"/>
  <c r="B37" i="24"/>
  <c r="B38" i="24"/>
  <c r="B39" i="24"/>
  <c r="B40" i="24"/>
  <c r="B41" i="24"/>
  <c r="B42" i="24"/>
  <c r="B43" i="24"/>
  <c r="B44" i="24"/>
  <c r="B45" i="24"/>
  <c r="B34" i="24"/>
  <c r="K828" i="27"/>
  <c r="L828" i="27"/>
  <c r="G182" i="32"/>
  <c r="G494" i="32"/>
  <c r="A496" i="32"/>
  <c r="A795" i="32"/>
  <c r="A184" i="32"/>
  <c r="I830" i="27"/>
  <c r="L830" i="27"/>
  <c r="G793" i="32"/>
  <c r="J828" i="27"/>
  <c r="K829" i="27"/>
  <c r="P719" i="32" l="1"/>
  <c r="Q717" i="32"/>
  <c r="F2982" i="27"/>
  <c r="F2753" i="27"/>
  <c r="F2754" i="27" s="1"/>
  <c r="F2755" i="27" s="1"/>
  <c r="F2756" i="27" s="1"/>
  <c r="F2757" i="27" s="1"/>
  <c r="F2752" i="27"/>
  <c r="O1370" i="27"/>
  <c r="O1369" i="27"/>
  <c r="N1370" i="27"/>
  <c r="N1369" i="27"/>
  <c r="L1370" i="27"/>
  <c r="L1369" i="27"/>
  <c r="K1370" i="27"/>
  <c r="K1369" i="27"/>
  <c r="J1370" i="27"/>
  <c r="J1369" i="27"/>
  <c r="I1370" i="27"/>
  <c r="I1369" i="27"/>
  <c r="H1370" i="27"/>
  <c r="H1369" i="27"/>
  <c r="G1370" i="27"/>
  <c r="G1369" i="27"/>
  <c r="E1370" i="27"/>
  <c r="E1369" i="27"/>
  <c r="A828" i="27"/>
  <c r="H831" i="27"/>
  <c r="I128" i="16" a="1"/>
  <c r="I128" i="16" s="1"/>
  <c r="J128" i="16" s="1" a="1"/>
  <c r="J128" i="16" s="1"/>
  <c r="B132" i="16" a="1"/>
  <c r="B132" i="16" s="1"/>
  <c r="B133" i="16" s="1" a="1"/>
  <c r="B133" i="16" s="1"/>
  <c r="H26" i="16" a="1"/>
  <c r="H26" i="16" s="1"/>
  <c r="I26" i="16" s="1" a="1"/>
  <c r="I26" i="16" s="1"/>
  <c r="H9" i="16" a="1"/>
  <c r="H9" i="16" s="1"/>
  <c r="U498" i="32"/>
  <c r="U797" i="32"/>
  <c r="U186" i="32"/>
  <c r="D13" i="24"/>
  <c r="D12" i="24"/>
  <c r="G184" i="32"/>
  <c r="L831" i="27"/>
  <c r="K831" i="27"/>
  <c r="G496" i="32"/>
  <c r="I831" i="27"/>
  <c r="A797" i="32"/>
  <c r="J829" i="27"/>
  <c r="G795" i="32"/>
  <c r="L829" i="27"/>
  <c r="K830" i="27"/>
  <c r="I829" i="27"/>
  <c r="A498" i="32"/>
  <c r="A186" i="32"/>
  <c r="J830" i="27"/>
  <c r="P721" i="32" l="1"/>
  <c r="Q719" i="32"/>
  <c r="F2983" i="27"/>
  <c r="F2759" i="27"/>
  <c r="F2760" i="27" s="1"/>
  <c r="F2761" i="27" s="1"/>
  <c r="F2762" i="27" s="1"/>
  <c r="F2763" i="27" s="1"/>
  <c r="F2758" i="27"/>
  <c r="O1372" i="27"/>
  <c r="O1371" i="27"/>
  <c r="N1372" i="27"/>
  <c r="N1371" i="27"/>
  <c r="L1372" i="27"/>
  <c r="L1371" i="27"/>
  <c r="K1372" i="27"/>
  <c r="K1371" i="27"/>
  <c r="J1372" i="27"/>
  <c r="J1371" i="27"/>
  <c r="I1372" i="27"/>
  <c r="I1371" i="27"/>
  <c r="H1371" i="27"/>
  <c r="H1372" i="27"/>
  <c r="G1372" i="27"/>
  <c r="G1371" i="27"/>
  <c r="E1372" i="27"/>
  <c r="E1371" i="27"/>
  <c r="A829" i="27"/>
  <c r="A830" i="27"/>
  <c r="H832" i="27"/>
  <c r="I129" i="16" a="1"/>
  <c r="I129" i="16" s="1"/>
  <c r="B134" i="16" a="1"/>
  <c r="B134" i="16" s="1"/>
  <c r="B135" i="16" s="1" a="1"/>
  <c r="B135" i="16" s="1"/>
  <c r="B136" i="16" s="1" a="1"/>
  <c r="B136" i="16" s="1"/>
  <c r="B137" i="16" s="1" a="1"/>
  <c r="B137" i="16" s="1"/>
  <c r="B138" i="16" s="1" a="1"/>
  <c r="B138" i="16" s="1"/>
  <c r="B139" i="16" s="1" a="1"/>
  <c r="B139" i="16" s="1"/>
  <c r="B140" i="16" s="1" a="1"/>
  <c r="B140" i="16" s="1"/>
  <c r="B141" i="16" s="1" a="1"/>
  <c r="B141" i="16" s="1"/>
  <c r="B142" i="16" s="1" a="1"/>
  <c r="B142" i="16" s="1"/>
  <c r="B143" i="16" s="1" a="1"/>
  <c r="B143" i="16" s="1"/>
  <c r="B144" i="16" s="1" a="1"/>
  <c r="B144" i="16" s="1"/>
  <c r="B145" i="16" s="1" a="1"/>
  <c r="B145" i="16" s="1"/>
  <c r="B146" i="16" s="1" a="1"/>
  <c r="B146" i="16" s="1"/>
  <c r="B147" i="16" s="1" a="1"/>
  <c r="B147" i="16" s="1"/>
  <c r="B148" i="16" s="1" a="1"/>
  <c r="B148" i="16" s="1"/>
  <c r="B149" i="16" s="1" a="1"/>
  <c r="B149" i="16" s="1"/>
  <c r="H27" i="16" a="1"/>
  <c r="H27" i="16" s="1"/>
  <c r="H10" i="16" a="1"/>
  <c r="H10" i="16" s="1"/>
  <c r="I9" i="16" a="1"/>
  <c r="I9" i="16" s="1"/>
  <c r="U188" i="32"/>
  <c r="U799" i="32"/>
  <c r="U500" i="32"/>
  <c r="AW62" i="24"/>
  <c r="AW70" i="24"/>
  <c r="AW78" i="24"/>
  <c r="AW56" i="24"/>
  <c r="AW64" i="24"/>
  <c r="AW72" i="24"/>
  <c r="AW80" i="24"/>
  <c r="AW54" i="24"/>
  <c r="AW60" i="24"/>
  <c r="AW68" i="24"/>
  <c r="AW76" i="24"/>
  <c r="AW74" i="24"/>
  <c r="AW66" i="24"/>
  <c r="AW82" i="24"/>
  <c r="AW58" i="24"/>
  <c r="AX60" i="24"/>
  <c r="AX68" i="24"/>
  <c r="AX76" i="24"/>
  <c r="AX54" i="24"/>
  <c r="AX62" i="24"/>
  <c r="AX70" i="24"/>
  <c r="AX78" i="24"/>
  <c r="AX58" i="24"/>
  <c r="AX66" i="24"/>
  <c r="AX74" i="24"/>
  <c r="AX82" i="24"/>
  <c r="AX80" i="24"/>
  <c r="AX56" i="24"/>
  <c r="AX72" i="24"/>
  <c r="AX64" i="24"/>
  <c r="AU58" i="24"/>
  <c r="AU66" i="24"/>
  <c r="AU74" i="24"/>
  <c r="AU82" i="24"/>
  <c r="AU60" i="24"/>
  <c r="AU68" i="24"/>
  <c r="AU76" i="24"/>
  <c r="AU56" i="24"/>
  <c r="AU64" i="24"/>
  <c r="AU72" i="24"/>
  <c r="AU80" i="24"/>
  <c r="AU54" i="24"/>
  <c r="AU62" i="24"/>
  <c r="AU70" i="24"/>
  <c r="AU78" i="24"/>
  <c r="AT60" i="24"/>
  <c r="AT68" i="24"/>
  <c r="AT76" i="24"/>
  <c r="AT54" i="24"/>
  <c r="AT62" i="24"/>
  <c r="AT70" i="24"/>
  <c r="AT78" i="24"/>
  <c r="AT58" i="24"/>
  <c r="AT66" i="24"/>
  <c r="AT74" i="24"/>
  <c r="AT82" i="24"/>
  <c r="AT56" i="24"/>
  <c r="AT80" i="24"/>
  <c r="AT64" i="24"/>
  <c r="AT72" i="24"/>
  <c r="A799" i="32"/>
  <c r="K832" i="27"/>
  <c r="J831" i="27"/>
  <c r="G797" i="32"/>
  <c r="G498" i="32"/>
  <c r="A188" i="32"/>
  <c r="A500" i="32"/>
  <c r="L832" i="27"/>
  <c r="G186" i="32"/>
  <c r="I832" i="27"/>
  <c r="P723" i="32" l="1"/>
  <c r="Q721" i="32"/>
  <c r="F2984" i="27"/>
  <c r="F2765" i="27"/>
  <c r="F2766" i="27" s="1"/>
  <c r="F2767" i="27" s="1"/>
  <c r="F2768" i="27" s="1"/>
  <c r="F2769" i="27" s="1"/>
  <c r="F2764" i="27"/>
  <c r="O1374" i="27"/>
  <c r="O1373" i="27"/>
  <c r="N1374" i="27"/>
  <c r="N1373" i="27"/>
  <c r="L1374" i="27"/>
  <c r="L1373" i="27"/>
  <c r="K1374" i="27"/>
  <c r="K1373" i="27"/>
  <c r="J1374" i="27"/>
  <c r="J1373" i="27"/>
  <c r="I1374" i="27"/>
  <c r="I1373" i="27"/>
  <c r="H1373" i="27"/>
  <c r="H1374" i="27"/>
  <c r="G1374" i="27"/>
  <c r="G1373" i="27"/>
  <c r="E1374" i="27"/>
  <c r="E1373" i="27"/>
  <c r="A831" i="27"/>
  <c r="H833" i="27"/>
  <c r="J129" i="16" a="1"/>
  <c r="J129" i="16" s="1"/>
  <c r="I130" i="16" a="1"/>
  <c r="I130" i="16" s="1"/>
  <c r="I27" i="16" a="1"/>
  <c r="I27" i="16" s="1"/>
  <c r="H28" i="16" a="1"/>
  <c r="H28" i="16" s="1"/>
  <c r="I10" i="16" a="1"/>
  <c r="I10" i="16" s="1"/>
  <c r="H11" i="16" a="1"/>
  <c r="H11" i="16" s="1"/>
  <c r="U801" i="32"/>
  <c r="U502" i="32"/>
  <c r="U190" i="32"/>
  <c r="I101" i="1"/>
  <c r="A801" i="32"/>
  <c r="A502" i="32"/>
  <c r="K833" i="27"/>
  <c r="L833" i="27"/>
  <c r="J832" i="27"/>
  <c r="A190" i="32"/>
  <c r="G188" i="32"/>
  <c r="I833" i="27"/>
  <c r="G799" i="32"/>
  <c r="G500" i="32"/>
  <c r="P725" i="32" l="1"/>
  <c r="Q723" i="32"/>
  <c r="F2985" i="27"/>
  <c r="F2770" i="27"/>
  <c r="F2771" i="27"/>
  <c r="F2772" i="27" s="1"/>
  <c r="F2773" i="27" s="1"/>
  <c r="F2774" i="27" s="1"/>
  <c r="F2775" i="27" s="1"/>
  <c r="O1375" i="27"/>
  <c r="O1376" i="27"/>
  <c r="N1375" i="27"/>
  <c r="N1376" i="27"/>
  <c r="L1375" i="27"/>
  <c r="L1376" i="27"/>
  <c r="K1375" i="27"/>
  <c r="K1376" i="27"/>
  <c r="J1375" i="27"/>
  <c r="J1376" i="27"/>
  <c r="I1375" i="27"/>
  <c r="I1376" i="27"/>
  <c r="H1375" i="27"/>
  <c r="H1376" i="27"/>
  <c r="G1375" i="27"/>
  <c r="G1376" i="27"/>
  <c r="E1375" i="27"/>
  <c r="E1376" i="27"/>
  <c r="A832" i="27"/>
  <c r="H834" i="27"/>
  <c r="J130" i="16" a="1"/>
  <c r="J130" i="16" s="1"/>
  <c r="I131" i="16" a="1"/>
  <c r="I131" i="16" s="1"/>
  <c r="I28" i="16" a="1"/>
  <c r="I28" i="16" s="1"/>
  <c r="H29" i="16" a="1"/>
  <c r="H29" i="16" s="1"/>
  <c r="H12" i="16" a="1"/>
  <c r="H12" i="16" s="1"/>
  <c r="I11" i="16" a="1"/>
  <c r="I11" i="16" s="1"/>
  <c r="U192" i="32"/>
  <c r="U504" i="32"/>
  <c r="U803" i="32"/>
  <c r="E123" i="1"/>
  <c r="AF123" i="1" s="1"/>
  <c r="A504" i="32"/>
  <c r="G190" i="32"/>
  <c r="I834" i="27"/>
  <c r="A192" i="32"/>
  <c r="J833" i="27"/>
  <c r="G502" i="32"/>
  <c r="A803" i="32"/>
  <c r="K834" i="27"/>
  <c r="P727" i="32" l="1"/>
  <c r="Q725" i="32"/>
  <c r="F2987" i="27"/>
  <c r="F2986" i="27"/>
  <c r="F2777" i="27"/>
  <c r="F2778" i="27" s="1"/>
  <c r="F2779" i="27" s="1"/>
  <c r="F2780" i="27" s="1"/>
  <c r="F2781" i="27" s="1"/>
  <c r="F2776" i="27"/>
  <c r="O1378" i="27"/>
  <c r="O1377" i="27"/>
  <c r="N1378" i="27"/>
  <c r="N1377" i="27"/>
  <c r="L1378" i="27"/>
  <c r="L1377" i="27"/>
  <c r="K1378" i="27"/>
  <c r="K1377" i="27"/>
  <c r="J1378" i="27"/>
  <c r="J1377" i="27"/>
  <c r="I1378" i="27"/>
  <c r="I1377" i="27"/>
  <c r="H1378" i="27"/>
  <c r="H1377" i="27"/>
  <c r="G1378" i="27"/>
  <c r="G1377" i="27"/>
  <c r="E1378" i="27"/>
  <c r="E1377" i="27"/>
  <c r="A833" i="27"/>
  <c r="H836" i="27"/>
  <c r="H835" i="27"/>
  <c r="I132" i="16" a="1"/>
  <c r="I132" i="16" s="1"/>
  <c r="J131" i="16" a="1"/>
  <c r="J131" i="16" s="1"/>
  <c r="I29" i="16" a="1"/>
  <c r="I29" i="16" s="1"/>
  <c r="H30" i="16" a="1"/>
  <c r="H30" i="16" s="1"/>
  <c r="H13" i="16" a="1"/>
  <c r="H13" i="16" s="1"/>
  <c r="I12" i="16" a="1"/>
  <c r="I12" i="16" s="1"/>
  <c r="U805" i="32"/>
  <c r="U506" i="32"/>
  <c r="U194" i="32"/>
  <c r="U123" i="1"/>
  <c r="L123" i="1" s="1"/>
  <c r="AD123" i="1"/>
  <c r="K10" i="1"/>
  <c r="L834" i="27"/>
  <c r="A805" i="32"/>
  <c r="A506" i="32"/>
  <c r="G803" i="32"/>
  <c r="I836" i="27"/>
  <c r="A194" i="32"/>
  <c r="K835" i="27"/>
  <c r="G504" i="32"/>
  <c r="I835" i="27"/>
  <c r="G192" i="32"/>
  <c r="J834" i="27"/>
  <c r="K836" i="27"/>
  <c r="L836" i="27"/>
  <c r="P729" i="32" l="1"/>
  <c r="Q727" i="32"/>
  <c r="F2988" i="27"/>
  <c r="F2783" i="27"/>
  <c r="F2784" i="27" s="1"/>
  <c r="F2785" i="27" s="1"/>
  <c r="F2786" i="27" s="1"/>
  <c r="F2787" i="27" s="1"/>
  <c r="F2782" i="27"/>
  <c r="O1379" i="27"/>
  <c r="O1380" i="27"/>
  <c r="N1379" i="27"/>
  <c r="N1380" i="27"/>
  <c r="L1379" i="27"/>
  <c r="L1380" i="27"/>
  <c r="K1379" i="27"/>
  <c r="K1380" i="27"/>
  <c r="J1379" i="27"/>
  <c r="J1380" i="27"/>
  <c r="I1379" i="27"/>
  <c r="I1380" i="27"/>
  <c r="H1380" i="27"/>
  <c r="H1379" i="27"/>
  <c r="G1379" i="27"/>
  <c r="G1380" i="27"/>
  <c r="E1380" i="27"/>
  <c r="E1379" i="27"/>
  <c r="A834" i="27"/>
  <c r="H837" i="27"/>
  <c r="I133" i="16" a="1"/>
  <c r="I133" i="16" s="1"/>
  <c r="J132" i="16" a="1"/>
  <c r="J132" i="16" s="1"/>
  <c r="H31" i="16" a="1"/>
  <c r="H31" i="16" s="1"/>
  <c r="I30" i="16" a="1"/>
  <c r="I30" i="16" s="1"/>
  <c r="H14" i="16" a="1"/>
  <c r="H14" i="16" s="1"/>
  <c r="I14" i="16" s="1" a="1"/>
  <c r="I14" i="16" s="1"/>
  <c r="I13" i="16" a="1"/>
  <c r="I13" i="16" s="1"/>
  <c r="O123" i="1"/>
  <c r="AC123" i="1"/>
  <c r="H123" i="1" s="1"/>
  <c r="AO123" i="1"/>
  <c r="AT9" i="34"/>
  <c r="U196" i="32"/>
  <c r="U508" i="32"/>
  <c r="U807" i="32"/>
  <c r="E6" i="1"/>
  <c r="AN12" i="1" s="1"/>
  <c r="E5" i="1"/>
  <c r="D10" i="24" s="1"/>
  <c r="L835" i="27"/>
  <c r="D2277" i="27"/>
  <c r="G506" i="32"/>
  <c r="J835" i="27"/>
  <c r="A508" i="32"/>
  <c r="G194" i="32"/>
  <c r="J836" i="27"/>
  <c r="A196" i="32"/>
  <c r="A807" i="32"/>
  <c r="L837" i="27"/>
  <c r="G805" i="32"/>
  <c r="I837" i="27"/>
  <c r="K837" i="27"/>
  <c r="P731" i="32" l="1"/>
  <c r="Q729" i="32"/>
  <c r="F2989" i="27"/>
  <c r="F2789" i="27"/>
  <c r="F2790" i="27" s="1"/>
  <c r="F2791" i="27" s="1"/>
  <c r="F2792" i="27" s="1"/>
  <c r="F2793" i="27" s="1"/>
  <c r="F2788" i="27"/>
  <c r="A2277" i="27"/>
  <c r="O1382" i="27"/>
  <c r="O1381" i="27"/>
  <c r="N1382" i="27"/>
  <c r="N1381" i="27"/>
  <c r="L1382" i="27"/>
  <c r="L1381" i="27"/>
  <c r="K1382" i="27"/>
  <c r="K1381" i="27"/>
  <c r="J1382" i="27"/>
  <c r="J1381" i="27"/>
  <c r="I1382" i="27"/>
  <c r="I1381" i="27"/>
  <c r="H1381" i="27"/>
  <c r="H1382" i="27"/>
  <c r="G1382" i="27"/>
  <c r="G1381" i="27"/>
  <c r="E1382" i="27"/>
  <c r="E1381" i="27"/>
  <c r="A836" i="27"/>
  <c r="A835" i="27"/>
  <c r="H838" i="27"/>
  <c r="I134" i="16" a="1"/>
  <c r="I134" i="16" s="1"/>
  <c r="J133" i="16" a="1"/>
  <c r="J133" i="16" s="1"/>
  <c r="H32" i="16" a="1"/>
  <c r="H32" i="16" s="1"/>
  <c r="I31" i="16" a="1"/>
  <c r="I31" i="16" s="1"/>
  <c r="BE9" i="34"/>
  <c r="BF9" i="34"/>
  <c r="U809" i="32"/>
  <c r="U510" i="32"/>
  <c r="U198" i="32"/>
  <c r="D11" i="24"/>
  <c r="AN11" i="1"/>
  <c r="P2277" i="27"/>
  <c r="K838" i="27"/>
  <c r="A198" i="32"/>
  <c r="I838" i="27"/>
  <c r="G508" i="32"/>
  <c r="K2277" i="27"/>
  <c r="A510" i="32"/>
  <c r="A809" i="32"/>
  <c r="J837" i="27"/>
  <c r="G196" i="32"/>
  <c r="G807" i="32"/>
  <c r="P733" i="32" l="1"/>
  <c r="Q731" i="32"/>
  <c r="F2990" i="27"/>
  <c r="F2794" i="27"/>
  <c r="F2795" i="27"/>
  <c r="F2796" i="27" s="1"/>
  <c r="F2797" i="27" s="1"/>
  <c r="F2798" i="27" s="1"/>
  <c r="F2799" i="27" s="1"/>
  <c r="O1383" i="27"/>
  <c r="O1384" i="27"/>
  <c r="N1383" i="27"/>
  <c r="N1384" i="27"/>
  <c r="L1383" i="27"/>
  <c r="L1384" i="27"/>
  <c r="K1383" i="27"/>
  <c r="K1384" i="27"/>
  <c r="J1383" i="27"/>
  <c r="J1384" i="27"/>
  <c r="I1383" i="27"/>
  <c r="I1384" i="27"/>
  <c r="H1383" i="27"/>
  <c r="H1384" i="27"/>
  <c r="G1383" i="27"/>
  <c r="G1384" i="27"/>
  <c r="E1384" i="27"/>
  <c r="E1383" i="27"/>
  <c r="A837" i="27"/>
  <c r="H839" i="27"/>
  <c r="I135" i="16" a="1"/>
  <c r="I135" i="16" s="1"/>
  <c r="J134" i="16" a="1"/>
  <c r="J134" i="16" s="1"/>
  <c r="H33" i="16" a="1"/>
  <c r="H33" i="16" s="1"/>
  <c r="I32" i="16" a="1"/>
  <c r="I32" i="16" s="1"/>
  <c r="U200" i="32"/>
  <c r="U512" i="32"/>
  <c r="U811" i="32"/>
  <c r="AN9" i="1"/>
  <c r="G198" i="32"/>
  <c r="K839" i="27"/>
  <c r="L838" i="27"/>
  <c r="G809" i="32"/>
  <c r="A200" i="32"/>
  <c r="A512" i="32"/>
  <c r="I839" i="27"/>
  <c r="L839" i="27"/>
  <c r="J838" i="27"/>
  <c r="A811" i="32"/>
  <c r="G510" i="32"/>
  <c r="P735" i="32" l="1"/>
  <c r="Q733" i="32"/>
  <c r="F2991" i="27"/>
  <c r="F2801" i="27"/>
  <c r="F2802" i="27" s="1"/>
  <c r="F2803" i="27" s="1"/>
  <c r="F2804" i="27" s="1"/>
  <c r="F2805" i="27" s="1"/>
  <c r="F2800" i="27"/>
  <c r="O1385" i="27"/>
  <c r="O1386" i="27"/>
  <c r="N1385" i="27"/>
  <c r="N1386" i="27"/>
  <c r="L1385" i="27"/>
  <c r="L1386" i="27"/>
  <c r="K1385" i="27"/>
  <c r="K1386" i="27"/>
  <c r="J1385" i="27"/>
  <c r="J1386" i="27"/>
  <c r="I1385" i="27"/>
  <c r="I1386" i="27"/>
  <c r="H1386" i="27"/>
  <c r="H1385" i="27"/>
  <c r="G1385" i="27"/>
  <c r="G1386" i="27"/>
  <c r="E1385" i="27"/>
  <c r="E1386" i="27"/>
  <c r="A838" i="27"/>
  <c r="H840" i="27"/>
  <c r="I136" i="16" a="1"/>
  <c r="I136" i="16" s="1"/>
  <c r="J135" i="16" a="1"/>
  <c r="J135" i="16" s="1"/>
  <c r="H34" i="16" a="1"/>
  <c r="H34" i="16" s="1"/>
  <c r="I33" i="16" a="1"/>
  <c r="I33" i="16" s="1"/>
  <c r="U813" i="32"/>
  <c r="U514" i="32"/>
  <c r="U202" i="32"/>
  <c r="AR198" i="1"/>
  <c r="D14" i="24"/>
  <c r="G811" i="32"/>
  <c r="A202" i="32"/>
  <c r="A813" i="32"/>
  <c r="J839" i="27"/>
  <c r="G200" i="32"/>
  <c r="A514" i="32"/>
  <c r="G512" i="32"/>
  <c r="K840" i="27"/>
  <c r="I840" i="27"/>
  <c r="P737" i="32" l="1"/>
  <c r="Q735" i="32"/>
  <c r="F2993" i="27"/>
  <c r="F2992" i="27"/>
  <c r="F2807" i="27"/>
  <c r="F2808" i="27" s="1"/>
  <c r="F2809" i="27" s="1"/>
  <c r="F2810" i="27" s="1"/>
  <c r="F2811" i="27" s="1"/>
  <c r="F2806" i="27"/>
  <c r="O1387" i="27"/>
  <c r="O1388" i="27"/>
  <c r="N1387" i="27"/>
  <c r="N1388" i="27"/>
  <c r="L1387" i="27"/>
  <c r="L1388" i="27"/>
  <c r="K1387" i="27"/>
  <c r="K1388" i="27"/>
  <c r="J1387" i="27"/>
  <c r="J1388" i="27"/>
  <c r="I1387" i="27"/>
  <c r="I1388" i="27"/>
  <c r="H1387" i="27"/>
  <c r="H1388" i="27"/>
  <c r="G1387" i="27"/>
  <c r="G1388" i="27"/>
  <c r="E1388" i="27"/>
  <c r="E1387" i="27"/>
  <c r="A839" i="27"/>
  <c r="H842" i="27"/>
  <c r="H841" i="27"/>
  <c r="I137" i="16" a="1"/>
  <c r="I137" i="16" s="1"/>
  <c r="J136" i="16" a="1"/>
  <c r="J136" i="16" s="1"/>
  <c r="H35" i="16" a="1"/>
  <c r="H35" i="16" s="1"/>
  <c r="I34" i="16" a="1"/>
  <c r="I34" i="16" s="1"/>
  <c r="U204" i="32"/>
  <c r="U516" i="32"/>
  <c r="U815" i="32"/>
  <c r="W123" i="1"/>
  <c r="Y123" i="1"/>
  <c r="B46" i="1"/>
  <c r="L840" i="27"/>
  <c r="G202" i="32"/>
  <c r="L841" i="27"/>
  <c r="G813" i="32"/>
  <c r="I841" i="27"/>
  <c r="G514" i="32"/>
  <c r="A815" i="32"/>
  <c r="L842" i="27"/>
  <c r="K841" i="27"/>
  <c r="J840" i="27"/>
  <c r="A204" i="32"/>
  <c r="A516" i="32"/>
  <c r="I842" i="27"/>
  <c r="P739" i="32" l="1"/>
  <c r="Q737" i="32"/>
  <c r="F2994" i="27"/>
  <c r="F2813" i="27"/>
  <c r="F2814" i="27" s="1"/>
  <c r="F2815" i="27" s="1"/>
  <c r="F2816" i="27" s="1"/>
  <c r="F2817" i="27" s="1"/>
  <c r="F2812" i="27"/>
  <c r="O1389" i="27"/>
  <c r="O1390" i="27"/>
  <c r="N1389" i="27"/>
  <c r="N1390" i="27"/>
  <c r="L1389" i="27"/>
  <c r="L1390" i="27"/>
  <c r="K1389" i="27"/>
  <c r="K1390" i="27"/>
  <c r="J1389" i="27"/>
  <c r="J1390" i="27"/>
  <c r="I1389" i="27"/>
  <c r="I1390" i="27"/>
  <c r="H1390" i="27"/>
  <c r="H1389" i="27"/>
  <c r="G1389" i="27"/>
  <c r="G1390" i="27"/>
  <c r="E1390" i="27"/>
  <c r="E1389" i="27"/>
  <c r="A840" i="27"/>
  <c r="H843" i="27"/>
  <c r="I138" i="16" a="1"/>
  <c r="I138" i="16" s="1"/>
  <c r="J137" i="16" a="1"/>
  <c r="J137" i="16" s="1"/>
  <c r="H36" i="16" a="1"/>
  <c r="H36" i="16" s="1"/>
  <c r="I35" i="16" a="1"/>
  <c r="I35" i="16" s="1"/>
  <c r="AG7" i="33"/>
  <c r="H299" i="24"/>
  <c r="H243" i="24"/>
  <c r="H227" i="24"/>
  <c r="H283" i="24"/>
  <c r="H267" i="24"/>
  <c r="H259" i="24"/>
  <c r="H251" i="24"/>
  <c r="H235" i="24"/>
  <c r="H291" i="24"/>
  <c r="H275" i="24"/>
  <c r="AF7" i="34"/>
  <c r="AJ7" i="34"/>
  <c r="S147" i="24"/>
  <c r="R146" i="24"/>
  <c r="S146" i="24"/>
  <c r="R147" i="24"/>
  <c r="U817" i="32"/>
  <c r="U518" i="32"/>
  <c r="U206" i="32"/>
  <c r="AJ7" i="33"/>
  <c r="A30" i="24"/>
  <c r="C30" i="24"/>
  <c r="C29" i="24"/>
  <c r="A29" i="24"/>
  <c r="AE123" i="1" a="1"/>
  <c r="AE123" i="1" s="1"/>
  <c r="A46" i="1"/>
  <c r="E30" i="1"/>
  <c r="K842" i="27"/>
  <c r="A817" i="32"/>
  <c r="J842" i="27"/>
  <c r="I843" i="27"/>
  <c r="J841" i="27"/>
  <c r="A518" i="32"/>
  <c r="K843" i="27"/>
  <c r="G204" i="32"/>
  <c r="G815" i="32"/>
  <c r="A206" i="32"/>
  <c r="G516" i="32"/>
  <c r="L843" i="27"/>
  <c r="P741" i="32" l="1"/>
  <c r="Q739" i="32"/>
  <c r="F2995" i="27"/>
  <c r="F2818" i="27"/>
  <c r="F2819" i="27"/>
  <c r="F2820" i="27" s="1"/>
  <c r="F2821" i="27" s="1"/>
  <c r="F2822" i="27" s="1"/>
  <c r="F2823" i="27" s="1"/>
  <c r="O1391" i="27"/>
  <c r="O1392" i="27"/>
  <c r="N1391" i="27"/>
  <c r="N1392" i="27"/>
  <c r="L1391" i="27"/>
  <c r="L1392" i="27"/>
  <c r="K1391" i="27"/>
  <c r="K1392" i="27"/>
  <c r="J1391" i="27"/>
  <c r="J1392" i="27"/>
  <c r="I1391" i="27"/>
  <c r="I1392" i="27"/>
  <c r="H1391" i="27"/>
  <c r="H1392" i="27"/>
  <c r="G1391" i="27"/>
  <c r="G1392" i="27"/>
  <c r="E1392" i="27"/>
  <c r="E1391" i="27"/>
  <c r="A842" i="27"/>
  <c r="A841" i="27"/>
  <c r="H844" i="27"/>
  <c r="I139" i="16" a="1"/>
  <c r="I139" i="16" s="1"/>
  <c r="J138" i="16" a="1"/>
  <c r="J138" i="16" s="1"/>
  <c r="H37" i="16" a="1"/>
  <c r="H37" i="16" s="1"/>
  <c r="I36" i="16" a="1"/>
  <c r="I36" i="16" s="1"/>
  <c r="AE124" i="1" a="1"/>
  <c r="AE124" i="1" s="1"/>
  <c r="AE125" i="1" s="1" a="1"/>
  <c r="AE125" i="1" s="1"/>
  <c r="AE126" i="1" s="1" a="1"/>
  <c r="AE126" i="1" s="1"/>
  <c r="D30" i="1"/>
  <c r="M30" i="1"/>
  <c r="L30" i="1"/>
  <c r="U208" i="32"/>
  <c r="U520" i="32"/>
  <c r="U819" i="32"/>
  <c r="E46" i="1"/>
  <c r="N30" i="1"/>
  <c r="A520" i="32"/>
  <c r="L844" i="27"/>
  <c r="A819" i="32"/>
  <c r="O241" i="27"/>
  <c r="G817" i="32"/>
  <c r="O21" i="27"/>
  <c r="A208" i="32"/>
  <c r="S445" i="27"/>
  <c r="J843" i="27"/>
  <c r="G206" i="32"/>
  <c r="O223" i="27"/>
  <c r="G518" i="32"/>
  <c r="I2196" i="27"/>
  <c r="I844" i="27"/>
  <c r="O3" i="27"/>
  <c r="AL27" i="30"/>
  <c r="K844" i="27"/>
  <c r="P743" i="32" l="1"/>
  <c r="Q741" i="32"/>
  <c r="F2996" i="27"/>
  <c r="F2825" i="27"/>
  <c r="F2826" i="27" s="1"/>
  <c r="F2827" i="27" s="1"/>
  <c r="F2828" i="27" s="1"/>
  <c r="F2829" i="27" s="1"/>
  <c r="F2824" i="27"/>
  <c r="O1393" i="27"/>
  <c r="O1394" i="27"/>
  <c r="N1393" i="27"/>
  <c r="N1394" i="27"/>
  <c r="L1393" i="27"/>
  <c r="L1394" i="27"/>
  <c r="K1393" i="27"/>
  <c r="K1394" i="27"/>
  <c r="J1393" i="27"/>
  <c r="J1394" i="27"/>
  <c r="I1393" i="27"/>
  <c r="I1394" i="27"/>
  <c r="H1394" i="27"/>
  <c r="H1393" i="27"/>
  <c r="G1393" i="27"/>
  <c r="G1394" i="27"/>
  <c r="E1393" i="27"/>
  <c r="E1394" i="27"/>
  <c r="A843" i="27"/>
  <c r="H845" i="27"/>
  <c r="I140" i="16" a="1"/>
  <c r="I140" i="16" s="1"/>
  <c r="J139" i="16" a="1"/>
  <c r="J139" i="16" s="1"/>
  <c r="H38" i="16" a="1"/>
  <c r="H38" i="16" s="1"/>
  <c r="I37" i="16" a="1"/>
  <c r="I37" i="16" s="1"/>
  <c r="T46" i="1"/>
  <c r="A47" i="1"/>
  <c r="E47" i="1" s="1"/>
  <c r="AE127" i="1" a="1"/>
  <c r="AE127" i="1" s="1"/>
  <c r="N72" i="24"/>
  <c r="U821" i="32"/>
  <c r="U522" i="32"/>
  <c r="U210" i="32"/>
  <c r="A210" i="32"/>
  <c r="J844" i="27"/>
  <c r="K845" i="27"/>
  <c r="G819" i="32"/>
  <c r="S15" i="33"/>
  <c r="A821" i="32"/>
  <c r="G520" i="32"/>
  <c r="O22" i="27"/>
  <c r="O242" i="27"/>
  <c r="I501" i="27"/>
  <c r="G208" i="32"/>
  <c r="M250" i="27" a="1"/>
  <c r="A522" i="32"/>
  <c r="L845" i="27"/>
  <c r="P745" i="32" l="1"/>
  <c r="Q743" i="32"/>
  <c r="F2997" i="27"/>
  <c r="F2831" i="27"/>
  <c r="F2832" i="27" s="1"/>
  <c r="F2833" i="27" s="1"/>
  <c r="F2834" i="27" s="1"/>
  <c r="F2835" i="27" s="1"/>
  <c r="F2830" i="27"/>
  <c r="O1395" i="27"/>
  <c r="O1396" i="27"/>
  <c r="N1395" i="27"/>
  <c r="N1396" i="27"/>
  <c r="L1395" i="27"/>
  <c r="L1396" i="27"/>
  <c r="K1395" i="27"/>
  <c r="K1396" i="27"/>
  <c r="J1395" i="27"/>
  <c r="J1396" i="27"/>
  <c r="I1395" i="27"/>
  <c r="I1396" i="27"/>
  <c r="H1395" i="27"/>
  <c r="H1396" i="27"/>
  <c r="G1395" i="27"/>
  <c r="G1396" i="27"/>
  <c r="E1395" i="27"/>
  <c r="E1396" i="27"/>
  <c r="A844" i="27"/>
  <c r="H846" i="27"/>
  <c r="M250" i="27"/>
  <c r="A250" i="27" s="1"/>
  <c r="I141" i="16" a="1"/>
  <c r="I141" i="16" s="1"/>
  <c r="J140" i="16" a="1"/>
  <c r="J140" i="16" s="1"/>
  <c r="H39" i="16" a="1"/>
  <c r="H39" i="16" s="1"/>
  <c r="I38" i="16" a="1"/>
  <c r="I38" i="16" s="1"/>
  <c r="N47" i="1"/>
  <c r="T47" i="1"/>
  <c r="A48" i="1"/>
  <c r="C23" i="24"/>
  <c r="L147" i="24"/>
  <c r="H261" i="24"/>
  <c r="L146" i="24"/>
  <c r="H7" i="34"/>
  <c r="H221" i="24"/>
  <c r="A23" i="24"/>
  <c r="K7" i="31"/>
  <c r="H269" i="24"/>
  <c r="H253" i="24"/>
  <c r="H237" i="24"/>
  <c r="O7" i="33"/>
  <c r="H229" i="24"/>
  <c r="H245" i="24"/>
  <c r="H285" i="24"/>
  <c r="P52" i="24"/>
  <c r="K7" i="30"/>
  <c r="H277" i="24"/>
  <c r="H293" i="24"/>
  <c r="AE128" i="1" a="1"/>
  <c r="AE128" i="1" s="1"/>
  <c r="M155" i="24"/>
  <c r="S153" i="24"/>
  <c r="U212" i="32"/>
  <c r="U524" i="32"/>
  <c r="U823" i="32"/>
  <c r="I845" i="27"/>
  <c r="J845" i="27"/>
  <c r="G210" i="32"/>
  <c r="A524" i="32"/>
  <c r="A823" i="32"/>
  <c r="G522" i="32"/>
  <c r="L846" i="27"/>
  <c r="I711" i="27"/>
  <c r="P25" i="30"/>
  <c r="A212" i="32"/>
  <c r="G821" i="32"/>
  <c r="P747" i="32" l="1"/>
  <c r="Q745" i="32"/>
  <c r="A711" i="27"/>
  <c r="F2998" i="27"/>
  <c r="F2999" i="27"/>
  <c r="F2837" i="27"/>
  <c r="F2838" i="27" s="1"/>
  <c r="F2839" i="27" s="1"/>
  <c r="F2840" i="27" s="1"/>
  <c r="F2841" i="27" s="1"/>
  <c r="F2842" i="27" s="1"/>
  <c r="F2836" i="27"/>
  <c r="O1397" i="27"/>
  <c r="O1398" i="27"/>
  <c r="N1397" i="27"/>
  <c r="N1398" i="27"/>
  <c r="L1397" i="27"/>
  <c r="L1398" i="27"/>
  <c r="K1397" i="27"/>
  <c r="K1398" i="27"/>
  <c r="J1397" i="27"/>
  <c r="J1398" i="27"/>
  <c r="I1397" i="27"/>
  <c r="I1398" i="27"/>
  <c r="I1341" i="27"/>
  <c r="H1398" i="27"/>
  <c r="H1397" i="27"/>
  <c r="G1397" i="27"/>
  <c r="G1398" i="27"/>
  <c r="E1397" i="27"/>
  <c r="E1398" i="27"/>
  <c r="A845" i="27"/>
  <c r="H848" i="27"/>
  <c r="H847" i="27"/>
  <c r="O7" i="31"/>
  <c r="L416" i="27"/>
  <c r="L350" i="27"/>
  <c r="A350" i="27" s="1"/>
  <c r="L410" i="27"/>
  <c r="L368" i="27"/>
  <c r="L398" i="27"/>
  <c r="L428" i="27"/>
  <c r="L362" i="27"/>
  <c r="L422" i="27"/>
  <c r="L404" i="27"/>
  <c r="L374" i="27"/>
  <c r="L380" i="27"/>
  <c r="L434" i="27"/>
  <c r="L386" i="27"/>
  <c r="L356" i="27"/>
  <c r="L392" i="27"/>
  <c r="O7" i="30"/>
  <c r="L142" i="27"/>
  <c r="A142" i="27" s="1"/>
  <c r="T142" i="27" s="1"/>
  <c r="L148" i="27"/>
  <c r="A148" i="27" s="1"/>
  <c r="T148" i="27" s="1"/>
  <c r="L190" i="27"/>
  <c r="A190" i="27" s="1"/>
  <c r="T190" i="27" s="1"/>
  <c r="L160" i="27"/>
  <c r="A160" i="27" s="1"/>
  <c r="T160" i="27" s="1"/>
  <c r="L172" i="27"/>
  <c r="A172" i="27" s="1"/>
  <c r="T172" i="27" s="1"/>
  <c r="L130" i="27"/>
  <c r="A130" i="27" s="1"/>
  <c r="T130" i="27" s="1"/>
  <c r="L214" i="27"/>
  <c r="A214" i="27" s="1"/>
  <c r="T214" i="27" s="1"/>
  <c r="L178" i="27"/>
  <c r="A178" i="27" s="1"/>
  <c r="T178" i="27" s="1"/>
  <c r="L184" i="27"/>
  <c r="A184" i="27" s="1"/>
  <c r="T184" i="27" s="1"/>
  <c r="L166" i="27"/>
  <c r="A166" i="27" s="1"/>
  <c r="T166" i="27" s="1"/>
  <c r="L136" i="27"/>
  <c r="A136" i="27" s="1"/>
  <c r="T136" i="27" s="1"/>
  <c r="L208" i="27"/>
  <c r="A208" i="27" s="1"/>
  <c r="T208" i="27" s="1"/>
  <c r="L202" i="27"/>
  <c r="A202" i="27" s="1"/>
  <c r="T202" i="27" s="1"/>
  <c r="L196" i="27"/>
  <c r="A196" i="27" s="1"/>
  <c r="T196" i="27" s="1"/>
  <c r="L154" i="27"/>
  <c r="A154" i="27" s="1"/>
  <c r="T154" i="27" s="1"/>
  <c r="I142" i="16" a="1"/>
  <c r="I142" i="16" s="1"/>
  <c r="J141" i="16" a="1"/>
  <c r="J141" i="16" s="1"/>
  <c r="H40" i="16" a="1"/>
  <c r="H40" i="16" s="1"/>
  <c r="I39" i="16" a="1"/>
  <c r="I39" i="16" s="1"/>
  <c r="E48" i="1"/>
  <c r="A24" i="24"/>
  <c r="M146" i="24"/>
  <c r="P106" i="24"/>
  <c r="Q52"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Q70" i="24"/>
  <c r="U825" i="32"/>
  <c r="U526" i="32"/>
  <c r="U214" i="32"/>
  <c r="J315" i="22"/>
  <c r="J159" i="22"/>
  <c r="J846" i="27"/>
  <c r="A825" i="32"/>
  <c r="O243" i="27"/>
  <c r="I847" i="27"/>
  <c r="K179" i="27"/>
  <c r="A526" i="32"/>
  <c r="O23" i="27"/>
  <c r="I848" i="27"/>
  <c r="A214" i="32"/>
  <c r="G823" i="32"/>
  <c r="K848" i="27"/>
  <c r="I846" i="27"/>
  <c r="K847" i="27"/>
  <c r="L848" i="27"/>
  <c r="G524" i="32"/>
  <c r="G212" i="32"/>
  <c r="K846" i="27"/>
  <c r="L847" i="27"/>
  <c r="P749" i="32" l="1"/>
  <c r="Q747" i="32"/>
  <c r="F3000" i="27"/>
  <c r="H270" i="24"/>
  <c r="O1399" i="27"/>
  <c r="O1400" i="27"/>
  <c r="N1399" i="27"/>
  <c r="N1400" i="27"/>
  <c r="L1399" i="27"/>
  <c r="L1400" i="27"/>
  <c r="K1399" i="27"/>
  <c r="K1400" i="27"/>
  <c r="J1399" i="27"/>
  <c r="J1400" i="27"/>
  <c r="I1399" i="27"/>
  <c r="I1400" i="27"/>
  <c r="H1399" i="27"/>
  <c r="H1400" i="27"/>
  <c r="G1399" i="27"/>
  <c r="G1400" i="27"/>
  <c r="E1400" i="27"/>
  <c r="E1399" i="27"/>
  <c r="A846" i="27"/>
  <c r="H849" i="27"/>
  <c r="S7" i="31"/>
  <c r="L405" i="27"/>
  <c r="L399" i="27"/>
  <c r="L381" i="27"/>
  <c r="L393" i="27"/>
  <c r="L357" i="27"/>
  <c r="L369" i="27"/>
  <c r="L417" i="27"/>
  <c r="L351" i="27"/>
  <c r="A351" i="27" s="1"/>
  <c r="L375" i="27"/>
  <c r="L423" i="27"/>
  <c r="L387" i="27"/>
  <c r="L435" i="27"/>
  <c r="L411" i="27"/>
  <c r="L363" i="27"/>
  <c r="L429" i="27"/>
  <c r="S7" i="30"/>
  <c r="L131" i="27"/>
  <c r="A131" i="27" s="1"/>
  <c r="T131" i="27" s="1"/>
  <c r="L209" i="27"/>
  <c r="A209" i="27" s="1"/>
  <c r="T209" i="27" s="1"/>
  <c r="L203" i="27"/>
  <c r="A203" i="27" s="1"/>
  <c r="T203" i="27" s="1"/>
  <c r="L185" i="27"/>
  <c r="A185" i="27" s="1"/>
  <c r="T185" i="27" s="1"/>
  <c r="L215" i="27"/>
  <c r="A215" i="27" s="1"/>
  <c r="T215" i="27" s="1"/>
  <c r="L155" i="27"/>
  <c r="L143" i="27"/>
  <c r="A143" i="27" s="1"/>
  <c r="T143" i="27" s="1"/>
  <c r="L167" i="27"/>
  <c r="A167" i="27" s="1"/>
  <c r="T167" i="27" s="1"/>
  <c r="L149" i="27"/>
  <c r="A149" i="27" s="1"/>
  <c r="T149" i="27" s="1"/>
  <c r="L191" i="27"/>
  <c r="A191" i="27" s="1"/>
  <c r="T191" i="27" s="1"/>
  <c r="L179" i="27"/>
  <c r="A179" i="27" s="1"/>
  <c r="T179" i="27" s="1"/>
  <c r="L137" i="27"/>
  <c r="A137" i="27" s="1"/>
  <c r="T137" i="27" s="1"/>
  <c r="L173" i="27"/>
  <c r="L161" i="27"/>
  <c r="A161" i="27" s="1"/>
  <c r="T161" i="27" s="1"/>
  <c r="L197" i="27"/>
  <c r="A197" i="27" s="1"/>
  <c r="T197" i="27" s="1"/>
  <c r="I143" i="16" a="1"/>
  <c r="I143" i="16" s="1"/>
  <c r="J142" i="16" a="1"/>
  <c r="J142" i="16" s="1"/>
  <c r="H41" i="16" a="1"/>
  <c r="H41" i="16" s="1"/>
  <c r="I40" i="16" a="1"/>
  <c r="I40" i="16" s="1"/>
  <c r="H294" i="24"/>
  <c r="T48" i="1"/>
  <c r="H230" i="24"/>
  <c r="H238" i="24"/>
  <c r="L7" i="34"/>
  <c r="H222" i="24"/>
  <c r="H262" i="24"/>
  <c r="N48" i="1"/>
  <c r="H254" i="24"/>
  <c r="H278" i="24"/>
  <c r="H286" i="24"/>
  <c r="H246" i="24"/>
  <c r="R7" i="33"/>
  <c r="A49" i="1"/>
  <c r="M147" i="24"/>
  <c r="C24" i="24"/>
  <c r="Q106" i="24"/>
  <c r="R52" i="24"/>
  <c r="U216" i="32"/>
  <c r="U528" i="32"/>
  <c r="U827" i="32"/>
  <c r="E64" i="24"/>
  <c r="AG19" i="30"/>
  <c r="A39" i="27"/>
  <c r="J3" i="22"/>
  <c r="G526" i="32"/>
  <c r="L849" i="27"/>
  <c r="G825" i="32"/>
  <c r="A528" i="32"/>
  <c r="J847" i="27"/>
  <c r="J848" i="27"/>
  <c r="A216" i="32"/>
  <c r="I849" i="27"/>
  <c r="G214" i="32"/>
  <c r="A827" i="32"/>
  <c r="P751" i="32" l="1"/>
  <c r="Q749" i="32"/>
  <c r="F3001" i="27"/>
  <c r="O1401" i="27"/>
  <c r="O1402" i="27"/>
  <c r="N1401" i="27"/>
  <c r="N1402" i="27"/>
  <c r="L1401" i="27"/>
  <c r="L1402" i="27"/>
  <c r="K1401" i="27"/>
  <c r="K1402" i="27"/>
  <c r="J1401" i="27"/>
  <c r="J1402" i="27"/>
  <c r="I1401" i="27"/>
  <c r="I1402" i="27"/>
  <c r="H1401" i="27"/>
  <c r="H1402" i="27"/>
  <c r="G1401" i="27"/>
  <c r="G1402" i="27"/>
  <c r="E1401" i="27"/>
  <c r="E1402" i="27"/>
  <c r="A848" i="27"/>
  <c r="A847" i="27"/>
  <c r="H850" i="27"/>
  <c r="W7" i="31"/>
  <c r="L430" i="27"/>
  <c r="L370" i="27"/>
  <c r="L406" i="27"/>
  <c r="L424" i="27"/>
  <c r="L418" i="27"/>
  <c r="L376" i="27"/>
  <c r="L364" i="27"/>
  <c r="L358" i="27"/>
  <c r="L388" i="27"/>
  <c r="L352" i="27"/>
  <c r="A352" i="27" s="1"/>
  <c r="L382" i="27"/>
  <c r="L412" i="27"/>
  <c r="L400" i="27"/>
  <c r="L394" i="27"/>
  <c r="L436" i="27"/>
  <c r="W7" i="30"/>
  <c r="L138" i="27"/>
  <c r="A138" i="27" s="1"/>
  <c r="T138" i="27" s="1"/>
  <c r="L168" i="27"/>
  <c r="L198" i="27"/>
  <c r="A198" i="27" s="1"/>
  <c r="T198" i="27" s="1"/>
  <c r="L180" i="27"/>
  <c r="A180" i="27" s="1"/>
  <c r="T180" i="27" s="1"/>
  <c r="L216" i="27"/>
  <c r="A216" i="27" s="1"/>
  <c r="T216" i="27" s="1"/>
  <c r="L186" i="27"/>
  <c r="L144" i="27"/>
  <c r="A144" i="27" s="1"/>
  <c r="T144" i="27" s="1"/>
  <c r="L162" i="27"/>
  <c r="A162" i="27" s="1"/>
  <c r="T162" i="27" s="1"/>
  <c r="L156" i="27"/>
  <c r="A156" i="27" s="1"/>
  <c r="T156" i="27" s="1"/>
  <c r="L132" i="27"/>
  <c r="A132" i="27" s="1"/>
  <c r="T132" i="27" s="1"/>
  <c r="L150" i="27"/>
  <c r="A150" i="27" s="1"/>
  <c r="T150" i="27" s="1"/>
  <c r="L192" i="27"/>
  <c r="A192" i="27" s="1"/>
  <c r="T192" i="27" s="1"/>
  <c r="L174" i="27"/>
  <c r="A174" i="27" s="1"/>
  <c r="T174" i="27" s="1"/>
  <c r="L210" i="27"/>
  <c r="A210" i="27" s="1"/>
  <c r="T210" i="27" s="1"/>
  <c r="L204" i="27"/>
  <c r="A204" i="27" s="1"/>
  <c r="T204" i="27" s="1"/>
  <c r="I144" i="16" a="1"/>
  <c r="I144" i="16" s="1"/>
  <c r="J143" i="16" a="1"/>
  <c r="J143" i="16" s="1"/>
  <c r="H42" i="16" a="1"/>
  <c r="H42" i="16" s="1"/>
  <c r="I41" i="16" a="1"/>
  <c r="I41" i="16" s="1"/>
  <c r="E49" i="1"/>
  <c r="A25" i="24"/>
  <c r="N146" i="24"/>
  <c r="S52" i="24"/>
  <c r="S106" i="24" s="1"/>
  <c r="R106" i="24"/>
  <c r="U829" i="32"/>
  <c r="U530" i="32"/>
  <c r="U218" i="32"/>
  <c r="P64" i="24"/>
  <c r="Q64" i="24"/>
  <c r="F21" i="16" a="1"/>
  <c r="F21" i="16" s="1"/>
  <c r="G528" i="32"/>
  <c r="K850" i="27"/>
  <c r="J849" i="27"/>
  <c r="G827" i="32"/>
  <c r="I850" i="27"/>
  <c r="L850" i="27"/>
  <c r="A530" i="32"/>
  <c r="K849" i="27"/>
  <c r="O24" i="27"/>
  <c r="A829" i="32"/>
  <c r="O244" i="27"/>
  <c r="G216" i="32"/>
  <c r="A218" i="32"/>
  <c r="P753" i="32" l="1"/>
  <c r="Q751" i="32"/>
  <c r="F3002" i="27"/>
  <c r="T49" i="1"/>
  <c r="O1404" i="27"/>
  <c r="O1403" i="27"/>
  <c r="N1404" i="27"/>
  <c r="N1403" i="27"/>
  <c r="L1404" i="27"/>
  <c r="L1403" i="27"/>
  <c r="K1404" i="27"/>
  <c r="K1403" i="27"/>
  <c r="J1404" i="27"/>
  <c r="J1403" i="27"/>
  <c r="I1404" i="27"/>
  <c r="I1403" i="27"/>
  <c r="H1404" i="27"/>
  <c r="H1403" i="27"/>
  <c r="G1404" i="27"/>
  <c r="G1403" i="27"/>
  <c r="E1403" i="27"/>
  <c r="E1404" i="27"/>
  <c r="A849" i="27"/>
  <c r="H851" i="27"/>
  <c r="L353" i="27"/>
  <c r="A353" i="27" s="1"/>
  <c r="L425" i="27"/>
  <c r="L437" i="27"/>
  <c r="L395" i="27"/>
  <c r="L365" i="27"/>
  <c r="L431" i="27"/>
  <c r="L383" i="27"/>
  <c r="L377" i="27"/>
  <c r="L401" i="27"/>
  <c r="L371" i="27"/>
  <c r="L389" i="27"/>
  <c r="L419" i="27"/>
  <c r="L359" i="27"/>
  <c r="L407" i="27"/>
  <c r="L413" i="27"/>
  <c r="L217" i="27"/>
  <c r="A217" i="27" s="1"/>
  <c r="T217" i="27" s="1"/>
  <c r="L145" i="27"/>
  <c r="A145" i="27" s="1"/>
  <c r="T145" i="27" s="1"/>
  <c r="L139" i="27"/>
  <c r="A139" i="27" s="1"/>
  <c r="T139" i="27" s="1"/>
  <c r="L151" i="27"/>
  <c r="A151" i="27" s="1"/>
  <c r="T151" i="27" s="1"/>
  <c r="L163" i="27"/>
  <c r="A163" i="27" s="1"/>
  <c r="T163" i="27" s="1"/>
  <c r="L157" i="27"/>
  <c r="A157" i="27" s="1"/>
  <c r="T157" i="27" s="1"/>
  <c r="L211" i="27"/>
  <c r="A211" i="27" s="1"/>
  <c r="T211" i="27" s="1"/>
  <c r="L193" i="27"/>
  <c r="A193" i="27" s="1"/>
  <c r="T193" i="27" s="1"/>
  <c r="L187" i="27"/>
  <c r="A187" i="27" s="1"/>
  <c r="T187" i="27" s="1"/>
  <c r="L199" i="27"/>
  <c r="A199" i="27" s="1"/>
  <c r="T199" i="27" s="1"/>
  <c r="L181" i="27"/>
  <c r="A181" i="27" s="1"/>
  <c r="T181" i="27" s="1"/>
  <c r="L175" i="27"/>
  <c r="A175" i="27" s="1"/>
  <c r="T175" i="27" s="1"/>
  <c r="L169" i="27"/>
  <c r="A169" i="27" s="1"/>
  <c r="T169" i="27" s="1"/>
  <c r="L205" i="27"/>
  <c r="A205" i="27" s="1"/>
  <c r="T205" i="27" s="1"/>
  <c r="L133" i="27"/>
  <c r="A133" i="27" s="1"/>
  <c r="T133" i="27" s="1"/>
  <c r="I145" i="16" a="1"/>
  <c r="I145" i="16" s="1"/>
  <c r="J144" i="16" a="1"/>
  <c r="J144" i="16" s="1"/>
  <c r="H271" i="24"/>
  <c r="F22" i="16" a="1"/>
  <c r="F22" i="16" s="1"/>
  <c r="F23" i="16" s="1" a="1"/>
  <c r="F23" i="16" s="1"/>
  <c r="H231" i="24"/>
  <c r="H287" i="24"/>
  <c r="H43" i="16" a="1"/>
  <c r="H43" i="16" s="1"/>
  <c r="I42" i="16" a="1"/>
  <c r="I42" i="16" s="1"/>
  <c r="H295" i="24"/>
  <c r="H263" i="24"/>
  <c r="H247" i="24"/>
  <c r="H255" i="24"/>
  <c r="U7" i="33"/>
  <c r="H223" i="24"/>
  <c r="N49" i="1"/>
  <c r="P7" i="34"/>
  <c r="H239" i="24"/>
  <c r="H279" i="24"/>
  <c r="A50" i="1"/>
  <c r="C25" i="24"/>
  <c r="N147" i="24"/>
  <c r="U220" i="32"/>
  <c r="U532" i="32"/>
  <c r="U831" i="32"/>
  <c r="F4" i="16" a="1"/>
  <c r="F4" i="16" s="1"/>
  <c r="L851" i="27"/>
  <c r="A831" i="32"/>
  <c r="A532" i="32"/>
  <c r="G218" i="32"/>
  <c r="J850" i="27"/>
  <c r="G530" i="32"/>
  <c r="I851" i="27"/>
  <c r="G829" i="32"/>
  <c r="K851" i="27"/>
  <c r="A220" i="32"/>
  <c r="P755" i="32" l="1"/>
  <c r="Q753" i="32"/>
  <c r="F3003" i="27"/>
  <c r="O1406" i="27"/>
  <c r="O1405" i="27"/>
  <c r="N1406" i="27"/>
  <c r="N1405" i="27"/>
  <c r="L1406" i="27"/>
  <c r="L1405" i="27"/>
  <c r="K1406" i="27"/>
  <c r="K1405" i="27"/>
  <c r="J1406" i="27"/>
  <c r="J1405" i="27"/>
  <c r="I1406" i="27"/>
  <c r="I1405" i="27"/>
  <c r="H1405" i="27"/>
  <c r="H1406" i="27"/>
  <c r="G1406" i="27"/>
  <c r="G1405" i="27"/>
  <c r="E1406" i="27"/>
  <c r="E1405" i="27"/>
  <c r="A850" i="27"/>
  <c r="H852" i="27"/>
  <c r="I146" i="16" a="1"/>
  <c r="I146" i="16" s="1"/>
  <c r="J145" i="16" a="1"/>
  <c r="J145" i="16" s="1"/>
  <c r="H44" i="16" a="1"/>
  <c r="H44" i="16" s="1"/>
  <c r="I43" i="16" a="1"/>
  <c r="I43" i="16" s="1"/>
  <c r="F24" i="16" a="1"/>
  <c r="F24" i="16" s="1"/>
  <c r="F5" i="16" a="1"/>
  <c r="F5" i="16" s="1"/>
  <c r="F6" i="16" s="1" a="1"/>
  <c r="F6" i="16" s="1"/>
  <c r="E50" i="1"/>
  <c r="X7" i="33" s="1"/>
  <c r="O146" i="24"/>
  <c r="A26" i="24"/>
  <c r="U222" i="32"/>
  <c r="U833" i="32"/>
  <c r="U534" i="32"/>
  <c r="A222" i="32"/>
  <c r="G220" i="32"/>
  <c r="J851" i="27"/>
  <c r="O25" i="27"/>
  <c r="A833" i="32"/>
  <c r="G831" i="32"/>
  <c r="G532" i="32"/>
  <c r="O245" i="27"/>
  <c r="A534" i="32"/>
  <c r="L852" i="27"/>
  <c r="P757" i="32" l="1"/>
  <c r="Q755" i="32"/>
  <c r="T7" i="34"/>
  <c r="F3004" i="27"/>
  <c r="F3005" i="27"/>
  <c r="T50" i="1"/>
  <c r="O1407" i="27"/>
  <c r="N1407" i="27"/>
  <c r="L1407" i="27"/>
  <c r="K1407" i="27"/>
  <c r="J1407" i="27"/>
  <c r="I1407" i="27"/>
  <c r="H1407" i="27"/>
  <c r="G1407" i="27"/>
  <c r="E1407" i="27"/>
  <c r="A851" i="27"/>
  <c r="H853" i="27"/>
  <c r="H854" i="27"/>
  <c r="I147" i="16" a="1"/>
  <c r="I147" i="16" s="1"/>
  <c r="J146" i="16" a="1"/>
  <c r="J146" i="16" s="1"/>
  <c r="F25" i="16" a="1"/>
  <c r="F25" i="16" s="1"/>
  <c r="F26" i="16" s="1" a="1"/>
  <c r="F26" i="16" s="1"/>
  <c r="H45" i="16" a="1"/>
  <c r="H45" i="16" s="1"/>
  <c r="I44" i="16" a="1"/>
  <c r="I44" i="16" s="1"/>
  <c r="H224" i="24"/>
  <c r="H280" i="24"/>
  <c r="H240" i="24"/>
  <c r="H248" i="24"/>
  <c r="F7" i="16" a="1"/>
  <c r="F7" i="16" s="1"/>
  <c r="H264" i="24"/>
  <c r="H296" i="24"/>
  <c r="H288" i="24"/>
  <c r="H256" i="24"/>
  <c r="N50" i="1"/>
  <c r="H272" i="24"/>
  <c r="H232" i="24"/>
  <c r="A51" i="1"/>
  <c r="O147" i="24"/>
  <c r="C26" i="24"/>
  <c r="K114" i="32"/>
  <c r="K218" i="32"/>
  <c r="K134" i="32"/>
  <c r="K240" i="32"/>
  <c r="K94" i="32"/>
  <c r="K190" i="32"/>
  <c r="K154" i="32"/>
  <c r="K236" i="32"/>
  <c r="K68" i="32"/>
  <c r="K116" i="32"/>
  <c r="K56" i="32"/>
  <c r="K20" i="32"/>
  <c r="K272" i="32"/>
  <c r="K142" i="32"/>
  <c r="K64" i="32"/>
  <c r="K76" i="32"/>
  <c r="K258" i="32"/>
  <c r="K122" i="32"/>
  <c r="K176" i="32"/>
  <c r="K72" i="32"/>
  <c r="K210" i="32"/>
  <c r="K42" i="32"/>
  <c r="K262" i="32"/>
  <c r="K22" i="32"/>
  <c r="K302" i="32"/>
  <c r="K96" i="32"/>
  <c r="K32" i="32"/>
  <c r="K162" i="32"/>
  <c r="K138" i="32"/>
  <c r="K232" i="32"/>
  <c r="K130" i="32"/>
  <c r="K226" i="32"/>
  <c r="K106" i="32"/>
  <c r="K202" i="32"/>
  <c r="K98" i="32"/>
  <c r="K244" i="32"/>
  <c r="K24" i="32"/>
  <c r="K292" i="32"/>
  <c r="K108" i="32"/>
  <c r="K112" i="32"/>
  <c r="K58" i="32"/>
  <c r="K204" i="32"/>
  <c r="K60" i="32"/>
  <c r="K196" i="32"/>
  <c r="K186" i="32"/>
  <c r="K88" i="32"/>
  <c r="K172" i="32"/>
  <c r="K128" i="32"/>
  <c r="K26" i="32"/>
  <c r="K278" i="32"/>
  <c r="K54" i="32"/>
  <c r="K252" i="32"/>
  <c r="K38" i="32"/>
  <c r="K214" i="32"/>
  <c r="K86" i="32"/>
  <c r="K266" i="32"/>
  <c r="K148" i="32"/>
  <c r="K168" i="32"/>
  <c r="K158" i="32"/>
  <c r="K220" i="32"/>
  <c r="K140" i="32"/>
  <c r="K288" i="32"/>
  <c r="K284" i="32"/>
  <c r="K200" i="32"/>
  <c r="K242" i="32"/>
  <c r="K92" i="32"/>
  <c r="K246" i="32"/>
  <c r="K152" i="32"/>
  <c r="K238" i="32"/>
  <c r="K52" i="32"/>
  <c r="K118" i="32"/>
  <c r="K100" i="32"/>
  <c r="K206" i="32"/>
  <c r="K66" i="32"/>
  <c r="K282" i="32"/>
  <c r="K306" i="32"/>
  <c r="K78" i="32"/>
  <c r="K268" i="32"/>
  <c r="K124" i="32"/>
  <c r="K178" i="32"/>
  <c r="K46" i="32"/>
  <c r="K224" i="32"/>
  <c r="K44" i="32"/>
  <c r="K254" i="32"/>
  <c r="K48" i="32"/>
  <c r="K28" i="32"/>
  <c r="K280" i="32"/>
  <c r="K290" i="32"/>
  <c r="K164" i="32"/>
  <c r="K216" i="32"/>
  <c r="K132" i="32"/>
  <c r="K228" i="32"/>
  <c r="K90" i="32"/>
  <c r="K198" i="32"/>
  <c r="K160" i="32"/>
  <c r="K248" i="32"/>
  <c r="K104" i="32"/>
  <c r="K296" i="32"/>
  <c r="K274" i="32"/>
  <c r="K192" i="32"/>
  <c r="K62" i="32"/>
  <c r="K74" i="32"/>
  <c r="K188" i="32"/>
  <c r="K82" i="32"/>
  <c r="K174" i="32"/>
  <c r="K70" i="32"/>
  <c r="K250" i="32"/>
  <c r="K12" i="32"/>
  <c r="K308" i="32"/>
  <c r="K276" i="32"/>
  <c r="K40" i="32"/>
  <c r="K260" i="32"/>
  <c r="K30" i="32"/>
  <c r="K256" i="32"/>
  <c r="K136" i="32"/>
  <c r="K230" i="32"/>
  <c r="K146" i="32"/>
  <c r="K222" i="32"/>
  <c r="K144" i="32"/>
  <c r="K208" i="32"/>
  <c r="K14" i="32"/>
  <c r="K270" i="32"/>
  <c r="K294" i="32"/>
  <c r="K234" i="32"/>
  <c r="K150" i="32"/>
  <c r="K110" i="32"/>
  <c r="K50" i="32"/>
  <c r="K120" i="32"/>
  <c r="K102" i="32"/>
  <c r="K194" i="32"/>
  <c r="K184" i="32"/>
  <c r="K80" i="32"/>
  <c r="K16" i="32"/>
  <c r="K300" i="32"/>
  <c r="K304" i="32"/>
  <c r="K182" i="32"/>
  <c r="K170" i="32"/>
  <c r="K126" i="32"/>
  <c r="K180" i="32"/>
  <c r="K36" i="32"/>
  <c r="K212" i="32"/>
  <c r="K84" i="32"/>
  <c r="K264" i="32"/>
  <c r="K34" i="32"/>
  <c r="K166" i="32"/>
  <c r="K156" i="32"/>
  <c r="K18" i="32"/>
  <c r="K298" i="32"/>
  <c r="K286" i="32"/>
  <c r="K10" i="32"/>
  <c r="U835" i="32"/>
  <c r="U224" i="32"/>
  <c r="U536" i="32"/>
  <c r="C36" i="19" a="1"/>
  <c r="C36" i="19" s="1"/>
  <c r="C3" i="19" a="1"/>
  <c r="C3" i="19" s="1"/>
  <c r="I852" i="27"/>
  <c r="L853" i="27"/>
  <c r="G833" i="32"/>
  <c r="K852" i="27"/>
  <c r="A536" i="32"/>
  <c r="A835" i="32"/>
  <c r="L854" i="27"/>
  <c r="A224" i="32"/>
  <c r="J852" i="27"/>
  <c r="G534" i="32"/>
  <c r="K853" i="27"/>
  <c r="G222" i="32"/>
  <c r="P759" i="32" l="1"/>
  <c r="Q757" i="32"/>
  <c r="F3006" i="27"/>
  <c r="A852" i="27"/>
  <c r="H855" i="27"/>
  <c r="C4" i="19" a="1"/>
  <c r="C4" i="19" s="1"/>
  <c r="C5" i="19" s="1" a="1"/>
  <c r="C5" i="19" s="1"/>
  <c r="I148" i="16" a="1"/>
  <c r="I148" i="16" s="1"/>
  <c r="J147" i="16" a="1"/>
  <c r="J147" i="16" s="1"/>
  <c r="H46" i="16" a="1"/>
  <c r="H46" i="16" s="1"/>
  <c r="I45" i="16" a="1"/>
  <c r="I45" i="16" s="1"/>
  <c r="F27" i="16" a="1"/>
  <c r="F27" i="16" s="1"/>
  <c r="F8" i="16" a="1"/>
  <c r="F8" i="16" s="1"/>
  <c r="F9" i="16" s="1" a="1"/>
  <c r="F9" i="16" s="1"/>
  <c r="F10" i="16" s="1" a="1"/>
  <c r="F10" i="16" s="1"/>
  <c r="F11" i="16" s="1" a="1"/>
  <c r="F11" i="16" s="1"/>
  <c r="E51" i="1"/>
  <c r="H241" i="24" s="1"/>
  <c r="A27" i="24"/>
  <c r="P146" i="24"/>
  <c r="U837" i="32"/>
  <c r="U538" i="32"/>
  <c r="U226" i="32"/>
  <c r="Z123" i="1"/>
  <c r="G101" i="1"/>
  <c r="G77" i="1"/>
  <c r="G59" i="1"/>
  <c r="O246" i="27"/>
  <c r="G835" i="32"/>
  <c r="I854" i="27"/>
  <c r="J853" i="27"/>
  <c r="A226" i="32"/>
  <c r="G536" i="32"/>
  <c r="I853" i="27"/>
  <c r="A837" i="32"/>
  <c r="K854" i="27"/>
  <c r="J854" i="27"/>
  <c r="G224" i="32"/>
  <c r="I855" i="27"/>
  <c r="O26" i="27"/>
  <c r="L855" i="27"/>
  <c r="A538" i="32"/>
  <c r="K855" i="27"/>
  <c r="P761" i="32" l="1"/>
  <c r="Q759" i="32"/>
  <c r="X7" i="34"/>
  <c r="AA7" i="33"/>
  <c r="F3007" i="27"/>
  <c r="H289" i="24"/>
  <c r="A853" i="27"/>
  <c r="A854" i="27"/>
  <c r="H856" i="27"/>
  <c r="C6" i="19" a="1"/>
  <c r="C6" i="19" s="1"/>
  <c r="I149" i="16" a="1"/>
  <c r="I149" i="16" s="1"/>
  <c r="J149" i="16" s="1" a="1"/>
  <c r="J149" i="16" s="1"/>
  <c r="J148" i="16" a="1"/>
  <c r="J148" i="16" s="1"/>
  <c r="H257" i="24"/>
  <c r="H233" i="24"/>
  <c r="H47" i="16" a="1"/>
  <c r="H47" i="16" s="1"/>
  <c r="I46" i="16" a="1"/>
  <c r="I46" i="16" s="1"/>
  <c r="F28" i="16" a="1"/>
  <c r="F28" i="16" s="1"/>
  <c r="H281" i="24"/>
  <c r="H273" i="24"/>
  <c r="H297" i="24"/>
  <c r="H225" i="24"/>
  <c r="F12" i="16" a="1"/>
  <c r="F12" i="16" s="1"/>
  <c r="F13" i="16" s="1" a="1"/>
  <c r="F13" i="16" s="1"/>
  <c r="F14" i="16" s="1" a="1"/>
  <c r="F14" i="16" s="1"/>
  <c r="H249" i="24"/>
  <c r="H265" i="24"/>
  <c r="N51" i="1"/>
  <c r="T51" i="1"/>
  <c r="A52" i="1"/>
  <c r="P147" i="24"/>
  <c r="C27" i="24"/>
  <c r="U228" i="32"/>
  <c r="U540" i="32"/>
  <c r="U839" i="32"/>
  <c r="A1079" i="19" a="1"/>
  <c r="A1079" i="19" s="1"/>
  <c r="A1080" i="19" s="1" a="1"/>
  <c r="A1080" i="19" s="1"/>
  <c r="A1081" i="19" s="1" a="1"/>
  <c r="A1081" i="19" s="1"/>
  <c r="A1082" i="19" s="1" a="1"/>
  <c r="A1082" i="19" s="1"/>
  <c r="C155" i="20"/>
  <c r="D155" i="20" s="1"/>
  <c r="C69" i="20"/>
  <c r="D69" i="20" s="1"/>
  <c r="C3" i="20"/>
  <c r="A839" i="32"/>
  <c r="L856" i="27"/>
  <c r="J855" i="27"/>
  <c r="K856" i="27"/>
  <c r="G538" i="32"/>
  <c r="A228" i="32"/>
  <c r="I856" i="27"/>
  <c r="G837" i="32"/>
  <c r="A540" i="32"/>
  <c r="G226" i="32"/>
  <c r="P763" i="32" l="1"/>
  <c r="Q761" i="32"/>
  <c r="F3008" i="27"/>
  <c r="A855" i="27"/>
  <c r="H857" i="27"/>
  <c r="C7" i="19" a="1"/>
  <c r="C7" i="19" s="1"/>
  <c r="H48" i="16" a="1"/>
  <c r="H48" i="16" s="1"/>
  <c r="I47" i="16" a="1"/>
  <c r="I47" i="16" s="1"/>
  <c r="F29" i="16" a="1"/>
  <c r="F29" i="16" s="1"/>
  <c r="E52" i="1"/>
  <c r="AB7" i="34" s="1"/>
  <c r="A28" i="24"/>
  <c r="Q146" i="24"/>
  <c r="V1453" i="32" a="1"/>
  <c r="V1453" i="32" s="1"/>
  <c r="L1453" i="32" s="1"/>
  <c r="V1421" i="32" a="1"/>
  <c r="V1421" i="32" s="1"/>
  <c r="L1421" i="32" s="1"/>
  <c r="T1447" i="32" a="1"/>
  <c r="T1447" i="32" s="1"/>
  <c r="R1421" i="32" a="1"/>
  <c r="R1421" i="32" s="1"/>
  <c r="D1421" i="32" s="1"/>
  <c r="S1435" i="32" a="1"/>
  <c r="S1435" i="32" s="1"/>
  <c r="E1435" i="32" s="1"/>
  <c r="T1457" i="32" a="1"/>
  <c r="T1457" i="32" s="1"/>
  <c r="R1443" i="32" a="1"/>
  <c r="R1443" i="32" s="1"/>
  <c r="D1443" i="32" s="1"/>
  <c r="S1429" i="32" a="1"/>
  <c r="S1429" i="32" s="1"/>
  <c r="E1429" i="32" s="1"/>
  <c r="T1455" i="32" a="1"/>
  <c r="T1455" i="32" s="1"/>
  <c r="V1451" i="32" a="1"/>
  <c r="V1451" i="32" s="1"/>
  <c r="L1451" i="32" s="1"/>
  <c r="V1457" i="32" a="1"/>
  <c r="V1457" i="32" s="1"/>
  <c r="L1457" i="32" s="1"/>
  <c r="T1425" i="32" a="1"/>
  <c r="T1425" i="32" s="1"/>
  <c r="T1435" i="32" a="1"/>
  <c r="T1435" i="32" s="1"/>
  <c r="R1457" i="32" a="1"/>
  <c r="R1457" i="32" s="1"/>
  <c r="D1457" i="32" s="1"/>
  <c r="T1443" i="32" a="1"/>
  <c r="T1443" i="32" s="1"/>
  <c r="R1429" i="32" a="1"/>
  <c r="R1429" i="32" s="1"/>
  <c r="D1429" i="32" s="1"/>
  <c r="T1441" i="32" a="1"/>
  <c r="T1441" i="32" s="1"/>
  <c r="R1449" i="32" a="1"/>
  <c r="R1449" i="32" s="1"/>
  <c r="D1449" i="32" s="1"/>
  <c r="V1423" i="32" a="1"/>
  <c r="V1423" i="32" s="1"/>
  <c r="L1423" i="32" s="1"/>
  <c r="V1447" i="32" a="1"/>
  <c r="V1447" i="32" s="1"/>
  <c r="L1447" i="32" s="1"/>
  <c r="R1425" i="32" a="1"/>
  <c r="R1425" i="32" s="1"/>
  <c r="D1425" i="32" s="1"/>
  <c r="R1423" i="32" a="1"/>
  <c r="R1423" i="32" s="1"/>
  <c r="D1423" i="32" s="1"/>
  <c r="R1435" i="32" a="1"/>
  <c r="R1435" i="32" s="1"/>
  <c r="D1435" i="32" s="1"/>
  <c r="R1437" i="32" a="1"/>
  <c r="R1437" i="32" s="1"/>
  <c r="D1437" i="32" s="1"/>
  <c r="S1441" i="32" a="1"/>
  <c r="S1441" i="32" s="1"/>
  <c r="E1441" i="32" s="1"/>
  <c r="V1429" i="32" a="1"/>
  <c r="V1429" i="32" s="1"/>
  <c r="L1429" i="32" s="1"/>
  <c r="V1435" i="32" a="1"/>
  <c r="V1435" i="32" s="1"/>
  <c r="L1435" i="32" s="1"/>
  <c r="S1425" i="32" a="1"/>
  <c r="S1425" i="32" s="1"/>
  <c r="E1425" i="32" s="1"/>
  <c r="T1423" i="32" a="1"/>
  <c r="T1423" i="32" s="1"/>
  <c r="S1439" i="32" a="1"/>
  <c r="S1439" i="32" s="1"/>
  <c r="E1439" i="32" s="1"/>
  <c r="S1437" i="32" a="1"/>
  <c r="S1437" i="32" s="1"/>
  <c r="E1437" i="32" s="1"/>
  <c r="R1441" i="32" a="1"/>
  <c r="R1441" i="32" s="1"/>
  <c r="D1441" i="32" s="1"/>
  <c r="S1449" i="32" a="1"/>
  <c r="S1449" i="32" s="1"/>
  <c r="E1449" i="32" s="1"/>
  <c r="V1437" i="32" a="1"/>
  <c r="V1437" i="32" s="1"/>
  <c r="L1437" i="32" s="1"/>
  <c r="V1449" i="32" a="1"/>
  <c r="V1449" i="32" s="1"/>
  <c r="L1449" i="32" s="1"/>
  <c r="S1427" i="32" a="1"/>
  <c r="S1427" i="32" s="1"/>
  <c r="E1427" i="32" s="1"/>
  <c r="S1423" i="32" a="1"/>
  <c r="S1423" i="32" s="1"/>
  <c r="E1423" i="32" s="1"/>
  <c r="T1439" i="32" a="1"/>
  <c r="T1439" i="32" s="1"/>
  <c r="T1437" i="32" a="1"/>
  <c r="T1437" i="32" s="1"/>
  <c r="V1425" i="32" a="1"/>
  <c r="V1425" i="32" s="1"/>
  <c r="L1425" i="32" s="1"/>
  <c r="V1433" i="32" a="1"/>
  <c r="V1433" i="32" s="1"/>
  <c r="L1433" i="32" s="1"/>
  <c r="T1427" i="32" a="1"/>
  <c r="T1427" i="32" s="1"/>
  <c r="S1459" i="32" a="1"/>
  <c r="S1459" i="32" s="1"/>
  <c r="E1459" i="32" s="1"/>
  <c r="R1439" i="32" a="1"/>
  <c r="R1439" i="32" s="1"/>
  <c r="D1439" i="32" s="1"/>
  <c r="T1451" i="32" a="1"/>
  <c r="T1451" i="32" s="1"/>
  <c r="S1455" i="32" a="1"/>
  <c r="S1455" i="32" s="1"/>
  <c r="E1455" i="32" s="1"/>
  <c r="V1459" i="32" a="1"/>
  <c r="V1459" i="32" s="1"/>
  <c r="L1459" i="32" s="1"/>
  <c r="V1427" i="32" a="1"/>
  <c r="V1427" i="32" s="1"/>
  <c r="L1427" i="32" s="1"/>
  <c r="R1427" i="32" a="1"/>
  <c r="R1427" i="32" s="1"/>
  <c r="D1427" i="32" s="1"/>
  <c r="R1459" i="32" a="1"/>
  <c r="R1459" i="32" s="1"/>
  <c r="D1459" i="32" s="1"/>
  <c r="R1433" i="32" a="1"/>
  <c r="R1433" i="32" s="1"/>
  <c r="D1433" i="32" s="1"/>
  <c r="S1451" i="32" a="1"/>
  <c r="S1451" i="32" s="1"/>
  <c r="E1451" i="32" s="1"/>
  <c r="T1449" i="32" a="1"/>
  <c r="T1449" i="32" s="1"/>
  <c r="V1443" i="32" a="1"/>
  <c r="V1443" i="32" s="1"/>
  <c r="L1443" i="32" s="1"/>
  <c r="V1439" i="32" a="1"/>
  <c r="V1439" i="32" s="1"/>
  <c r="L1439" i="32" s="1"/>
  <c r="R1431" i="32" a="1"/>
  <c r="R1431" i="32" s="1"/>
  <c r="D1431" i="32" s="1"/>
  <c r="T1459" i="32" a="1"/>
  <c r="T1459" i="32" s="1"/>
  <c r="T1433" i="32" a="1"/>
  <c r="T1433" i="32" s="1"/>
  <c r="R1451" i="32" a="1"/>
  <c r="R1451" i="32" s="1"/>
  <c r="D1451" i="32" s="1"/>
  <c r="V1441" i="32" a="1"/>
  <c r="V1441" i="32" s="1"/>
  <c r="L1441" i="32" s="1"/>
  <c r="T1431" i="32" a="1"/>
  <c r="T1431" i="32" s="1"/>
  <c r="S1433" i="32" a="1"/>
  <c r="S1433" i="32" s="1"/>
  <c r="E1433" i="32" s="1"/>
  <c r="S1453" i="32" a="1"/>
  <c r="S1453" i="32" s="1"/>
  <c r="E1453" i="32" s="1"/>
  <c r="R1455" i="32" a="1"/>
  <c r="R1455" i="32" s="1"/>
  <c r="D1455" i="32" s="1"/>
  <c r="V1455" i="32" a="1"/>
  <c r="V1455" i="32" s="1"/>
  <c r="L1455" i="32" s="1"/>
  <c r="S1431" i="32" a="1"/>
  <c r="S1431" i="32" s="1"/>
  <c r="E1431" i="32" s="1"/>
  <c r="R1445" i="32" a="1"/>
  <c r="R1445" i="32" s="1"/>
  <c r="D1445" i="32" s="1"/>
  <c r="R1453" i="32" a="1"/>
  <c r="R1453" i="32" s="1"/>
  <c r="D1453" i="32" s="1"/>
  <c r="V1445" i="32" a="1"/>
  <c r="V1445" i="32" s="1"/>
  <c r="L1445" i="32" s="1"/>
  <c r="R1447" i="32" a="1"/>
  <c r="R1447" i="32" s="1"/>
  <c r="D1447" i="32" s="1"/>
  <c r="S1421" i="32" a="1"/>
  <c r="S1421" i="32" s="1"/>
  <c r="E1421" i="32" s="1"/>
  <c r="T1445" i="32" a="1"/>
  <c r="T1445" i="32" s="1"/>
  <c r="T1453" i="32" a="1"/>
  <c r="T1453" i="32" s="1"/>
  <c r="V1431" i="32" a="1"/>
  <c r="V1431" i="32" s="1"/>
  <c r="L1431" i="32" s="1"/>
  <c r="S1447" i="32" a="1"/>
  <c r="S1447" i="32" s="1"/>
  <c r="E1447" i="32" s="1"/>
  <c r="T1421" i="32" a="1"/>
  <c r="T1421" i="32" s="1"/>
  <c r="S1445" i="32" a="1"/>
  <c r="S1445" i="32" s="1"/>
  <c r="E1445" i="32" s="1"/>
  <c r="S1457" i="32" a="1"/>
  <c r="S1457" i="32" s="1"/>
  <c r="E1457" i="32" s="1"/>
  <c r="S1443" i="32" a="1"/>
  <c r="S1443" i="32" s="1"/>
  <c r="E1443" i="32" s="1"/>
  <c r="T1429" i="32" a="1"/>
  <c r="T1429" i="32" s="1"/>
  <c r="V1471" i="32" a="1"/>
  <c r="V1471" i="32" s="1"/>
  <c r="L1471" i="32" s="1"/>
  <c r="V1493" i="32" a="1"/>
  <c r="V1493" i="32" s="1"/>
  <c r="L1493" i="32" s="1"/>
  <c r="S1475" i="32" a="1"/>
  <c r="S1475" i="32" s="1"/>
  <c r="E1475" i="32" s="1"/>
  <c r="T1463" i="32" a="1"/>
  <c r="T1463" i="32" s="1"/>
  <c r="T1497" i="32" a="1"/>
  <c r="T1497" i="32" s="1"/>
  <c r="R1485" i="32" a="1"/>
  <c r="R1485" i="32" s="1"/>
  <c r="D1485" i="32" s="1"/>
  <c r="T1461" i="32" a="1"/>
  <c r="T1461" i="32" s="1"/>
  <c r="R1487" i="32" a="1"/>
  <c r="R1487" i="32" s="1"/>
  <c r="D1487" i="32" s="1"/>
  <c r="R1461" i="32" a="1"/>
  <c r="R1461" i="32" s="1"/>
  <c r="D1461" i="32" s="1"/>
  <c r="V1495" i="32" a="1"/>
  <c r="V1495" i="32" s="1"/>
  <c r="L1495" i="32" s="1"/>
  <c r="V1485" i="32" a="1"/>
  <c r="V1485" i="32" s="1"/>
  <c r="L1485" i="32" s="1"/>
  <c r="S1477" i="32" a="1"/>
  <c r="S1477" i="32" s="1"/>
  <c r="E1477" i="32" s="1"/>
  <c r="T1465" i="32" a="1"/>
  <c r="T1465" i="32" s="1"/>
  <c r="S1487" i="32" a="1"/>
  <c r="S1487" i="32" s="1"/>
  <c r="E1487" i="32" s="1"/>
  <c r="V1465" i="32" a="1"/>
  <c r="V1465" i="32" s="1"/>
  <c r="L1465" i="32" s="1"/>
  <c r="V1477" i="32" a="1"/>
  <c r="V1477" i="32" s="1"/>
  <c r="L1477" i="32" s="1"/>
  <c r="T1477" i="32" a="1"/>
  <c r="T1477" i="32" s="1"/>
  <c r="S1489" i="32" a="1"/>
  <c r="S1489" i="32" s="1"/>
  <c r="E1489" i="32" s="1"/>
  <c r="R1465" i="32" a="1"/>
  <c r="R1465" i="32" s="1"/>
  <c r="D1465" i="32" s="1"/>
  <c r="S1461" i="32" a="1"/>
  <c r="S1461" i="32" s="1"/>
  <c r="E1461" i="32" s="1"/>
  <c r="T1487" i="32" a="1"/>
  <c r="T1487" i="32" s="1"/>
  <c r="T1495" i="32" a="1"/>
  <c r="T1495" i="32" s="1"/>
  <c r="R1469" i="32" a="1"/>
  <c r="R1469" i="32" s="1"/>
  <c r="D1469" i="32" s="1"/>
  <c r="V1473" i="32" a="1"/>
  <c r="V1473" i="32" s="1"/>
  <c r="L1473" i="32" s="1"/>
  <c r="V1483" i="32" a="1"/>
  <c r="V1483" i="32" s="1"/>
  <c r="L1483" i="32" s="1"/>
  <c r="R1477" i="32" a="1"/>
  <c r="R1477" i="32" s="1"/>
  <c r="D1477" i="32" s="1"/>
  <c r="T1489" i="32" a="1"/>
  <c r="T1489" i="32" s="1"/>
  <c r="S1465" i="32" a="1"/>
  <c r="S1465" i="32" s="1"/>
  <c r="E1465" i="32" s="1"/>
  <c r="R1479" i="32" a="1"/>
  <c r="R1479" i="32" s="1"/>
  <c r="D1479" i="32" s="1"/>
  <c r="T1499" i="32" a="1"/>
  <c r="T1499" i="32" s="1"/>
  <c r="R1481" i="32" a="1"/>
  <c r="R1481" i="32" s="1"/>
  <c r="D1481" i="32" s="1"/>
  <c r="V1499" i="32" a="1"/>
  <c r="V1499" i="32" s="1"/>
  <c r="L1499" i="32" s="1"/>
  <c r="V1487" i="32" a="1"/>
  <c r="V1487" i="32" s="1"/>
  <c r="L1487" i="32" s="1"/>
  <c r="S1493" i="32" a="1"/>
  <c r="S1493" i="32" s="1"/>
  <c r="E1493" i="32" s="1"/>
  <c r="R1489" i="32" a="1"/>
  <c r="R1489" i="32" s="1"/>
  <c r="D1489" i="32" s="1"/>
  <c r="T1479" i="32" a="1"/>
  <c r="T1479" i="32" s="1"/>
  <c r="R1467" i="32" a="1"/>
  <c r="R1467" i="32" s="1"/>
  <c r="D1467" i="32" s="1"/>
  <c r="R1499" i="32" a="1"/>
  <c r="R1499" i="32" s="1"/>
  <c r="D1499" i="32" s="1"/>
  <c r="S1469" i="32" a="1"/>
  <c r="S1469" i="32" s="1"/>
  <c r="E1469" i="32" s="1"/>
  <c r="V1467" i="32" a="1"/>
  <c r="V1467" i="32" s="1"/>
  <c r="L1467" i="32" s="1"/>
  <c r="V1497" i="32" a="1"/>
  <c r="V1497" i="32" s="1"/>
  <c r="L1497" i="32" s="1"/>
  <c r="R1471" i="32" a="1"/>
  <c r="R1471" i="32" s="1"/>
  <c r="D1471" i="32" s="1"/>
  <c r="T1493" i="32" a="1"/>
  <c r="T1493" i="32" s="1"/>
  <c r="S1491" i="32" a="1"/>
  <c r="S1491" i="32" s="1"/>
  <c r="E1491" i="32" s="1"/>
  <c r="S1479" i="32" a="1"/>
  <c r="S1479" i="32" s="1"/>
  <c r="E1479" i="32" s="1"/>
  <c r="S1467" i="32" a="1"/>
  <c r="S1467" i="32" s="1"/>
  <c r="E1467" i="32" s="1"/>
  <c r="S1499" i="32" a="1"/>
  <c r="S1499" i="32" s="1"/>
  <c r="E1499" i="32" s="1"/>
  <c r="S1481" i="32" a="1"/>
  <c r="S1481" i="32" s="1"/>
  <c r="E1481" i="32" s="1"/>
  <c r="R1483" i="32" a="1"/>
  <c r="R1483" i="32" s="1"/>
  <c r="D1483" i="32" s="1"/>
  <c r="V1479" i="32" a="1"/>
  <c r="V1479" i="32" s="1"/>
  <c r="L1479" i="32" s="1"/>
  <c r="V1475" i="32" a="1"/>
  <c r="V1475" i="32" s="1"/>
  <c r="L1475" i="32" s="1"/>
  <c r="T1471" i="32" a="1"/>
  <c r="T1471" i="32" s="1"/>
  <c r="R1493" i="32" a="1"/>
  <c r="R1493" i="32" s="1"/>
  <c r="D1493" i="32" s="1"/>
  <c r="R1491" i="32" a="1"/>
  <c r="R1491" i="32" s="1"/>
  <c r="D1491" i="32" s="1"/>
  <c r="S1483" i="32" a="1"/>
  <c r="S1483" i="32" s="1"/>
  <c r="E1483" i="32" s="1"/>
  <c r="T1467" i="32" a="1"/>
  <c r="T1467" i="32" s="1"/>
  <c r="T1469" i="32" a="1"/>
  <c r="T1469" i="32" s="1"/>
  <c r="V1461" i="32" a="1"/>
  <c r="V1461" i="32" s="1"/>
  <c r="L1461" i="32" s="1"/>
  <c r="V1489" i="32" a="1"/>
  <c r="V1489" i="32" s="1"/>
  <c r="L1489" i="32" s="1"/>
  <c r="S1471" i="32" a="1"/>
  <c r="S1471" i="32" s="1"/>
  <c r="E1471" i="32" s="1"/>
  <c r="S1495" i="32" a="1"/>
  <c r="S1495" i="32" s="1"/>
  <c r="E1495" i="32" s="1"/>
  <c r="T1491" i="32" a="1"/>
  <c r="T1491" i="32" s="1"/>
  <c r="T1483" i="32" a="1"/>
  <c r="T1483" i="32" s="1"/>
  <c r="V1469" i="32" a="1"/>
  <c r="V1469" i="32" s="1"/>
  <c r="L1469" i="32" s="1"/>
  <c r="V1491" i="32" a="1"/>
  <c r="V1491" i="32" s="1"/>
  <c r="L1491" i="32" s="1"/>
  <c r="R1495" i="32" a="1"/>
  <c r="R1495" i="32" s="1"/>
  <c r="D1495" i="32" s="1"/>
  <c r="S1473" i="32" a="1"/>
  <c r="S1473" i="32" s="1"/>
  <c r="E1473" i="32" s="1"/>
  <c r="T1481" i="32" a="1"/>
  <c r="T1481" i="32" s="1"/>
  <c r="V1481" i="32" a="1"/>
  <c r="V1481" i="32" s="1"/>
  <c r="L1481" i="32" s="1"/>
  <c r="T1475" i="32" a="1"/>
  <c r="T1475" i="32" s="1"/>
  <c r="R1463" i="32" a="1"/>
  <c r="R1463" i="32" s="1"/>
  <c r="D1463" i="32" s="1"/>
  <c r="R1497" i="32" a="1"/>
  <c r="R1497" i="32" s="1"/>
  <c r="D1497" i="32" s="1"/>
  <c r="T1485" i="32" a="1"/>
  <c r="T1485" i="32" s="1"/>
  <c r="T1473" i="32" a="1"/>
  <c r="T1473" i="32" s="1"/>
  <c r="V1463" i="32" a="1"/>
  <c r="V1463" i="32" s="1"/>
  <c r="L1463" i="32" s="1"/>
  <c r="R1475" i="32" a="1"/>
  <c r="R1475" i="32" s="1"/>
  <c r="D1475" i="32" s="1"/>
  <c r="S1463" i="32" a="1"/>
  <c r="S1463" i="32" s="1"/>
  <c r="E1463" i="32" s="1"/>
  <c r="S1497" i="32" a="1"/>
  <c r="S1497" i="32" s="1"/>
  <c r="E1497" i="32" s="1"/>
  <c r="S1485" i="32" a="1"/>
  <c r="S1485" i="32" s="1"/>
  <c r="E1485" i="32" s="1"/>
  <c r="R1473" i="32" a="1"/>
  <c r="R1473" i="32" s="1"/>
  <c r="D1473" i="32" s="1"/>
  <c r="V1533" i="32" a="1"/>
  <c r="V1533" i="32" s="1"/>
  <c r="L1533" i="32" s="1"/>
  <c r="V1525" i="32" a="1"/>
  <c r="V1525" i="32" s="1"/>
  <c r="L1525" i="32" s="1"/>
  <c r="R1519" i="32" a="1"/>
  <c r="R1519" i="32" s="1"/>
  <c r="D1519" i="32" s="1"/>
  <c r="R1523" i="32" a="1"/>
  <c r="R1523" i="32" s="1"/>
  <c r="D1523" i="32" s="1"/>
  <c r="T1525" i="32" a="1"/>
  <c r="T1525" i="32" s="1"/>
  <c r="T1503" i="32" a="1"/>
  <c r="T1503" i="32" s="1"/>
  <c r="S1535" i="32" a="1"/>
  <c r="S1535" i="32" s="1"/>
  <c r="E1535" i="32" s="1"/>
  <c r="T1531" i="32" a="1"/>
  <c r="T1531" i="32" s="1"/>
  <c r="V1515" i="32" a="1"/>
  <c r="V1515" i="32" s="1"/>
  <c r="L1515" i="32" s="1"/>
  <c r="V1507" i="32" a="1"/>
  <c r="V1507" i="32" s="1"/>
  <c r="L1507" i="32" s="1"/>
  <c r="R1511" i="32" a="1"/>
  <c r="R1511" i="32" s="1"/>
  <c r="D1511" i="32" s="1"/>
  <c r="T1523" i="32" a="1"/>
  <c r="T1523" i="32" s="1"/>
  <c r="R1525" i="32" a="1"/>
  <c r="R1525" i="32" s="1"/>
  <c r="D1525" i="32" s="1"/>
  <c r="S1503" i="32" a="1"/>
  <c r="S1503" i="32" s="1"/>
  <c r="E1503" i="32" s="1"/>
  <c r="R1531" i="32" a="1"/>
  <c r="R1531" i="32" s="1"/>
  <c r="D1531" i="32" s="1"/>
  <c r="V1509" i="32" a="1"/>
  <c r="V1509" i="32" s="1"/>
  <c r="L1509" i="32" s="1"/>
  <c r="V1535" i="32" a="1"/>
  <c r="V1535" i="32" s="1"/>
  <c r="L1535" i="32" s="1"/>
  <c r="T1511" i="32" a="1"/>
  <c r="T1511" i="32" s="1"/>
  <c r="T1515" i="32" a="1"/>
  <c r="T1515" i="32" s="1"/>
  <c r="S1525" i="32" a="1"/>
  <c r="S1525" i="32" s="1"/>
  <c r="E1525" i="32" s="1"/>
  <c r="S1531" i="32" a="1"/>
  <c r="S1531" i="32" s="1"/>
  <c r="E1531" i="32" s="1"/>
  <c r="V1529" i="32" a="1"/>
  <c r="V1529" i="32" s="1"/>
  <c r="L1529" i="32" s="1"/>
  <c r="V1523" i="32" a="1"/>
  <c r="V1523" i="32" s="1"/>
  <c r="L1523" i="32" s="1"/>
  <c r="S1511" i="32" a="1"/>
  <c r="S1511" i="32" s="1"/>
  <c r="E1511" i="32" s="1"/>
  <c r="R1515" i="32" a="1"/>
  <c r="R1515" i="32" s="1"/>
  <c r="D1515" i="32" s="1"/>
  <c r="S1513" i="32" a="1"/>
  <c r="S1513" i="32" s="1"/>
  <c r="E1513" i="32" s="1"/>
  <c r="S1521" i="32" a="1"/>
  <c r="S1521" i="32" s="1"/>
  <c r="E1521" i="32" s="1"/>
  <c r="V1505" i="32" a="1"/>
  <c r="V1505" i="32" s="1"/>
  <c r="L1505" i="32" s="1"/>
  <c r="V1503" i="32" a="1"/>
  <c r="V1503" i="32" s="1"/>
  <c r="L1503" i="32" s="1"/>
  <c r="S1537" i="32" a="1"/>
  <c r="S1537" i="32" s="1"/>
  <c r="E1537" i="32" s="1"/>
  <c r="S1515" i="32" a="1"/>
  <c r="S1515" i="32" s="1"/>
  <c r="E1515" i="32" s="1"/>
  <c r="T1513" i="32" a="1"/>
  <c r="T1513" i="32" s="1"/>
  <c r="T1521" i="32" a="1"/>
  <c r="T1521" i="32" s="1"/>
  <c r="S1527" i="32" a="1"/>
  <c r="S1527" i="32" s="1"/>
  <c r="E1527" i="32" s="1"/>
  <c r="V1519" i="32" a="1"/>
  <c r="V1519" i="32" s="1"/>
  <c r="L1519" i="32" s="1"/>
  <c r="V1517" i="32" a="1"/>
  <c r="V1517" i="32" s="1"/>
  <c r="L1517" i="32" s="1"/>
  <c r="T1537" i="32" a="1"/>
  <c r="T1537" i="32" s="1"/>
  <c r="R1513" i="32" a="1"/>
  <c r="R1513" i="32" s="1"/>
  <c r="D1513" i="32" s="1"/>
  <c r="R1521" i="32" a="1"/>
  <c r="R1521" i="32" s="1"/>
  <c r="D1521" i="32" s="1"/>
  <c r="T1527" i="32" a="1"/>
  <c r="T1527" i="32" s="1"/>
  <c r="V1501" i="32" a="1"/>
  <c r="V1501" i="32" s="1"/>
  <c r="L1501" i="32" s="1"/>
  <c r="V1537" i="32" a="1"/>
  <c r="V1537" i="32" s="1"/>
  <c r="L1537" i="32" s="1"/>
  <c r="R1537" i="32" a="1"/>
  <c r="R1537" i="32" s="1"/>
  <c r="D1537" i="32" s="1"/>
  <c r="S1539" i="32" a="1"/>
  <c r="S1539" i="32" s="1"/>
  <c r="E1539" i="32" s="1"/>
  <c r="S1533" i="32" a="1"/>
  <c r="S1533" i="32" s="1"/>
  <c r="E1533" i="32" s="1"/>
  <c r="R1527" i="32" a="1"/>
  <c r="R1527" i="32" s="1"/>
  <c r="D1527" i="32" s="1"/>
  <c r="V1513" i="32" a="1"/>
  <c r="V1513" i="32" s="1"/>
  <c r="L1513" i="32" s="1"/>
  <c r="V1531" i="32" a="1"/>
  <c r="V1531" i="32" s="1"/>
  <c r="L1531" i="32" s="1"/>
  <c r="T1529" i="32" a="1"/>
  <c r="T1529" i="32" s="1"/>
  <c r="T1517" i="32" a="1"/>
  <c r="T1517" i="32" s="1"/>
  <c r="T1539" i="32" a="1"/>
  <c r="T1539" i="32" s="1"/>
  <c r="S1501" i="32" a="1"/>
  <c r="S1501" i="32" s="1"/>
  <c r="E1501" i="32" s="1"/>
  <c r="T1533" i="32" a="1"/>
  <c r="T1533" i="32" s="1"/>
  <c r="V1527" i="32" a="1"/>
  <c r="V1527" i="32" s="1"/>
  <c r="L1527" i="32" s="1"/>
  <c r="R1529" i="32" a="1"/>
  <c r="R1529" i="32" s="1"/>
  <c r="D1529" i="32" s="1"/>
  <c r="S1517" i="32" a="1"/>
  <c r="S1517" i="32" s="1"/>
  <c r="E1517" i="32" s="1"/>
  <c r="R1539" i="32" a="1"/>
  <c r="R1539" i="32" s="1"/>
  <c r="D1539" i="32" s="1"/>
  <c r="T1501" i="32" a="1"/>
  <c r="T1501" i="32" s="1"/>
  <c r="R1533" i="32" a="1"/>
  <c r="R1533" i="32" s="1"/>
  <c r="D1533" i="32" s="1"/>
  <c r="V1521" i="32" a="1"/>
  <c r="V1521" i="32" s="1"/>
  <c r="L1521" i="32" s="1"/>
  <c r="S1505" i="32" a="1"/>
  <c r="S1505" i="32" s="1"/>
  <c r="E1505" i="32" s="1"/>
  <c r="S1529" i="32" a="1"/>
  <c r="S1529" i="32" s="1"/>
  <c r="E1529" i="32" s="1"/>
  <c r="R1517" i="32" a="1"/>
  <c r="R1517" i="32" s="1"/>
  <c r="D1517" i="32" s="1"/>
  <c r="R1501" i="32" a="1"/>
  <c r="R1501" i="32" s="1"/>
  <c r="D1501" i="32" s="1"/>
  <c r="R1509" i="32" a="1"/>
  <c r="R1509" i="32" s="1"/>
  <c r="D1509" i="32" s="1"/>
  <c r="T1507" i="32" a="1"/>
  <c r="T1507" i="32" s="1"/>
  <c r="V1511" i="32" a="1"/>
  <c r="V1511" i="32" s="1"/>
  <c r="L1511" i="32" s="1"/>
  <c r="T1505" i="32" a="1"/>
  <c r="T1505" i="32" s="1"/>
  <c r="S1519" i="32" a="1"/>
  <c r="S1519" i="32" s="1"/>
  <c r="E1519" i="32" s="1"/>
  <c r="T1535" i="32" a="1"/>
  <c r="T1535" i="32" s="1"/>
  <c r="S1509" i="32" a="1"/>
  <c r="S1509" i="32" s="1"/>
  <c r="E1509" i="32" s="1"/>
  <c r="R1507" i="32" a="1"/>
  <c r="R1507" i="32" s="1"/>
  <c r="D1507" i="32" s="1"/>
  <c r="V1539" i="32" a="1"/>
  <c r="V1539" i="32" s="1"/>
  <c r="L1539" i="32" s="1"/>
  <c r="R1505" i="32" a="1"/>
  <c r="R1505" i="32" s="1"/>
  <c r="D1505" i="32" s="1"/>
  <c r="T1519" i="32" a="1"/>
  <c r="T1519" i="32" s="1"/>
  <c r="S1523" i="32" a="1"/>
  <c r="S1523" i="32" s="1"/>
  <c r="E1523" i="32" s="1"/>
  <c r="R1503" i="32" a="1"/>
  <c r="R1503" i="32" s="1"/>
  <c r="D1503" i="32" s="1"/>
  <c r="R1535" i="32" a="1"/>
  <c r="R1535" i="32" s="1"/>
  <c r="D1535" i="32" s="1"/>
  <c r="T1509" i="32" a="1"/>
  <c r="T1509" i="32" s="1"/>
  <c r="S1507" i="32" a="1"/>
  <c r="S1507" i="32" s="1"/>
  <c r="E1507" i="32" s="1"/>
  <c r="V1561" i="32" a="1"/>
  <c r="V1561" i="32" s="1"/>
  <c r="L1561" i="32" s="1"/>
  <c r="V1553" i="32" a="1"/>
  <c r="V1553" i="32" s="1"/>
  <c r="L1553" i="32" s="1"/>
  <c r="T1557" i="32" a="1"/>
  <c r="T1557" i="32" s="1"/>
  <c r="S1565" i="32" a="1"/>
  <c r="S1565" i="32" s="1"/>
  <c r="E1565" i="32" s="1"/>
  <c r="R1561" i="32" a="1"/>
  <c r="R1561" i="32" s="1"/>
  <c r="D1561" i="32" s="1"/>
  <c r="T1541" i="32" a="1"/>
  <c r="T1541" i="32" s="1"/>
  <c r="R1551" i="32" a="1"/>
  <c r="R1551" i="32" s="1"/>
  <c r="D1551" i="32" s="1"/>
  <c r="R1577" i="32" a="1"/>
  <c r="R1577" i="32" s="1"/>
  <c r="D1577" i="32" s="1"/>
  <c r="V1559" i="32" a="1"/>
  <c r="V1559" i="32" s="1"/>
  <c r="L1559" i="32" s="1"/>
  <c r="V1571" i="32" a="1"/>
  <c r="V1571" i="32" s="1"/>
  <c r="L1571" i="32" s="1"/>
  <c r="T1579" i="32" a="1"/>
  <c r="T1579" i="32" s="1"/>
  <c r="S1561" i="32" a="1"/>
  <c r="S1561" i="32" s="1"/>
  <c r="E1561" i="32" s="1"/>
  <c r="R1541" i="32" a="1"/>
  <c r="R1541" i="32" s="1"/>
  <c r="D1541" i="32" s="1"/>
  <c r="S1551" i="32" a="1"/>
  <c r="S1551" i="32" s="1"/>
  <c r="E1551" i="32" s="1"/>
  <c r="S1577" i="32" a="1"/>
  <c r="S1577" i="32" s="1"/>
  <c r="E1577" i="32" s="1"/>
  <c r="V1551" i="32" a="1"/>
  <c r="V1551" i="32" s="1"/>
  <c r="L1551" i="32" s="1"/>
  <c r="V1541" i="32" a="1"/>
  <c r="V1541" i="32" s="1"/>
  <c r="L1541" i="32" s="1"/>
  <c r="S1579" i="32" a="1"/>
  <c r="S1579" i="32" s="1"/>
  <c r="E1579" i="32" s="1"/>
  <c r="S1553" i="32" a="1"/>
  <c r="S1553" i="32" s="1"/>
  <c r="E1553" i="32" s="1"/>
  <c r="S1541" i="32" a="1"/>
  <c r="S1541" i="32" s="1"/>
  <c r="E1541" i="32" s="1"/>
  <c r="T1549" i="32" a="1"/>
  <c r="T1549" i="32" s="1"/>
  <c r="V1565" i="32" a="1"/>
  <c r="V1565" i="32" s="1"/>
  <c r="L1565" i="32" s="1"/>
  <c r="V1577" i="32" a="1"/>
  <c r="V1577" i="32" s="1"/>
  <c r="L1577" i="32" s="1"/>
  <c r="R1579" i="32" a="1"/>
  <c r="R1579" i="32" s="1"/>
  <c r="D1579" i="32" s="1"/>
  <c r="R1559" i="32" a="1"/>
  <c r="R1559" i="32" s="1"/>
  <c r="D1559" i="32" s="1"/>
  <c r="T1553" i="32" a="1"/>
  <c r="T1553" i="32" s="1"/>
  <c r="S1549" i="32" a="1"/>
  <c r="S1549" i="32" s="1"/>
  <c r="E1549" i="32" s="1"/>
  <c r="V1573" i="32" a="1"/>
  <c r="V1573" i="32" s="1"/>
  <c r="L1573" i="32" s="1"/>
  <c r="V1567" i="32" a="1"/>
  <c r="V1567" i="32" s="1"/>
  <c r="L1567" i="32" s="1"/>
  <c r="R1563" i="32" a="1"/>
  <c r="R1563" i="32" s="1"/>
  <c r="D1563" i="32" s="1"/>
  <c r="S1559" i="32" a="1"/>
  <c r="S1559" i="32" s="1"/>
  <c r="E1559" i="32" s="1"/>
  <c r="R1553" i="32" a="1"/>
  <c r="R1553" i="32" s="1"/>
  <c r="D1553" i="32" s="1"/>
  <c r="R1549" i="32" a="1"/>
  <c r="R1549" i="32" s="1"/>
  <c r="D1549" i="32" s="1"/>
  <c r="V1543" i="32" a="1"/>
  <c r="V1543" i="32" s="1"/>
  <c r="L1543" i="32" s="1"/>
  <c r="V1579" i="32" a="1"/>
  <c r="V1579" i="32" s="1"/>
  <c r="L1579" i="32" s="1"/>
  <c r="S1563" i="32" a="1"/>
  <c r="S1563" i="32" s="1"/>
  <c r="E1563" i="32" s="1"/>
  <c r="T1559" i="32" a="1"/>
  <c r="T1559" i="32" s="1"/>
  <c r="T1547" i="32" a="1"/>
  <c r="T1547" i="32" s="1"/>
  <c r="S1543" i="32" a="1"/>
  <c r="S1543" i="32" s="1"/>
  <c r="E1543" i="32" s="1"/>
  <c r="S1571" i="32" a="1"/>
  <c r="S1571" i="32" s="1"/>
  <c r="E1571" i="32" s="1"/>
  <c r="V1555" i="32" a="1"/>
  <c r="V1555" i="32" s="1"/>
  <c r="L1555" i="32" s="1"/>
  <c r="V1547" i="32" a="1"/>
  <c r="V1547" i="32" s="1"/>
  <c r="L1547" i="32" s="1"/>
  <c r="T1563" i="32" a="1"/>
  <c r="T1563" i="32" s="1"/>
  <c r="S1547" i="32" a="1"/>
  <c r="S1547" i="32" s="1"/>
  <c r="E1547" i="32" s="1"/>
  <c r="R1543" i="32" a="1"/>
  <c r="R1543" i="32" s="1"/>
  <c r="D1543" i="32" s="1"/>
  <c r="T1571" i="32" a="1"/>
  <c r="T1571" i="32" s="1"/>
  <c r="V1569" i="32" a="1"/>
  <c r="V1569" i="32" s="1"/>
  <c r="L1569" i="32" s="1"/>
  <c r="V1545" i="32" a="1"/>
  <c r="V1545" i="32" s="1"/>
  <c r="L1545" i="32" s="1"/>
  <c r="T1575" i="32" a="1"/>
  <c r="T1575" i="32" s="1"/>
  <c r="R1547" i="32" a="1"/>
  <c r="R1547" i="32" s="1"/>
  <c r="D1547" i="32" s="1"/>
  <c r="T1543" i="32" a="1"/>
  <c r="T1543" i="32" s="1"/>
  <c r="R1571" i="32" a="1"/>
  <c r="R1571" i="32" s="1"/>
  <c r="D1571" i="32" s="1"/>
  <c r="V1557" i="32" a="1"/>
  <c r="V1557" i="32" s="1"/>
  <c r="L1557" i="32" s="1"/>
  <c r="R1575" i="32" a="1"/>
  <c r="R1575" i="32" s="1"/>
  <c r="D1575" i="32" s="1"/>
  <c r="S1573" i="32" a="1"/>
  <c r="S1573" i="32" s="1"/>
  <c r="E1573" i="32" s="1"/>
  <c r="S1567" i="32" a="1"/>
  <c r="S1567" i="32" s="1"/>
  <c r="E1567" i="32" s="1"/>
  <c r="S1569" i="32" a="1"/>
  <c r="S1569" i="32" s="1"/>
  <c r="E1569" i="32" s="1"/>
  <c r="S1555" i="32" a="1"/>
  <c r="S1555" i="32" s="1"/>
  <c r="E1555" i="32" s="1"/>
  <c r="V1549" i="32" a="1"/>
  <c r="V1549" i="32" s="1"/>
  <c r="L1549" i="32" s="1"/>
  <c r="S1575" i="32" a="1"/>
  <c r="S1575" i="32" s="1"/>
  <c r="E1575" i="32" s="1"/>
  <c r="T1573" i="32" a="1"/>
  <c r="T1573" i="32" s="1"/>
  <c r="R1545" i="32" a="1"/>
  <c r="R1545" i="32" s="1"/>
  <c r="D1545" i="32" s="1"/>
  <c r="R1567" i="32" a="1"/>
  <c r="R1567" i="32" s="1"/>
  <c r="D1567" i="32" s="1"/>
  <c r="T1569" i="32" a="1"/>
  <c r="T1569" i="32" s="1"/>
  <c r="R1555" i="32" a="1"/>
  <c r="R1555" i="32" s="1"/>
  <c r="D1555" i="32" s="1"/>
  <c r="V1575" i="32" a="1"/>
  <c r="V1575" i="32" s="1"/>
  <c r="L1575" i="32" s="1"/>
  <c r="R1557" i="32" a="1"/>
  <c r="R1557" i="32" s="1"/>
  <c r="D1557" i="32" s="1"/>
  <c r="T1565" i="32" a="1"/>
  <c r="T1565" i="32" s="1"/>
  <c r="R1573" i="32" a="1"/>
  <c r="R1573" i="32" s="1"/>
  <c r="D1573" i="32" s="1"/>
  <c r="T1545" i="32" a="1"/>
  <c r="T1545" i="32" s="1"/>
  <c r="T1567" i="32" a="1"/>
  <c r="T1567" i="32" s="1"/>
  <c r="R1569" i="32" a="1"/>
  <c r="R1569" i="32" s="1"/>
  <c r="D1569" i="32" s="1"/>
  <c r="T1555" i="32" a="1"/>
  <c r="T1555" i="32" s="1"/>
  <c r="V1563" i="32" a="1"/>
  <c r="V1563" i="32" s="1"/>
  <c r="L1563" i="32" s="1"/>
  <c r="S1557" i="32" a="1"/>
  <c r="S1557" i="32" s="1"/>
  <c r="E1557" i="32" s="1"/>
  <c r="R1565" i="32" a="1"/>
  <c r="R1565" i="32" s="1"/>
  <c r="D1565" i="32" s="1"/>
  <c r="T1561" i="32" a="1"/>
  <c r="T1561" i="32" s="1"/>
  <c r="S1545" i="32" a="1"/>
  <c r="S1545" i="32" s="1"/>
  <c r="E1545" i="32" s="1"/>
  <c r="T1551" i="32" a="1"/>
  <c r="T1551" i="32" s="1"/>
  <c r="T1577" i="32" a="1"/>
  <c r="T1577" i="32" s="1"/>
  <c r="V1597" i="32" a="1"/>
  <c r="V1597" i="32" s="1"/>
  <c r="L1597" i="32" s="1"/>
  <c r="V1605" i="32" a="1"/>
  <c r="V1605" i="32" s="1"/>
  <c r="L1605" i="32" s="1"/>
  <c r="S1601" i="32" a="1"/>
  <c r="S1601" i="32" s="1"/>
  <c r="E1601" i="32" s="1"/>
  <c r="S1587" i="32" a="1"/>
  <c r="S1587" i="32" s="1"/>
  <c r="E1587" i="32" s="1"/>
  <c r="S1617" i="32" a="1"/>
  <c r="S1617" i="32" s="1"/>
  <c r="E1617" i="32" s="1"/>
  <c r="S1597" i="32" a="1"/>
  <c r="S1597" i="32" s="1"/>
  <c r="E1597" i="32" s="1"/>
  <c r="S1619" i="32" a="1"/>
  <c r="S1619" i="32" s="1"/>
  <c r="E1619" i="32" s="1"/>
  <c r="V1585" i="32" a="1"/>
  <c r="V1585" i="32" s="1"/>
  <c r="L1585" i="32" s="1"/>
  <c r="V1593" i="32" a="1"/>
  <c r="V1593" i="32" s="1"/>
  <c r="L1593" i="32" s="1"/>
  <c r="T1601" i="32" a="1"/>
  <c r="T1601" i="32" s="1"/>
  <c r="T1617" i="32" a="1"/>
  <c r="T1617" i="32" s="1"/>
  <c r="S1611" i="32" a="1"/>
  <c r="S1611" i="32" s="1"/>
  <c r="E1611" i="32" s="1"/>
  <c r="T1597" i="32" a="1"/>
  <c r="T1597" i="32" s="1"/>
  <c r="S1615" i="32" a="1"/>
  <c r="S1615" i="32" s="1"/>
  <c r="E1615" i="32" s="1"/>
  <c r="R1619" i="32" a="1"/>
  <c r="R1619" i="32" s="1"/>
  <c r="D1619" i="32" s="1"/>
  <c r="V1615" i="32" a="1"/>
  <c r="V1615" i="32" s="1"/>
  <c r="L1615" i="32" s="1"/>
  <c r="V1613" i="32" a="1"/>
  <c r="V1613" i="32" s="1"/>
  <c r="L1613" i="32" s="1"/>
  <c r="R1601" i="32" a="1"/>
  <c r="R1601" i="32" s="1"/>
  <c r="D1601" i="32" s="1"/>
  <c r="S1609" i="32" a="1"/>
  <c r="S1609" i="32" s="1"/>
  <c r="E1609" i="32" s="1"/>
  <c r="R1611" i="32" a="1"/>
  <c r="R1611" i="32" s="1"/>
  <c r="D1611" i="32" s="1"/>
  <c r="S1599" i="32" a="1"/>
  <c r="S1599" i="32" s="1"/>
  <c r="E1599" i="32" s="1"/>
  <c r="T1615" i="32" a="1"/>
  <c r="T1615" i="32" s="1"/>
  <c r="R1589" i="32" a="1"/>
  <c r="R1589" i="32" s="1"/>
  <c r="D1589" i="32" s="1"/>
  <c r="V1619" i="32" a="1"/>
  <c r="V1619" i="32" s="1"/>
  <c r="L1619" i="32" s="1"/>
  <c r="V1591" i="32" a="1"/>
  <c r="V1591" i="32" s="1"/>
  <c r="L1591" i="32" s="1"/>
  <c r="S1593" i="32" a="1"/>
  <c r="S1593" i="32" s="1"/>
  <c r="E1593" i="32" s="1"/>
  <c r="T1609" i="32" a="1"/>
  <c r="T1609" i="32" s="1"/>
  <c r="T1611" i="32" a="1"/>
  <c r="T1611" i="32" s="1"/>
  <c r="R1599" i="32" a="1"/>
  <c r="R1599" i="32" s="1"/>
  <c r="D1599" i="32" s="1"/>
  <c r="R1615" i="32" a="1"/>
  <c r="R1615" i="32" s="1"/>
  <c r="D1615" i="32" s="1"/>
  <c r="S1589" i="32" a="1"/>
  <c r="S1589" i="32" s="1"/>
  <c r="E1589" i="32" s="1"/>
  <c r="V1587" i="32" a="1"/>
  <c r="V1587" i="32" s="1"/>
  <c r="L1587" i="32" s="1"/>
  <c r="V1603" i="32" a="1"/>
  <c r="V1603" i="32" s="1"/>
  <c r="L1603" i="32" s="1"/>
  <c r="T1593" i="32" a="1"/>
  <c r="T1593" i="32" s="1"/>
  <c r="R1609" i="32" a="1"/>
  <c r="R1609" i="32" s="1"/>
  <c r="D1609" i="32" s="1"/>
  <c r="T1599" i="32" a="1"/>
  <c r="T1599" i="32" s="1"/>
  <c r="T1589" i="32" a="1"/>
  <c r="T1589" i="32" s="1"/>
  <c r="V1611" i="32" a="1"/>
  <c r="V1611" i="32" s="1"/>
  <c r="L1611" i="32" s="1"/>
  <c r="V1607" i="32" a="1"/>
  <c r="V1607" i="32" s="1"/>
  <c r="L1607" i="32" s="1"/>
  <c r="R1593" i="32" a="1"/>
  <c r="R1593" i="32" s="1"/>
  <c r="D1593" i="32" s="1"/>
  <c r="T1581" i="32" a="1"/>
  <c r="T1581" i="32" s="1"/>
  <c r="R1603" i="32" a="1"/>
  <c r="R1603" i="32" s="1"/>
  <c r="D1603" i="32" s="1"/>
  <c r="S1591" i="32" a="1"/>
  <c r="S1591" i="32" s="1"/>
  <c r="E1591" i="32" s="1"/>
  <c r="V1583" i="32" a="1"/>
  <c r="V1583" i="32" s="1"/>
  <c r="L1583" i="32" s="1"/>
  <c r="V1595" i="32" a="1"/>
  <c r="V1595" i="32" s="1"/>
  <c r="L1595" i="32" s="1"/>
  <c r="R1581" i="32" a="1"/>
  <c r="R1581" i="32" s="1"/>
  <c r="D1581" i="32" s="1"/>
  <c r="T1603" i="32" a="1"/>
  <c r="T1603" i="32" s="1"/>
  <c r="R1591" i="32" a="1"/>
  <c r="R1591" i="32" s="1"/>
  <c r="D1591" i="32" s="1"/>
  <c r="V1581" i="32" a="1"/>
  <c r="V1581" i="32" s="1"/>
  <c r="L1581" i="32" s="1"/>
  <c r="V1609" i="32" a="1"/>
  <c r="V1609" i="32" s="1"/>
  <c r="L1609" i="32" s="1"/>
  <c r="S1583" i="32" a="1"/>
  <c r="S1583" i="32" s="1"/>
  <c r="E1583" i="32" s="1"/>
  <c r="S1581" i="32" a="1"/>
  <c r="S1581" i="32" s="1"/>
  <c r="E1581" i="32" s="1"/>
  <c r="S1603" i="32" a="1"/>
  <c r="S1603" i="32" s="1"/>
  <c r="E1603" i="32" s="1"/>
  <c r="T1591" i="32" a="1"/>
  <c r="T1591" i="32" s="1"/>
  <c r="V1599" i="32" a="1"/>
  <c r="V1599" i="32" s="1"/>
  <c r="L1599" i="32" s="1"/>
  <c r="T1583" i="32" a="1"/>
  <c r="T1583" i="32" s="1"/>
  <c r="T1613" i="32" a="1"/>
  <c r="T1613" i="32" s="1"/>
  <c r="S1585" i="32" a="1"/>
  <c r="S1585" i="32" s="1"/>
  <c r="E1585" i="32" s="1"/>
  <c r="S1605" i="32" a="1"/>
  <c r="S1605" i="32" s="1"/>
  <c r="E1605" i="32" s="1"/>
  <c r="S1607" i="32" a="1"/>
  <c r="S1607" i="32" s="1"/>
  <c r="E1607" i="32" s="1"/>
  <c r="V1617" i="32" a="1"/>
  <c r="V1617" i="32" s="1"/>
  <c r="L1617" i="32" s="1"/>
  <c r="S1595" i="32" a="1"/>
  <c r="S1595" i="32" s="1"/>
  <c r="E1595" i="32" s="1"/>
  <c r="R1583" i="32" a="1"/>
  <c r="R1583" i="32" s="1"/>
  <c r="D1583" i="32" s="1"/>
  <c r="S1613" i="32" a="1"/>
  <c r="S1613" i="32" s="1"/>
  <c r="E1613" i="32" s="1"/>
  <c r="T1585" i="32" a="1"/>
  <c r="T1585" i="32" s="1"/>
  <c r="R1605" i="32" a="1"/>
  <c r="R1605" i="32" s="1"/>
  <c r="D1605" i="32" s="1"/>
  <c r="T1607" i="32" a="1"/>
  <c r="T1607" i="32" s="1"/>
  <c r="V1589" i="32" a="1"/>
  <c r="V1589" i="32" s="1"/>
  <c r="L1589" i="32" s="1"/>
  <c r="R1595" i="32" a="1"/>
  <c r="R1595" i="32" s="1"/>
  <c r="D1595" i="32" s="1"/>
  <c r="R1587" i="32" a="1"/>
  <c r="R1587" i="32" s="1"/>
  <c r="D1587" i="32" s="1"/>
  <c r="R1613" i="32" a="1"/>
  <c r="R1613" i="32" s="1"/>
  <c r="D1613" i="32" s="1"/>
  <c r="R1585" i="32" a="1"/>
  <c r="R1585" i="32" s="1"/>
  <c r="D1585" i="32" s="1"/>
  <c r="T1605" i="32" a="1"/>
  <c r="T1605" i="32" s="1"/>
  <c r="R1607" i="32" a="1"/>
  <c r="R1607" i="32" s="1"/>
  <c r="D1607" i="32" s="1"/>
  <c r="V1601" i="32" a="1"/>
  <c r="V1601" i="32" s="1"/>
  <c r="L1601" i="32" s="1"/>
  <c r="T1595" i="32" a="1"/>
  <c r="T1595" i="32" s="1"/>
  <c r="T1587" i="32" a="1"/>
  <c r="T1587" i="32" s="1"/>
  <c r="R1617" i="32" a="1"/>
  <c r="R1617" i="32" s="1"/>
  <c r="D1617" i="32" s="1"/>
  <c r="R1597" i="32" a="1"/>
  <c r="R1597" i="32" s="1"/>
  <c r="D1597" i="32" s="1"/>
  <c r="T1619" i="32" a="1"/>
  <c r="T1619" i="32" s="1"/>
  <c r="V1621" i="32" a="1"/>
  <c r="V1621" i="32" s="1"/>
  <c r="L1621" i="32" s="1"/>
  <c r="V1633" i="32" a="1"/>
  <c r="V1633" i="32" s="1"/>
  <c r="L1633" i="32" s="1"/>
  <c r="S1639" i="32" a="1"/>
  <c r="S1639" i="32" s="1"/>
  <c r="E1639" i="32" s="1"/>
  <c r="R1637" i="32" a="1"/>
  <c r="R1637" i="32" s="1"/>
  <c r="D1637" i="32" s="1"/>
  <c r="S1629" i="32" a="1"/>
  <c r="S1629" i="32" s="1"/>
  <c r="E1629" i="32" s="1"/>
  <c r="S1623" i="32" a="1"/>
  <c r="S1623" i="32" s="1"/>
  <c r="E1623" i="32" s="1"/>
  <c r="T1625" i="32" a="1"/>
  <c r="T1625" i="32" s="1"/>
  <c r="T1633" i="32" a="1"/>
  <c r="T1633" i="32" s="1"/>
  <c r="R1625" i="32" a="1"/>
  <c r="R1625" i="32" s="1"/>
  <c r="D1625" i="32" s="1"/>
  <c r="V1625" i="32" a="1"/>
  <c r="V1625" i="32" s="1"/>
  <c r="L1625" i="32" s="1"/>
  <c r="V1659" i="32" a="1"/>
  <c r="V1659" i="32" s="1"/>
  <c r="L1659" i="32" s="1"/>
  <c r="S1645" i="32" a="1"/>
  <c r="S1645" i="32" s="1"/>
  <c r="E1645" i="32" s="1"/>
  <c r="T1629" i="32" a="1"/>
  <c r="T1629" i="32" s="1"/>
  <c r="S1657" i="32" a="1"/>
  <c r="S1657" i="32" s="1"/>
  <c r="E1657" i="32" s="1"/>
  <c r="T1659" i="32" a="1"/>
  <c r="T1659" i="32" s="1"/>
  <c r="V1651" i="32" a="1"/>
  <c r="V1651" i="32" s="1"/>
  <c r="L1651" i="32" s="1"/>
  <c r="V1647" i="32" a="1"/>
  <c r="V1647" i="32" s="1"/>
  <c r="L1647" i="32" s="1"/>
  <c r="T1645" i="32" a="1"/>
  <c r="T1645" i="32" s="1"/>
  <c r="R1629" i="32" a="1"/>
  <c r="R1629" i="32" s="1"/>
  <c r="D1629" i="32" s="1"/>
  <c r="T1657" i="32" a="1"/>
  <c r="T1657" i="32" s="1"/>
  <c r="S1651" i="32" a="1"/>
  <c r="S1651" i="32" s="1"/>
  <c r="E1651" i="32" s="1"/>
  <c r="R1659" i="32" a="1"/>
  <c r="R1659" i="32" s="1"/>
  <c r="D1659" i="32" s="1"/>
  <c r="V1637" i="32" a="1"/>
  <c r="V1637" i="32" s="1"/>
  <c r="L1637" i="32" s="1"/>
  <c r="V1627" i="32" a="1"/>
  <c r="V1627" i="32" s="1"/>
  <c r="L1627" i="32" s="1"/>
  <c r="R1645" i="32" a="1"/>
  <c r="R1645" i="32" s="1"/>
  <c r="D1645" i="32" s="1"/>
  <c r="R1657" i="32" a="1"/>
  <c r="R1657" i="32" s="1"/>
  <c r="D1657" i="32" s="1"/>
  <c r="T1651" i="32" a="1"/>
  <c r="T1651" i="32" s="1"/>
  <c r="S1659" i="32" a="1"/>
  <c r="S1659" i="32" s="1"/>
  <c r="E1659" i="32" s="1"/>
  <c r="V1655" i="32" a="1"/>
  <c r="V1655" i="32" s="1"/>
  <c r="L1655" i="32" s="1"/>
  <c r="V1639" i="32" a="1"/>
  <c r="V1639" i="32" s="1"/>
  <c r="L1639" i="32" s="1"/>
  <c r="R1647" i="32" a="1"/>
  <c r="R1647" i="32" s="1"/>
  <c r="D1647" i="32" s="1"/>
  <c r="S1631" i="32" a="1"/>
  <c r="S1631" i="32" s="1"/>
  <c r="E1631" i="32" s="1"/>
  <c r="S1649" i="32" a="1"/>
  <c r="S1649" i="32" s="1"/>
  <c r="E1649" i="32" s="1"/>
  <c r="R1651" i="32" a="1"/>
  <c r="R1651" i="32" s="1"/>
  <c r="D1651" i="32" s="1"/>
  <c r="V1645" i="32" a="1"/>
  <c r="V1645" i="32" s="1"/>
  <c r="L1645" i="32" s="1"/>
  <c r="V1631" i="32" a="1"/>
  <c r="V1631" i="32" s="1"/>
  <c r="L1631" i="32" s="1"/>
  <c r="S1647" i="32" a="1"/>
  <c r="S1647" i="32" s="1"/>
  <c r="E1647" i="32" s="1"/>
  <c r="R1631" i="32" a="1"/>
  <c r="R1631" i="32" s="1"/>
  <c r="D1631" i="32" s="1"/>
  <c r="R1649" i="32" a="1"/>
  <c r="R1649" i="32" s="1"/>
  <c r="D1649" i="32" s="1"/>
  <c r="R1641" i="32" a="1"/>
  <c r="R1641" i="32" s="1"/>
  <c r="D1641" i="32" s="1"/>
  <c r="V1643" i="32" a="1"/>
  <c r="V1643" i="32" s="1"/>
  <c r="L1643" i="32" s="1"/>
  <c r="V1657" i="32" a="1"/>
  <c r="V1657" i="32" s="1"/>
  <c r="L1657" i="32" s="1"/>
  <c r="T1647" i="32" a="1"/>
  <c r="T1647" i="32" s="1"/>
  <c r="T1631" i="32" a="1"/>
  <c r="T1631" i="32" s="1"/>
  <c r="T1649" i="32" a="1"/>
  <c r="T1649" i="32" s="1"/>
  <c r="T1641" i="32" a="1"/>
  <c r="T1641" i="32" s="1"/>
  <c r="V1629" i="32" a="1"/>
  <c r="V1629" i="32" s="1"/>
  <c r="L1629" i="32" s="1"/>
  <c r="V1653" i="32" a="1"/>
  <c r="V1653" i="32" s="1"/>
  <c r="L1653" i="32" s="1"/>
  <c r="S1627" i="32" a="1"/>
  <c r="S1627" i="32" s="1"/>
  <c r="E1627" i="32" s="1"/>
  <c r="S1635" i="32" a="1"/>
  <c r="S1635" i="32" s="1"/>
  <c r="E1635" i="32" s="1"/>
  <c r="S1621" i="32" a="1"/>
  <c r="S1621" i="32" s="1"/>
  <c r="E1621" i="32" s="1"/>
  <c r="S1653" i="32" a="1"/>
  <c r="S1653" i="32" s="1"/>
  <c r="E1653" i="32" s="1"/>
  <c r="S1641" i="32" a="1"/>
  <c r="S1641" i="32" s="1"/>
  <c r="E1641" i="32" s="1"/>
  <c r="R1655" i="32" a="1"/>
  <c r="R1655" i="32" s="1"/>
  <c r="D1655" i="32" s="1"/>
  <c r="V1635" i="32" a="1"/>
  <c r="V1635" i="32" s="1"/>
  <c r="L1635" i="32" s="1"/>
  <c r="R1627" i="32" a="1"/>
  <c r="R1627" i="32" s="1"/>
  <c r="D1627" i="32" s="1"/>
  <c r="R1635" i="32" a="1"/>
  <c r="R1635" i="32" s="1"/>
  <c r="D1635" i="32" s="1"/>
  <c r="T1621" i="32" a="1"/>
  <c r="T1621" i="32" s="1"/>
  <c r="R1653" i="32" a="1"/>
  <c r="R1653" i="32" s="1"/>
  <c r="D1653" i="32" s="1"/>
  <c r="T1643" i="32" a="1"/>
  <c r="T1643" i="32" s="1"/>
  <c r="S1655" i="32" a="1"/>
  <c r="S1655" i="32" s="1"/>
  <c r="E1655" i="32" s="1"/>
  <c r="V1623" i="32" a="1"/>
  <c r="V1623" i="32" s="1"/>
  <c r="L1623" i="32" s="1"/>
  <c r="T1627" i="32" a="1"/>
  <c r="T1627" i="32" s="1"/>
  <c r="T1635" i="32" a="1"/>
  <c r="T1635" i="32" s="1"/>
  <c r="R1621" i="32" a="1"/>
  <c r="R1621" i="32" s="1"/>
  <c r="D1621" i="32" s="1"/>
  <c r="T1653" i="32" a="1"/>
  <c r="T1653" i="32" s="1"/>
  <c r="S1643" i="32" a="1"/>
  <c r="S1643" i="32" s="1"/>
  <c r="E1643" i="32" s="1"/>
  <c r="T1655" i="32" a="1"/>
  <c r="T1655" i="32" s="1"/>
  <c r="V1649" i="32" a="1"/>
  <c r="V1649" i="32" s="1"/>
  <c r="L1649" i="32" s="1"/>
  <c r="R1639" i="32" a="1"/>
  <c r="R1639" i="32" s="1"/>
  <c r="D1639" i="32" s="1"/>
  <c r="S1637" i="32" a="1"/>
  <c r="S1637" i="32" s="1"/>
  <c r="E1637" i="32" s="1"/>
  <c r="T1623" i="32" a="1"/>
  <c r="T1623" i="32" s="1"/>
  <c r="R1643" i="32" a="1"/>
  <c r="R1643" i="32" s="1"/>
  <c r="D1643" i="32" s="1"/>
  <c r="R1633" i="32" a="1"/>
  <c r="R1633" i="32" s="1"/>
  <c r="D1633" i="32" s="1"/>
  <c r="V1641" i="32" a="1"/>
  <c r="V1641" i="32" s="1"/>
  <c r="L1641" i="32" s="1"/>
  <c r="T1639" i="32" a="1"/>
  <c r="T1639" i="32" s="1"/>
  <c r="T1637" i="32" a="1"/>
  <c r="T1637" i="32" s="1"/>
  <c r="R1623" i="32" a="1"/>
  <c r="R1623" i="32" s="1"/>
  <c r="D1623" i="32" s="1"/>
  <c r="S1625" i="32" a="1"/>
  <c r="S1625" i="32" s="1"/>
  <c r="E1625" i="32" s="1"/>
  <c r="S1633" i="32" a="1"/>
  <c r="S1633" i="32" s="1"/>
  <c r="E1633" i="32" s="1"/>
  <c r="V1685" i="32" a="1"/>
  <c r="V1685" i="32" s="1"/>
  <c r="L1685" i="32" s="1"/>
  <c r="V1687" i="32" a="1"/>
  <c r="V1687" i="32" s="1"/>
  <c r="L1687" i="32" s="1"/>
  <c r="R1687" i="32" a="1"/>
  <c r="R1687" i="32" s="1"/>
  <c r="D1687" i="32" s="1"/>
  <c r="S1661" i="32" a="1"/>
  <c r="S1661" i="32" s="1"/>
  <c r="E1661" i="32" s="1"/>
  <c r="R1663" i="32" a="1"/>
  <c r="R1663" i="32" s="1"/>
  <c r="D1663" i="32" s="1"/>
  <c r="R1697" i="32" a="1"/>
  <c r="R1697" i="32" s="1"/>
  <c r="D1697" i="32" s="1"/>
  <c r="V1677" i="32" a="1"/>
  <c r="V1677" i="32" s="1"/>
  <c r="L1677" i="32" s="1"/>
  <c r="V1671" i="32" a="1"/>
  <c r="V1671" i="32" s="1"/>
  <c r="L1671" i="32" s="1"/>
  <c r="R1679" i="32" a="1"/>
  <c r="R1679" i="32" s="1"/>
  <c r="D1679" i="32" s="1"/>
  <c r="T1699" i="32" a="1"/>
  <c r="T1699" i="32" s="1"/>
  <c r="S1675" i="32" a="1"/>
  <c r="S1675" i="32" s="1"/>
  <c r="E1675" i="32" s="1"/>
  <c r="R1695" i="32" a="1"/>
  <c r="R1695" i="32" s="1"/>
  <c r="D1695" i="32" s="1"/>
  <c r="S1677" i="32" a="1"/>
  <c r="S1677" i="32" s="1"/>
  <c r="E1677" i="32" s="1"/>
  <c r="V1673" i="32" a="1"/>
  <c r="V1673" i="32" s="1"/>
  <c r="L1673" i="32" s="1"/>
  <c r="V1675" i="32" a="1"/>
  <c r="V1675" i="32" s="1"/>
  <c r="L1675" i="32" s="1"/>
  <c r="S1679" i="32" a="1"/>
  <c r="S1679" i="32" s="1"/>
  <c r="E1679" i="32" s="1"/>
  <c r="R1699" i="32" a="1"/>
  <c r="R1699" i="32" s="1"/>
  <c r="D1699" i="32" s="1"/>
  <c r="T1675" i="32" a="1"/>
  <c r="T1675" i="32" s="1"/>
  <c r="S1695" i="32" a="1"/>
  <c r="S1695" i="32" s="1"/>
  <c r="E1695" i="32" s="1"/>
  <c r="T1677" i="32" a="1"/>
  <c r="T1677" i="32" s="1"/>
  <c r="V1699" i="32" a="1"/>
  <c r="V1699" i="32" s="1"/>
  <c r="L1699" i="32" s="1"/>
  <c r="V1665" i="32" a="1"/>
  <c r="V1665" i="32" s="1"/>
  <c r="L1665" i="32" s="1"/>
  <c r="T1679" i="32" a="1"/>
  <c r="T1679" i="32" s="1"/>
  <c r="S1699" i="32" a="1"/>
  <c r="S1699" i="32" s="1"/>
  <c r="E1699" i="32" s="1"/>
  <c r="R1675" i="32" a="1"/>
  <c r="R1675" i="32" s="1"/>
  <c r="D1675" i="32" s="1"/>
  <c r="T1695" i="32" a="1"/>
  <c r="T1695" i="32" s="1"/>
  <c r="R1677" i="32" a="1"/>
  <c r="R1677" i="32" s="1"/>
  <c r="D1677" i="32" s="1"/>
  <c r="V1691" i="32" a="1"/>
  <c r="V1691" i="32" s="1"/>
  <c r="L1691" i="32" s="1"/>
  <c r="V1661" i="32" a="1"/>
  <c r="V1661" i="32" s="1"/>
  <c r="L1661" i="32" s="1"/>
  <c r="T1671" i="32" a="1"/>
  <c r="T1671" i="32" s="1"/>
  <c r="S1689" i="32" a="1"/>
  <c r="S1689" i="32" s="1"/>
  <c r="E1689" i="32" s="1"/>
  <c r="S1669" i="32" a="1"/>
  <c r="S1669" i="32" s="1"/>
  <c r="E1669" i="32" s="1"/>
  <c r="T1667" i="32" a="1"/>
  <c r="T1667" i="32" s="1"/>
  <c r="T1683" i="32" a="1"/>
  <c r="T1683" i="32" s="1"/>
  <c r="S1665" i="32" a="1"/>
  <c r="S1665" i="32" s="1"/>
  <c r="E1665" i="32" s="1"/>
  <c r="V1681" i="32" a="1"/>
  <c r="V1681" i="32" s="1"/>
  <c r="L1681" i="32" s="1"/>
  <c r="V1689" i="32" a="1"/>
  <c r="V1689" i="32" s="1"/>
  <c r="L1689" i="32" s="1"/>
  <c r="R1671" i="32" a="1"/>
  <c r="R1671" i="32" s="1"/>
  <c r="D1671" i="32" s="1"/>
  <c r="T1689" i="32" a="1"/>
  <c r="T1689" i="32" s="1"/>
  <c r="R1669" i="32" a="1"/>
  <c r="R1669" i="32" s="1"/>
  <c r="D1669" i="32" s="1"/>
  <c r="R1667" i="32" a="1"/>
  <c r="R1667" i="32" s="1"/>
  <c r="D1667" i="32" s="1"/>
  <c r="R1683" i="32" a="1"/>
  <c r="R1683" i="32" s="1"/>
  <c r="D1683" i="32" s="1"/>
  <c r="T1665" i="32" a="1"/>
  <c r="T1665" i="32" s="1"/>
  <c r="V1663" i="32" a="1"/>
  <c r="V1663" i="32" s="1"/>
  <c r="L1663" i="32" s="1"/>
  <c r="V1667" i="32" a="1"/>
  <c r="V1667" i="32" s="1"/>
  <c r="L1667" i="32" s="1"/>
  <c r="S1671" i="32" a="1"/>
  <c r="S1671" i="32" s="1"/>
  <c r="E1671" i="32" s="1"/>
  <c r="R1689" i="32" a="1"/>
  <c r="R1689" i="32" s="1"/>
  <c r="D1689" i="32" s="1"/>
  <c r="T1669" i="32" a="1"/>
  <c r="T1669" i="32" s="1"/>
  <c r="S1667" i="32" a="1"/>
  <c r="S1667" i="32" s="1"/>
  <c r="E1667" i="32" s="1"/>
  <c r="S1683" i="32" a="1"/>
  <c r="S1683" i="32" s="1"/>
  <c r="E1683" i="32" s="1"/>
  <c r="R1665" i="32" a="1"/>
  <c r="R1665" i="32" s="1"/>
  <c r="D1665" i="32" s="1"/>
  <c r="V1679" i="32" a="1"/>
  <c r="V1679" i="32" s="1"/>
  <c r="L1679" i="32" s="1"/>
  <c r="V1695" i="32" a="1"/>
  <c r="V1695" i="32" s="1"/>
  <c r="L1695" i="32" s="1"/>
  <c r="S1673" i="32" a="1"/>
  <c r="S1673" i="32" s="1"/>
  <c r="E1673" i="32" s="1"/>
  <c r="S1681" i="32" a="1"/>
  <c r="S1681" i="32" s="1"/>
  <c r="E1681" i="32" s="1"/>
  <c r="R1693" i="32" a="1"/>
  <c r="R1693" i="32" s="1"/>
  <c r="D1693" i="32" s="1"/>
  <c r="T1685" i="32" a="1"/>
  <c r="T1685" i="32" s="1"/>
  <c r="R1691" i="32" a="1"/>
  <c r="R1691" i="32" s="1"/>
  <c r="D1691" i="32" s="1"/>
  <c r="V1693" i="32" a="1"/>
  <c r="V1693" i="32" s="1"/>
  <c r="L1693" i="32" s="1"/>
  <c r="T1673" i="32" a="1"/>
  <c r="T1673" i="32" s="1"/>
  <c r="T1681" i="32" a="1"/>
  <c r="T1681" i="32" s="1"/>
  <c r="T1693" i="32" a="1"/>
  <c r="T1693" i="32" s="1"/>
  <c r="R1685" i="32" a="1"/>
  <c r="R1685" i="32" s="1"/>
  <c r="D1685" i="32" s="1"/>
  <c r="S1691" i="32" a="1"/>
  <c r="S1691" i="32" s="1"/>
  <c r="E1691" i="32" s="1"/>
  <c r="V1697" i="32" a="1"/>
  <c r="V1697" i="32" s="1"/>
  <c r="L1697" i="32" s="1"/>
  <c r="R1673" i="32" a="1"/>
  <c r="R1673" i="32" s="1"/>
  <c r="D1673" i="32" s="1"/>
  <c r="R1681" i="32" a="1"/>
  <c r="R1681" i="32" s="1"/>
  <c r="D1681" i="32" s="1"/>
  <c r="S1693" i="32" a="1"/>
  <c r="S1693" i="32" s="1"/>
  <c r="E1693" i="32" s="1"/>
  <c r="S1685" i="32" a="1"/>
  <c r="S1685" i="32" s="1"/>
  <c r="E1685" i="32" s="1"/>
  <c r="T1691" i="32" a="1"/>
  <c r="T1691" i="32" s="1"/>
  <c r="V1669" i="32" a="1"/>
  <c r="V1669" i="32" s="1"/>
  <c r="L1669" i="32" s="1"/>
  <c r="T1687" i="32" a="1"/>
  <c r="T1687" i="32" s="1"/>
  <c r="R1661" i="32" a="1"/>
  <c r="R1661" i="32" s="1"/>
  <c r="D1661" i="32" s="1"/>
  <c r="S1663" i="32" a="1"/>
  <c r="S1663" i="32" s="1"/>
  <c r="E1663" i="32" s="1"/>
  <c r="S1697" i="32" a="1"/>
  <c r="S1697" i="32" s="1"/>
  <c r="E1697" i="32" s="1"/>
  <c r="V1683" i="32" a="1"/>
  <c r="V1683" i="32" s="1"/>
  <c r="L1683" i="32" s="1"/>
  <c r="S1687" i="32" a="1"/>
  <c r="S1687" i="32" s="1"/>
  <c r="E1687" i="32" s="1"/>
  <c r="T1661" i="32" a="1"/>
  <c r="T1661" i="32" s="1"/>
  <c r="T1663" i="32" a="1"/>
  <c r="T1663" i="32" s="1"/>
  <c r="T1697" i="32" a="1"/>
  <c r="T1697" i="32" s="1"/>
  <c r="V685" i="32" a="1"/>
  <c r="V685" i="32" s="1"/>
  <c r="L685" i="32" s="1"/>
  <c r="V1765" i="32" a="1"/>
  <c r="V1765" i="32" s="1"/>
  <c r="L1765" i="32" s="1"/>
  <c r="V1703" i="32" a="1"/>
  <c r="V1703" i="32" s="1"/>
  <c r="L1703" i="32" s="1"/>
  <c r="V679" i="32" a="1"/>
  <c r="V679" i="32" s="1"/>
  <c r="L679" i="32" s="1"/>
  <c r="V667" i="32" a="1"/>
  <c r="V667" i="32" s="1"/>
  <c r="L667" i="32" s="1"/>
  <c r="V703" i="32" a="1"/>
  <c r="V703" i="32" s="1"/>
  <c r="L703" i="32" s="1"/>
  <c r="S1729" i="32" a="1"/>
  <c r="S1729" i="32" s="1"/>
  <c r="E1729" i="32" s="1"/>
  <c r="T751" i="32" a="1"/>
  <c r="T751" i="32" s="1"/>
  <c r="T761" i="32" a="1"/>
  <c r="T761" i="32" s="1"/>
  <c r="R671" i="32" a="1"/>
  <c r="R671" i="32" s="1"/>
  <c r="D671" i="32" s="1"/>
  <c r="R705" i="32" a="1"/>
  <c r="R705" i="32" s="1"/>
  <c r="D705" i="32" s="1"/>
  <c r="R673" i="32" a="1"/>
  <c r="R673" i="32" s="1"/>
  <c r="D673" i="32" s="1"/>
  <c r="R1709" i="32" a="1"/>
  <c r="R1709" i="32" s="1"/>
  <c r="D1709" i="32" s="1"/>
  <c r="S685" i="32" a="1"/>
  <c r="S685" i="32" s="1"/>
  <c r="E685" i="32" s="1"/>
  <c r="T739" i="32" a="1"/>
  <c r="T739" i="32" s="1"/>
  <c r="T1765" i="32" a="1"/>
  <c r="T1765" i="32" s="1"/>
  <c r="T663" i="32" a="1"/>
  <c r="T663" i="32" s="1"/>
  <c r="S701" i="32" a="1"/>
  <c r="S701" i="32" s="1"/>
  <c r="E701" i="32" s="1"/>
  <c r="T1769" i="32" a="1"/>
  <c r="T1769" i="32" s="1"/>
  <c r="S699" i="32" a="1"/>
  <c r="S699" i="32" s="1"/>
  <c r="E699" i="32" s="1"/>
  <c r="R735" i="32" a="1"/>
  <c r="R735" i="32" s="1"/>
  <c r="D735" i="32" s="1"/>
  <c r="R1719" i="32" a="1"/>
  <c r="R1719" i="32" s="1"/>
  <c r="D1719" i="32" s="1"/>
  <c r="R1767" i="32" a="1"/>
  <c r="R1767" i="32" s="1"/>
  <c r="D1767" i="32" s="1"/>
  <c r="V1731" i="32" a="1"/>
  <c r="V1731" i="32" s="1"/>
  <c r="L1731" i="32" s="1"/>
  <c r="V1757" i="32" a="1"/>
  <c r="V1757" i="32" s="1"/>
  <c r="L1757" i="32" s="1"/>
  <c r="V707" i="32" a="1"/>
  <c r="V707" i="32" s="1"/>
  <c r="L707" i="32" s="1"/>
  <c r="V1727" i="32" a="1"/>
  <c r="V1727" i="32" s="1"/>
  <c r="L1727" i="32" s="1"/>
  <c r="V673" i="32" a="1"/>
  <c r="V673" i="32" s="1"/>
  <c r="L673" i="32" s="1"/>
  <c r="V1767" i="32" a="1"/>
  <c r="V1767" i="32" s="1"/>
  <c r="L1767" i="32" s="1"/>
  <c r="V1775" i="32" a="1"/>
  <c r="V1775" i="32" s="1"/>
  <c r="L1775" i="32" s="1"/>
  <c r="V665" i="32" a="1"/>
  <c r="V665" i="32" s="1"/>
  <c r="L665" i="32" s="1"/>
  <c r="R1729" i="32" a="1"/>
  <c r="R1729" i="32" s="1"/>
  <c r="D1729" i="32" s="1"/>
  <c r="R751" i="32" a="1"/>
  <c r="R751" i="32" s="1"/>
  <c r="D751" i="32" s="1"/>
  <c r="S761" i="32" a="1"/>
  <c r="S761" i="32" s="1"/>
  <c r="E761" i="32" s="1"/>
  <c r="T671" i="32" a="1"/>
  <c r="T671" i="32" s="1"/>
  <c r="R707" i="32" a="1"/>
  <c r="R707" i="32" s="1"/>
  <c r="D707" i="32" s="1"/>
  <c r="S719" i="32" a="1"/>
  <c r="S719" i="32" s="1"/>
  <c r="E719" i="32" s="1"/>
  <c r="T673" i="32" a="1"/>
  <c r="T673" i="32" s="1"/>
  <c r="S1709" i="32" a="1"/>
  <c r="S1709" i="32" s="1"/>
  <c r="E1709" i="32" s="1"/>
  <c r="R685" i="32" a="1"/>
  <c r="R685" i="32" s="1"/>
  <c r="D685" i="32" s="1"/>
  <c r="S1757" i="32" a="1"/>
  <c r="S1757" i="32" s="1"/>
  <c r="E1757" i="32" s="1"/>
  <c r="R1765" i="32" a="1"/>
  <c r="R1765" i="32" s="1"/>
  <c r="D1765" i="32" s="1"/>
  <c r="R663" i="32" a="1"/>
  <c r="R663" i="32" s="1"/>
  <c r="D663" i="32" s="1"/>
  <c r="T701" i="32" a="1"/>
  <c r="T701" i="32" s="1"/>
  <c r="R1769" i="32" a="1"/>
  <c r="R1769" i="32" s="1"/>
  <c r="D1769" i="32" s="1"/>
  <c r="R759" i="32" a="1"/>
  <c r="R759" i="32" s="1"/>
  <c r="D759" i="32" s="1"/>
  <c r="S1719" i="32" a="1"/>
  <c r="S1719" i="32" s="1"/>
  <c r="E1719" i="32" s="1"/>
  <c r="S1767" i="32" a="1"/>
  <c r="S1767" i="32" s="1"/>
  <c r="E1767" i="32" s="1"/>
  <c r="V695" i="32" a="1"/>
  <c r="V695" i="32" s="1"/>
  <c r="L695" i="32" s="1"/>
  <c r="V751" i="32" a="1"/>
  <c r="V751" i="32" s="1"/>
  <c r="L751" i="32" s="1"/>
  <c r="V1729" i="32" a="1"/>
  <c r="V1729" i="32" s="1"/>
  <c r="L1729" i="32" s="1"/>
  <c r="V713" i="32" a="1"/>
  <c r="V713" i="32" s="1"/>
  <c r="L713" i="32" s="1"/>
  <c r="V689" i="32" a="1"/>
  <c r="V689" i="32" s="1"/>
  <c r="L689" i="32" s="1"/>
  <c r="V1763" i="32" a="1"/>
  <c r="V1763" i="32" s="1"/>
  <c r="L1763" i="32" s="1"/>
  <c r="V757" i="32" a="1"/>
  <c r="V757" i="32" s="1"/>
  <c r="L757" i="32" s="1"/>
  <c r="V1759" i="32" a="1"/>
  <c r="V1759" i="32" s="1"/>
  <c r="L1759" i="32" s="1"/>
  <c r="R729" i="32" a="1"/>
  <c r="R729" i="32" s="1"/>
  <c r="D729" i="32" s="1"/>
  <c r="T1705" i="32" a="1"/>
  <c r="T1705" i="32" s="1"/>
  <c r="S707" i="32" a="1"/>
  <c r="S707" i="32" s="1"/>
  <c r="E707" i="32" s="1"/>
  <c r="T719" i="32" a="1"/>
  <c r="T719" i="32" s="1"/>
  <c r="T1775" i="32" a="1"/>
  <c r="T1775" i="32" s="1"/>
  <c r="R727" i="32" a="1"/>
  <c r="R727" i="32" s="1"/>
  <c r="D727" i="32" s="1"/>
  <c r="T1709" i="32" a="1"/>
  <c r="T1709" i="32" s="1"/>
  <c r="T685" i="32" a="1"/>
  <c r="T685" i="32" s="1"/>
  <c r="T1757" i="32" a="1"/>
  <c r="T1757" i="32" s="1"/>
  <c r="S721" i="32" a="1"/>
  <c r="S721" i="32" s="1"/>
  <c r="E721" i="32" s="1"/>
  <c r="S1765" i="32" a="1"/>
  <c r="S1765" i="32" s="1"/>
  <c r="E1765" i="32" s="1"/>
  <c r="S663" i="32" a="1"/>
  <c r="S663" i="32" s="1"/>
  <c r="E663" i="32" s="1"/>
  <c r="R701" i="32" a="1"/>
  <c r="R701" i="32" s="1"/>
  <c r="D701" i="32" s="1"/>
  <c r="S753" i="32" a="1"/>
  <c r="S753" i="32" s="1"/>
  <c r="E753" i="32" s="1"/>
  <c r="R675" i="32" a="1"/>
  <c r="R675" i="32" s="1"/>
  <c r="D675" i="32" s="1"/>
  <c r="R681" i="32" a="1"/>
  <c r="R681" i="32" s="1"/>
  <c r="D681" i="32" s="1"/>
  <c r="R711" i="32" a="1"/>
  <c r="R711" i="32" s="1"/>
  <c r="D711" i="32" s="1"/>
  <c r="S759" i="32" a="1"/>
  <c r="S759" i="32" s="1"/>
  <c r="E759" i="32" s="1"/>
  <c r="T1719" i="32" a="1"/>
  <c r="T1719" i="32" s="1"/>
  <c r="S1739" i="32" a="1"/>
  <c r="S1739" i="32" s="1"/>
  <c r="E1739" i="32" s="1"/>
  <c r="V1717" i="32" a="1"/>
  <c r="V1717" i="32" s="1"/>
  <c r="L1717" i="32" s="1"/>
  <c r="V1761" i="32" a="1"/>
  <c r="V1761" i="32" s="1"/>
  <c r="L1761" i="32" s="1"/>
  <c r="V1753" i="32" a="1"/>
  <c r="V1753" i="32" s="1"/>
  <c r="L1753" i="32" s="1"/>
  <c r="V1707" i="32" a="1"/>
  <c r="V1707" i="32" s="1"/>
  <c r="L1707" i="32" s="1"/>
  <c r="V749" i="32" a="1"/>
  <c r="V749" i="32" s="1"/>
  <c r="L749" i="32" s="1"/>
  <c r="V727" i="32" a="1"/>
  <c r="V727" i="32" s="1"/>
  <c r="L727" i="32" s="1"/>
  <c r="V691" i="32" a="1"/>
  <c r="V691" i="32" s="1"/>
  <c r="L691" i="32" s="1"/>
  <c r="V1755" i="32" a="1"/>
  <c r="V1755" i="32" s="1"/>
  <c r="L1755" i="32" s="1"/>
  <c r="V1777" i="32" a="1"/>
  <c r="V1777" i="32" s="1"/>
  <c r="L1777" i="32" s="1"/>
  <c r="V1737" i="32" a="1"/>
  <c r="V1737" i="32" s="1"/>
  <c r="L1737" i="32" s="1"/>
  <c r="T729" i="32" a="1"/>
  <c r="T729" i="32" s="1"/>
  <c r="R1705" i="32" a="1"/>
  <c r="R1705" i="32" s="1"/>
  <c r="D1705" i="32" s="1"/>
  <c r="T707" i="32" a="1"/>
  <c r="T707" i="32" s="1"/>
  <c r="R719" i="32" a="1"/>
  <c r="R719" i="32" s="1"/>
  <c r="D719" i="32" s="1"/>
  <c r="R1775" i="32" a="1"/>
  <c r="R1775" i="32" s="1"/>
  <c r="D1775" i="32" s="1"/>
  <c r="T727" i="32" a="1"/>
  <c r="T727" i="32" s="1"/>
  <c r="R745" i="32" a="1"/>
  <c r="R745" i="32" s="1"/>
  <c r="D745" i="32" s="1"/>
  <c r="R1757" i="32" a="1"/>
  <c r="R1757" i="32" s="1"/>
  <c r="D1757" i="32" s="1"/>
  <c r="R721" i="32" a="1"/>
  <c r="R721" i="32" s="1"/>
  <c r="D721" i="32" s="1"/>
  <c r="R1753" i="32" a="1"/>
  <c r="R1753" i="32" s="1"/>
  <c r="D1753" i="32" s="1"/>
  <c r="T1779" i="32" a="1"/>
  <c r="T1779" i="32" s="1"/>
  <c r="R753" i="32" a="1"/>
  <c r="R753" i="32" s="1"/>
  <c r="D753" i="32" s="1"/>
  <c r="S675" i="32" a="1"/>
  <c r="S675" i="32" s="1"/>
  <c r="E675" i="32" s="1"/>
  <c r="T681" i="32" a="1"/>
  <c r="T681" i="32" s="1"/>
  <c r="T711" i="32" a="1"/>
  <c r="T711" i="32" s="1"/>
  <c r="T759" i="32" a="1"/>
  <c r="T759" i="32" s="1"/>
  <c r="T1743" i="32" a="1"/>
  <c r="T1743" i="32" s="1"/>
  <c r="V671" i="32" a="1"/>
  <c r="V671" i="32" s="1"/>
  <c r="L671" i="32" s="1"/>
  <c r="V1721" i="32" a="1"/>
  <c r="V1721" i="32" s="1"/>
  <c r="L1721" i="32" s="1"/>
  <c r="V759" i="32" a="1"/>
  <c r="V759" i="32" s="1"/>
  <c r="L759" i="32" s="1"/>
  <c r="V1771" i="32" a="1"/>
  <c r="V1771" i="32" s="1"/>
  <c r="L1771" i="32" s="1"/>
  <c r="S729" i="32" a="1"/>
  <c r="S729" i="32" s="1"/>
  <c r="E729" i="32" s="1"/>
  <c r="S1705" i="32" a="1"/>
  <c r="S1705" i="32" s="1"/>
  <c r="E1705" i="32" s="1"/>
  <c r="S687" i="32" a="1"/>
  <c r="S687" i="32" s="1"/>
  <c r="E687" i="32" s="1"/>
  <c r="T679" i="32" a="1"/>
  <c r="T679" i="32" s="1"/>
  <c r="S709" i="32" a="1"/>
  <c r="S709" i="32" s="1"/>
  <c r="E709" i="32" s="1"/>
  <c r="S1775" i="32" a="1"/>
  <c r="S1775" i="32" s="1"/>
  <c r="E1775" i="32" s="1"/>
  <c r="S727" i="32" a="1"/>
  <c r="S727" i="32" s="1"/>
  <c r="E727" i="32" s="1"/>
  <c r="T745" i="32" a="1"/>
  <c r="T745" i="32" s="1"/>
  <c r="R743" i="32" a="1"/>
  <c r="R743" i="32" s="1"/>
  <c r="D743" i="32" s="1"/>
  <c r="T721" i="32" a="1"/>
  <c r="T721" i="32" s="1"/>
  <c r="S1753" i="32" a="1"/>
  <c r="S1753" i="32" s="1"/>
  <c r="E1753" i="32" s="1"/>
  <c r="R1779" i="32" a="1"/>
  <c r="R1779" i="32" s="1"/>
  <c r="D1779" i="32" s="1"/>
  <c r="T753" i="32" a="1"/>
  <c r="T753" i="32" s="1"/>
  <c r="T675" i="32" a="1"/>
  <c r="T675" i="32" s="1"/>
  <c r="S681" i="32" a="1"/>
  <c r="S681" i="32" s="1"/>
  <c r="E681" i="32" s="1"/>
  <c r="S711" i="32" a="1"/>
  <c r="S711" i="32" s="1"/>
  <c r="E711" i="32" s="1"/>
  <c r="R1743" i="32" a="1"/>
  <c r="R1743" i="32" s="1"/>
  <c r="D1743" i="32" s="1"/>
  <c r="T1751" i="32" a="1"/>
  <c r="T1751" i="32" s="1"/>
  <c r="V693" i="32" a="1"/>
  <c r="V693" i="32" s="1"/>
  <c r="L693" i="32" s="1"/>
  <c r="V705" i="32" a="1"/>
  <c r="V705" i="32" s="1"/>
  <c r="L705" i="32" s="1"/>
  <c r="V1749" i="32" a="1"/>
  <c r="V1749" i="32" s="1"/>
  <c r="L1749" i="32" s="1"/>
  <c r="V1713" i="32" a="1"/>
  <c r="V1713" i="32" s="1"/>
  <c r="L1713" i="32" s="1"/>
  <c r="T1741" i="32" a="1"/>
  <c r="T1741" i="32" s="1"/>
  <c r="R1715" i="32" a="1"/>
  <c r="R1715" i="32" s="1"/>
  <c r="D1715" i="32" s="1"/>
  <c r="R1727" i="32" a="1"/>
  <c r="R1727" i="32" s="1"/>
  <c r="D1727" i="32" s="1"/>
  <c r="R687" i="32" a="1"/>
  <c r="R687" i="32" s="1"/>
  <c r="D687" i="32" s="1"/>
  <c r="S679" i="32" a="1"/>
  <c r="S679" i="32" s="1"/>
  <c r="E679" i="32" s="1"/>
  <c r="T709" i="32" a="1"/>
  <c r="T709" i="32" s="1"/>
  <c r="R1721" i="32" a="1"/>
  <c r="R1721" i="32" s="1"/>
  <c r="D1721" i="32" s="1"/>
  <c r="T1717" i="32" a="1"/>
  <c r="T1717" i="32" s="1"/>
  <c r="S745" i="32" a="1"/>
  <c r="S745" i="32" s="1"/>
  <c r="E745" i="32" s="1"/>
  <c r="S743" i="32" a="1"/>
  <c r="S743" i="32" s="1"/>
  <c r="E743" i="32" s="1"/>
  <c r="T1753" i="32" a="1"/>
  <c r="T1753" i="32" s="1"/>
  <c r="S1779" i="32" a="1"/>
  <c r="S1779" i="32" s="1"/>
  <c r="E1779" i="32" s="1"/>
  <c r="R695" i="32" a="1"/>
  <c r="R695" i="32" s="1"/>
  <c r="D695" i="32" s="1"/>
  <c r="S1723" i="32" a="1"/>
  <c r="S1723" i="32" s="1"/>
  <c r="E1723" i="32" s="1"/>
  <c r="R755" i="32" a="1"/>
  <c r="R755" i="32" s="1"/>
  <c r="D755" i="32" s="1"/>
  <c r="R1771" i="32" a="1"/>
  <c r="R1771" i="32" s="1"/>
  <c r="D1771" i="32" s="1"/>
  <c r="R677" i="32" a="1"/>
  <c r="R677" i="32" s="1"/>
  <c r="D677" i="32" s="1"/>
  <c r="T731" i="32" a="1"/>
  <c r="T731" i="32" s="1"/>
  <c r="R1749" i="32" a="1"/>
  <c r="R1749" i="32" s="1"/>
  <c r="D1749" i="32" s="1"/>
  <c r="S1743" i="32" a="1"/>
  <c r="S1743" i="32" s="1"/>
  <c r="E1743" i="32" s="1"/>
  <c r="R1751" i="32" a="1"/>
  <c r="R1751" i="32" s="1"/>
  <c r="D1751" i="32" s="1"/>
  <c r="V1711" i="32" a="1"/>
  <c r="V1711" i="32" s="1"/>
  <c r="L1711" i="32" s="1"/>
  <c r="V733" i="32" a="1"/>
  <c r="V733" i="32" s="1"/>
  <c r="L733" i="32" s="1"/>
  <c r="V1723" i="32" a="1"/>
  <c r="V1723" i="32" s="1"/>
  <c r="L1723" i="32" s="1"/>
  <c r="V1743" i="32" a="1"/>
  <c r="V1743" i="32" s="1"/>
  <c r="L1743" i="32" s="1"/>
  <c r="V711" i="32" a="1"/>
  <c r="V711" i="32" s="1"/>
  <c r="L711" i="32" s="1"/>
  <c r="V1715" i="32" a="1"/>
  <c r="V1715" i="32" s="1"/>
  <c r="L1715" i="32" s="1"/>
  <c r="V1701" i="32" a="1"/>
  <c r="V1701" i="32" s="1"/>
  <c r="L1701" i="32" s="1"/>
  <c r="V1747" i="32" a="1"/>
  <c r="V1747" i="32" s="1"/>
  <c r="L1747" i="32" s="1"/>
  <c r="V701" i="32" a="1"/>
  <c r="V701" i="32" s="1"/>
  <c r="L701" i="32" s="1"/>
  <c r="V753" i="32" a="1"/>
  <c r="V753" i="32" s="1"/>
  <c r="L753" i="32" s="1"/>
  <c r="V1709" i="32" a="1"/>
  <c r="V1709" i="32" s="1"/>
  <c r="L1709" i="32" s="1"/>
  <c r="V1735" i="32" a="1"/>
  <c r="V1735" i="32" s="1"/>
  <c r="L1735" i="32" s="1"/>
  <c r="V737" i="32" a="1"/>
  <c r="V737" i="32" s="1"/>
  <c r="L737" i="32" s="1"/>
  <c r="V697" i="32" a="1"/>
  <c r="V697" i="32" s="1"/>
  <c r="L697" i="32" s="1"/>
  <c r="R1741" i="32" a="1"/>
  <c r="R1741" i="32" s="1"/>
  <c r="D1741" i="32" s="1"/>
  <c r="S1715" i="32" a="1"/>
  <c r="S1715" i="32" s="1"/>
  <c r="E1715" i="32" s="1"/>
  <c r="S1727" i="32" a="1"/>
  <c r="S1727" i="32" s="1"/>
  <c r="E1727" i="32" s="1"/>
  <c r="T687" i="32" a="1"/>
  <c r="T687" i="32" s="1"/>
  <c r="R679" i="32" a="1"/>
  <c r="R679" i="32" s="1"/>
  <c r="D679" i="32" s="1"/>
  <c r="R709" i="32" a="1"/>
  <c r="R709" i="32" s="1"/>
  <c r="D709" i="32" s="1"/>
  <c r="S1721" i="32" a="1"/>
  <c r="S1721" i="32" s="1"/>
  <c r="E1721" i="32" s="1"/>
  <c r="S1717" i="32" a="1"/>
  <c r="S1717" i="32" s="1"/>
  <c r="E1717" i="32" s="1"/>
  <c r="R1733" i="32" a="1"/>
  <c r="R1733" i="32" s="1"/>
  <c r="D1733" i="32" s="1"/>
  <c r="S1755" i="32" a="1"/>
  <c r="S1755" i="32" s="1"/>
  <c r="E1755" i="32" s="1"/>
  <c r="R691" i="32" a="1"/>
  <c r="R691" i="32" s="1"/>
  <c r="D691" i="32" s="1"/>
  <c r="R723" i="32" a="1"/>
  <c r="R723" i="32" s="1"/>
  <c r="D723" i="32" s="1"/>
  <c r="T743" i="32" a="1"/>
  <c r="T743" i="32" s="1"/>
  <c r="T715" i="32" a="1"/>
  <c r="T715" i="32" s="1"/>
  <c r="S1707" i="32" a="1"/>
  <c r="S1707" i="32" s="1"/>
  <c r="E1707" i="32" s="1"/>
  <c r="T695" i="32" a="1"/>
  <c r="T695" i="32" s="1"/>
  <c r="T1723" i="32" a="1"/>
  <c r="T1723" i="32" s="1"/>
  <c r="S755" i="32" a="1"/>
  <c r="S755" i="32" s="1"/>
  <c r="E755" i="32" s="1"/>
  <c r="T1771" i="32" a="1"/>
  <c r="T1771" i="32" s="1"/>
  <c r="T677" i="32" a="1"/>
  <c r="T677" i="32" s="1"/>
  <c r="R731" i="32" a="1"/>
  <c r="R731" i="32" s="1"/>
  <c r="D731" i="32" s="1"/>
  <c r="S1749" i="32" a="1"/>
  <c r="S1749" i="32" s="1"/>
  <c r="E1749" i="32" s="1"/>
  <c r="V729" i="32" a="1"/>
  <c r="V729" i="32" s="1"/>
  <c r="L729" i="32" s="1"/>
  <c r="V681" i="32" a="1"/>
  <c r="V681" i="32" s="1"/>
  <c r="L681" i="32" s="1"/>
  <c r="V663" i="32" a="1"/>
  <c r="V663" i="32" s="1"/>
  <c r="L663" i="32" s="1"/>
  <c r="V761" i="32" a="1"/>
  <c r="V761" i="32" s="1"/>
  <c r="L761" i="32" s="1"/>
  <c r="V715" i="32" a="1"/>
  <c r="V715" i="32" s="1"/>
  <c r="L715" i="32" s="1"/>
  <c r="V677" i="32" a="1"/>
  <c r="V677" i="32" s="1"/>
  <c r="L677" i="32" s="1"/>
  <c r="V1741" i="32" a="1"/>
  <c r="V1741" i="32" s="1"/>
  <c r="L1741" i="32" s="1"/>
  <c r="S1741" i="32" a="1"/>
  <c r="S1741" i="32" s="1"/>
  <c r="E1741" i="32" s="1"/>
  <c r="T1715" i="32" a="1"/>
  <c r="T1715" i="32" s="1"/>
  <c r="T1727" i="32" a="1"/>
  <c r="T1727" i="32" s="1"/>
  <c r="T1721" i="32" a="1"/>
  <c r="T1721" i="32" s="1"/>
  <c r="R1717" i="32" a="1"/>
  <c r="R1717" i="32" s="1"/>
  <c r="D1717" i="32" s="1"/>
  <c r="S1733" i="32" a="1"/>
  <c r="S1733" i="32" s="1"/>
  <c r="E1733" i="32" s="1"/>
  <c r="T1755" i="32" a="1"/>
  <c r="T1755" i="32" s="1"/>
  <c r="T691" i="32" a="1"/>
  <c r="T691" i="32" s="1"/>
  <c r="S723" i="32" a="1"/>
  <c r="S723" i="32" s="1"/>
  <c r="E723" i="32" s="1"/>
  <c r="R715" i="32" a="1"/>
  <c r="R715" i="32" s="1"/>
  <c r="D715" i="32" s="1"/>
  <c r="R1707" i="32" a="1"/>
  <c r="R1707" i="32" s="1"/>
  <c r="D1707" i="32" s="1"/>
  <c r="S695" i="32" a="1"/>
  <c r="S695" i="32" s="1"/>
  <c r="E695" i="32" s="1"/>
  <c r="R1723" i="32" a="1"/>
  <c r="R1723" i="32" s="1"/>
  <c r="D1723" i="32" s="1"/>
  <c r="T755" i="32" a="1"/>
  <c r="T755" i="32" s="1"/>
  <c r="S1771" i="32" a="1"/>
  <c r="S1771" i="32" s="1"/>
  <c r="E1771" i="32" s="1"/>
  <c r="S677" i="32" a="1"/>
  <c r="S677" i="32" s="1"/>
  <c r="E677" i="32" s="1"/>
  <c r="S731" i="32" a="1"/>
  <c r="S731" i="32" s="1"/>
  <c r="E731" i="32" s="1"/>
  <c r="T1749" i="32" a="1"/>
  <c r="T1749" i="32" s="1"/>
  <c r="T683" i="32" a="1"/>
  <c r="T683" i="32" s="1"/>
  <c r="V741" i="32" a="1"/>
  <c r="V741" i="32" s="1"/>
  <c r="L741" i="32" s="1"/>
  <c r="V743" i="32" a="1"/>
  <c r="V743" i="32" s="1"/>
  <c r="L743" i="32" s="1"/>
  <c r="V683" i="32" a="1"/>
  <c r="V683" i="32" s="1"/>
  <c r="L683" i="32" s="1"/>
  <c r="V723" i="32" a="1"/>
  <c r="V723" i="32" s="1"/>
  <c r="L723" i="32" s="1"/>
  <c r="V725" i="32" a="1"/>
  <c r="V725" i="32" s="1"/>
  <c r="L725" i="32" s="1"/>
  <c r="V709" i="32" a="1"/>
  <c r="V709" i="32" s="1"/>
  <c r="L709" i="32" s="1"/>
  <c r="V1739" i="32" a="1"/>
  <c r="V1739" i="32" s="1"/>
  <c r="L1739" i="32" s="1"/>
  <c r="V1705" i="32" a="1"/>
  <c r="V1705" i="32" s="1"/>
  <c r="L1705" i="32" s="1"/>
  <c r="V675" i="32" a="1"/>
  <c r="V675" i="32" s="1"/>
  <c r="L675" i="32" s="1"/>
  <c r="S1711" i="32" a="1"/>
  <c r="S1711" i="32" s="1"/>
  <c r="E1711" i="32" s="1"/>
  <c r="T1735" i="32" a="1"/>
  <c r="T1735" i="32" s="1"/>
  <c r="R713" i="32" a="1"/>
  <c r="R713" i="32" s="1"/>
  <c r="D713" i="32" s="1"/>
  <c r="T1733" i="32" a="1"/>
  <c r="T1733" i="32" s="1"/>
  <c r="R1755" i="32" a="1"/>
  <c r="R1755" i="32" s="1"/>
  <c r="D1755" i="32" s="1"/>
  <c r="S691" i="32" a="1"/>
  <c r="S691" i="32" s="1"/>
  <c r="E691" i="32" s="1"/>
  <c r="T723" i="32" a="1"/>
  <c r="T723" i="32" s="1"/>
  <c r="R733" i="32" a="1"/>
  <c r="R733" i="32" s="1"/>
  <c r="D733" i="32" s="1"/>
  <c r="S715" i="32" a="1"/>
  <c r="S715" i="32" s="1"/>
  <c r="E715" i="32" s="1"/>
  <c r="T1707" i="32" a="1"/>
  <c r="T1707" i="32" s="1"/>
  <c r="T1773" i="32" a="1"/>
  <c r="T1773" i="32" s="1"/>
  <c r="S1747" i="32" a="1"/>
  <c r="S1747" i="32" s="1"/>
  <c r="E1747" i="32" s="1"/>
  <c r="S757" i="32" a="1"/>
  <c r="S757" i="32" s="1"/>
  <c r="E757" i="32" s="1"/>
  <c r="S1761" i="32" a="1"/>
  <c r="S1761" i="32" s="1"/>
  <c r="E1761" i="32" s="1"/>
  <c r="R749" i="32" a="1"/>
  <c r="R749" i="32" s="1"/>
  <c r="D749" i="32" s="1"/>
  <c r="R683" i="32" a="1"/>
  <c r="R683" i="32" s="1"/>
  <c r="D683" i="32" s="1"/>
  <c r="V1725" i="32" a="1"/>
  <c r="V1725" i="32" s="1"/>
  <c r="L1725" i="32" s="1"/>
  <c r="V739" i="32" a="1"/>
  <c r="V739" i="32" s="1"/>
  <c r="L739" i="32" s="1"/>
  <c r="V731" i="32" a="1"/>
  <c r="V731" i="32" s="1"/>
  <c r="L731" i="32" s="1"/>
  <c r="V1773" i="32" a="1"/>
  <c r="V1773" i="32" s="1"/>
  <c r="L1773" i="32" s="1"/>
  <c r="V1779" i="32" a="1"/>
  <c r="V1779" i="32" s="1"/>
  <c r="L1779" i="32" s="1"/>
  <c r="V745" i="32" a="1"/>
  <c r="V745" i="32" s="1"/>
  <c r="L745" i="32" s="1"/>
  <c r="V669" i="32" a="1"/>
  <c r="V669" i="32" s="1"/>
  <c r="L669" i="32" s="1"/>
  <c r="V1769" i="32" a="1"/>
  <c r="V1769" i="32" s="1"/>
  <c r="L1769" i="32" s="1"/>
  <c r="T1711" i="32" a="1"/>
  <c r="T1711" i="32" s="1"/>
  <c r="S1735" i="32" a="1"/>
  <c r="S1735" i="32" s="1"/>
  <c r="E1735" i="32" s="1"/>
  <c r="T713" i="32" a="1"/>
  <c r="T713" i="32" s="1"/>
  <c r="S703" i="32" a="1"/>
  <c r="S703" i="32" s="1"/>
  <c r="E703" i="32" s="1"/>
  <c r="T1777" i="32" a="1"/>
  <c r="T1777" i="32" s="1"/>
  <c r="T747" i="32" a="1"/>
  <c r="T747" i="32" s="1"/>
  <c r="S1725" i="32" a="1"/>
  <c r="S1725" i="32" s="1"/>
  <c r="E1725" i="32" s="1"/>
  <c r="T733" i="32" a="1"/>
  <c r="T733" i="32" s="1"/>
  <c r="S737" i="32" a="1"/>
  <c r="S737" i="32" s="1"/>
  <c r="E737" i="32" s="1"/>
  <c r="R1713" i="32" a="1"/>
  <c r="R1713" i="32" s="1"/>
  <c r="D1713" i="32" s="1"/>
  <c r="R1773" i="32" a="1"/>
  <c r="R1773" i="32" s="1"/>
  <c r="D1773" i="32" s="1"/>
  <c r="T1747" i="32" a="1"/>
  <c r="T1747" i="32" s="1"/>
  <c r="R757" i="32" a="1"/>
  <c r="R757" i="32" s="1"/>
  <c r="D757" i="32" s="1"/>
  <c r="T1761" i="32" a="1"/>
  <c r="T1761" i="32" s="1"/>
  <c r="T749" i="32" a="1"/>
  <c r="T749" i="32" s="1"/>
  <c r="S683" i="32" a="1"/>
  <c r="S683" i="32" s="1"/>
  <c r="E683" i="32" s="1"/>
  <c r="R693" i="32" a="1"/>
  <c r="R693" i="32" s="1"/>
  <c r="D693" i="32" s="1"/>
  <c r="R1701" i="32" a="1"/>
  <c r="R1701" i="32" s="1"/>
  <c r="D1701" i="32" s="1"/>
  <c r="V719" i="32" a="1"/>
  <c r="V719" i="32" s="1"/>
  <c r="L719" i="32" s="1"/>
  <c r="V721" i="32" a="1"/>
  <c r="V721" i="32" s="1"/>
  <c r="L721" i="32" s="1"/>
  <c r="V699" i="32" a="1"/>
  <c r="V699" i="32" s="1"/>
  <c r="L699" i="32" s="1"/>
  <c r="V1745" i="32" a="1"/>
  <c r="V1745" i="32" s="1"/>
  <c r="L1745" i="32" s="1"/>
  <c r="V661" i="32" a="1"/>
  <c r="V661" i="32" s="1"/>
  <c r="L661" i="32" s="1"/>
  <c r="R1711" i="32" a="1"/>
  <c r="R1711" i="32" s="1"/>
  <c r="D1711" i="32" s="1"/>
  <c r="R1735" i="32" a="1"/>
  <c r="R1735" i="32" s="1"/>
  <c r="D1735" i="32" s="1"/>
  <c r="S705" i="32" a="1"/>
  <c r="S705" i="32" s="1"/>
  <c r="E705" i="32" s="1"/>
  <c r="S713" i="32" a="1"/>
  <c r="S713" i="32" s="1"/>
  <c r="E713" i="32" s="1"/>
  <c r="T703" i="32" a="1"/>
  <c r="T703" i="32" s="1"/>
  <c r="R1777" i="32" a="1"/>
  <c r="R1777" i="32" s="1"/>
  <c r="D1777" i="32" s="1"/>
  <c r="R747" i="32" a="1"/>
  <c r="R747" i="32" s="1"/>
  <c r="D747" i="32" s="1"/>
  <c r="T1725" i="32" a="1"/>
  <c r="T1725" i="32" s="1"/>
  <c r="R739" i="32" a="1"/>
  <c r="R739" i="32" s="1"/>
  <c r="D739" i="32" s="1"/>
  <c r="S733" i="32" a="1"/>
  <c r="S733" i="32" s="1"/>
  <c r="E733" i="32" s="1"/>
  <c r="T737" i="32" a="1"/>
  <c r="T737" i="32" s="1"/>
  <c r="S1713" i="32" a="1"/>
  <c r="S1713" i="32" s="1"/>
  <c r="E1713" i="32" s="1"/>
  <c r="S1773" i="32" a="1"/>
  <c r="S1773" i="32" s="1"/>
  <c r="E1773" i="32" s="1"/>
  <c r="R1747" i="32" a="1"/>
  <c r="R1747" i="32" s="1"/>
  <c r="D1747" i="32" s="1"/>
  <c r="T757" i="32" a="1"/>
  <c r="T757" i="32" s="1"/>
  <c r="R1761" i="32" a="1"/>
  <c r="R1761" i="32" s="1"/>
  <c r="D1761" i="32" s="1"/>
  <c r="S749" i="32" a="1"/>
  <c r="S749" i="32" s="1"/>
  <c r="E749" i="32" s="1"/>
  <c r="T699" i="32" a="1"/>
  <c r="T699" i="32" s="1"/>
  <c r="S735" i="32" a="1"/>
  <c r="S735" i="32" s="1"/>
  <c r="E735" i="32" s="1"/>
  <c r="V1733" i="32" a="1"/>
  <c r="V1733" i="32" s="1"/>
  <c r="L1733" i="32" s="1"/>
  <c r="V755" i="32" a="1"/>
  <c r="V755" i="32" s="1"/>
  <c r="L755" i="32" s="1"/>
  <c r="V1719" i="32" a="1"/>
  <c r="V1719" i="32" s="1"/>
  <c r="L1719" i="32" s="1"/>
  <c r="V735" i="32" a="1"/>
  <c r="V735" i="32" s="1"/>
  <c r="L735" i="32" s="1"/>
  <c r="V747" i="32" a="1"/>
  <c r="V747" i="32" s="1"/>
  <c r="L747" i="32" s="1"/>
  <c r="V717" i="32" a="1"/>
  <c r="V717" i="32" s="1"/>
  <c r="L717" i="32" s="1"/>
  <c r="V1751" i="32" a="1"/>
  <c r="V1751" i="32" s="1"/>
  <c r="L1751" i="32" s="1"/>
  <c r="V687" i="32" a="1"/>
  <c r="V687" i="32" s="1"/>
  <c r="L687" i="32" s="1"/>
  <c r="T1729" i="32" a="1"/>
  <c r="T1729" i="32" s="1"/>
  <c r="S751" i="32" a="1"/>
  <c r="S751" i="32" s="1"/>
  <c r="E751" i="32" s="1"/>
  <c r="R761" i="32" a="1"/>
  <c r="R761" i="32" s="1"/>
  <c r="D761" i="32" s="1"/>
  <c r="S671" i="32" a="1"/>
  <c r="S671" i="32" s="1"/>
  <c r="E671" i="32" s="1"/>
  <c r="T705" i="32" a="1"/>
  <c r="T705" i="32" s="1"/>
  <c r="S673" i="32" a="1"/>
  <c r="S673" i="32" s="1"/>
  <c r="E673" i="32" s="1"/>
  <c r="R703" i="32" a="1"/>
  <c r="R703" i="32" s="1"/>
  <c r="D703" i="32" s="1"/>
  <c r="S1777" i="32" a="1"/>
  <c r="S1777" i="32" s="1"/>
  <c r="E1777" i="32" s="1"/>
  <c r="S747" i="32" a="1"/>
  <c r="S747" i="32" s="1"/>
  <c r="E747" i="32" s="1"/>
  <c r="R1725" i="32" a="1"/>
  <c r="R1725" i="32" s="1"/>
  <c r="D1725" i="32" s="1"/>
  <c r="S739" i="32" a="1"/>
  <c r="S739" i="32" s="1"/>
  <c r="E739" i="32" s="1"/>
  <c r="R737" i="32" a="1"/>
  <c r="R737" i="32" s="1"/>
  <c r="D737" i="32" s="1"/>
  <c r="T1713" i="32" a="1"/>
  <c r="T1713" i="32" s="1"/>
  <c r="S1769" i="32" a="1"/>
  <c r="S1769" i="32" s="1"/>
  <c r="E1769" i="32" s="1"/>
  <c r="R699" i="32" a="1"/>
  <c r="R699" i="32" s="1"/>
  <c r="D699" i="32" s="1"/>
  <c r="T735" i="32" a="1"/>
  <c r="T735" i="32" s="1"/>
  <c r="S717" i="32" a="1"/>
  <c r="S717" i="32" s="1"/>
  <c r="E717" i="32" s="1"/>
  <c r="T669" i="32" a="1"/>
  <c r="T669" i="32" s="1"/>
  <c r="S661" i="32" a="1"/>
  <c r="S661" i="32" s="1"/>
  <c r="E661" i="32" s="1"/>
  <c r="S697" i="32" a="1"/>
  <c r="S697" i="32" s="1"/>
  <c r="E697" i="32" s="1"/>
  <c r="S667" i="32" a="1"/>
  <c r="S667" i="32" s="1"/>
  <c r="E667" i="32" s="1"/>
  <c r="S741" i="32" a="1"/>
  <c r="S741" i="32" s="1"/>
  <c r="E741" i="32" s="1"/>
  <c r="T1701" i="32" a="1"/>
  <c r="T1701" i="32" s="1"/>
  <c r="T741" i="32" a="1"/>
  <c r="T741" i="32" s="1"/>
  <c r="S725" i="32" a="1"/>
  <c r="S725" i="32" s="1"/>
  <c r="E725" i="32" s="1"/>
  <c r="R1737" i="32" a="1"/>
  <c r="R1737" i="32" s="1"/>
  <c r="D1737" i="32" s="1"/>
  <c r="S1701" i="32" a="1"/>
  <c r="S1701" i="32" s="1"/>
  <c r="E1701" i="32" s="1"/>
  <c r="R741" i="32" a="1"/>
  <c r="R741" i="32" s="1"/>
  <c r="D741" i="32" s="1"/>
  <c r="R725" i="32" a="1"/>
  <c r="R725" i="32" s="1"/>
  <c r="D725" i="32" s="1"/>
  <c r="T1767" i="32" a="1"/>
  <c r="T1767" i="32" s="1"/>
  <c r="S1763" i="32" a="1"/>
  <c r="S1763" i="32" s="1"/>
  <c r="E1763" i="32" s="1"/>
  <c r="S689" i="32" a="1"/>
  <c r="S689" i="32" s="1"/>
  <c r="E689" i="32" s="1"/>
  <c r="T1759" i="32" a="1"/>
  <c r="T1759" i="32" s="1"/>
  <c r="R1703" i="32" a="1"/>
  <c r="R1703" i="32" s="1"/>
  <c r="D1703" i="32" s="1"/>
  <c r="R1745" i="32" a="1"/>
  <c r="R1745" i="32" s="1"/>
  <c r="D1745" i="32" s="1"/>
  <c r="T1763" i="32" a="1"/>
  <c r="T1763" i="32" s="1"/>
  <c r="T689" i="32" a="1"/>
  <c r="T689" i="32" s="1"/>
  <c r="S1759" i="32" a="1"/>
  <c r="S1759" i="32" s="1"/>
  <c r="E1759" i="32" s="1"/>
  <c r="S1703" i="32" a="1"/>
  <c r="S1703" i="32" s="1"/>
  <c r="E1703" i="32" s="1"/>
  <c r="S1745" i="32" a="1"/>
  <c r="S1745" i="32" s="1"/>
  <c r="E1745" i="32" s="1"/>
  <c r="T725" i="32" a="1"/>
  <c r="T725" i="32" s="1"/>
  <c r="T693" i="32" a="1"/>
  <c r="T693" i="32" s="1"/>
  <c r="R1763" i="32" a="1"/>
  <c r="R1763" i="32" s="1"/>
  <c r="D1763" i="32" s="1"/>
  <c r="R689" i="32" a="1"/>
  <c r="R689" i="32" s="1"/>
  <c r="D689" i="32" s="1"/>
  <c r="R1759" i="32" a="1"/>
  <c r="R1759" i="32" s="1"/>
  <c r="D1759" i="32" s="1"/>
  <c r="T1703" i="32" a="1"/>
  <c r="T1703" i="32" s="1"/>
  <c r="T1745" i="32" a="1"/>
  <c r="T1745" i="32" s="1"/>
  <c r="S693" i="32" a="1"/>
  <c r="S693" i="32" s="1"/>
  <c r="E693" i="32" s="1"/>
  <c r="S665" i="32" a="1"/>
  <c r="S665" i="32" s="1"/>
  <c r="E665" i="32" s="1"/>
  <c r="T1737" i="32" a="1"/>
  <c r="T1737" i="32" s="1"/>
  <c r="T665" i="32" a="1"/>
  <c r="T665" i="32" s="1"/>
  <c r="R1739" i="32" a="1"/>
  <c r="R1739" i="32" s="1"/>
  <c r="D1739" i="32" s="1"/>
  <c r="S1751" i="32" a="1"/>
  <c r="S1751" i="32" s="1"/>
  <c r="E1751" i="32" s="1"/>
  <c r="R665" i="32" a="1"/>
  <c r="R665" i="32" s="1"/>
  <c r="D665" i="32" s="1"/>
  <c r="T1739" i="32" a="1"/>
  <c r="T1739" i="32" s="1"/>
  <c r="S1737" i="32" a="1"/>
  <c r="S1737" i="32" s="1"/>
  <c r="E1737" i="32" s="1"/>
  <c r="R1731" i="32" a="1"/>
  <c r="R1731" i="32" s="1"/>
  <c r="D1731" i="32" s="1"/>
  <c r="T717" i="32" a="1"/>
  <c r="T717" i="32" s="1"/>
  <c r="R669" i="32" a="1"/>
  <c r="R669" i="32" s="1"/>
  <c r="D669" i="32" s="1"/>
  <c r="R661" i="32" a="1"/>
  <c r="R661" i="32" s="1"/>
  <c r="D661" i="32" s="1"/>
  <c r="R697" i="32" a="1"/>
  <c r="R697" i="32" s="1"/>
  <c r="D697" i="32" s="1"/>
  <c r="T667" i="32" a="1"/>
  <c r="T667" i="32" s="1"/>
  <c r="S1731" i="32" a="1"/>
  <c r="S1731" i="32" s="1"/>
  <c r="E1731" i="32" s="1"/>
  <c r="R717" i="32" a="1"/>
  <c r="R717" i="32" s="1"/>
  <c r="D717" i="32" s="1"/>
  <c r="S669" i="32" a="1"/>
  <c r="S669" i="32" s="1"/>
  <c r="E669" i="32" s="1"/>
  <c r="T661" i="32" a="1"/>
  <c r="T661" i="32" s="1"/>
  <c r="T697" i="32" a="1"/>
  <c r="T697" i="32" s="1"/>
  <c r="R667" i="32" a="1"/>
  <c r="R667" i="32" s="1"/>
  <c r="D667" i="32" s="1"/>
  <c r="T1731" i="32" a="1"/>
  <c r="T1731" i="32" s="1"/>
  <c r="V1781" i="32" a="1"/>
  <c r="V1781" i="32" s="1"/>
  <c r="L1781" i="32" s="1"/>
  <c r="T1791" i="32" a="1"/>
  <c r="T1791" i="32" s="1"/>
  <c r="T1819" i="32" a="1"/>
  <c r="T1819" i="32" s="1"/>
  <c r="T1793" i="32" a="1"/>
  <c r="T1793" i="32" s="1"/>
  <c r="S1783" i="32" a="1"/>
  <c r="S1783" i="32" s="1"/>
  <c r="E1783" i="32" s="1"/>
  <c r="S1817" i="32" a="1"/>
  <c r="S1817" i="32" s="1"/>
  <c r="E1817" i="32" s="1"/>
  <c r="V1815" i="32" a="1"/>
  <c r="V1815" i="32" s="1"/>
  <c r="L1815" i="32" s="1"/>
  <c r="V1819" i="32" a="1"/>
  <c r="V1819" i="32" s="1"/>
  <c r="L1819" i="32" s="1"/>
  <c r="S1791" i="32" a="1"/>
  <c r="S1791" i="32" s="1"/>
  <c r="E1791" i="32" s="1"/>
  <c r="R1819" i="32" a="1"/>
  <c r="R1819" i="32" s="1"/>
  <c r="D1819" i="32" s="1"/>
  <c r="R1793" i="32" a="1"/>
  <c r="R1793" i="32" s="1"/>
  <c r="D1793" i="32" s="1"/>
  <c r="R1783" i="32" a="1"/>
  <c r="R1783" i="32" s="1"/>
  <c r="D1783" i="32" s="1"/>
  <c r="T1817" i="32" a="1"/>
  <c r="T1817" i="32" s="1"/>
  <c r="V1803" i="32" a="1"/>
  <c r="V1803" i="32" s="1"/>
  <c r="L1803" i="32" s="1"/>
  <c r="V1817" i="32" a="1"/>
  <c r="V1817" i="32" s="1"/>
  <c r="L1817" i="32" s="1"/>
  <c r="R1791" i="32" a="1"/>
  <c r="R1791" i="32" s="1"/>
  <c r="D1791" i="32" s="1"/>
  <c r="S1819" i="32" a="1"/>
  <c r="S1819" i="32" s="1"/>
  <c r="E1819" i="32" s="1"/>
  <c r="S1793" i="32" a="1"/>
  <c r="S1793" i="32" s="1"/>
  <c r="E1793" i="32" s="1"/>
  <c r="T1783" i="32" a="1"/>
  <c r="T1783" i="32" s="1"/>
  <c r="S1805" i="32" a="1"/>
  <c r="S1805" i="32" s="1"/>
  <c r="E1805" i="32" s="1"/>
  <c r="V1805" i="32" a="1"/>
  <c r="V1805" i="32" s="1"/>
  <c r="L1805" i="32" s="1"/>
  <c r="T1781" i="32" a="1"/>
  <c r="T1781" i="32" s="1"/>
  <c r="S1785" i="32" a="1"/>
  <c r="S1785" i="32" s="1"/>
  <c r="E1785" i="32" s="1"/>
  <c r="T1805" i="32" a="1"/>
  <c r="T1805" i="32" s="1"/>
  <c r="V1793" i="32" a="1"/>
  <c r="V1793" i="32" s="1"/>
  <c r="L1793" i="32" s="1"/>
  <c r="V1787" i="32" a="1"/>
  <c r="V1787" i="32" s="1"/>
  <c r="L1787" i="32" s="1"/>
  <c r="R1781" i="32" a="1"/>
  <c r="R1781" i="32" s="1"/>
  <c r="D1781" i="32" s="1"/>
  <c r="R1785" i="32" a="1"/>
  <c r="R1785" i="32" s="1"/>
  <c r="D1785" i="32" s="1"/>
  <c r="R1805" i="32" a="1"/>
  <c r="R1805" i="32" s="1"/>
  <c r="D1805" i="32" s="1"/>
  <c r="V1791" i="32" a="1"/>
  <c r="V1791" i="32" s="1"/>
  <c r="L1791" i="32" s="1"/>
  <c r="V1799" i="32" a="1"/>
  <c r="V1799" i="32" s="1"/>
  <c r="L1799" i="32" s="1"/>
  <c r="S1781" i="32" a="1"/>
  <c r="S1781" i="32" s="1"/>
  <c r="E1781" i="32" s="1"/>
  <c r="T1785" i="32" a="1"/>
  <c r="T1785" i="32" s="1"/>
  <c r="T1809" i="32" a="1"/>
  <c r="T1809" i="32" s="1"/>
  <c r="R1807" i="32" a="1"/>
  <c r="R1807" i="32" s="1"/>
  <c r="D1807" i="32" s="1"/>
  <c r="V1785" i="32" a="1"/>
  <c r="V1785" i="32" s="1"/>
  <c r="L1785" i="32" s="1"/>
  <c r="V1809" i="32" a="1"/>
  <c r="V1809" i="32" s="1"/>
  <c r="L1809" i="32" s="1"/>
  <c r="R1803" i="32" a="1"/>
  <c r="R1803" i="32" s="1"/>
  <c r="D1803" i="32" s="1"/>
  <c r="S1811" i="32" a="1"/>
  <c r="S1811" i="32" s="1"/>
  <c r="E1811" i="32" s="1"/>
  <c r="R1799" i="32" a="1"/>
  <c r="R1799" i="32" s="1"/>
  <c r="D1799" i="32" s="1"/>
  <c r="T1789" i="32" a="1"/>
  <c r="T1789" i="32" s="1"/>
  <c r="R1809" i="32" a="1"/>
  <c r="R1809" i="32" s="1"/>
  <c r="D1809" i="32" s="1"/>
  <c r="S1807" i="32" a="1"/>
  <c r="S1807" i="32" s="1"/>
  <c r="E1807" i="32" s="1"/>
  <c r="V1789" i="32" a="1"/>
  <c r="V1789" i="32" s="1"/>
  <c r="L1789" i="32" s="1"/>
  <c r="V1811" i="32" a="1"/>
  <c r="V1811" i="32" s="1"/>
  <c r="L1811" i="32" s="1"/>
  <c r="T1803" i="32" a="1"/>
  <c r="T1803" i="32" s="1"/>
  <c r="T1811" i="32" a="1"/>
  <c r="T1811" i="32" s="1"/>
  <c r="T1799" i="32" a="1"/>
  <c r="T1799" i="32" s="1"/>
  <c r="S1789" i="32" a="1"/>
  <c r="S1789" i="32" s="1"/>
  <c r="E1789" i="32" s="1"/>
  <c r="S1809" i="32" a="1"/>
  <c r="S1809" i="32" s="1"/>
  <c r="E1809" i="32" s="1"/>
  <c r="T1807" i="32" a="1"/>
  <c r="T1807" i="32" s="1"/>
  <c r="V1813" i="32" a="1"/>
  <c r="V1813" i="32" s="1"/>
  <c r="L1813" i="32" s="1"/>
  <c r="S1803" i="32" a="1"/>
  <c r="S1803" i="32" s="1"/>
  <c r="E1803" i="32" s="1"/>
  <c r="R1811" i="32" a="1"/>
  <c r="R1811" i="32" s="1"/>
  <c r="D1811" i="32" s="1"/>
  <c r="S1799" i="32" a="1"/>
  <c r="S1799" i="32" s="1"/>
  <c r="E1799" i="32" s="1"/>
  <c r="R1789" i="32" a="1"/>
  <c r="R1789" i="32" s="1"/>
  <c r="D1789" i="32" s="1"/>
  <c r="S1797" i="32" a="1"/>
  <c r="S1797" i="32" s="1"/>
  <c r="E1797" i="32" s="1"/>
  <c r="T1787" i="32" a="1"/>
  <c r="T1787" i="32" s="1"/>
  <c r="V1795" i="32" a="1"/>
  <c r="V1795" i="32" s="1"/>
  <c r="L1795" i="32" s="1"/>
  <c r="T1795" i="32" a="1"/>
  <c r="T1795" i="32" s="1"/>
  <c r="S1815" i="32" a="1"/>
  <c r="S1815" i="32" s="1"/>
  <c r="E1815" i="32" s="1"/>
  <c r="S1801" i="32" a="1"/>
  <c r="S1801" i="32" s="1"/>
  <c r="E1801" i="32" s="1"/>
  <c r="S1813" i="32" a="1"/>
  <c r="S1813" i="32" s="1"/>
  <c r="E1813" i="32" s="1"/>
  <c r="T1797" i="32" a="1"/>
  <c r="T1797" i="32" s="1"/>
  <c r="R1787" i="32" a="1"/>
  <c r="R1787" i="32" s="1"/>
  <c r="D1787" i="32" s="1"/>
  <c r="V1807" i="32" a="1"/>
  <c r="V1807" i="32" s="1"/>
  <c r="L1807" i="32" s="1"/>
  <c r="V1783" i="32" a="1"/>
  <c r="V1783" i="32" s="1"/>
  <c r="L1783" i="32" s="1"/>
  <c r="R1795" i="32" a="1"/>
  <c r="R1795" i="32" s="1"/>
  <c r="D1795" i="32" s="1"/>
  <c r="R1815" i="32" a="1"/>
  <c r="R1815" i="32" s="1"/>
  <c r="D1815" i="32" s="1"/>
  <c r="R1801" i="32" a="1"/>
  <c r="R1801" i="32" s="1"/>
  <c r="D1801" i="32" s="1"/>
  <c r="R1813" i="32" a="1"/>
  <c r="R1813" i="32" s="1"/>
  <c r="D1813" i="32" s="1"/>
  <c r="R1797" i="32" a="1"/>
  <c r="R1797" i="32" s="1"/>
  <c r="D1797" i="32" s="1"/>
  <c r="S1787" i="32" a="1"/>
  <c r="S1787" i="32" s="1"/>
  <c r="E1787" i="32" s="1"/>
  <c r="V1801" i="32" a="1"/>
  <c r="V1801" i="32" s="1"/>
  <c r="L1801" i="32" s="1"/>
  <c r="V1797" i="32" a="1"/>
  <c r="V1797" i="32" s="1"/>
  <c r="L1797" i="32" s="1"/>
  <c r="S1795" i="32" a="1"/>
  <c r="S1795" i="32" s="1"/>
  <c r="E1795" i="32" s="1"/>
  <c r="T1815" i="32" a="1"/>
  <c r="T1815" i="32" s="1"/>
  <c r="T1801" i="32" a="1"/>
  <c r="T1801" i="32" s="1"/>
  <c r="T1813" i="32" a="1"/>
  <c r="T1813" i="32" s="1"/>
  <c r="R1817" i="32" a="1"/>
  <c r="R1817" i="32" s="1"/>
  <c r="D1817" i="32" s="1"/>
  <c r="V637" i="32" a="1"/>
  <c r="V637" i="32" s="1"/>
  <c r="L637" i="32" s="1"/>
  <c r="V645" i="32" a="1"/>
  <c r="V645" i="32" s="1"/>
  <c r="L645" i="32" s="1"/>
  <c r="S629" i="32" a="1"/>
  <c r="S629" i="32" s="1"/>
  <c r="E629" i="32" s="1"/>
  <c r="R621" i="32" a="1"/>
  <c r="R621" i="32" s="1"/>
  <c r="D621" i="32" s="1"/>
  <c r="T657" i="32" a="1"/>
  <c r="T657" i="32" s="1"/>
  <c r="T649" i="32" a="1"/>
  <c r="T649" i="32" s="1"/>
  <c r="R659" i="32" a="1"/>
  <c r="R659" i="32" s="1"/>
  <c r="D659" i="32" s="1"/>
  <c r="T641" i="32" a="1"/>
  <c r="T641" i="32" s="1"/>
  <c r="S623" i="32" a="1"/>
  <c r="S623" i="32" s="1"/>
  <c r="E623" i="32" s="1"/>
  <c r="F2013" i="27" s="1"/>
  <c r="V653" i="32" a="1"/>
  <c r="V653" i="32" s="1"/>
  <c r="L653" i="32" s="1"/>
  <c r="V647" i="32" a="1"/>
  <c r="V647" i="32" s="1"/>
  <c r="L647" i="32" s="1"/>
  <c r="T629" i="32" a="1"/>
  <c r="T629" i="32" s="1"/>
  <c r="T621" i="32" a="1"/>
  <c r="T621" i="32" s="1"/>
  <c r="M2012" i="27" s="1"/>
  <c r="A2012" i="27" s="1"/>
  <c r="S657" i="32" a="1"/>
  <c r="S657" i="32" s="1"/>
  <c r="E657" i="32" s="1"/>
  <c r="R649" i="32" a="1"/>
  <c r="R649" i="32" s="1"/>
  <c r="D649" i="32" s="1"/>
  <c r="S659" i="32" a="1"/>
  <c r="S659" i="32" s="1"/>
  <c r="E659" i="32" s="1"/>
  <c r="T651" i="32" a="1"/>
  <c r="T651" i="32" s="1"/>
  <c r="R635" i="32" a="1"/>
  <c r="R635" i="32" s="1"/>
  <c r="D635" i="32" s="1"/>
  <c r="T659" i="32" a="1"/>
  <c r="T659" i="32" s="1"/>
  <c r="V655" i="32" a="1"/>
  <c r="V655" i="32" s="1"/>
  <c r="L655" i="32" s="1"/>
  <c r="V635" i="32" a="1"/>
  <c r="V635" i="32" s="1"/>
  <c r="L635" i="32" s="1"/>
  <c r="S647" i="32" a="1"/>
  <c r="S647" i="32" s="1"/>
  <c r="E647" i="32" s="1"/>
  <c r="S637" i="32" a="1"/>
  <c r="S637" i="32" s="1"/>
  <c r="E637" i="32" s="1"/>
  <c r="R645" i="32" a="1"/>
  <c r="R645" i="32" s="1"/>
  <c r="D645" i="32" s="1"/>
  <c r="R651" i="32" a="1"/>
  <c r="R651" i="32" s="1"/>
  <c r="D651" i="32" s="1"/>
  <c r="R641" i="32" a="1"/>
  <c r="R641" i="32" s="1"/>
  <c r="D641" i="32" s="1"/>
  <c r="S641" i="32" a="1"/>
  <c r="S641" i="32" s="1"/>
  <c r="E641" i="32" s="1"/>
  <c r="S655" i="32" a="1"/>
  <c r="S655" i="32" s="1"/>
  <c r="E655" i="32" s="1"/>
  <c r="V649" i="32" a="1"/>
  <c r="V649" i="32" s="1"/>
  <c r="L649" i="32" s="1"/>
  <c r="V623" i="32" a="1"/>
  <c r="V623" i="32" s="1"/>
  <c r="L623" i="32" s="1"/>
  <c r="T647" i="32" a="1"/>
  <c r="T647" i="32" s="1"/>
  <c r="R637" i="32" a="1"/>
  <c r="R637" i="32" s="1"/>
  <c r="D637" i="32" s="1"/>
  <c r="T645" i="32" a="1"/>
  <c r="T645" i="32" s="1"/>
  <c r="S651" i="32" a="1"/>
  <c r="S651" i="32" s="1"/>
  <c r="E651" i="32" s="1"/>
  <c r="R655" i="32" a="1"/>
  <c r="R655" i="32" s="1"/>
  <c r="D655" i="32" s="1"/>
  <c r="T639" i="32" a="1"/>
  <c r="T639" i="32" s="1"/>
  <c r="V643" i="32" a="1"/>
  <c r="V643" i="32" s="1"/>
  <c r="L643" i="32" s="1"/>
  <c r="V641" i="32" a="1"/>
  <c r="V641" i="32" s="1"/>
  <c r="L641" i="32" s="1"/>
  <c r="R647" i="32" a="1"/>
  <c r="R647" i="32" s="1"/>
  <c r="D647" i="32" s="1"/>
  <c r="T637" i="32" a="1"/>
  <c r="T637" i="32" s="1"/>
  <c r="S645" i="32" a="1"/>
  <c r="S645" i="32" s="1"/>
  <c r="E645" i="32" s="1"/>
  <c r="T655" i="32" a="1"/>
  <c r="T655" i="32" s="1"/>
  <c r="S633" i="32" a="1"/>
  <c r="S633" i="32" s="1"/>
  <c r="E633" i="32" s="1"/>
  <c r="V629" i="32" a="1"/>
  <c r="V629" i="32" s="1"/>
  <c r="L629" i="32" s="1"/>
  <c r="V639" i="32" a="1"/>
  <c r="V639" i="32" s="1"/>
  <c r="L639" i="32" s="1"/>
  <c r="S653" i="32" a="1"/>
  <c r="S653" i="32" s="1"/>
  <c r="E653" i="32" s="1"/>
  <c r="T643" i="32" a="1"/>
  <c r="T643" i="32" s="1"/>
  <c r="T623" i="32" a="1"/>
  <c r="T623" i="32" s="1"/>
  <c r="M2013" i="27" s="1"/>
  <c r="A2013" i="27" s="1"/>
  <c r="S635" i="32" a="1"/>
  <c r="S635" i="32" s="1"/>
  <c r="E635" i="32" s="1"/>
  <c r="T633" i="32" a="1"/>
  <c r="T633" i="32" s="1"/>
  <c r="V625" i="32" a="1"/>
  <c r="V625" i="32" s="1"/>
  <c r="L625" i="32" s="1"/>
  <c r="V627" i="32" a="1"/>
  <c r="V627" i="32" s="1"/>
  <c r="L627" i="32" s="1"/>
  <c r="T653" i="32" a="1"/>
  <c r="T653" i="32" s="1"/>
  <c r="R643" i="32" a="1"/>
  <c r="R643" i="32" s="1"/>
  <c r="D643" i="32" s="1"/>
  <c r="R623" i="32" a="1"/>
  <c r="R623" i="32" s="1"/>
  <c r="D623" i="32" s="1"/>
  <c r="T635" i="32" a="1"/>
  <c r="T635" i="32" s="1"/>
  <c r="R633" i="32" a="1"/>
  <c r="R633" i="32" s="1"/>
  <c r="D633" i="32" s="1"/>
  <c r="V633" i="32" a="1"/>
  <c r="V633" i="32" s="1"/>
  <c r="L633" i="32" s="1"/>
  <c r="V621" i="32" a="1"/>
  <c r="V621" i="32" s="1"/>
  <c r="L621" i="32" s="1"/>
  <c r="R653" i="32" a="1"/>
  <c r="R653" i="32" s="1"/>
  <c r="D653" i="32" s="1"/>
  <c r="S643" i="32" a="1"/>
  <c r="S643" i="32" s="1"/>
  <c r="E643" i="32" s="1"/>
  <c r="V651" i="32" a="1"/>
  <c r="V651" i="32" s="1"/>
  <c r="L651" i="32" s="1"/>
  <c r="S625" i="32" a="1"/>
  <c r="S625" i="32" s="1"/>
  <c r="E625" i="32" s="1"/>
  <c r="F2014" i="27" s="1"/>
  <c r="R631" i="32" a="1"/>
  <c r="R631" i="32" s="1"/>
  <c r="D631" i="32" s="1"/>
  <c r="R627" i="32" a="1"/>
  <c r="R627" i="32" s="1"/>
  <c r="D627" i="32" s="1"/>
  <c r="R639" i="32" a="1"/>
  <c r="R639" i="32" s="1"/>
  <c r="D639" i="32" s="1"/>
  <c r="V659" i="32" a="1"/>
  <c r="V659" i="32" s="1"/>
  <c r="L659" i="32" s="1"/>
  <c r="T625" i="32" a="1"/>
  <c r="T625" i="32" s="1"/>
  <c r="M2014" i="27" s="1"/>
  <c r="A2014" i="27" s="1"/>
  <c r="S631" i="32" a="1"/>
  <c r="S631" i="32" s="1"/>
  <c r="E631" i="32" s="1"/>
  <c r="S627" i="32" a="1"/>
  <c r="S627" i="32" s="1"/>
  <c r="E627" i="32" s="1"/>
  <c r="F2015" i="27" s="1"/>
  <c r="S639" i="32" a="1"/>
  <c r="S639" i="32" s="1"/>
  <c r="E639" i="32" s="1"/>
  <c r="V631" i="32" a="1"/>
  <c r="V631" i="32" s="1"/>
  <c r="L631" i="32" s="1"/>
  <c r="R625" i="32" a="1"/>
  <c r="R625" i="32" s="1"/>
  <c r="D625" i="32" s="1"/>
  <c r="T631" i="32" a="1"/>
  <c r="T631" i="32" s="1"/>
  <c r="T627" i="32" a="1"/>
  <c r="T627" i="32" s="1"/>
  <c r="M2015" i="27" s="1"/>
  <c r="A2015" i="27" s="1"/>
  <c r="V657" i="32" a="1"/>
  <c r="V657" i="32" s="1"/>
  <c r="L657" i="32" s="1"/>
  <c r="R629" i="32" a="1"/>
  <c r="R629" i="32" s="1"/>
  <c r="D629" i="32" s="1"/>
  <c r="S621" i="32" a="1"/>
  <c r="S621" i="32" s="1"/>
  <c r="E621" i="32" s="1"/>
  <c r="F2012" i="27" s="1"/>
  <c r="R657" i="32" a="1"/>
  <c r="R657" i="32" s="1"/>
  <c r="D657" i="32" s="1"/>
  <c r="S649" i="32" a="1"/>
  <c r="S649" i="32" s="1"/>
  <c r="E649" i="32" s="1"/>
  <c r="U841" i="32"/>
  <c r="U542" i="32"/>
  <c r="U230" i="32"/>
  <c r="V317" i="32" a="1"/>
  <c r="V317" i="32" s="1"/>
  <c r="V365" i="32" a="1"/>
  <c r="V365" i="32" s="1"/>
  <c r="V413" i="32" a="1"/>
  <c r="V413" i="32" s="1"/>
  <c r="V461" i="32" a="1"/>
  <c r="V461" i="32" s="1"/>
  <c r="V509" i="32" a="1"/>
  <c r="V509" i="32" s="1"/>
  <c r="V557" i="32" a="1"/>
  <c r="V557" i="32" s="1"/>
  <c r="V605" i="32" a="1"/>
  <c r="V605" i="32" s="1"/>
  <c r="V571" i="32" a="1"/>
  <c r="V571" i="32" s="1"/>
  <c r="V447" i="32" a="1"/>
  <c r="V447" i="32" s="1"/>
  <c r="V553" i="32" a="1"/>
  <c r="V553" i="32" s="1"/>
  <c r="V319" i="32" a="1"/>
  <c r="V319" i="32" s="1"/>
  <c r="V367" i="32" a="1"/>
  <c r="V367" i="32" s="1"/>
  <c r="V415" i="32" a="1"/>
  <c r="V415" i="32" s="1"/>
  <c r="V463" i="32" a="1"/>
  <c r="V463" i="32" s="1"/>
  <c r="V511" i="32" a="1"/>
  <c r="V511" i="32" s="1"/>
  <c r="V559" i="32" a="1"/>
  <c r="V559" i="32" s="1"/>
  <c r="V607" i="32" a="1"/>
  <c r="V607" i="32" s="1"/>
  <c r="V523" i="32" a="1"/>
  <c r="V523" i="32" s="1"/>
  <c r="V549" i="32" a="1"/>
  <c r="V549" i="32" s="1"/>
  <c r="V411" i="32" a="1"/>
  <c r="V411" i="32" s="1"/>
  <c r="V321" i="32" a="1"/>
  <c r="V321" i="32" s="1"/>
  <c r="V369" i="32" a="1"/>
  <c r="V369" i="32" s="1"/>
  <c r="V417" i="32" a="1"/>
  <c r="V417" i="32" s="1"/>
  <c r="V465" i="32" a="1"/>
  <c r="V465" i="32" s="1"/>
  <c r="V513" i="32" a="1"/>
  <c r="V513" i="32" s="1"/>
  <c r="V561" i="32" a="1"/>
  <c r="V561" i="32" s="1"/>
  <c r="V609" i="32" a="1"/>
  <c r="V609" i="32" s="1"/>
  <c r="V589" i="32" a="1"/>
  <c r="V589" i="32" s="1"/>
  <c r="V351" i="32" a="1"/>
  <c r="V351" i="32" s="1"/>
  <c r="V597" i="32" a="1"/>
  <c r="V597" i="32" s="1"/>
  <c r="V409" i="32" a="1"/>
  <c r="V409" i="32" s="1"/>
  <c r="V459" i="32" a="1"/>
  <c r="V459" i="32" s="1"/>
  <c r="V323" i="32" a="1"/>
  <c r="V323" i="32" s="1"/>
  <c r="V371" i="32" a="1"/>
  <c r="V371" i="32" s="1"/>
  <c r="V419" i="32" a="1"/>
  <c r="V419" i="32" s="1"/>
  <c r="V467" i="32" a="1"/>
  <c r="V467" i="32" s="1"/>
  <c r="V515" i="32" a="1"/>
  <c r="V515" i="32" s="1"/>
  <c r="V563" i="32" a="1"/>
  <c r="V563" i="32" s="1"/>
  <c r="V611" i="32" a="1"/>
  <c r="V611" i="32" s="1"/>
  <c r="V475" i="32" a="1"/>
  <c r="V475" i="32" s="1"/>
  <c r="V499" i="32" a="1"/>
  <c r="V499" i="32" s="1"/>
  <c r="V359" i="32" a="1"/>
  <c r="V359" i="32" s="1"/>
  <c r="V325" i="32" a="1"/>
  <c r="V325" i="32" s="1"/>
  <c r="V373" i="32" a="1"/>
  <c r="V373" i="32" s="1"/>
  <c r="V421" i="32" a="1"/>
  <c r="V421" i="32" s="1"/>
  <c r="V469" i="32" a="1"/>
  <c r="V469" i="32" s="1"/>
  <c r="V517" i="32" a="1"/>
  <c r="V517" i="32" s="1"/>
  <c r="V565" i="32" a="1"/>
  <c r="V565" i="32" s="1"/>
  <c r="V613" i="32" a="1"/>
  <c r="V613" i="32" s="1"/>
  <c r="V331" i="32" a="1"/>
  <c r="V331" i="32" s="1"/>
  <c r="V591" i="32" a="1"/>
  <c r="V591" i="32" s="1"/>
  <c r="V357" i="32" a="1"/>
  <c r="V357" i="32" s="1"/>
  <c r="V551" i="32" a="1"/>
  <c r="V551" i="32" s="1"/>
  <c r="V327" i="32" a="1"/>
  <c r="V327" i="32" s="1"/>
  <c r="V375" i="32" a="1"/>
  <c r="V375" i="32" s="1"/>
  <c r="V423" i="32" a="1"/>
  <c r="V423" i="32" s="1"/>
  <c r="V471" i="32" a="1"/>
  <c r="V471" i="32" s="1"/>
  <c r="V519" i="32" a="1"/>
  <c r="V519" i="32" s="1"/>
  <c r="V567" i="32" a="1"/>
  <c r="V567" i="32" s="1"/>
  <c r="V615" i="32" a="1"/>
  <c r="V615" i="32" s="1"/>
  <c r="V379" i="32" a="1"/>
  <c r="V379" i="32" s="1"/>
  <c r="V329" i="32" a="1"/>
  <c r="V329" i="32" s="1"/>
  <c r="V377" i="32" a="1"/>
  <c r="V377" i="32" s="1"/>
  <c r="V425" i="32" a="1"/>
  <c r="V425" i="32" s="1"/>
  <c r="V473" i="32" a="1"/>
  <c r="V473" i="32" s="1"/>
  <c r="V521" i="32" a="1"/>
  <c r="V521" i="32" s="1"/>
  <c r="V569" i="32" a="1"/>
  <c r="V569" i="32" s="1"/>
  <c r="V427" i="32" a="1"/>
  <c r="V427" i="32" s="1"/>
  <c r="V333" i="32" a="1"/>
  <c r="V333" i="32" s="1"/>
  <c r="V381" i="32" a="1"/>
  <c r="V381" i="32" s="1"/>
  <c r="V429" i="32" a="1"/>
  <c r="V429" i="32" s="1"/>
  <c r="V477" i="32" a="1"/>
  <c r="V477" i="32" s="1"/>
  <c r="V525" i="32" a="1"/>
  <c r="V525" i="32" s="1"/>
  <c r="V573" i="32" a="1"/>
  <c r="V573" i="32" s="1"/>
  <c r="V501" i="32" a="1"/>
  <c r="V501" i="32" s="1"/>
  <c r="V455" i="32" a="1"/>
  <c r="V455" i="32" s="1"/>
  <c r="V601" i="32" a="1"/>
  <c r="V601" i="32" s="1"/>
  <c r="V335" i="32" a="1"/>
  <c r="V335" i="32" s="1"/>
  <c r="V383" i="32" a="1"/>
  <c r="V383" i="32" s="1"/>
  <c r="V431" i="32" a="1"/>
  <c r="V431" i="32" s="1"/>
  <c r="V479" i="32" a="1"/>
  <c r="V479" i="32" s="1"/>
  <c r="V527" i="32" a="1"/>
  <c r="V527" i="32" s="1"/>
  <c r="V575" i="32" a="1"/>
  <c r="V575" i="32" s="1"/>
  <c r="V453" i="32" a="1"/>
  <c r="V453" i="32" s="1"/>
  <c r="V337" i="32" a="1"/>
  <c r="V337" i="32" s="1"/>
  <c r="V385" i="32" a="1"/>
  <c r="V385" i="32" s="1"/>
  <c r="V433" i="32" a="1"/>
  <c r="V433" i="32" s="1"/>
  <c r="V481" i="32" a="1"/>
  <c r="V481" i="32" s="1"/>
  <c r="V529" i="32" a="1"/>
  <c r="V529" i="32" s="1"/>
  <c r="V577" i="32" a="1"/>
  <c r="V577" i="32" s="1"/>
  <c r="V397" i="32" a="1"/>
  <c r="V397" i="32" s="1"/>
  <c r="V543" i="32" a="1"/>
  <c r="V543" i="32" s="1"/>
  <c r="V555" i="32" a="1"/>
  <c r="V555" i="32" s="1"/>
  <c r="V339" i="32" a="1"/>
  <c r="V339" i="32" s="1"/>
  <c r="V387" i="32" a="1"/>
  <c r="V387" i="32" s="1"/>
  <c r="V435" i="32" a="1"/>
  <c r="V435" i="32" s="1"/>
  <c r="V483" i="32" a="1"/>
  <c r="V483" i="32" s="1"/>
  <c r="V531" i="32" a="1"/>
  <c r="V531" i="32" s="1"/>
  <c r="V579" i="32" a="1"/>
  <c r="V579" i="32" s="1"/>
  <c r="V445" i="32" a="1"/>
  <c r="V445" i="32" s="1"/>
  <c r="V595" i="32" a="1"/>
  <c r="V595" i="32" s="1"/>
  <c r="V503" i="32" a="1"/>
  <c r="V503" i="32" s="1"/>
  <c r="V507" i="32" a="1"/>
  <c r="V507" i="32" s="1"/>
  <c r="V341" i="32" a="1"/>
  <c r="V341" i="32" s="1"/>
  <c r="V389" i="32" a="1"/>
  <c r="V389" i="32" s="1"/>
  <c r="V437" i="32" a="1"/>
  <c r="V437" i="32" s="1"/>
  <c r="V485" i="32" a="1"/>
  <c r="V485" i="32" s="1"/>
  <c r="V533" i="32" a="1"/>
  <c r="V533" i="32" s="1"/>
  <c r="V581" i="32" a="1"/>
  <c r="V581" i="32" s="1"/>
  <c r="V541" i="32" a="1"/>
  <c r="V541" i="32" s="1"/>
  <c r="V495" i="32" a="1"/>
  <c r="V495" i="32" s="1"/>
  <c r="V457" i="32" a="1"/>
  <c r="V457" i="32" s="1"/>
  <c r="V343" i="32" a="1"/>
  <c r="V343" i="32" s="1"/>
  <c r="V391" i="32" a="1"/>
  <c r="V391" i="32" s="1"/>
  <c r="V439" i="32" a="1"/>
  <c r="V439" i="32" s="1"/>
  <c r="V487" i="32" a="1"/>
  <c r="V487" i="32" s="1"/>
  <c r="V535" i="32" a="1"/>
  <c r="V535" i="32" s="1"/>
  <c r="V583" i="32" a="1"/>
  <c r="V583" i="32" s="1"/>
  <c r="V349" i="32" a="1"/>
  <c r="V349" i="32" s="1"/>
  <c r="V405" i="32" a="1"/>
  <c r="V405" i="32" s="1"/>
  <c r="V361" i="32" a="1"/>
  <c r="V361" i="32" s="1"/>
  <c r="V345" i="32" a="1"/>
  <c r="V345" i="32" s="1"/>
  <c r="V393" i="32" a="1"/>
  <c r="V393" i="32" s="1"/>
  <c r="V441" i="32" a="1"/>
  <c r="V441" i="32" s="1"/>
  <c r="V489" i="32" a="1"/>
  <c r="V489" i="32" s="1"/>
  <c r="V537" i="32" a="1"/>
  <c r="V537" i="32" s="1"/>
  <c r="V585" i="32" a="1"/>
  <c r="V585" i="32" s="1"/>
  <c r="V493" i="32" a="1"/>
  <c r="V493" i="32" s="1"/>
  <c r="V399" i="32" a="1"/>
  <c r="V399" i="32" s="1"/>
  <c r="V599" i="32" a="1"/>
  <c r="V599" i="32" s="1"/>
  <c r="V347" i="32" a="1"/>
  <c r="V347" i="32" s="1"/>
  <c r="V395" i="32" a="1"/>
  <c r="V395" i="32" s="1"/>
  <c r="V443" i="32" a="1"/>
  <c r="V443" i="32" s="1"/>
  <c r="V491" i="32" a="1"/>
  <c r="V491" i="32" s="1"/>
  <c r="V539" i="32" a="1"/>
  <c r="V539" i="32" s="1"/>
  <c r="V587" i="32" a="1"/>
  <c r="V587" i="32" s="1"/>
  <c r="V547" i="32" a="1"/>
  <c r="V547" i="32" s="1"/>
  <c r="V407" i="32" a="1"/>
  <c r="V407" i="32" s="1"/>
  <c r="V363" i="32" a="1"/>
  <c r="V363" i="32" s="1"/>
  <c r="V353" i="32" a="1"/>
  <c r="V353" i="32" s="1"/>
  <c r="V401" i="32" a="1"/>
  <c r="V401" i="32" s="1"/>
  <c r="V449" i="32" a="1"/>
  <c r="V449" i="32" s="1"/>
  <c r="V497" i="32" a="1"/>
  <c r="V497" i="32" s="1"/>
  <c r="V545" i="32" a="1"/>
  <c r="V545" i="32" s="1"/>
  <c r="V593" i="32" a="1"/>
  <c r="V593" i="32" s="1"/>
  <c r="V355" i="32" a="1"/>
  <c r="V355" i="32" s="1"/>
  <c r="V403" i="32" a="1"/>
  <c r="V403" i="32" s="1"/>
  <c r="V451" i="32" a="1"/>
  <c r="V451" i="32" s="1"/>
  <c r="V505" i="32" a="1"/>
  <c r="V505" i="32" s="1"/>
  <c r="V603" i="32" a="1"/>
  <c r="V603" i="32" s="1"/>
  <c r="D3" i="20"/>
  <c r="B1079" i="19"/>
  <c r="B1080" i="19" s="1"/>
  <c r="B1081" i="19" s="1"/>
  <c r="B1082" i="19" s="1"/>
  <c r="S502" i="27"/>
  <c r="I2330" i="27"/>
  <c r="A230" i="32"/>
  <c r="S489" i="27"/>
  <c r="I2312" i="27"/>
  <c r="O247" i="27"/>
  <c r="I2295" i="27"/>
  <c r="I2328" i="27"/>
  <c r="I2284" i="27"/>
  <c r="J856" i="27"/>
  <c r="I2342" i="27"/>
  <c r="I2316" i="27"/>
  <c r="I2349" i="27"/>
  <c r="S498" i="27"/>
  <c r="I2298" i="27"/>
  <c r="S495" i="27"/>
  <c r="I2323" i="27"/>
  <c r="S494" i="27"/>
  <c r="I2337" i="27"/>
  <c r="S499" i="27"/>
  <c r="S481" i="27"/>
  <c r="I2327" i="27"/>
  <c r="I2356" i="27"/>
  <c r="I2310" i="27"/>
  <c r="I2294" i="27"/>
  <c r="I2299" i="27"/>
  <c r="S491" i="27"/>
  <c r="A841" i="32"/>
  <c r="I2331" i="27"/>
  <c r="I2285" i="27"/>
  <c r="S490" i="27"/>
  <c r="I2305" i="27"/>
  <c r="O249" i="27"/>
  <c r="I2281" i="27"/>
  <c r="S486" i="27"/>
  <c r="I2352" i="27"/>
  <c r="O253" i="27"/>
  <c r="O251" i="27"/>
  <c r="I2278" i="27"/>
  <c r="I2292" i="27"/>
  <c r="I2325" i="27"/>
  <c r="S500" i="27"/>
  <c r="I2321" i="27"/>
  <c r="O32" i="27"/>
  <c r="S504" i="27"/>
  <c r="I2346" i="27"/>
  <c r="A542" i="32"/>
  <c r="S482" i="27"/>
  <c r="I2320" i="27"/>
  <c r="O27" i="27"/>
  <c r="I2311" i="27"/>
  <c r="S478" i="27"/>
  <c r="I2288" i="27"/>
  <c r="I2340" i="27"/>
  <c r="O31" i="27"/>
  <c r="I2293" i="27"/>
  <c r="I2307" i="27"/>
  <c r="K857" i="27"/>
  <c r="S492" i="27"/>
  <c r="I2336" i="27"/>
  <c r="I2355" i="27"/>
  <c r="S496" i="27"/>
  <c r="I2353" i="27"/>
  <c r="S487" i="27"/>
  <c r="O252" i="27"/>
  <c r="I2335" i="27"/>
  <c r="I2338" i="27"/>
  <c r="I2277" i="27"/>
  <c r="I2315" i="27"/>
  <c r="L857" i="27"/>
  <c r="S497" i="27"/>
  <c r="I2297" i="27"/>
  <c r="S477" i="27"/>
  <c r="I2280" i="27"/>
  <c r="I2291" i="27"/>
  <c r="I2348" i="27"/>
  <c r="I2317" i="27"/>
  <c r="I2354" i="27"/>
  <c r="O29" i="27"/>
  <c r="I2334" i="27"/>
  <c r="I2341" i="27"/>
  <c r="I2283" i="27"/>
  <c r="G540" i="32"/>
  <c r="S503" i="27"/>
  <c r="O248" i="27"/>
  <c r="I2303" i="27"/>
  <c r="I2313" i="27"/>
  <c r="I2324" i="27"/>
  <c r="S501" i="27"/>
  <c r="I2322" i="27"/>
  <c r="G228" i="32"/>
  <c r="S484" i="27"/>
  <c r="I2351" i="27"/>
  <c r="I2306" i="27"/>
  <c r="S488" i="27"/>
  <c r="I2289" i="27"/>
  <c r="S479" i="27"/>
  <c r="O30" i="27"/>
  <c r="I2350" i="27"/>
  <c r="I2296" i="27"/>
  <c r="O28" i="27"/>
  <c r="I2318" i="27"/>
  <c r="I2279" i="27"/>
  <c r="I2339" i="27"/>
  <c r="S493" i="27"/>
  <c r="I2329" i="27"/>
  <c r="I2314" i="27"/>
  <c r="S476" i="27"/>
  <c r="I2287" i="27"/>
  <c r="I2343" i="27"/>
  <c r="S480" i="27"/>
  <c r="I2304" i="27"/>
  <c r="I2308" i="27"/>
  <c r="I2332" i="27"/>
  <c r="I2286" i="27"/>
  <c r="I2326" i="27"/>
  <c r="I2300" i="27"/>
  <c r="I2333" i="27"/>
  <c r="I857" i="27"/>
  <c r="I2290" i="27"/>
  <c r="S485" i="27"/>
  <c r="I2344" i="27"/>
  <c r="S483" i="27"/>
  <c r="O33" i="27"/>
  <c r="I2302" i="27"/>
  <c r="I2309" i="27"/>
  <c r="O250" i="27"/>
  <c r="I2319" i="27"/>
  <c r="I2345" i="27"/>
  <c r="I2347" i="27"/>
  <c r="I2301" i="27"/>
  <c r="G839" i="32"/>
  <c r="P765" i="32" l="1"/>
  <c r="Q763" i="32"/>
  <c r="AD7" i="33"/>
  <c r="F3009" i="27"/>
  <c r="T52" i="1"/>
  <c r="A856" i="27"/>
  <c r="H858" i="27"/>
  <c r="C8" i="19" a="1"/>
  <c r="C8" i="19" s="1"/>
  <c r="H49" i="16" a="1"/>
  <c r="H49" i="16" s="1"/>
  <c r="I48" i="16" a="1"/>
  <c r="I48" i="16" s="1"/>
  <c r="F30" i="16" a="1"/>
  <c r="F30" i="16" s="1"/>
  <c r="H242" i="24"/>
  <c r="H250" i="24"/>
  <c r="H258" i="24"/>
  <c r="H234" i="24"/>
  <c r="H298" i="24"/>
  <c r="H226" i="24"/>
  <c r="H282" i="24"/>
  <c r="H274" i="24"/>
  <c r="N52" i="1"/>
  <c r="H290" i="24"/>
  <c r="H266" i="24"/>
  <c r="Q147" i="24"/>
  <c r="C28" i="24"/>
  <c r="U232" i="32"/>
  <c r="U544" i="32"/>
  <c r="U843" i="32"/>
  <c r="V278" i="32" a="1"/>
  <c r="V278" i="32" s="1"/>
  <c r="L278" i="32" s="1"/>
  <c r="V284" i="32" a="1"/>
  <c r="V284" i="32" s="1"/>
  <c r="L284" i="32" s="1"/>
  <c r="V288" i="32" a="1"/>
  <c r="V288" i="32" s="1"/>
  <c r="L288" i="32" s="1"/>
  <c r="V298" i="32" a="1"/>
  <c r="V298" i="32" s="1"/>
  <c r="L298" i="32" s="1"/>
  <c r="V290" i="32" a="1"/>
  <c r="V290" i="32" s="1"/>
  <c r="L290" i="32" s="1"/>
  <c r="V270" i="32" a="1"/>
  <c r="V270" i="32" s="1"/>
  <c r="L270" i="32" s="1"/>
  <c r="V308" i="32" a="1"/>
  <c r="V308" i="32" s="1"/>
  <c r="L308" i="32" s="1"/>
  <c r="V306" i="32" a="1"/>
  <c r="V306" i="32" s="1"/>
  <c r="L306" i="32" s="1"/>
  <c r="V272" i="32" a="1"/>
  <c r="V272" i="32" s="1"/>
  <c r="L272" i="32" s="1"/>
  <c r="V282" i="32" a="1"/>
  <c r="V282" i="32" s="1"/>
  <c r="L282" i="32" s="1"/>
  <c r="V274" i="32" a="1"/>
  <c r="V274" i="32" s="1"/>
  <c r="L274" i="32" s="1"/>
  <c r="V276" i="32" a="1"/>
  <c r="V276" i="32" s="1"/>
  <c r="L276" i="32" s="1"/>
  <c r="V292" i="32" a="1"/>
  <c r="V292" i="32" s="1"/>
  <c r="L292" i="32" s="1"/>
  <c r="V286" i="32" a="1"/>
  <c r="V286" i="32" s="1"/>
  <c r="L286" i="32" s="1"/>
  <c r="V302" i="32" a="1"/>
  <c r="V302" i="32" s="1"/>
  <c r="L302" i="32" s="1"/>
  <c r="V296" i="32" a="1"/>
  <c r="V296" i="32" s="1"/>
  <c r="L296" i="32" s="1"/>
  <c r="V304" i="32" a="1"/>
  <c r="V304" i="32" s="1"/>
  <c r="L304" i="32" s="1"/>
  <c r="V294" i="32" a="1"/>
  <c r="V294" i="32" s="1"/>
  <c r="L294" i="32" s="1"/>
  <c r="V300" i="32" a="1"/>
  <c r="V300" i="32" s="1"/>
  <c r="L300" i="32" s="1"/>
  <c r="V280" i="32" a="1"/>
  <c r="V280" i="32" s="1"/>
  <c r="L280" i="32" s="1"/>
  <c r="V18" i="32" a="1"/>
  <c r="V18" i="32" s="1"/>
  <c r="L18" i="32" s="1"/>
  <c r="V28" i="32" a="1"/>
  <c r="V28" i="32" s="1"/>
  <c r="L28" i="32" s="1"/>
  <c r="V24" i="32" a="1"/>
  <c r="V24" i="32" s="1"/>
  <c r="L24" i="32" s="1"/>
  <c r="R10" i="32" a="1"/>
  <c r="R10" i="32" s="1"/>
  <c r="D10" i="32" s="1"/>
  <c r="V16" i="32" a="1"/>
  <c r="V16" i="32" s="1"/>
  <c r="L16" i="32" s="1"/>
  <c r="V26" i="32" a="1"/>
  <c r="V26" i="32" s="1"/>
  <c r="L26" i="32" s="1"/>
  <c r="V14" i="32" a="1"/>
  <c r="V14" i="32" s="1"/>
  <c r="L14" i="32" s="1"/>
  <c r="V10" i="32" a="1"/>
  <c r="V10" i="32" s="1"/>
  <c r="L10" i="32" s="1"/>
  <c r="V20" i="32" a="1"/>
  <c r="V20" i="32" s="1"/>
  <c r="L20" i="32" s="1"/>
  <c r="V12" i="32" a="1"/>
  <c r="V12" i="32" s="1"/>
  <c r="L12" i="32" s="1"/>
  <c r="V22" i="32" a="1"/>
  <c r="V22" i="32" s="1"/>
  <c r="L22" i="32" s="1"/>
  <c r="V112" i="32" a="1"/>
  <c r="V112" i="32" s="1"/>
  <c r="L112" i="32" s="1"/>
  <c r="V94" i="32" a="1"/>
  <c r="V94" i="32" s="1"/>
  <c r="L94" i="32" s="1"/>
  <c r="V74" i="32" a="1"/>
  <c r="V74" i="32" s="1"/>
  <c r="L74" i="32" s="1"/>
  <c r="V174" i="32" a="1"/>
  <c r="V174" i="32" s="1"/>
  <c r="L174" i="32" s="1"/>
  <c r="V266" i="32" a="1"/>
  <c r="V266" i="32" s="1"/>
  <c r="L266" i="32" s="1"/>
  <c r="V108" i="32" a="1"/>
  <c r="V108" i="32" s="1"/>
  <c r="L108" i="32" s="1"/>
  <c r="V122" i="32" a="1"/>
  <c r="V122" i="32" s="1"/>
  <c r="L122" i="32" s="1"/>
  <c r="V72" i="32" a="1"/>
  <c r="V72" i="32" s="1"/>
  <c r="L72" i="32" s="1"/>
  <c r="V56" i="32" a="1"/>
  <c r="V56" i="32" s="1"/>
  <c r="L56" i="32" s="1"/>
  <c r="V172" i="32" a="1"/>
  <c r="V172" i="32" s="1"/>
  <c r="L172" i="32" s="1"/>
  <c r="V182" i="32" a="1"/>
  <c r="V182" i="32" s="1"/>
  <c r="L182" i="32" s="1"/>
  <c r="V244" i="32" a="1"/>
  <c r="V244" i="32" s="1"/>
  <c r="L244" i="32" s="1"/>
  <c r="V198" i="32" a="1"/>
  <c r="V198" i="32" s="1"/>
  <c r="L198" i="32" s="1"/>
  <c r="V68" i="32" a="1"/>
  <c r="V68" i="32" s="1"/>
  <c r="L68" i="32" s="1"/>
  <c r="V36" i="32" a="1"/>
  <c r="V36" i="32" s="1"/>
  <c r="L36" i="32" s="1"/>
  <c r="V176" i="32" a="1"/>
  <c r="V176" i="32" s="1"/>
  <c r="L176" i="32" s="1"/>
  <c r="V252" i="32" a="1"/>
  <c r="V252" i="32" s="1"/>
  <c r="L252" i="32" s="1"/>
  <c r="V148" i="32" a="1"/>
  <c r="V148" i="32" s="1"/>
  <c r="L148" i="32" s="1"/>
  <c r="V32" i="32" a="1"/>
  <c r="V32" i="32" s="1"/>
  <c r="L32" i="32" s="1"/>
  <c r="V78" i="32" a="1"/>
  <c r="V78" i="32" s="1"/>
  <c r="L78" i="32" s="1"/>
  <c r="V130" i="32" a="1"/>
  <c r="V130" i="32" s="1"/>
  <c r="L130" i="32" s="1"/>
  <c r="V206" i="32" a="1"/>
  <c r="V206" i="32" s="1"/>
  <c r="L206" i="32" s="1"/>
  <c r="V268" i="32" a="1"/>
  <c r="V268" i="32" s="1"/>
  <c r="L268" i="32" s="1"/>
  <c r="V250" i="32" a="1"/>
  <c r="V250" i="32" s="1"/>
  <c r="L250" i="32" s="1"/>
  <c r="V160" i="32" a="1"/>
  <c r="V160" i="32" s="1"/>
  <c r="L160" i="32" s="1"/>
  <c r="V76" i="32" a="1"/>
  <c r="V76" i="32" s="1"/>
  <c r="L76" i="32" s="1"/>
  <c r="V86" i="32" a="1"/>
  <c r="V86" i="32" s="1"/>
  <c r="L86" i="32" s="1"/>
  <c r="V166" i="32" a="1"/>
  <c r="V166" i="32" s="1"/>
  <c r="L166" i="32" s="1"/>
  <c r="V168" i="32" a="1"/>
  <c r="V168" i="32" s="1"/>
  <c r="L168" i="32" s="1"/>
  <c r="V238" i="32" a="1"/>
  <c r="V238" i="32" s="1"/>
  <c r="L238" i="32" s="1"/>
  <c r="V38" i="32" a="1"/>
  <c r="V38" i="32" s="1"/>
  <c r="L38" i="32" s="1"/>
  <c r="V178" i="32" a="1"/>
  <c r="V178" i="32" s="1"/>
  <c r="L178" i="32" s="1"/>
  <c r="V232" i="32" a="1"/>
  <c r="V232" i="32" s="1"/>
  <c r="L232" i="32" s="1"/>
  <c r="V194" i="32" a="1"/>
  <c r="V194" i="32" s="1"/>
  <c r="L194" i="32" s="1"/>
  <c r="V102" i="32" a="1"/>
  <c r="V102" i="32" s="1"/>
  <c r="L102" i="32" s="1"/>
  <c r="V254" i="32" a="1"/>
  <c r="V254" i="32" s="1"/>
  <c r="L254" i="32" s="1"/>
  <c r="V62" i="32" a="1"/>
  <c r="V62" i="32" s="1"/>
  <c r="L62" i="32" s="1"/>
  <c r="V188" i="32" a="1"/>
  <c r="V188" i="32" s="1"/>
  <c r="L188" i="32" s="1"/>
  <c r="V60" i="32" a="1"/>
  <c r="V60" i="32" s="1"/>
  <c r="L60" i="32" s="1"/>
  <c r="V192" i="32" a="1"/>
  <c r="V192" i="32" s="1"/>
  <c r="L192" i="32" s="1"/>
  <c r="V190" i="32" a="1"/>
  <c r="V190" i="32" s="1"/>
  <c r="L190" i="32" s="1"/>
  <c r="V126" i="32" a="1"/>
  <c r="V126" i="32" s="1"/>
  <c r="L126" i="32" s="1"/>
  <c r="V136" i="32" a="1"/>
  <c r="V136" i="32" s="1"/>
  <c r="L136" i="32" s="1"/>
  <c r="V66" i="32" a="1"/>
  <c r="V66" i="32" s="1"/>
  <c r="L66" i="32" s="1"/>
  <c r="V226" i="32" a="1"/>
  <c r="V226" i="32" s="1"/>
  <c r="L226" i="32" s="1"/>
  <c r="V210" i="32" a="1"/>
  <c r="V210" i="32" s="1"/>
  <c r="L210" i="32" s="1"/>
  <c r="V114" i="32" a="1"/>
  <c r="V114" i="32" s="1"/>
  <c r="L114" i="32" s="1"/>
  <c r="V52" i="32" a="1"/>
  <c r="V52" i="32" s="1"/>
  <c r="L52" i="32" s="1"/>
  <c r="V46" i="32" a="1"/>
  <c r="V46" i="32" s="1"/>
  <c r="L46" i="32" s="1"/>
  <c r="V84" i="32" a="1"/>
  <c r="V84" i="32" s="1"/>
  <c r="L84" i="32" s="1"/>
  <c r="V220" i="32" a="1"/>
  <c r="V220" i="32" s="1"/>
  <c r="L220" i="32" s="1"/>
  <c r="V186" i="32" a="1"/>
  <c r="V186" i="32" s="1"/>
  <c r="L186" i="32" s="1"/>
  <c r="V236" i="32" a="1"/>
  <c r="V236" i="32" s="1"/>
  <c r="L236" i="32" s="1"/>
  <c r="V110" i="32" a="1"/>
  <c r="V110" i="32" s="1"/>
  <c r="L110" i="32" s="1"/>
  <c r="V30" i="32" a="1"/>
  <c r="V30" i="32" s="1"/>
  <c r="L30" i="32" s="1"/>
  <c r="V42" i="32" a="1"/>
  <c r="V42" i="32" s="1"/>
  <c r="L42" i="32" s="1"/>
  <c r="V196" i="32" a="1"/>
  <c r="V196" i="32" s="1"/>
  <c r="L196" i="32" s="1"/>
  <c r="V90" i="32" a="1"/>
  <c r="V90" i="32" s="1"/>
  <c r="L90" i="32" s="1"/>
  <c r="V138" i="32" a="1"/>
  <c r="V138" i="32" s="1"/>
  <c r="L138" i="32" s="1"/>
  <c r="V70" i="32" a="1"/>
  <c r="V70" i="32" s="1"/>
  <c r="L70" i="32" s="1"/>
  <c r="V40" i="32" a="1"/>
  <c r="V40" i="32" s="1"/>
  <c r="L40" i="32" s="1"/>
  <c r="V170" i="32" a="1"/>
  <c r="V170" i="32" s="1"/>
  <c r="L170" i="32" s="1"/>
  <c r="V180" i="32" a="1"/>
  <c r="V180" i="32" s="1"/>
  <c r="L180" i="32" s="1"/>
  <c r="V262" i="32" a="1"/>
  <c r="V262" i="32" s="1"/>
  <c r="L262" i="32" s="1"/>
  <c r="V224" i="32" a="1"/>
  <c r="V224" i="32" s="1"/>
  <c r="L224" i="32" s="1"/>
  <c r="V100" i="32" a="1"/>
  <c r="V100" i="32" s="1"/>
  <c r="L100" i="32" s="1"/>
  <c r="V154" i="32" a="1"/>
  <c r="V154" i="32" s="1"/>
  <c r="L154" i="32" s="1"/>
  <c r="V242" i="32" a="1"/>
  <c r="V242" i="32" s="1"/>
  <c r="L242" i="32" s="1"/>
  <c r="V208" i="32" a="1"/>
  <c r="V208" i="32" s="1"/>
  <c r="L208" i="32" s="1"/>
  <c r="V144" i="32" a="1"/>
  <c r="V144" i="32" s="1"/>
  <c r="L144" i="32" s="1"/>
  <c r="V146" i="32" a="1"/>
  <c r="V146" i="32" s="1"/>
  <c r="L146" i="32" s="1"/>
  <c r="V92" i="32" a="1"/>
  <c r="V92" i="32" s="1"/>
  <c r="L92" i="32" s="1"/>
  <c r="V184" i="32" a="1"/>
  <c r="V184" i="32" s="1"/>
  <c r="L184" i="32" s="1"/>
  <c r="V118" i="32" a="1"/>
  <c r="V118" i="32" s="1"/>
  <c r="L118" i="32" s="1"/>
  <c r="V98" i="32" a="1"/>
  <c r="V98" i="32" s="1"/>
  <c r="L98" i="32" s="1"/>
  <c r="V50" i="32" a="1"/>
  <c r="V50" i="32" s="1"/>
  <c r="L50" i="32" s="1"/>
  <c r="V164" i="32" a="1"/>
  <c r="V164" i="32" s="1"/>
  <c r="L164" i="32" s="1"/>
  <c r="V212" i="32" a="1"/>
  <c r="V212" i="32" s="1"/>
  <c r="L212" i="32" s="1"/>
  <c r="V116" i="32" a="1"/>
  <c r="V116" i="32" s="1"/>
  <c r="L116" i="32" s="1"/>
  <c r="V96" i="32" a="1"/>
  <c r="V96" i="32" s="1"/>
  <c r="L96" i="32" s="1"/>
  <c r="V64" i="32" a="1"/>
  <c r="V64" i="32" s="1"/>
  <c r="L64" i="32" s="1"/>
  <c r="V158" i="32" a="1"/>
  <c r="V158" i="32" s="1"/>
  <c r="L158" i="32" s="1"/>
  <c r="V222" i="32" a="1"/>
  <c r="V222" i="32" s="1"/>
  <c r="L222" i="32" s="1"/>
  <c r="V230" i="32" a="1"/>
  <c r="V230" i="32" s="1"/>
  <c r="L230" i="32" s="1"/>
  <c r="V240" i="32" a="1"/>
  <c r="V240" i="32" s="1"/>
  <c r="L240" i="32" s="1"/>
  <c r="V106" i="32" a="1"/>
  <c r="V106" i="32" s="1"/>
  <c r="L106" i="32" s="1"/>
  <c r="V124" i="32" a="1"/>
  <c r="V124" i="32" s="1"/>
  <c r="L124" i="32" s="1"/>
  <c r="V156" i="32" a="1"/>
  <c r="V156" i="32" s="1"/>
  <c r="L156" i="32" s="1"/>
  <c r="V258" i="32" a="1"/>
  <c r="V258" i="32" s="1"/>
  <c r="L258" i="32" s="1"/>
  <c r="V104" i="32" a="1"/>
  <c r="V104" i="32" s="1"/>
  <c r="L104" i="32" s="1"/>
  <c r="V142" i="32" a="1"/>
  <c r="V142" i="32" s="1"/>
  <c r="L142" i="32" s="1"/>
  <c r="V34" i="32" a="1"/>
  <c r="V34" i="32" s="1"/>
  <c r="L34" i="32" s="1"/>
  <c r="V82" i="32" a="1"/>
  <c r="V82" i="32" s="1"/>
  <c r="L82" i="32" s="1"/>
  <c r="V218" i="32" a="1"/>
  <c r="V218" i="32" s="1"/>
  <c r="L218" i="32" s="1"/>
  <c r="V162" i="32" a="1"/>
  <c r="V162" i="32" s="1"/>
  <c r="L162" i="32" s="1"/>
  <c r="V264" i="32" a="1"/>
  <c r="V264" i="32" s="1"/>
  <c r="L264" i="32" s="1"/>
  <c r="V214" i="32" a="1"/>
  <c r="V214" i="32" s="1"/>
  <c r="L214" i="32" s="1"/>
  <c r="V48" i="32" a="1"/>
  <c r="V48" i="32" s="1"/>
  <c r="L48" i="32" s="1"/>
  <c r="V88" i="32" a="1"/>
  <c r="V88" i="32" s="1"/>
  <c r="L88" i="32" s="1"/>
  <c r="V216" i="32" a="1"/>
  <c r="V216" i="32" s="1"/>
  <c r="L216" i="32" s="1"/>
  <c r="V228" i="32" a="1"/>
  <c r="V228" i="32" s="1"/>
  <c r="L228" i="32" s="1"/>
  <c r="V234" i="32" a="1"/>
  <c r="V234" i="32" s="1"/>
  <c r="L234" i="32" s="1"/>
  <c r="V202" i="32" a="1"/>
  <c r="V202" i="32" s="1"/>
  <c r="L202" i="32" s="1"/>
  <c r="V134" i="32" a="1"/>
  <c r="V134" i="32" s="1"/>
  <c r="L134" i="32" s="1"/>
  <c r="V128" i="32" a="1"/>
  <c r="V128" i="32" s="1"/>
  <c r="L128" i="32" s="1"/>
  <c r="V132" i="32" a="1"/>
  <c r="V132" i="32" s="1"/>
  <c r="L132" i="32" s="1"/>
  <c r="V260" i="32" a="1"/>
  <c r="V260" i="32" s="1"/>
  <c r="L260" i="32" s="1"/>
  <c r="V150" i="32" a="1"/>
  <c r="V150" i="32" s="1"/>
  <c r="L150" i="32" s="1"/>
  <c r="V120" i="32" a="1"/>
  <c r="V120" i="32" s="1"/>
  <c r="L120" i="32" s="1"/>
  <c r="V54" i="32" a="1"/>
  <c r="V54" i="32" s="1"/>
  <c r="L54" i="32" s="1"/>
  <c r="V80" i="32" a="1"/>
  <c r="V80" i="32" s="1"/>
  <c r="L80" i="32" s="1"/>
  <c r="V152" i="32" a="1"/>
  <c r="V152" i="32" s="1"/>
  <c r="L152" i="32" s="1"/>
  <c r="V246" i="32" a="1"/>
  <c r="V246" i="32" s="1"/>
  <c r="L246" i="32" s="1"/>
  <c r="V140" i="32" a="1"/>
  <c r="V140" i="32" s="1"/>
  <c r="L140" i="32" s="1"/>
  <c r="V204" i="32" a="1"/>
  <c r="V204" i="32" s="1"/>
  <c r="L204" i="32" s="1"/>
  <c r="V58" i="32" a="1"/>
  <c r="V58" i="32" s="1"/>
  <c r="L58" i="32" s="1"/>
  <c r="V200" i="32" a="1"/>
  <c r="V200" i="32" s="1"/>
  <c r="L200" i="32" s="1"/>
  <c r="V256" i="32" a="1"/>
  <c r="V256" i="32" s="1"/>
  <c r="L256" i="32" s="1"/>
  <c r="V44" i="32" a="1"/>
  <c r="V44" i="32" s="1"/>
  <c r="L44" i="32" s="1"/>
  <c r="V248" i="32" a="1"/>
  <c r="V248" i="32" s="1"/>
  <c r="L248" i="32" s="1"/>
  <c r="T292" i="32" a="1"/>
  <c r="T292" i="32" s="1"/>
  <c r="S300" i="32" a="1"/>
  <c r="S300" i="32" s="1"/>
  <c r="E300" i="32" s="1"/>
  <c r="S302" i="32" a="1"/>
  <c r="S302" i="32" s="1"/>
  <c r="E302" i="32" s="1"/>
  <c r="S274" i="32" a="1"/>
  <c r="S274" i="32" s="1"/>
  <c r="E274" i="32" s="1"/>
  <c r="T302" i="32" a="1"/>
  <c r="T302" i="32" s="1"/>
  <c r="R274" i="32" a="1"/>
  <c r="R274" i="32" s="1"/>
  <c r="D274" i="32" s="1"/>
  <c r="T274" i="32" a="1"/>
  <c r="T274" i="32" s="1"/>
  <c r="T272" i="32" a="1"/>
  <c r="T272" i="32" s="1"/>
  <c r="S282" i="32" a="1"/>
  <c r="S282" i="32" s="1"/>
  <c r="E282" i="32" s="1"/>
  <c r="R282" i="32" a="1"/>
  <c r="R282" i="32" s="1"/>
  <c r="D282" i="32" s="1"/>
  <c r="T282" i="32" a="1"/>
  <c r="T282" i="32" s="1"/>
  <c r="T284" i="32" a="1"/>
  <c r="T284" i="32" s="1"/>
  <c r="S294" i="32" a="1"/>
  <c r="S294" i="32" s="1"/>
  <c r="E294" i="32" s="1"/>
  <c r="S272" i="32" a="1"/>
  <c r="S272" i="32" s="1"/>
  <c r="E272" i="32" s="1"/>
  <c r="R288" i="32" a="1"/>
  <c r="R288" i="32" s="1"/>
  <c r="D288" i="32" s="1"/>
  <c r="S288" i="32" a="1"/>
  <c r="S288" i="32" s="1"/>
  <c r="E288" i="32" s="1"/>
  <c r="T288" i="32" a="1"/>
  <c r="T288" i="32" s="1"/>
  <c r="S270" i="32" a="1"/>
  <c r="S270" i="32" s="1"/>
  <c r="E270" i="32" s="1"/>
  <c r="R270" i="32" a="1"/>
  <c r="R270" i="32" s="1"/>
  <c r="D270" i="32" s="1"/>
  <c r="R272" i="32" a="1"/>
  <c r="R272" i="32" s="1"/>
  <c r="D272" i="32" s="1"/>
  <c r="R284" i="32" a="1"/>
  <c r="R284" i="32" s="1"/>
  <c r="D284" i="32" s="1"/>
  <c r="R302" i="32" a="1"/>
  <c r="R302" i="32" s="1"/>
  <c r="D302" i="32" s="1"/>
  <c r="T270" i="32" a="1"/>
  <c r="T270" i="32" s="1"/>
  <c r="R308" i="32" a="1"/>
  <c r="R308" i="32" s="1"/>
  <c r="D308" i="32" s="1"/>
  <c r="S276" i="32" a="1"/>
  <c r="S276" i="32" s="1"/>
  <c r="E276" i="32" s="1"/>
  <c r="S284" i="32" a="1"/>
  <c r="S284" i="32" s="1"/>
  <c r="E284" i="32" s="1"/>
  <c r="T300" i="32" a="1"/>
  <c r="T300" i="32" s="1"/>
  <c r="R276" i="32" a="1"/>
  <c r="R276" i="32" s="1"/>
  <c r="D276" i="32" s="1"/>
  <c r="T276" i="32" a="1"/>
  <c r="T276" i="32" s="1"/>
  <c r="S290" i="32" a="1"/>
  <c r="S290" i="32" s="1"/>
  <c r="E290" i="32" s="1"/>
  <c r="T290" i="32" a="1"/>
  <c r="T290" i="32" s="1"/>
  <c r="R290" i="32" a="1"/>
  <c r="R290" i="32" s="1"/>
  <c r="D290" i="32" s="1"/>
  <c r="S298" i="32" a="1"/>
  <c r="S298" i="32" s="1"/>
  <c r="E298" i="32" s="1"/>
  <c r="R298" i="32" a="1"/>
  <c r="R298" i="32" s="1"/>
  <c r="D298" i="32" s="1"/>
  <c r="R294" i="32" a="1"/>
  <c r="R294" i="32" s="1"/>
  <c r="D294" i="32" s="1"/>
  <c r="T308" i="32" a="1"/>
  <c r="T308" i="32" s="1"/>
  <c r="S308" i="32" a="1"/>
  <c r="S308" i="32" s="1"/>
  <c r="E308" i="32" s="1"/>
  <c r="T296" i="32" a="1"/>
  <c r="T296" i="32" s="1"/>
  <c r="T298" i="32" a="1"/>
  <c r="T298" i="32" s="1"/>
  <c r="T294" i="32" a="1"/>
  <c r="T294" i="32" s="1"/>
  <c r="T306" i="32" a="1"/>
  <c r="T306" i="32" s="1"/>
  <c r="R280" i="32" a="1"/>
  <c r="R280" i="32" s="1"/>
  <c r="D280" i="32" s="1"/>
  <c r="S286" i="32" a="1"/>
  <c r="S286" i="32" s="1"/>
  <c r="E286" i="32" s="1"/>
  <c r="R286" i="32" a="1"/>
  <c r="R286" i="32" s="1"/>
  <c r="D286" i="32" s="1"/>
  <c r="R296" i="32" a="1"/>
  <c r="R296" i="32" s="1"/>
  <c r="D296" i="32" s="1"/>
  <c r="S306" i="32" a="1"/>
  <c r="S306" i="32" s="1"/>
  <c r="E306" i="32" s="1"/>
  <c r="T280" i="32" a="1"/>
  <c r="T280" i="32" s="1"/>
  <c r="S280" i="32" a="1"/>
  <c r="S280" i="32" s="1"/>
  <c r="E280" i="32" s="1"/>
  <c r="T286" i="32" a="1"/>
  <c r="T286" i="32" s="1"/>
  <c r="R306" i="32" a="1"/>
  <c r="R306" i="32" s="1"/>
  <c r="D306" i="32" s="1"/>
  <c r="T304" i="32" a="1"/>
  <c r="T304" i="32" s="1"/>
  <c r="S296" i="32" a="1"/>
  <c r="S296" i="32" s="1"/>
  <c r="E296" i="32" s="1"/>
  <c r="R300" i="32" a="1"/>
  <c r="R300" i="32" s="1"/>
  <c r="D300" i="32" s="1"/>
  <c r="S304" i="32" a="1"/>
  <c r="S304" i="32" s="1"/>
  <c r="E304" i="32" s="1"/>
  <c r="R304" i="32" a="1"/>
  <c r="R304" i="32" s="1"/>
  <c r="D304" i="32" s="1"/>
  <c r="S278" i="32" a="1"/>
  <c r="S278" i="32" s="1"/>
  <c r="E278" i="32" s="1"/>
  <c r="R278" i="32" a="1"/>
  <c r="R278" i="32" s="1"/>
  <c r="D278" i="32" s="1"/>
  <c r="T278" i="32" a="1"/>
  <c r="T278" i="32" s="1"/>
  <c r="R292" i="32" a="1"/>
  <c r="R292" i="32" s="1"/>
  <c r="D292" i="32" s="1"/>
  <c r="S292" i="32" a="1"/>
  <c r="S292" i="32" s="1"/>
  <c r="E292" i="32" s="1"/>
  <c r="T10" i="32" a="1"/>
  <c r="T10" i="32" s="1"/>
  <c r="M1333" i="27" s="1"/>
  <c r="A1333" i="27" s="1"/>
  <c r="S10" i="32" a="1"/>
  <c r="S10" i="32" s="1"/>
  <c r="E10" i="32" s="1"/>
  <c r="F1333" i="27" s="1"/>
  <c r="R18" i="32" a="1"/>
  <c r="R18" i="32" s="1"/>
  <c r="D18" i="32" s="1"/>
  <c r="T16" i="32" a="1"/>
  <c r="T16" i="32" s="1"/>
  <c r="M1336" i="27" s="1"/>
  <c r="S18" i="32" a="1"/>
  <c r="S18" i="32" s="1"/>
  <c r="E18" i="32" s="1"/>
  <c r="F1337" i="27" s="1"/>
  <c r="R16" i="32" a="1"/>
  <c r="R16" i="32" s="1"/>
  <c r="D16" i="32" s="1"/>
  <c r="T14" i="32" a="1"/>
  <c r="T14" i="32" s="1"/>
  <c r="M1335" i="27" s="1"/>
  <c r="A1335" i="27" s="1"/>
  <c r="R24" i="32" a="1"/>
  <c r="R24" i="32" s="1"/>
  <c r="D24" i="32" s="1"/>
  <c r="S16" i="32" a="1"/>
  <c r="S16" i="32" s="1"/>
  <c r="E16" i="32" s="1"/>
  <c r="F1336" i="27" s="1"/>
  <c r="T12" i="32" a="1"/>
  <c r="T12" i="32" s="1"/>
  <c r="M1334" i="27" s="1"/>
  <c r="A1334" i="27" s="1"/>
  <c r="S24" i="32" a="1"/>
  <c r="S24" i="32" s="1"/>
  <c r="E24" i="32" s="1"/>
  <c r="F1340" i="27" s="1"/>
  <c r="T24" i="32" a="1"/>
  <c r="T24" i="32" s="1"/>
  <c r="M1340" i="27" s="1"/>
  <c r="A1340" i="27" s="1"/>
  <c r="S12" i="32" a="1"/>
  <c r="S12" i="32" s="1"/>
  <c r="E12" i="32" s="1"/>
  <c r="F1334" i="27" s="1"/>
  <c r="S28" i="32" a="1"/>
  <c r="S28" i="32" s="1"/>
  <c r="E28" i="32" s="1"/>
  <c r="F1342" i="27" s="1"/>
  <c r="R12" i="32" a="1"/>
  <c r="R12" i="32" s="1"/>
  <c r="D12" i="32" s="1"/>
  <c r="T22" i="32" a="1"/>
  <c r="T22" i="32" s="1"/>
  <c r="M1339" i="27" s="1"/>
  <c r="A1339" i="27" s="1"/>
  <c r="S14" i="32" a="1"/>
  <c r="S14" i="32" s="1"/>
  <c r="E14" i="32" s="1"/>
  <c r="F1335" i="27" s="1"/>
  <c r="R22" i="32" a="1"/>
  <c r="R22" i="32" s="1"/>
  <c r="D22" i="32" s="1"/>
  <c r="S22" i="32" a="1"/>
  <c r="S22" i="32" s="1"/>
  <c r="E22" i="32" s="1"/>
  <c r="F1339" i="27" s="1"/>
  <c r="R26" i="32" a="1"/>
  <c r="R26" i="32" s="1"/>
  <c r="D26" i="32" s="1"/>
  <c r="S26" i="32" a="1"/>
  <c r="S26" i="32" s="1"/>
  <c r="E26" i="32" s="1"/>
  <c r="F1341" i="27" s="1"/>
  <c r="T26" i="32" a="1"/>
  <c r="T26" i="32" s="1"/>
  <c r="T20" i="32" a="1"/>
  <c r="T20" i="32" s="1"/>
  <c r="M1338" i="27" s="1"/>
  <c r="A1338" i="27" s="1"/>
  <c r="S20" i="32" a="1"/>
  <c r="S20" i="32" s="1"/>
  <c r="E20" i="32" s="1"/>
  <c r="F1338" i="27" s="1"/>
  <c r="R20" i="32" a="1"/>
  <c r="R20" i="32" s="1"/>
  <c r="D20" i="32" s="1"/>
  <c r="R28" i="32" a="1"/>
  <c r="R28" i="32" s="1"/>
  <c r="D28" i="32" s="1"/>
  <c r="T28" i="32" a="1"/>
  <c r="T28" i="32" s="1"/>
  <c r="M1342" i="27" s="1"/>
  <c r="A1342" i="27" s="1"/>
  <c r="R14" i="32" a="1"/>
  <c r="R14" i="32" s="1"/>
  <c r="D14" i="32" s="1"/>
  <c r="T18" i="32" a="1"/>
  <c r="T18" i="32" s="1"/>
  <c r="M1337" i="27" s="1"/>
  <c r="A1337" i="27" s="1"/>
  <c r="R246" i="32" a="1"/>
  <c r="R246" i="32" s="1"/>
  <c r="D246" i="32" s="1"/>
  <c r="R242" i="32" a="1"/>
  <c r="R242" i="32" s="1"/>
  <c r="D242" i="32" s="1"/>
  <c r="S208" i="32" a="1"/>
  <c r="S208" i="32" s="1"/>
  <c r="E208" i="32" s="1"/>
  <c r="T202" i="32" a="1"/>
  <c r="T202" i="32" s="1"/>
  <c r="S236" i="32" a="1"/>
  <c r="S236" i="32" s="1"/>
  <c r="E236" i="32" s="1"/>
  <c r="T214" i="32" a="1"/>
  <c r="T214" i="32" s="1"/>
  <c r="S36" i="32" a="1"/>
  <c r="S36" i="32" s="1"/>
  <c r="E36" i="32" s="1"/>
  <c r="F1346" i="27" s="1"/>
  <c r="R70" i="32" a="1"/>
  <c r="R70" i="32" s="1"/>
  <c r="D70" i="32" s="1"/>
  <c r="R86" i="32" a="1"/>
  <c r="R86" i="32" s="1"/>
  <c r="D86" i="32" s="1"/>
  <c r="R30" i="32" a="1"/>
  <c r="R30" i="32" s="1"/>
  <c r="D30" i="32" s="1"/>
  <c r="R64" i="32" a="1"/>
  <c r="R64" i="32" s="1"/>
  <c r="D64" i="32" s="1"/>
  <c r="S108" i="32" a="1"/>
  <c r="S108" i="32" s="1"/>
  <c r="E108" i="32" s="1"/>
  <c r="F1382" i="27" s="1"/>
  <c r="T100" i="32" a="1"/>
  <c r="T100" i="32" s="1"/>
  <c r="M1378" i="27" s="1"/>
  <c r="A1378" i="27" s="1"/>
  <c r="T136" i="32" a="1"/>
  <c r="T136" i="32" s="1"/>
  <c r="M1396" i="27" s="1"/>
  <c r="A1396" i="27" s="1"/>
  <c r="R56" i="32" a="1"/>
  <c r="R56" i="32" s="1"/>
  <c r="D56" i="32" s="1"/>
  <c r="T158" i="32" a="1"/>
  <c r="T158" i="32" s="1"/>
  <c r="T94" i="32" a="1"/>
  <c r="T94" i="32" s="1"/>
  <c r="R96" i="32" a="1"/>
  <c r="R96" i="32" s="1"/>
  <c r="D96" i="32" s="1"/>
  <c r="S96" i="32" a="1"/>
  <c r="S96" i="32" s="1"/>
  <c r="E96" i="32" s="1"/>
  <c r="F1376" i="27" s="1"/>
  <c r="S110" i="32" a="1"/>
  <c r="S110" i="32" s="1"/>
  <c r="E110" i="32" s="1"/>
  <c r="F1383" i="27" s="1"/>
  <c r="R110" i="32" a="1"/>
  <c r="R110" i="32" s="1"/>
  <c r="D110" i="32" s="1"/>
  <c r="S136" i="32" a="1"/>
  <c r="S136" i="32" s="1"/>
  <c r="E136" i="32" s="1"/>
  <c r="F1396" i="27" s="1"/>
  <c r="T174" i="32" a="1"/>
  <c r="T174" i="32" s="1"/>
  <c r="T200" i="32" a="1"/>
  <c r="T200" i="32" s="1"/>
  <c r="S176" i="32" a="1"/>
  <c r="S176" i="32" s="1"/>
  <c r="E176" i="32" s="1"/>
  <c r="S170" i="32" a="1"/>
  <c r="S170" i="32" s="1"/>
  <c r="E170" i="32" s="1"/>
  <c r="S204" i="32" a="1"/>
  <c r="S204" i="32" s="1"/>
  <c r="E204" i="32" s="1"/>
  <c r="S198" i="32" a="1"/>
  <c r="S198" i="32" s="1"/>
  <c r="E198" i="32" s="1"/>
  <c r="S168" i="32" a="1"/>
  <c r="S168" i="32" s="1"/>
  <c r="E168" i="32" s="1"/>
  <c r="T50" i="32" a="1"/>
  <c r="T50" i="32" s="1"/>
  <c r="R78" i="32" a="1"/>
  <c r="R78" i="32" s="1"/>
  <c r="D78" i="32" s="1"/>
  <c r="R142" i="32" a="1"/>
  <c r="R142" i="32" s="1"/>
  <c r="D142" i="32" s="1"/>
  <c r="S76" i="32" a="1"/>
  <c r="S76" i="32" s="1"/>
  <c r="E76" i="32" s="1"/>
  <c r="F1366" i="27" s="1"/>
  <c r="S106" i="32" a="1"/>
  <c r="S106" i="32" s="1"/>
  <c r="E106" i="32" s="1"/>
  <c r="F1381" i="27" s="1"/>
  <c r="R236" i="32" a="1"/>
  <c r="R236" i="32" s="1"/>
  <c r="D236" i="32" s="1"/>
  <c r="R174" i="32" a="1"/>
  <c r="R174" i="32" s="1"/>
  <c r="D174" i="32" s="1"/>
  <c r="S200" i="32" a="1"/>
  <c r="S200" i="32" s="1"/>
  <c r="E200" i="32" s="1"/>
  <c r="T176" i="32" a="1"/>
  <c r="T176" i="32" s="1"/>
  <c r="T170" i="32" a="1"/>
  <c r="T170" i="32" s="1"/>
  <c r="R204" i="32" a="1"/>
  <c r="R204" i="32" s="1"/>
  <c r="D204" i="32" s="1"/>
  <c r="R198" i="32" a="1"/>
  <c r="R198" i="32" s="1"/>
  <c r="D198" i="32" s="1"/>
  <c r="R168" i="32" a="1"/>
  <c r="R168" i="32" s="1"/>
  <c r="D168" i="32" s="1"/>
  <c r="R50" i="32" a="1"/>
  <c r="R50" i="32" s="1"/>
  <c r="D50" i="32" s="1"/>
  <c r="S78" i="32" a="1"/>
  <c r="S78" i="32" s="1"/>
  <c r="E78" i="32" s="1"/>
  <c r="F1367" i="27" s="1"/>
  <c r="S142" i="32" a="1"/>
  <c r="S142" i="32" s="1"/>
  <c r="E142" i="32" s="1"/>
  <c r="F1399" i="27" s="1"/>
  <c r="T76" i="32" a="1"/>
  <c r="T76" i="32" s="1"/>
  <c r="M1366" i="27" s="1"/>
  <c r="A1366" i="27" s="1"/>
  <c r="R158" i="32" a="1"/>
  <c r="R158" i="32" s="1"/>
  <c r="D158" i="32" s="1"/>
  <c r="T106" i="32" a="1"/>
  <c r="T106" i="32" s="1"/>
  <c r="R94" i="32" a="1"/>
  <c r="R94" i="32" s="1"/>
  <c r="D94" i="32" s="1"/>
  <c r="T46" i="32" a="1"/>
  <c r="T46" i="32" s="1"/>
  <c r="S46" i="32" a="1"/>
  <c r="S46" i="32" s="1"/>
  <c r="E46" i="32" s="1"/>
  <c r="F1351" i="27" s="1"/>
  <c r="T64" i="32" a="1"/>
  <c r="T64" i="32" s="1"/>
  <c r="M1360" i="27" s="1"/>
  <c r="A1360" i="27" s="1"/>
  <c r="S174" i="32" a="1"/>
  <c r="S174" i="32" s="1"/>
  <c r="E174" i="32" s="1"/>
  <c r="R200" i="32" a="1"/>
  <c r="R200" i="32" s="1"/>
  <c r="D200" i="32" s="1"/>
  <c r="R176" i="32" a="1"/>
  <c r="R176" i="32" s="1"/>
  <c r="D176" i="32" s="1"/>
  <c r="R170" i="32" a="1"/>
  <c r="R170" i="32" s="1"/>
  <c r="D170" i="32" s="1"/>
  <c r="T204" i="32" a="1"/>
  <c r="T204" i="32" s="1"/>
  <c r="T198" i="32" a="1"/>
  <c r="T198" i="32" s="1"/>
  <c r="T168" i="32" a="1"/>
  <c r="T168" i="32" s="1"/>
  <c r="S50" i="32" a="1"/>
  <c r="S50" i="32" s="1"/>
  <c r="E50" i="32" s="1"/>
  <c r="F1353" i="27" s="1"/>
  <c r="T78" i="32" a="1"/>
  <c r="T78" i="32" s="1"/>
  <c r="T142" i="32" a="1"/>
  <c r="T142" i="32" s="1"/>
  <c r="R76" i="32" a="1"/>
  <c r="R76" i="32" s="1"/>
  <c r="D76" i="32" s="1"/>
  <c r="S158" i="32" a="1"/>
  <c r="S158" i="32" s="1"/>
  <c r="E158" i="32" s="1"/>
  <c r="F1407" i="27" s="1"/>
  <c r="R106" i="32" a="1"/>
  <c r="R106" i="32" s="1"/>
  <c r="D106" i="32" s="1"/>
  <c r="S94" i="32" a="1"/>
  <c r="S94" i="32" s="1"/>
  <c r="E94" i="32" s="1"/>
  <c r="F1375" i="27" s="1"/>
  <c r="T96" i="32" a="1"/>
  <c r="T96" i="32" s="1"/>
  <c r="M1376" i="27" s="1"/>
  <c r="A1376" i="27" s="1"/>
  <c r="S214" i="32" a="1"/>
  <c r="S214" i="32" s="1"/>
  <c r="E214" i="32" s="1"/>
  <c r="S196" i="32" a="1"/>
  <c r="S196" i="32" s="1"/>
  <c r="E196" i="32" s="1"/>
  <c r="S262" i="32" a="1"/>
  <c r="S262" i="32" s="1"/>
  <c r="E262" i="32" s="1"/>
  <c r="S254" i="32" a="1"/>
  <c r="S254" i="32" s="1"/>
  <c r="E254" i="32" s="1"/>
  <c r="S206" i="32" a="1"/>
  <c r="S206" i="32" s="1"/>
  <c r="E206" i="32" s="1"/>
  <c r="S226" i="32" a="1"/>
  <c r="S226" i="32" s="1"/>
  <c r="E226" i="32" s="1"/>
  <c r="T172" i="32" a="1"/>
  <c r="T172" i="32" s="1"/>
  <c r="S192" i="32" a="1"/>
  <c r="S192" i="32" s="1"/>
  <c r="E192" i="32" s="1"/>
  <c r="R82" i="32" a="1"/>
  <c r="R82" i="32" s="1"/>
  <c r="D82" i="32" s="1"/>
  <c r="R146" i="32" a="1"/>
  <c r="R146" i="32" s="1"/>
  <c r="D146" i="32" s="1"/>
  <c r="R126" i="32" a="1"/>
  <c r="R126" i="32" s="1"/>
  <c r="D126" i="32" s="1"/>
  <c r="S80" i="32" a="1"/>
  <c r="S80" i="32" s="1"/>
  <c r="E80" i="32" s="1"/>
  <c r="F1368" i="27" s="1"/>
  <c r="S148" i="32" a="1"/>
  <c r="S148" i="32" s="1"/>
  <c r="E148" i="32" s="1"/>
  <c r="F1402" i="27" s="1"/>
  <c r="S68" i="32" a="1"/>
  <c r="S68" i="32" s="1"/>
  <c r="E68" i="32" s="1"/>
  <c r="F1362" i="27" s="1"/>
  <c r="R196" i="32" a="1"/>
  <c r="R196" i="32" s="1"/>
  <c r="D196" i="32" s="1"/>
  <c r="T262" i="32" a="1"/>
  <c r="T262" i="32" s="1"/>
  <c r="R254" i="32" a="1"/>
  <c r="R254" i="32" s="1"/>
  <c r="D254" i="32" s="1"/>
  <c r="T206" i="32" a="1"/>
  <c r="T206" i="32" s="1"/>
  <c r="R226" i="32" a="1"/>
  <c r="R226" i="32" s="1"/>
  <c r="D226" i="32" s="1"/>
  <c r="R172" i="32" a="1"/>
  <c r="R172" i="32" s="1"/>
  <c r="D172" i="32" s="1"/>
  <c r="R192" i="32" a="1"/>
  <c r="R192" i="32" s="1"/>
  <c r="D192" i="32" s="1"/>
  <c r="S82" i="32" a="1"/>
  <c r="S82" i="32" s="1"/>
  <c r="E82" i="32" s="1"/>
  <c r="F1369" i="27" s="1"/>
  <c r="S146" i="32" a="1"/>
  <c r="S146" i="32" s="1"/>
  <c r="E146" i="32" s="1"/>
  <c r="F1401" i="27" s="1"/>
  <c r="S126" i="32" a="1"/>
  <c r="S126" i="32" s="1"/>
  <c r="E126" i="32" s="1"/>
  <c r="F1391" i="27" s="1"/>
  <c r="T80" i="32" a="1"/>
  <c r="T80" i="32" s="1"/>
  <c r="M1368" i="27" s="1"/>
  <c r="A1368" i="27" s="1"/>
  <c r="T148" i="32" a="1"/>
  <c r="T148" i="32" s="1"/>
  <c r="M1402" i="27" s="1"/>
  <c r="A1402" i="27" s="1"/>
  <c r="T68" i="32" a="1"/>
  <c r="T68" i="32" s="1"/>
  <c r="M1362" i="27" s="1"/>
  <c r="A1362" i="27" s="1"/>
  <c r="R46" i="32" a="1"/>
  <c r="R46" i="32" s="1"/>
  <c r="D46" i="32" s="1"/>
  <c r="T196" i="32" a="1"/>
  <c r="T196" i="32" s="1"/>
  <c r="R262" i="32" a="1"/>
  <c r="R262" i="32" s="1"/>
  <c r="D262" i="32" s="1"/>
  <c r="T254" i="32" a="1"/>
  <c r="T254" i="32" s="1"/>
  <c r="R206" i="32" a="1"/>
  <c r="R206" i="32" s="1"/>
  <c r="D206" i="32" s="1"/>
  <c r="T226" i="32" a="1"/>
  <c r="T226" i="32" s="1"/>
  <c r="S172" i="32" a="1"/>
  <c r="S172" i="32" s="1"/>
  <c r="E172" i="32" s="1"/>
  <c r="T192" i="32" a="1"/>
  <c r="T192" i="32" s="1"/>
  <c r="T82" i="32" a="1"/>
  <c r="T82" i="32" s="1"/>
  <c r="T146" i="32" a="1"/>
  <c r="T146" i="32" s="1"/>
  <c r="T126" i="32" a="1"/>
  <c r="T126" i="32" s="1"/>
  <c r="R80" i="32" a="1"/>
  <c r="R80" i="32" s="1"/>
  <c r="D80" i="32" s="1"/>
  <c r="R148" i="32" a="1"/>
  <c r="R148" i="32" s="1"/>
  <c r="D148" i="32" s="1"/>
  <c r="R68" i="32" a="1"/>
  <c r="R68" i="32" s="1"/>
  <c r="D68" i="32" s="1"/>
  <c r="T110" i="32" a="1"/>
  <c r="T110" i="32" s="1"/>
  <c r="S252" i="32" a="1"/>
  <c r="S252" i="32" s="1"/>
  <c r="E252" i="32" s="1"/>
  <c r="S250" i="32" a="1"/>
  <c r="S250" i="32" s="1"/>
  <c r="E250" i="32" s="1"/>
  <c r="S210" i="32" a="1"/>
  <c r="S210" i="32" s="1"/>
  <c r="E210" i="32" s="1"/>
  <c r="R188" i="32" a="1"/>
  <c r="R188" i="32" s="1"/>
  <c r="D188" i="32" s="1"/>
  <c r="S258" i="32" a="1"/>
  <c r="S258" i="32" s="1"/>
  <c r="E258" i="32" s="1"/>
  <c r="S216" i="32" a="1"/>
  <c r="S216" i="32" s="1"/>
  <c r="E216" i="32" s="1"/>
  <c r="R228" i="32" a="1"/>
  <c r="R228" i="32" s="1"/>
  <c r="D228" i="32" s="1"/>
  <c r="S128" i="32" a="1"/>
  <c r="S128" i="32" s="1"/>
  <c r="E128" i="32" s="1"/>
  <c r="F1392" i="27" s="1"/>
  <c r="S122" i="32" a="1"/>
  <c r="S122" i="32" s="1"/>
  <c r="E122" i="32" s="1"/>
  <c r="F1389" i="27" s="1"/>
  <c r="T98" i="32" a="1"/>
  <c r="T98" i="32" s="1"/>
  <c r="S58" i="32" a="1"/>
  <c r="S58" i="32" s="1"/>
  <c r="E58" i="32" s="1"/>
  <c r="F1357" i="27" s="1"/>
  <c r="S144" i="32" a="1"/>
  <c r="S144" i="32" s="1"/>
  <c r="E144" i="32" s="1"/>
  <c r="F1400" i="27" s="1"/>
  <c r="S118" i="32" a="1"/>
  <c r="S118" i="32" s="1"/>
  <c r="E118" i="32" s="1"/>
  <c r="F1387" i="27" s="1"/>
  <c r="S150" i="32" a="1"/>
  <c r="S150" i="32" s="1"/>
  <c r="E150" i="32" s="1"/>
  <c r="F1403" i="27" s="1"/>
  <c r="T152" i="32" a="1"/>
  <c r="T152" i="32" s="1"/>
  <c r="M1404" i="27" s="1"/>
  <c r="A1404" i="27" s="1"/>
  <c r="R252" i="32" a="1"/>
  <c r="R252" i="32" s="1"/>
  <c r="D252" i="32" s="1"/>
  <c r="T250" i="32" a="1"/>
  <c r="T250" i="32" s="1"/>
  <c r="R210" i="32" a="1"/>
  <c r="R210" i="32" s="1"/>
  <c r="D210" i="32" s="1"/>
  <c r="S188" i="32" a="1"/>
  <c r="S188" i="32" s="1"/>
  <c r="E188" i="32" s="1"/>
  <c r="R258" i="32" a="1"/>
  <c r="R258" i="32" s="1"/>
  <c r="D258" i="32" s="1"/>
  <c r="T216" i="32" a="1"/>
  <c r="T216" i="32" s="1"/>
  <c r="S228" i="32" a="1"/>
  <c r="S228" i="32" s="1"/>
  <c r="E228" i="32" s="1"/>
  <c r="T128" i="32" a="1"/>
  <c r="T128" i="32" s="1"/>
  <c r="M1392" i="27" s="1"/>
  <c r="A1392" i="27" s="1"/>
  <c r="T122" i="32" a="1"/>
  <c r="T122" i="32" s="1"/>
  <c r="R98" i="32" a="1"/>
  <c r="R98" i="32" s="1"/>
  <c r="D98" i="32" s="1"/>
  <c r="T58" i="32" a="1"/>
  <c r="T58" i="32" s="1"/>
  <c r="T144" i="32" a="1"/>
  <c r="T144" i="32" s="1"/>
  <c r="M1400" i="27" s="1"/>
  <c r="A1400" i="27" s="1"/>
  <c r="R118" i="32" a="1"/>
  <c r="R118" i="32" s="1"/>
  <c r="D118" i="32" s="1"/>
  <c r="T150" i="32" a="1"/>
  <c r="T150" i="32" s="1"/>
  <c r="R152" i="32" a="1"/>
  <c r="R152" i="32" s="1"/>
  <c r="D152" i="32" s="1"/>
  <c r="R100" i="32" a="1"/>
  <c r="R100" i="32" s="1"/>
  <c r="D100" i="32" s="1"/>
  <c r="T252" i="32" a="1"/>
  <c r="T252" i="32" s="1"/>
  <c r="R250" i="32" a="1"/>
  <c r="R250" i="32" s="1"/>
  <c r="D250" i="32" s="1"/>
  <c r="T210" i="32" a="1"/>
  <c r="T210" i="32" s="1"/>
  <c r="T188" i="32" a="1"/>
  <c r="T188" i="32" s="1"/>
  <c r="T258" i="32" a="1"/>
  <c r="T258" i="32" s="1"/>
  <c r="R216" i="32" a="1"/>
  <c r="R216" i="32" s="1"/>
  <c r="D216" i="32" s="1"/>
  <c r="T228" i="32" a="1"/>
  <c r="T228" i="32" s="1"/>
  <c r="R128" i="32" a="1"/>
  <c r="R128" i="32" s="1"/>
  <c r="D128" i="32" s="1"/>
  <c r="R122" i="32" a="1"/>
  <c r="R122" i="32" s="1"/>
  <c r="D122" i="32" s="1"/>
  <c r="S98" i="32" a="1"/>
  <c r="S98" i="32" s="1"/>
  <c r="E98" i="32" s="1"/>
  <c r="F1377" i="27" s="1"/>
  <c r="R58" i="32" a="1"/>
  <c r="R58" i="32" s="1"/>
  <c r="D58" i="32" s="1"/>
  <c r="R144" i="32" a="1"/>
  <c r="R144" i="32" s="1"/>
  <c r="D144" i="32" s="1"/>
  <c r="T118" i="32" a="1"/>
  <c r="T118" i="32" s="1"/>
  <c r="R150" i="32" a="1"/>
  <c r="R150" i="32" s="1"/>
  <c r="D150" i="32" s="1"/>
  <c r="S152" i="32" a="1"/>
  <c r="S152" i="32" s="1"/>
  <c r="E152" i="32" s="1"/>
  <c r="F1404" i="27" s="1"/>
  <c r="R108" i="32" a="1"/>
  <c r="R108" i="32" s="1"/>
  <c r="D108" i="32" s="1"/>
  <c r="T260" i="32" a="1"/>
  <c r="T260" i="32" s="1"/>
  <c r="T162" i="32" a="1"/>
  <c r="T162" i="32" s="1"/>
  <c r="R164" i="32" a="1"/>
  <c r="R164" i="32" s="1"/>
  <c r="D164" i="32" s="1"/>
  <c r="T264" i="32" a="1"/>
  <c r="T264" i="32" s="1"/>
  <c r="S266" i="32" a="1"/>
  <c r="S266" i="32" s="1"/>
  <c r="E266" i="32" s="1"/>
  <c r="S218" i="32" a="1"/>
  <c r="S218" i="32" s="1"/>
  <c r="E218" i="32" s="1"/>
  <c r="T232" i="32" a="1"/>
  <c r="T232" i="32" s="1"/>
  <c r="S54" i="32" a="1"/>
  <c r="S54" i="32" s="1"/>
  <c r="E54" i="32" s="1"/>
  <c r="F1355" i="27" s="1"/>
  <c r="T104" i="32" a="1"/>
  <c r="T104" i="32" s="1"/>
  <c r="M1380" i="27" s="1"/>
  <c r="A1380" i="27" s="1"/>
  <c r="S102" i="32" a="1"/>
  <c r="S102" i="32" s="1"/>
  <c r="E102" i="32" s="1"/>
  <c r="F1379" i="27" s="1"/>
  <c r="T34" i="32" a="1"/>
  <c r="T34" i="32" s="1"/>
  <c r="T72" i="32" a="1"/>
  <c r="T72" i="32" s="1"/>
  <c r="M1364" i="27" s="1"/>
  <c r="A1364" i="27" s="1"/>
  <c r="T74" i="32" a="1"/>
  <c r="T74" i="32" s="1"/>
  <c r="T116" i="32" a="1"/>
  <c r="T116" i="32" s="1"/>
  <c r="M1386" i="27" s="1"/>
  <c r="A1386" i="27" s="1"/>
  <c r="R52" i="32" a="1"/>
  <c r="R52" i="32" s="1"/>
  <c r="D52" i="32" s="1"/>
  <c r="S60" i="32" a="1"/>
  <c r="S60" i="32" s="1"/>
  <c r="E60" i="32" s="1"/>
  <c r="F1358" i="27" s="1"/>
  <c r="S90" i="32" a="1"/>
  <c r="S90" i="32" s="1"/>
  <c r="E90" i="32" s="1"/>
  <c r="F1373" i="27" s="1"/>
  <c r="S132" i="32" a="1"/>
  <c r="S132" i="32" s="1"/>
  <c r="E132" i="32" s="1"/>
  <c r="F1394" i="27" s="1"/>
  <c r="S112" i="32" a="1"/>
  <c r="S112" i="32" s="1"/>
  <c r="E112" i="32" s="1"/>
  <c r="F1384" i="27" s="1"/>
  <c r="T120" i="32" a="1"/>
  <c r="T120" i="32" s="1"/>
  <c r="M1388" i="27" s="1"/>
  <c r="A1388" i="27" s="1"/>
  <c r="S202" i="32" a="1"/>
  <c r="S202" i="32" s="1"/>
  <c r="E202" i="32" s="1"/>
  <c r="S260" i="32" a="1"/>
  <c r="S260" i="32" s="1"/>
  <c r="E260" i="32" s="1"/>
  <c r="R162" i="32" a="1"/>
  <c r="R162" i="32" s="1"/>
  <c r="D162" i="32" s="1"/>
  <c r="S164" i="32" a="1"/>
  <c r="S164" i="32" s="1"/>
  <c r="E164" i="32" s="1"/>
  <c r="R264" i="32" a="1"/>
  <c r="R264" i="32" s="1"/>
  <c r="D264" i="32" s="1"/>
  <c r="R266" i="32" a="1"/>
  <c r="R266" i="32" s="1"/>
  <c r="D266" i="32" s="1"/>
  <c r="R218" i="32" a="1"/>
  <c r="R218" i="32" s="1"/>
  <c r="D218" i="32" s="1"/>
  <c r="R232" i="32" a="1"/>
  <c r="R232" i="32" s="1"/>
  <c r="D232" i="32" s="1"/>
  <c r="T54" i="32" a="1"/>
  <c r="T54" i="32" s="1"/>
  <c r="S104" i="32" a="1"/>
  <c r="S104" i="32" s="1"/>
  <c r="E104" i="32" s="1"/>
  <c r="F1380" i="27" s="1"/>
  <c r="T102" i="32" a="1"/>
  <c r="T102" i="32" s="1"/>
  <c r="S34" i="32" a="1"/>
  <c r="S34" i="32" s="1"/>
  <c r="E34" i="32" s="1"/>
  <c r="F1345" i="27" s="1"/>
  <c r="R72" i="32" a="1"/>
  <c r="R72" i="32" s="1"/>
  <c r="D72" i="32" s="1"/>
  <c r="R74" i="32" a="1"/>
  <c r="R74" i="32" s="1"/>
  <c r="D74" i="32" s="1"/>
  <c r="R116" i="32" a="1"/>
  <c r="R116" i="32" s="1"/>
  <c r="D116" i="32" s="1"/>
  <c r="S52" i="32" a="1"/>
  <c r="S52" i="32" s="1"/>
  <c r="E52" i="32" s="1"/>
  <c r="F1354" i="27" s="1"/>
  <c r="T90" i="32" a="1"/>
  <c r="T90" i="32" s="1"/>
  <c r="T60" i="32" a="1"/>
  <c r="T60" i="32" s="1"/>
  <c r="M1358" i="27" s="1"/>
  <c r="A1358" i="27" s="1"/>
  <c r="R112" i="32" a="1"/>
  <c r="R112" i="32" s="1"/>
  <c r="D112" i="32" s="1"/>
  <c r="T132" i="32" a="1"/>
  <c r="T132" i="32" s="1"/>
  <c r="M1394" i="27" s="1"/>
  <c r="A1394" i="27" s="1"/>
  <c r="S120" i="32" a="1"/>
  <c r="S120" i="32" s="1"/>
  <c r="E120" i="32" s="1"/>
  <c r="F1388" i="27" s="1"/>
  <c r="T242" i="32" a="1"/>
  <c r="T242" i="32" s="1"/>
  <c r="R136" i="32" a="1"/>
  <c r="R136" i="32" s="1"/>
  <c r="D136" i="32" s="1"/>
  <c r="R260" i="32" a="1"/>
  <c r="R260" i="32" s="1"/>
  <c r="D260" i="32" s="1"/>
  <c r="S162" i="32" a="1"/>
  <c r="S162" i="32" s="1"/>
  <c r="E162" i="32" s="1"/>
  <c r="T164" i="32" a="1"/>
  <c r="T164" i="32" s="1"/>
  <c r="S264" i="32" a="1"/>
  <c r="S264" i="32" s="1"/>
  <c r="E264" i="32" s="1"/>
  <c r="T266" i="32" a="1"/>
  <c r="T266" i="32" s="1"/>
  <c r="T218" i="32" a="1"/>
  <c r="T218" i="32" s="1"/>
  <c r="S232" i="32" a="1"/>
  <c r="S232" i="32" s="1"/>
  <c r="E232" i="32" s="1"/>
  <c r="R54" i="32" a="1"/>
  <c r="R54" i="32" s="1"/>
  <c r="D54" i="32" s="1"/>
  <c r="R104" i="32" a="1"/>
  <c r="R104" i="32" s="1"/>
  <c r="D104" i="32" s="1"/>
  <c r="R102" i="32" a="1"/>
  <c r="R102" i="32" s="1"/>
  <c r="D102" i="32" s="1"/>
  <c r="R34" i="32" a="1"/>
  <c r="R34" i="32" s="1"/>
  <c r="D34" i="32" s="1"/>
  <c r="S72" i="32" a="1"/>
  <c r="S72" i="32" s="1"/>
  <c r="E72" i="32" s="1"/>
  <c r="F1364" i="27" s="1"/>
  <c r="S74" i="32" a="1"/>
  <c r="S74" i="32" s="1"/>
  <c r="E74" i="32" s="1"/>
  <c r="F1365" i="27" s="1"/>
  <c r="S116" i="32" a="1"/>
  <c r="S116" i="32" s="1"/>
  <c r="E116" i="32" s="1"/>
  <c r="F1386" i="27" s="1"/>
  <c r="T52" i="32" a="1"/>
  <c r="T52" i="32" s="1"/>
  <c r="M1354" i="27" s="1"/>
  <c r="A1354" i="27" s="1"/>
  <c r="R42" i="32" a="1"/>
  <c r="R42" i="32" s="1"/>
  <c r="D42" i="32" s="1"/>
  <c r="R90" i="32" a="1"/>
  <c r="R90" i="32" s="1"/>
  <c r="D90" i="32" s="1"/>
  <c r="T88" i="32" a="1"/>
  <c r="T88" i="32" s="1"/>
  <c r="M1372" i="27" s="1"/>
  <c r="A1372" i="27" s="1"/>
  <c r="R140" i="32" a="1"/>
  <c r="R140" i="32" s="1"/>
  <c r="D140" i="32" s="1"/>
  <c r="R120" i="32" a="1"/>
  <c r="R120" i="32" s="1"/>
  <c r="D120" i="32" s="1"/>
  <c r="R208" i="32" a="1"/>
  <c r="R208" i="32" s="1"/>
  <c r="D208" i="32" s="1"/>
  <c r="S56" i="32" a="1"/>
  <c r="S56" i="32" s="1"/>
  <c r="E56" i="32" s="1"/>
  <c r="F1356" i="27" s="1"/>
  <c r="R220" i="32" a="1"/>
  <c r="R220" i="32" s="1"/>
  <c r="D220" i="32" s="1"/>
  <c r="S166" i="32" a="1"/>
  <c r="S166" i="32" s="1"/>
  <c r="E166" i="32" s="1"/>
  <c r="S222" i="32" a="1"/>
  <c r="S222" i="32" s="1"/>
  <c r="E222" i="32" s="1"/>
  <c r="R224" i="32" a="1"/>
  <c r="R224" i="32" s="1"/>
  <c r="D224" i="32" s="1"/>
  <c r="T212" i="32" a="1"/>
  <c r="T212" i="32" s="1"/>
  <c r="T180" i="32" a="1"/>
  <c r="T180" i="32" s="1"/>
  <c r="S238" i="32" a="1"/>
  <c r="S238" i="32" s="1"/>
  <c r="E238" i="32" s="1"/>
  <c r="S84" i="32" a="1"/>
  <c r="S84" i="32" s="1"/>
  <c r="E84" i="32" s="1"/>
  <c r="F1370" i="27" s="1"/>
  <c r="R92" i="32" a="1"/>
  <c r="R92" i="32" s="1"/>
  <c r="D92" i="32" s="1"/>
  <c r="R66" i="32" a="1"/>
  <c r="R66" i="32" s="1"/>
  <c r="D66" i="32" s="1"/>
  <c r="S40" i="32" a="1"/>
  <c r="S40" i="32" s="1"/>
  <c r="E40" i="32" s="1"/>
  <c r="F1348" i="27" s="1"/>
  <c r="R160" i="32" a="1"/>
  <c r="R160" i="32" s="1"/>
  <c r="D160" i="32" s="1"/>
  <c r="R60" i="32" a="1"/>
  <c r="R60" i="32" s="1"/>
  <c r="D60" i="32" s="1"/>
  <c r="T112" i="32" a="1"/>
  <c r="T112" i="32" s="1"/>
  <c r="M1384" i="27" s="1"/>
  <c r="A1384" i="27" s="1"/>
  <c r="T36" i="32" a="1"/>
  <c r="T36" i="32" s="1"/>
  <c r="M1346" i="27" s="1"/>
  <c r="A1346" i="27" s="1"/>
  <c r="T220" i="32" a="1"/>
  <c r="T220" i="32" s="1"/>
  <c r="T166" i="32" a="1"/>
  <c r="T166" i="32" s="1"/>
  <c r="T222" i="32" a="1"/>
  <c r="T222" i="32" s="1"/>
  <c r="S224" i="32" a="1"/>
  <c r="S224" i="32" s="1"/>
  <c r="E224" i="32" s="1"/>
  <c r="S212" i="32" a="1"/>
  <c r="S212" i="32" s="1"/>
  <c r="E212" i="32" s="1"/>
  <c r="R180" i="32" a="1"/>
  <c r="R180" i="32" s="1"/>
  <c r="D180" i="32" s="1"/>
  <c r="T238" i="32" a="1"/>
  <c r="T238" i="32" s="1"/>
  <c r="T84" i="32" a="1"/>
  <c r="T84" i="32" s="1"/>
  <c r="M1370" i="27" s="1"/>
  <c r="A1370" i="27" s="1"/>
  <c r="S92" i="32" a="1"/>
  <c r="S92" i="32" s="1"/>
  <c r="E92" i="32" s="1"/>
  <c r="F1374" i="27" s="1"/>
  <c r="S66" i="32" a="1"/>
  <c r="S66" i="32" s="1"/>
  <c r="E66" i="32" s="1"/>
  <c r="F1361" i="27" s="1"/>
  <c r="T40" i="32" a="1"/>
  <c r="T40" i="32" s="1"/>
  <c r="M1348" i="27" s="1"/>
  <c r="A1348" i="27" s="1"/>
  <c r="S160" i="32" a="1"/>
  <c r="S160" i="32" s="1"/>
  <c r="E160" i="32" s="1"/>
  <c r="S42" i="32" a="1"/>
  <c r="S42" i="32" s="1"/>
  <c r="E42" i="32" s="1"/>
  <c r="F1349" i="27" s="1"/>
  <c r="T140" i="32" a="1"/>
  <c r="T140" i="32" s="1"/>
  <c r="M1398" i="27" s="1"/>
  <c r="A1398" i="27" s="1"/>
  <c r="S246" i="32" a="1"/>
  <c r="S246" i="32" s="1"/>
  <c r="E246" i="32" s="1"/>
  <c r="S220" i="32" a="1"/>
  <c r="S220" i="32" s="1"/>
  <c r="E220" i="32" s="1"/>
  <c r="R166" i="32" a="1"/>
  <c r="R166" i="32" s="1"/>
  <c r="D166" i="32" s="1"/>
  <c r="R222" i="32" a="1"/>
  <c r="R222" i="32" s="1"/>
  <c r="D222" i="32" s="1"/>
  <c r="T224" i="32" a="1"/>
  <c r="T224" i="32" s="1"/>
  <c r="R212" i="32" a="1"/>
  <c r="R212" i="32" s="1"/>
  <c r="D212" i="32" s="1"/>
  <c r="S180" i="32" a="1"/>
  <c r="S180" i="32" s="1"/>
  <c r="E180" i="32" s="1"/>
  <c r="R238" i="32" a="1"/>
  <c r="R238" i="32" s="1"/>
  <c r="D238" i="32" s="1"/>
  <c r="R84" i="32" a="1"/>
  <c r="R84" i="32" s="1"/>
  <c r="D84" i="32" s="1"/>
  <c r="T92" i="32" a="1"/>
  <c r="T92" i="32" s="1"/>
  <c r="M1374" i="27" s="1"/>
  <c r="A1374" i="27" s="1"/>
  <c r="T66" i="32" a="1"/>
  <c r="T66" i="32" s="1"/>
  <c r="R40" i="32" a="1"/>
  <c r="R40" i="32" s="1"/>
  <c r="D40" i="32" s="1"/>
  <c r="T160" i="32" a="1"/>
  <c r="T160" i="32" s="1"/>
  <c r="T42" i="32" a="1"/>
  <c r="T42" i="32" s="1"/>
  <c r="R132" i="32" a="1"/>
  <c r="R132" i="32" s="1"/>
  <c r="D132" i="32" s="1"/>
  <c r="R182" i="32" a="1"/>
  <c r="R182" i="32" s="1"/>
  <c r="D182" i="32" s="1"/>
  <c r="R184" i="32" a="1"/>
  <c r="R184" i="32" s="1"/>
  <c r="D184" i="32" s="1"/>
  <c r="S186" i="32" a="1"/>
  <c r="S186" i="32" s="1"/>
  <c r="E186" i="32" s="1"/>
  <c r="R178" i="32" a="1"/>
  <c r="R178" i="32" s="1"/>
  <c r="D178" i="32" s="1"/>
  <c r="S194" i="32" a="1"/>
  <c r="S194" i="32" s="1"/>
  <c r="E194" i="32" s="1"/>
  <c r="S268" i="32" a="1"/>
  <c r="S268" i="32" s="1"/>
  <c r="E268" i="32" s="1"/>
  <c r="S190" i="32" a="1"/>
  <c r="S190" i="32" s="1"/>
  <c r="E190" i="32" s="1"/>
  <c r="R44" i="32" a="1"/>
  <c r="R44" i="32" s="1"/>
  <c r="D44" i="32" s="1"/>
  <c r="R48" i="32" a="1"/>
  <c r="R48" i="32" s="1"/>
  <c r="D48" i="32" s="1"/>
  <c r="R156" i="32" a="1"/>
  <c r="R156" i="32" s="1"/>
  <c r="D156" i="32" s="1"/>
  <c r="R130" i="32" a="1"/>
  <c r="R130" i="32" s="1"/>
  <c r="D130" i="32" s="1"/>
  <c r="S140" i="32" a="1"/>
  <c r="S140" i="32" s="1"/>
  <c r="E140" i="32" s="1"/>
  <c r="F1398" i="27" s="1"/>
  <c r="S182" i="32" a="1"/>
  <c r="S182" i="32" s="1"/>
  <c r="E182" i="32" s="1"/>
  <c r="S184" i="32" a="1"/>
  <c r="S184" i="32" s="1"/>
  <c r="E184" i="32" s="1"/>
  <c r="T186" i="32" a="1"/>
  <c r="T186" i="32" s="1"/>
  <c r="S178" i="32" a="1"/>
  <c r="S178" i="32" s="1"/>
  <c r="E178" i="32" s="1"/>
  <c r="R194" i="32" a="1"/>
  <c r="R194" i="32" s="1"/>
  <c r="D194" i="32" s="1"/>
  <c r="R268" i="32" a="1"/>
  <c r="R268" i="32" s="1"/>
  <c r="D268" i="32" s="1"/>
  <c r="T190" i="32" a="1"/>
  <c r="T190" i="32" s="1"/>
  <c r="S44" i="32" a="1"/>
  <c r="S44" i="32" s="1"/>
  <c r="E44" i="32" s="1"/>
  <c r="F1350" i="27" s="1"/>
  <c r="S48" i="32" a="1"/>
  <c r="S48" i="32" s="1"/>
  <c r="E48" i="32" s="1"/>
  <c r="F1352" i="27" s="1"/>
  <c r="S156" i="32" a="1"/>
  <c r="S156" i="32" s="1"/>
  <c r="E156" i="32" s="1"/>
  <c r="F1406" i="27" s="1"/>
  <c r="S130" i="32" a="1"/>
  <c r="S130" i="32" s="1"/>
  <c r="E130" i="32" s="1"/>
  <c r="F1393" i="27" s="1"/>
  <c r="R88" i="32" a="1"/>
  <c r="R88" i="32" s="1"/>
  <c r="D88" i="32" s="1"/>
  <c r="T182" i="32" a="1"/>
  <c r="T182" i="32" s="1"/>
  <c r="T184" i="32" a="1"/>
  <c r="T184" i="32" s="1"/>
  <c r="R186" i="32" a="1"/>
  <c r="R186" i="32" s="1"/>
  <c r="D186" i="32" s="1"/>
  <c r="T178" i="32" a="1"/>
  <c r="T178" i="32" s="1"/>
  <c r="T194" i="32" a="1"/>
  <c r="T194" i="32" s="1"/>
  <c r="T268" i="32" a="1"/>
  <c r="T268" i="32" s="1"/>
  <c r="R190" i="32" a="1"/>
  <c r="R190" i="32" s="1"/>
  <c r="D190" i="32" s="1"/>
  <c r="T44" i="32" a="1"/>
  <c r="T44" i="32" s="1"/>
  <c r="M1350" i="27" s="1"/>
  <c r="A1350" i="27" s="1"/>
  <c r="T48" i="32" a="1"/>
  <c r="T48" i="32" s="1"/>
  <c r="M1352" i="27" s="1"/>
  <c r="A1352" i="27" s="1"/>
  <c r="T156" i="32" a="1"/>
  <c r="T156" i="32" s="1"/>
  <c r="M1406" i="27" s="1"/>
  <c r="A1406" i="27" s="1"/>
  <c r="T130" i="32" a="1"/>
  <c r="T130" i="32" s="1"/>
  <c r="S88" i="32" a="1"/>
  <c r="S88" i="32" s="1"/>
  <c r="E88" i="32" s="1"/>
  <c r="F1372" i="27" s="1"/>
  <c r="T56" i="32" a="1"/>
  <c r="T56" i="32" s="1"/>
  <c r="M1356" i="27" s="1"/>
  <c r="A1356" i="27" s="1"/>
  <c r="S240" i="32" a="1"/>
  <c r="S240" i="32" s="1"/>
  <c r="E240" i="32" s="1"/>
  <c r="S234" i="32" a="1"/>
  <c r="S234" i="32" s="1"/>
  <c r="E234" i="32" s="1"/>
  <c r="S244" i="32" a="1"/>
  <c r="S244" i="32" s="1"/>
  <c r="E244" i="32" s="1"/>
  <c r="T248" i="32" a="1"/>
  <c r="T248" i="32" s="1"/>
  <c r="S230" i="32" a="1"/>
  <c r="S230" i="32" s="1"/>
  <c r="E230" i="32" s="1"/>
  <c r="R256" i="32" a="1"/>
  <c r="R256" i="32" s="1"/>
  <c r="D256" i="32" s="1"/>
  <c r="S62" i="32" a="1"/>
  <c r="S62" i="32" s="1"/>
  <c r="E62" i="32" s="1"/>
  <c r="F1359" i="27" s="1"/>
  <c r="T114" i="32" a="1"/>
  <c r="T114" i="32" s="1"/>
  <c r="R38" i="32" a="1"/>
  <c r="R38" i="32" s="1"/>
  <c r="D38" i="32" s="1"/>
  <c r="T32" i="32" a="1"/>
  <c r="T32" i="32" s="1"/>
  <c r="M1344" i="27" s="1"/>
  <c r="A1344" i="27" s="1"/>
  <c r="R138" i="32" a="1"/>
  <c r="R138" i="32" s="1"/>
  <c r="D138" i="32" s="1"/>
  <c r="T154" i="32" a="1"/>
  <c r="T154" i="32" s="1"/>
  <c r="T134" i="32" a="1"/>
  <c r="T134" i="32" s="1"/>
  <c r="S124" i="32" a="1"/>
  <c r="S124" i="32" s="1"/>
  <c r="E124" i="32" s="1"/>
  <c r="F1390" i="27" s="1"/>
  <c r="S86" i="32" a="1"/>
  <c r="S86" i="32" s="1"/>
  <c r="E86" i="32" s="1"/>
  <c r="F1371" i="27" s="1"/>
  <c r="R240" i="32" a="1"/>
  <c r="R240" i="32" s="1"/>
  <c r="D240" i="32" s="1"/>
  <c r="R234" i="32" a="1"/>
  <c r="R234" i="32" s="1"/>
  <c r="D234" i="32" s="1"/>
  <c r="R244" i="32" a="1"/>
  <c r="R244" i="32" s="1"/>
  <c r="D244" i="32" s="1"/>
  <c r="S248" i="32" a="1"/>
  <c r="S248" i="32" s="1"/>
  <c r="E248" i="32" s="1"/>
  <c r="T230" i="32" a="1"/>
  <c r="T230" i="32" s="1"/>
  <c r="T256" i="32" a="1"/>
  <c r="T256" i="32" s="1"/>
  <c r="T62" i="32" a="1"/>
  <c r="T62" i="32" s="1"/>
  <c r="S114" i="32" a="1"/>
  <c r="S114" i="32" s="1"/>
  <c r="E114" i="32" s="1"/>
  <c r="F1385" i="27" s="1"/>
  <c r="S38" i="32" a="1"/>
  <c r="S38" i="32" s="1"/>
  <c r="E38" i="32" s="1"/>
  <c r="F1347" i="27" s="1"/>
  <c r="R32" i="32" a="1"/>
  <c r="R32" i="32" s="1"/>
  <c r="D32" i="32" s="1"/>
  <c r="S138" i="32" a="1"/>
  <c r="S138" i="32" s="1"/>
  <c r="E138" i="32" s="1"/>
  <c r="F1397" i="27" s="1"/>
  <c r="R154" i="32" a="1"/>
  <c r="R154" i="32" s="1"/>
  <c r="D154" i="32" s="1"/>
  <c r="R134" i="32" a="1"/>
  <c r="R134" i="32" s="1"/>
  <c r="D134" i="32" s="1"/>
  <c r="T124" i="32" a="1"/>
  <c r="T124" i="32" s="1"/>
  <c r="M1390" i="27" s="1"/>
  <c r="A1390" i="27" s="1"/>
  <c r="T30" i="32" a="1"/>
  <c r="T30" i="32" s="1"/>
  <c r="T240" i="32" a="1"/>
  <c r="T240" i="32" s="1"/>
  <c r="T234" i="32" a="1"/>
  <c r="T234" i="32" s="1"/>
  <c r="T244" i="32" a="1"/>
  <c r="T244" i="32" s="1"/>
  <c r="R248" i="32" a="1"/>
  <c r="R248" i="32" s="1"/>
  <c r="D248" i="32" s="1"/>
  <c r="R230" i="32" a="1"/>
  <c r="R230" i="32" s="1"/>
  <c r="D230" i="32" s="1"/>
  <c r="S256" i="32" a="1"/>
  <c r="S256" i="32" s="1"/>
  <c r="E256" i="32" s="1"/>
  <c r="R62" i="32" a="1"/>
  <c r="R62" i="32" s="1"/>
  <c r="D62" i="32" s="1"/>
  <c r="R114" i="32" a="1"/>
  <c r="R114" i="32" s="1"/>
  <c r="D114" i="32" s="1"/>
  <c r="T38" i="32" a="1"/>
  <c r="T38" i="32" s="1"/>
  <c r="S32" i="32" a="1"/>
  <c r="S32" i="32" s="1"/>
  <c r="E32" i="32" s="1"/>
  <c r="F1344" i="27" s="1"/>
  <c r="T138" i="32" a="1"/>
  <c r="T138" i="32" s="1"/>
  <c r="S154" i="32" a="1"/>
  <c r="S154" i="32" s="1"/>
  <c r="E154" i="32" s="1"/>
  <c r="F1405" i="27" s="1"/>
  <c r="S134" i="32" a="1"/>
  <c r="S134" i="32" s="1"/>
  <c r="E134" i="32" s="1"/>
  <c r="F1395" i="27" s="1"/>
  <c r="R124" i="32" a="1"/>
  <c r="R124" i="32" s="1"/>
  <c r="D124" i="32" s="1"/>
  <c r="S70" i="32" a="1"/>
  <c r="S70" i="32" s="1"/>
  <c r="E70" i="32" s="1"/>
  <c r="F1363" i="27" s="1"/>
  <c r="T246" i="32" a="1"/>
  <c r="T246" i="32" s="1"/>
  <c r="S242" i="32" a="1"/>
  <c r="S242" i="32" s="1"/>
  <c r="E242" i="32" s="1"/>
  <c r="T208" i="32" a="1"/>
  <c r="T208" i="32" s="1"/>
  <c r="R202" i="32" a="1"/>
  <c r="R202" i="32" s="1"/>
  <c r="D202" i="32" s="1"/>
  <c r="T236" i="32" a="1"/>
  <c r="T236" i="32" s="1"/>
  <c r="R214" i="32" a="1"/>
  <c r="R214" i="32" s="1"/>
  <c r="D214" i="32" s="1"/>
  <c r="R36" i="32" a="1"/>
  <c r="R36" i="32" s="1"/>
  <c r="D36" i="32" s="1"/>
  <c r="T70" i="32" a="1"/>
  <c r="T70" i="32" s="1"/>
  <c r="T86" i="32" a="1"/>
  <c r="T86" i="32" s="1"/>
  <c r="S30" i="32" a="1"/>
  <c r="S30" i="32" s="1"/>
  <c r="E30" i="32" s="1"/>
  <c r="F1343" i="27" s="1"/>
  <c r="S64" i="32" a="1"/>
  <c r="S64" i="32" s="1"/>
  <c r="E64" i="32" s="1"/>
  <c r="F1360" i="27" s="1"/>
  <c r="T108" i="32" a="1"/>
  <c r="T108" i="32" s="1"/>
  <c r="M1382" i="27" s="1"/>
  <c r="A1382" i="27" s="1"/>
  <c r="S100" i="32" a="1"/>
  <c r="S100" i="32" s="1"/>
  <c r="E100" i="32" s="1"/>
  <c r="F1378" i="27" s="1"/>
  <c r="G542" i="32"/>
  <c r="G841" i="32"/>
  <c r="J168" i="27"/>
  <c r="A843" i="32"/>
  <c r="N168" i="27"/>
  <c r="J702" i="27"/>
  <c r="M168" i="27"/>
  <c r="A232" i="32"/>
  <c r="L858" i="27"/>
  <c r="F492" i="27"/>
  <c r="K858" i="27"/>
  <c r="L701" i="27"/>
  <c r="A544" i="32"/>
  <c r="G230" i="32"/>
  <c r="M492" i="27"/>
  <c r="I168" i="27"/>
  <c r="I858" i="27"/>
  <c r="K702" i="27"/>
  <c r="J857" i="27"/>
  <c r="AB11" i="33"/>
  <c r="T763" i="32" l="1" a="1"/>
  <c r="T763" i="32" s="1"/>
  <c r="V763" i="32" a="1"/>
  <c r="V763" i="32" s="1"/>
  <c r="L763" i="32" s="1"/>
  <c r="R763" i="32" a="1"/>
  <c r="R763" i="32" s="1"/>
  <c r="D763" i="32" s="1"/>
  <c r="S763" i="32" a="1"/>
  <c r="S763" i="32" s="1"/>
  <c r="E763" i="32" s="1"/>
  <c r="P767" i="32"/>
  <c r="Q765" i="32"/>
  <c r="F3011" i="27"/>
  <c r="F3010" i="27"/>
  <c r="A857" i="27"/>
  <c r="H859" i="27"/>
  <c r="H860" i="27"/>
  <c r="C9" i="19" a="1"/>
  <c r="C9" i="19" s="1"/>
  <c r="C10" i="19" s="1" a="1"/>
  <c r="C10" i="19" s="1"/>
  <c r="C11" i="19" s="1" a="1"/>
  <c r="C11" i="19" s="1"/>
  <c r="C12" i="19" s="1" a="1"/>
  <c r="C12" i="19" s="1"/>
  <c r="C13" i="19" s="1" a="1"/>
  <c r="C13" i="19" s="1"/>
  <c r="C14" i="19" s="1" a="1"/>
  <c r="C14" i="19" s="1"/>
  <c r="C15" i="19" s="1" a="1"/>
  <c r="C15" i="19" s="1"/>
  <c r="C16" i="19" s="1" a="1"/>
  <c r="C16" i="19" s="1"/>
  <c r="C17" i="19" s="1" a="1"/>
  <c r="C17" i="19" s="1"/>
  <c r="C18" i="19" s="1" a="1"/>
  <c r="C18" i="19" s="1"/>
  <c r="C19" i="19" s="1" a="1"/>
  <c r="C19" i="19" s="1"/>
  <c r="C20" i="19" s="1" a="1"/>
  <c r="C20" i="19" s="1"/>
  <c r="C21" i="19" s="1" a="1"/>
  <c r="C21" i="19" s="1"/>
  <c r="C22" i="19" s="1" a="1"/>
  <c r="C22" i="19" s="1"/>
  <c r="C23" i="19" s="1" a="1"/>
  <c r="C23" i="19" s="1"/>
  <c r="C24" i="19" s="1" a="1"/>
  <c r="C24" i="19" s="1"/>
  <c r="C25" i="19" s="1" a="1"/>
  <c r="C25" i="19" s="1"/>
  <c r="C26" i="19" s="1" a="1"/>
  <c r="C26" i="19" s="1"/>
  <c r="C27" i="19" s="1" a="1"/>
  <c r="C27" i="19" s="1"/>
  <c r="F31" i="16" a="1"/>
  <c r="F31" i="16" s="1"/>
  <c r="F32" i="16" s="1" a="1"/>
  <c r="F32" i="16" s="1"/>
  <c r="H50" i="16" a="1"/>
  <c r="H50" i="16" s="1"/>
  <c r="I49" i="16" a="1"/>
  <c r="I49" i="16" s="1"/>
  <c r="U845" i="32"/>
  <c r="U546" i="32"/>
  <c r="U234" i="32"/>
  <c r="X123" i="1"/>
  <c r="AH123" i="1" s="1"/>
  <c r="I702" i="27"/>
  <c r="A234" i="32"/>
  <c r="J858" i="27"/>
  <c r="G232" i="32"/>
  <c r="G544" i="32"/>
  <c r="A546" i="32"/>
  <c r="G843" i="32"/>
  <c r="A845" i="32"/>
  <c r="I860" i="27"/>
  <c r="I859" i="27"/>
  <c r="S765" i="32" l="1" a="1"/>
  <c r="S765" i="32" s="1"/>
  <c r="E765" i="32" s="1"/>
  <c r="V765" i="32" a="1"/>
  <c r="V765" i="32" s="1"/>
  <c r="L765" i="32" s="1"/>
  <c r="T765" i="32" a="1"/>
  <c r="T765" i="32" s="1"/>
  <c r="R765" i="32" a="1"/>
  <c r="R765" i="32" s="1"/>
  <c r="D765" i="32" s="1"/>
  <c r="P769" i="32"/>
  <c r="Q767" i="32"/>
  <c r="A702" i="27"/>
  <c r="F3012" i="27"/>
  <c r="A858" i="27"/>
  <c r="H861" i="27"/>
  <c r="H51" i="16" a="1"/>
  <c r="H51" i="16" s="1"/>
  <c r="I50" i="16" a="1"/>
  <c r="I50" i="16" s="1"/>
  <c r="F33" i="16" a="1"/>
  <c r="F33" i="16" s="1"/>
  <c r="AI123" i="1"/>
  <c r="AI172" i="1"/>
  <c r="AI159" i="1"/>
  <c r="AI164" i="1"/>
  <c r="AI137" i="1"/>
  <c r="AI139" i="1"/>
  <c r="AI146" i="1"/>
  <c r="AI129" i="1"/>
  <c r="AI170" i="1"/>
  <c r="AI144" i="1"/>
  <c r="AI167" i="1"/>
  <c r="AI171" i="1"/>
  <c r="AI157" i="1"/>
  <c r="AI163" i="1"/>
  <c r="AI154" i="1"/>
  <c r="AI150" i="1"/>
  <c r="AI147" i="1"/>
  <c r="AI168" i="1"/>
  <c r="AI145" i="1"/>
  <c r="AI156" i="1"/>
  <c r="AI141" i="1"/>
  <c r="AI135" i="1"/>
  <c r="AI166" i="1"/>
  <c r="AI143" i="1"/>
  <c r="AI132" i="1"/>
  <c r="AI153" i="1"/>
  <c r="AI152" i="1"/>
  <c r="AI165" i="1"/>
  <c r="AI140" i="1"/>
  <c r="AI155" i="1"/>
  <c r="AI149" i="1"/>
  <c r="AI161" i="1"/>
  <c r="AI138" i="1"/>
  <c r="AI134" i="1"/>
  <c r="AI125" i="1"/>
  <c r="AI136" i="1"/>
  <c r="AI130" i="1"/>
  <c r="AI169" i="1"/>
  <c r="AI133" i="1"/>
  <c r="AI131" i="1"/>
  <c r="AI148" i="1"/>
  <c r="AI142" i="1"/>
  <c r="AI158" i="1"/>
  <c r="AI127" i="1"/>
  <c r="AI173" i="1"/>
  <c r="AI160" i="1"/>
  <c r="AI151" i="1"/>
  <c r="AI162" i="1"/>
  <c r="AI128" i="1"/>
  <c r="AI126" i="1"/>
  <c r="AI124" i="1"/>
  <c r="U548" i="32"/>
  <c r="U236" i="32"/>
  <c r="U847" i="32"/>
  <c r="N46" i="1"/>
  <c r="K860" i="27"/>
  <c r="G234" i="32"/>
  <c r="G546" i="32"/>
  <c r="G845" i="32"/>
  <c r="J859" i="27"/>
  <c r="A847" i="32"/>
  <c r="L860" i="27"/>
  <c r="J860" i="27"/>
  <c r="K859" i="27"/>
  <c r="A236" i="32"/>
  <c r="K861" i="27"/>
  <c r="L859" i="27"/>
  <c r="A548" i="32"/>
  <c r="I861" i="27"/>
  <c r="V767" i="32" l="1" a="1"/>
  <c r="V767" i="32" s="1"/>
  <c r="L767" i="32" s="1"/>
  <c r="S767" i="32" a="1"/>
  <c r="S767" i="32" s="1"/>
  <c r="E767" i="32" s="1"/>
  <c r="T767" i="32" a="1"/>
  <c r="T767" i="32" s="1"/>
  <c r="R767" i="32" a="1"/>
  <c r="R767" i="32" s="1"/>
  <c r="D767" i="32" s="1"/>
  <c r="P771" i="32"/>
  <c r="Q769" i="32"/>
  <c r="F3013" i="27"/>
  <c r="A859" i="27"/>
  <c r="A860" i="27"/>
  <c r="H862" i="27"/>
  <c r="H52" i="16" a="1"/>
  <c r="H52" i="16" s="1"/>
  <c r="I51" i="16" a="1"/>
  <c r="I51" i="16" s="1"/>
  <c r="F34" i="16" a="1"/>
  <c r="F34" i="16" s="1"/>
  <c r="AJ169" i="1"/>
  <c r="AJ160" i="1"/>
  <c r="AJ127" i="1"/>
  <c r="AJ125" i="1"/>
  <c r="AJ128" i="1"/>
  <c r="AJ132" i="1"/>
  <c r="AJ162" i="1"/>
  <c r="AJ131" i="1"/>
  <c r="AJ161" i="1"/>
  <c r="AJ143" i="1"/>
  <c r="AJ150" i="1"/>
  <c r="AJ129" i="1"/>
  <c r="AJ158" i="1"/>
  <c r="AJ167" i="1"/>
  <c r="AJ138" i="1"/>
  <c r="AJ151" i="1"/>
  <c r="AJ133" i="1"/>
  <c r="AJ149" i="1"/>
  <c r="AJ166" i="1"/>
  <c r="AJ154" i="1"/>
  <c r="AJ146" i="1"/>
  <c r="AJ155" i="1"/>
  <c r="AJ135" i="1"/>
  <c r="AJ163" i="1"/>
  <c r="AJ139" i="1"/>
  <c r="AJ173" i="1"/>
  <c r="AJ130" i="1"/>
  <c r="AJ140" i="1"/>
  <c r="AJ141" i="1"/>
  <c r="AJ157" i="1"/>
  <c r="AJ137" i="1"/>
  <c r="AJ136" i="1"/>
  <c r="AJ165" i="1"/>
  <c r="AJ156" i="1"/>
  <c r="AJ171" i="1"/>
  <c r="AJ164" i="1"/>
  <c r="AJ124" i="1"/>
  <c r="AJ145" i="1"/>
  <c r="AJ159" i="1"/>
  <c r="AJ126" i="1"/>
  <c r="AJ142" i="1"/>
  <c r="AJ134" i="1"/>
  <c r="AJ153" i="1"/>
  <c r="AJ168" i="1"/>
  <c r="AJ144" i="1"/>
  <c r="AJ172" i="1"/>
  <c r="AJ152" i="1"/>
  <c r="AJ148" i="1"/>
  <c r="AJ147" i="1"/>
  <c r="AJ170" i="1"/>
  <c r="U849" i="32"/>
  <c r="U238" i="32"/>
  <c r="U550" i="32"/>
  <c r="U2" i="28"/>
  <c r="A238" i="32"/>
  <c r="G847" i="32"/>
  <c r="A849" i="32"/>
  <c r="A550" i="32"/>
  <c r="G548" i="32"/>
  <c r="G236" i="32"/>
  <c r="L861" i="27"/>
  <c r="J861" i="27"/>
  <c r="L862" i="27"/>
  <c r="R769" i="32" l="1" a="1"/>
  <c r="R769" i="32" s="1"/>
  <c r="D769" i="32" s="1"/>
  <c r="S769" i="32" a="1"/>
  <c r="S769" i="32" s="1"/>
  <c r="E769" i="32" s="1"/>
  <c r="T769" i="32" a="1"/>
  <c r="T769" i="32" s="1"/>
  <c r="V769" i="32" a="1"/>
  <c r="V769" i="32" s="1"/>
  <c r="L769" i="32" s="1"/>
  <c r="P773" i="32"/>
  <c r="Q771" i="32"/>
  <c r="F3014" i="27"/>
  <c r="A861" i="27"/>
  <c r="H863" i="27"/>
  <c r="H53" i="16" a="1"/>
  <c r="H53" i="16" s="1"/>
  <c r="I52" i="16" a="1"/>
  <c r="I52" i="16" s="1"/>
  <c r="F35" i="16" a="1"/>
  <c r="F35" i="16" s="1"/>
  <c r="U552" i="32"/>
  <c r="U240" i="32"/>
  <c r="U851" i="32"/>
  <c r="T39" i="27"/>
  <c r="J862" i="27"/>
  <c r="A851" i="32"/>
  <c r="G550" i="32"/>
  <c r="G238" i="32"/>
  <c r="A552" i="32"/>
  <c r="K862" i="27"/>
  <c r="A240" i="32"/>
  <c r="I862" i="27"/>
  <c r="G849" i="32"/>
  <c r="K863" i="27"/>
  <c r="V771" i="32" l="1" a="1"/>
  <c r="V771" i="32" s="1"/>
  <c r="L771" i="32" s="1"/>
  <c r="R771" i="32" a="1"/>
  <c r="R771" i="32" s="1"/>
  <c r="D771" i="32" s="1"/>
  <c r="T771" i="32" a="1"/>
  <c r="T771" i="32" s="1"/>
  <c r="S771" i="32" a="1"/>
  <c r="S771" i="32" s="1"/>
  <c r="E771" i="32" s="1"/>
  <c r="P775" i="32"/>
  <c r="Q773" i="32"/>
  <c r="F3015" i="27"/>
  <c r="A862" i="27"/>
  <c r="H864" i="27"/>
  <c r="H54" i="16" a="1"/>
  <c r="H54" i="16" s="1"/>
  <c r="I54" i="16" s="1" a="1"/>
  <c r="I54" i="16" s="1"/>
  <c r="I53" i="16" a="1"/>
  <c r="I53" i="16" s="1"/>
  <c r="F36" i="16" a="1"/>
  <c r="F36" i="16" s="1"/>
  <c r="F37" i="16" s="1" a="1"/>
  <c r="F37" i="16" s="1"/>
  <c r="U853" i="32"/>
  <c r="U242" i="32"/>
  <c r="U554" i="32"/>
  <c r="AT167" i="24"/>
  <c r="A554" i="32"/>
  <c r="A853" i="32"/>
  <c r="G552" i="32"/>
  <c r="G851" i="32"/>
  <c r="I863" i="27"/>
  <c r="A242" i="32"/>
  <c r="L863" i="27"/>
  <c r="J863" i="27"/>
  <c r="G240" i="32"/>
  <c r="K864" i="27"/>
  <c r="T773" i="32" l="1" a="1"/>
  <c r="T773" i="32" s="1"/>
  <c r="S773" i="32" a="1"/>
  <c r="S773" i="32" s="1"/>
  <c r="E773" i="32" s="1"/>
  <c r="R773" i="32" a="1"/>
  <c r="R773" i="32" s="1"/>
  <c r="D773" i="32" s="1"/>
  <c r="V773" i="32" a="1"/>
  <c r="V773" i="32" s="1"/>
  <c r="L773" i="32" s="1"/>
  <c r="P777" i="32"/>
  <c r="Q775" i="32"/>
  <c r="F3016" i="27"/>
  <c r="F3017" i="27"/>
  <c r="A863" i="27"/>
  <c r="H866" i="27"/>
  <c r="H865" i="27"/>
  <c r="F38" i="16" a="1"/>
  <c r="F38" i="16" s="1"/>
  <c r="U556" i="32"/>
  <c r="U244" i="32"/>
  <c r="U855" i="32"/>
  <c r="AT159" i="24"/>
  <c r="AT187" i="24"/>
  <c r="AT195" i="24"/>
  <c r="AT157" i="24"/>
  <c r="AT163" i="24"/>
  <c r="AT169" i="24"/>
  <c r="AT151" i="24"/>
  <c r="AT181" i="24"/>
  <c r="AT201" i="24"/>
  <c r="AT203" i="24"/>
  <c r="AT199" i="24"/>
  <c r="AT193" i="24"/>
  <c r="AT173" i="24"/>
  <c r="AT161" i="24"/>
  <c r="AT153" i="24"/>
  <c r="AT179" i="24"/>
  <c r="AT183" i="24"/>
  <c r="AT205" i="24"/>
  <c r="AT189" i="24"/>
  <c r="AT155" i="24"/>
  <c r="AT165" i="24"/>
  <c r="AT191" i="24"/>
  <c r="AT171" i="24"/>
  <c r="AT175" i="24"/>
  <c r="AT177" i="24"/>
  <c r="AT197" i="24"/>
  <c r="AT149" i="24"/>
  <c r="AT185" i="24"/>
  <c r="AW201" i="24"/>
  <c r="AU175" i="24"/>
  <c r="J864" i="27"/>
  <c r="K866" i="27"/>
  <c r="G853" i="32"/>
  <c r="I865" i="27"/>
  <c r="I866" i="27"/>
  <c r="A855" i="32"/>
  <c r="G242" i="32"/>
  <c r="L864" i="27"/>
  <c r="G554" i="32"/>
  <c r="K865" i="27"/>
  <c r="I864" i="27"/>
  <c r="A244" i="32"/>
  <c r="L866" i="27"/>
  <c r="A556" i="32"/>
  <c r="L865" i="27"/>
  <c r="T775" i="32" l="1" a="1"/>
  <c r="T775" i="32" s="1"/>
  <c r="R775" i="32" a="1"/>
  <c r="R775" i="32" s="1"/>
  <c r="D775" i="32" s="1"/>
  <c r="S775" i="32" a="1"/>
  <c r="S775" i="32" s="1"/>
  <c r="E775" i="32" s="1"/>
  <c r="V775" i="32" a="1"/>
  <c r="V775" i="32" s="1"/>
  <c r="L775" i="32" s="1"/>
  <c r="P779" i="32"/>
  <c r="Q777" i="32"/>
  <c r="F3018" i="27"/>
  <c r="A864" i="27"/>
  <c r="H867" i="27"/>
  <c r="F39" i="16" a="1"/>
  <c r="F39" i="16" s="1"/>
  <c r="U857" i="32"/>
  <c r="U246" i="32"/>
  <c r="U558" i="32"/>
  <c r="AY169" i="24"/>
  <c r="AY205" i="24"/>
  <c r="AY177" i="24"/>
  <c r="AY175" i="24"/>
  <c r="AY183" i="24"/>
  <c r="AY173" i="24"/>
  <c r="AY157" i="24"/>
  <c r="AY149" i="24"/>
  <c r="AY207" i="24"/>
  <c r="AY203" i="24"/>
  <c r="AY179" i="24"/>
  <c r="AY193" i="24"/>
  <c r="AY185" i="24"/>
  <c r="AY151" i="24"/>
  <c r="AY167" i="24"/>
  <c r="AY155" i="24"/>
  <c r="AY191" i="24"/>
  <c r="AY171" i="24"/>
  <c r="AY163" i="24"/>
  <c r="AY153" i="24"/>
  <c r="AY189" i="24"/>
  <c r="AY159" i="24"/>
  <c r="AY181" i="24"/>
  <c r="AY161" i="24"/>
  <c r="AY195" i="24"/>
  <c r="AY197" i="24"/>
  <c r="AY165" i="24"/>
  <c r="AY201" i="24"/>
  <c r="AY187" i="24"/>
  <c r="AY199" i="24"/>
  <c r="AV151" i="24"/>
  <c r="AV207" i="24"/>
  <c r="AV161" i="24"/>
  <c r="AV165" i="24"/>
  <c r="AV187" i="24"/>
  <c r="AV201" i="24"/>
  <c r="AV205" i="24"/>
  <c r="AV185" i="24"/>
  <c r="AV155" i="24"/>
  <c r="AV169" i="24"/>
  <c r="AV183" i="24"/>
  <c r="AV163" i="24"/>
  <c r="AV191" i="24"/>
  <c r="AV179" i="24"/>
  <c r="AV153" i="24"/>
  <c r="AV175" i="24"/>
  <c r="AV157" i="24"/>
  <c r="AV189" i="24"/>
  <c r="AV195" i="24"/>
  <c r="AV171" i="24"/>
  <c r="AV177" i="24"/>
  <c r="AV173" i="24"/>
  <c r="AV181" i="24"/>
  <c r="AV167" i="24"/>
  <c r="AV203" i="24"/>
  <c r="AV149" i="24"/>
  <c r="AV193" i="24"/>
  <c r="AV199" i="24"/>
  <c r="AV197" i="24"/>
  <c r="AV159" i="24"/>
  <c r="AU153" i="24"/>
  <c r="AU167" i="24"/>
  <c r="AU173" i="24"/>
  <c r="AU203" i="24"/>
  <c r="AU163" i="24"/>
  <c r="AU207" i="24"/>
  <c r="AU149" i="24"/>
  <c r="AU157" i="24"/>
  <c r="BA207" i="24"/>
  <c r="BA197" i="24"/>
  <c r="BA161" i="24"/>
  <c r="BA177" i="24"/>
  <c r="BA199" i="24"/>
  <c r="BA153" i="24"/>
  <c r="BA187" i="24"/>
  <c r="BA149" i="24"/>
  <c r="BA203" i="24"/>
  <c r="BA159" i="24"/>
  <c r="BA195" i="24"/>
  <c r="BA157" i="24"/>
  <c r="BA167" i="24"/>
  <c r="BA173" i="24"/>
  <c r="BA169" i="24"/>
  <c r="BA155" i="24"/>
  <c r="BA151" i="24"/>
  <c r="BA165" i="24"/>
  <c r="BA189" i="24"/>
  <c r="BA175" i="24"/>
  <c r="BA171" i="24"/>
  <c r="BA205" i="24"/>
  <c r="BA183" i="24"/>
  <c r="BA201" i="24"/>
  <c r="BA163" i="24"/>
  <c r="BA179" i="24"/>
  <c r="BA185" i="24"/>
  <c r="BA191" i="24"/>
  <c r="BA181" i="24"/>
  <c r="BA193" i="24"/>
  <c r="AU159" i="24"/>
  <c r="AU201" i="24"/>
  <c r="AU183" i="24"/>
  <c r="AU171" i="24"/>
  <c r="AU187" i="24"/>
  <c r="AU185" i="24"/>
  <c r="AU151" i="24"/>
  <c r="AU165" i="24"/>
  <c r="AU193" i="24"/>
  <c r="AU205" i="24"/>
  <c r="AU177" i="24"/>
  <c r="AU197" i="24"/>
  <c r="AU191" i="24"/>
  <c r="AU199" i="24"/>
  <c r="AU189" i="24"/>
  <c r="AX173" i="24"/>
  <c r="AX175" i="24"/>
  <c r="AX183" i="24"/>
  <c r="AX181" i="24"/>
  <c r="AX171" i="24"/>
  <c r="AX185" i="24"/>
  <c r="AX203" i="24"/>
  <c r="AX169" i="24"/>
  <c r="AX163" i="24"/>
  <c r="AX201" i="24"/>
  <c r="AX153" i="24"/>
  <c r="AX205" i="24"/>
  <c r="AX161" i="24"/>
  <c r="AX167" i="24"/>
  <c r="AX197" i="24"/>
  <c r="AX165" i="24"/>
  <c r="AX195" i="24"/>
  <c r="AX179" i="24"/>
  <c r="AX191" i="24"/>
  <c r="AX199" i="24"/>
  <c r="AX157" i="24"/>
  <c r="AX207" i="24"/>
  <c r="AX159" i="24"/>
  <c r="AX155" i="24"/>
  <c r="AX187" i="24"/>
  <c r="AX189" i="24"/>
  <c r="AX151" i="24"/>
  <c r="AX193" i="24"/>
  <c r="AX177" i="24"/>
  <c r="AX149" i="24"/>
  <c r="AZ193" i="24"/>
  <c r="AZ173" i="24"/>
  <c r="AZ183" i="24"/>
  <c r="AZ191" i="24"/>
  <c r="AZ181" i="24"/>
  <c r="AZ159" i="24"/>
  <c r="AZ189" i="24"/>
  <c r="AZ155" i="24"/>
  <c r="AZ203" i="24"/>
  <c r="AZ167" i="24"/>
  <c r="AZ149" i="24"/>
  <c r="AZ171" i="24"/>
  <c r="AZ205" i="24"/>
  <c r="AZ195" i="24"/>
  <c r="AZ169" i="24"/>
  <c r="AZ175" i="24"/>
  <c r="AZ157" i="24"/>
  <c r="AZ187" i="24"/>
  <c r="AZ201" i="24"/>
  <c r="AZ163" i="24"/>
  <c r="AZ153" i="24"/>
  <c r="AZ179" i="24"/>
  <c r="AZ165" i="24"/>
  <c r="AZ185" i="24"/>
  <c r="AZ207" i="24"/>
  <c r="AZ177" i="24"/>
  <c r="AZ197" i="24"/>
  <c r="AZ199" i="24"/>
  <c r="AZ151" i="24"/>
  <c r="AZ161" i="24"/>
  <c r="AU155" i="24"/>
  <c r="AU181" i="24"/>
  <c r="AU169" i="24"/>
  <c r="AU161" i="24"/>
  <c r="AU195" i="24"/>
  <c r="AU179" i="24"/>
  <c r="AW207" i="24"/>
  <c r="AW155" i="24"/>
  <c r="AW187" i="24"/>
  <c r="AW203" i="24"/>
  <c r="AW205" i="24"/>
  <c r="AW149" i="24"/>
  <c r="AW161" i="24"/>
  <c r="AW163" i="24"/>
  <c r="AW153" i="24"/>
  <c r="AW165" i="24"/>
  <c r="AW151" i="24"/>
  <c r="AW191" i="24"/>
  <c r="AW197" i="24"/>
  <c r="AW199" i="24"/>
  <c r="AW175" i="24"/>
  <c r="AW195" i="24"/>
  <c r="AW171" i="24"/>
  <c r="AW179" i="24"/>
  <c r="AW177" i="24"/>
  <c r="AW157" i="24"/>
  <c r="AW173" i="24"/>
  <c r="AW183" i="24"/>
  <c r="AW189" i="24"/>
  <c r="AW169" i="24"/>
  <c r="AW167" i="24"/>
  <c r="AW185" i="24"/>
  <c r="AW181" i="24"/>
  <c r="AW159" i="24"/>
  <c r="AW193" i="24"/>
  <c r="A857" i="32"/>
  <c r="G556" i="32"/>
  <c r="K867" i="27"/>
  <c r="J866" i="27"/>
  <c r="A558" i="32"/>
  <c r="G244" i="32"/>
  <c r="J865" i="27"/>
  <c r="I867" i="27"/>
  <c r="G855" i="32"/>
  <c r="A246" i="32"/>
  <c r="R777" i="32" l="1" a="1"/>
  <c r="R777" i="32" s="1"/>
  <c r="D777" i="32" s="1"/>
  <c r="V777" i="32" a="1"/>
  <c r="V777" i="32" s="1"/>
  <c r="L777" i="32" s="1"/>
  <c r="S777" i="32" a="1"/>
  <c r="S777" i="32" s="1"/>
  <c r="E777" i="32" s="1"/>
  <c r="T777" i="32" a="1"/>
  <c r="T777" i="32" s="1"/>
  <c r="P781" i="32"/>
  <c r="Q779" i="32"/>
  <c r="F3019" i="27"/>
  <c r="A866" i="27"/>
  <c r="A865" i="27"/>
  <c r="H868" i="27"/>
  <c r="F40" i="16" a="1"/>
  <c r="F40" i="16" s="1"/>
  <c r="U560" i="32"/>
  <c r="U248" i="32"/>
  <c r="U859" i="32"/>
  <c r="E2362" i="27"/>
  <c r="G857" i="32"/>
  <c r="K868" i="27"/>
  <c r="L868" i="27"/>
  <c r="G558" i="32"/>
  <c r="A560" i="32"/>
  <c r="G246" i="32"/>
  <c r="A248" i="32"/>
  <c r="L867" i="27"/>
  <c r="J867" i="27"/>
  <c r="A859" i="32"/>
  <c r="I868" i="27"/>
  <c r="P783" i="32" l="1"/>
  <c r="Q781" i="32"/>
  <c r="R779" i="32" a="1"/>
  <c r="R779" i="32" s="1"/>
  <c r="D779" i="32" s="1"/>
  <c r="S779" i="32" a="1"/>
  <c r="S779" i="32" s="1"/>
  <c r="E779" i="32" s="1"/>
  <c r="V779" i="32" a="1"/>
  <c r="V779" i="32" s="1"/>
  <c r="L779" i="32" s="1"/>
  <c r="T779" i="32" a="1"/>
  <c r="T779" i="32" s="1"/>
  <c r="F3020" i="27"/>
  <c r="A867" i="27"/>
  <c r="H869" i="27"/>
  <c r="F41" i="16" a="1"/>
  <c r="F41" i="16" s="1"/>
  <c r="F42" i="16" s="1" a="1"/>
  <c r="F42" i="16" s="1"/>
  <c r="U861" i="32"/>
  <c r="U250" i="32"/>
  <c r="U562" i="32"/>
  <c r="F2362" i="27"/>
  <c r="N186" i="27"/>
  <c r="G560" i="32"/>
  <c r="A861" i="32"/>
  <c r="F2282" i="27"/>
  <c r="J717" i="27"/>
  <c r="K717" i="27"/>
  <c r="M186" i="27"/>
  <c r="A562" i="32"/>
  <c r="J186" i="27"/>
  <c r="G248" i="32"/>
  <c r="I186" i="27"/>
  <c r="H2362" i="27"/>
  <c r="A250" i="32"/>
  <c r="G859" i="32"/>
  <c r="J868" i="27"/>
  <c r="I869" i="27"/>
  <c r="P785" i="32" l="1"/>
  <c r="Q783" i="32"/>
  <c r="V781" i="32" a="1"/>
  <c r="V781" i="32" s="1"/>
  <c r="L781" i="32" s="1"/>
  <c r="R781" i="32" a="1"/>
  <c r="R781" i="32" s="1"/>
  <c r="D781" i="32" s="1"/>
  <c r="T781" i="32" a="1"/>
  <c r="T781" i="32" s="1"/>
  <c r="S781" i="32" a="1"/>
  <c r="S781" i="32" s="1"/>
  <c r="E781" i="32" s="1"/>
  <c r="F3021" i="27"/>
  <c r="A868" i="27"/>
  <c r="H870" i="27"/>
  <c r="F43" i="16" a="1"/>
  <c r="F43" i="16" s="1"/>
  <c r="U252" i="32"/>
  <c r="U564" i="32"/>
  <c r="U863" i="32"/>
  <c r="E261" i="24"/>
  <c r="A863" i="32"/>
  <c r="K2362" i="27"/>
  <c r="I2362" i="27"/>
  <c r="J2362" i="27"/>
  <c r="G562" i="32"/>
  <c r="A252" i="32"/>
  <c r="A564" i="32"/>
  <c r="L869" i="27"/>
  <c r="G250" i="32"/>
  <c r="G801" i="32"/>
  <c r="K869" i="27"/>
  <c r="L870" i="27"/>
  <c r="J869" i="27"/>
  <c r="G861" i="32"/>
  <c r="G694" i="27"/>
  <c r="I870" i="27"/>
  <c r="P787" i="32" l="1"/>
  <c r="Q785" i="32"/>
  <c r="R783" i="32" a="1"/>
  <c r="R783" i="32" s="1"/>
  <c r="D783" i="32" s="1"/>
  <c r="V783" i="32" a="1"/>
  <c r="V783" i="32" s="1"/>
  <c r="L783" i="32" s="1"/>
  <c r="S783" i="32" a="1"/>
  <c r="S783" i="32" s="1"/>
  <c r="E783" i="32" s="1"/>
  <c r="T783" i="32" a="1"/>
  <c r="T783" i="32" s="1"/>
  <c r="F3022" i="27"/>
  <c r="F3023" i="27"/>
  <c r="H1347" i="27"/>
  <c r="K1226" i="27"/>
  <c r="A869" i="27"/>
  <c r="H871" i="27"/>
  <c r="F44" i="16" a="1"/>
  <c r="F44" i="16" s="1"/>
  <c r="F45" i="16" s="1" a="1"/>
  <c r="F45" i="16" s="1"/>
  <c r="U865" i="32"/>
  <c r="U566" i="32"/>
  <c r="U254" i="32"/>
  <c r="A2362" i="27"/>
  <c r="G352" i="32"/>
  <c r="A865" i="32"/>
  <c r="A254" i="32"/>
  <c r="G252" i="32"/>
  <c r="G564" i="32"/>
  <c r="J2282" i="27"/>
  <c r="G863" i="32"/>
  <c r="I871" i="27"/>
  <c r="I2282" i="27"/>
  <c r="J870" i="27"/>
  <c r="G38" i="32"/>
  <c r="L871" i="27"/>
  <c r="A566" i="32"/>
  <c r="K870" i="27"/>
  <c r="G641" i="32"/>
  <c r="P789" i="32" l="1"/>
  <c r="Q787" i="32"/>
  <c r="V785" i="32" a="1"/>
  <c r="V785" i="32" s="1"/>
  <c r="L785" i="32" s="1"/>
  <c r="S785" i="32" a="1"/>
  <c r="S785" i="32" s="1"/>
  <c r="E785" i="32" s="1"/>
  <c r="R785" i="32" a="1"/>
  <c r="R785" i="32" s="1"/>
  <c r="D785" i="32" s="1"/>
  <c r="T785" i="32" a="1"/>
  <c r="T785" i="32" s="1"/>
  <c r="F3024" i="27"/>
  <c r="J1347" i="27"/>
  <c r="I1347" i="27"/>
  <c r="E1347" i="27"/>
  <c r="K1225" i="27"/>
  <c r="A870" i="27"/>
  <c r="F46" i="16" a="1"/>
  <c r="F46" i="16" s="1"/>
  <c r="F261" i="24"/>
  <c r="AO10" i="34"/>
  <c r="AP10" i="34" s="1"/>
  <c r="AT10" i="34"/>
  <c r="D229" i="24"/>
  <c r="U256" i="32"/>
  <c r="U568" i="32"/>
  <c r="U867" i="32"/>
  <c r="G261" i="24"/>
  <c r="A867" i="32"/>
  <c r="A568" i="32"/>
  <c r="K871" i="27"/>
  <c r="S17" i="33"/>
  <c r="G566" i="32"/>
  <c r="A256" i="32"/>
  <c r="T27" i="30"/>
  <c r="L2278" i="27"/>
  <c r="D2278" i="27"/>
  <c r="G254" i="32"/>
  <c r="G865" i="32"/>
  <c r="J871" i="27"/>
  <c r="V787" i="32" l="1" a="1"/>
  <c r="V787" i="32" s="1"/>
  <c r="L787" i="32" s="1"/>
  <c r="R787" i="32" a="1"/>
  <c r="R787" i="32" s="1"/>
  <c r="D787" i="32" s="1"/>
  <c r="S787" i="32" a="1"/>
  <c r="S787" i="32" s="1"/>
  <c r="E787" i="32" s="1"/>
  <c r="T787" i="32" a="1"/>
  <c r="T787" i="32" s="1"/>
  <c r="P791" i="32"/>
  <c r="Q789" i="32"/>
  <c r="F3025" i="27"/>
  <c r="A2278" i="27"/>
  <c r="A871" i="27"/>
  <c r="F47" i="16" a="1"/>
  <c r="F47" i="16" s="1"/>
  <c r="F48" i="16" s="1" a="1"/>
  <c r="F48" i="16" s="1"/>
  <c r="M157" i="24"/>
  <c r="BE10" i="34"/>
  <c r="BF10" i="34"/>
  <c r="AO11" i="34"/>
  <c r="AP11" i="34" s="1"/>
  <c r="AT11" i="34"/>
  <c r="D237" i="24"/>
  <c r="AQ10" i="34"/>
  <c r="AR10" i="34"/>
  <c r="U869" i="32"/>
  <c r="U570" i="32"/>
  <c r="U258" i="32"/>
  <c r="S155" i="24"/>
  <c r="R72" i="24"/>
  <c r="S72" i="24"/>
  <c r="D2279" i="27"/>
  <c r="K186" i="27"/>
  <c r="A869" i="32"/>
  <c r="G867" i="32"/>
  <c r="A570" i="32"/>
  <c r="P2278" i="27"/>
  <c r="G568" i="32"/>
  <c r="I717" i="27"/>
  <c r="L2279" i="27"/>
  <c r="G256" i="32"/>
  <c r="K2278" i="27"/>
  <c r="A258" i="32"/>
  <c r="V789" i="32" l="1" a="1"/>
  <c r="V789" i="32" s="1"/>
  <c r="L789" i="32" s="1"/>
  <c r="S789" i="32" a="1"/>
  <c r="S789" i="32" s="1"/>
  <c r="E789" i="32" s="1"/>
  <c r="R789" i="32" a="1"/>
  <c r="R789" i="32" s="1"/>
  <c r="D789" i="32" s="1"/>
  <c r="T789" i="32" a="1"/>
  <c r="T789" i="32" s="1"/>
  <c r="P793" i="32"/>
  <c r="Q791" i="32"/>
  <c r="A186" i="27"/>
  <c r="T186" i="27" s="1"/>
  <c r="A717" i="27"/>
  <c r="F3026" i="27"/>
  <c r="A2279" i="27"/>
  <c r="F49" i="16" a="1"/>
  <c r="F49" i="16" s="1"/>
  <c r="F50" i="16" s="1" a="1"/>
  <c r="F50" i="16" s="1"/>
  <c r="BE11" i="34"/>
  <c r="BF11" i="34"/>
  <c r="AO13" i="34"/>
  <c r="AP13" i="34" s="1"/>
  <c r="AT13" i="34"/>
  <c r="D253" i="24"/>
  <c r="AT12" i="34"/>
  <c r="AO12" i="34"/>
  <c r="AP12" i="34" s="1"/>
  <c r="D245" i="24"/>
  <c r="AR11" i="34"/>
  <c r="AQ11" i="34"/>
  <c r="U260" i="32"/>
  <c r="U572" i="32"/>
  <c r="U871" i="32"/>
  <c r="A260" i="32"/>
  <c r="K2279" i="27"/>
  <c r="D2281" i="27"/>
  <c r="A871" i="32"/>
  <c r="P2279" i="27"/>
  <c r="D2280" i="27"/>
  <c r="A572" i="32"/>
  <c r="G258" i="32"/>
  <c r="G869" i="32"/>
  <c r="L2281" i="27"/>
  <c r="G570" i="32"/>
  <c r="L2280" i="27"/>
  <c r="V791" i="32" l="1" a="1"/>
  <c r="V791" i="32" s="1"/>
  <c r="L791" i="32" s="1"/>
  <c r="R791" i="32" a="1"/>
  <c r="R791" i="32" s="1"/>
  <c r="D791" i="32" s="1"/>
  <c r="S791" i="32" a="1"/>
  <c r="S791" i="32" s="1"/>
  <c r="E791" i="32" s="1"/>
  <c r="T791" i="32" a="1"/>
  <c r="T791" i="32" s="1"/>
  <c r="P795" i="32"/>
  <c r="Q793" i="32"/>
  <c r="F3027" i="27"/>
  <c r="A2280" i="27"/>
  <c r="A2281" i="27"/>
  <c r="F51" i="16" a="1"/>
  <c r="F51" i="16" s="1"/>
  <c r="F52" i="16" s="1" a="1"/>
  <c r="F52" i="16" s="1"/>
  <c r="F53" i="16" s="1" a="1"/>
  <c r="F53" i="16" s="1"/>
  <c r="BE12" i="34"/>
  <c r="BF12" i="34"/>
  <c r="BE13" i="34"/>
  <c r="BF13" i="34"/>
  <c r="AO14" i="34"/>
  <c r="AP14" i="34" s="1"/>
  <c r="AT14" i="34"/>
  <c r="D261" i="24"/>
  <c r="AR12" i="34"/>
  <c r="AQ12" i="34"/>
  <c r="AR13" i="34"/>
  <c r="AQ13" i="34"/>
  <c r="U873" i="32"/>
  <c r="U574" i="32"/>
  <c r="U262" i="32"/>
  <c r="G572" i="32"/>
  <c r="K2281" i="27"/>
  <c r="A574" i="32"/>
  <c r="D2282" i="27"/>
  <c r="L2282" i="27"/>
  <c r="A262" i="32"/>
  <c r="A873" i="32"/>
  <c r="P2280" i="27"/>
  <c r="K2280" i="27"/>
  <c r="P2281" i="27"/>
  <c r="G260" i="32"/>
  <c r="G871" i="32"/>
  <c r="V793" i="32" l="1" a="1"/>
  <c r="V793" i="32" s="1"/>
  <c r="L793" i="32" s="1"/>
  <c r="R793" i="32" a="1"/>
  <c r="R793" i="32" s="1"/>
  <c r="D793" i="32" s="1"/>
  <c r="T793" i="32" a="1"/>
  <c r="T793" i="32" s="1"/>
  <c r="S793" i="32" a="1"/>
  <c r="S793" i="32" s="1"/>
  <c r="E793" i="32" s="1"/>
  <c r="P797" i="32"/>
  <c r="Q795" i="32"/>
  <c r="F3028" i="27"/>
  <c r="F3029" i="27"/>
  <c r="A2282" i="27"/>
  <c r="F54" i="16" a="1"/>
  <c r="F54" i="16" s="1"/>
  <c r="BE14" i="34"/>
  <c r="BF14" i="34"/>
  <c r="AT15" i="34"/>
  <c r="AO15" i="34"/>
  <c r="AP15" i="34" s="1"/>
  <c r="D269" i="24"/>
  <c r="AR14" i="34"/>
  <c r="AQ14" i="34"/>
  <c r="U264" i="32"/>
  <c r="U576" i="32"/>
  <c r="U875" i="32"/>
  <c r="L2283" i="27"/>
  <c r="A875" i="32"/>
  <c r="G262" i="32"/>
  <c r="P2282" i="27"/>
  <c r="A264" i="32"/>
  <c r="K2282" i="27"/>
  <c r="G574" i="32"/>
  <c r="D2283" i="27"/>
  <c r="A576" i="32"/>
  <c r="G873" i="32"/>
  <c r="V795" i="32" l="1" a="1"/>
  <c r="V795" i="32" s="1"/>
  <c r="L795" i="32" s="1"/>
  <c r="S795" i="32" a="1"/>
  <c r="S795" i="32" s="1"/>
  <c r="E795" i="32" s="1"/>
  <c r="T795" i="32" a="1"/>
  <c r="T795" i="32" s="1"/>
  <c r="R795" i="32" a="1"/>
  <c r="R795" i="32" s="1"/>
  <c r="D795" i="32" s="1"/>
  <c r="P799" i="32"/>
  <c r="Q797" i="32"/>
  <c r="F3030" i="27"/>
  <c r="A2283" i="27"/>
  <c r="BF15" i="34"/>
  <c r="BE15" i="34"/>
  <c r="AT16" i="34"/>
  <c r="AO16" i="34"/>
  <c r="AP16" i="34" s="1"/>
  <c r="D277" i="24"/>
  <c r="AQ15" i="34"/>
  <c r="AR15" i="34"/>
  <c r="U877" i="32"/>
  <c r="U578" i="32"/>
  <c r="U266" i="32"/>
  <c r="A877" i="32"/>
  <c r="G264" i="32"/>
  <c r="A266" i="32"/>
  <c r="P2283" i="27"/>
  <c r="D2284" i="27"/>
  <c r="A578" i="32"/>
  <c r="G576" i="32"/>
  <c r="K2283" i="27"/>
  <c r="G875" i="32"/>
  <c r="L2284" i="27"/>
  <c r="V797" i="32" l="1" a="1"/>
  <c r="V797" i="32" s="1"/>
  <c r="L797" i="32" s="1"/>
  <c r="S797" i="32" a="1"/>
  <c r="S797" i="32" s="1"/>
  <c r="E797" i="32" s="1"/>
  <c r="T797" i="32" a="1"/>
  <c r="T797" i="32" s="1"/>
  <c r="R797" i="32" a="1"/>
  <c r="R797" i="32" s="1"/>
  <c r="D797" i="32" s="1"/>
  <c r="P801" i="32"/>
  <c r="Q799" i="32"/>
  <c r="F3031" i="27"/>
  <c r="A2284" i="27"/>
  <c r="BE16" i="34"/>
  <c r="BF16" i="34"/>
  <c r="AO17" i="34"/>
  <c r="AP17" i="34" s="1"/>
  <c r="AT17" i="34"/>
  <c r="D285" i="24"/>
  <c r="AQ16" i="34"/>
  <c r="AR16" i="34"/>
  <c r="U268" i="32"/>
  <c r="U580" i="32"/>
  <c r="U879" i="32"/>
  <c r="A879" i="32"/>
  <c r="A268" i="32"/>
  <c r="L2285" i="27"/>
  <c r="G266" i="32"/>
  <c r="G877" i="32"/>
  <c r="K2284" i="27"/>
  <c r="G578" i="32"/>
  <c r="D2285" i="27"/>
  <c r="A580" i="32"/>
  <c r="P2284" i="27"/>
  <c r="V799" i="32" l="1" a="1"/>
  <c r="V799" i="32" s="1"/>
  <c r="L799" i="32" s="1"/>
  <c r="R799" i="32" a="1"/>
  <c r="R799" i="32" s="1"/>
  <c r="D799" i="32" s="1"/>
  <c r="S799" i="32" a="1"/>
  <c r="S799" i="32" s="1"/>
  <c r="E799" i="32" s="1"/>
  <c r="T799" i="32" a="1"/>
  <c r="T799" i="32" s="1"/>
  <c r="P803" i="32"/>
  <c r="Q801" i="32"/>
  <c r="F3032" i="27"/>
  <c r="A2285" i="27"/>
  <c r="BE17" i="34"/>
  <c r="BF17" i="34"/>
  <c r="AO18" i="34"/>
  <c r="AP18" i="34" s="1"/>
  <c r="AT18" i="34"/>
  <c r="D293" i="24"/>
  <c r="AQ17" i="34"/>
  <c r="AR17" i="34"/>
  <c r="U881" i="32"/>
  <c r="U582" i="32"/>
  <c r="U270" i="32"/>
  <c r="A270" i="32"/>
  <c r="A881" i="32"/>
  <c r="P2285" i="27"/>
  <c r="L2286" i="27"/>
  <c r="D2286" i="27"/>
  <c r="G268" i="32"/>
  <c r="G580" i="32"/>
  <c r="A582" i="32"/>
  <c r="G879" i="32"/>
  <c r="K2285" i="27"/>
  <c r="V801" i="32" l="1" a="1"/>
  <c r="V801" i="32" s="1"/>
  <c r="L801" i="32" s="1"/>
  <c r="S801" i="32" a="1"/>
  <c r="S801" i="32" s="1"/>
  <c r="E801" i="32" s="1"/>
  <c r="R801" i="32" a="1"/>
  <c r="R801" i="32" s="1"/>
  <c r="D801" i="32" s="1"/>
  <c r="T801" i="32" a="1"/>
  <c r="T801" i="32" s="1"/>
  <c r="P805" i="32"/>
  <c r="Q803" i="32"/>
  <c r="F3033" i="27"/>
  <c r="A2286" i="27"/>
  <c r="BE18" i="34"/>
  <c r="BF18" i="34"/>
  <c r="AT19" i="34"/>
  <c r="AO19" i="34"/>
  <c r="AP19" i="34" s="1"/>
  <c r="AR18" i="34"/>
  <c r="AQ18" i="34"/>
  <c r="U584" i="32"/>
  <c r="U272" i="32"/>
  <c r="U883" i="32"/>
  <c r="A272" i="32"/>
  <c r="G270" i="32"/>
  <c r="G881" i="32"/>
  <c r="D2287" i="27"/>
  <c r="A883" i="32"/>
  <c r="A584" i="32"/>
  <c r="K2286" i="27"/>
  <c r="P2286" i="27"/>
  <c r="L2287" i="27"/>
  <c r="G582" i="32"/>
  <c r="V803" i="32" l="1" a="1"/>
  <c r="V803" i="32" s="1"/>
  <c r="L803" i="32" s="1"/>
  <c r="S803" i="32" a="1"/>
  <c r="S803" i="32" s="1"/>
  <c r="E803" i="32" s="1"/>
  <c r="T803" i="32" a="1"/>
  <c r="T803" i="32" s="1"/>
  <c r="R803" i="32" a="1"/>
  <c r="R803" i="32" s="1"/>
  <c r="D803" i="32" s="1"/>
  <c r="P807" i="32"/>
  <c r="Q805" i="32"/>
  <c r="F3034" i="27"/>
  <c r="F3035" i="27"/>
  <c r="A2287" i="27"/>
  <c r="BE19" i="34"/>
  <c r="BF19" i="34"/>
  <c r="AT20" i="34"/>
  <c r="AO20" i="34"/>
  <c r="AP20" i="34" s="1"/>
  <c r="AR19" i="34"/>
  <c r="AQ19" i="34"/>
  <c r="U885" i="32"/>
  <c r="U274" i="32"/>
  <c r="U586" i="32"/>
  <c r="L2288" i="27"/>
  <c r="G883" i="32"/>
  <c r="K2287" i="27"/>
  <c r="G584" i="32"/>
  <c r="D2288" i="27"/>
  <c r="P2287" i="27"/>
  <c r="G272" i="32"/>
  <c r="A885" i="32"/>
  <c r="A586" i="32"/>
  <c r="A274" i="32"/>
  <c r="V805" i="32" l="1" a="1"/>
  <c r="V805" i="32" s="1"/>
  <c r="L805" i="32" s="1"/>
  <c r="R805" i="32" a="1"/>
  <c r="R805" i="32" s="1"/>
  <c r="D805" i="32" s="1"/>
  <c r="T805" i="32" a="1"/>
  <c r="T805" i="32" s="1"/>
  <c r="S805" i="32" a="1"/>
  <c r="S805" i="32" s="1"/>
  <c r="E805" i="32" s="1"/>
  <c r="P809" i="32"/>
  <c r="Q807" i="32"/>
  <c r="F3036" i="27"/>
  <c r="A2288" i="27"/>
  <c r="BE20" i="34"/>
  <c r="BF20" i="34"/>
  <c r="AO21" i="34"/>
  <c r="AP21" i="34" s="1"/>
  <c r="AT21" i="34"/>
  <c r="AR20" i="34"/>
  <c r="AQ20" i="34"/>
  <c r="U588" i="32"/>
  <c r="U276" i="32"/>
  <c r="U887" i="32"/>
  <c r="A588" i="32"/>
  <c r="A276" i="32"/>
  <c r="L2289" i="27"/>
  <c r="G586" i="32"/>
  <c r="A887" i="32"/>
  <c r="G885" i="32"/>
  <c r="P2288" i="27"/>
  <c r="K2288" i="27"/>
  <c r="G274" i="32"/>
  <c r="D2289" i="27"/>
  <c r="V807" i="32" l="1" a="1"/>
  <c r="V807" i="32" s="1"/>
  <c r="L807" i="32" s="1"/>
  <c r="R807" i="32" a="1"/>
  <c r="R807" i="32" s="1"/>
  <c r="D807" i="32" s="1"/>
  <c r="S807" i="32" a="1"/>
  <c r="S807" i="32" s="1"/>
  <c r="E807" i="32" s="1"/>
  <c r="T807" i="32" a="1"/>
  <c r="T807" i="32" s="1"/>
  <c r="P811" i="32"/>
  <c r="Q809" i="32"/>
  <c r="F3037" i="27"/>
  <c r="A2289" i="27"/>
  <c r="BF21" i="34"/>
  <c r="BE21" i="34"/>
  <c r="AT23" i="34"/>
  <c r="AO23" i="34"/>
  <c r="AP23" i="34" s="1"/>
  <c r="AT22" i="34"/>
  <c r="AO22" i="34"/>
  <c r="AP22" i="34" s="1"/>
  <c r="AR21" i="34"/>
  <c r="AQ21" i="34"/>
  <c r="U889" i="32"/>
  <c r="U278" i="32"/>
  <c r="U590" i="32"/>
  <c r="P2289" i="27"/>
  <c r="G276" i="32"/>
  <c r="L2290" i="27"/>
  <c r="K2289" i="27"/>
  <c r="L2291" i="27"/>
  <c r="G887" i="32"/>
  <c r="D2291" i="27"/>
  <c r="A889" i="32"/>
  <c r="G588" i="32"/>
  <c r="A278" i="32"/>
  <c r="A590" i="32"/>
  <c r="D2290" i="27"/>
  <c r="V809" i="32" l="1" a="1"/>
  <c r="V809" i="32" s="1"/>
  <c r="L809" i="32" s="1"/>
  <c r="S809" i="32" a="1"/>
  <c r="S809" i="32" s="1"/>
  <c r="E809" i="32" s="1"/>
  <c r="R809" i="32" a="1"/>
  <c r="R809" i="32" s="1"/>
  <c r="D809" i="32" s="1"/>
  <c r="T809" i="32" a="1"/>
  <c r="T809" i="32" s="1"/>
  <c r="P813" i="32"/>
  <c r="Q811" i="32"/>
  <c r="F3038" i="27"/>
  <c r="A2290" i="27"/>
  <c r="A2291" i="27"/>
  <c r="BE22" i="34"/>
  <c r="BF22" i="34"/>
  <c r="BE23" i="34"/>
  <c r="BF23" i="34"/>
  <c r="AQ22" i="34"/>
  <c r="AR22" i="34"/>
  <c r="AQ23" i="34"/>
  <c r="AR23" i="34"/>
  <c r="U592" i="32"/>
  <c r="U280" i="32"/>
  <c r="U891" i="32"/>
  <c r="P2290" i="27"/>
  <c r="A280" i="32"/>
  <c r="K2291" i="27"/>
  <c r="A891" i="32"/>
  <c r="G278" i="32"/>
  <c r="G889" i="32"/>
  <c r="P2291" i="27"/>
  <c r="K2290" i="27"/>
  <c r="G590" i="32"/>
  <c r="A592" i="32"/>
  <c r="V811" i="32" l="1" a="1"/>
  <c r="V811" i="32" s="1"/>
  <c r="L811" i="32" s="1"/>
  <c r="S811" i="32" a="1"/>
  <c r="S811" i="32" s="1"/>
  <c r="E811" i="32" s="1"/>
  <c r="T811" i="32" a="1"/>
  <c r="T811" i="32" s="1"/>
  <c r="R811" i="32" a="1"/>
  <c r="R811" i="32" s="1"/>
  <c r="D811" i="32" s="1"/>
  <c r="P815" i="32"/>
  <c r="Q813" i="32"/>
  <c r="F3039" i="27"/>
  <c r="AT24" i="34"/>
  <c r="AO24" i="34"/>
  <c r="AP24" i="34" s="1"/>
  <c r="U893" i="32"/>
  <c r="U594" i="32"/>
  <c r="U282" i="32"/>
  <c r="D2292" i="27"/>
  <c r="A282" i="32"/>
  <c r="L2292" i="27"/>
  <c r="G280" i="32"/>
  <c r="A893" i="32"/>
  <c r="G592" i="32"/>
  <c r="A594" i="32"/>
  <c r="G891" i="32"/>
  <c r="V813" i="32" l="1" a="1"/>
  <c r="V813" i="32" s="1"/>
  <c r="L813" i="32" s="1"/>
  <c r="R813" i="32" a="1"/>
  <c r="R813" i="32" s="1"/>
  <c r="D813" i="32" s="1"/>
  <c r="S813" i="32" a="1"/>
  <c r="S813" i="32" s="1"/>
  <c r="E813" i="32" s="1"/>
  <c r="T813" i="32" a="1"/>
  <c r="T813" i="32" s="1"/>
  <c r="P817" i="32"/>
  <c r="Q815" i="32"/>
  <c r="F3041" i="27"/>
  <c r="F3040" i="27"/>
  <c r="A2292" i="27"/>
  <c r="BE24" i="34"/>
  <c r="BF24" i="34"/>
  <c r="AT25" i="34"/>
  <c r="AO25" i="34"/>
  <c r="AP25" i="34" s="1"/>
  <c r="AR24" i="34"/>
  <c r="AQ24" i="34"/>
  <c r="U284" i="32"/>
  <c r="U596" i="32"/>
  <c r="U895" i="32"/>
  <c r="A284" i="32"/>
  <c r="L2293" i="27"/>
  <c r="D2293" i="27"/>
  <c r="A596" i="32"/>
  <c r="G282" i="32"/>
  <c r="G594" i="32"/>
  <c r="K2292" i="27"/>
  <c r="A895" i="32"/>
  <c r="G893" i="32"/>
  <c r="P2292" i="27"/>
  <c r="V815" i="32" l="1" a="1"/>
  <c r="V815" i="32" s="1"/>
  <c r="L815" i="32" s="1"/>
  <c r="T815" i="32" a="1"/>
  <c r="T815" i="32" s="1"/>
  <c r="R815" i="32" a="1"/>
  <c r="R815" i="32" s="1"/>
  <c r="D815" i="32" s="1"/>
  <c r="S815" i="32" a="1"/>
  <c r="S815" i="32" s="1"/>
  <c r="E815" i="32" s="1"/>
  <c r="P819" i="32"/>
  <c r="Q817" i="32"/>
  <c r="F3042" i="27"/>
  <c r="A2293" i="27"/>
  <c r="BE25" i="34"/>
  <c r="BF25" i="34"/>
  <c r="AO26" i="34"/>
  <c r="AP26" i="34" s="1"/>
  <c r="AT26" i="34"/>
  <c r="AQ25" i="34"/>
  <c r="AR25" i="34"/>
  <c r="U897" i="32"/>
  <c r="U598" i="32"/>
  <c r="U286" i="32"/>
  <c r="L2294" i="27"/>
  <c r="G284" i="32"/>
  <c r="P2293" i="27"/>
  <c r="A897" i="32"/>
  <c r="A598" i="32"/>
  <c r="D2294" i="27"/>
  <c r="G895" i="32"/>
  <c r="K2293" i="27"/>
  <c r="A286" i="32"/>
  <c r="G596" i="32"/>
  <c r="S817" i="32" l="1" a="1"/>
  <c r="S817" i="32" s="1"/>
  <c r="E817" i="32" s="1"/>
  <c r="R817" i="32" a="1"/>
  <c r="R817" i="32" s="1"/>
  <c r="D817" i="32" s="1"/>
  <c r="T817" i="32" a="1"/>
  <c r="T817" i="32" s="1"/>
  <c r="V817" i="32" a="1"/>
  <c r="V817" i="32" s="1"/>
  <c r="L817" i="32" s="1"/>
  <c r="P821" i="32"/>
  <c r="Q819" i="32"/>
  <c r="F3043" i="27"/>
  <c r="A2294" i="27"/>
  <c r="BE26" i="34"/>
  <c r="BF26" i="34"/>
  <c r="AO27" i="34"/>
  <c r="AP27" i="34" s="1"/>
  <c r="AT27" i="34"/>
  <c r="AR26" i="34"/>
  <c r="AQ26" i="34"/>
  <c r="U288" i="32"/>
  <c r="U600" i="32"/>
  <c r="U899" i="32"/>
  <c r="G286" i="32"/>
  <c r="K2294" i="27"/>
  <c r="G897" i="32"/>
  <c r="A899" i="32"/>
  <c r="L2295" i="27"/>
  <c r="P2294" i="27"/>
  <c r="D2295" i="27"/>
  <c r="G598" i="32"/>
  <c r="A600" i="32"/>
  <c r="A288" i="32"/>
  <c r="P823" i="32" l="1"/>
  <c r="Q821" i="32"/>
  <c r="R819" i="32" a="1"/>
  <c r="R819" i="32" s="1"/>
  <c r="D819" i="32" s="1"/>
  <c r="T819" i="32" a="1"/>
  <c r="T819" i="32" s="1"/>
  <c r="V819" i="32" a="1"/>
  <c r="V819" i="32" s="1"/>
  <c r="L819" i="32" s="1"/>
  <c r="S819" i="32" a="1"/>
  <c r="S819" i="32" s="1"/>
  <c r="E819" i="32" s="1"/>
  <c r="F3044" i="27"/>
  <c r="A2295" i="27"/>
  <c r="BE27" i="34"/>
  <c r="BF27" i="34"/>
  <c r="AT29" i="34"/>
  <c r="AO29" i="34"/>
  <c r="AP29" i="34" s="1"/>
  <c r="AO28" i="34"/>
  <c r="AP28" i="34" s="1"/>
  <c r="AT28" i="34"/>
  <c r="AQ27" i="34"/>
  <c r="AR27" i="34"/>
  <c r="U901" i="32"/>
  <c r="U602" i="32"/>
  <c r="U290" i="32"/>
  <c r="D2297" i="27"/>
  <c r="G288" i="32"/>
  <c r="A290" i="32"/>
  <c r="L2296" i="27"/>
  <c r="P2295" i="27"/>
  <c r="G600" i="32"/>
  <c r="L2297" i="27"/>
  <c r="A602" i="32"/>
  <c r="G899" i="32"/>
  <c r="D2296" i="27"/>
  <c r="A901" i="32"/>
  <c r="K2295" i="27"/>
  <c r="R821" i="32" l="1" a="1"/>
  <c r="R821" i="32" s="1"/>
  <c r="D821" i="32" s="1"/>
  <c r="S821" i="32" a="1"/>
  <c r="S821" i="32" s="1"/>
  <c r="E821" i="32" s="1"/>
  <c r="V821" i="32" a="1"/>
  <c r="V821" i="32" s="1"/>
  <c r="L821" i="32" s="1"/>
  <c r="T821" i="32" a="1"/>
  <c r="T821" i="32" s="1"/>
  <c r="P825" i="32"/>
  <c r="Q823" i="32"/>
  <c r="F3045" i="27"/>
  <c r="A2296" i="27"/>
  <c r="A2297" i="27"/>
  <c r="BE28" i="34"/>
  <c r="BF28" i="34"/>
  <c r="BE29" i="34"/>
  <c r="BF29" i="34"/>
  <c r="AR28" i="34"/>
  <c r="AQ28" i="34"/>
  <c r="AR29" i="34"/>
  <c r="AQ29" i="34"/>
  <c r="U292" i="32"/>
  <c r="U604" i="32"/>
  <c r="U903" i="32"/>
  <c r="G290" i="32"/>
  <c r="K2297" i="27"/>
  <c r="G602" i="32"/>
  <c r="K2296" i="27"/>
  <c r="G901" i="32"/>
  <c r="A604" i="32"/>
  <c r="P2296" i="27"/>
  <c r="A292" i="32"/>
  <c r="P2297" i="27"/>
  <c r="A903" i="32"/>
  <c r="R823" i="32" l="1" a="1"/>
  <c r="R823" i="32" s="1"/>
  <c r="D823" i="32" s="1"/>
  <c r="S823" i="32" a="1"/>
  <c r="S823" i="32" s="1"/>
  <c r="E823" i="32" s="1"/>
  <c r="T823" i="32" a="1"/>
  <c r="T823" i="32" s="1"/>
  <c r="V823" i="32" a="1"/>
  <c r="V823" i="32" s="1"/>
  <c r="L823" i="32" s="1"/>
  <c r="P827" i="32"/>
  <c r="Q825" i="32"/>
  <c r="F3047" i="27"/>
  <c r="F3046" i="27"/>
  <c r="AT30" i="34"/>
  <c r="AO30" i="34"/>
  <c r="AP30" i="34" s="1"/>
  <c r="U905" i="32"/>
  <c r="U606" i="32"/>
  <c r="U294" i="32"/>
  <c r="A606" i="32"/>
  <c r="G604" i="32"/>
  <c r="G903" i="32"/>
  <c r="G292" i="32"/>
  <c r="D2298" i="27"/>
  <c r="A905" i="32"/>
  <c r="A294" i="32"/>
  <c r="L2298" i="27"/>
  <c r="V825" i="32" l="1" a="1"/>
  <c r="V825" i="32" s="1"/>
  <c r="L825" i="32" s="1"/>
  <c r="R825" i="32" a="1"/>
  <c r="R825" i="32" s="1"/>
  <c r="D825" i="32" s="1"/>
  <c r="T825" i="32" a="1"/>
  <c r="T825" i="32" s="1"/>
  <c r="S825" i="32" a="1"/>
  <c r="S825" i="32" s="1"/>
  <c r="E825" i="32" s="1"/>
  <c r="P829" i="32"/>
  <c r="Q827" i="32"/>
  <c r="F3048" i="27"/>
  <c r="A2298" i="27"/>
  <c r="BE30" i="34"/>
  <c r="BF30" i="34"/>
  <c r="AT31" i="34"/>
  <c r="AO31" i="34"/>
  <c r="AP31" i="34" s="1"/>
  <c r="AR30" i="34"/>
  <c r="AQ30" i="34"/>
  <c r="U296" i="32"/>
  <c r="U608" i="32"/>
  <c r="U907" i="32"/>
  <c r="G294" i="32"/>
  <c r="A296" i="32"/>
  <c r="G606" i="32"/>
  <c r="K2298" i="27"/>
  <c r="A907" i="32"/>
  <c r="D2299" i="27"/>
  <c r="P2298" i="27"/>
  <c r="L2299" i="27"/>
  <c r="A608" i="32"/>
  <c r="G905" i="32"/>
  <c r="V827" i="32" l="1" a="1"/>
  <c r="V827" i="32" s="1"/>
  <c r="L827" i="32" s="1"/>
  <c r="S827" i="32" a="1"/>
  <c r="S827" i="32" s="1"/>
  <c r="E827" i="32" s="1"/>
  <c r="R827" i="32" a="1"/>
  <c r="R827" i="32" s="1"/>
  <c r="D827" i="32" s="1"/>
  <c r="T827" i="32" a="1"/>
  <c r="T827" i="32" s="1"/>
  <c r="P831" i="32"/>
  <c r="Q829" i="32"/>
  <c r="F3049" i="27"/>
  <c r="A2299" i="27"/>
  <c r="BE31" i="34"/>
  <c r="BF31" i="34"/>
  <c r="AO32" i="34"/>
  <c r="AP32" i="34" s="1"/>
  <c r="AT32" i="34"/>
  <c r="AQ31" i="34"/>
  <c r="AR31" i="34"/>
  <c r="U909" i="32"/>
  <c r="U610" i="32"/>
  <c r="U298" i="32"/>
  <c r="D2300" i="27"/>
  <c r="K2299" i="27"/>
  <c r="A298" i="32"/>
  <c r="P2299" i="27"/>
  <c r="A909" i="32"/>
  <c r="A610" i="32"/>
  <c r="G608" i="32"/>
  <c r="L2300" i="27"/>
  <c r="G907" i="32"/>
  <c r="G296" i="32"/>
  <c r="V829" i="32" l="1" a="1"/>
  <c r="V829" i="32" s="1"/>
  <c r="L829" i="32" s="1"/>
  <c r="R829" i="32" a="1"/>
  <c r="R829" i="32" s="1"/>
  <c r="D829" i="32" s="1"/>
  <c r="S829" i="32" a="1"/>
  <c r="S829" i="32" s="1"/>
  <c r="E829" i="32" s="1"/>
  <c r="T829" i="32" a="1"/>
  <c r="T829" i="32" s="1"/>
  <c r="P833" i="32"/>
  <c r="Q831" i="32"/>
  <c r="F3050" i="27"/>
  <c r="A2300" i="27"/>
  <c r="BE32" i="34"/>
  <c r="BF32" i="34"/>
  <c r="AT33" i="34"/>
  <c r="AO33" i="34"/>
  <c r="AP33" i="34" s="1"/>
  <c r="AR32" i="34"/>
  <c r="AQ32" i="34"/>
  <c r="U300" i="32"/>
  <c r="U612" i="32"/>
  <c r="U911" i="32"/>
  <c r="K2300" i="27"/>
  <c r="A300" i="32"/>
  <c r="A911" i="32"/>
  <c r="P2300" i="27"/>
  <c r="L2301" i="27"/>
  <c r="A612" i="32"/>
  <c r="D2301" i="27"/>
  <c r="G909" i="32"/>
  <c r="G298" i="32"/>
  <c r="G610" i="32"/>
  <c r="V831" i="32" l="1" a="1"/>
  <c r="V831" i="32" s="1"/>
  <c r="L831" i="32" s="1"/>
  <c r="T831" i="32" a="1"/>
  <c r="T831" i="32" s="1"/>
  <c r="S831" i="32" a="1"/>
  <c r="S831" i="32" s="1"/>
  <c r="E831" i="32" s="1"/>
  <c r="R831" i="32" a="1"/>
  <c r="R831" i="32" s="1"/>
  <c r="D831" i="32" s="1"/>
  <c r="P835" i="32"/>
  <c r="Q833" i="32"/>
  <c r="F3051" i="27"/>
  <c r="A2301" i="27"/>
  <c r="BF33" i="34"/>
  <c r="BE33" i="34"/>
  <c r="AO34" i="34"/>
  <c r="AP34" i="34" s="1"/>
  <c r="AT34" i="34"/>
  <c r="AR33" i="34"/>
  <c r="AQ33" i="34"/>
  <c r="U913" i="32"/>
  <c r="U614" i="32"/>
  <c r="U302" i="32"/>
  <c r="A614" i="32"/>
  <c r="D2302" i="27"/>
  <c r="A302" i="32"/>
  <c r="A913" i="32"/>
  <c r="G300" i="32"/>
  <c r="K2301" i="27"/>
  <c r="G911" i="32"/>
  <c r="G612" i="32"/>
  <c r="P2301" i="27"/>
  <c r="L2302" i="27"/>
  <c r="V833" i="32" l="1" a="1"/>
  <c r="V833" i="32" s="1"/>
  <c r="L833" i="32" s="1"/>
  <c r="T833" i="32" a="1"/>
  <c r="T833" i="32" s="1"/>
  <c r="R833" i="32" a="1"/>
  <c r="R833" i="32" s="1"/>
  <c r="D833" i="32" s="1"/>
  <c r="S833" i="32" a="1"/>
  <c r="S833" i="32" s="1"/>
  <c r="E833" i="32" s="1"/>
  <c r="P837" i="32"/>
  <c r="Q835" i="32"/>
  <c r="F3053" i="27"/>
  <c r="F3052" i="27"/>
  <c r="A2302" i="27"/>
  <c r="BE34" i="34"/>
  <c r="BF34" i="34"/>
  <c r="AT35" i="34"/>
  <c r="AO35" i="34"/>
  <c r="AP35" i="34" s="1"/>
  <c r="AR34" i="34"/>
  <c r="AQ34" i="34"/>
  <c r="U304" i="32"/>
  <c r="U915" i="32"/>
  <c r="A304" i="32"/>
  <c r="G614" i="32"/>
  <c r="K2302" i="27"/>
  <c r="G913" i="32"/>
  <c r="A915" i="32"/>
  <c r="P2302" i="27"/>
  <c r="D2303" i="27"/>
  <c r="G302" i="32"/>
  <c r="L2303" i="27"/>
  <c r="V835" i="32" l="1" a="1"/>
  <c r="V835" i="32" s="1"/>
  <c r="L835" i="32" s="1"/>
  <c r="S835" i="32" a="1"/>
  <c r="S835" i="32" s="1"/>
  <c r="E835" i="32" s="1"/>
  <c r="T835" i="32" a="1"/>
  <c r="T835" i="32" s="1"/>
  <c r="R835" i="32" a="1"/>
  <c r="R835" i="32" s="1"/>
  <c r="D835" i="32" s="1"/>
  <c r="P839" i="32"/>
  <c r="Q837" i="32"/>
  <c r="F3054" i="27"/>
  <c r="A2303" i="27"/>
  <c r="BE35" i="34"/>
  <c r="BF35" i="34"/>
  <c r="AO36" i="34"/>
  <c r="AP36" i="34" s="1"/>
  <c r="AT36" i="34"/>
  <c r="AQ35" i="34"/>
  <c r="AR35" i="34"/>
  <c r="U917" i="32"/>
  <c r="U306" i="32"/>
  <c r="P2303" i="27"/>
  <c r="L2304" i="27"/>
  <c r="D2304" i="27"/>
  <c r="K2303" i="27"/>
  <c r="A917" i="32"/>
  <c r="A306" i="32"/>
  <c r="G915" i="32"/>
  <c r="G304" i="32"/>
  <c r="V837" i="32" l="1" a="1"/>
  <c r="V837" i="32" s="1"/>
  <c r="L837" i="32" s="1"/>
  <c r="R837" i="32" a="1"/>
  <c r="R837" i="32" s="1"/>
  <c r="D837" i="32" s="1"/>
  <c r="T837" i="32" a="1"/>
  <c r="T837" i="32" s="1"/>
  <c r="S837" i="32" a="1"/>
  <c r="S837" i="32" s="1"/>
  <c r="E837" i="32" s="1"/>
  <c r="P841" i="32"/>
  <c r="Q839" i="32"/>
  <c r="F3055" i="27"/>
  <c r="A2304" i="27"/>
  <c r="BE36" i="34"/>
  <c r="BF36" i="34"/>
  <c r="AO37" i="34"/>
  <c r="AP37" i="34" s="1"/>
  <c r="AT37" i="34"/>
  <c r="AR36" i="34"/>
  <c r="AQ36" i="34"/>
  <c r="U308" i="32"/>
  <c r="U919" i="32"/>
  <c r="L2305" i="27"/>
  <c r="K2304" i="27"/>
  <c r="A919" i="32"/>
  <c r="A308" i="32"/>
  <c r="D2305" i="27"/>
  <c r="G306" i="32"/>
  <c r="G917" i="32"/>
  <c r="P2304" i="27"/>
  <c r="V839" i="32" l="1" a="1"/>
  <c r="V839" i="32" s="1"/>
  <c r="L839" i="32" s="1"/>
  <c r="T839" i="32" a="1"/>
  <c r="T839" i="32" s="1"/>
  <c r="S839" i="32" a="1"/>
  <c r="S839" i="32" s="1"/>
  <c r="E839" i="32" s="1"/>
  <c r="R839" i="32" a="1"/>
  <c r="R839" i="32" s="1"/>
  <c r="D839" i="32" s="1"/>
  <c r="P843" i="32"/>
  <c r="Q841" i="32"/>
  <c r="F3056" i="27"/>
  <c r="A2305" i="27"/>
  <c r="N1182" i="27"/>
  <c r="L1182" i="27"/>
  <c r="K1182" i="27"/>
  <c r="F1182" i="27"/>
  <c r="M1182" i="27"/>
  <c r="BE37" i="34"/>
  <c r="BF37" i="34"/>
  <c r="AT38" i="34"/>
  <c r="AO38" i="34"/>
  <c r="AP38" i="34" s="1"/>
  <c r="AR37" i="34"/>
  <c r="AQ37" i="34"/>
  <c r="U921" i="32"/>
  <c r="K2305" i="27"/>
  <c r="L2306" i="27"/>
  <c r="G308" i="32"/>
  <c r="D2306" i="27"/>
  <c r="P2305" i="27"/>
  <c r="A921" i="32"/>
  <c r="G919" i="32"/>
  <c r="V841" i="32" l="1" a="1"/>
  <c r="V841" i="32" s="1"/>
  <c r="L841" i="32" s="1"/>
  <c r="S841" i="32" a="1"/>
  <c r="S841" i="32" s="1"/>
  <c r="E841" i="32" s="1"/>
  <c r="R841" i="32" a="1"/>
  <c r="R841" i="32" s="1"/>
  <c r="D841" i="32" s="1"/>
  <c r="T841" i="32" a="1"/>
  <c r="T841" i="32" s="1"/>
  <c r="P845" i="32"/>
  <c r="Q843" i="32"/>
  <c r="F3057" i="27"/>
  <c r="A2306" i="27"/>
  <c r="L1032" i="27"/>
  <c r="K1195" i="27"/>
  <c r="BE38" i="34"/>
  <c r="BF38" i="34"/>
  <c r="AT39" i="34"/>
  <c r="AO39" i="34"/>
  <c r="AP39" i="34" s="1"/>
  <c r="AR38" i="34"/>
  <c r="AQ38" i="34"/>
  <c r="U923" i="32"/>
  <c r="A923" i="32"/>
  <c r="P2306" i="27"/>
  <c r="G921" i="32"/>
  <c r="K2306" i="27"/>
  <c r="D2307" i="27"/>
  <c r="L2307" i="27"/>
  <c r="S843" i="32" l="1" a="1"/>
  <c r="S843" i="32" s="1"/>
  <c r="E843" i="32" s="1"/>
  <c r="V843" i="32" a="1"/>
  <c r="V843" i="32" s="1"/>
  <c r="L843" i="32" s="1"/>
  <c r="T843" i="32" a="1"/>
  <c r="T843" i="32" s="1"/>
  <c r="R843" i="32" a="1"/>
  <c r="R843" i="32" s="1"/>
  <c r="D843" i="32" s="1"/>
  <c r="P847" i="32"/>
  <c r="Q845" i="32"/>
  <c r="F3059" i="27"/>
  <c r="F3058" i="27"/>
  <c r="A2307" i="27"/>
  <c r="BE39" i="34"/>
  <c r="BF39" i="34"/>
  <c r="AT40" i="34"/>
  <c r="AO40" i="34"/>
  <c r="AP40" i="34" s="1"/>
  <c r="AR39" i="34"/>
  <c r="AQ39" i="34"/>
  <c r="U925" i="32"/>
  <c r="L2308" i="27"/>
  <c r="G923" i="32"/>
  <c r="A925" i="32"/>
  <c r="K2307" i="27"/>
  <c r="P2307" i="27"/>
  <c r="D2308" i="27"/>
  <c r="V845" i="32" l="1" a="1"/>
  <c r="V845" i="32" s="1"/>
  <c r="L845" i="32" s="1"/>
  <c r="R845" i="32" a="1"/>
  <c r="R845" i="32" s="1"/>
  <c r="D845" i="32" s="1"/>
  <c r="S845" i="32" a="1"/>
  <c r="S845" i="32" s="1"/>
  <c r="E845" i="32" s="1"/>
  <c r="T845" i="32" a="1"/>
  <c r="T845" i="32" s="1"/>
  <c r="P849" i="32"/>
  <c r="Q847" i="32"/>
  <c r="F3060" i="27"/>
  <c r="A2308" i="27"/>
  <c r="BE40" i="34"/>
  <c r="BF40" i="34"/>
  <c r="AO41" i="34"/>
  <c r="AP41" i="34" s="1"/>
  <c r="AT41" i="34"/>
  <c r="AQ40" i="34"/>
  <c r="AR40" i="34"/>
  <c r="U927" i="32"/>
  <c r="K2308" i="27"/>
  <c r="G925" i="32"/>
  <c r="P2308" i="27"/>
  <c r="D2309" i="27"/>
  <c r="A927" i="32"/>
  <c r="L2309" i="27"/>
  <c r="V847" i="32" l="1" a="1"/>
  <c r="V847" i="32" s="1"/>
  <c r="L847" i="32" s="1"/>
  <c r="S847" i="32" a="1"/>
  <c r="S847" i="32" s="1"/>
  <c r="E847" i="32" s="1"/>
  <c r="R847" i="32" a="1"/>
  <c r="R847" i="32" s="1"/>
  <c r="D847" i="32" s="1"/>
  <c r="T847" i="32" a="1"/>
  <c r="T847" i="32" s="1"/>
  <c r="P851" i="32"/>
  <c r="Q849" i="32"/>
  <c r="F3061" i="27"/>
  <c r="A2309" i="27"/>
  <c r="BE41" i="34"/>
  <c r="BF41" i="34"/>
  <c r="AO42" i="34"/>
  <c r="AP42" i="34" s="1"/>
  <c r="AT42" i="34"/>
  <c r="AR41" i="34"/>
  <c r="AQ41" i="34"/>
  <c r="U929" i="32"/>
  <c r="A929" i="32"/>
  <c r="P2309" i="27"/>
  <c r="L2310" i="27"/>
  <c r="G927" i="32"/>
  <c r="K2309" i="27"/>
  <c r="D2310" i="27"/>
  <c r="P853" i="32" l="1"/>
  <c r="Q851" i="32"/>
  <c r="V849" i="32" a="1"/>
  <c r="V849" i="32" s="1"/>
  <c r="L849" i="32" s="1"/>
  <c r="R849" i="32" a="1"/>
  <c r="R849" i="32" s="1"/>
  <c r="D849" i="32" s="1"/>
  <c r="T849" i="32" a="1"/>
  <c r="T849" i="32" s="1"/>
  <c r="S849" i="32" a="1"/>
  <c r="S849" i="32" s="1"/>
  <c r="E849" i="32" s="1"/>
  <c r="F3062" i="27"/>
  <c r="A2310" i="27"/>
  <c r="BE42" i="34"/>
  <c r="BF42" i="34"/>
  <c r="AT43" i="34"/>
  <c r="AO43" i="34"/>
  <c r="AP43" i="34" s="1"/>
  <c r="AR42" i="34"/>
  <c r="AQ42" i="34"/>
  <c r="U931" i="32"/>
  <c r="K2310" i="27"/>
  <c r="A931" i="32"/>
  <c r="P2310" i="27"/>
  <c r="D2311" i="27"/>
  <c r="L2311" i="27"/>
  <c r="G929" i="32"/>
  <c r="V851" i="32" l="1" a="1"/>
  <c r="V851" i="32" s="1"/>
  <c r="L851" i="32" s="1"/>
  <c r="T851" i="32" a="1"/>
  <c r="T851" i="32" s="1"/>
  <c r="R851" i="32" a="1"/>
  <c r="R851" i="32" s="1"/>
  <c r="D851" i="32" s="1"/>
  <c r="S851" i="32" a="1"/>
  <c r="S851" i="32" s="1"/>
  <c r="E851" i="32" s="1"/>
  <c r="P855" i="32"/>
  <c r="Q853" i="32"/>
  <c r="F3063" i="27"/>
  <c r="A2311" i="27"/>
  <c r="BE43" i="34"/>
  <c r="BF43" i="34"/>
  <c r="AO45" i="34"/>
  <c r="AP45" i="34" s="1"/>
  <c r="AT45" i="34"/>
  <c r="AO44" i="34"/>
  <c r="AP44" i="34" s="1"/>
  <c r="AT44" i="34"/>
  <c r="AQ43" i="34"/>
  <c r="AR43" i="34"/>
  <c r="U933" i="32"/>
  <c r="K2311" i="27"/>
  <c r="G931" i="32"/>
  <c r="P2311" i="27"/>
  <c r="D2312" i="27"/>
  <c r="D2313" i="27"/>
  <c r="L2312" i="27"/>
  <c r="L2313" i="27"/>
  <c r="A933" i="32"/>
  <c r="V853" i="32" l="1" a="1"/>
  <c r="V853" i="32" s="1"/>
  <c r="L853" i="32" s="1"/>
  <c r="S853" i="32" a="1"/>
  <c r="S853" i="32" s="1"/>
  <c r="E853" i="32" s="1"/>
  <c r="R853" i="32" a="1"/>
  <c r="R853" i="32" s="1"/>
  <c r="D853" i="32" s="1"/>
  <c r="T853" i="32" a="1"/>
  <c r="T853" i="32" s="1"/>
  <c r="P857" i="32"/>
  <c r="Q855" i="32"/>
  <c r="F3064" i="27"/>
  <c r="F3065" i="27"/>
  <c r="A2313" i="27"/>
  <c r="A2312" i="27"/>
  <c r="BE44" i="34"/>
  <c r="BF44" i="34"/>
  <c r="BF45" i="34"/>
  <c r="BE45" i="34"/>
  <c r="AR44" i="34"/>
  <c r="AQ44" i="34"/>
  <c r="AR45" i="34"/>
  <c r="AQ45" i="34"/>
  <c r="U935" i="32"/>
  <c r="P2313" i="27"/>
  <c r="G933" i="32"/>
  <c r="K2313" i="27"/>
  <c r="K2312" i="27"/>
  <c r="A935" i="32"/>
  <c r="P2312" i="27"/>
  <c r="V855" i="32" l="1" a="1"/>
  <c r="V855" i="32" s="1"/>
  <c r="L855" i="32" s="1"/>
  <c r="S855" i="32" a="1"/>
  <c r="S855" i="32" s="1"/>
  <c r="E855" i="32" s="1"/>
  <c r="T855" i="32" a="1"/>
  <c r="T855" i="32" s="1"/>
  <c r="R855" i="32" a="1"/>
  <c r="R855" i="32" s="1"/>
  <c r="D855" i="32" s="1"/>
  <c r="P859" i="32"/>
  <c r="Q857" i="32"/>
  <c r="F3066" i="27"/>
  <c r="AT46" i="34"/>
  <c r="AO46" i="34"/>
  <c r="AP46" i="34" s="1"/>
  <c r="U937" i="32"/>
  <c r="L2314" i="27"/>
  <c r="G935" i="32"/>
  <c r="D2314" i="27"/>
  <c r="A937" i="32"/>
  <c r="V857" i="32" l="1" a="1"/>
  <c r="V857" i="32" s="1"/>
  <c r="L857" i="32" s="1"/>
  <c r="R857" i="32" a="1"/>
  <c r="R857" i="32" s="1"/>
  <c r="D857" i="32" s="1"/>
  <c r="T857" i="32" a="1"/>
  <c r="T857" i="32" s="1"/>
  <c r="S857" i="32" a="1"/>
  <c r="S857" i="32" s="1"/>
  <c r="E857" i="32" s="1"/>
  <c r="P861" i="32"/>
  <c r="Q859" i="32"/>
  <c r="F3067" i="27"/>
  <c r="A2314" i="27"/>
  <c r="BE46" i="34"/>
  <c r="BF46" i="34"/>
  <c r="AT47" i="34"/>
  <c r="AO47" i="34"/>
  <c r="AP47" i="34" s="1"/>
  <c r="AT48" i="34"/>
  <c r="AO48" i="34"/>
  <c r="AP48" i="34" s="1"/>
  <c r="AR46" i="34"/>
  <c r="AQ46" i="34"/>
  <c r="U939" i="32"/>
  <c r="L2315" i="27"/>
  <c r="A939" i="32"/>
  <c r="G937" i="32"/>
  <c r="D2316" i="27"/>
  <c r="K2314" i="27"/>
  <c r="P2314" i="27"/>
  <c r="D2315" i="27"/>
  <c r="L2316" i="27"/>
  <c r="P863" i="32" l="1"/>
  <c r="Q861" i="32"/>
  <c r="R859" i="32" a="1"/>
  <c r="R859" i="32" s="1"/>
  <c r="D859" i="32" s="1"/>
  <c r="V859" i="32" a="1"/>
  <c r="V859" i="32" s="1"/>
  <c r="L859" i="32" s="1"/>
  <c r="S859" i="32" a="1"/>
  <c r="S859" i="32" s="1"/>
  <c r="E859" i="32" s="1"/>
  <c r="T859" i="32" a="1"/>
  <c r="T859" i="32" s="1"/>
  <c r="F3068" i="27"/>
  <c r="A2316" i="27"/>
  <c r="A2315" i="27"/>
  <c r="BE47" i="34"/>
  <c r="BF47" i="34"/>
  <c r="BE48" i="34"/>
  <c r="BF48" i="34"/>
  <c r="AQ48" i="34"/>
  <c r="AR48" i="34"/>
  <c r="AR47" i="34"/>
  <c r="AQ47" i="34"/>
  <c r="U941" i="32"/>
  <c r="G939" i="32"/>
  <c r="K2316" i="27"/>
  <c r="A941" i="32"/>
  <c r="K2315" i="27"/>
  <c r="P2316" i="27"/>
  <c r="P2315" i="27"/>
  <c r="R861" i="32" l="1" a="1"/>
  <c r="R861" i="32" s="1"/>
  <c r="D861" i="32" s="1"/>
  <c r="S861" i="32" a="1"/>
  <c r="S861" i="32" s="1"/>
  <c r="E861" i="32" s="1"/>
  <c r="T861" i="32" a="1"/>
  <c r="T861" i="32" s="1"/>
  <c r="V861" i="32" a="1"/>
  <c r="V861" i="32" s="1"/>
  <c r="L861" i="32" s="1"/>
  <c r="P865" i="32"/>
  <c r="Q863" i="32"/>
  <c r="F3069" i="27"/>
  <c r="AT49" i="34"/>
  <c r="AO49" i="34"/>
  <c r="AP49" i="34" s="1"/>
  <c r="U943" i="32"/>
  <c r="D2317" i="27"/>
  <c r="G941" i="32"/>
  <c r="L2317" i="27"/>
  <c r="A943" i="32"/>
  <c r="V863" i="32" l="1" a="1"/>
  <c r="V863" i="32" s="1"/>
  <c r="L863" i="32" s="1"/>
  <c r="S863" i="32" a="1"/>
  <c r="S863" i="32" s="1"/>
  <c r="E863" i="32" s="1"/>
  <c r="T863" i="32" a="1"/>
  <c r="T863" i="32" s="1"/>
  <c r="R863" i="32" a="1"/>
  <c r="R863" i="32" s="1"/>
  <c r="D863" i="32" s="1"/>
  <c r="P867" i="32"/>
  <c r="Q865" i="32"/>
  <c r="F3070" i="27"/>
  <c r="F3071" i="27"/>
  <c r="A2317" i="27"/>
  <c r="BE49" i="34"/>
  <c r="BF49" i="34"/>
  <c r="AT50" i="34"/>
  <c r="AO50" i="34"/>
  <c r="AP50" i="34" s="1"/>
  <c r="AQ49" i="34"/>
  <c r="AR49" i="34"/>
  <c r="U945" i="32"/>
  <c r="P2317" i="27"/>
  <c r="A945" i="32"/>
  <c r="D2318" i="27"/>
  <c r="K2317" i="27"/>
  <c r="G943" i="32"/>
  <c r="L2318" i="27"/>
  <c r="R865" i="32" l="1" a="1"/>
  <c r="R865" i="32" s="1"/>
  <c r="D865" i="32" s="1"/>
  <c r="S865" i="32" a="1"/>
  <c r="S865" i="32" s="1"/>
  <c r="E865" i="32" s="1"/>
  <c r="V865" i="32" a="1"/>
  <c r="V865" i="32" s="1"/>
  <c r="L865" i="32" s="1"/>
  <c r="T865" i="32" a="1"/>
  <c r="T865" i="32" s="1"/>
  <c r="P869" i="32"/>
  <c r="Q867" i="32"/>
  <c r="F3072" i="27"/>
  <c r="A2318" i="27"/>
  <c r="BE50" i="34"/>
  <c r="BF50" i="34"/>
  <c r="AT51" i="34"/>
  <c r="AO51" i="34"/>
  <c r="AP51" i="34" s="1"/>
  <c r="AR50" i="34"/>
  <c r="AQ50" i="34"/>
  <c r="U947" i="32"/>
  <c r="G945" i="32"/>
  <c r="K2318" i="27"/>
  <c r="A947" i="32"/>
  <c r="L2319" i="27"/>
  <c r="D2319" i="27"/>
  <c r="P2318" i="27"/>
  <c r="T867" i="32" l="1" a="1"/>
  <c r="T867" i="32" s="1"/>
  <c r="R867" i="32" a="1"/>
  <c r="R867" i="32" s="1"/>
  <c r="D867" i="32" s="1"/>
  <c r="V867" i="32" a="1"/>
  <c r="V867" i="32" s="1"/>
  <c r="L867" i="32" s="1"/>
  <c r="S867" i="32" a="1"/>
  <c r="S867" i="32" s="1"/>
  <c r="E867" i="32" s="1"/>
  <c r="P871" i="32"/>
  <c r="Q869" i="32"/>
  <c r="F3073" i="27"/>
  <c r="A2319" i="27"/>
  <c r="BF51" i="34"/>
  <c r="BE51" i="34"/>
  <c r="AT52" i="34"/>
  <c r="AO52" i="34"/>
  <c r="AP52" i="34" s="1"/>
  <c r="AQ51" i="34"/>
  <c r="AR51" i="34"/>
  <c r="U949" i="32"/>
  <c r="D2320" i="27"/>
  <c r="A949" i="32"/>
  <c r="K2319" i="27"/>
  <c r="G947" i="32"/>
  <c r="P2319" i="27"/>
  <c r="L2320" i="27"/>
  <c r="R869" i="32" l="1" a="1"/>
  <c r="R869" i="32" s="1"/>
  <c r="D869" i="32" s="1"/>
  <c r="S869" i="32" a="1"/>
  <c r="S869" i="32" s="1"/>
  <c r="E869" i="32" s="1"/>
  <c r="T869" i="32" a="1"/>
  <c r="T869" i="32" s="1"/>
  <c r="V869" i="32" a="1"/>
  <c r="V869" i="32" s="1"/>
  <c r="L869" i="32" s="1"/>
  <c r="P873" i="32"/>
  <c r="Q871" i="32"/>
  <c r="F3074" i="27"/>
  <c r="A2320" i="27"/>
  <c r="BE52" i="34"/>
  <c r="BF52" i="34"/>
  <c r="AT53" i="34"/>
  <c r="AO53" i="34"/>
  <c r="AP53" i="34" s="1"/>
  <c r="AQ52" i="34"/>
  <c r="AR52" i="34"/>
  <c r="U951" i="32"/>
  <c r="G949" i="32"/>
  <c r="A951" i="32"/>
  <c r="L2321" i="27"/>
  <c r="K2320" i="27"/>
  <c r="P2320" i="27"/>
  <c r="D2321" i="27"/>
  <c r="S871" i="32" l="1" a="1"/>
  <c r="S871" i="32" s="1"/>
  <c r="E871" i="32" s="1"/>
  <c r="T871" i="32" a="1"/>
  <c r="T871" i="32" s="1"/>
  <c r="V871" i="32" a="1"/>
  <c r="V871" i="32" s="1"/>
  <c r="L871" i="32" s="1"/>
  <c r="R871" i="32" a="1"/>
  <c r="R871" i="32" s="1"/>
  <c r="D871" i="32" s="1"/>
  <c r="P875" i="32"/>
  <c r="Q873" i="32"/>
  <c r="F3075" i="27"/>
  <c r="A2321" i="27"/>
  <c r="BF53" i="34"/>
  <c r="BE53" i="34"/>
  <c r="AO54" i="34"/>
  <c r="AP54" i="34" s="1"/>
  <c r="AT54" i="34"/>
  <c r="AT55" i="34"/>
  <c r="AO55" i="34"/>
  <c r="AP55" i="34" s="1"/>
  <c r="AQ53" i="34"/>
  <c r="AR53" i="34"/>
  <c r="U953" i="32"/>
  <c r="L2322" i="27"/>
  <c r="G951" i="32"/>
  <c r="K2321" i="27"/>
  <c r="L2323" i="27"/>
  <c r="D2323" i="27"/>
  <c r="P2321" i="27"/>
  <c r="D2322" i="27"/>
  <c r="A953" i="32"/>
  <c r="P877" i="32" l="1"/>
  <c r="Q875" i="32"/>
  <c r="S873" i="32" a="1"/>
  <c r="S873" i="32" s="1"/>
  <c r="E873" i="32" s="1"/>
  <c r="V873" i="32" a="1"/>
  <c r="V873" i="32" s="1"/>
  <c r="L873" i="32" s="1"/>
  <c r="R873" i="32" a="1"/>
  <c r="R873" i="32" s="1"/>
  <c r="D873" i="32" s="1"/>
  <c r="T873" i="32" a="1"/>
  <c r="T873" i="32" s="1"/>
  <c r="F3077" i="27"/>
  <c r="F3076" i="27"/>
  <c r="A2323" i="27"/>
  <c r="A2322" i="27"/>
  <c r="BE55" i="34"/>
  <c r="BF55" i="34"/>
  <c r="BE54" i="34"/>
  <c r="BF54" i="34"/>
  <c r="AQ55" i="34"/>
  <c r="AR55" i="34"/>
  <c r="AR54" i="34"/>
  <c r="AQ54" i="34"/>
  <c r="U955" i="32"/>
  <c r="P2323" i="27"/>
  <c r="K2322" i="27"/>
  <c r="A955" i="32"/>
  <c r="K2323" i="27"/>
  <c r="G953" i="32"/>
  <c r="P2322" i="27"/>
  <c r="R875" i="32" l="1" a="1"/>
  <c r="R875" i="32" s="1"/>
  <c r="D875" i="32" s="1"/>
  <c r="S875" i="32" a="1"/>
  <c r="S875" i="32" s="1"/>
  <c r="E875" i="32" s="1"/>
  <c r="V875" i="32" a="1"/>
  <c r="V875" i="32" s="1"/>
  <c r="L875" i="32" s="1"/>
  <c r="T875" i="32" a="1"/>
  <c r="T875" i="32" s="1"/>
  <c r="P879" i="32"/>
  <c r="Q877" i="32"/>
  <c r="F3078" i="27"/>
  <c r="AO56" i="34"/>
  <c r="AP56" i="34" s="1"/>
  <c r="AT56" i="34"/>
  <c r="U957" i="32"/>
  <c r="D2324" i="27"/>
  <c r="L2324" i="27"/>
  <c r="A957" i="32"/>
  <c r="G955" i="32"/>
  <c r="P881" i="32" l="1"/>
  <c r="Q879" i="32"/>
  <c r="R877" i="32" a="1"/>
  <c r="R877" i="32" s="1"/>
  <c r="D877" i="32" s="1"/>
  <c r="V877" i="32" a="1"/>
  <c r="V877" i="32" s="1"/>
  <c r="L877" i="32" s="1"/>
  <c r="T877" i="32" a="1"/>
  <c r="T877" i="32" s="1"/>
  <c r="S877" i="32" a="1"/>
  <c r="S877" i="32" s="1"/>
  <c r="E877" i="32" s="1"/>
  <c r="F3079" i="27"/>
  <c r="A2324" i="27"/>
  <c r="BE56" i="34"/>
  <c r="BF56" i="34"/>
  <c r="AT57" i="34"/>
  <c r="AO57" i="34"/>
  <c r="AP57" i="34" s="1"/>
  <c r="AQ56" i="34"/>
  <c r="AR56" i="34"/>
  <c r="U959" i="32"/>
  <c r="D2325" i="27"/>
  <c r="L2325" i="27"/>
  <c r="K2324" i="27"/>
  <c r="A959" i="32"/>
  <c r="G957" i="32"/>
  <c r="P2324" i="27"/>
  <c r="T879" i="32" l="1" a="1"/>
  <c r="T879" i="32" s="1"/>
  <c r="S879" i="32" a="1"/>
  <c r="S879" i="32" s="1"/>
  <c r="E879" i="32" s="1"/>
  <c r="R879" i="32" a="1"/>
  <c r="R879" i="32" s="1"/>
  <c r="D879" i="32" s="1"/>
  <c r="V879" i="32" a="1"/>
  <c r="V879" i="32" s="1"/>
  <c r="L879" i="32" s="1"/>
  <c r="P883" i="32"/>
  <c r="Q881" i="32"/>
  <c r="F3080" i="27"/>
  <c r="A2325" i="27"/>
  <c r="BE57" i="34"/>
  <c r="BF57" i="34"/>
  <c r="AT58" i="34"/>
  <c r="AO58" i="34"/>
  <c r="AP58" i="34" s="1"/>
  <c r="AQ57" i="34"/>
  <c r="AR57" i="34"/>
  <c r="U961" i="32"/>
  <c r="L2326" i="27"/>
  <c r="K2325" i="27"/>
  <c r="A961" i="32"/>
  <c r="G959" i="32"/>
  <c r="P2325" i="27"/>
  <c r="D2326" i="27"/>
  <c r="V881" i="32" l="1" a="1"/>
  <c r="V881" i="32" s="1"/>
  <c r="L881" i="32" s="1"/>
  <c r="S881" i="32" a="1"/>
  <c r="S881" i="32" s="1"/>
  <c r="E881" i="32" s="1"/>
  <c r="R881" i="32" a="1"/>
  <c r="R881" i="32" s="1"/>
  <c r="D881" i="32" s="1"/>
  <c r="T881" i="32" a="1"/>
  <c r="T881" i="32" s="1"/>
  <c r="P885" i="32"/>
  <c r="Q883" i="32"/>
  <c r="F3081" i="27"/>
  <c r="A2326" i="27"/>
  <c r="BE58" i="34"/>
  <c r="BF58" i="34"/>
  <c r="AT59" i="34"/>
  <c r="AO59" i="34"/>
  <c r="AP59" i="34" s="1"/>
  <c r="AR58" i="34"/>
  <c r="AQ58" i="34"/>
  <c r="U963" i="32"/>
  <c r="K2326" i="27"/>
  <c r="L2327" i="27"/>
  <c r="A963" i="32"/>
  <c r="D2327" i="27"/>
  <c r="G961" i="32"/>
  <c r="P2326" i="27"/>
  <c r="V883" i="32" l="1" a="1"/>
  <c r="V883" i="32" s="1"/>
  <c r="L883" i="32" s="1"/>
  <c r="S883" i="32" a="1"/>
  <c r="S883" i="32" s="1"/>
  <c r="E883" i="32" s="1"/>
  <c r="R883" i="32" a="1"/>
  <c r="R883" i="32" s="1"/>
  <c r="D883" i="32" s="1"/>
  <c r="T883" i="32" a="1"/>
  <c r="T883" i="32" s="1"/>
  <c r="P887" i="32"/>
  <c r="Q885" i="32"/>
  <c r="F3083" i="27"/>
  <c r="F3082" i="27"/>
  <c r="A2327" i="27"/>
  <c r="BE59" i="34"/>
  <c r="BF59" i="34"/>
  <c r="AT60" i="34"/>
  <c r="AO60" i="34"/>
  <c r="AP60" i="34" s="1"/>
  <c r="AR59" i="34"/>
  <c r="AQ59" i="34"/>
  <c r="U965" i="32"/>
  <c r="E259" i="27"/>
  <c r="G963" i="32"/>
  <c r="D2328" i="27"/>
  <c r="A965" i="32"/>
  <c r="P2327" i="27"/>
  <c r="E244" i="27"/>
  <c r="L2328" i="27"/>
  <c r="K2327" i="27"/>
  <c r="R885" i="32" l="1" a="1"/>
  <c r="R885" i="32" s="1"/>
  <c r="D885" i="32" s="1"/>
  <c r="S885" i="32" a="1"/>
  <c r="S885" i="32" s="1"/>
  <c r="E885" i="32" s="1"/>
  <c r="V885" i="32" a="1"/>
  <c r="V885" i="32" s="1"/>
  <c r="L885" i="32" s="1"/>
  <c r="T885" i="32" a="1"/>
  <c r="T885" i="32" s="1"/>
  <c r="P889" i="32"/>
  <c r="Q887" i="32"/>
  <c r="F3084" i="27"/>
  <c r="A2328" i="27"/>
  <c r="BE60" i="34"/>
  <c r="BF60" i="34"/>
  <c r="AO61" i="34"/>
  <c r="AP61" i="34" s="1"/>
  <c r="AT61" i="34"/>
  <c r="AR60" i="34"/>
  <c r="AQ60" i="34"/>
  <c r="U967" i="32"/>
  <c r="L259" i="27"/>
  <c r="AG11" i="31"/>
  <c r="H259" i="27"/>
  <c r="N259" i="27"/>
  <c r="A967" i="32"/>
  <c r="N244" i="27"/>
  <c r="E19" i="31"/>
  <c r="L2329" i="27"/>
  <c r="K2328" i="27"/>
  <c r="D2329" i="27"/>
  <c r="P2328" i="27"/>
  <c r="M356" i="27"/>
  <c r="L244" i="27"/>
  <c r="G965" i="32"/>
  <c r="R887" i="32" l="1" a="1"/>
  <c r="R887" i="32" s="1"/>
  <c r="D887" i="32" s="1"/>
  <c r="V887" i="32" a="1"/>
  <c r="V887" i="32" s="1"/>
  <c r="L887" i="32" s="1"/>
  <c r="T887" i="32" a="1"/>
  <c r="T887" i="32" s="1"/>
  <c r="S887" i="32" a="1"/>
  <c r="S887" i="32" s="1"/>
  <c r="E887" i="32" s="1"/>
  <c r="P891" i="32"/>
  <c r="Q889" i="32"/>
  <c r="F3085" i="27"/>
  <c r="A2329" i="27"/>
  <c r="BE61" i="34"/>
  <c r="BF61" i="34"/>
  <c r="AT62" i="34"/>
  <c r="AO62" i="34"/>
  <c r="AP62" i="34" s="1"/>
  <c r="AQ61" i="34"/>
  <c r="AR61" i="34"/>
  <c r="U969" i="32"/>
  <c r="O118" i="24"/>
  <c r="AG13" i="31"/>
  <c r="B119" i="24"/>
  <c r="I259" i="27"/>
  <c r="M259" i="27"/>
  <c r="J259" i="27"/>
  <c r="K259" i="27"/>
  <c r="N356" i="27"/>
  <c r="N358" i="27"/>
  <c r="J356" i="27"/>
  <c r="A969" i="32"/>
  <c r="H244" i="27"/>
  <c r="J244" i="27"/>
  <c r="J357" i="27"/>
  <c r="P2329" i="27"/>
  <c r="M358" i="27"/>
  <c r="N359" i="27"/>
  <c r="M359" i="27"/>
  <c r="M357" i="27"/>
  <c r="I359" i="27"/>
  <c r="J358" i="27"/>
  <c r="I357" i="27"/>
  <c r="N357" i="27"/>
  <c r="J359" i="27"/>
  <c r="D2330" i="27"/>
  <c r="K2329" i="27"/>
  <c r="D244" i="27"/>
  <c r="I358" i="27"/>
  <c r="L2330" i="27"/>
  <c r="M365" i="27"/>
  <c r="I356" i="27"/>
  <c r="G967" i="32"/>
  <c r="G767" i="27"/>
  <c r="R889" i="32" l="1" a="1"/>
  <c r="R889" i="32" s="1"/>
  <c r="D889" i="32" s="1"/>
  <c r="S889" i="32" a="1"/>
  <c r="S889" i="32" s="1"/>
  <c r="E889" i="32" s="1"/>
  <c r="T889" i="32" a="1"/>
  <c r="T889" i="32" s="1"/>
  <c r="V889" i="32" a="1"/>
  <c r="V889" i="32" s="1"/>
  <c r="L889" i="32" s="1"/>
  <c r="P893" i="32"/>
  <c r="Q891" i="32"/>
  <c r="A244" i="27"/>
  <c r="F3086" i="27"/>
  <c r="A2330" i="27"/>
  <c r="BE62" i="34"/>
  <c r="BF62" i="34"/>
  <c r="AT64" i="34"/>
  <c r="AO64" i="34"/>
  <c r="AP64" i="34" s="1"/>
  <c r="AO63" i="34"/>
  <c r="AP63" i="34" s="1"/>
  <c r="AT63" i="34"/>
  <c r="AR62" i="34"/>
  <c r="AQ62" i="34"/>
  <c r="A259" i="27"/>
  <c r="U971" i="32"/>
  <c r="AG15" i="31"/>
  <c r="M362" i="27"/>
  <c r="D2331" i="27"/>
  <c r="P11" i="31"/>
  <c r="I362" i="27"/>
  <c r="L11" i="31"/>
  <c r="G866" i="27"/>
  <c r="I364" i="27"/>
  <c r="A971" i="32"/>
  <c r="N364" i="27"/>
  <c r="N365" i="27"/>
  <c r="X11" i="31"/>
  <c r="L2332" i="27"/>
  <c r="N369" i="27"/>
  <c r="N362" i="27"/>
  <c r="K2330" i="27"/>
  <c r="M364" i="27"/>
  <c r="G867" i="27"/>
  <c r="I365" i="27"/>
  <c r="G864" i="27"/>
  <c r="G969" i="32"/>
  <c r="L2331" i="27"/>
  <c r="J365" i="27"/>
  <c r="D2332" i="27"/>
  <c r="J364" i="27"/>
  <c r="J362" i="27"/>
  <c r="P2330" i="27"/>
  <c r="G865" i="27"/>
  <c r="T891" i="32" l="1" a="1"/>
  <c r="T891" i="32" s="1"/>
  <c r="R891" i="32" a="1"/>
  <c r="R891" i="32" s="1"/>
  <c r="D891" i="32" s="1"/>
  <c r="S891" i="32" a="1"/>
  <c r="S891" i="32" s="1"/>
  <c r="E891" i="32" s="1"/>
  <c r="V891" i="32" a="1"/>
  <c r="V891" i="32" s="1"/>
  <c r="L891" i="32" s="1"/>
  <c r="P895" i="32"/>
  <c r="Q893" i="32"/>
  <c r="F3087" i="27"/>
  <c r="A2332" i="27"/>
  <c r="A2331" i="27"/>
  <c r="R110" i="24"/>
  <c r="BF63" i="34"/>
  <c r="BE63" i="34"/>
  <c r="BE64" i="34"/>
  <c r="BF64" i="34"/>
  <c r="AR63" i="34"/>
  <c r="AQ63" i="34"/>
  <c r="AQ64" i="34"/>
  <c r="AR64" i="34"/>
  <c r="U973" i="32"/>
  <c r="Q110" i="24"/>
  <c r="S110" i="24"/>
  <c r="P110" i="24"/>
  <c r="AG17" i="31"/>
  <c r="N62" i="24"/>
  <c r="C39" i="27"/>
  <c r="M370" i="27"/>
  <c r="K357" i="27"/>
  <c r="N371" i="27"/>
  <c r="K359" i="27"/>
  <c r="J368" i="27"/>
  <c r="P2331" i="27"/>
  <c r="K2331" i="27"/>
  <c r="K2332" i="27"/>
  <c r="P2332" i="27"/>
  <c r="N370" i="27"/>
  <c r="K356" i="27"/>
  <c r="J371" i="27"/>
  <c r="G870" i="27"/>
  <c r="N368" i="27"/>
  <c r="G971" i="32"/>
  <c r="M368" i="27"/>
  <c r="M369" i="27"/>
  <c r="J369" i="27"/>
  <c r="M374" i="27"/>
  <c r="M371" i="27"/>
  <c r="I369" i="27"/>
  <c r="I371" i="27"/>
  <c r="K358" i="27"/>
  <c r="I368" i="27"/>
  <c r="J370" i="27"/>
  <c r="X13" i="31"/>
  <c r="A973" i="32"/>
  <c r="I370" i="27"/>
  <c r="V893" i="32" l="1" a="1"/>
  <c r="V893" i="32" s="1"/>
  <c r="L893" i="32" s="1"/>
  <c r="R893" i="32" a="1"/>
  <c r="R893" i="32" s="1"/>
  <c r="D893" i="32" s="1"/>
  <c r="T893" i="32" a="1"/>
  <c r="T893" i="32" s="1"/>
  <c r="S893" i="32" a="1"/>
  <c r="S893" i="32" s="1"/>
  <c r="E893" i="32" s="1"/>
  <c r="P897" i="32"/>
  <c r="Q895" i="32"/>
  <c r="A358" i="27"/>
  <c r="A356" i="27"/>
  <c r="A357" i="27"/>
  <c r="A359" i="27"/>
  <c r="F3088" i="27"/>
  <c r="F3089" i="27"/>
  <c r="O129" i="27"/>
  <c r="O121" i="27"/>
  <c r="O113" i="27"/>
  <c r="O105" i="27"/>
  <c r="O97" i="27"/>
  <c r="O89" i="27"/>
  <c r="O81" i="27"/>
  <c r="O73" i="27"/>
  <c r="O65" i="27"/>
  <c r="O57" i="27"/>
  <c r="O49" i="27"/>
  <c r="O41" i="27"/>
  <c r="O74" i="27"/>
  <c r="O66" i="27"/>
  <c r="O128" i="27"/>
  <c r="O120" i="27"/>
  <c r="O112" i="27"/>
  <c r="O104" i="27"/>
  <c r="O96" i="27"/>
  <c r="O88" i="27"/>
  <c r="O80" i="27"/>
  <c r="O72" i="27"/>
  <c r="O64" i="27"/>
  <c r="O56" i="27"/>
  <c r="O48" i="27"/>
  <c r="O40" i="27"/>
  <c r="O82" i="27"/>
  <c r="O58" i="27"/>
  <c r="O127" i="27"/>
  <c r="O119" i="27"/>
  <c r="O111" i="27"/>
  <c r="O103" i="27"/>
  <c r="O95" i="27"/>
  <c r="O87" i="27"/>
  <c r="O79" i="27"/>
  <c r="O71" i="27"/>
  <c r="O63" i="27"/>
  <c r="O55" i="27"/>
  <c r="O47" i="27"/>
  <c r="O98" i="27"/>
  <c r="O42" i="27"/>
  <c r="O126" i="27"/>
  <c r="O118" i="27"/>
  <c r="O110" i="27"/>
  <c r="O102" i="27"/>
  <c r="O94" i="27"/>
  <c r="O86" i="27"/>
  <c r="O78" i="27"/>
  <c r="O70" i="27"/>
  <c r="O62" i="27"/>
  <c r="O54" i="27"/>
  <c r="O46" i="27"/>
  <c r="O90" i="27"/>
  <c r="O50" i="27"/>
  <c r="O125" i="27"/>
  <c r="O117" i="27"/>
  <c r="O109" i="27"/>
  <c r="O101" i="27"/>
  <c r="O93" i="27"/>
  <c r="O85" i="27"/>
  <c r="O77" i="27"/>
  <c r="O69" i="27"/>
  <c r="O61" i="27"/>
  <c r="O53" i="27"/>
  <c r="O45" i="27"/>
  <c r="O106" i="27"/>
  <c r="O124" i="27"/>
  <c r="O116" i="27"/>
  <c r="O108" i="27"/>
  <c r="O100" i="27"/>
  <c r="O92" i="27"/>
  <c r="O84" i="27"/>
  <c r="O76" i="27"/>
  <c r="O68" i="27"/>
  <c r="O60" i="27"/>
  <c r="O52" i="27"/>
  <c r="O44" i="27"/>
  <c r="O114" i="27"/>
  <c r="O123" i="27"/>
  <c r="O115" i="27"/>
  <c r="O107" i="27"/>
  <c r="O99" i="27"/>
  <c r="O91" i="27"/>
  <c r="O83" i="27"/>
  <c r="O75" i="27"/>
  <c r="O67" i="27"/>
  <c r="O59" i="27"/>
  <c r="O51" i="27"/>
  <c r="O43" i="27"/>
  <c r="O122" i="27"/>
  <c r="AT65" i="34"/>
  <c r="AO65" i="34"/>
  <c r="AP65" i="34" s="1"/>
  <c r="P112" i="24"/>
  <c r="U975" i="32"/>
  <c r="S112" i="24"/>
  <c r="AG19" i="31"/>
  <c r="N64" i="24"/>
  <c r="B108" i="24"/>
  <c r="AE9" i="31" a="1"/>
  <c r="AE9" i="31" s="1"/>
  <c r="M375" i="27"/>
  <c r="L2333" i="27"/>
  <c r="K365" i="27"/>
  <c r="G973" i="32"/>
  <c r="K364" i="27"/>
  <c r="J376" i="27"/>
  <c r="N377" i="27"/>
  <c r="I376" i="27"/>
  <c r="J374" i="27"/>
  <c r="N376" i="27"/>
  <c r="N382" i="27"/>
  <c r="I377" i="27"/>
  <c r="J375" i="27"/>
  <c r="A975" i="32"/>
  <c r="K362" i="27"/>
  <c r="P15" i="31"/>
  <c r="I375" i="27"/>
  <c r="N374" i="27"/>
  <c r="D2333" i="27"/>
  <c r="N375" i="27"/>
  <c r="J377" i="27"/>
  <c r="M377" i="27"/>
  <c r="I374" i="27"/>
  <c r="M376" i="27"/>
  <c r="R895" i="32" l="1" a="1"/>
  <c r="R895" i="32" s="1"/>
  <c r="D895" i="32" s="1"/>
  <c r="T895" i="32" a="1"/>
  <c r="T895" i="32" s="1"/>
  <c r="V895" i="32" a="1"/>
  <c r="V895" i="32" s="1"/>
  <c r="L895" i="32" s="1"/>
  <c r="S895" i="32" a="1"/>
  <c r="S895" i="32" s="1"/>
  <c r="E895" i="32" s="1"/>
  <c r="P899" i="32"/>
  <c r="Q897" i="32"/>
  <c r="A362" i="27"/>
  <c r="A365" i="27"/>
  <c r="A364" i="27"/>
  <c r="F3090" i="27"/>
  <c r="A2333" i="27"/>
  <c r="R114" i="24"/>
  <c r="BF65" i="34"/>
  <c r="BE65" i="34"/>
  <c r="AO66" i="34"/>
  <c r="AP66" i="34" s="1"/>
  <c r="AT66" i="34"/>
  <c r="AQ65" i="34"/>
  <c r="AR65" i="34"/>
  <c r="U977" i="32"/>
  <c r="Q114" i="24"/>
  <c r="P114" i="24"/>
  <c r="AG21" i="31"/>
  <c r="B109" i="24"/>
  <c r="H9" i="31"/>
  <c r="J108" i="24" s="1"/>
  <c r="N108" i="24"/>
  <c r="I108" i="24"/>
  <c r="H108" i="24"/>
  <c r="N383" i="27"/>
  <c r="I382" i="27"/>
  <c r="I380" i="27"/>
  <c r="J383" i="27"/>
  <c r="K368" i="27"/>
  <c r="M382" i="27"/>
  <c r="K369" i="27"/>
  <c r="K2333" i="27"/>
  <c r="K370" i="27"/>
  <c r="P2333" i="27"/>
  <c r="J380" i="27"/>
  <c r="I383" i="27"/>
  <c r="X17" i="31"/>
  <c r="A977" i="32"/>
  <c r="L17" i="31"/>
  <c r="M380" i="27"/>
  <c r="M383" i="27"/>
  <c r="D2334" i="27"/>
  <c r="J382" i="27"/>
  <c r="L2334" i="27"/>
  <c r="G975" i="32"/>
  <c r="N380" i="27"/>
  <c r="N389" i="27"/>
  <c r="T897" i="32" l="1" a="1"/>
  <c r="T897" i="32" s="1"/>
  <c r="V897" i="32" a="1"/>
  <c r="V897" i="32" s="1"/>
  <c r="L897" i="32" s="1"/>
  <c r="R897" i="32" a="1"/>
  <c r="R897" i="32" s="1"/>
  <c r="D897" i="32" s="1"/>
  <c r="S897" i="32" a="1"/>
  <c r="S897" i="32" s="1"/>
  <c r="E897" i="32" s="1"/>
  <c r="P901" i="32"/>
  <c r="Q899" i="32"/>
  <c r="A368" i="27"/>
  <c r="A369" i="27"/>
  <c r="A370" i="27"/>
  <c r="F3091" i="27"/>
  <c r="A2334" i="27"/>
  <c r="BE66" i="34"/>
  <c r="BF66" i="34"/>
  <c r="AO67" i="34"/>
  <c r="AP67" i="34" s="1"/>
  <c r="AT67" i="34"/>
  <c r="AR66" i="34"/>
  <c r="AQ66" i="34"/>
  <c r="U979" i="32"/>
  <c r="S116" i="24"/>
  <c r="P116" i="24"/>
  <c r="AG23" i="31"/>
  <c r="AF9" i="31"/>
  <c r="E108" i="24"/>
  <c r="E120" i="24"/>
  <c r="B116" i="24"/>
  <c r="AF17" i="31"/>
  <c r="B122" i="24"/>
  <c r="AF23" i="31"/>
  <c r="E130" i="24"/>
  <c r="AF27" i="31"/>
  <c r="B126" i="24"/>
  <c r="AF19" i="31"/>
  <c r="B118" i="24"/>
  <c r="B132" i="24"/>
  <c r="AF33" i="31"/>
  <c r="B136" i="24"/>
  <c r="AF37" i="31"/>
  <c r="E124" i="24"/>
  <c r="E116" i="24"/>
  <c r="AF15" i="31"/>
  <c r="B114" i="24"/>
  <c r="AF11" i="31"/>
  <c r="B110" i="24"/>
  <c r="AF29" i="31"/>
  <c r="B128" i="24"/>
  <c r="AF35" i="31"/>
  <c r="B134" i="24"/>
  <c r="B112" i="24"/>
  <c r="AF13" i="31"/>
  <c r="E122" i="24"/>
  <c r="B120" i="24"/>
  <c r="AF21" i="31"/>
  <c r="B124" i="24"/>
  <c r="AF25" i="31"/>
  <c r="E134" i="24"/>
  <c r="B130" i="24"/>
  <c r="AF31" i="31"/>
  <c r="AE27" i="31" a="1"/>
  <c r="AE27" i="31" s="1"/>
  <c r="E126" i="24"/>
  <c r="E114" i="24"/>
  <c r="E136" i="24"/>
  <c r="E132" i="24"/>
  <c r="E118" i="24"/>
  <c r="E110" i="24"/>
  <c r="AE37" i="31" a="1"/>
  <c r="AE37" i="31" s="1"/>
  <c r="E128" i="24"/>
  <c r="AE19" i="31" a="1"/>
  <c r="AE19" i="31" s="1"/>
  <c r="AE21" i="31" a="1"/>
  <c r="AE21" i="31" s="1"/>
  <c r="AE35" i="31" a="1"/>
  <c r="AE35" i="31" s="1"/>
  <c r="AE33" i="31" a="1"/>
  <c r="AE33" i="31" s="1"/>
  <c r="AE11" i="31" a="1"/>
  <c r="AE11" i="31" s="1"/>
  <c r="AE29" i="31" a="1"/>
  <c r="AE29" i="31" s="1"/>
  <c r="AE25" i="31" a="1"/>
  <c r="AE25" i="31" s="1"/>
  <c r="AE17" i="31" a="1"/>
  <c r="AE17" i="31" s="1"/>
  <c r="AE31" i="31" a="1"/>
  <c r="AE31" i="31" s="1"/>
  <c r="AE13" i="31" a="1"/>
  <c r="AE13" i="31" s="1"/>
  <c r="E112" i="24"/>
  <c r="AE15" i="31" a="1"/>
  <c r="AE15" i="31" s="1"/>
  <c r="AE23" i="31" a="1"/>
  <c r="AE23" i="31" s="1"/>
  <c r="D2335" i="27"/>
  <c r="I388" i="27"/>
  <c r="M389" i="27"/>
  <c r="M388" i="27"/>
  <c r="L2335" i="27"/>
  <c r="I386" i="27"/>
  <c r="A979" i="32"/>
  <c r="G977" i="32"/>
  <c r="I389" i="27"/>
  <c r="N386" i="27"/>
  <c r="J389" i="27"/>
  <c r="M393" i="27"/>
  <c r="I387" i="27"/>
  <c r="L19" i="31"/>
  <c r="K377" i="27"/>
  <c r="J388" i="27"/>
  <c r="M387" i="27"/>
  <c r="M386" i="27"/>
  <c r="P2334" i="27"/>
  <c r="J387" i="27"/>
  <c r="K374" i="27"/>
  <c r="J386" i="27"/>
  <c r="T19" i="31"/>
  <c r="N387" i="27"/>
  <c r="K2334" i="27"/>
  <c r="N388" i="27"/>
  <c r="P903" i="32" l="1"/>
  <c r="Q901" i="32"/>
  <c r="S899" i="32" a="1"/>
  <c r="S899" i="32" s="1"/>
  <c r="E899" i="32" s="1"/>
  <c r="R899" i="32" a="1"/>
  <c r="R899" i="32" s="1"/>
  <c r="D899" i="32" s="1"/>
  <c r="T899" i="32" a="1"/>
  <c r="T899" i="32" s="1"/>
  <c r="V899" i="32" a="1"/>
  <c r="V899" i="32" s="1"/>
  <c r="L899" i="32" s="1"/>
  <c r="A377" i="27"/>
  <c r="A374" i="27"/>
  <c r="F3092" i="27"/>
  <c r="A2335" i="27"/>
  <c r="BE67" i="34"/>
  <c r="BF67" i="34"/>
  <c r="AT68" i="34"/>
  <c r="AO68" i="34"/>
  <c r="AP68" i="34" s="1"/>
  <c r="AR67" i="34"/>
  <c r="AQ67" i="34"/>
  <c r="U981" i="32"/>
  <c r="P118" i="24"/>
  <c r="AG25" i="31"/>
  <c r="C454" i="32"/>
  <c r="W454" i="32" s="1"/>
  <c r="C446" i="32"/>
  <c r="W446" i="32" s="1"/>
  <c r="C438" i="32"/>
  <c r="W438" i="32" s="1"/>
  <c r="C450" i="32"/>
  <c r="W450" i="32" s="1"/>
  <c r="C440" i="32"/>
  <c r="W440" i="32" s="1"/>
  <c r="C452" i="32"/>
  <c r="W452" i="32" s="1"/>
  <c r="C444" i="32"/>
  <c r="W444" i="32" s="1"/>
  <c r="C436" i="32"/>
  <c r="W436" i="32" s="1"/>
  <c r="C442" i="32"/>
  <c r="W442" i="32" s="1"/>
  <c r="C448" i="32"/>
  <c r="W448" i="32" s="1"/>
  <c r="C534" i="32"/>
  <c r="W534" i="32" s="1"/>
  <c r="C526" i="32"/>
  <c r="W526" i="32" s="1"/>
  <c r="C518" i="32"/>
  <c r="W518" i="32" s="1"/>
  <c r="C530" i="32"/>
  <c r="W530" i="32" s="1"/>
  <c r="C522" i="32"/>
  <c r="W522" i="32" s="1"/>
  <c r="C528" i="32"/>
  <c r="W528" i="32" s="1"/>
  <c r="C520" i="32"/>
  <c r="W520" i="32" s="1"/>
  <c r="C532" i="32"/>
  <c r="W532" i="32" s="1"/>
  <c r="C524" i="32"/>
  <c r="W524" i="32" s="1"/>
  <c r="C516" i="32"/>
  <c r="W516" i="32" s="1"/>
  <c r="C390" i="32"/>
  <c r="W390" i="32" s="1"/>
  <c r="C382" i="32"/>
  <c r="W382" i="32" s="1"/>
  <c r="C386" i="32"/>
  <c r="W386" i="32" s="1"/>
  <c r="C392" i="32"/>
  <c r="W392" i="32" s="1"/>
  <c r="C376" i="32"/>
  <c r="W376" i="32" s="1"/>
  <c r="C388" i="32"/>
  <c r="W388" i="32" s="1"/>
  <c r="C380" i="32"/>
  <c r="W380" i="32" s="1"/>
  <c r="C394" i="32"/>
  <c r="W394" i="32" s="1"/>
  <c r="C378" i="32"/>
  <c r="W378" i="32" s="1"/>
  <c r="C384" i="32"/>
  <c r="W384" i="32" s="1"/>
  <c r="C430" i="32"/>
  <c r="W430" i="32" s="1"/>
  <c r="C422" i="32"/>
  <c r="W422" i="32" s="1"/>
  <c r="C434" i="32"/>
  <c r="W434" i="32" s="1"/>
  <c r="C418" i="32"/>
  <c r="W418" i="32" s="1"/>
  <c r="C424" i="32"/>
  <c r="W424" i="32" s="1"/>
  <c r="C428" i="32"/>
  <c r="W428" i="32" s="1"/>
  <c r="C420" i="32"/>
  <c r="W420" i="32" s="1"/>
  <c r="C426" i="32"/>
  <c r="W426" i="32" s="1"/>
  <c r="C432" i="32"/>
  <c r="W432" i="32" s="1"/>
  <c r="C416" i="32"/>
  <c r="W416" i="32" s="1"/>
  <c r="C470" i="32"/>
  <c r="W470" i="32" s="1"/>
  <c r="C462" i="32"/>
  <c r="W462" i="32" s="1"/>
  <c r="C474" i="32"/>
  <c r="W474" i="32" s="1"/>
  <c r="C458" i="32"/>
  <c r="W458" i="32" s="1"/>
  <c r="C472" i="32"/>
  <c r="W472" i="32" s="1"/>
  <c r="C456" i="32"/>
  <c r="W456" i="32" s="1"/>
  <c r="C468" i="32"/>
  <c r="W468" i="32" s="1"/>
  <c r="C460" i="32"/>
  <c r="W460" i="32" s="1"/>
  <c r="C466" i="32"/>
  <c r="W466" i="32" s="1"/>
  <c r="C464" i="32"/>
  <c r="W464" i="32" s="1"/>
  <c r="C574" i="32"/>
  <c r="W574" i="32" s="1"/>
  <c r="C566" i="32"/>
  <c r="W566" i="32" s="1"/>
  <c r="C558" i="32"/>
  <c r="W558" i="32" s="1"/>
  <c r="C562" i="32"/>
  <c r="W562" i="32" s="1"/>
  <c r="C560" i="32"/>
  <c r="W560" i="32" s="1"/>
  <c r="C572" i="32"/>
  <c r="W572" i="32" s="1"/>
  <c r="C564" i="32"/>
  <c r="W564" i="32" s="1"/>
  <c r="C556" i="32"/>
  <c r="W556" i="32" s="1"/>
  <c r="C570" i="32"/>
  <c r="W570" i="32" s="1"/>
  <c r="C568" i="32"/>
  <c r="W568" i="32" s="1"/>
  <c r="C494" i="32"/>
  <c r="W494" i="32" s="1"/>
  <c r="C486" i="32"/>
  <c r="W486" i="32" s="1"/>
  <c r="C478" i="32"/>
  <c r="W478" i="32" s="1"/>
  <c r="C490" i="32"/>
  <c r="W490" i="32" s="1"/>
  <c r="C488" i="32"/>
  <c r="W488" i="32" s="1"/>
  <c r="C492" i="32"/>
  <c r="W492" i="32" s="1"/>
  <c r="C484" i="32"/>
  <c r="W484" i="32" s="1"/>
  <c r="C476" i="32"/>
  <c r="W476" i="32" s="1"/>
  <c r="C482" i="32"/>
  <c r="W482" i="32" s="1"/>
  <c r="C480" i="32"/>
  <c r="W480" i="32" s="1"/>
  <c r="C590" i="32"/>
  <c r="W590" i="32" s="1"/>
  <c r="C582" i="32"/>
  <c r="W582" i="32" s="1"/>
  <c r="C594" i="32"/>
  <c r="W594" i="32" s="1"/>
  <c r="C578" i="32"/>
  <c r="W578" i="32" s="1"/>
  <c r="C592" i="32"/>
  <c r="W592" i="32" s="1"/>
  <c r="C576" i="32"/>
  <c r="W576" i="32" s="1"/>
  <c r="C588" i="32"/>
  <c r="W588" i="32" s="1"/>
  <c r="C580" i="32"/>
  <c r="W580" i="32" s="1"/>
  <c r="C586" i="32"/>
  <c r="W586" i="32" s="1"/>
  <c r="C584" i="32"/>
  <c r="W584" i="32" s="1"/>
  <c r="C350" i="32"/>
  <c r="W350" i="32" s="1"/>
  <c r="C342" i="32"/>
  <c r="W342" i="32" s="1"/>
  <c r="C354" i="32"/>
  <c r="W354" i="32" s="1"/>
  <c r="C346" i="32"/>
  <c r="W346" i="32" s="1"/>
  <c r="C344" i="32"/>
  <c r="W344" i="32" s="1"/>
  <c r="C336" i="32"/>
  <c r="W336" i="32" s="1"/>
  <c r="C348" i="32"/>
  <c r="W348" i="32" s="1"/>
  <c r="C340" i="32"/>
  <c r="W340" i="32" s="1"/>
  <c r="C338" i="32"/>
  <c r="W338" i="32" s="1"/>
  <c r="C352" i="32"/>
  <c r="W352" i="32" s="1"/>
  <c r="C510" i="32"/>
  <c r="W510" i="32" s="1"/>
  <c r="C502" i="32"/>
  <c r="W502" i="32" s="1"/>
  <c r="C506" i="32"/>
  <c r="W506" i="32" s="1"/>
  <c r="C504" i="32"/>
  <c r="W504" i="32" s="1"/>
  <c r="C508" i="32"/>
  <c r="W508" i="32" s="1"/>
  <c r="C500" i="32"/>
  <c r="W500" i="32" s="1"/>
  <c r="C514" i="32"/>
  <c r="W514" i="32" s="1"/>
  <c r="C498" i="32"/>
  <c r="W498" i="32" s="1"/>
  <c r="C512" i="32"/>
  <c r="W512" i="32" s="1"/>
  <c r="C496" i="32"/>
  <c r="W496" i="32" s="1"/>
  <c r="C414" i="32"/>
  <c r="W414" i="32" s="1"/>
  <c r="C406" i="32"/>
  <c r="W406" i="32" s="1"/>
  <c r="C398" i="32"/>
  <c r="W398" i="32" s="1"/>
  <c r="C402" i="32"/>
  <c r="W402" i="32" s="1"/>
  <c r="C408" i="32"/>
  <c r="W408" i="32" s="1"/>
  <c r="C412" i="32"/>
  <c r="W412" i="32" s="1"/>
  <c r="C404" i="32"/>
  <c r="W404" i="32" s="1"/>
  <c r="C396" i="32"/>
  <c r="W396" i="32" s="1"/>
  <c r="C410" i="32"/>
  <c r="W410" i="32" s="1"/>
  <c r="C400" i="32"/>
  <c r="W400" i="32" s="1"/>
  <c r="C316" i="32"/>
  <c r="C334" i="32"/>
  <c r="W334" i="32" s="1"/>
  <c r="C326" i="32"/>
  <c r="K1034" i="27" s="1"/>
  <c r="C318" i="32"/>
  <c r="K1030" i="27" s="1"/>
  <c r="C332" i="32"/>
  <c r="W332" i="32" s="1"/>
  <c r="C330" i="32"/>
  <c r="W330" i="32" s="1"/>
  <c r="C320" i="32"/>
  <c r="K1031" i="27" s="1"/>
  <c r="C324" i="32"/>
  <c r="K1033" i="27" s="1"/>
  <c r="C322" i="32"/>
  <c r="C328" i="32"/>
  <c r="K1035" i="27" s="1"/>
  <c r="C550" i="32"/>
  <c r="W550" i="32" s="1"/>
  <c r="C542" i="32"/>
  <c r="W542" i="32" s="1"/>
  <c r="C546" i="32"/>
  <c r="W546" i="32" s="1"/>
  <c r="C544" i="32"/>
  <c r="W544" i="32" s="1"/>
  <c r="C548" i="32"/>
  <c r="W548" i="32" s="1"/>
  <c r="C540" i="32"/>
  <c r="W540" i="32" s="1"/>
  <c r="C554" i="32"/>
  <c r="W554" i="32" s="1"/>
  <c r="C538" i="32"/>
  <c r="W538" i="32" s="1"/>
  <c r="C552" i="32"/>
  <c r="W552" i="32" s="1"/>
  <c r="C536" i="32"/>
  <c r="W536" i="32" s="1"/>
  <c r="C374" i="32"/>
  <c r="W374" i="32" s="1"/>
  <c r="C366" i="32"/>
  <c r="W366" i="32" s="1"/>
  <c r="C358" i="32"/>
  <c r="W358" i="32" s="1"/>
  <c r="C370" i="32"/>
  <c r="W370" i="32" s="1"/>
  <c r="C360" i="32"/>
  <c r="W360" i="32" s="1"/>
  <c r="C372" i="32"/>
  <c r="W372" i="32" s="1"/>
  <c r="C364" i="32"/>
  <c r="W364" i="32" s="1"/>
  <c r="C356" i="32"/>
  <c r="W356" i="32" s="1"/>
  <c r="C362" i="32"/>
  <c r="W362" i="32" s="1"/>
  <c r="C368" i="32"/>
  <c r="W368" i="32" s="1"/>
  <c r="C614" i="32"/>
  <c r="W614" i="32" s="1"/>
  <c r="C606" i="32"/>
  <c r="W606" i="32" s="1"/>
  <c r="C598" i="32"/>
  <c r="W598" i="32" s="1"/>
  <c r="C610" i="32"/>
  <c r="W610" i="32" s="1"/>
  <c r="C608" i="32"/>
  <c r="W608" i="32" s="1"/>
  <c r="C612" i="32"/>
  <c r="W612" i="32" s="1"/>
  <c r="C604" i="32"/>
  <c r="W604" i="32" s="1"/>
  <c r="C596" i="32"/>
  <c r="W596" i="32" s="1"/>
  <c r="C602" i="32"/>
  <c r="W602" i="32" s="1"/>
  <c r="C600" i="32"/>
  <c r="W600" i="32" s="1"/>
  <c r="N118" i="24"/>
  <c r="H15" i="31"/>
  <c r="J114" i="24" s="1"/>
  <c r="H17" i="31"/>
  <c r="J116" i="24" s="1"/>
  <c r="H33" i="31"/>
  <c r="J132" i="24" s="1"/>
  <c r="H27" i="31"/>
  <c r="J126" i="24" s="1"/>
  <c r="H21" i="31"/>
  <c r="J120" i="24" s="1"/>
  <c r="H25" i="31"/>
  <c r="J124" i="24" s="1"/>
  <c r="H35" i="31"/>
  <c r="J134" i="24" s="1"/>
  <c r="H13" i="31"/>
  <c r="J112" i="24" s="1"/>
  <c r="H29" i="31"/>
  <c r="J128" i="24" s="1"/>
  <c r="H37" i="31"/>
  <c r="J136" i="24" s="1"/>
  <c r="H23" i="31"/>
  <c r="J122" i="24" s="1"/>
  <c r="H31" i="31"/>
  <c r="J130" i="24" s="1"/>
  <c r="H11" i="31"/>
  <c r="J110" i="24" s="1"/>
  <c r="H19" i="31"/>
  <c r="J118" i="24" s="1"/>
  <c r="K382" i="27"/>
  <c r="N399" i="27"/>
  <c r="K380" i="27"/>
  <c r="J393" i="27"/>
  <c r="G979" i="32"/>
  <c r="D2336" i="27"/>
  <c r="M399" i="27"/>
  <c r="X21" i="31"/>
  <c r="K2335" i="27"/>
  <c r="N394" i="27"/>
  <c r="P21" i="31"/>
  <c r="I392" i="27"/>
  <c r="N398" i="27"/>
  <c r="J395" i="27"/>
  <c r="J392" i="27"/>
  <c r="I395" i="27"/>
  <c r="A981" i="32"/>
  <c r="M394" i="27"/>
  <c r="L21" i="31"/>
  <c r="N393" i="27"/>
  <c r="N392" i="27"/>
  <c r="N400" i="27"/>
  <c r="I393" i="27"/>
  <c r="J394" i="27"/>
  <c r="M395" i="27"/>
  <c r="N401" i="27"/>
  <c r="M398" i="27"/>
  <c r="P2335" i="27"/>
  <c r="N395" i="27"/>
  <c r="M400" i="27"/>
  <c r="T21" i="31"/>
  <c r="L2336" i="27"/>
  <c r="M401" i="27"/>
  <c r="M392" i="27"/>
  <c r="I394" i="27"/>
  <c r="S901" i="32" l="1" a="1"/>
  <c r="S901" i="32" s="1"/>
  <c r="E901" i="32" s="1"/>
  <c r="V901" i="32" a="1"/>
  <c r="V901" i="32" s="1"/>
  <c r="L901" i="32" s="1"/>
  <c r="T901" i="32" a="1"/>
  <c r="T901" i="32" s="1"/>
  <c r="R901" i="32" a="1"/>
  <c r="R901" i="32" s="1"/>
  <c r="D901" i="32" s="1"/>
  <c r="P905" i="32"/>
  <c r="Q903" i="32"/>
  <c r="A380" i="27"/>
  <c r="A382" i="27"/>
  <c r="F3093" i="27"/>
  <c r="A2336" i="27"/>
  <c r="K882" i="27"/>
  <c r="K1032" i="27"/>
  <c r="K879" i="27"/>
  <c r="K1029" i="27"/>
  <c r="W320" i="32"/>
  <c r="K320" i="32" s="1"/>
  <c r="K881" i="27"/>
  <c r="W318" i="32"/>
  <c r="K318" i="32" s="1"/>
  <c r="K880" i="27"/>
  <c r="W326" i="32"/>
  <c r="K326" i="32" s="1"/>
  <c r="K884" i="27"/>
  <c r="W328" i="32"/>
  <c r="K328" i="32" s="1"/>
  <c r="K885" i="27"/>
  <c r="W324" i="32"/>
  <c r="K324" i="32" s="1"/>
  <c r="K883" i="27"/>
  <c r="R120" i="24"/>
  <c r="BE68" i="34"/>
  <c r="BF68" i="34"/>
  <c r="W322" i="32"/>
  <c r="W316" i="32"/>
  <c r="AT69" i="34"/>
  <c r="AO69" i="34"/>
  <c r="AP69" i="34" s="1"/>
  <c r="AT70" i="34"/>
  <c r="AO70" i="34"/>
  <c r="AP70" i="34" s="1"/>
  <c r="AQ68" i="34"/>
  <c r="AR68" i="34"/>
  <c r="Q120" i="24"/>
  <c r="S120" i="24"/>
  <c r="K606" i="32"/>
  <c r="K480" i="32"/>
  <c r="K552" i="32"/>
  <c r="K472" i="32"/>
  <c r="K368" i="32"/>
  <c r="K572" i="32"/>
  <c r="K554" i="32"/>
  <c r="K608" i="32"/>
  <c r="K358" i="32"/>
  <c r="K550" i="32"/>
  <c r="K410" i="32"/>
  <c r="K514" i="32"/>
  <c r="K344" i="32"/>
  <c r="K594" i="32"/>
  <c r="K494" i="32"/>
  <c r="K466" i="32"/>
  <c r="K420" i="32"/>
  <c r="K376" i="32"/>
  <c r="K518" i="32"/>
  <c r="K454" i="32"/>
  <c r="K342" i="32"/>
  <c r="K556" i="32"/>
  <c r="K476" i="32"/>
  <c r="K586" i="32"/>
  <c r="K604" i="32"/>
  <c r="K360" i="32"/>
  <c r="K610" i="32"/>
  <c r="K366" i="32"/>
  <c r="K396" i="32"/>
  <c r="K500" i="32"/>
  <c r="K346" i="32"/>
  <c r="K582" i="32"/>
  <c r="K568" i="32"/>
  <c r="K460" i="32"/>
  <c r="K428" i="32"/>
  <c r="K392" i="32"/>
  <c r="K526" i="32"/>
  <c r="K536" i="32"/>
  <c r="K382" i="32"/>
  <c r="K506" i="32"/>
  <c r="K598" i="32"/>
  <c r="K374" i="32"/>
  <c r="K404" i="32"/>
  <c r="K508" i="32"/>
  <c r="K354" i="32"/>
  <c r="K590" i="32"/>
  <c r="K570" i="32"/>
  <c r="K468" i="32"/>
  <c r="K424" i="32"/>
  <c r="K386" i="32"/>
  <c r="K534" i="32"/>
  <c r="K418" i="32"/>
  <c r="K408" i="32"/>
  <c r="K434" i="32"/>
  <c r="K402" i="32"/>
  <c r="K510" i="32"/>
  <c r="K444" i="32"/>
  <c r="K600" i="32"/>
  <c r="K356" i="32"/>
  <c r="K540" i="32"/>
  <c r="K406" i="32"/>
  <c r="K352" i="32"/>
  <c r="K580" i="32"/>
  <c r="K492" i="32"/>
  <c r="K562" i="32"/>
  <c r="K462" i="32"/>
  <c r="K384" i="32"/>
  <c r="K532" i="32"/>
  <c r="K452" i="32"/>
  <c r="K482" i="32"/>
  <c r="K442" i="32"/>
  <c r="K584" i="32"/>
  <c r="K436" i="32"/>
  <c r="K332" i="32"/>
  <c r="K560" i="32"/>
  <c r="K524" i="32"/>
  <c r="K602" i="32"/>
  <c r="K364" i="32"/>
  <c r="K548" i="32"/>
  <c r="K414" i="32"/>
  <c r="K338" i="32"/>
  <c r="K588" i="32"/>
  <c r="K488" i="32"/>
  <c r="K558" i="32"/>
  <c r="K470" i="32"/>
  <c r="K378" i="32"/>
  <c r="K520" i="32"/>
  <c r="K440" i="32"/>
  <c r="K504" i="32"/>
  <c r="K448" i="32"/>
  <c r="K350" i="32"/>
  <c r="K390" i="32"/>
  <c r="K330" i="32"/>
  <c r="K516" i="32"/>
  <c r="K398" i="32"/>
  <c r="K484" i="32"/>
  <c r="K430" i="32"/>
  <c r="K596" i="32"/>
  <c r="K372" i="32"/>
  <c r="K544" i="32"/>
  <c r="K334" i="32"/>
  <c r="K496" i="32"/>
  <c r="K340" i="32"/>
  <c r="K576" i="32"/>
  <c r="K490" i="32"/>
  <c r="K566" i="32"/>
  <c r="K416" i="32"/>
  <c r="K394" i="32"/>
  <c r="K528" i="32"/>
  <c r="K450" i="32"/>
  <c r="K564" i="32"/>
  <c r="K538" i="32"/>
  <c r="K422" i="32"/>
  <c r="K512" i="32"/>
  <c r="K348" i="32"/>
  <c r="K592" i="32"/>
  <c r="K478" i="32"/>
  <c r="K574" i="32"/>
  <c r="K432" i="32"/>
  <c r="K380" i="32"/>
  <c r="K522" i="32"/>
  <c r="K438" i="32"/>
  <c r="K412" i="32"/>
  <c r="K456" i="32"/>
  <c r="K614" i="32"/>
  <c r="K502" i="32"/>
  <c r="K458" i="32"/>
  <c r="K362" i="32"/>
  <c r="K474" i="32"/>
  <c r="K546" i="32"/>
  <c r="K612" i="32"/>
  <c r="K370" i="32"/>
  <c r="K542" i="32"/>
  <c r="K400" i="32"/>
  <c r="K498" i="32"/>
  <c r="K336" i="32"/>
  <c r="K578" i="32"/>
  <c r="K486" i="32"/>
  <c r="K464" i="32"/>
  <c r="K426" i="32"/>
  <c r="K388" i="32"/>
  <c r="K530" i="32"/>
  <c r="K446" i="32"/>
  <c r="P120" i="24"/>
  <c r="U983" i="32"/>
  <c r="AG27" i="31"/>
  <c r="P316" i="32"/>
  <c r="P318" i="32" s="1"/>
  <c r="P320" i="32" s="1"/>
  <c r="P322" i="32" s="1"/>
  <c r="P324" i="32" s="1"/>
  <c r="P326" i="32" s="1"/>
  <c r="P328" i="32" s="1"/>
  <c r="P330" i="32" s="1"/>
  <c r="P332" i="32" s="1"/>
  <c r="P334" i="32" s="1"/>
  <c r="P336" i="32" s="1"/>
  <c r="P338" i="32" s="1"/>
  <c r="P340" i="32" s="1"/>
  <c r="P342" i="32" s="1"/>
  <c r="P344" i="32" s="1"/>
  <c r="P346" i="32" s="1"/>
  <c r="P348" i="32" s="1"/>
  <c r="P350" i="32" s="1"/>
  <c r="P352" i="32" s="1"/>
  <c r="P354" i="32" s="1"/>
  <c r="P356" i="32" s="1"/>
  <c r="P358" i="32" s="1"/>
  <c r="P360" i="32" s="1"/>
  <c r="P362" i="32" s="1"/>
  <c r="P364" i="32" s="1"/>
  <c r="P366" i="32" s="1"/>
  <c r="P368" i="32" s="1"/>
  <c r="P370" i="32" s="1"/>
  <c r="P372" i="32" s="1"/>
  <c r="P374" i="32" s="1"/>
  <c r="P376" i="32" s="1"/>
  <c r="P378" i="32" s="1"/>
  <c r="P380" i="32" s="1"/>
  <c r="P382" i="32" s="1"/>
  <c r="P384" i="32" s="1"/>
  <c r="P386" i="32" s="1"/>
  <c r="P388" i="32" s="1"/>
  <c r="P390" i="32" s="1"/>
  <c r="P392" i="32" s="1"/>
  <c r="P394" i="32" s="1"/>
  <c r="P396" i="32" s="1"/>
  <c r="P398" i="32" s="1"/>
  <c r="P400" i="32" s="1"/>
  <c r="P402" i="32" s="1"/>
  <c r="P404" i="32" s="1"/>
  <c r="P406" i="32" s="1"/>
  <c r="P408" i="32" s="1"/>
  <c r="P410" i="32" s="1"/>
  <c r="P412" i="32" s="1"/>
  <c r="P414" i="32" s="1"/>
  <c r="P416" i="32" s="1"/>
  <c r="P418" i="32" s="1"/>
  <c r="P420" i="32" s="1"/>
  <c r="P422" i="32" s="1"/>
  <c r="P424" i="32" s="1"/>
  <c r="P426" i="32" s="1"/>
  <c r="P428" i="32" s="1"/>
  <c r="P430" i="32" s="1"/>
  <c r="P432" i="32" s="1"/>
  <c r="P434" i="32" s="1"/>
  <c r="P436" i="32" s="1"/>
  <c r="P438" i="32" s="1"/>
  <c r="P440" i="32" s="1"/>
  <c r="P442" i="32" s="1"/>
  <c r="P444" i="32" s="1"/>
  <c r="P446" i="32" s="1"/>
  <c r="P448" i="32" s="1"/>
  <c r="P450" i="32" s="1"/>
  <c r="P452" i="32" s="1"/>
  <c r="P454" i="32" s="1"/>
  <c r="P456" i="32" s="1"/>
  <c r="P458" i="32" s="1"/>
  <c r="P460" i="32" s="1"/>
  <c r="P462" i="32" s="1"/>
  <c r="P464" i="32" s="1"/>
  <c r="P466" i="32" s="1"/>
  <c r="P468" i="32" s="1"/>
  <c r="P470" i="32" s="1"/>
  <c r="P472" i="32" s="1"/>
  <c r="P474" i="32" s="1"/>
  <c r="P476" i="32" s="1"/>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596" i="32"/>
  <c r="V596" i="32" s="1" a="1"/>
  <c r="V596" i="32" s="1"/>
  <c r="L596" i="32" s="1"/>
  <c r="Q610" i="32"/>
  <c r="V610" i="32" s="1" a="1"/>
  <c r="V610" i="32" s="1"/>
  <c r="L610" i="32" s="1"/>
  <c r="Q496" i="32"/>
  <c r="V496" i="32" s="1" a="1"/>
  <c r="V496" i="32" s="1"/>
  <c r="L496" i="32" s="1"/>
  <c r="Q500" i="32"/>
  <c r="V500" i="32" s="1" a="1"/>
  <c r="V500" i="32" s="1"/>
  <c r="L500" i="32" s="1"/>
  <c r="Q502" i="32"/>
  <c r="V502" i="32" s="1" a="1"/>
  <c r="V502" i="32" s="1"/>
  <c r="L502" i="32" s="1"/>
  <c r="Q584" i="32"/>
  <c r="V584" i="32" s="1" a="1"/>
  <c r="V584" i="32" s="1"/>
  <c r="L584" i="32" s="1"/>
  <c r="Q576" i="32"/>
  <c r="V576" i="32" s="1" a="1"/>
  <c r="V576" i="32" s="1"/>
  <c r="L576" i="32" s="1"/>
  <c r="Q582" i="32"/>
  <c r="V582" i="32" s="1" a="1"/>
  <c r="V582" i="32" s="1"/>
  <c r="L582" i="32" s="1"/>
  <c r="Q476" i="32"/>
  <c r="V476" i="32" s="1" a="1"/>
  <c r="V476" i="32" s="1"/>
  <c r="L476" i="32" s="1"/>
  <c r="Q490" i="32"/>
  <c r="V490" i="32" s="1" a="1"/>
  <c r="V490" i="32" s="1"/>
  <c r="L490" i="32" s="1"/>
  <c r="Q568" i="32"/>
  <c r="V568" i="32" s="1" a="1"/>
  <c r="V568" i="32" s="1"/>
  <c r="L568" i="32" s="1"/>
  <c r="Q572" i="32"/>
  <c r="V572" i="32" s="1" a="1"/>
  <c r="V572" i="32" s="1"/>
  <c r="L572" i="32" s="1"/>
  <c r="Q566" i="32"/>
  <c r="V566" i="32" s="1" a="1"/>
  <c r="V566" i="32" s="1"/>
  <c r="L566" i="32" s="1"/>
  <c r="Q460" i="32"/>
  <c r="V460" i="32" s="1" a="1"/>
  <c r="V460" i="32" s="1"/>
  <c r="L460" i="32" s="1"/>
  <c r="Q458" i="32"/>
  <c r="V458" i="32" s="1" a="1"/>
  <c r="V458" i="32" s="1"/>
  <c r="L458" i="32" s="1"/>
  <c r="Q416" i="32"/>
  <c r="V416" i="32" s="1" a="1"/>
  <c r="V416" i="32" s="1"/>
  <c r="L416" i="32" s="1"/>
  <c r="Q428" i="32"/>
  <c r="V428" i="32" s="1" a="1"/>
  <c r="V428" i="32" s="1"/>
  <c r="L428" i="32" s="1"/>
  <c r="Q422" i="32"/>
  <c r="V422" i="32" s="1" a="1"/>
  <c r="V422" i="32" s="1"/>
  <c r="L422" i="32" s="1"/>
  <c r="Q394" i="32"/>
  <c r="V394" i="32" s="1" a="1"/>
  <c r="V394" i="32" s="1"/>
  <c r="L394" i="32" s="1"/>
  <c r="Q392" i="32"/>
  <c r="V392" i="32" s="1" a="1"/>
  <c r="V392" i="32" s="1"/>
  <c r="L392" i="32" s="1"/>
  <c r="K1266" i="27" s="1"/>
  <c r="Q436" i="32"/>
  <c r="V436" i="32" s="1" a="1"/>
  <c r="V436" i="32" s="1"/>
  <c r="L436" i="32" s="1"/>
  <c r="Q450" i="32"/>
  <c r="V450" i="32" s="1" a="1"/>
  <c r="V450" i="32" s="1"/>
  <c r="L450" i="32" s="1"/>
  <c r="Q604" i="32"/>
  <c r="V604" i="32" s="1" a="1"/>
  <c r="V604" i="32" s="1"/>
  <c r="L604" i="32" s="1"/>
  <c r="Q598" i="32"/>
  <c r="V598" i="32" s="1" a="1"/>
  <c r="V598" i="32" s="1"/>
  <c r="L598" i="32" s="1"/>
  <c r="Q362" i="32"/>
  <c r="V362" i="32" s="1" a="1"/>
  <c r="V362" i="32" s="1"/>
  <c r="L362" i="32" s="1"/>
  <c r="Q360" i="32"/>
  <c r="V360" i="32" s="1" a="1"/>
  <c r="V360" i="32" s="1"/>
  <c r="L360" i="32" s="1"/>
  <c r="Q374" i="32"/>
  <c r="V374" i="32" s="1" a="1"/>
  <c r="V374" i="32" s="1"/>
  <c r="L374" i="32" s="1"/>
  <c r="Q322" i="32"/>
  <c r="V322" i="32" s="1" a="1"/>
  <c r="V322" i="32" s="1"/>
  <c r="L322" i="32" s="1"/>
  <c r="Q332" i="32"/>
  <c r="V332" i="32" s="1" a="1"/>
  <c r="V332" i="32" s="1"/>
  <c r="L332" i="32" s="1"/>
  <c r="Q512" i="32"/>
  <c r="V512" i="32" s="1" a="1"/>
  <c r="V512" i="32" s="1"/>
  <c r="L512" i="32" s="1"/>
  <c r="Q508" i="32"/>
  <c r="V508" i="32" s="1" a="1"/>
  <c r="V508" i="32" s="1"/>
  <c r="L508" i="32" s="1"/>
  <c r="Q510" i="32"/>
  <c r="V510" i="32" s="1" a="1"/>
  <c r="V510" i="32" s="1"/>
  <c r="L510" i="32" s="1"/>
  <c r="Q348" i="32"/>
  <c r="V348" i="32" s="1" a="1"/>
  <c r="V348" i="32" s="1"/>
  <c r="L348" i="32" s="1"/>
  <c r="Q354" i="32"/>
  <c r="V354" i="32" s="1" a="1"/>
  <c r="V354" i="32" s="1"/>
  <c r="L354" i="32" s="1"/>
  <c r="Q586" i="32"/>
  <c r="V586" i="32" s="1" a="1"/>
  <c r="V586" i="32" s="1"/>
  <c r="L586" i="32" s="1"/>
  <c r="Q592" i="32"/>
  <c r="V592" i="32" s="1" a="1"/>
  <c r="V592" i="32" s="1"/>
  <c r="L592" i="32" s="1"/>
  <c r="Q590" i="32"/>
  <c r="V590" i="32" s="1" a="1"/>
  <c r="V590" i="32" s="1"/>
  <c r="L590" i="32" s="1"/>
  <c r="Q484" i="32"/>
  <c r="V484" i="32" s="1" a="1"/>
  <c r="V484" i="32" s="1"/>
  <c r="L484" i="32" s="1"/>
  <c r="Q478" i="32"/>
  <c r="V478" i="32" s="1" a="1"/>
  <c r="V478" i="32" s="1"/>
  <c r="L478" i="32" s="1"/>
  <c r="Q570" i="32"/>
  <c r="V570" i="32" s="1" a="1"/>
  <c r="V570" i="32" s="1"/>
  <c r="L570" i="32" s="1"/>
  <c r="Q560" i="32"/>
  <c r="V560" i="32" s="1" a="1"/>
  <c r="V560" i="32" s="1"/>
  <c r="L560" i="32" s="1"/>
  <c r="Q574" i="32"/>
  <c r="V574" i="32" s="1" a="1"/>
  <c r="V574" i="32" s="1"/>
  <c r="L574" i="32" s="1"/>
  <c r="Q468" i="32"/>
  <c r="V468" i="32" s="1" a="1"/>
  <c r="V468" i="32" s="1"/>
  <c r="L468" i="32" s="1"/>
  <c r="Q474" i="32"/>
  <c r="V474" i="32" s="1" a="1"/>
  <c r="V474" i="32" s="1"/>
  <c r="L474" i="32" s="1"/>
  <c r="Q432" i="32"/>
  <c r="V432" i="32" s="1" a="1"/>
  <c r="V432" i="32" s="1"/>
  <c r="L432" i="32" s="1"/>
  <c r="Q424" i="32"/>
  <c r="V424" i="32" s="1" a="1"/>
  <c r="V424" i="32" s="1"/>
  <c r="L424" i="32" s="1"/>
  <c r="Q430" i="32"/>
  <c r="V430" i="32" s="1" a="1"/>
  <c r="V430" i="32" s="1"/>
  <c r="L430" i="32" s="1"/>
  <c r="Q380" i="32"/>
  <c r="V380" i="32" s="1" a="1"/>
  <c r="V380" i="32" s="1"/>
  <c r="L380" i="32" s="1"/>
  <c r="Q386" i="32"/>
  <c r="V386" i="32" s="1" a="1"/>
  <c r="V386" i="32" s="1"/>
  <c r="L386" i="32" s="1"/>
  <c r="Q444" i="32"/>
  <c r="V444" i="32" s="1" a="1"/>
  <c r="V444" i="32" s="1"/>
  <c r="L444" i="32" s="1"/>
  <c r="Q438" i="32"/>
  <c r="V438" i="32" s="1" a="1"/>
  <c r="V438" i="32" s="1"/>
  <c r="L438" i="32" s="1"/>
  <c r="Q600" i="32"/>
  <c r="V600" i="32" s="1" a="1"/>
  <c r="V600" i="32" s="1"/>
  <c r="L600" i="32" s="1"/>
  <c r="Q612" i="32"/>
  <c r="V612" i="32" s="1" a="1"/>
  <c r="V612" i="32" s="1"/>
  <c r="L612" i="32" s="1"/>
  <c r="Q606" i="32"/>
  <c r="V606" i="32" s="1" a="1"/>
  <c r="V606" i="32" s="1"/>
  <c r="L606" i="32" s="1"/>
  <c r="Q356" i="32"/>
  <c r="V356" i="32" s="1" a="1"/>
  <c r="V356" i="32" s="1"/>
  <c r="L356" i="32" s="1"/>
  <c r="Q370" i="32"/>
  <c r="V370" i="32" s="1" a="1"/>
  <c r="V370" i="32" s="1"/>
  <c r="L370" i="32" s="1"/>
  <c r="Q324" i="32"/>
  <c r="V324" i="32" s="1" a="1"/>
  <c r="V324" i="32" s="1"/>
  <c r="L324" i="32" s="1"/>
  <c r="Q318" i="32"/>
  <c r="V318" i="32" s="1" a="1"/>
  <c r="V318" i="32" s="1"/>
  <c r="L318" i="32" s="1"/>
  <c r="Q498" i="32"/>
  <c r="V498" i="32" s="1" a="1"/>
  <c r="V498" i="32" s="1"/>
  <c r="L498" i="32" s="1"/>
  <c r="Q504" i="32"/>
  <c r="V504" i="32" s="1" a="1"/>
  <c r="V504" i="32" s="1"/>
  <c r="L504" i="32" s="1"/>
  <c r="Q352" i="32"/>
  <c r="V352" i="32" s="1" a="1"/>
  <c r="V352" i="32" s="1"/>
  <c r="L352" i="32" s="1"/>
  <c r="Q336" i="32"/>
  <c r="V336" i="32" s="1" a="1"/>
  <c r="V336" i="32" s="1"/>
  <c r="L336" i="32" s="1"/>
  <c r="Q342" i="32"/>
  <c r="V342" i="32" s="1" a="1"/>
  <c r="V342" i="32" s="1"/>
  <c r="L342" i="32" s="1"/>
  <c r="Q580" i="32"/>
  <c r="V580" i="32" s="1" a="1"/>
  <c r="V580" i="32" s="1"/>
  <c r="L580" i="32" s="1"/>
  <c r="Q578" i="32"/>
  <c r="V578" i="32" s="1" a="1"/>
  <c r="V578" i="32" s="1"/>
  <c r="L578" i="32" s="1"/>
  <c r="Q480" i="32"/>
  <c r="V480" i="32" s="1" a="1"/>
  <c r="V480" i="32" s="1"/>
  <c r="L480" i="32" s="1"/>
  <c r="Q492" i="32"/>
  <c r="V492" i="32" s="1" a="1"/>
  <c r="V492" i="32" s="1"/>
  <c r="L492" i="32" s="1"/>
  <c r="Q486" i="32"/>
  <c r="V486" i="32" s="1" a="1"/>
  <c r="V486" i="32" s="1"/>
  <c r="L486" i="32" s="1"/>
  <c r="Q556" i="32"/>
  <c r="V556" i="32" s="1" a="1"/>
  <c r="V556" i="32" s="1"/>
  <c r="L556" i="32" s="1"/>
  <c r="Q562" i="32"/>
  <c r="V562" i="32" s="1" a="1"/>
  <c r="V562" i="32" s="1"/>
  <c r="L562" i="32" s="1"/>
  <c r="Q464" i="32"/>
  <c r="V464" i="32" s="1" a="1"/>
  <c r="V464" i="32" s="1"/>
  <c r="L464" i="32" s="1"/>
  <c r="Q456" i="32"/>
  <c r="V456" i="32" s="1" a="1"/>
  <c r="V456" i="32" s="1"/>
  <c r="L456" i="32" s="1"/>
  <c r="Q462" i="32"/>
  <c r="V462" i="32" s="1" a="1"/>
  <c r="V462" i="32" s="1"/>
  <c r="L462" i="32" s="1"/>
  <c r="Q426" i="32"/>
  <c r="V426" i="32" s="1" a="1"/>
  <c r="V426" i="32" s="1"/>
  <c r="L426" i="32" s="1"/>
  <c r="Q418" i="32"/>
  <c r="V418" i="32" s="1" a="1"/>
  <c r="V418" i="32" s="1"/>
  <c r="L418" i="32" s="1"/>
  <c r="Q384" i="32"/>
  <c r="V384" i="32" s="1" a="1"/>
  <c r="V384" i="32" s="1"/>
  <c r="L384" i="32" s="1"/>
  <c r="Q388" i="32"/>
  <c r="V388" i="32" s="1" a="1"/>
  <c r="V388" i="32" s="1"/>
  <c r="L388" i="32" s="1"/>
  <c r="Q382" i="32"/>
  <c r="V382" i="32" s="1" a="1"/>
  <c r="V382" i="32" s="1"/>
  <c r="L382" i="32" s="1"/>
  <c r="Q448" i="32"/>
  <c r="V448" i="32" s="1" a="1"/>
  <c r="V448" i="32" s="1"/>
  <c r="L448" i="32" s="1"/>
  <c r="Q452" i="32"/>
  <c r="V452" i="32" s="1" a="1"/>
  <c r="V452" i="32" s="1"/>
  <c r="L452" i="32" s="1"/>
  <c r="Q446" i="32"/>
  <c r="V446" i="32" s="1" a="1"/>
  <c r="V446" i="32" s="1"/>
  <c r="L446" i="32" s="1"/>
  <c r="Q602" i="32"/>
  <c r="V602" i="32" s="1" a="1"/>
  <c r="V602" i="32" s="1"/>
  <c r="L602" i="32" s="1"/>
  <c r="Q608" i="32"/>
  <c r="V608" i="32" s="1" a="1"/>
  <c r="V608" i="32" s="1"/>
  <c r="L608" i="32" s="1"/>
  <c r="Q614" i="32"/>
  <c r="V614" i="32" s="1" a="1"/>
  <c r="V614" i="32" s="1"/>
  <c r="L614" i="32" s="1"/>
  <c r="Q364" i="32"/>
  <c r="V364" i="32" s="1" a="1"/>
  <c r="V364" i="32" s="1"/>
  <c r="L364" i="32" s="1"/>
  <c r="Q358" i="32"/>
  <c r="V358" i="32" s="1" a="1"/>
  <c r="V358" i="32" s="1"/>
  <c r="L358" i="32" s="1"/>
  <c r="Q320" i="32"/>
  <c r="V320" i="32" s="1" a="1"/>
  <c r="V320" i="32" s="1"/>
  <c r="L320" i="32" s="1"/>
  <c r="Q326" i="32"/>
  <c r="V326" i="32" s="1" a="1"/>
  <c r="V326" i="32" s="1"/>
  <c r="L326" i="32" s="1"/>
  <c r="Q514" i="32"/>
  <c r="V514" i="32" s="1" a="1"/>
  <c r="V514" i="32" s="1"/>
  <c r="L514" i="32" s="1"/>
  <c r="Q506" i="32"/>
  <c r="V506" i="32" s="1" a="1"/>
  <c r="V506" i="32" s="1"/>
  <c r="L506" i="32" s="1"/>
  <c r="Q338" i="32"/>
  <c r="V338" i="32" s="1" a="1"/>
  <c r="V338" i="32" s="1"/>
  <c r="L338" i="32" s="1"/>
  <c r="K1212" i="27" s="1"/>
  <c r="Q344" i="32"/>
  <c r="V344" i="32" s="1" a="1"/>
  <c r="V344" i="32" s="1"/>
  <c r="L344" i="32" s="1"/>
  <c r="Q350" i="32"/>
  <c r="V350" i="32" s="1" a="1"/>
  <c r="V350" i="32" s="1"/>
  <c r="L350" i="32" s="1"/>
  <c r="Q588" i="32"/>
  <c r="V588" i="32" s="1" a="1"/>
  <c r="V588" i="32" s="1"/>
  <c r="L588" i="32" s="1"/>
  <c r="Q594" i="32"/>
  <c r="V594" i="32" s="1" a="1"/>
  <c r="V594" i="32" s="1"/>
  <c r="L594" i="32" s="1"/>
  <c r="Q482" i="32"/>
  <c r="V482" i="32" s="1" a="1"/>
  <c r="V482" i="32" s="1"/>
  <c r="L482" i="32" s="1"/>
  <c r="Q488" i="32"/>
  <c r="V488" i="32" s="1" a="1"/>
  <c r="V488" i="32" s="1"/>
  <c r="L488" i="32" s="1"/>
  <c r="Q494" i="32"/>
  <c r="V494" i="32" s="1" a="1"/>
  <c r="V494" i="32" s="1"/>
  <c r="L494" i="32" s="1"/>
  <c r="Q564" i="32"/>
  <c r="V564" i="32" s="1" a="1"/>
  <c r="V564" i="32" s="1"/>
  <c r="L564" i="32" s="1"/>
  <c r="Q558" i="32"/>
  <c r="V558" i="32" s="1" a="1"/>
  <c r="V558" i="32" s="1"/>
  <c r="L558" i="32" s="1"/>
  <c r="Q466" i="32"/>
  <c r="V466" i="32" s="1" a="1"/>
  <c r="V466" i="32" s="1"/>
  <c r="L466" i="32" s="1"/>
  <c r="Q472" i="32"/>
  <c r="V472" i="32" s="1" a="1"/>
  <c r="V472" i="32" s="1"/>
  <c r="L472" i="32" s="1"/>
  <c r="Q470" i="32"/>
  <c r="V470" i="32" s="1" a="1"/>
  <c r="V470" i="32" s="1"/>
  <c r="L470" i="32" s="1"/>
  <c r="Q420" i="32"/>
  <c r="V420" i="32" s="1" a="1"/>
  <c r="V420" i="32" s="1"/>
  <c r="L420" i="32" s="1"/>
  <c r="Q434" i="32"/>
  <c r="V434" i="32" s="1" a="1"/>
  <c r="V434" i="32" s="1"/>
  <c r="L434" i="32" s="1"/>
  <c r="Q378" i="32"/>
  <c r="V378" i="32" s="1" a="1"/>
  <c r="V378" i="32" s="1"/>
  <c r="L378" i="32" s="1"/>
  <c r="Q376" i="32"/>
  <c r="V376" i="32" s="1" a="1"/>
  <c r="V376" i="32" s="1"/>
  <c r="L376" i="32" s="1"/>
  <c r="Q390" i="32"/>
  <c r="V390" i="32" s="1" a="1"/>
  <c r="V390" i="32" s="1"/>
  <c r="L390" i="32" s="1"/>
  <c r="Q442" i="32"/>
  <c r="V442" i="32" s="1" a="1"/>
  <c r="V442" i="32" s="1"/>
  <c r="L442" i="32" s="1"/>
  <c r="Q440" i="32"/>
  <c r="V440" i="32" s="1" a="1"/>
  <c r="V440" i="32" s="1"/>
  <c r="L440" i="32" s="1"/>
  <c r="Q454" i="32"/>
  <c r="V454" i="32" s="1" a="1"/>
  <c r="V454" i="32" s="1"/>
  <c r="L454" i="32" s="1"/>
  <c r="I130" i="24"/>
  <c r="N130" i="24"/>
  <c r="H122" i="24"/>
  <c r="N122" i="24"/>
  <c r="I136" i="24"/>
  <c r="I128" i="24"/>
  <c r="N112" i="24"/>
  <c r="H110" i="24"/>
  <c r="H112" i="24"/>
  <c r="I120" i="24"/>
  <c r="N126" i="24"/>
  <c r="N110" i="24"/>
  <c r="N120" i="24"/>
  <c r="H116" i="24"/>
  <c r="N116" i="24"/>
  <c r="H114" i="24"/>
  <c r="H118" i="24"/>
  <c r="I110" i="24"/>
  <c r="I122" i="24"/>
  <c r="N136" i="24"/>
  <c r="N128" i="24"/>
  <c r="H124" i="24"/>
  <c r="N132" i="24"/>
  <c r="I114" i="24"/>
  <c r="I112" i="24"/>
  <c r="I134" i="24"/>
  <c r="I124" i="24"/>
  <c r="I118" i="24"/>
  <c r="N134" i="24"/>
  <c r="N124" i="24"/>
  <c r="H120" i="24"/>
  <c r="I126" i="24"/>
  <c r="I132" i="24"/>
  <c r="I116" i="24"/>
  <c r="N114" i="24"/>
  <c r="D2338" i="27"/>
  <c r="L2337" i="27"/>
  <c r="M406" i="27"/>
  <c r="M404" i="27"/>
  <c r="I400" i="27"/>
  <c r="G981" i="32"/>
  <c r="N404" i="27"/>
  <c r="M407" i="27"/>
  <c r="T23" i="31"/>
  <c r="I399" i="27"/>
  <c r="I398" i="27"/>
  <c r="D2337" i="27"/>
  <c r="J398" i="27"/>
  <c r="M405" i="27"/>
  <c r="K386" i="27"/>
  <c r="J399" i="27"/>
  <c r="K388" i="27"/>
  <c r="P2336" i="27"/>
  <c r="K2336" i="27"/>
  <c r="X23" i="31"/>
  <c r="N406" i="27"/>
  <c r="J400" i="27"/>
  <c r="A983" i="32"/>
  <c r="L23" i="31"/>
  <c r="K387" i="27"/>
  <c r="J401" i="27"/>
  <c r="I401" i="27"/>
  <c r="K389" i="27"/>
  <c r="N405" i="27"/>
  <c r="N407" i="27"/>
  <c r="L2338" i="27"/>
  <c r="S903" i="32" l="1" a="1"/>
  <c r="S903" i="32" s="1"/>
  <c r="E903" i="32" s="1"/>
  <c r="V903" i="32" a="1"/>
  <c r="V903" i="32" s="1"/>
  <c r="L903" i="32" s="1"/>
  <c r="T903" i="32" a="1"/>
  <c r="T903" i="32" s="1"/>
  <c r="R903" i="32" a="1"/>
  <c r="R903" i="32" s="1"/>
  <c r="D903" i="32" s="1"/>
  <c r="P907" i="32"/>
  <c r="Q905" i="32"/>
  <c r="Q346" i="32"/>
  <c r="V346" i="32" s="1" a="1"/>
  <c r="V346" i="32" s="1"/>
  <c r="L346" i="32" s="1"/>
  <c r="Q366" i="32"/>
  <c r="V366" i="32" s="1" a="1"/>
  <c r="V366" i="32" s="1"/>
  <c r="L366" i="32" s="1"/>
  <c r="Q340" i="32"/>
  <c r="V340" i="32" s="1" a="1"/>
  <c r="V340" i="32" s="1"/>
  <c r="L340" i="32" s="1"/>
  <c r="Q372" i="32"/>
  <c r="V372" i="32" s="1" a="1"/>
  <c r="V372" i="32" s="1"/>
  <c r="L372" i="32" s="1"/>
  <c r="Q368" i="32"/>
  <c r="V368" i="32" s="1" a="1"/>
  <c r="V368" i="32" s="1"/>
  <c r="L368" i="32" s="1"/>
  <c r="Q334" i="32"/>
  <c r="V334" i="32" s="1" a="1"/>
  <c r="V334" i="32" s="1"/>
  <c r="L334" i="32" s="1"/>
  <c r="Q316" i="32"/>
  <c r="V316" i="32" s="1" a="1"/>
  <c r="V316" i="32" s="1"/>
  <c r="L316" i="32" s="1"/>
  <c r="Q330" i="32"/>
  <c r="V330" i="32" s="1" a="1"/>
  <c r="V330" i="32" s="1"/>
  <c r="L330" i="32" s="1"/>
  <c r="Q328" i="32"/>
  <c r="V328" i="32" s="1" a="1"/>
  <c r="V328" i="32" s="1"/>
  <c r="L328" i="32" s="1"/>
  <c r="A387" i="27"/>
  <c r="A389" i="27"/>
  <c r="A388" i="27"/>
  <c r="A386" i="27"/>
  <c r="F3094" i="27"/>
  <c r="F3095" i="27"/>
  <c r="A2338" i="27"/>
  <c r="A2337" i="27"/>
  <c r="K1223" i="27"/>
  <c r="K1224" i="27"/>
  <c r="K1305" i="27"/>
  <c r="K1306" i="27"/>
  <c r="K1310" i="27"/>
  <c r="K1309" i="27"/>
  <c r="K1316" i="27"/>
  <c r="K1315" i="27"/>
  <c r="K1292" i="27"/>
  <c r="K1291" i="27"/>
  <c r="K1312" i="27"/>
  <c r="K1311" i="27"/>
  <c r="K1267" i="27"/>
  <c r="K1268" i="27"/>
  <c r="K1300" i="27"/>
  <c r="K1299" i="27"/>
  <c r="K1317" i="27"/>
  <c r="K1318" i="27"/>
  <c r="K1295" i="27"/>
  <c r="K1296" i="27"/>
  <c r="K1308" i="27"/>
  <c r="K1307" i="27"/>
  <c r="K1319" i="27"/>
  <c r="K1320" i="27"/>
  <c r="K1301" i="27"/>
  <c r="K1302" i="27"/>
  <c r="K1293" i="27"/>
  <c r="K1294" i="27"/>
  <c r="K1326" i="27"/>
  <c r="K1325" i="27"/>
  <c r="K1329" i="27"/>
  <c r="K1330" i="27"/>
  <c r="K1289" i="27"/>
  <c r="K1290" i="27"/>
  <c r="K1327" i="27"/>
  <c r="K1328" i="27"/>
  <c r="K1321" i="27"/>
  <c r="K1322" i="27"/>
  <c r="K1303" i="27"/>
  <c r="K1304" i="27"/>
  <c r="K1332" i="27"/>
  <c r="K1331" i="27"/>
  <c r="K1313" i="27"/>
  <c r="K1314" i="27"/>
  <c r="K1297" i="27"/>
  <c r="K1298" i="27"/>
  <c r="K1323" i="27"/>
  <c r="K1324" i="27"/>
  <c r="Q406" i="32"/>
  <c r="V406" i="32" s="1" a="1"/>
  <c r="V406" i="32" s="1"/>
  <c r="L406" i="32" s="1"/>
  <c r="Q410" i="32"/>
  <c r="V410" i="32" s="1" a="1"/>
  <c r="V410" i="32" s="1"/>
  <c r="L410" i="32" s="1"/>
  <c r="Q412" i="32"/>
  <c r="V412" i="32" s="1" a="1"/>
  <c r="V412" i="32" s="1"/>
  <c r="L412" i="32" s="1"/>
  <c r="Q400" i="32"/>
  <c r="V400" i="32" s="1" a="1"/>
  <c r="V400" i="32" s="1"/>
  <c r="L400" i="32" s="1"/>
  <c r="Q402" i="32"/>
  <c r="V402" i="32" s="1" a="1"/>
  <c r="V402" i="32" s="1"/>
  <c r="L402" i="32" s="1"/>
  <c r="Q414" i="32"/>
  <c r="V414" i="32" s="1" a="1"/>
  <c r="V414" i="32" s="1"/>
  <c r="L414" i="32" s="1"/>
  <c r="Q408" i="32"/>
  <c r="V408" i="32" s="1" a="1"/>
  <c r="V408" i="32" s="1"/>
  <c r="L408" i="32" s="1"/>
  <c r="Q398" i="32"/>
  <c r="V398" i="32" s="1" a="1"/>
  <c r="V398" i="32" s="1"/>
  <c r="L398" i="32" s="1"/>
  <c r="Q396" i="32"/>
  <c r="V396" i="32" s="1" a="1"/>
  <c r="V396" i="32" s="1"/>
  <c r="L396" i="32" s="1"/>
  <c r="Q404" i="32"/>
  <c r="V404" i="32" s="1" a="1"/>
  <c r="V404" i="32" s="1"/>
  <c r="L404" i="32" s="1"/>
  <c r="R122" i="24"/>
  <c r="BE70" i="34"/>
  <c r="BF70" i="34"/>
  <c r="BF69" i="34"/>
  <c r="BE69" i="34"/>
  <c r="K322" i="32"/>
  <c r="K316" i="32"/>
  <c r="AO71" i="34"/>
  <c r="AP71" i="34" s="1"/>
  <c r="AT71" i="34"/>
  <c r="AR70" i="34"/>
  <c r="AQ70" i="34"/>
  <c r="AR69" i="34"/>
  <c r="AQ69" i="34"/>
  <c r="S122" i="24"/>
  <c r="P122" i="24"/>
  <c r="R316" i="32" a="1"/>
  <c r="R316" i="32" s="1"/>
  <c r="D316" i="32" s="1"/>
  <c r="S316" i="32" a="1"/>
  <c r="S316" i="32" s="1"/>
  <c r="E316" i="32" s="1"/>
  <c r="T316" i="32" a="1"/>
  <c r="T316" i="32" s="1"/>
  <c r="M1029" i="27" s="1"/>
  <c r="A1029" i="27" s="1"/>
  <c r="Q548" i="32"/>
  <c r="V548" i="32" s="1" a="1"/>
  <c r="V548" i="32" s="1"/>
  <c r="L548" i="32" s="1"/>
  <c r="Q540" i="32"/>
  <c r="V540" i="32" s="1" a="1"/>
  <c r="V540" i="32" s="1"/>
  <c r="L540" i="32" s="1"/>
  <c r="Q552" i="32"/>
  <c r="V552" i="32" s="1" a="1"/>
  <c r="V552" i="32" s="1"/>
  <c r="L552" i="32" s="1"/>
  <c r="Q536" i="32"/>
  <c r="V536" i="32" s="1" a="1"/>
  <c r="V536" i="32" s="1"/>
  <c r="L536" i="32" s="1"/>
  <c r="Q544" i="32"/>
  <c r="V544" i="32" s="1" a="1"/>
  <c r="V544" i="32" s="1"/>
  <c r="L544" i="32" s="1"/>
  <c r="Q538" i="32"/>
  <c r="V538" i="32" s="1" a="1"/>
  <c r="V538" i="32" s="1"/>
  <c r="L538" i="32" s="1"/>
  <c r="Q546" i="32"/>
  <c r="V546" i="32" s="1" a="1"/>
  <c r="V546" i="32" s="1"/>
  <c r="L546" i="32" s="1"/>
  <c r="Q554" i="32"/>
  <c r="V554" i="32" s="1" a="1"/>
  <c r="V554" i="32" s="1"/>
  <c r="L554" i="32" s="1"/>
  <c r="Q550" i="32"/>
  <c r="V550" i="32" s="1" a="1"/>
  <c r="V550" i="32" s="1"/>
  <c r="L550" i="32" s="1"/>
  <c r="Q542" i="32"/>
  <c r="V542" i="32" s="1" a="1"/>
  <c r="V542" i="32" s="1"/>
  <c r="L542" i="32" s="1"/>
  <c r="U985" i="32"/>
  <c r="H126" i="24"/>
  <c r="AG29" i="31"/>
  <c r="Q518" i="32"/>
  <c r="Q530" i="32"/>
  <c r="Q522" i="32"/>
  <c r="Q528" i="32"/>
  <c r="Q520" i="32"/>
  <c r="Q532" i="32"/>
  <c r="Q534" i="32"/>
  <c r="Q524" i="32"/>
  <c r="Q526" i="32"/>
  <c r="R526" i="32" s="1" a="1"/>
  <c r="R526" i="32" s="1"/>
  <c r="D526" i="32" s="1"/>
  <c r="Q516" i="32"/>
  <c r="R440" i="32" a="1"/>
  <c r="R440" i="32" s="1"/>
  <c r="D440" i="32" s="1"/>
  <c r="T440" i="32" a="1"/>
  <c r="T440" i="32" s="1"/>
  <c r="S440" i="32" a="1"/>
  <c r="S440" i="32" s="1"/>
  <c r="E440" i="32" s="1"/>
  <c r="T390" i="32" a="1"/>
  <c r="T390" i="32" s="1"/>
  <c r="S390" i="32" a="1"/>
  <c r="S390" i="32" s="1"/>
  <c r="E390" i="32" s="1"/>
  <c r="R390" i="32" a="1"/>
  <c r="R390" i="32" s="1"/>
  <c r="D390" i="32" s="1"/>
  <c r="T378" i="32" a="1"/>
  <c r="T378" i="32" s="1"/>
  <c r="S378" i="32" a="1"/>
  <c r="S378" i="32" s="1"/>
  <c r="E378" i="32" s="1"/>
  <c r="R378" i="32" a="1"/>
  <c r="R378" i="32" s="1"/>
  <c r="D378" i="32" s="1"/>
  <c r="R420" i="32" a="1"/>
  <c r="R420" i="32" s="1"/>
  <c r="D420" i="32" s="1"/>
  <c r="T420" i="32" a="1"/>
  <c r="T420" i="32" s="1"/>
  <c r="S420" i="32" a="1"/>
  <c r="S420" i="32" s="1"/>
  <c r="E420" i="32" s="1"/>
  <c r="S472" i="32" a="1"/>
  <c r="S472" i="32" s="1"/>
  <c r="E472" i="32" s="1"/>
  <c r="R472" i="32" a="1"/>
  <c r="R472" i="32" s="1"/>
  <c r="D472" i="32" s="1"/>
  <c r="T472" i="32" a="1"/>
  <c r="T472" i="32" s="1"/>
  <c r="M1345" i="27" s="1"/>
  <c r="A1345" i="27" s="1"/>
  <c r="S558" i="32" a="1"/>
  <c r="S558" i="32" s="1"/>
  <c r="E558" i="32" s="1"/>
  <c r="T558" i="32" a="1"/>
  <c r="T558" i="32" s="1"/>
  <c r="R558" i="32" a="1"/>
  <c r="R558" i="32" s="1"/>
  <c r="D558" i="32" s="1"/>
  <c r="S494" i="32" a="1"/>
  <c r="S494" i="32" s="1"/>
  <c r="E494" i="32" s="1"/>
  <c r="T494" i="32" a="1"/>
  <c r="T494" i="32" s="1"/>
  <c r="M1367" i="27" s="1"/>
  <c r="A1367" i="27" s="1"/>
  <c r="R494" i="32" a="1"/>
  <c r="R494" i="32" s="1"/>
  <c r="D494" i="32" s="1"/>
  <c r="T482" i="32" a="1"/>
  <c r="T482" i="32" s="1"/>
  <c r="M1355" i="27" s="1"/>
  <c r="A1355" i="27" s="1"/>
  <c r="S482" i="32" a="1"/>
  <c r="S482" i="32" s="1"/>
  <c r="E482" i="32" s="1"/>
  <c r="R482" i="32" a="1"/>
  <c r="R482" i="32" s="1"/>
  <c r="D482" i="32" s="1"/>
  <c r="R588" i="32" a="1"/>
  <c r="R588" i="32" s="1"/>
  <c r="D588" i="32" s="1"/>
  <c r="S588" i="32" a="1"/>
  <c r="S588" i="32" s="1"/>
  <c r="E588" i="32" s="1"/>
  <c r="T588" i="32" a="1"/>
  <c r="T588" i="32" s="1"/>
  <c r="R344" i="32" a="1"/>
  <c r="R344" i="32" s="1"/>
  <c r="D344" i="32" s="1"/>
  <c r="S344" i="32" a="1"/>
  <c r="S344" i="32" s="1"/>
  <c r="E344" i="32" s="1"/>
  <c r="T344" i="32" a="1"/>
  <c r="T344" i="32" s="1"/>
  <c r="R506" i="32" a="1"/>
  <c r="R506" i="32" s="1"/>
  <c r="D506" i="32" s="1"/>
  <c r="T506" i="32" a="1"/>
  <c r="T506" i="32" s="1"/>
  <c r="M1379" i="27" s="1"/>
  <c r="A1379" i="27" s="1"/>
  <c r="S506" i="32" a="1"/>
  <c r="S506" i="32" s="1"/>
  <c r="E506" i="32" s="1"/>
  <c r="T410" i="32" a="1"/>
  <c r="T410" i="32" s="1"/>
  <c r="S320" i="32" a="1"/>
  <c r="S320" i="32" s="1"/>
  <c r="E320" i="32" s="1"/>
  <c r="T320" i="32" a="1"/>
  <c r="T320" i="32" s="1"/>
  <c r="M1031" i="27" s="1"/>
  <c r="A1031" i="27" s="1"/>
  <c r="R320" i="32" a="1"/>
  <c r="R320" i="32" s="1"/>
  <c r="D320" i="32" s="1"/>
  <c r="T358" i="32" a="1"/>
  <c r="T358" i="32" s="1"/>
  <c r="S358" i="32" a="1"/>
  <c r="S358" i="32" s="1"/>
  <c r="E358" i="32" s="1"/>
  <c r="R358" i="32" a="1"/>
  <c r="R358" i="32" s="1"/>
  <c r="D358" i="32" s="1"/>
  <c r="T614" i="32" a="1"/>
  <c r="T614" i="32" s="1"/>
  <c r="R614" i="32" a="1"/>
  <c r="R614" i="32" s="1"/>
  <c r="D614" i="32" s="1"/>
  <c r="S614" i="32" a="1"/>
  <c r="S614" i="32" s="1"/>
  <c r="E614" i="32" s="1"/>
  <c r="S602" i="32" a="1"/>
  <c r="S602" i="32" s="1"/>
  <c r="E602" i="32" s="1"/>
  <c r="T602" i="32" a="1"/>
  <c r="T602" i="32" s="1"/>
  <c r="R602" i="32" a="1"/>
  <c r="R602" i="32" s="1"/>
  <c r="D602" i="32" s="1"/>
  <c r="S452" i="32" a="1"/>
  <c r="S452" i="32" s="1"/>
  <c r="E452" i="32" s="1"/>
  <c r="T452" i="32" a="1"/>
  <c r="T452" i="32" s="1"/>
  <c r="R452" i="32" a="1"/>
  <c r="R452" i="32" s="1"/>
  <c r="D452" i="32" s="1"/>
  <c r="S382" i="32" a="1"/>
  <c r="S382" i="32" s="1"/>
  <c r="E382" i="32" s="1"/>
  <c r="T382" i="32" a="1"/>
  <c r="T382" i="32" s="1"/>
  <c r="R382" i="32" a="1"/>
  <c r="R382" i="32" s="1"/>
  <c r="D382" i="32" s="1"/>
  <c r="S384" i="32" a="1"/>
  <c r="S384" i="32" s="1"/>
  <c r="E384" i="32" s="1"/>
  <c r="R384" i="32" a="1"/>
  <c r="R384" i="32" s="1"/>
  <c r="D384" i="32" s="1"/>
  <c r="T384" i="32" a="1"/>
  <c r="T384" i="32" s="1"/>
  <c r="T426" i="32" a="1"/>
  <c r="T426" i="32" s="1"/>
  <c r="S426" i="32" a="1"/>
  <c r="S426" i="32" s="1"/>
  <c r="E426" i="32" s="1"/>
  <c r="R426" i="32" a="1"/>
  <c r="R426" i="32" s="1"/>
  <c r="D426" i="32" s="1"/>
  <c r="R456" i="32" a="1"/>
  <c r="R456" i="32" s="1"/>
  <c r="D456" i="32" s="1"/>
  <c r="T456" i="32" a="1"/>
  <c r="T456" i="32" s="1"/>
  <c r="S456" i="32" a="1"/>
  <c r="S456" i="32" s="1"/>
  <c r="E456" i="32" s="1"/>
  <c r="T562" i="32" a="1"/>
  <c r="T562" i="32" s="1"/>
  <c r="S562" i="32" a="1"/>
  <c r="S562" i="32" s="1"/>
  <c r="E562" i="32" s="1"/>
  <c r="R562" i="32" a="1"/>
  <c r="R562" i="32" s="1"/>
  <c r="D562" i="32" s="1"/>
  <c r="S486" i="32" a="1"/>
  <c r="S486" i="32" s="1"/>
  <c r="E486" i="32" s="1"/>
  <c r="T486" i="32" a="1"/>
  <c r="T486" i="32" s="1"/>
  <c r="M1359" i="27" s="1"/>
  <c r="A1359" i="27" s="1"/>
  <c r="R486" i="32" a="1"/>
  <c r="R486" i="32" s="1"/>
  <c r="D486" i="32" s="1"/>
  <c r="R480" i="32" a="1"/>
  <c r="R480" i="32" s="1"/>
  <c r="D480" i="32" s="1"/>
  <c r="T480" i="32" a="1"/>
  <c r="T480" i="32" s="1"/>
  <c r="M1353" i="27" s="1"/>
  <c r="A1353" i="27" s="1"/>
  <c r="S480" i="32" a="1"/>
  <c r="S480" i="32" s="1"/>
  <c r="E480" i="32" s="1"/>
  <c r="S580" i="32" a="1"/>
  <c r="S580" i="32" s="1"/>
  <c r="E580" i="32" s="1"/>
  <c r="R580" i="32" a="1"/>
  <c r="R580" i="32" s="1"/>
  <c r="D580" i="32" s="1"/>
  <c r="T580" i="32" a="1"/>
  <c r="T580" i="32" s="1"/>
  <c r="S336" i="32" a="1"/>
  <c r="S336" i="32" s="1"/>
  <c r="E336" i="32" s="1"/>
  <c r="T336" i="32" a="1"/>
  <c r="T336" i="32" s="1"/>
  <c r="R336" i="32" a="1"/>
  <c r="R336" i="32" s="1"/>
  <c r="D336" i="32" s="1"/>
  <c r="R504" i="32" a="1"/>
  <c r="R504" i="32" s="1"/>
  <c r="D504" i="32" s="1"/>
  <c r="S504" i="32" a="1"/>
  <c r="S504" i="32" s="1"/>
  <c r="E504" i="32" s="1"/>
  <c r="T504" i="32" a="1"/>
  <c r="T504" i="32" s="1"/>
  <c r="M1377" i="27" s="1"/>
  <c r="A1377" i="27" s="1"/>
  <c r="R324" i="32" a="1"/>
  <c r="R324" i="32" s="1"/>
  <c r="D324" i="32" s="1"/>
  <c r="T324" i="32" a="1"/>
  <c r="T324" i="32" s="1"/>
  <c r="M1033" i="27" s="1"/>
  <c r="A1033" i="27" s="1"/>
  <c r="S324" i="32" a="1"/>
  <c r="S324" i="32" s="1"/>
  <c r="E324" i="32" s="1"/>
  <c r="S370" i="32" a="1"/>
  <c r="S370" i="32" s="1"/>
  <c r="E370" i="32" s="1"/>
  <c r="T370" i="32" a="1"/>
  <c r="T370" i="32" s="1"/>
  <c r="R370" i="32" a="1"/>
  <c r="R370" i="32" s="1"/>
  <c r="D370" i="32" s="1"/>
  <c r="R606" i="32" a="1"/>
  <c r="R606" i="32" s="1"/>
  <c r="D606" i="32" s="1"/>
  <c r="S606" i="32" a="1"/>
  <c r="S606" i="32" s="1"/>
  <c r="E606" i="32" s="1"/>
  <c r="T606" i="32" a="1"/>
  <c r="T606" i="32" s="1"/>
  <c r="S600" i="32" a="1"/>
  <c r="S600" i="32" s="1"/>
  <c r="E600" i="32" s="1"/>
  <c r="T600" i="32" a="1"/>
  <c r="T600" i="32" s="1"/>
  <c r="R600" i="32" a="1"/>
  <c r="R600" i="32" s="1"/>
  <c r="D600" i="32" s="1"/>
  <c r="S444" i="32" a="1"/>
  <c r="S444" i="32" s="1"/>
  <c r="E444" i="32" s="1"/>
  <c r="R444" i="32" a="1"/>
  <c r="R444" i="32" s="1"/>
  <c r="D444" i="32" s="1"/>
  <c r="T444" i="32" a="1"/>
  <c r="T444" i="32" s="1"/>
  <c r="R386" i="32" a="1"/>
  <c r="R386" i="32" s="1"/>
  <c r="D386" i="32" s="1"/>
  <c r="S386" i="32" a="1"/>
  <c r="S386" i="32" s="1"/>
  <c r="E386" i="32" s="1"/>
  <c r="T386" i="32" a="1"/>
  <c r="T386" i="32" s="1"/>
  <c r="S430" i="32" a="1"/>
  <c r="S430" i="32" s="1"/>
  <c r="E430" i="32" s="1"/>
  <c r="R430" i="32" a="1"/>
  <c r="R430" i="32" s="1"/>
  <c r="D430" i="32" s="1"/>
  <c r="T430" i="32" a="1"/>
  <c r="T430" i="32" s="1"/>
  <c r="R432" i="32" a="1"/>
  <c r="R432" i="32" s="1"/>
  <c r="D432" i="32" s="1"/>
  <c r="T432" i="32" a="1"/>
  <c r="T432" i="32" s="1"/>
  <c r="S432" i="32" a="1"/>
  <c r="S432" i="32" s="1"/>
  <c r="E432" i="32" s="1"/>
  <c r="R468" i="32" a="1"/>
  <c r="R468" i="32" s="1"/>
  <c r="D468" i="32" s="1"/>
  <c r="S468" i="32" a="1"/>
  <c r="S468" i="32" s="1"/>
  <c r="E468" i="32" s="1"/>
  <c r="T468" i="32" a="1"/>
  <c r="T468" i="32" s="1"/>
  <c r="M1341" i="27" s="1"/>
  <c r="A1341" i="27" s="1"/>
  <c r="T560" i="32" a="1"/>
  <c r="T560" i="32" s="1"/>
  <c r="R560" i="32" a="1"/>
  <c r="R560" i="32" s="1"/>
  <c r="D560" i="32" s="1"/>
  <c r="S560" i="32" a="1"/>
  <c r="S560" i="32" s="1"/>
  <c r="E560" i="32" s="1"/>
  <c r="T478" i="32" a="1"/>
  <c r="T478" i="32" s="1"/>
  <c r="M1351" i="27" s="1"/>
  <c r="A1351" i="27" s="1"/>
  <c r="R478" i="32" a="1"/>
  <c r="R478" i="32" s="1"/>
  <c r="D478" i="32" s="1"/>
  <c r="S478" i="32" a="1"/>
  <c r="S478" i="32" s="1"/>
  <c r="E478" i="32" s="1"/>
  <c r="T590" i="32" a="1"/>
  <c r="T590" i="32" s="1"/>
  <c r="S590" i="32" a="1"/>
  <c r="S590" i="32" s="1"/>
  <c r="E590" i="32" s="1"/>
  <c r="R590" i="32" a="1"/>
  <c r="R590" i="32" s="1"/>
  <c r="D590" i="32" s="1"/>
  <c r="S586" i="32" a="1"/>
  <c r="S586" i="32" s="1"/>
  <c r="E586" i="32" s="1"/>
  <c r="T586" i="32" a="1"/>
  <c r="T586" i="32" s="1"/>
  <c r="R586" i="32" a="1"/>
  <c r="R586" i="32" s="1"/>
  <c r="D586" i="32" s="1"/>
  <c r="S348" i="32" a="1"/>
  <c r="S348" i="32" s="1"/>
  <c r="E348" i="32" s="1"/>
  <c r="R348" i="32" a="1"/>
  <c r="R348" i="32" s="1"/>
  <c r="D348" i="32" s="1"/>
  <c r="T348" i="32" a="1"/>
  <c r="T348" i="32" s="1"/>
  <c r="S508" i="32" a="1"/>
  <c r="S508" i="32" s="1"/>
  <c r="E508" i="32" s="1"/>
  <c r="R508" i="32" a="1"/>
  <c r="R508" i="32" s="1"/>
  <c r="D508" i="32" s="1"/>
  <c r="T508" i="32" a="1"/>
  <c r="T508" i="32" s="1"/>
  <c r="M1381" i="27" s="1"/>
  <c r="A1381" i="27" s="1"/>
  <c r="R332" i="32" a="1"/>
  <c r="R332" i="32" s="1"/>
  <c r="D332" i="32" s="1"/>
  <c r="S332" i="32" a="1"/>
  <c r="S332" i="32" s="1"/>
  <c r="E332" i="32" s="1"/>
  <c r="T332" i="32" a="1"/>
  <c r="T332" i="32" s="1"/>
  <c r="T374" i="32" a="1"/>
  <c r="T374" i="32" s="1"/>
  <c r="R374" i="32" a="1"/>
  <c r="R374" i="32" s="1"/>
  <c r="D374" i="32" s="1"/>
  <c r="S374" i="32" a="1"/>
  <c r="S374" i="32" s="1"/>
  <c r="E374" i="32" s="1"/>
  <c r="T362" i="32" a="1"/>
  <c r="T362" i="32" s="1"/>
  <c r="S362" i="32" a="1"/>
  <c r="S362" i="32" s="1"/>
  <c r="E362" i="32" s="1"/>
  <c r="R362" i="32" a="1"/>
  <c r="R362" i="32" s="1"/>
  <c r="D362" i="32" s="1"/>
  <c r="T604" i="32" a="1"/>
  <c r="T604" i="32" s="1"/>
  <c r="R604" i="32" a="1"/>
  <c r="R604" i="32" s="1"/>
  <c r="D604" i="32" s="1"/>
  <c r="S604" i="32" a="1"/>
  <c r="S604" i="32" s="1"/>
  <c r="E604" i="32" s="1"/>
  <c r="T436" i="32" a="1"/>
  <c r="T436" i="32" s="1"/>
  <c r="R436" i="32" a="1"/>
  <c r="R436" i="32" s="1"/>
  <c r="D436" i="32" s="1"/>
  <c r="S436" i="32" a="1"/>
  <c r="S436" i="32" s="1"/>
  <c r="E436" i="32" s="1"/>
  <c r="T392" i="32" a="1"/>
  <c r="T392" i="32" s="1"/>
  <c r="S392" i="32" a="1"/>
  <c r="S392" i="32" s="1"/>
  <c r="E392" i="32" s="1"/>
  <c r="R392" i="32" a="1"/>
  <c r="R392" i="32" s="1"/>
  <c r="D392" i="32" s="1"/>
  <c r="T422" i="32" a="1"/>
  <c r="T422" i="32" s="1"/>
  <c r="S422" i="32" a="1"/>
  <c r="S422" i="32" s="1"/>
  <c r="E422" i="32" s="1"/>
  <c r="R422" i="32" a="1"/>
  <c r="R422" i="32" s="1"/>
  <c r="D422" i="32" s="1"/>
  <c r="T416" i="32" a="1"/>
  <c r="T416" i="32" s="1"/>
  <c r="R416" i="32" a="1"/>
  <c r="R416" i="32" s="1"/>
  <c r="D416" i="32" s="1"/>
  <c r="S416" i="32" a="1"/>
  <c r="S416" i="32" s="1"/>
  <c r="E416" i="32" s="1"/>
  <c r="T460" i="32" a="1"/>
  <c r="T460" i="32" s="1"/>
  <c r="R460" i="32" a="1"/>
  <c r="R460" i="32" s="1"/>
  <c r="D460" i="32" s="1"/>
  <c r="S460" i="32" a="1"/>
  <c r="S460" i="32" s="1"/>
  <c r="E460" i="32" s="1"/>
  <c r="R572" i="32" a="1"/>
  <c r="R572" i="32" s="1"/>
  <c r="D572" i="32" s="1"/>
  <c r="S572" i="32" a="1"/>
  <c r="S572" i="32" s="1"/>
  <c r="E572" i="32" s="1"/>
  <c r="T572" i="32" a="1"/>
  <c r="T572" i="32" s="1"/>
  <c r="T490" i="32" a="1"/>
  <c r="T490" i="32" s="1"/>
  <c r="M1363" i="27" s="1"/>
  <c r="A1363" i="27" s="1"/>
  <c r="R490" i="32" a="1"/>
  <c r="R490" i="32" s="1"/>
  <c r="D490" i="32" s="1"/>
  <c r="S490" i="32" a="1"/>
  <c r="S490" i="32" s="1"/>
  <c r="E490" i="32" s="1"/>
  <c r="R582" i="32" a="1"/>
  <c r="R582" i="32" s="1"/>
  <c r="D582" i="32" s="1"/>
  <c r="S582" i="32" a="1"/>
  <c r="S582" i="32" s="1"/>
  <c r="E582" i="32" s="1"/>
  <c r="T582" i="32" a="1"/>
  <c r="T582" i="32" s="1"/>
  <c r="S584" i="32" a="1"/>
  <c r="S584" i="32" s="1"/>
  <c r="E584" i="32" s="1"/>
  <c r="T584" i="32" a="1"/>
  <c r="T584" i="32" s="1"/>
  <c r="R584" i="32" a="1"/>
  <c r="R584" i="32" s="1"/>
  <c r="D584" i="32" s="1"/>
  <c r="S340" i="32" a="1"/>
  <c r="S340" i="32" s="1"/>
  <c r="E340" i="32" s="1"/>
  <c r="R340" i="32" a="1"/>
  <c r="R340" i="32" s="1"/>
  <c r="D340" i="32" s="1"/>
  <c r="T340" i="32" a="1"/>
  <c r="T340" i="32" s="1"/>
  <c r="R500" i="32" a="1"/>
  <c r="R500" i="32" s="1"/>
  <c r="D500" i="32" s="1"/>
  <c r="S500" i="32" a="1"/>
  <c r="S500" i="32" s="1"/>
  <c r="E500" i="32" s="1"/>
  <c r="T500" i="32" a="1"/>
  <c r="T500" i="32" s="1"/>
  <c r="M1373" i="27" s="1"/>
  <c r="A1373" i="27" s="1"/>
  <c r="R334" i="32" a="1"/>
  <c r="R334" i="32" s="1"/>
  <c r="D334" i="32" s="1"/>
  <c r="T334" i="32" a="1"/>
  <c r="T334" i="32" s="1"/>
  <c r="S334" i="32" a="1"/>
  <c r="S334" i="32" s="1"/>
  <c r="E334" i="32" s="1"/>
  <c r="T328" i="32" a="1"/>
  <c r="T328" i="32" s="1"/>
  <c r="M1035" i="27" s="1"/>
  <c r="A1035" i="27" s="1"/>
  <c r="S328" i="32" a="1"/>
  <c r="S328" i="32" s="1"/>
  <c r="E328" i="32" s="1"/>
  <c r="R328" i="32" a="1"/>
  <c r="R328" i="32" s="1"/>
  <c r="D328" i="32" s="1"/>
  <c r="S372" i="32" a="1"/>
  <c r="S372" i="32" s="1"/>
  <c r="E372" i="32" s="1"/>
  <c r="T372" i="32" a="1"/>
  <c r="T372" i="32" s="1"/>
  <c r="R372" i="32" a="1"/>
  <c r="R372" i="32" s="1"/>
  <c r="D372" i="32" s="1"/>
  <c r="T610" i="32" a="1"/>
  <c r="T610" i="32" s="1"/>
  <c r="R610" i="32" a="1"/>
  <c r="R610" i="32" s="1"/>
  <c r="D610" i="32" s="1"/>
  <c r="S610" i="32" a="1"/>
  <c r="S610" i="32" s="1"/>
  <c r="E610" i="32" s="1"/>
  <c r="R454" i="32" a="1"/>
  <c r="R454" i="32" s="1"/>
  <c r="D454" i="32" s="1"/>
  <c r="T454" i="32" a="1"/>
  <c r="T454" i="32" s="1"/>
  <c r="S454" i="32" a="1"/>
  <c r="S454" i="32" s="1"/>
  <c r="E454" i="32" s="1"/>
  <c r="S442" i="32" a="1"/>
  <c r="S442" i="32" s="1"/>
  <c r="E442" i="32" s="1"/>
  <c r="R442" i="32" a="1"/>
  <c r="R442" i="32" s="1"/>
  <c r="D442" i="32" s="1"/>
  <c r="T442" i="32" a="1"/>
  <c r="T442" i="32" s="1"/>
  <c r="S376" i="32" a="1"/>
  <c r="S376" i="32" s="1"/>
  <c r="E376" i="32" s="1"/>
  <c r="R376" i="32" a="1"/>
  <c r="R376" i="32" s="1"/>
  <c r="D376" i="32" s="1"/>
  <c r="T376" i="32" a="1"/>
  <c r="T376" i="32" s="1"/>
  <c r="T434" i="32" a="1"/>
  <c r="T434" i="32" s="1"/>
  <c r="R434" i="32" a="1"/>
  <c r="R434" i="32" s="1"/>
  <c r="D434" i="32" s="1"/>
  <c r="S434" i="32" a="1"/>
  <c r="S434" i="32" s="1"/>
  <c r="E434" i="32" s="1"/>
  <c r="T470" i="32" a="1"/>
  <c r="T470" i="32" s="1"/>
  <c r="M1343" i="27" s="1"/>
  <c r="A1343" i="27" s="1"/>
  <c r="R470" i="32" a="1"/>
  <c r="R470" i="32" s="1"/>
  <c r="D470" i="32" s="1"/>
  <c r="S470" i="32" a="1"/>
  <c r="S470" i="32" s="1"/>
  <c r="E470" i="32" s="1"/>
  <c r="S466" i="32" a="1"/>
  <c r="S466" i="32" s="1"/>
  <c r="E466" i="32" s="1"/>
  <c r="R466" i="32" a="1"/>
  <c r="R466" i="32" s="1"/>
  <c r="D466" i="32" s="1"/>
  <c r="T466" i="32" a="1"/>
  <c r="T466" i="32" s="1"/>
  <c r="R564" i="32" a="1"/>
  <c r="R564" i="32" s="1"/>
  <c r="D564" i="32" s="1"/>
  <c r="S564" i="32" a="1"/>
  <c r="S564" i="32" s="1"/>
  <c r="E564" i="32" s="1"/>
  <c r="T564" i="32" a="1"/>
  <c r="T564" i="32" s="1"/>
  <c r="T488" i="32" a="1"/>
  <c r="T488" i="32" s="1"/>
  <c r="M1361" i="27" s="1"/>
  <c r="A1361" i="27" s="1"/>
  <c r="S488" i="32" a="1"/>
  <c r="S488" i="32" s="1"/>
  <c r="E488" i="32" s="1"/>
  <c r="R488" i="32" a="1"/>
  <c r="R488" i="32" s="1"/>
  <c r="D488" i="32" s="1"/>
  <c r="T594" i="32" a="1"/>
  <c r="T594" i="32" s="1"/>
  <c r="S594" i="32" a="1"/>
  <c r="S594" i="32" s="1"/>
  <c r="E594" i="32" s="1"/>
  <c r="R594" i="32" a="1"/>
  <c r="R594" i="32" s="1"/>
  <c r="D594" i="32" s="1"/>
  <c r="S350" i="32" a="1"/>
  <c r="S350" i="32" s="1"/>
  <c r="E350" i="32" s="1"/>
  <c r="R350" i="32" a="1"/>
  <c r="R350" i="32" s="1"/>
  <c r="D350" i="32" s="1"/>
  <c r="T350" i="32" a="1"/>
  <c r="T350" i="32" s="1"/>
  <c r="R338" i="32" a="1"/>
  <c r="R338" i="32" s="1"/>
  <c r="D338" i="32" s="1"/>
  <c r="T338" i="32" a="1"/>
  <c r="T338" i="32" s="1"/>
  <c r="S338" i="32" a="1"/>
  <c r="S338" i="32" s="1"/>
  <c r="E338" i="32" s="1"/>
  <c r="S514" i="32" a="1"/>
  <c r="S514" i="32" s="1"/>
  <c r="E514" i="32" s="1"/>
  <c r="R514" i="32" a="1"/>
  <c r="R514" i="32" s="1"/>
  <c r="D514" i="32" s="1"/>
  <c r="T514" i="32" a="1"/>
  <c r="T514" i="32" s="1"/>
  <c r="M1387" i="27" s="1"/>
  <c r="A1387" i="27" s="1"/>
  <c r="R408" i="32" a="1"/>
  <c r="R408" i="32" s="1"/>
  <c r="D408" i="32" s="1"/>
  <c r="S326" i="32" a="1"/>
  <c r="S326" i="32" s="1"/>
  <c r="E326" i="32" s="1"/>
  <c r="R326" i="32" a="1"/>
  <c r="R326" i="32" s="1"/>
  <c r="D326" i="32" s="1"/>
  <c r="T326" i="32" a="1"/>
  <c r="T326" i="32" s="1"/>
  <c r="M1034" i="27" s="1"/>
  <c r="A1034" i="27" s="1"/>
  <c r="S364" i="32" a="1"/>
  <c r="S364" i="32" s="1"/>
  <c r="E364" i="32" s="1"/>
  <c r="R364" i="32" a="1"/>
  <c r="R364" i="32" s="1"/>
  <c r="D364" i="32" s="1"/>
  <c r="T364" i="32" a="1"/>
  <c r="T364" i="32" s="1"/>
  <c r="T608" i="32" a="1"/>
  <c r="T608" i="32" s="1"/>
  <c r="S608" i="32" a="1"/>
  <c r="S608" i="32" s="1"/>
  <c r="E608" i="32" s="1"/>
  <c r="R608" i="32" a="1"/>
  <c r="R608" i="32" s="1"/>
  <c r="D608" i="32" s="1"/>
  <c r="S446" i="32" a="1"/>
  <c r="S446" i="32" s="1"/>
  <c r="E446" i="32" s="1"/>
  <c r="R446" i="32" a="1"/>
  <c r="R446" i="32" s="1"/>
  <c r="D446" i="32" s="1"/>
  <c r="T446" i="32" a="1"/>
  <c r="T446" i="32" s="1"/>
  <c r="T448" i="32" a="1"/>
  <c r="T448" i="32" s="1"/>
  <c r="S448" i="32" a="1"/>
  <c r="S448" i="32" s="1"/>
  <c r="E448" i="32" s="1"/>
  <c r="R448" i="32" a="1"/>
  <c r="R448" i="32" s="1"/>
  <c r="D448" i="32" s="1"/>
  <c r="T388" i="32" a="1"/>
  <c r="T388" i="32" s="1"/>
  <c r="R388" i="32" a="1"/>
  <c r="R388" i="32" s="1"/>
  <c r="D388" i="32" s="1"/>
  <c r="S388" i="32" a="1"/>
  <c r="S388" i="32" s="1"/>
  <c r="E388" i="32" s="1"/>
  <c r="T418" i="32" a="1"/>
  <c r="T418" i="32" s="1"/>
  <c r="R418" i="32" a="1"/>
  <c r="R418" i="32" s="1"/>
  <c r="D418" i="32" s="1"/>
  <c r="S418" i="32" a="1"/>
  <c r="S418" i="32" s="1"/>
  <c r="E418" i="32" s="1"/>
  <c r="R462" i="32" a="1"/>
  <c r="R462" i="32" s="1"/>
  <c r="D462" i="32" s="1"/>
  <c r="S462" i="32" a="1"/>
  <c r="S462" i="32" s="1"/>
  <c r="E462" i="32" s="1"/>
  <c r="T462" i="32" a="1"/>
  <c r="T462" i="32" s="1"/>
  <c r="S464" i="32" a="1"/>
  <c r="S464" i="32" s="1"/>
  <c r="E464" i="32" s="1"/>
  <c r="R464" i="32" a="1"/>
  <c r="R464" i="32" s="1"/>
  <c r="D464" i="32" s="1"/>
  <c r="T464" i="32" a="1"/>
  <c r="T464" i="32" s="1"/>
  <c r="T556" i="32" a="1"/>
  <c r="T556" i="32" s="1"/>
  <c r="S556" i="32" a="1"/>
  <c r="S556" i="32" s="1"/>
  <c r="E556" i="32" s="1"/>
  <c r="R556" i="32" a="1"/>
  <c r="R556" i="32" s="1"/>
  <c r="D556" i="32" s="1"/>
  <c r="T492" i="32" a="1"/>
  <c r="T492" i="32" s="1"/>
  <c r="M1365" i="27" s="1"/>
  <c r="A1365" i="27" s="1"/>
  <c r="R492" i="32" a="1"/>
  <c r="R492" i="32" s="1"/>
  <c r="D492" i="32" s="1"/>
  <c r="S492" i="32" a="1"/>
  <c r="S492" i="32" s="1"/>
  <c r="E492" i="32" s="1"/>
  <c r="R578" i="32" a="1"/>
  <c r="R578" i="32" s="1"/>
  <c r="D578" i="32" s="1"/>
  <c r="S578" i="32" a="1"/>
  <c r="S578" i="32" s="1"/>
  <c r="E578" i="32" s="1"/>
  <c r="T578" i="32" a="1"/>
  <c r="T578" i="32" s="1"/>
  <c r="T342" i="32" a="1"/>
  <c r="T342" i="32" s="1"/>
  <c r="S342" i="32" a="1"/>
  <c r="S342" i="32" s="1"/>
  <c r="E342" i="32" s="1"/>
  <c r="R342" i="32" a="1"/>
  <c r="R342" i="32" s="1"/>
  <c r="D342" i="32" s="1"/>
  <c r="T352" i="32" a="1"/>
  <c r="T352" i="32" s="1"/>
  <c r="R352" i="32" a="1"/>
  <c r="R352" i="32" s="1"/>
  <c r="D352" i="32" s="1"/>
  <c r="S352" i="32" a="1"/>
  <c r="S352" i="32" s="1"/>
  <c r="E352" i="32" s="1"/>
  <c r="T498" i="32" a="1"/>
  <c r="T498" i="32" s="1"/>
  <c r="M1371" i="27" s="1"/>
  <c r="A1371" i="27" s="1"/>
  <c r="S498" i="32" a="1"/>
  <c r="S498" i="32" s="1"/>
  <c r="E498" i="32" s="1"/>
  <c r="R498" i="32" a="1"/>
  <c r="R498" i="32" s="1"/>
  <c r="D498" i="32" s="1"/>
  <c r="T412" i="32" a="1"/>
  <c r="T412" i="32" s="1"/>
  <c r="T318" i="32" a="1"/>
  <c r="T318" i="32" s="1"/>
  <c r="M1030" i="27" s="1"/>
  <c r="A1030" i="27" s="1"/>
  <c r="S318" i="32" a="1"/>
  <c r="S318" i="32" s="1"/>
  <c r="E318" i="32" s="1"/>
  <c r="R318" i="32" a="1"/>
  <c r="R318" i="32" s="1"/>
  <c r="D318" i="32" s="1"/>
  <c r="T356" i="32" a="1"/>
  <c r="T356" i="32" s="1"/>
  <c r="S356" i="32" a="1"/>
  <c r="S356" i="32" s="1"/>
  <c r="E356" i="32" s="1"/>
  <c r="R356" i="32" a="1"/>
  <c r="R356" i="32" s="1"/>
  <c r="D356" i="32" s="1"/>
  <c r="T612" i="32" a="1"/>
  <c r="T612" i="32" s="1"/>
  <c r="R612" i="32" a="1"/>
  <c r="R612" i="32" s="1"/>
  <c r="D612" i="32" s="1"/>
  <c r="S612" i="32" a="1"/>
  <c r="S612" i="32" s="1"/>
  <c r="E612" i="32" s="1"/>
  <c r="R438" i="32" a="1"/>
  <c r="R438" i="32" s="1"/>
  <c r="D438" i="32" s="1"/>
  <c r="T438" i="32" a="1"/>
  <c r="T438" i="32" s="1"/>
  <c r="S438" i="32" a="1"/>
  <c r="S438" i="32" s="1"/>
  <c r="E438" i="32" s="1"/>
  <c r="R380" i="32" a="1"/>
  <c r="R380" i="32" s="1"/>
  <c r="D380" i="32" s="1"/>
  <c r="S380" i="32" a="1"/>
  <c r="S380" i="32" s="1"/>
  <c r="E380" i="32" s="1"/>
  <c r="T380" i="32" a="1"/>
  <c r="T380" i="32" s="1"/>
  <c r="S424" i="32" a="1"/>
  <c r="S424" i="32" s="1"/>
  <c r="E424" i="32" s="1"/>
  <c r="R424" i="32" a="1"/>
  <c r="R424" i="32" s="1"/>
  <c r="D424" i="32" s="1"/>
  <c r="T424" i="32" a="1"/>
  <c r="T424" i="32" s="1"/>
  <c r="R474" i="32" a="1"/>
  <c r="R474" i="32" s="1"/>
  <c r="D474" i="32" s="1"/>
  <c r="S474" i="32" a="1"/>
  <c r="S474" i="32" s="1"/>
  <c r="E474" i="32" s="1"/>
  <c r="T474" i="32" a="1"/>
  <c r="T474" i="32" s="1"/>
  <c r="M1347" i="27" s="1"/>
  <c r="A1347" i="27" s="1"/>
  <c r="S574" i="32" a="1"/>
  <c r="S574" i="32" s="1"/>
  <c r="E574" i="32" s="1"/>
  <c r="R574" i="32" a="1"/>
  <c r="R574" i="32" s="1"/>
  <c r="D574" i="32" s="1"/>
  <c r="T574" i="32" a="1"/>
  <c r="T574" i="32" s="1"/>
  <c r="R570" i="32" a="1"/>
  <c r="R570" i="32" s="1"/>
  <c r="D570" i="32" s="1"/>
  <c r="S570" i="32" a="1"/>
  <c r="S570" i="32" s="1"/>
  <c r="E570" i="32" s="1"/>
  <c r="T570" i="32" a="1"/>
  <c r="T570" i="32" s="1"/>
  <c r="T484" i="32" a="1"/>
  <c r="T484" i="32" s="1"/>
  <c r="M1357" i="27" s="1"/>
  <c r="A1357" i="27" s="1"/>
  <c r="S484" i="32" a="1"/>
  <c r="S484" i="32" s="1"/>
  <c r="E484" i="32" s="1"/>
  <c r="R484" i="32" a="1"/>
  <c r="R484" i="32" s="1"/>
  <c r="D484" i="32" s="1"/>
  <c r="R592" i="32" a="1"/>
  <c r="R592" i="32" s="1"/>
  <c r="D592" i="32" s="1"/>
  <c r="T592" i="32" a="1"/>
  <c r="T592" i="32" s="1"/>
  <c r="S592" i="32" a="1"/>
  <c r="S592" i="32" s="1"/>
  <c r="E592" i="32" s="1"/>
  <c r="R354" i="32" a="1"/>
  <c r="R354" i="32" s="1"/>
  <c r="D354" i="32" s="1"/>
  <c r="S354" i="32" a="1"/>
  <c r="S354" i="32" s="1"/>
  <c r="E354" i="32" s="1"/>
  <c r="T354" i="32" a="1"/>
  <c r="T354" i="32" s="1"/>
  <c r="S510" i="32" a="1"/>
  <c r="S510" i="32" s="1"/>
  <c r="E510" i="32" s="1"/>
  <c r="R510" i="32" a="1"/>
  <c r="R510" i="32" s="1"/>
  <c r="D510" i="32" s="1"/>
  <c r="T510" i="32" a="1"/>
  <c r="T510" i="32" s="1"/>
  <c r="M1383" i="27" s="1"/>
  <c r="A1383" i="27" s="1"/>
  <c r="S512" i="32" a="1"/>
  <c r="S512" i="32" s="1"/>
  <c r="E512" i="32" s="1"/>
  <c r="R512" i="32" a="1"/>
  <c r="R512" i="32" s="1"/>
  <c r="D512" i="32" s="1"/>
  <c r="T512" i="32" a="1"/>
  <c r="T512" i="32" s="1"/>
  <c r="M1385" i="27" s="1"/>
  <c r="A1385" i="27" s="1"/>
  <c r="S322" i="32" a="1"/>
  <c r="S322" i="32" s="1"/>
  <c r="E322" i="32" s="1"/>
  <c r="T322" i="32" a="1"/>
  <c r="T322" i="32" s="1"/>
  <c r="M1032" i="27" s="1"/>
  <c r="R322" i="32" a="1"/>
  <c r="R322" i="32" s="1"/>
  <c r="D322" i="32" s="1"/>
  <c r="S360" i="32" a="1"/>
  <c r="S360" i="32" s="1"/>
  <c r="E360" i="32" s="1"/>
  <c r="T360" i="32" a="1"/>
  <c r="T360" i="32" s="1"/>
  <c r="R360" i="32" a="1"/>
  <c r="R360" i="32" s="1"/>
  <c r="D360" i="32" s="1"/>
  <c r="R598" i="32" a="1"/>
  <c r="R598" i="32" s="1"/>
  <c r="D598" i="32" s="1"/>
  <c r="T598" i="32" a="1"/>
  <c r="T598" i="32" s="1"/>
  <c r="S598" i="32" a="1"/>
  <c r="S598" i="32" s="1"/>
  <c r="E598" i="32" s="1"/>
  <c r="R450" i="32" a="1"/>
  <c r="R450" i="32" s="1"/>
  <c r="D450" i="32" s="1"/>
  <c r="S450" i="32" a="1"/>
  <c r="S450" i="32" s="1"/>
  <c r="E450" i="32" s="1"/>
  <c r="T450" i="32" a="1"/>
  <c r="T450" i="32" s="1"/>
  <c r="S394" i="32" a="1"/>
  <c r="S394" i="32" s="1"/>
  <c r="E394" i="32" s="1"/>
  <c r="T394" i="32" a="1"/>
  <c r="T394" i="32" s="1"/>
  <c r="R394" i="32" a="1"/>
  <c r="R394" i="32" s="1"/>
  <c r="D394" i="32" s="1"/>
  <c r="R428" i="32" a="1"/>
  <c r="R428" i="32" s="1"/>
  <c r="D428" i="32" s="1"/>
  <c r="S428" i="32" a="1"/>
  <c r="S428" i="32" s="1"/>
  <c r="E428" i="32" s="1"/>
  <c r="T428" i="32" a="1"/>
  <c r="T428" i="32" s="1"/>
  <c r="T458" i="32" a="1"/>
  <c r="T458" i="32" s="1"/>
  <c r="R458" i="32" a="1"/>
  <c r="R458" i="32" s="1"/>
  <c r="D458" i="32" s="1"/>
  <c r="S458" i="32" a="1"/>
  <c r="S458" i="32" s="1"/>
  <c r="E458" i="32" s="1"/>
  <c r="R566" i="32" a="1"/>
  <c r="R566" i="32" s="1"/>
  <c r="D566" i="32" s="1"/>
  <c r="S566" i="32" a="1"/>
  <c r="S566" i="32" s="1"/>
  <c r="E566" i="32" s="1"/>
  <c r="T566" i="32" a="1"/>
  <c r="T566" i="32" s="1"/>
  <c r="R568" i="32" a="1"/>
  <c r="R568" i="32" s="1"/>
  <c r="D568" i="32" s="1"/>
  <c r="S568" i="32" a="1"/>
  <c r="S568" i="32" s="1"/>
  <c r="E568" i="32" s="1"/>
  <c r="T568" i="32" a="1"/>
  <c r="T568" i="32" s="1"/>
  <c r="T476" i="32" a="1"/>
  <c r="T476" i="32" s="1"/>
  <c r="M1349" i="27" s="1"/>
  <c r="A1349" i="27" s="1"/>
  <c r="S476" i="32" a="1"/>
  <c r="S476" i="32" s="1"/>
  <c r="E476" i="32" s="1"/>
  <c r="R476" i="32" a="1"/>
  <c r="R476" i="32" s="1"/>
  <c r="D476" i="32" s="1"/>
  <c r="T576" i="32" a="1"/>
  <c r="T576" i="32" s="1"/>
  <c r="S576" i="32" a="1"/>
  <c r="S576" i="32" s="1"/>
  <c r="E576" i="32" s="1"/>
  <c r="R576" i="32" a="1"/>
  <c r="R576" i="32" s="1"/>
  <c r="D576" i="32" s="1"/>
  <c r="R346" i="32" a="1"/>
  <c r="R346" i="32" s="1"/>
  <c r="D346" i="32" s="1"/>
  <c r="S346" i="32" a="1"/>
  <c r="S346" i="32" s="1"/>
  <c r="E346" i="32" s="1"/>
  <c r="T346" i="32" a="1"/>
  <c r="T346" i="32" s="1"/>
  <c r="T502" i="32" a="1"/>
  <c r="T502" i="32" s="1"/>
  <c r="M1375" i="27" s="1"/>
  <c r="A1375" i="27" s="1"/>
  <c r="R502" i="32" a="1"/>
  <c r="R502" i="32" s="1"/>
  <c r="D502" i="32" s="1"/>
  <c r="S502" i="32" a="1"/>
  <c r="S502" i="32" s="1"/>
  <c r="E502" i="32" s="1"/>
  <c r="R496" i="32" a="1"/>
  <c r="R496" i="32" s="1"/>
  <c r="D496" i="32" s="1"/>
  <c r="S496" i="32" a="1"/>
  <c r="S496" i="32" s="1"/>
  <c r="E496" i="32" s="1"/>
  <c r="T496" i="32" a="1"/>
  <c r="T496" i="32" s="1"/>
  <c r="M1369" i="27" s="1"/>
  <c r="A1369" i="27" s="1"/>
  <c r="T330" i="32" a="1"/>
  <c r="T330" i="32" s="1"/>
  <c r="R330" i="32" a="1"/>
  <c r="R330" i="32" s="1"/>
  <c r="D330" i="32" s="1"/>
  <c r="S330" i="32" a="1"/>
  <c r="S330" i="32" s="1"/>
  <c r="E330" i="32" s="1"/>
  <c r="R366" i="32" a="1"/>
  <c r="R366" i="32" s="1"/>
  <c r="D366" i="32" s="1"/>
  <c r="T366" i="32" a="1"/>
  <c r="T366" i="32" s="1"/>
  <c r="S366" i="32" a="1"/>
  <c r="S366" i="32" s="1"/>
  <c r="E366" i="32" s="1"/>
  <c r="S368" i="32" a="1"/>
  <c r="S368" i="32" s="1"/>
  <c r="E368" i="32" s="1"/>
  <c r="T368" i="32" a="1"/>
  <c r="T368" i="32" s="1"/>
  <c r="R368" i="32" a="1"/>
  <c r="R368" i="32" s="1"/>
  <c r="D368" i="32" s="1"/>
  <c r="S596" i="32" a="1"/>
  <c r="S596" i="32" s="1"/>
  <c r="E596" i="32" s="1"/>
  <c r="T596" i="32" a="1"/>
  <c r="T596" i="32" s="1"/>
  <c r="R596" i="32" a="1"/>
  <c r="R596" i="32" s="1"/>
  <c r="D596" i="32" s="1"/>
  <c r="I407" i="27"/>
  <c r="D2339" i="27"/>
  <c r="T25" i="31"/>
  <c r="J404" i="27"/>
  <c r="I405" i="27"/>
  <c r="M488" i="27"/>
  <c r="K2338" i="27"/>
  <c r="G983" i="32"/>
  <c r="K392" i="27"/>
  <c r="I406" i="27"/>
  <c r="J407" i="27"/>
  <c r="M413" i="27"/>
  <c r="L25" i="31"/>
  <c r="P2337" i="27"/>
  <c r="K395" i="27"/>
  <c r="I404" i="27"/>
  <c r="X25" i="31"/>
  <c r="A985" i="32"/>
  <c r="J405" i="27"/>
  <c r="K394" i="27"/>
  <c r="K2337" i="27"/>
  <c r="L2339" i="27"/>
  <c r="P25" i="31"/>
  <c r="P2338" i="27"/>
  <c r="J406" i="27"/>
  <c r="V905" i="32" l="1" a="1"/>
  <c r="V905" i="32" s="1"/>
  <c r="L905" i="32" s="1"/>
  <c r="R905" i="32" a="1"/>
  <c r="R905" i="32" s="1"/>
  <c r="D905" i="32" s="1"/>
  <c r="T905" i="32" a="1"/>
  <c r="T905" i="32" s="1"/>
  <c r="S905" i="32" a="1"/>
  <c r="S905" i="32" s="1"/>
  <c r="E905" i="32" s="1"/>
  <c r="P909" i="32"/>
  <c r="Q907" i="32"/>
  <c r="A394" i="27"/>
  <c r="A395" i="27"/>
  <c r="A392" i="27"/>
  <c r="F3096" i="27"/>
  <c r="A2339" i="27"/>
  <c r="K1275" i="27"/>
  <c r="K1276" i="27"/>
  <c r="K1274" i="27"/>
  <c r="K1273" i="27"/>
  <c r="K1285" i="27"/>
  <c r="K1286" i="27"/>
  <c r="K1278" i="27"/>
  <c r="K1277" i="27"/>
  <c r="K1284" i="27"/>
  <c r="K1283" i="27"/>
  <c r="K1270" i="27"/>
  <c r="K1269" i="27"/>
  <c r="K1280" i="27"/>
  <c r="K1279" i="27"/>
  <c r="K1271" i="27"/>
  <c r="K1272" i="27"/>
  <c r="K1282" i="27"/>
  <c r="K1281" i="27"/>
  <c r="K1288" i="27"/>
  <c r="K1287" i="27"/>
  <c r="S412" i="32" a="1"/>
  <c r="S412" i="32" s="1"/>
  <c r="E412" i="32" s="1"/>
  <c r="S406" i="32" a="1"/>
  <c r="S406" i="32" s="1"/>
  <c r="E406" i="32" s="1"/>
  <c r="R406" i="32" a="1"/>
  <c r="R406" i="32" s="1"/>
  <c r="D406" i="32" s="1"/>
  <c r="T406" i="32" a="1"/>
  <c r="T406" i="32" s="1"/>
  <c r="R396" i="32" a="1"/>
  <c r="R396" i="32" s="1"/>
  <c r="D396" i="32" s="1"/>
  <c r="T396" i="32" a="1"/>
  <c r="T396" i="32" s="1"/>
  <c r="S396" i="32" a="1"/>
  <c r="S396" i="32" s="1"/>
  <c r="E396" i="32" s="1"/>
  <c r="S402" i="32" a="1"/>
  <c r="S402" i="32" s="1"/>
  <c r="E402" i="32" s="1"/>
  <c r="R402" i="32" a="1"/>
  <c r="R402" i="32" s="1"/>
  <c r="D402" i="32" s="1"/>
  <c r="T408" i="32" a="1"/>
  <c r="T408" i="32" s="1"/>
  <c r="S408" i="32" a="1"/>
  <c r="S408" i="32" s="1"/>
  <c r="E408" i="32" s="1"/>
  <c r="R398" i="32" a="1"/>
  <c r="R398" i="32" s="1"/>
  <c r="D398" i="32" s="1"/>
  <c r="T398" i="32" a="1"/>
  <c r="T398" i="32" s="1"/>
  <c r="S398" i="32" a="1"/>
  <c r="S398" i="32" s="1"/>
  <c r="E398" i="32" s="1"/>
  <c r="S400" i="32" a="1"/>
  <c r="S400" i="32" s="1"/>
  <c r="E400" i="32" s="1"/>
  <c r="R414" i="32" a="1"/>
  <c r="R414" i="32" s="1"/>
  <c r="D414" i="32" s="1"/>
  <c r="R412" i="32" a="1"/>
  <c r="R412" i="32" s="1"/>
  <c r="D412" i="32" s="1"/>
  <c r="T404" i="32" a="1"/>
  <c r="T404" i="32" s="1"/>
  <c r="S404" i="32" a="1"/>
  <c r="S404" i="32" s="1"/>
  <c r="E404" i="32" s="1"/>
  <c r="R404" i="32" a="1"/>
  <c r="R404" i="32" s="1"/>
  <c r="D404" i="32" s="1"/>
  <c r="T402" i="32" a="1"/>
  <c r="T402" i="32" s="1"/>
  <c r="R410" i="32" a="1"/>
  <c r="R410" i="32" s="1"/>
  <c r="D410" i="32" s="1"/>
  <c r="S410" i="32" a="1"/>
  <c r="S410" i="32" s="1"/>
  <c r="E410" i="32" s="1"/>
  <c r="T414" i="32" a="1"/>
  <c r="T414" i="32" s="1"/>
  <c r="R400" i="32" a="1"/>
  <c r="R400" i="32" s="1"/>
  <c r="D400" i="32" s="1"/>
  <c r="S414" i="32" a="1"/>
  <c r="S414" i="32" s="1"/>
  <c r="E414" i="32" s="1"/>
  <c r="T400" i="32" a="1"/>
  <c r="T400" i="32" s="1"/>
  <c r="R124" i="24"/>
  <c r="BE71" i="34"/>
  <c r="BF71" i="34"/>
  <c r="T540" i="32" a="1"/>
  <c r="T540" i="32" s="1"/>
  <c r="R540" i="32" a="1"/>
  <c r="R540" i="32" s="1"/>
  <c r="D540" i="32" s="1"/>
  <c r="S540" i="32" a="1"/>
  <c r="S540" i="32" s="1"/>
  <c r="E540" i="32" s="1"/>
  <c r="AT72" i="34"/>
  <c r="AO72" i="34"/>
  <c r="AP72" i="34" s="1"/>
  <c r="AR71" i="34"/>
  <c r="AQ71" i="34"/>
  <c r="P124" i="24"/>
  <c r="S124" i="24"/>
  <c r="Q124" i="24"/>
  <c r="R536" i="32" a="1"/>
  <c r="R536" i="32" s="1"/>
  <c r="D536" i="32" s="1"/>
  <c r="T536" i="32" a="1"/>
  <c r="T536" i="32" s="1"/>
  <c r="S536" i="32" a="1"/>
  <c r="S536" i="32" s="1"/>
  <c r="E536" i="32" s="1"/>
  <c r="S538" i="32" a="1"/>
  <c r="S538" i="32" s="1"/>
  <c r="E538" i="32" s="1"/>
  <c r="R538" i="32" a="1"/>
  <c r="R538" i="32" s="1"/>
  <c r="D538" i="32" s="1"/>
  <c r="T538" i="32" a="1"/>
  <c r="T538" i="32" s="1"/>
  <c r="S552" i="32" a="1"/>
  <c r="S552" i="32" s="1"/>
  <c r="E552" i="32" s="1"/>
  <c r="R544" i="32" a="1"/>
  <c r="R544" i="32" s="1"/>
  <c r="D544" i="32" s="1"/>
  <c r="T544" i="32" a="1"/>
  <c r="T544" i="32" s="1"/>
  <c r="S544" i="32" a="1"/>
  <c r="S544" i="32" s="1"/>
  <c r="E544" i="32" s="1"/>
  <c r="T552" i="32" a="1"/>
  <c r="T552" i="32" s="1"/>
  <c r="R546" i="32" a="1"/>
  <c r="R546" i="32" s="1"/>
  <c r="D546" i="32" s="1"/>
  <c r="T546" i="32" a="1"/>
  <c r="T546" i="32" s="1"/>
  <c r="T554" i="32" a="1"/>
  <c r="T554" i="32" s="1"/>
  <c r="S554" i="32" a="1"/>
  <c r="S554" i="32" s="1"/>
  <c r="E554" i="32" s="1"/>
  <c r="R554" i="32" a="1"/>
  <c r="R554" i="32" s="1"/>
  <c r="D554" i="32" s="1"/>
  <c r="T550" i="32" a="1"/>
  <c r="T550" i="32" s="1"/>
  <c r="R550" i="32" a="1"/>
  <c r="R550" i="32" s="1"/>
  <c r="D550" i="32" s="1"/>
  <c r="S550" i="32" a="1"/>
  <c r="S550" i="32" s="1"/>
  <c r="E550" i="32" s="1"/>
  <c r="S546" i="32" a="1"/>
  <c r="S546" i="32" s="1"/>
  <c r="E546" i="32" s="1"/>
  <c r="R542" i="32" a="1"/>
  <c r="R542" i="32" s="1"/>
  <c r="D542" i="32" s="1"/>
  <c r="T542" i="32" a="1"/>
  <c r="T542" i="32" s="1"/>
  <c r="S542" i="32" a="1"/>
  <c r="S542" i="32" s="1"/>
  <c r="E542" i="32" s="1"/>
  <c r="R548" i="32" a="1"/>
  <c r="R548" i="32" s="1"/>
  <c r="D548" i="32" s="1"/>
  <c r="T548" i="32" a="1"/>
  <c r="T548" i="32" s="1"/>
  <c r="R552" i="32" a="1"/>
  <c r="R552" i="32" s="1"/>
  <c r="D552" i="32" s="1"/>
  <c r="S548" i="32" a="1"/>
  <c r="S548" i="32" s="1"/>
  <c r="E548" i="32" s="1"/>
  <c r="U987" i="32"/>
  <c r="S516" i="32" a="1"/>
  <c r="S516" i="32" s="1"/>
  <c r="E516" i="32" s="1"/>
  <c r="V516" i="32" a="1"/>
  <c r="V516" i="32" s="1"/>
  <c r="L516" i="32" s="1"/>
  <c r="R532" i="32" a="1"/>
  <c r="R532" i="32" s="1"/>
  <c r="D532" i="32" s="1"/>
  <c r="V532" i="32" a="1"/>
  <c r="V532" i="32" s="1"/>
  <c r="L532" i="32" s="1"/>
  <c r="T530" i="32" a="1"/>
  <c r="T530" i="32" s="1"/>
  <c r="M1403" i="27" s="1"/>
  <c r="A1403" i="27" s="1"/>
  <c r="V530" i="32" a="1"/>
  <c r="V530" i="32" s="1"/>
  <c r="L530" i="32" s="1"/>
  <c r="S526" i="32" a="1"/>
  <c r="S526" i="32" s="1"/>
  <c r="E526" i="32" s="1"/>
  <c r="V526" i="32" a="1"/>
  <c r="V526" i="32" s="1"/>
  <c r="L526" i="32" s="1"/>
  <c r="S520" i="32" a="1"/>
  <c r="S520" i="32" s="1"/>
  <c r="E520" i="32" s="1"/>
  <c r="V520" i="32" a="1"/>
  <c r="V520" i="32" s="1"/>
  <c r="L520" i="32" s="1"/>
  <c r="S518" i="32" a="1"/>
  <c r="S518" i="32" s="1"/>
  <c r="E518" i="32" s="1"/>
  <c r="V518" i="32" a="1"/>
  <c r="V518" i="32" s="1"/>
  <c r="L518" i="32" s="1"/>
  <c r="S524" i="32" a="1"/>
  <c r="S524" i="32" s="1"/>
  <c r="E524" i="32" s="1"/>
  <c r="V524" i="32" a="1"/>
  <c r="V524" i="32" s="1"/>
  <c r="L524" i="32" s="1"/>
  <c r="R528" i="32" a="1"/>
  <c r="R528" i="32" s="1"/>
  <c r="D528" i="32" s="1"/>
  <c r="V528" i="32" a="1"/>
  <c r="V528" i="32" s="1"/>
  <c r="L528" i="32" s="1"/>
  <c r="T534" i="32" a="1"/>
  <c r="T534" i="32" s="1"/>
  <c r="M1407" i="27" s="1"/>
  <c r="A1407" i="27" s="1"/>
  <c r="V534" i="32" a="1"/>
  <c r="V534" i="32" s="1"/>
  <c r="L534" i="32" s="1"/>
  <c r="S522" i="32" a="1"/>
  <c r="S522" i="32" s="1"/>
  <c r="E522" i="32" s="1"/>
  <c r="V522" i="32" a="1"/>
  <c r="V522" i="32" s="1"/>
  <c r="L522" i="32" s="1"/>
  <c r="R520" i="32" a="1"/>
  <c r="R520" i="32" s="1"/>
  <c r="D520" i="32" s="1"/>
  <c r="T526" i="32" a="1"/>
  <c r="T526" i="32" s="1"/>
  <c r="M1399" i="27" s="1"/>
  <c r="A1399" i="27" s="1"/>
  <c r="T520" i="32" a="1"/>
  <c r="T520" i="32" s="1"/>
  <c r="M1393" i="27" s="1"/>
  <c r="A1393" i="27" s="1"/>
  <c r="H128" i="24"/>
  <c r="AG31" i="31"/>
  <c r="R530" i="32" a="1"/>
  <c r="R530" i="32" s="1"/>
  <c r="D530" i="32" s="1"/>
  <c r="T516" i="32" a="1"/>
  <c r="T516" i="32" s="1"/>
  <c r="M1389" i="27" s="1"/>
  <c r="A1389" i="27" s="1"/>
  <c r="S530" i="32" a="1"/>
  <c r="S530" i="32" s="1"/>
  <c r="E530" i="32" s="1"/>
  <c r="R516" i="32" a="1"/>
  <c r="R516" i="32" s="1"/>
  <c r="D516" i="32" s="1"/>
  <c r="S532" i="32" a="1"/>
  <c r="S532" i="32" s="1"/>
  <c r="E532" i="32" s="1"/>
  <c r="T532" i="32" a="1"/>
  <c r="T532" i="32" s="1"/>
  <c r="M1405" i="27" s="1"/>
  <c r="A1405" i="27" s="1"/>
  <c r="S534" i="32" a="1"/>
  <c r="S534" i="32" s="1"/>
  <c r="E534" i="32" s="1"/>
  <c r="R534" i="32" a="1"/>
  <c r="R534" i="32" s="1"/>
  <c r="D534" i="32" s="1"/>
  <c r="R522" i="32" a="1"/>
  <c r="R522" i="32" s="1"/>
  <c r="D522" i="32" s="1"/>
  <c r="T522" i="32" a="1"/>
  <c r="T522" i="32" s="1"/>
  <c r="M1395" i="27" s="1"/>
  <c r="A1395" i="27" s="1"/>
  <c r="T528" i="32" a="1"/>
  <c r="T528" i="32" s="1"/>
  <c r="M1401" i="27" s="1"/>
  <c r="A1401" i="27" s="1"/>
  <c r="T524" i="32" a="1"/>
  <c r="T524" i="32" s="1"/>
  <c r="M1397" i="27" s="1"/>
  <c r="A1397" i="27" s="1"/>
  <c r="S528" i="32" a="1"/>
  <c r="S528" i="32" s="1"/>
  <c r="E528" i="32" s="1"/>
  <c r="R524" i="32" a="1"/>
  <c r="R524" i="32" s="1"/>
  <c r="D524" i="32" s="1"/>
  <c r="T518" i="32" a="1"/>
  <c r="T518" i="32" s="1"/>
  <c r="M1391" i="27" s="1"/>
  <c r="A1391" i="27" s="1"/>
  <c r="R518" i="32" a="1"/>
  <c r="R518" i="32" s="1"/>
  <c r="D518" i="32" s="1"/>
  <c r="D2340" i="27"/>
  <c r="J412" i="27"/>
  <c r="M410" i="27"/>
  <c r="N413" i="27"/>
  <c r="M417" i="27"/>
  <c r="I412" i="27"/>
  <c r="M411" i="27"/>
  <c r="L27" i="31"/>
  <c r="G985" i="32"/>
  <c r="N411" i="27"/>
  <c r="P27" i="31"/>
  <c r="K400" i="27"/>
  <c r="I410" i="27"/>
  <c r="A987" i="32"/>
  <c r="X27" i="31"/>
  <c r="M412" i="27"/>
  <c r="K398" i="27"/>
  <c r="T27" i="31"/>
  <c r="J410" i="27"/>
  <c r="J413" i="27"/>
  <c r="J411" i="27"/>
  <c r="I413" i="27"/>
  <c r="N410" i="27"/>
  <c r="K399" i="27"/>
  <c r="P2339" i="27"/>
  <c r="K2339" i="27"/>
  <c r="I411" i="27"/>
  <c r="N412" i="27"/>
  <c r="K401" i="27"/>
  <c r="L2340" i="27"/>
  <c r="V907" i="32" l="1" a="1"/>
  <c r="V907" i="32" s="1"/>
  <c r="L907" i="32" s="1"/>
  <c r="T907" i="32" a="1"/>
  <c r="T907" i="32" s="1"/>
  <c r="R907" i="32" a="1"/>
  <c r="R907" i="32" s="1"/>
  <c r="D907" i="32" s="1"/>
  <c r="S907" i="32" a="1"/>
  <c r="S907" i="32" s="1"/>
  <c r="E907" i="32" s="1"/>
  <c r="P911" i="32"/>
  <c r="Q909" i="32"/>
  <c r="A399" i="27"/>
  <c r="A398" i="27"/>
  <c r="A401" i="27"/>
  <c r="A400" i="27"/>
  <c r="F3097" i="27"/>
  <c r="A2340" i="27"/>
  <c r="R126" i="24"/>
  <c r="BE72" i="34"/>
  <c r="BF72" i="34"/>
  <c r="AO73" i="34"/>
  <c r="AP73" i="34" s="1"/>
  <c r="AT73" i="34"/>
  <c r="AR72" i="34"/>
  <c r="AQ72" i="34"/>
  <c r="Q126" i="24"/>
  <c r="S126" i="24"/>
  <c r="P126" i="24"/>
  <c r="U989" i="32"/>
  <c r="H130" i="24"/>
  <c r="AG33" i="31"/>
  <c r="P29" i="31"/>
  <c r="P2340" i="27"/>
  <c r="N424" i="27"/>
  <c r="K407" i="27"/>
  <c r="J419" i="27"/>
  <c r="L29" i="31"/>
  <c r="N419" i="27"/>
  <c r="X29" i="31"/>
  <c r="N417" i="27"/>
  <c r="M418" i="27"/>
  <c r="I416" i="27"/>
  <c r="K405" i="27"/>
  <c r="K2340" i="27"/>
  <c r="D2341" i="27"/>
  <c r="J418" i="27"/>
  <c r="N418" i="27"/>
  <c r="G987" i="32"/>
  <c r="I419" i="27"/>
  <c r="L2341" i="27"/>
  <c r="N416" i="27"/>
  <c r="I417" i="27"/>
  <c r="M419" i="27"/>
  <c r="T29" i="31"/>
  <c r="K406" i="27"/>
  <c r="J416" i="27"/>
  <c r="I418" i="27"/>
  <c r="A989" i="32"/>
  <c r="M416" i="27"/>
  <c r="K404" i="27"/>
  <c r="J417" i="27"/>
  <c r="R909" i="32" l="1" a="1"/>
  <c r="R909" i="32" s="1"/>
  <c r="D909" i="32" s="1"/>
  <c r="S909" i="32" a="1"/>
  <c r="S909" i="32" s="1"/>
  <c r="E909" i="32" s="1"/>
  <c r="T909" i="32" a="1"/>
  <c r="T909" i="32" s="1"/>
  <c r="V909" i="32" a="1"/>
  <c r="V909" i="32" s="1"/>
  <c r="L909" i="32" s="1"/>
  <c r="P913" i="32"/>
  <c r="Q911" i="32"/>
  <c r="A404" i="27"/>
  <c r="A406" i="27"/>
  <c r="A405" i="27"/>
  <c r="A407" i="27"/>
  <c r="F3098" i="27"/>
  <c r="A2341" i="27"/>
  <c r="R128" i="24"/>
  <c r="BE73" i="34"/>
  <c r="BF73" i="34"/>
  <c r="AO74" i="34"/>
  <c r="AP74" i="34" s="1"/>
  <c r="AT74" i="34"/>
  <c r="AR73" i="34"/>
  <c r="AQ73" i="34"/>
  <c r="Q128" i="24"/>
  <c r="S128" i="24"/>
  <c r="P128" i="24"/>
  <c r="U991" i="32"/>
  <c r="H132" i="24"/>
  <c r="AG35" i="31"/>
  <c r="G989" i="32"/>
  <c r="J424" i="27"/>
  <c r="K2341" i="27"/>
  <c r="K412" i="27"/>
  <c r="J423" i="27"/>
  <c r="K411" i="27"/>
  <c r="I425" i="27"/>
  <c r="N431" i="27"/>
  <c r="I423" i="27"/>
  <c r="I422" i="27"/>
  <c r="M422" i="27"/>
  <c r="N422" i="27"/>
  <c r="N425" i="27"/>
  <c r="P2341" i="27"/>
  <c r="L2342" i="27"/>
  <c r="M424" i="27"/>
  <c r="D2342" i="27"/>
  <c r="M425" i="27"/>
  <c r="J425" i="27"/>
  <c r="L31" i="31"/>
  <c r="N423" i="27"/>
  <c r="I424" i="27"/>
  <c r="K413" i="27"/>
  <c r="M423" i="27"/>
  <c r="J422" i="27"/>
  <c r="P31" i="31"/>
  <c r="K410" i="27"/>
  <c r="T31" i="31"/>
  <c r="X31" i="31"/>
  <c r="A991" i="32"/>
  <c r="S911" i="32" l="1" a="1"/>
  <c r="S911" i="32" s="1"/>
  <c r="E911" i="32" s="1"/>
  <c r="T911" i="32" a="1"/>
  <c r="T911" i="32" s="1"/>
  <c r="R911" i="32" a="1"/>
  <c r="R911" i="32" s="1"/>
  <c r="D911" i="32" s="1"/>
  <c r="V911" i="32" a="1"/>
  <c r="V911" i="32" s="1"/>
  <c r="L911" i="32" s="1"/>
  <c r="P915" i="32"/>
  <c r="Q913" i="32"/>
  <c r="A413" i="27"/>
  <c r="A411" i="27"/>
  <c r="A410" i="27"/>
  <c r="A412" i="27"/>
  <c r="F3099" i="27"/>
  <c r="A2342" i="27"/>
  <c r="R130" i="24"/>
  <c r="BE74" i="34"/>
  <c r="BF74" i="34"/>
  <c r="AR74" i="34"/>
  <c r="AQ74" i="34"/>
  <c r="P130" i="24"/>
  <c r="Q130" i="24"/>
  <c r="S130" i="24"/>
  <c r="U993" i="32"/>
  <c r="H134" i="24"/>
  <c r="AG37" i="31"/>
  <c r="P2342" i="27"/>
  <c r="M428" i="27"/>
  <c r="K2342" i="27"/>
  <c r="I428" i="27"/>
  <c r="M430" i="27"/>
  <c r="M429" i="27"/>
  <c r="N430" i="27"/>
  <c r="M431" i="27"/>
  <c r="X33" i="31"/>
  <c r="K418" i="27"/>
  <c r="N428" i="27"/>
  <c r="L33" i="31"/>
  <c r="P33" i="31"/>
  <c r="N437" i="27"/>
  <c r="K417" i="27"/>
  <c r="I430" i="27"/>
  <c r="K419" i="27"/>
  <c r="K416" i="27"/>
  <c r="J430" i="27"/>
  <c r="J431" i="27"/>
  <c r="T33" i="31"/>
  <c r="A993" i="32"/>
  <c r="J428" i="27"/>
  <c r="I429" i="27"/>
  <c r="N429" i="27"/>
  <c r="J429" i="27"/>
  <c r="I431" i="27"/>
  <c r="G991" i="32"/>
  <c r="R913" i="32" l="1" a="1"/>
  <c r="R913" i="32" s="1"/>
  <c r="D913" i="32" s="1"/>
  <c r="S913" i="32" a="1"/>
  <c r="S913" i="32" s="1"/>
  <c r="E913" i="32" s="1"/>
  <c r="V913" i="32" a="1"/>
  <c r="V913" i="32" s="1"/>
  <c r="L913" i="32" s="1"/>
  <c r="T913" i="32" a="1"/>
  <c r="T913" i="32" s="1"/>
  <c r="P917" i="32"/>
  <c r="Q915" i="32"/>
  <c r="A416" i="27"/>
  <c r="A419" i="27"/>
  <c r="A418" i="27"/>
  <c r="A417" i="27"/>
  <c r="F3100" i="27"/>
  <c r="F3101" i="27"/>
  <c r="R132" i="24"/>
  <c r="AO75" i="34"/>
  <c r="AP75" i="34" s="1"/>
  <c r="AT75" i="34"/>
  <c r="P132" i="24"/>
  <c r="S132" i="24"/>
  <c r="Q132" i="24"/>
  <c r="U995" i="32"/>
  <c r="H136" i="24"/>
  <c r="N435" i="27"/>
  <c r="P35" i="31"/>
  <c r="J435" i="27"/>
  <c r="A995" i="32"/>
  <c r="M435" i="27"/>
  <c r="L2343" i="27"/>
  <c r="N436" i="27"/>
  <c r="K424" i="27"/>
  <c r="K423" i="27"/>
  <c r="I436" i="27"/>
  <c r="L35" i="31"/>
  <c r="J437" i="27"/>
  <c r="K422" i="27"/>
  <c r="G993" i="32"/>
  <c r="T35" i="31"/>
  <c r="M434" i="27"/>
  <c r="J436" i="27"/>
  <c r="J434" i="27"/>
  <c r="X35" i="31"/>
  <c r="I435" i="27"/>
  <c r="I434" i="27"/>
  <c r="K425" i="27"/>
  <c r="I437" i="27"/>
  <c r="D2343" i="27"/>
  <c r="M437" i="27"/>
  <c r="M436" i="27"/>
  <c r="N434" i="27"/>
  <c r="V915" i="32" l="1" a="1"/>
  <c r="V915" i="32" s="1"/>
  <c r="L915" i="32" s="1"/>
  <c r="S915" i="32" a="1"/>
  <c r="S915" i="32" s="1"/>
  <c r="E915" i="32" s="1"/>
  <c r="T915" i="32" a="1"/>
  <c r="T915" i="32" s="1"/>
  <c r="R915" i="32" a="1"/>
  <c r="R915" i="32" s="1"/>
  <c r="D915" i="32" s="1"/>
  <c r="P919" i="32"/>
  <c r="Q917" i="32"/>
  <c r="A425" i="27"/>
  <c r="A422" i="27"/>
  <c r="A423" i="27"/>
  <c r="A424" i="27"/>
  <c r="F3102" i="27"/>
  <c r="A2343" i="27"/>
  <c r="R134" i="24"/>
  <c r="BF75" i="34"/>
  <c r="BE75" i="34"/>
  <c r="AO76" i="34"/>
  <c r="AP76" i="34" s="1"/>
  <c r="AT76" i="34"/>
  <c r="AR75" i="34"/>
  <c r="AQ75" i="34"/>
  <c r="Q134" i="24"/>
  <c r="P134" i="24"/>
  <c r="U997" i="32"/>
  <c r="S134" i="24"/>
  <c r="L37" i="31"/>
  <c r="P37" i="31"/>
  <c r="N155" i="27"/>
  <c r="K431" i="27"/>
  <c r="P23" i="31"/>
  <c r="J155" i="27"/>
  <c r="M155" i="27"/>
  <c r="J363" i="27"/>
  <c r="N363" i="27"/>
  <c r="K428" i="27"/>
  <c r="F481" i="27"/>
  <c r="X37" i="31"/>
  <c r="I363" i="27"/>
  <c r="K2343" i="27"/>
  <c r="D2344" i="27"/>
  <c r="M363" i="27"/>
  <c r="K430" i="27"/>
  <c r="K429" i="27"/>
  <c r="P17" i="31"/>
  <c r="P2343" i="27"/>
  <c r="I155" i="27"/>
  <c r="X19" i="31"/>
  <c r="T37" i="31"/>
  <c r="A997" i="32"/>
  <c r="L2344" i="27"/>
  <c r="G995" i="32"/>
  <c r="V917" i="32" l="1" a="1"/>
  <c r="V917" i="32" s="1"/>
  <c r="L917" i="32" s="1"/>
  <c r="S917" i="32" a="1"/>
  <c r="S917" i="32" s="1"/>
  <c r="E917" i="32" s="1"/>
  <c r="R917" i="32" a="1"/>
  <c r="R917" i="32" s="1"/>
  <c r="D917" i="32" s="1"/>
  <c r="T917" i="32" a="1"/>
  <c r="T917" i="32" s="1"/>
  <c r="P921" i="32"/>
  <c r="Q919" i="32"/>
  <c r="A431" i="27"/>
  <c r="A428" i="27"/>
  <c r="A429" i="27"/>
  <c r="A430" i="27"/>
  <c r="F3103" i="27"/>
  <c r="A2344" i="27"/>
  <c r="R136" i="24"/>
  <c r="R112" i="24"/>
  <c r="BE76" i="34"/>
  <c r="BF76" i="34"/>
  <c r="AO77" i="34"/>
  <c r="AP77" i="34" s="1"/>
  <c r="AT77" i="34"/>
  <c r="AQ76" i="34"/>
  <c r="AR76" i="34"/>
  <c r="S136" i="24"/>
  <c r="Q136" i="24"/>
  <c r="P136" i="24"/>
  <c r="U999" i="32"/>
  <c r="Q122" i="24"/>
  <c r="Q116" i="24"/>
  <c r="S118" i="24"/>
  <c r="K434" i="27"/>
  <c r="K383" i="27"/>
  <c r="E481" i="27"/>
  <c r="G997" i="32"/>
  <c r="L2345" i="27"/>
  <c r="A999" i="32"/>
  <c r="K2344" i="27"/>
  <c r="K436" i="27"/>
  <c r="D2345" i="27"/>
  <c r="G871" i="27"/>
  <c r="K393" i="27"/>
  <c r="K435" i="27"/>
  <c r="P2344" i="27"/>
  <c r="K437" i="27"/>
  <c r="K375" i="27"/>
  <c r="S919" i="32" l="1" a="1"/>
  <c r="S919" i="32" s="1"/>
  <c r="E919" i="32" s="1"/>
  <c r="T919" i="32" a="1"/>
  <c r="T919" i="32" s="1"/>
  <c r="R919" i="32" a="1"/>
  <c r="R919" i="32" s="1"/>
  <c r="D919" i="32" s="1"/>
  <c r="V919" i="32" a="1"/>
  <c r="V919" i="32" s="1"/>
  <c r="L919" i="32" s="1"/>
  <c r="P923" i="32"/>
  <c r="Q921" i="32"/>
  <c r="A383" i="27"/>
  <c r="A375" i="27"/>
  <c r="A434" i="27"/>
  <c r="A437" i="27"/>
  <c r="A435" i="27"/>
  <c r="A393" i="27"/>
  <c r="A436" i="27"/>
  <c r="F3104" i="27"/>
  <c r="A2345" i="27"/>
  <c r="BF77" i="34"/>
  <c r="BE77" i="34"/>
  <c r="AO78" i="34"/>
  <c r="AP78" i="34" s="1"/>
  <c r="AT78" i="34"/>
  <c r="AR77" i="34"/>
  <c r="AQ77" i="34"/>
  <c r="U1001" i="32"/>
  <c r="G19" i="33"/>
  <c r="K2345" i="27"/>
  <c r="P2345" i="27"/>
  <c r="L488" i="27"/>
  <c r="G999" i="32"/>
  <c r="D2346" i="27"/>
  <c r="A1001" i="32"/>
  <c r="L2346" i="27"/>
  <c r="T921" i="32" l="1" a="1"/>
  <c r="T921" i="32" s="1"/>
  <c r="S921" i="32" a="1"/>
  <c r="S921" i="32" s="1"/>
  <c r="E921" i="32" s="1"/>
  <c r="R921" i="32" a="1"/>
  <c r="R921" i="32" s="1"/>
  <c r="D921" i="32" s="1"/>
  <c r="V921" i="32" a="1"/>
  <c r="V921" i="32" s="1"/>
  <c r="L921" i="32" s="1"/>
  <c r="P925" i="32"/>
  <c r="Q923" i="32"/>
  <c r="F3105" i="27"/>
  <c r="A2346" i="27"/>
  <c r="BE78" i="34"/>
  <c r="BF78" i="34"/>
  <c r="AT79" i="34"/>
  <c r="AO79" i="34"/>
  <c r="AP79" i="34" s="1"/>
  <c r="AR78" i="34"/>
  <c r="AQ78" i="34"/>
  <c r="E159" i="24"/>
  <c r="U1003" i="32"/>
  <c r="F173" i="24"/>
  <c r="G1001" i="32"/>
  <c r="P2346" i="27"/>
  <c r="D2347" i="27"/>
  <c r="D481" i="27"/>
  <c r="A1003" i="32"/>
  <c r="I481" i="27"/>
  <c r="K2346" i="27"/>
  <c r="L2347" i="27"/>
  <c r="S923" i="32" l="1" a="1"/>
  <c r="S923" i="32" s="1"/>
  <c r="E923" i="32" s="1"/>
  <c r="T923" i="32" a="1"/>
  <c r="T923" i="32" s="1"/>
  <c r="R923" i="32" a="1"/>
  <c r="R923" i="32" s="1"/>
  <c r="D923" i="32" s="1"/>
  <c r="V923" i="32" a="1"/>
  <c r="V923" i="32" s="1"/>
  <c r="L923" i="32" s="1"/>
  <c r="P927" i="32"/>
  <c r="Q925" i="32"/>
  <c r="A481" i="27"/>
  <c r="F3106" i="27"/>
  <c r="F3107" i="27"/>
  <c r="A2347" i="27"/>
  <c r="BE79" i="34"/>
  <c r="BF79" i="34"/>
  <c r="AT80" i="34"/>
  <c r="AO80" i="34"/>
  <c r="AP80" i="34" s="1"/>
  <c r="AR79" i="34"/>
  <c r="AQ79" i="34"/>
  <c r="U1005" i="32"/>
  <c r="K1411" i="27"/>
  <c r="F1411" i="27"/>
  <c r="E1411" i="27"/>
  <c r="I1411" i="27"/>
  <c r="J381" i="27"/>
  <c r="J173" i="27"/>
  <c r="M173" i="27"/>
  <c r="J706" i="27"/>
  <c r="L705" i="27"/>
  <c r="N173" i="27"/>
  <c r="E496" i="27"/>
  <c r="I173" i="27"/>
  <c r="L2348" i="27"/>
  <c r="A330" i="32"/>
  <c r="M381" i="27"/>
  <c r="D2348" i="27"/>
  <c r="F496" i="27"/>
  <c r="N381" i="27"/>
  <c r="K2347" i="27"/>
  <c r="G1003" i="32"/>
  <c r="L481" i="27"/>
  <c r="K706" i="27"/>
  <c r="I381" i="27"/>
  <c r="P2347" i="27"/>
  <c r="R481" i="27"/>
  <c r="I496" i="27"/>
  <c r="A1005" i="32"/>
  <c r="P17" i="30"/>
  <c r="S925" i="32" l="1" a="1"/>
  <c r="S925" i="32" s="1"/>
  <c r="E925" i="32" s="1"/>
  <c r="T925" i="32" a="1"/>
  <c r="T925" i="32" s="1"/>
  <c r="V925" i="32" a="1"/>
  <c r="V925" i="32" s="1"/>
  <c r="L925" i="32" s="1"/>
  <c r="R925" i="32" a="1"/>
  <c r="R925" i="32" s="1"/>
  <c r="D925" i="32" s="1"/>
  <c r="P929" i="32"/>
  <c r="Q927" i="32"/>
  <c r="F3108" i="27"/>
  <c r="A2348" i="27"/>
  <c r="O1038" i="27"/>
  <c r="O1039" i="27"/>
  <c r="O1040" i="27"/>
  <c r="O1037" i="27"/>
  <c r="O1036" i="27"/>
  <c r="N1039" i="27"/>
  <c r="N1036" i="27"/>
  <c r="N1040" i="27"/>
  <c r="N1037" i="27"/>
  <c r="N1038" i="27"/>
  <c r="M1036" i="27"/>
  <c r="M1038" i="27"/>
  <c r="M1037" i="27"/>
  <c r="M1040" i="27"/>
  <c r="M1039" i="27"/>
  <c r="L1040" i="27"/>
  <c r="L1036" i="27"/>
  <c r="L1037" i="27"/>
  <c r="L1038" i="27"/>
  <c r="L1039" i="27"/>
  <c r="K1040" i="27"/>
  <c r="K1037" i="27"/>
  <c r="K1039" i="27"/>
  <c r="K1036" i="27"/>
  <c r="K1038" i="27"/>
  <c r="J1039" i="27"/>
  <c r="J1040" i="27"/>
  <c r="J1037" i="27"/>
  <c r="J1038" i="27"/>
  <c r="I1037" i="27"/>
  <c r="I1039" i="27"/>
  <c r="I1040" i="27"/>
  <c r="I1036" i="27"/>
  <c r="I1038" i="27"/>
  <c r="H1037" i="27"/>
  <c r="H1039" i="27"/>
  <c r="H1038" i="27"/>
  <c r="H1040" i="27"/>
  <c r="G1037" i="27"/>
  <c r="G1040" i="27"/>
  <c r="G1039" i="27"/>
  <c r="G1038" i="27"/>
  <c r="E1039" i="27"/>
  <c r="E1040" i="27"/>
  <c r="E1038" i="27"/>
  <c r="E1037" i="27"/>
  <c r="K886" i="27"/>
  <c r="K888" i="27"/>
  <c r="K889" i="27"/>
  <c r="K890" i="27"/>
  <c r="K887" i="27"/>
  <c r="I1336" i="27"/>
  <c r="E563" i="27"/>
  <c r="E562" i="27"/>
  <c r="E561" i="27"/>
  <c r="E560" i="27"/>
  <c r="E559" i="27"/>
  <c r="E549" i="27"/>
  <c r="E553" i="27"/>
  <c r="E558" i="27"/>
  <c r="E550" i="27"/>
  <c r="E554" i="27"/>
  <c r="E557" i="27"/>
  <c r="E551" i="27"/>
  <c r="E552" i="27"/>
  <c r="E555" i="27"/>
  <c r="E556" i="27"/>
  <c r="E548" i="27"/>
  <c r="E539" i="27"/>
  <c r="E542" i="27"/>
  <c r="E513" i="27"/>
  <c r="E526" i="27"/>
  <c r="E547" i="27"/>
  <c r="E541" i="27"/>
  <c r="E525" i="27"/>
  <c r="E543" i="27"/>
  <c r="E534" i="27"/>
  <c r="E522" i="27"/>
  <c r="E533" i="27"/>
  <c r="E535" i="27"/>
  <c r="E517" i="27"/>
  <c r="E540" i="27"/>
  <c r="E537" i="27"/>
  <c r="E518" i="27"/>
  <c r="E532" i="27"/>
  <c r="E531" i="27"/>
  <c r="E523" i="27"/>
  <c r="E515" i="27"/>
  <c r="E514" i="27"/>
  <c r="E528" i="27"/>
  <c r="E524" i="27"/>
  <c r="E519" i="27"/>
  <c r="E512" i="27"/>
  <c r="E529" i="27"/>
  <c r="E530" i="27"/>
  <c r="E516" i="27"/>
  <c r="E520" i="27"/>
  <c r="E538" i="27"/>
  <c r="E536" i="27"/>
  <c r="E546" i="27"/>
  <c r="E544" i="27"/>
  <c r="E527" i="27"/>
  <c r="E545" i="27"/>
  <c r="E521" i="27"/>
  <c r="E511" i="27"/>
  <c r="J511" i="27" s="1"/>
  <c r="R118" i="24"/>
  <c r="BE80" i="34"/>
  <c r="BF80" i="34"/>
  <c r="F159" i="24"/>
  <c r="H159" i="24"/>
  <c r="AT81" i="34"/>
  <c r="AO81" i="34"/>
  <c r="AP81" i="34" s="1"/>
  <c r="AR80" i="34"/>
  <c r="AQ80" i="34"/>
  <c r="U1007" i="32"/>
  <c r="Q112" i="24"/>
  <c r="I1182" i="27"/>
  <c r="P19" i="31"/>
  <c r="G49" i="33"/>
  <c r="G1005" i="32"/>
  <c r="L2349" i="27"/>
  <c r="A1007" i="32"/>
  <c r="P23" i="30"/>
  <c r="I492" i="27"/>
  <c r="K2348" i="27"/>
  <c r="K363" i="27"/>
  <c r="D2349" i="27"/>
  <c r="V13" i="33"/>
  <c r="P2348" i="27"/>
  <c r="K155" i="27"/>
  <c r="T927" i="32" l="1" a="1"/>
  <c r="T927" i="32" s="1"/>
  <c r="V927" i="32" a="1"/>
  <c r="V927" i="32" s="1"/>
  <c r="L927" i="32" s="1"/>
  <c r="R927" i="32" a="1"/>
  <c r="R927" i="32" s="1"/>
  <c r="D927" i="32" s="1"/>
  <c r="S927" i="32" a="1"/>
  <c r="S927" i="32" s="1"/>
  <c r="E927" i="32" s="1"/>
  <c r="P931" i="32"/>
  <c r="Q929" i="32"/>
  <c r="K511" i="27"/>
  <c r="I511" i="27"/>
  <c r="L511" i="27"/>
  <c r="A363" i="27"/>
  <c r="A155" i="27"/>
  <c r="T155" i="27" s="1"/>
  <c r="F3109" i="27"/>
  <c r="A2349" i="27"/>
  <c r="I1032" i="27"/>
  <c r="A1039" i="27"/>
  <c r="A1040" i="27"/>
  <c r="A1037" i="27"/>
  <c r="A1038" i="27"/>
  <c r="H518" i="27"/>
  <c r="H519" i="27" s="1"/>
  <c r="H520" i="27" s="1"/>
  <c r="H521" i="27" s="1"/>
  <c r="H522" i="27" s="1"/>
  <c r="H511" i="27"/>
  <c r="E189" i="24"/>
  <c r="BE81" i="34"/>
  <c r="BF81" i="34"/>
  <c r="AO82" i="34"/>
  <c r="AP82" i="34" s="1"/>
  <c r="AT82" i="34"/>
  <c r="AQ81" i="34"/>
  <c r="AR81" i="34"/>
  <c r="E191" i="24"/>
  <c r="U1009" i="32"/>
  <c r="P151" i="24"/>
  <c r="O153" i="24"/>
  <c r="N153" i="24"/>
  <c r="Q118" i="24"/>
  <c r="Q68" i="24"/>
  <c r="G1411" i="27"/>
  <c r="G1007" i="32"/>
  <c r="P11" i="33"/>
  <c r="L2350" i="27"/>
  <c r="D496" i="27"/>
  <c r="I488" i="27"/>
  <c r="I706" i="27"/>
  <c r="K2349" i="27"/>
  <c r="G496" i="27"/>
  <c r="D2350" i="27"/>
  <c r="P2349" i="27"/>
  <c r="A1009" i="32"/>
  <c r="K381" i="27"/>
  <c r="K173" i="27"/>
  <c r="T21" i="30"/>
  <c r="T17" i="31"/>
  <c r="T929" i="32" l="1" a="1"/>
  <c r="T929" i="32" s="1"/>
  <c r="V929" i="32" a="1"/>
  <c r="V929" i="32" s="1"/>
  <c r="L929" i="32" s="1"/>
  <c r="R929" i="32" a="1"/>
  <c r="R929" i="32" s="1"/>
  <c r="D929" i="32" s="1"/>
  <c r="S929" i="32" a="1"/>
  <c r="S929" i="32" s="1"/>
  <c r="E929" i="32" s="1"/>
  <c r="P933" i="32"/>
  <c r="Q931" i="32"/>
  <c r="A511" i="27"/>
  <c r="A173" i="27"/>
  <c r="T173" i="27" s="1"/>
  <c r="A381" i="27"/>
  <c r="A706" i="27"/>
  <c r="A496" i="27"/>
  <c r="F3110" i="27"/>
  <c r="A2350" i="27"/>
  <c r="G1336" i="27"/>
  <c r="H523" i="27"/>
  <c r="H524" i="27"/>
  <c r="H525" i="27" s="1"/>
  <c r="H526" i="27" s="1"/>
  <c r="H527" i="27" s="1"/>
  <c r="H528" i="27" s="1"/>
  <c r="L151" i="24"/>
  <c r="R116" i="24"/>
  <c r="BE82" i="34"/>
  <c r="BF82" i="34"/>
  <c r="AT83" i="34"/>
  <c r="AO83" i="34"/>
  <c r="AP83" i="34" s="1"/>
  <c r="AR82" i="34"/>
  <c r="AQ82" i="34"/>
  <c r="U1011" i="32"/>
  <c r="R149" i="24"/>
  <c r="R66" i="24"/>
  <c r="S66" i="24"/>
  <c r="G1182" i="27"/>
  <c r="K168" i="27"/>
  <c r="G1009" i="32"/>
  <c r="G492" i="27"/>
  <c r="P2350" i="27"/>
  <c r="I698" i="27"/>
  <c r="L2351" i="27"/>
  <c r="X15" i="31"/>
  <c r="D2351" i="27"/>
  <c r="K376" i="27"/>
  <c r="A1011" i="32"/>
  <c r="K2350" i="27"/>
  <c r="V931" i="32" l="1" a="1"/>
  <c r="V931" i="32" s="1"/>
  <c r="L931" i="32" s="1"/>
  <c r="S931" i="32" a="1"/>
  <c r="S931" i="32" s="1"/>
  <c r="E931" i="32" s="1"/>
  <c r="T931" i="32" a="1"/>
  <c r="T931" i="32" s="1"/>
  <c r="R931" i="32" a="1"/>
  <c r="R931" i="32" s="1"/>
  <c r="D931" i="32" s="1"/>
  <c r="P935" i="32"/>
  <c r="Q933" i="32"/>
  <c r="A168" i="27"/>
  <c r="T168" i="27" s="1"/>
  <c r="A376" i="27"/>
  <c r="A698" i="27"/>
  <c r="F3111" i="27"/>
  <c r="A2351" i="27"/>
  <c r="G1032" i="27"/>
  <c r="H529" i="27"/>
  <c r="H530" i="27"/>
  <c r="H531" i="27" s="1"/>
  <c r="H532" i="27" s="1"/>
  <c r="H533" i="27" s="1"/>
  <c r="H534" i="27" s="1"/>
  <c r="BF83" i="34"/>
  <c r="BE83" i="34"/>
  <c r="AT84" i="34"/>
  <c r="AO84" i="34"/>
  <c r="AP84" i="34" s="1"/>
  <c r="AR83" i="34"/>
  <c r="AQ83" i="34"/>
  <c r="U1013" i="32"/>
  <c r="O1182" i="27"/>
  <c r="P1411" i="27"/>
  <c r="A629" i="32"/>
  <c r="K2351" i="27"/>
  <c r="G488" i="27"/>
  <c r="O492" i="27"/>
  <c r="L2352" i="27"/>
  <c r="D2352" i="27"/>
  <c r="G1011" i="32"/>
  <c r="P496" i="27"/>
  <c r="A340" i="32"/>
  <c r="P2351" i="27"/>
  <c r="K371" i="27"/>
  <c r="A1013" i="32"/>
  <c r="R933" i="32" l="1" a="1"/>
  <c r="R933" i="32" s="1"/>
  <c r="D933" i="32" s="1"/>
  <c r="S933" i="32" a="1"/>
  <c r="S933" i="32" s="1"/>
  <c r="E933" i="32" s="1"/>
  <c r="V933" i="32" a="1"/>
  <c r="V933" i="32" s="1"/>
  <c r="L933" i="32" s="1"/>
  <c r="T933" i="32" a="1"/>
  <c r="T933" i="32" s="1"/>
  <c r="P937" i="32"/>
  <c r="Q935" i="32"/>
  <c r="A371" i="27"/>
  <c r="F3113" i="27"/>
  <c r="F3112" i="27"/>
  <c r="P2136" i="27"/>
  <c r="P2056" i="27"/>
  <c r="P2072" i="27"/>
  <c r="P2129" i="27"/>
  <c r="P2029" i="27"/>
  <c r="P2087" i="27"/>
  <c r="P2044" i="27"/>
  <c r="P2102" i="27"/>
  <c r="P2081" i="27"/>
  <c r="P2146" i="27"/>
  <c r="P2039" i="27"/>
  <c r="P2115" i="27"/>
  <c r="P2181" i="27"/>
  <c r="P2085" i="27"/>
  <c r="P2187" i="27"/>
  <c r="P2062" i="27"/>
  <c r="P2041" i="27"/>
  <c r="P2058" i="27"/>
  <c r="P2178" i="27"/>
  <c r="P2139" i="27"/>
  <c r="P2028" i="27"/>
  <c r="P2057" i="27"/>
  <c r="P2023" i="27"/>
  <c r="P2117" i="27"/>
  <c r="P2075" i="27"/>
  <c r="P2152" i="27"/>
  <c r="P2040" i="27"/>
  <c r="P2048" i="27"/>
  <c r="P2050" i="27"/>
  <c r="P2093" i="27"/>
  <c r="P2151" i="27"/>
  <c r="P2116" i="27"/>
  <c r="P2166" i="27"/>
  <c r="P2145" i="27"/>
  <c r="P2045" i="27"/>
  <c r="P2103" i="27"/>
  <c r="P2179" i="27"/>
  <c r="P2054" i="27"/>
  <c r="P2076" i="27"/>
  <c r="P2126" i="27"/>
  <c r="P2105" i="27"/>
  <c r="P2068" i="27"/>
  <c r="P2063" i="27"/>
  <c r="P2020" i="27"/>
  <c r="P2078" i="27"/>
  <c r="P2100" i="27"/>
  <c r="P2121" i="27"/>
  <c r="P2163" i="27"/>
  <c r="P2051" i="27"/>
  <c r="P2148" i="27"/>
  <c r="P2144" i="27"/>
  <c r="P2024" i="27"/>
  <c r="P2032" i="27"/>
  <c r="P2091" i="27"/>
  <c r="P2157" i="27"/>
  <c r="P2162" i="27"/>
  <c r="P2180" i="27"/>
  <c r="P2098" i="27"/>
  <c r="P2043" i="27"/>
  <c r="P2109" i="27"/>
  <c r="P2167" i="27"/>
  <c r="P2060" i="27"/>
  <c r="P2118" i="27"/>
  <c r="P2143" i="27"/>
  <c r="P2140" i="27"/>
  <c r="P2190" i="27"/>
  <c r="P2169" i="27"/>
  <c r="P2069" i="27"/>
  <c r="P2127" i="27"/>
  <c r="P2092" i="27"/>
  <c r="P2142" i="27"/>
  <c r="P2164" i="27"/>
  <c r="P2185" i="27"/>
  <c r="P2080" i="27"/>
  <c r="P2114" i="27"/>
  <c r="P2026" i="27"/>
  <c r="P2168" i="27"/>
  <c r="P2160" i="27"/>
  <c r="P2016" i="27"/>
  <c r="P2155" i="27"/>
  <c r="P2030" i="27"/>
  <c r="P2073" i="27"/>
  <c r="P2122" i="27"/>
  <c r="P2031" i="27"/>
  <c r="P2107" i="27"/>
  <c r="P2132" i="27"/>
  <c r="P2182" i="27"/>
  <c r="P2033" i="27"/>
  <c r="P2034" i="27"/>
  <c r="P2138" i="27"/>
  <c r="P2067" i="27"/>
  <c r="P2133" i="27"/>
  <c r="P2191" i="27"/>
  <c r="P2156" i="27"/>
  <c r="P2042" i="27"/>
  <c r="P2090" i="27"/>
  <c r="P2147" i="27"/>
  <c r="P2065" i="27"/>
  <c r="P2188" i="27"/>
  <c r="P2123" i="27"/>
  <c r="P2083" i="27"/>
  <c r="P2120" i="27"/>
  <c r="P2184" i="27"/>
  <c r="P2036" i="27"/>
  <c r="P2094" i="27"/>
  <c r="P2137" i="27"/>
  <c r="P2037" i="27"/>
  <c r="P2095" i="27"/>
  <c r="P2171" i="27"/>
  <c r="P2046" i="27"/>
  <c r="P2025" i="27"/>
  <c r="P2018" i="27"/>
  <c r="P2130" i="27"/>
  <c r="P2097" i="27"/>
  <c r="P2019" i="27"/>
  <c r="P2055" i="27"/>
  <c r="P2131" i="27"/>
  <c r="P2154" i="27"/>
  <c r="P2049" i="27"/>
  <c r="P2074" i="27"/>
  <c r="P2027" i="27"/>
  <c r="P2021" i="27"/>
  <c r="P2038" i="27"/>
  <c r="P2189" i="27"/>
  <c r="P2079" i="27"/>
  <c r="P2104" i="27"/>
  <c r="P2128" i="27"/>
  <c r="P2112" i="27"/>
  <c r="P2108" i="27"/>
  <c r="P2158" i="27"/>
  <c r="P2170" i="27"/>
  <c r="P2101" i="27"/>
  <c r="P2159" i="27"/>
  <c r="P2052" i="27"/>
  <c r="P2110" i="27"/>
  <c r="P2089" i="27"/>
  <c r="P2186" i="27"/>
  <c r="P2047" i="27"/>
  <c r="P2161" i="27"/>
  <c r="P2061" i="27"/>
  <c r="P2119" i="27"/>
  <c r="P2070" i="27"/>
  <c r="P2113" i="27"/>
  <c r="P2071" i="27"/>
  <c r="P2086" i="27"/>
  <c r="P2150" i="27"/>
  <c r="P2088" i="27"/>
  <c r="P2096" i="27"/>
  <c r="P2035" i="27"/>
  <c r="P2082" i="27"/>
  <c r="P2099" i="27"/>
  <c r="P2165" i="27"/>
  <c r="P2149" i="27"/>
  <c r="P2124" i="27"/>
  <c r="P2153" i="27"/>
  <c r="P2053" i="27"/>
  <c r="P2111" i="27"/>
  <c r="P2059" i="27"/>
  <c r="P2125" i="27"/>
  <c r="P2183" i="27"/>
  <c r="P2084" i="27"/>
  <c r="P2134" i="27"/>
  <c r="P2177" i="27"/>
  <c r="P2077" i="27"/>
  <c r="P2135" i="27"/>
  <c r="P2066" i="27"/>
  <c r="P2064" i="27"/>
  <c r="P2106" i="27"/>
  <c r="P2017" i="27"/>
  <c r="P2141" i="27"/>
  <c r="O2186" i="27"/>
  <c r="O2137" i="27"/>
  <c r="O2136" i="27"/>
  <c r="O2072" i="27"/>
  <c r="O2066" i="27"/>
  <c r="O2132" i="27"/>
  <c r="O2039" i="27"/>
  <c r="O2147" i="27"/>
  <c r="O2062" i="27"/>
  <c r="O2122" i="27"/>
  <c r="O2069" i="27"/>
  <c r="O2183" i="27"/>
  <c r="O2092" i="27"/>
  <c r="O2050" i="27"/>
  <c r="O2107" i="27"/>
  <c r="O2022" i="27"/>
  <c r="O2146" i="27"/>
  <c r="O2093" i="27"/>
  <c r="O2049" i="27"/>
  <c r="O2180" i="27"/>
  <c r="O2087" i="27"/>
  <c r="O2060" i="27"/>
  <c r="O2174" i="27"/>
  <c r="O2037" i="27"/>
  <c r="O2151" i="27"/>
  <c r="O2124" i="27"/>
  <c r="O2031" i="27"/>
  <c r="O2085" i="27"/>
  <c r="O2052" i="27"/>
  <c r="O2178" i="27"/>
  <c r="O2129" i="27"/>
  <c r="O2128" i="27"/>
  <c r="O2064" i="27"/>
  <c r="O2065" i="27"/>
  <c r="O2026" i="27"/>
  <c r="O2103" i="27"/>
  <c r="O2126" i="27"/>
  <c r="O2027" i="27"/>
  <c r="O2133" i="27"/>
  <c r="O2025" i="27"/>
  <c r="O2156" i="27"/>
  <c r="O2063" i="27"/>
  <c r="O2171" i="27"/>
  <c r="O2086" i="27"/>
  <c r="O2051" i="27"/>
  <c r="O2157" i="27"/>
  <c r="O2113" i="27"/>
  <c r="O2185" i="27"/>
  <c r="O2184" i="27"/>
  <c r="O2120" i="27"/>
  <c r="O2056" i="27"/>
  <c r="O2082" i="27"/>
  <c r="O2053" i="27"/>
  <c r="O2167" i="27"/>
  <c r="O2076" i="27"/>
  <c r="O2190" i="27"/>
  <c r="O2091" i="27"/>
  <c r="O2034" i="27"/>
  <c r="O2089" i="27"/>
  <c r="O2127" i="27"/>
  <c r="O2036" i="27"/>
  <c r="O2150" i="27"/>
  <c r="O2115" i="27"/>
  <c r="O2030" i="27"/>
  <c r="O2154" i="27"/>
  <c r="O2101" i="27"/>
  <c r="O2057" i="27"/>
  <c r="O2188" i="27"/>
  <c r="O2095" i="27"/>
  <c r="O2191" i="27"/>
  <c r="O2100" i="27"/>
  <c r="O2106" i="27"/>
  <c r="O2179" i="27"/>
  <c r="O2094" i="27"/>
  <c r="O2059" i="27"/>
  <c r="O2121" i="27"/>
  <c r="O2159" i="27"/>
  <c r="O2041" i="27"/>
  <c r="O2079" i="27"/>
  <c r="O2046" i="27"/>
  <c r="O2177" i="27"/>
  <c r="O2176" i="27"/>
  <c r="O2112" i="27"/>
  <c r="O2048" i="27"/>
  <c r="O2170" i="27"/>
  <c r="O2117" i="27"/>
  <c r="O2074" i="27"/>
  <c r="O2140" i="27"/>
  <c r="O2047" i="27"/>
  <c r="O2155" i="27"/>
  <c r="O2070" i="27"/>
  <c r="O2130" i="27"/>
  <c r="O2077" i="27"/>
  <c r="O2165" i="27"/>
  <c r="O2045" i="27"/>
  <c r="O2172" i="27"/>
  <c r="O2131" i="27"/>
  <c r="O2169" i="27"/>
  <c r="O2168" i="27"/>
  <c r="O2104" i="27"/>
  <c r="O2040" i="27"/>
  <c r="O2075" i="27"/>
  <c r="O2181" i="27"/>
  <c r="O2073" i="27"/>
  <c r="O2058" i="27"/>
  <c r="O2111" i="27"/>
  <c r="O2020" i="27"/>
  <c r="O2134" i="27"/>
  <c r="O2035" i="27"/>
  <c r="O2141" i="27"/>
  <c r="O2033" i="27"/>
  <c r="O2164" i="27"/>
  <c r="O2071" i="27"/>
  <c r="O2044" i="27"/>
  <c r="O2158" i="27"/>
  <c r="O2123" i="27"/>
  <c r="O2038" i="27"/>
  <c r="O2162" i="27"/>
  <c r="O2109" i="27"/>
  <c r="O2161" i="27"/>
  <c r="O2160" i="27"/>
  <c r="O2096" i="27"/>
  <c r="O2032" i="27"/>
  <c r="O2139" i="27"/>
  <c r="O2054" i="27"/>
  <c r="O2090" i="27"/>
  <c r="O2061" i="27"/>
  <c r="O2175" i="27"/>
  <c r="O2084" i="27"/>
  <c r="O2018" i="27"/>
  <c r="O2099" i="27"/>
  <c r="O2097" i="27"/>
  <c r="O2021" i="27"/>
  <c r="O2135" i="27"/>
  <c r="O2108" i="27"/>
  <c r="O2187" i="27"/>
  <c r="O2102" i="27"/>
  <c r="O2067" i="27"/>
  <c r="O2173" i="27"/>
  <c r="O2166" i="27"/>
  <c r="O2153" i="27"/>
  <c r="O2152" i="27"/>
  <c r="O2088" i="27"/>
  <c r="O2024" i="27"/>
  <c r="O2098" i="27"/>
  <c r="O2118" i="27"/>
  <c r="O2019" i="27"/>
  <c r="O2125" i="27"/>
  <c r="O2017" i="27"/>
  <c r="O2148" i="27"/>
  <c r="O2055" i="27"/>
  <c r="O2163" i="27"/>
  <c r="O2078" i="27"/>
  <c r="O2138" i="27"/>
  <c r="O2145" i="27"/>
  <c r="O2144" i="27"/>
  <c r="O2080" i="27"/>
  <c r="O2016" i="27"/>
  <c r="O2068" i="27"/>
  <c r="O2182" i="27"/>
  <c r="O2083" i="27"/>
  <c r="O2189" i="27"/>
  <c r="O2081" i="27"/>
  <c r="O2114" i="27"/>
  <c r="O2119" i="27"/>
  <c r="O2028" i="27"/>
  <c r="O2142" i="27"/>
  <c r="O2043" i="27"/>
  <c r="O2149" i="27"/>
  <c r="O2105" i="27"/>
  <c r="O2029" i="27"/>
  <c r="O2143" i="27"/>
  <c r="O2116" i="27"/>
  <c r="O2023" i="27"/>
  <c r="O2042" i="27"/>
  <c r="O2110" i="27"/>
  <c r="N2184" i="27"/>
  <c r="N2034" i="27"/>
  <c r="N2108" i="27"/>
  <c r="N2127" i="27"/>
  <c r="N2106" i="27"/>
  <c r="N2077" i="27"/>
  <c r="N2064" i="27"/>
  <c r="N2161" i="27"/>
  <c r="N2156" i="27"/>
  <c r="N2079" i="27"/>
  <c r="N2160" i="27"/>
  <c r="N2067" i="27"/>
  <c r="N2030" i="27"/>
  <c r="N2104" i="27"/>
  <c r="N2139" i="27"/>
  <c r="N2102" i="27"/>
  <c r="N2132" i="27"/>
  <c r="N2185" i="27"/>
  <c r="N2180" i="27"/>
  <c r="N2103" i="27"/>
  <c r="N2146" i="27"/>
  <c r="N2117" i="27"/>
  <c r="N2128" i="27"/>
  <c r="N2028" i="27"/>
  <c r="N2042" i="27"/>
  <c r="N2116" i="27"/>
  <c r="N2175" i="27"/>
  <c r="N2176" i="27"/>
  <c r="N2098" i="27"/>
  <c r="N2069" i="27"/>
  <c r="N2191" i="27"/>
  <c r="N2170" i="27"/>
  <c r="N2141" i="27"/>
  <c r="N2163" i="27"/>
  <c r="N2050" i="27"/>
  <c r="N2021" i="27"/>
  <c r="N2143" i="27"/>
  <c r="N2096" i="27"/>
  <c r="N2131" i="27"/>
  <c r="N2094" i="27"/>
  <c r="N2049" i="27"/>
  <c r="N2020" i="27"/>
  <c r="N2166" i="27"/>
  <c r="N2061" i="27"/>
  <c r="N2074" i="27"/>
  <c r="N2045" i="27"/>
  <c r="N2167" i="27"/>
  <c r="N2027" i="27"/>
  <c r="N2181" i="27"/>
  <c r="N2052" i="27"/>
  <c r="N2119" i="27"/>
  <c r="N2033" i="27"/>
  <c r="N2093" i="27"/>
  <c r="N2090" i="27"/>
  <c r="N2188" i="27"/>
  <c r="N2063" i="27"/>
  <c r="N2168" i="27"/>
  <c r="N2162" i="27"/>
  <c r="N2133" i="27"/>
  <c r="N2144" i="27"/>
  <c r="N2051" i="27"/>
  <c r="N2062" i="27"/>
  <c r="N2114" i="27"/>
  <c r="N2085" i="27"/>
  <c r="N2073" i="27"/>
  <c r="N2041" i="27"/>
  <c r="N2158" i="27"/>
  <c r="N2113" i="27"/>
  <c r="N2100" i="27"/>
  <c r="N2031" i="27"/>
  <c r="N2126" i="27"/>
  <c r="N2138" i="27"/>
  <c r="N2109" i="27"/>
  <c r="N2056" i="27"/>
  <c r="N2091" i="27"/>
  <c r="N2054" i="27"/>
  <c r="N2189" i="27"/>
  <c r="N2155" i="27"/>
  <c r="N2125" i="27"/>
  <c r="N2016" i="27"/>
  <c r="N2174" i="27"/>
  <c r="N2084" i="27"/>
  <c r="N2186" i="27"/>
  <c r="N2075" i="27"/>
  <c r="N2099" i="27"/>
  <c r="N2082" i="27"/>
  <c r="N2136" i="27"/>
  <c r="N2043" i="27"/>
  <c r="N2044" i="27"/>
  <c r="N2080" i="27"/>
  <c r="N2115" i="27"/>
  <c r="N2078" i="27"/>
  <c r="N2055" i="27"/>
  <c r="N2178" i="27"/>
  <c r="N2149" i="27"/>
  <c r="N2154" i="27"/>
  <c r="N2105" i="27"/>
  <c r="N2092" i="27"/>
  <c r="N2023" i="27"/>
  <c r="N2177" i="27"/>
  <c r="N2172" i="27"/>
  <c r="N2095" i="27"/>
  <c r="N2183" i="27"/>
  <c r="N2019" i="27"/>
  <c r="N2173" i="27"/>
  <c r="N2120" i="27"/>
  <c r="N2118" i="27"/>
  <c r="N2072" i="27"/>
  <c r="N2107" i="27"/>
  <c r="N2070" i="27"/>
  <c r="N2025" i="27"/>
  <c r="N2179" i="27"/>
  <c r="N2142" i="27"/>
  <c r="N2152" i="27"/>
  <c r="N2059" i="27"/>
  <c r="N2022" i="27"/>
  <c r="N2035" i="27"/>
  <c r="N2169" i="27"/>
  <c r="N2164" i="27"/>
  <c r="N2087" i="27"/>
  <c r="N2066" i="27"/>
  <c r="N2037" i="27"/>
  <c r="N2159" i="27"/>
  <c r="N2048" i="27"/>
  <c r="N2083" i="27"/>
  <c r="N2046" i="27"/>
  <c r="N2065" i="27"/>
  <c r="N2036" i="27"/>
  <c r="N2182" i="27"/>
  <c r="N2187" i="27"/>
  <c r="N2122" i="27"/>
  <c r="N2165" i="27"/>
  <c r="N2018" i="27"/>
  <c r="N2097" i="27"/>
  <c r="N2190" i="27"/>
  <c r="N2024" i="27"/>
  <c r="N2038" i="27"/>
  <c r="N2039" i="27"/>
  <c r="N2017" i="27"/>
  <c r="N2171" i="27"/>
  <c r="N2134" i="27"/>
  <c r="N2089" i="27"/>
  <c r="N2076" i="27"/>
  <c r="N2060" i="27"/>
  <c r="N2088" i="27"/>
  <c r="N2123" i="27"/>
  <c r="N2086" i="27"/>
  <c r="N2040" i="27"/>
  <c r="N2058" i="27"/>
  <c r="N2029" i="27"/>
  <c r="N2151" i="27"/>
  <c r="N2130" i="27"/>
  <c r="N2101" i="27"/>
  <c r="N2137" i="27"/>
  <c r="N2112" i="27"/>
  <c r="N2147" i="27"/>
  <c r="N2110" i="27"/>
  <c r="N2129" i="27"/>
  <c r="N2124" i="27"/>
  <c r="N2047" i="27"/>
  <c r="N2150" i="27"/>
  <c r="N2026" i="27"/>
  <c r="N2057" i="27"/>
  <c r="N2111" i="27"/>
  <c r="N2140" i="27"/>
  <c r="N2135" i="27"/>
  <c r="N2081" i="27"/>
  <c r="N2068" i="27"/>
  <c r="N2032" i="27"/>
  <c r="N2153" i="27"/>
  <c r="N2148" i="27"/>
  <c r="N2071" i="27"/>
  <c r="N2157" i="27"/>
  <c r="N2121" i="27"/>
  <c r="N2053" i="27"/>
  <c r="N2145" i="27"/>
  <c r="M2058" i="27"/>
  <c r="M2067" i="27"/>
  <c r="M2165" i="27"/>
  <c r="M2080" i="27"/>
  <c r="M2139" i="27"/>
  <c r="M2046" i="27"/>
  <c r="M2152" i="27"/>
  <c r="M2154" i="27"/>
  <c r="M2118" i="27"/>
  <c r="M2041" i="27"/>
  <c r="M2076" i="27"/>
  <c r="M2113" i="27"/>
  <c r="M2148" i="27"/>
  <c r="M2072" i="27"/>
  <c r="M2131" i="27"/>
  <c r="M2038" i="27"/>
  <c r="M2144" i="27"/>
  <c r="M2074" i="27"/>
  <c r="M2110" i="27"/>
  <c r="M2033" i="27"/>
  <c r="M2068" i="27"/>
  <c r="M2105" i="27"/>
  <c r="M2140" i="27"/>
  <c r="M2063" i="27"/>
  <c r="M2162" i="27"/>
  <c r="M2135" i="27"/>
  <c r="M2043" i="27"/>
  <c r="M2141" i="27"/>
  <c r="M2120" i="27"/>
  <c r="M2086" i="27"/>
  <c r="M2073" i="27"/>
  <c r="M2108" i="27"/>
  <c r="M2031" i="27"/>
  <c r="M2027" i="27"/>
  <c r="M2099" i="27"/>
  <c r="M2142" i="27"/>
  <c r="M2087" i="27"/>
  <c r="M2163" i="27"/>
  <c r="M2092" i="27"/>
  <c r="M2026" i="27"/>
  <c r="M2059" i="27"/>
  <c r="M2054" i="27"/>
  <c r="M2126" i="27"/>
  <c r="M2084" i="27"/>
  <c r="M2051" i="27"/>
  <c r="M2115" i="27"/>
  <c r="M2158" i="27"/>
  <c r="M2136" i="27"/>
  <c r="M2042" i="27"/>
  <c r="M2102" i="27"/>
  <c r="M2025" i="27"/>
  <c r="M2060" i="27"/>
  <c r="M2097" i="27"/>
  <c r="M2132" i="27"/>
  <c r="M2055" i="27"/>
  <c r="M2050" i="27"/>
  <c r="M2127" i="27"/>
  <c r="M2114" i="27"/>
  <c r="M2069" i="27"/>
  <c r="M2048" i="27"/>
  <c r="M2107" i="27"/>
  <c r="M2036" i="27"/>
  <c r="M2150" i="27"/>
  <c r="M2137" i="27"/>
  <c r="M2095" i="27"/>
  <c r="M2040" i="27"/>
  <c r="M2129" i="27"/>
  <c r="M2093" i="27"/>
  <c r="M2104" i="27"/>
  <c r="M2057" i="27"/>
  <c r="M2021" i="27"/>
  <c r="M2157" i="27"/>
  <c r="M2147" i="27"/>
  <c r="M2160" i="27"/>
  <c r="M2149" i="27"/>
  <c r="M2077" i="27"/>
  <c r="M2022" i="27"/>
  <c r="M2017" i="27"/>
  <c r="M2052" i="27"/>
  <c r="M2166" i="27"/>
  <c r="M2089" i="27"/>
  <c r="M2124" i="27"/>
  <c r="M2047" i="27"/>
  <c r="M2161" i="27"/>
  <c r="M2018" i="27"/>
  <c r="M2119" i="27"/>
  <c r="M2106" i="27"/>
  <c r="M2061" i="27"/>
  <c r="M2035" i="27"/>
  <c r="M2133" i="27"/>
  <c r="M2112" i="27"/>
  <c r="M2078" i="27"/>
  <c r="M2065" i="27"/>
  <c r="M2100" i="27"/>
  <c r="M2023" i="27"/>
  <c r="M2066" i="27"/>
  <c r="M2029" i="27"/>
  <c r="M2159" i="27"/>
  <c r="M2098" i="27"/>
  <c r="M2028" i="27"/>
  <c r="M2138" i="27"/>
  <c r="M2088" i="27"/>
  <c r="M2049" i="27"/>
  <c r="M2143" i="27"/>
  <c r="M2094" i="27"/>
  <c r="M2122" i="27"/>
  <c r="M2034" i="27"/>
  <c r="M2081" i="27"/>
  <c r="M2116" i="27"/>
  <c r="M2039" i="27"/>
  <c r="M2153" i="27"/>
  <c r="M2111" i="27"/>
  <c r="M2053" i="27"/>
  <c r="M2125" i="27"/>
  <c r="M2164" i="27"/>
  <c r="M2145" i="27"/>
  <c r="M2103" i="27"/>
  <c r="M2090" i="27"/>
  <c r="M2045" i="27"/>
  <c r="M2019" i="27"/>
  <c r="M2117" i="27"/>
  <c r="M2032" i="27"/>
  <c r="M2091" i="27"/>
  <c r="M2070" i="27"/>
  <c r="M2151" i="27"/>
  <c r="M2082" i="27"/>
  <c r="M2037" i="27"/>
  <c r="M2167" i="27"/>
  <c r="M2109" i="27"/>
  <c r="M2024" i="27"/>
  <c r="M2083" i="27"/>
  <c r="M2096" i="27"/>
  <c r="M2155" i="27"/>
  <c r="M2062" i="27"/>
  <c r="M2168" i="27"/>
  <c r="M2020" i="27"/>
  <c r="M2134" i="27"/>
  <c r="M2121" i="27"/>
  <c r="M2156" i="27"/>
  <c r="M2079" i="27"/>
  <c r="M2130" i="27"/>
  <c r="M2085" i="27"/>
  <c r="M2064" i="27"/>
  <c r="M2123" i="27"/>
  <c r="M2030" i="27"/>
  <c r="M2016" i="27"/>
  <c r="M2075" i="27"/>
  <c r="M2128" i="27"/>
  <c r="M2071" i="27"/>
  <c r="M2056" i="27"/>
  <c r="M2044" i="27"/>
  <c r="M2146" i="27"/>
  <c r="M2101" i="27"/>
  <c r="K2136" i="27"/>
  <c r="K2032" i="27"/>
  <c r="K2184" i="27"/>
  <c r="K2121" i="27"/>
  <c r="K2100" i="27"/>
  <c r="K2087" i="27"/>
  <c r="K2035" i="27"/>
  <c r="K2181" i="27"/>
  <c r="K2137" i="27"/>
  <c r="K2116" i="27"/>
  <c r="K2103" i="27"/>
  <c r="K2051" i="27"/>
  <c r="K2153" i="27"/>
  <c r="K2132" i="27"/>
  <c r="K2119" i="27"/>
  <c r="K2067" i="27"/>
  <c r="K2062" i="27"/>
  <c r="K2169" i="27"/>
  <c r="K2148" i="27"/>
  <c r="K2135" i="27"/>
  <c r="K2147" i="27"/>
  <c r="K2142" i="27"/>
  <c r="K2185" i="27"/>
  <c r="K2099" i="27"/>
  <c r="K2034" i="27"/>
  <c r="K2131" i="27"/>
  <c r="K2126" i="27"/>
  <c r="K2029" i="27"/>
  <c r="K2028" i="27"/>
  <c r="K2080" i="27"/>
  <c r="K2176" i="27"/>
  <c r="K2128" i="27"/>
  <c r="K2164" i="27"/>
  <c r="K2151" i="27"/>
  <c r="K2094" i="27"/>
  <c r="K2180" i="27"/>
  <c r="K2167" i="27"/>
  <c r="K2115" i="27"/>
  <c r="K2110" i="27"/>
  <c r="K2050" i="27"/>
  <c r="K2183" i="27"/>
  <c r="K2066" i="27"/>
  <c r="K2049" i="27"/>
  <c r="K2024" i="27"/>
  <c r="K2112" i="27"/>
  <c r="K2072" i="27"/>
  <c r="K2082" i="27"/>
  <c r="K2045" i="27"/>
  <c r="K2022" i="27"/>
  <c r="K2163" i="27"/>
  <c r="K2158" i="27"/>
  <c r="K2098" i="27"/>
  <c r="K2061" i="27"/>
  <c r="K2017" i="27"/>
  <c r="K2179" i="27"/>
  <c r="K2174" i="27"/>
  <c r="K2114" i="27"/>
  <c r="K2077" i="27"/>
  <c r="K2033" i="27"/>
  <c r="K2190" i="27"/>
  <c r="K2130" i="27"/>
  <c r="K2093" i="27"/>
  <c r="K2113" i="27"/>
  <c r="K2092" i="27"/>
  <c r="K2079" i="27"/>
  <c r="K2189" i="27"/>
  <c r="K2124" i="27"/>
  <c r="K2054" i="27"/>
  <c r="K2140" i="27"/>
  <c r="K2075" i="27"/>
  <c r="K2074" i="27"/>
  <c r="K2069" i="27"/>
  <c r="K2182" i="27"/>
  <c r="K2122" i="27"/>
  <c r="K2041" i="27"/>
  <c r="K2046" i="27"/>
  <c r="K2168" i="27"/>
  <c r="K2064" i="27"/>
  <c r="K2144" i="27"/>
  <c r="K2146" i="27"/>
  <c r="K2109" i="27"/>
  <c r="K2065" i="27"/>
  <c r="K2044" i="27"/>
  <c r="K2031" i="27"/>
  <c r="K2162" i="27"/>
  <c r="K2125" i="27"/>
  <c r="K2081" i="27"/>
  <c r="K2060" i="27"/>
  <c r="K2047" i="27"/>
  <c r="K2178" i="27"/>
  <c r="K2141" i="27"/>
  <c r="K2097" i="27"/>
  <c r="K2076" i="27"/>
  <c r="K2063" i="27"/>
  <c r="K2026" i="27"/>
  <c r="K2157" i="27"/>
  <c r="K2177" i="27"/>
  <c r="K2156" i="27"/>
  <c r="K2143" i="27"/>
  <c r="K2088" i="27"/>
  <c r="K2173" i="27"/>
  <c r="K2129" i="27"/>
  <c r="K2095" i="27"/>
  <c r="K2111" i="27"/>
  <c r="K2161" i="27"/>
  <c r="K2127" i="27"/>
  <c r="K2070" i="27"/>
  <c r="K2037" i="27"/>
  <c r="K2025" i="27"/>
  <c r="K2165" i="27"/>
  <c r="K2096" i="27"/>
  <c r="K2016" i="27"/>
  <c r="K2027" i="27"/>
  <c r="K2108" i="27"/>
  <c r="K2043" i="27"/>
  <c r="K2145" i="27"/>
  <c r="K2059" i="27"/>
  <c r="K2048" i="27"/>
  <c r="K2160" i="27"/>
  <c r="K2056" i="27"/>
  <c r="K2091" i="27"/>
  <c r="K2086" i="27"/>
  <c r="K2018" i="27"/>
  <c r="K2172" i="27"/>
  <c r="K2159" i="27"/>
  <c r="K2107" i="27"/>
  <c r="K2102" i="27"/>
  <c r="K2042" i="27"/>
  <c r="K2188" i="27"/>
  <c r="K2175" i="27"/>
  <c r="K2123" i="27"/>
  <c r="K2118" i="27"/>
  <c r="K2058" i="27"/>
  <c r="K2021" i="27"/>
  <c r="K2191" i="27"/>
  <c r="K2139" i="27"/>
  <c r="K2134" i="27"/>
  <c r="K2138" i="27"/>
  <c r="K2101" i="27"/>
  <c r="K2187" i="27"/>
  <c r="K2085" i="27"/>
  <c r="K2020" i="27"/>
  <c r="K2019" i="27"/>
  <c r="K2152" i="27"/>
  <c r="K2120" i="27"/>
  <c r="K2030" i="27"/>
  <c r="K2155" i="27"/>
  <c r="K2150" i="27"/>
  <c r="K2090" i="27"/>
  <c r="K2053" i="27"/>
  <c r="K2038" i="27"/>
  <c r="K2171" i="27"/>
  <c r="K2166" i="27"/>
  <c r="K2106" i="27"/>
  <c r="K2104" i="27"/>
  <c r="K2040" i="27"/>
  <c r="K2057" i="27"/>
  <c r="K2036" i="27"/>
  <c r="K2023" i="27"/>
  <c r="K2154" i="27"/>
  <c r="K2117" i="27"/>
  <c r="K2073" i="27"/>
  <c r="K2052" i="27"/>
  <c r="K2039" i="27"/>
  <c r="K2170" i="27"/>
  <c r="K2133" i="27"/>
  <c r="K2089" i="27"/>
  <c r="K2068" i="27"/>
  <c r="K2055" i="27"/>
  <c r="K2186" i="27"/>
  <c r="K2149" i="27"/>
  <c r="K2105" i="27"/>
  <c r="K2084" i="27"/>
  <c r="K2071" i="27"/>
  <c r="K2083" i="27"/>
  <c r="K2078" i="27"/>
  <c r="J2128" i="27"/>
  <c r="J2091" i="27"/>
  <c r="J2022" i="27"/>
  <c r="J2083" i="27"/>
  <c r="J2048" i="27"/>
  <c r="J2164" i="27"/>
  <c r="J2111" i="27"/>
  <c r="J2113" i="27"/>
  <c r="J2044" i="27"/>
  <c r="J2053" i="27"/>
  <c r="J2160" i="27"/>
  <c r="J2115" i="27"/>
  <c r="J2046" i="27"/>
  <c r="J2020" i="27"/>
  <c r="J2130" i="27"/>
  <c r="J2157" i="27"/>
  <c r="J2089" i="27"/>
  <c r="J2170" i="27"/>
  <c r="J2132" i="27"/>
  <c r="J2079" i="27"/>
  <c r="J2145" i="27"/>
  <c r="J2076" i="27"/>
  <c r="J2023" i="27"/>
  <c r="J2058" i="27"/>
  <c r="J2143" i="27"/>
  <c r="J2140" i="27"/>
  <c r="J2051" i="27"/>
  <c r="J2056" i="27"/>
  <c r="J2155" i="27"/>
  <c r="J2086" i="27"/>
  <c r="J2117" i="27"/>
  <c r="J2106" i="27"/>
  <c r="J2133" i="27"/>
  <c r="J2175" i="27"/>
  <c r="J2177" i="27"/>
  <c r="J2108" i="27"/>
  <c r="J2055" i="27"/>
  <c r="J2096" i="27"/>
  <c r="J2179" i="27"/>
  <c r="J2110" i="27"/>
  <c r="J2078" i="27"/>
  <c r="J2059" i="27"/>
  <c r="J2061" i="27"/>
  <c r="J2112" i="27"/>
  <c r="J2101" i="27"/>
  <c r="J2178" i="27"/>
  <c r="J2087" i="27"/>
  <c r="J2031" i="27"/>
  <c r="J2033" i="27"/>
  <c r="J2018" i="27"/>
  <c r="J2150" i="27"/>
  <c r="J2142" i="27"/>
  <c r="J2035" i="27"/>
  <c r="J2072" i="27"/>
  <c r="J2153" i="27"/>
  <c r="J2120" i="27"/>
  <c r="J2172" i="27"/>
  <c r="J2119" i="27"/>
  <c r="J2057" i="27"/>
  <c r="J2066" i="27"/>
  <c r="J2174" i="27"/>
  <c r="J2168" i="27"/>
  <c r="J2123" i="27"/>
  <c r="J2054" i="27"/>
  <c r="J2138" i="27"/>
  <c r="J2165" i="27"/>
  <c r="J2186" i="27"/>
  <c r="J2074" i="27"/>
  <c r="J2109" i="27"/>
  <c r="J2151" i="27"/>
  <c r="J2075" i="27"/>
  <c r="J2025" i="27"/>
  <c r="J2045" i="27"/>
  <c r="J2068" i="27"/>
  <c r="J2097" i="27"/>
  <c r="J2028" i="27"/>
  <c r="J2029" i="27"/>
  <c r="J2144" i="27"/>
  <c r="J2099" i="27"/>
  <c r="J2030" i="27"/>
  <c r="J2084" i="27"/>
  <c r="J2114" i="27"/>
  <c r="J2141" i="27"/>
  <c r="J2183" i="27"/>
  <c r="J2121" i="27"/>
  <c r="J2052" i="27"/>
  <c r="J2069" i="27"/>
  <c r="J2104" i="27"/>
  <c r="J2187" i="27"/>
  <c r="J2118" i="27"/>
  <c r="J2159" i="27"/>
  <c r="J2067" i="27"/>
  <c r="J2077" i="27"/>
  <c r="J2148" i="27"/>
  <c r="J2162" i="27"/>
  <c r="J2173" i="27"/>
  <c r="J2019" i="27"/>
  <c r="J2169" i="27"/>
  <c r="J2050" i="27"/>
  <c r="J2188" i="27"/>
  <c r="J2137" i="27"/>
  <c r="J2161" i="27"/>
  <c r="J2092" i="27"/>
  <c r="J2039" i="27"/>
  <c r="J2064" i="27"/>
  <c r="J2163" i="27"/>
  <c r="J2094" i="27"/>
  <c r="J2095" i="27"/>
  <c r="J2043" i="27"/>
  <c r="J2021" i="27"/>
  <c r="J2032" i="27"/>
  <c r="J2185" i="27"/>
  <c r="J2116" i="27"/>
  <c r="J2063" i="27"/>
  <c r="J2065" i="27"/>
  <c r="J2082" i="27"/>
  <c r="J2182" i="27"/>
  <c r="J2176" i="27"/>
  <c r="J2131" i="27"/>
  <c r="J2062" i="27"/>
  <c r="J2093" i="27"/>
  <c r="J2166" i="27"/>
  <c r="J2081" i="27"/>
  <c r="J2024" i="27"/>
  <c r="J2156" i="27"/>
  <c r="J2103" i="27"/>
  <c r="J2041" i="27"/>
  <c r="J2034" i="27"/>
  <c r="J2158" i="27"/>
  <c r="J2152" i="27"/>
  <c r="J2107" i="27"/>
  <c r="J2038" i="27"/>
  <c r="J2147" i="27"/>
  <c r="J2026" i="27"/>
  <c r="J2180" i="27"/>
  <c r="J2127" i="27"/>
  <c r="J2129" i="27"/>
  <c r="J2060" i="27"/>
  <c r="J2085" i="27"/>
  <c r="J2136" i="27"/>
  <c r="J2016" i="27"/>
  <c r="J2126" i="27"/>
  <c r="J2184" i="27"/>
  <c r="J2139" i="27"/>
  <c r="J2070" i="27"/>
  <c r="J2189" i="27"/>
  <c r="J2049" i="27"/>
  <c r="J2090" i="27"/>
  <c r="J2135" i="27"/>
  <c r="J2098" i="27"/>
  <c r="J2125" i="27"/>
  <c r="J2167" i="27"/>
  <c r="J2105" i="27"/>
  <c r="J2036" i="27"/>
  <c r="J2037" i="27"/>
  <c r="J2088" i="27"/>
  <c r="J2171" i="27"/>
  <c r="J2102" i="27"/>
  <c r="J2181" i="27"/>
  <c r="J2122" i="27"/>
  <c r="J2149" i="27"/>
  <c r="J2191" i="27"/>
  <c r="J2154" i="27"/>
  <c r="J2124" i="27"/>
  <c r="J2071" i="27"/>
  <c r="J2073" i="27"/>
  <c r="J2146" i="27"/>
  <c r="J2190" i="27"/>
  <c r="J2017" i="27"/>
  <c r="J2040" i="27"/>
  <c r="J2134" i="27"/>
  <c r="J2027" i="27"/>
  <c r="J2100" i="27"/>
  <c r="J2047" i="27"/>
  <c r="J2042" i="27"/>
  <c r="J2080" i="27"/>
  <c r="I2087" i="27"/>
  <c r="I2138" i="27"/>
  <c r="I2061" i="27"/>
  <c r="I2128" i="27"/>
  <c r="I2067" i="27"/>
  <c r="I2133" i="27"/>
  <c r="I2111" i="27"/>
  <c r="I2171" i="27"/>
  <c r="I2095" i="27"/>
  <c r="I2037" i="27"/>
  <c r="I2153" i="27"/>
  <c r="I2108" i="27"/>
  <c r="I2127" i="27"/>
  <c r="I2033" i="27"/>
  <c r="I2075" i="27"/>
  <c r="I2086" i="27"/>
  <c r="I2169" i="27"/>
  <c r="I2096" i="27"/>
  <c r="I2186" i="27"/>
  <c r="I2109" i="27"/>
  <c r="I2080" i="27"/>
  <c r="I2079" i="27"/>
  <c r="I2046" i="27"/>
  <c r="I2183" i="27"/>
  <c r="I2106" i="27"/>
  <c r="I2113" i="27"/>
  <c r="I2066" i="27"/>
  <c r="I2132" i="27"/>
  <c r="I2130" i="27"/>
  <c r="I2181" i="27"/>
  <c r="I2120" i="27"/>
  <c r="I2051" i="27"/>
  <c r="I2125" i="27"/>
  <c r="I2071" i="27"/>
  <c r="I2163" i="27"/>
  <c r="I2031" i="27"/>
  <c r="I2017" i="27"/>
  <c r="I2035" i="27"/>
  <c r="I2070" i="27"/>
  <c r="I2030" i="27"/>
  <c r="I2034" i="27"/>
  <c r="I2172" i="27"/>
  <c r="I2191" i="27"/>
  <c r="I2097" i="27"/>
  <c r="I2052" i="27"/>
  <c r="I2150" i="27"/>
  <c r="I2178" i="27"/>
  <c r="I2184" i="27"/>
  <c r="I2123" i="27"/>
  <c r="I2173" i="27"/>
  <c r="I2057" i="27"/>
  <c r="I2110" i="27"/>
  <c r="I2029" i="27"/>
  <c r="I2063" i="27"/>
  <c r="I2155" i="27"/>
  <c r="I2189" i="27"/>
  <c r="I2152" i="27"/>
  <c r="I2019" i="27"/>
  <c r="I2062" i="27"/>
  <c r="I2081" i="27"/>
  <c r="I2036" i="27"/>
  <c r="I2134" i="27"/>
  <c r="I2158" i="27"/>
  <c r="I2098" i="27"/>
  <c r="I2021" i="27"/>
  <c r="I2114" i="27"/>
  <c r="I2161" i="27"/>
  <c r="I2116" i="27"/>
  <c r="I2135" i="27"/>
  <c r="I2115" i="27"/>
  <c r="I2064" i="27"/>
  <c r="I2055" i="27"/>
  <c r="I2038" i="27"/>
  <c r="I2121" i="27"/>
  <c r="I2076" i="27"/>
  <c r="I2174" i="27"/>
  <c r="I2092" i="27"/>
  <c r="I2164" i="27"/>
  <c r="I2099" i="27"/>
  <c r="I2143" i="27"/>
  <c r="I2176" i="27"/>
  <c r="I2068" i="27"/>
  <c r="I2103" i="27"/>
  <c r="I2151" i="27"/>
  <c r="I2053" i="27"/>
  <c r="I2122" i="27"/>
  <c r="I2147" i="27"/>
  <c r="I2104" i="27"/>
  <c r="I2119" i="27"/>
  <c r="I2054" i="27"/>
  <c r="I2073" i="27"/>
  <c r="I2028" i="27"/>
  <c r="I2126" i="27"/>
  <c r="I2145" i="27"/>
  <c r="I2100" i="27"/>
  <c r="I2047" i="27"/>
  <c r="I2056" i="27"/>
  <c r="I2162" i="27"/>
  <c r="I2085" i="27"/>
  <c r="I2101" i="27"/>
  <c r="I2042" i="27"/>
  <c r="I2180" i="27"/>
  <c r="I2088" i="27"/>
  <c r="I2091" i="27"/>
  <c r="I2049" i="27"/>
  <c r="I2139" i="27"/>
  <c r="I2102" i="27"/>
  <c r="I2185" i="27"/>
  <c r="I2140" i="27"/>
  <c r="I2159" i="27"/>
  <c r="I2065" i="27"/>
  <c r="I2020" i="27"/>
  <c r="I2118" i="27"/>
  <c r="I2137" i="27"/>
  <c r="I2190" i="27"/>
  <c r="I2026" i="27"/>
  <c r="I2160" i="27"/>
  <c r="I2149" i="27"/>
  <c r="I2060" i="27"/>
  <c r="I2166" i="27"/>
  <c r="I2045" i="27"/>
  <c r="I2129" i="27"/>
  <c r="I2084" i="27"/>
  <c r="I2182" i="27"/>
  <c r="I2018" i="27"/>
  <c r="I2156" i="27"/>
  <c r="I2175" i="27"/>
  <c r="I2090" i="27"/>
  <c r="I2050" i="27"/>
  <c r="I2016" i="27"/>
  <c r="I2179" i="27"/>
  <c r="I2072" i="27"/>
  <c r="I2170" i="27"/>
  <c r="I2093" i="27"/>
  <c r="I2048" i="27"/>
  <c r="I2188" i="27"/>
  <c r="I2177" i="27"/>
  <c r="I2144" i="27"/>
  <c r="I2148" i="27"/>
  <c r="I2167" i="27"/>
  <c r="I2082" i="27"/>
  <c r="I2131" i="27"/>
  <c r="I2040" i="27"/>
  <c r="I2154" i="27"/>
  <c r="I2077" i="27"/>
  <c r="I2025" i="27"/>
  <c r="I2059" i="27"/>
  <c r="I2078" i="27"/>
  <c r="I2168" i="27"/>
  <c r="I2107" i="27"/>
  <c r="I2157" i="27"/>
  <c r="I2041" i="27"/>
  <c r="I2165" i="27"/>
  <c r="I2058" i="27"/>
  <c r="I2039" i="27"/>
  <c r="I2112" i="27"/>
  <c r="I2027" i="27"/>
  <c r="I2117" i="27"/>
  <c r="I2074" i="27"/>
  <c r="I2043" i="27"/>
  <c r="I2024" i="27"/>
  <c r="I2146" i="27"/>
  <c r="I2069" i="27"/>
  <c r="I2136" i="27"/>
  <c r="I2083" i="27"/>
  <c r="I2141" i="27"/>
  <c r="I2124" i="27"/>
  <c r="I2089" i="27"/>
  <c r="I2044" i="27"/>
  <c r="I2142" i="27"/>
  <c r="I2032" i="27"/>
  <c r="I2022" i="27"/>
  <c r="I2105" i="27"/>
  <c r="I2094" i="27"/>
  <c r="I2023" i="27"/>
  <c r="I2187" i="27"/>
  <c r="H2184" i="27"/>
  <c r="H2144" i="27"/>
  <c r="H2056" i="27"/>
  <c r="H2129" i="27"/>
  <c r="H2016" i="27"/>
  <c r="H2036" i="27"/>
  <c r="H2174" i="27"/>
  <c r="H2035" i="27"/>
  <c r="H2157" i="27"/>
  <c r="H2073" i="27"/>
  <c r="H2132" i="27"/>
  <c r="H2127" i="27"/>
  <c r="H2179" i="27"/>
  <c r="H2134" i="27"/>
  <c r="H2088" i="27"/>
  <c r="H2104" i="27"/>
  <c r="H2185" i="27"/>
  <c r="H2121" i="27"/>
  <c r="H2034" i="27"/>
  <c r="H2044" i="27"/>
  <c r="H2047" i="27"/>
  <c r="H2099" i="27"/>
  <c r="H2054" i="27"/>
  <c r="H2098" i="27"/>
  <c r="H2037" i="27"/>
  <c r="H2191" i="27"/>
  <c r="H2180" i="27"/>
  <c r="H2123" i="27"/>
  <c r="H2078" i="27"/>
  <c r="H2186" i="27"/>
  <c r="H2125" i="27"/>
  <c r="H2058" i="27"/>
  <c r="H2164" i="27"/>
  <c r="H2159" i="27"/>
  <c r="H2028" i="27"/>
  <c r="H2039" i="27"/>
  <c r="H2032" i="27"/>
  <c r="H2048" i="27"/>
  <c r="H2177" i="27"/>
  <c r="H2113" i="27"/>
  <c r="H2057" i="27"/>
  <c r="H2116" i="27"/>
  <c r="H2111" i="27"/>
  <c r="H2163" i="27"/>
  <c r="H2118" i="27"/>
  <c r="H2162" i="27"/>
  <c r="H2101" i="27"/>
  <c r="H2017" i="27"/>
  <c r="H2076" i="27"/>
  <c r="H2071" i="27"/>
  <c r="H2187" i="27"/>
  <c r="H2142" i="27"/>
  <c r="H2067" i="27"/>
  <c r="H2189" i="27"/>
  <c r="H2130" i="27"/>
  <c r="H2069" i="27"/>
  <c r="H2049" i="27"/>
  <c r="H2108" i="27"/>
  <c r="H2103" i="27"/>
  <c r="H2066" i="27"/>
  <c r="H2160" i="27"/>
  <c r="H2176" i="27"/>
  <c r="H2169" i="27"/>
  <c r="H2105" i="27"/>
  <c r="H2082" i="27"/>
  <c r="H2021" i="27"/>
  <c r="H2175" i="27"/>
  <c r="H2060" i="27"/>
  <c r="H2182" i="27"/>
  <c r="H2043" i="27"/>
  <c r="H2165" i="27"/>
  <c r="H2081" i="27"/>
  <c r="H2140" i="27"/>
  <c r="H2135" i="27"/>
  <c r="H2188" i="27"/>
  <c r="H2080" i="27"/>
  <c r="H2096" i="27"/>
  <c r="H2161" i="27"/>
  <c r="H2136" i="27"/>
  <c r="H2146" i="27"/>
  <c r="H2085" i="27"/>
  <c r="H2050" i="27"/>
  <c r="H2052" i="27"/>
  <c r="H2055" i="27"/>
  <c r="H2107" i="27"/>
  <c r="H2062" i="27"/>
  <c r="H2106" i="27"/>
  <c r="H2045" i="27"/>
  <c r="H2025" i="27"/>
  <c r="H2084" i="27"/>
  <c r="H2079" i="27"/>
  <c r="H2018" i="27"/>
  <c r="H2150" i="27"/>
  <c r="H2075" i="27"/>
  <c r="H2030" i="27"/>
  <c r="H2138" i="27"/>
  <c r="H2077" i="27"/>
  <c r="H2172" i="27"/>
  <c r="H2114" i="27"/>
  <c r="H2087" i="27"/>
  <c r="H2158" i="27"/>
  <c r="H2038" i="27"/>
  <c r="H2178" i="27"/>
  <c r="H2097" i="27"/>
  <c r="H2151" i="27"/>
  <c r="H2031" i="27"/>
  <c r="H2102" i="27"/>
  <c r="H2181" i="27"/>
  <c r="H2041" i="27"/>
  <c r="H2020" i="27"/>
  <c r="H2167" i="27"/>
  <c r="H2024" i="27"/>
  <c r="H2040" i="27"/>
  <c r="H2153" i="27"/>
  <c r="H2128" i="27"/>
  <c r="H2027" i="27"/>
  <c r="H2149" i="27"/>
  <c r="H2065" i="27"/>
  <c r="H2124" i="27"/>
  <c r="H2119" i="27"/>
  <c r="H2171" i="27"/>
  <c r="H2126" i="27"/>
  <c r="H2170" i="27"/>
  <c r="H2109" i="27"/>
  <c r="H2089" i="27"/>
  <c r="H2148" i="27"/>
  <c r="H2143" i="27"/>
  <c r="H2026" i="27"/>
  <c r="H2023" i="27"/>
  <c r="H2139" i="27"/>
  <c r="H2094" i="27"/>
  <c r="H2019" i="27"/>
  <c r="H2141" i="27"/>
  <c r="H2190" i="27"/>
  <c r="H2053" i="27"/>
  <c r="H2092" i="27"/>
  <c r="H2042" i="27"/>
  <c r="H2070" i="27"/>
  <c r="H2117" i="27"/>
  <c r="H2156" i="27"/>
  <c r="H2147" i="27"/>
  <c r="H2059" i="27"/>
  <c r="H2122" i="27"/>
  <c r="H2100" i="27"/>
  <c r="H2131" i="27"/>
  <c r="H2133" i="27"/>
  <c r="H2168" i="27"/>
  <c r="H2152" i="27"/>
  <c r="H2145" i="27"/>
  <c r="H2120" i="27"/>
  <c r="H2091" i="27"/>
  <c r="H2046" i="27"/>
  <c r="H2090" i="27"/>
  <c r="H2029" i="27"/>
  <c r="H2183" i="27"/>
  <c r="H2051" i="27"/>
  <c r="H2173" i="27"/>
  <c r="H2033" i="27"/>
  <c r="H2083" i="27"/>
  <c r="H2061" i="27"/>
  <c r="H2166" i="27"/>
  <c r="H2086" i="27"/>
  <c r="H2072" i="27"/>
  <c r="H2112" i="27"/>
  <c r="H2137" i="27"/>
  <c r="H2064" i="27"/>
  <c r="H2155" i="27"/>
  <c r="H2110" i="27"/>
  <c r="H2154" i="27"/>
  <c r="H2093" i="27"/>
  <c r="H2022" i="27"/>
  <c r="H2068" i="27"/>
  <c r="H2063" i="27"/>
  <c r="H2115" i="27"/>
  <c r="H2095" i="27"/>
  <c r="H2074" i="27"/>
  <c r="G2184" i="27"/>
  <c r="G2120" i="27"/>
  <c r="G2056" i="27"/>
  <c r="G2082" i="27"/>
  <c r="G2156" i="27"/>
  <c r="G2087" i="27"/>
  <c r="G2147" i="27"/>
  <c r="G2190" i="27"/>
  <c r="G2098" i="27"/>
  <c r="G2172" i="27"/>
  <c r="G2103" i="27"/>
  <c r="G2163" i="27"/>
  <c r="G2022" i="27"/>
  <c r="G2138" i="27"/>
  <c r="G2188" i="27"/>
  <c r="G2119" i="27"/>
  <c r="G2179" i="27"/>
  <c r="G2038" i="27"/>
  <c r="G2154" i="27"/>
  <c r="G2049" i="27"/>
  <c r="G2135" i="27"/>
  <c r="G2020" i="27"/>
  <c r="G2118" i="27"/>
  <c r="G2081" i="27"/>
  <c r="G2067" i="27"/>
  <c r="G2145" i="27"/>
  <c r="G2023" i="27"/>
  <c r="G2149" i="27"/>
  <c r="G2140" i="27"/>
  <c r="G2176" i="27"/>
  <c r="G2112" i="27"/>
  <c r="G2048" i="27"/>
  <c r="G2170" i="27"/>
  <c r="G2034" i="27"/>
  <c r="G2151" i="27"/>
  <c r="G2065" i="27"/>
  <c r="G2070" i="27"/>
  <c r="G2186" i="27"/>
  <c r="G2167" i="27"/>
  <c r="G2026" i="27"/>
  <c r="G2086" i="27"/>
  <c r="G2057" i="27"/>
  <c r="G2029" i="27"/>
  <c r="G2183" i="27"/>
  <c r="G2114" i="27"/>
  <c r="G2102" i="27"/>
  <c r="G2018" i="27"/>
  <c r="G2045" i="27"/>
  <c r="G2153" i="27"/>
  <c r="G2084" i="27"/>
  <c r="G2181" i="27"/>
  <c r="G2168" i="27"/>
  <c r="G2104" i="27"/>
  <c r="G2040" i="27"/>
  <c r="G2122" i="27"/>
  <c r="G2061" i="27"/>
  <c r="G2105" i="27"/>
  <c r="G2036" i="27"/>
  <c r="G2134" i="27"/>
  <c r="G2027" i="27"/>
  <c r="G2077" i="27"/>
  <c r="G2121" i="27"/>
  <c r="G2052" i="27"/>
  <c r="G2150" i="27"/>
  <c r="G2043" i="27"/>
  <c r="G2093" i="27"/>
  <c r="G2137" i="27"/>
  <c r="G2068" i="27"/>
  <c r="G2166" i="27"/>
  <c r="G2059" i="27"/>
  <c r="G2109" i="27"/>
  <c r="G2074" i="27"/>
  <c r="G2148" i="27"/>
  <c r="G2079" i="27"/>
  <c r="G2173" i="27"/>
  <c r="G2162" i="27"/>
  <c r="G2143" i="27"/>
  <c r="G2101" i="27"/>
  <c r="G2131" i="27"/>
  <c r="G2161" i="27"/>
  <c r="G2133" i="27"/>
  <c r="G2073" i="27"/>
  <c r="G2115" i="27"/>
  <c r="G2160" i="27"/>
  <c r="G2096" i="27"/>
  <c r="G2032" i="27"/>
  <c r="G2075" i="27"/>
  <c r="G2125" i="27"/>
  <c r="G2169" i="27"/>
  <c r="G2100" i="27"/>
  <c r="G2031" i="27"/>
  <c r="G2091" i="27"/>
  <c r="G2141" i="27"/>
  <c r="G2185" i="27"/>
  <c r="G2116" i="27"/>
  <c r="G2047" i="27"/>
  <c r="G2107" i="27"/>
  <c r="G2157" i="27"/>
  <c r="G2058" i="27"/>
  <c r="G2132" i="27"/>
  <c r="G2063" i="27"/>
  <c r="G2123" i="27"/>
  <c r="G2108" i="27"/>
  <c r="G2066" i="27"/>
  <c r="G2152" i="27"/>
  <c r="G2088" i="27"/>
  <c r="G2024" i="27"/>
  <c r="G2139" i="27"/>
  <c r="G2189" i="27"/>
  <c r="G2090" i="27"/>
  <c r="G2164" i="27"/>
  <c r="G2095" i="27"/>
  <c r="G2155" i="27"/>
  <c r="G2130" i="27"/>
  <c r="G2180" i="27"/>
  <c r="G2111" i="27"/>
  <c r="G2171" i="27"/>
  <c r="G2030" i="27"/>
  <c r="G2146" i="27"/>
  <c r="G2025" i="27"/>
  <c r="G2127" i="27"/>
  <c r="G2187" i="27"/>
  <c r="G2046" i="27"/>
  <c r="G2042" i="27"/>
  <c r="G2053" i="27"/>
  <c r="G2175" i="27"/>
  <c r="G2094" i="27"/>
  <c r="G2037" i="27"/>
  <c r="G2117" i="27"/>
  <c r="G2051" i="27"/>
  <c r="G2182" i="27"/>
  <c r="G2083" i="27"/>
  <c r="G2099" i="27"/>
  <c r="G2165" i="27"/>
  <c r="G2054" i="27"/>
  <c r="G2144" i="27"/>
  <c r="G2080" i="27"/>
  <c r="G2016" i="27"/>
  <c r="G2041" i="27"/>
  <c r="G2062" i="27"/>
  <c r="G2178" i="27"/>
  <c r="G2106" i="27"/>
  <c r="G2159" i="27"/>
  <c r="G2097" i="27"/>
  <c r="G2078" i="27"/>
  <c r="G2033" i="27"/>
  <c r="G2021" i="27"/>
  <c r="G2050" i="27"/>
  <c r="G2089" i="27"/>
  <c r="G2191" i="27"/>
  <c r="G2110" i="27"/>
  <c r="G2076" i="27"/>
  <c r="G2177" i="27"/>
  <c r="G2124" i="27"/>
  <c r="G2071" i="27"/>
  <c r="G2136" i="27"/>
  <c r="G2072" i="27"/>
  <c r="G2174" i="27"/>
  <c r="G2028" i="27"/>
  <c r="G2126" i="27"/>
  <c r="G2019" i="27"/>
  <c r="G2069" i="27"/>
  <c r="G2113" i="27"/>
  <c r="G2044" i="27"/>
  <c r="G2142" i="27"/>
  <c r="G2035" i="27"/>
  <c r="G2085" i="27"/>
  <c r="G2129" i="27"/>
  <c r="G2060" i="27"/>
  <c r="G2158" i="27"/>
  <c r="G2128" i="27"/>
  <c r="G2064" i="27"/>
  <c r="G2092" i="27"/>
  <c r="G2039" i="27"/>
  <c r="G2055" i="27"/>
  <c r="G2017" i="27"/>
  <c r="F2152" i="27"/>
  <c r="F2089" i="27"/>
  <c r="F2084" i="27"/>
  <c r="F2133" i="27"/>
  <c r="F2090" i="27"/>
  <c r="F2021" i="27"/>
  <c r="F2151" i="27"/>
  <c r="F2043" i="27"/>
  <c r="F2157" i="27"/>
  <c r="F2074" i="27"/>
  <c r="F2110" i="27"/>
  <c r="F2088" i="27"/>
  <c r="F2123" i="27"/>
  <c r="F2054" i="27"/>
  <c r="F2096" i="27"/>
  <c r="F2131" i="27"/>
  <c r="F2062" i="27"/>
  <c r="F2057" i="27"/>
  <c r="F2068" i="27"/>
  <c r="F2064" i="27"/>
  <c r="F2113" i="27"/>
  <c r="F2039" i="27"/>
  <c r="F2052" i="27"/>
  <c r="F2041" i="27"/>
  <c r="F2032" i="27"/>
  <c r="F2144" i="27"/>
  <c r="F2018" i="27"/>
  <c r="F2148" i="27"/>
  <c r="F2079" i="27"/>
  <c r="F2142" i="27"/>
  <c r="F2154" i="27"/>
  <c r="F2085" i="27"/>
  <c r="F2072" i="27"/>
  <c r="F2107" i="27"/>
  <c r="F2038" i="27"/>
  <c r="F2019" i="27"/>
  <c r="F2017" i="27"/>
  <c r="F2044" i="27"/>
  <c r="F2025" i="27"/>
  <c r="F2118" i="27"/>
  <c r="F2153" i="27"/>
  <c r="F2056" i="27"/>
  <c r="F2126" i="27"/>
  <c r="F2137" i="27"/>
  <c r="F2132" i="27"/>
  <c r="F2063" i="27"/>
  <c r="F2149" i="27"/>
  <c r="F2102" i="27"/>
  <c r="F2147" i="27"/>
  <c r="F2108" i="27"/>
  <c r="F2033" i="27"/>
  <c r="F2060" i="27"/>
  <c r="F2066" i="27"/>
  <c r="F2127" i="27"/>
  <c r="F2073" i="27"/>
  <c r="F2136" i="27"/>
  <c r="F2082" i="27"/>
  <c r="F2143" i="27"/>
  <c r="F2135" i="27"/>
  <c r="F2035" i="27"/>
  <c r="F2134" i="27"/>
  <c r="F2128" i="27"/>
  <c r="F2146" i="27"/>
  <c r="F2077" i="27"/>
  <c r="F2112" i="27"/>
  <c r="F2040" i="27"/>
  <c r="F2099" i="27"/>
  <c r="F2030" i="27"/>
  <c r="F2048" i="27"/>
  <c r="F2036" i="27"/>
  <c r="F2166" i="27"/>
  <c r="F2076" i="27"/>
  <c r="F2042" i="27"/>
  <c r="F2103" i="27"/>
  <c r="F2121" i="27"/>
  <c r="F2116" i="27"/>
  <c r="F2047" i="27"/>
  <c r="F2129" i="27"/>
  <c r="F2124" i="27"/>
  <c r="F2055" i="27"/>
  <c r="F2130" i="27"/>
  <c r="F2061" i="27"/>
  <c r="F2109" i="27"/>
  <c r="F2104" i="27"/>
  <c r="F2026" i="27"/>
  <c r="F2093" i="27"/>
  <c r="F2115" i="27"/>
  <c r="F2161" i="27"/>
  <c r="F2120" i="27"/>
  <c r="F2027" i="27"/>
  <c r="F2141" i="27"/>
  <c r="F2138" i="27"/>
  <c r="F2168" i="27"/>
  <c r="F2163" i="27"/>
  <c r="F2094" i="27"/>
  <c r="F2105" i="27"/>
  <c r="F2100" i="27"/>
  <c r="F2031" i="27"/>
  <c r="F2049" i="27"/>
  <c r="F2106" i="27"/>
  <c r="F2037" i="27"/>
  <c r="F2167" i="27"/>
  <c r="F2050" i="27"/>
  <c r="F2111" i="27"/>
  <c r="F2058" i="27"/>
  <c r="F2119" i="27"/>
  <c r="F2016" i="27"/>
  <c r="F2125" i="27"/>
  <c r="F2081" i="27"/>
  <c r="F2117" i="27"/>
  <c r="F2070" i="27"/>
  <c r="F2140" i="27"/>
  <c r="F2162" i="27"/>
  <c r="F2080" i="27"/>
  <c r="F2046" i="27"/>
  <c r="F2059" i="27"/>
  <c r="F2067" i="27"/>
  <c r="F2024" i="27"/>
  <c r="F2091" i="27"/>
  <c r="F2022" i="27"/>
  <c r="F2083" i="27"/>
  <c r="F2028" i="27"/>
  <c r="F2158" i="27"/>
  <c r="F2034" i="27"/>
  <c r="F2164" i="27"/>
  <c r="F2095" i="27"/>
  <c r="F2101" i="27"/>
  <c r="F2145" i="27"/>
  <c r="F2114" i="27"/>
  <c r="F2045" i="27"/>
  <c r="F2122" i="27"/>
  <c r="F2053" i="27"/>
  <c r="F2075" i="27"/>
  <c r="F2139" i="27"/>
  <c r="F2160" i="27"/>
  <c r="F2155" i="27"/>
  <c r="F2086" i="27"/>
  <c r="F2097" i="27"/>
  <c r="F2092" i="27"/>
  <c r="F2023" i="27"/>
  <c r="F2098" i="27"/>
  <c r="F2029" i="27"/>
  <c r="F2159" i="27"/>
  <c r="F2065" i="27"/>
  <c r="F2051" i="27"/>
  <c r="F2165" i="27"/>
  <c r="F2069" i="27"/>
  <c r="F2156" i="27"/>
  <c r="F2071" i="27"/>
  <c r="F2020" i="27"/>
  <c r="F2150" i="27"/>
  <c r="F2087" i="27"/>
  <c r="F2078" i="27"/>
  <c r="E2016" i="27"/>
  <c r="E2035" i="27"/>
  <c r="E2165" i="27"/>
  <c r="E2146" i="27"/>
  <c r="E2089" i="27"/>
  <c r="E2044" i="27"/>
  <c r="E2174" i="27"/>
  <c r="E2033" i="27"/>
  <c r="E2179" i="27"/>
  <c r="E2118" i="27"/>
  <c r="E2080" i="27"/>
  <c r="E2059" i="27"/>
  <c r="E2189" i="27"/>
  <c r="E2027" i="27"/>
  <c r="E2113" i="27"/>
  <c r="E2068" i="27"/>
  <c r="E2048" i="27"/>
  <c r="E2066" i="27"/>
  <c r="E2143" i="27"/>
  <c r="E2176" i="27"/>
  <c r="E2148" i="27"/>
  <c r="E2087" i="27"/>
  <c r="E2025" i="27"/>
  <c r="E2115" i="27"/>
  <c r="E2056" i="27"/>
  <c r="E2084" i="27"/>
  <c r="E2120" i="27"/>
  <c r="E2099" i="27"/>
  <c r="E2038" i="27"/>
  <c r="E2092" i="27"/>
  <c r="E2153" i="27"/>
  <c r="E2108" i="27"/>
  <c r="E2047" i="27"/>
  <c r="E2097" i="27"/>
  <c r="E2052" i="27"/>
  <c r="E2182" i="27"/>
  <c r="E2144" i="27"/>
  <c r="E2123" i="27"/>
  <c r="E2062" i="27"/>
  <c r="E2156" i="27"/>
  <c r="E2177" i="27"/>
  <c r="E2132" i="27"/>
  <c r="E2071" i="27"/>
  <c r="E2130" i="27"/>
  <c r="E2077" i="27"/>
  <c r="E2082" i="27"/>
  <c r="E2074" i="27"/>
  <c r="E2021" i="27"/>
  <c r="E2151" i="27"/>
  <c r="E2171" i="27"/>
  <c r="E2137" i="27"/>
  <c r="E2140" i="27"/>
  <c r="E2017" i="27"/>
  <c r="E2163" i="27"/>
  <c r="E2102" i="27"/>
  <c r="E2029" i="27"/>
  <c r="E2034" i="27"/>
  <c r="E2172" i="27"/>
  <c r="E2111" i="27"/>
  <c r="E2161" i="27"/>
  <c r="E2116" i="27"/>
  <c r="E2055" i="27"/>
  <c r="E2041" i="27"/>
  <c r="E2187" i="27"/>
  <c r="E2126" i="27"/>
  <c r="E2030" i="27"/>
  <c r="E2058" i="27"/>
  <c r="E2040" i="27"/>
  <c r="E2135" i="27"/>
  <c r="E2024" i="27"/>
  <c r="E2141" i="27"/>
  <c r="E2155" i="27"/>
  <c r="E2138" i="27"/>
  <c r="E2085" i="27"/>
  <c r="E2112" i="27"/>
  <c r="E2110" i="27"/>
  <c r="E2125" i="27"/>
  <c r="E2079" i="27"/>
  <c r="E2081" i="27"/>
  <c r="E2036" i="27"/>
  <c r="E2166" i="27"/>
  <c r="E2094" i="27"/>
  <c r="E2098" i="27"/>
  <c r="E2045" i="27"/>
  <c r="E2175" i="27"/>
  <c r="E2042" i="27"/>
  <c r="E2180" i="27"/>
  <c r="E2119" i="27"/>
  <c r="E2105" i="27"/>
  <c r="E2060" i="27"/>
  <c r="E2190" i="27"/>
  <c r="E2031" i="27"/>
  <c r="E2122" i="27"/>
  <c r="E2069" i="27"/>
  <c r="E2096" i="27"/>
  <c r="E2075" i="27"/>
  <c r="E2093" i="27"/>
  <c r="E2019" i="27"/>
  <c r="E2149" i="27"/>
  <c r="E2158" i="27"/>
  <c r="E2178" i="27"/>
  <c r="E2023" i="27"/>
  <c r="E2145" i="27"/>
  <c r="E2100" i="27"/>
  <c r="E2039" i="27"/>
  <c r="E2095" i="27"/>
  <c r="E2162" i="27"/>
  <c r="E2109" i="27"/>
  <c r="E2018" i="27"/>
  <c r="E2106" i="27"/>
  <c r="E2053" i="27"/>
  <c r="E2183" i="27"/>
  <c r="E2169" i="27"/>
  <c r="E2124" i="27"/>
  <c r="E2063" i="27"/>
  <c r="E2159" i="27"/>
  <c r="E2186" i="27"/>
  <c r="E2133" i="27"/>
  <c r="E2160" i="27"/>
  <c r="E2139" i="27"/>
  <c r="E2078" i="27"/>
  <c r="E2104" i="27"/>
  <c r="E2083" i="27"/>
  <c r="E2022" i="27"/>
  <c r="E2154" i="27"/>
  <c r="E2136" i="27"/>
  <c r="E2049" i="27"/>
  <c r="E2129" i="27"/>
  <c r="E2026" i="27"/>
  <c r="E2164" i="27"/>
  <c r="E2103" i="27"/>
  <c r="E2064" i="27"/>
  <c r="E2043" i="27"/>
  <c r="E2173" i="27"/>
  <c r="E2028" i="27"/>
  <c r="E2170" i="27"/>
  <c r="E2117" i="27"/>
  <c r="E2073" i="27"/>
  <c r="E2050" i="27"/>
  <c r="E2188" i="27"/>
  <c r="E2127" i="27"/>
  <c r="E2088" i="27"/>
  <c r="E2067" i="27"/>
  <c r="E2032" i="27"/>
  <c r="E2057" i="27"/>
  <c r="E2142" i="27"/>
  <c r="E2168" i="27"/>
  <c r="E2147" i="27"/>
  <c r="E2086" i="27"/>
  <c r="E2184" i="27"/>
  <c r="E2054" i="27"/>
  <c r="E2185" i="27"/>
  <c r="E2090" i="27"/>
  <c r="E2037" i="27"/>
  <c r="E2167" i="27"/>
  <c r="E2128" i="27"/>
  <c r="E2107" i="27"/>
  <c r="E2046" i="27"/>
  <c r="E2072" i="27"/>
  <c r="E2051" i="27"/>
  <c r="E2181" i="27"/>
  <c r="E2091" i="27"/>
  <c r="E2114" i="27"/>
  <c r="E2061" i="27"/>
  <c r="E2191" i="27"/>
  <c r="E2152" i="27"/>
  <c r="E2131" i="27"/>
  <c r="E2070" i="27"/>
  <c r="E2121" i="27"/>
  <c r="E2076" i="27"/>
  <c r="E2065" i="27"/>
  <c r="E2020" i="27"/>
  <c r="E2150" i="27"/>
  <c r="E2101" i="27"/>
  <c r="E2157" i="27"/>
  <c r="E2134" i="27"/>
  <c r="K1755" i="27"/>
  <c r="K1691" i="27"/>
  <c r="K1627" i="27"/>
  <c r="K1563" i="27"/>
  <c r="K1499" i="27"/>
  <c r="K1435" i="27"/>
  <c r="K1740" i="27"/>
  <c r="K1762" i="27"/>
  <c r="K1698" i="27"/>
  <c r="K1634" i="27"/>
  <c r="K1570" i="27"/>
  <c r="K1506" i="27"/>
  <c r="K1442" i="27"/>
  <c r="K1756" i="27"/>
  <c r="K1769" i="27"/>
  <c r="K1705" i="27"/>
  <c r="K1641" i="27"/>
  <c r="K1577" i="27"/>
  <c r="K1513" i="27"/>
  <c r="K1449" i="27"/>
  <c r="K1800" i="27"/>
  <c r="K1736" i="27"/>
  <c r="K1672" i="27"/>
  <c r="K1608" i="27"/>
  <c r="K1544" i="27"/>
  <c r="K1480" i="27"/>
  <c r="K1775" i="27"/>
  <c r="K1711" i="27"/>
  <c r="K1647" i="27"/>
  <c r="K1583" i="27"/>
  <c r="K1519" i="27"/>
  <c r="K1455" i="27"/>
  <c r="K1750" i="27"/>
  <c r="K1686" i="27"/>
  <c r="K1622" i="27"/>
  <c r="K1558" i="27"/>
  <c r="K1494" i="27"/>
  <c r="K1430" i="27"/>
  <c r="K1797" i="27"/>
  <c r="K1733" i="27"/>
  <c r="K1669" i="27"/>
  <c r="K1605" i="27"/>
  <c r="K1541" i="27"/>
  <c r="K1477" i="27"/>
  <c r="K1636" i="27"/>
  <c r="K1436" i="27"/>
  <c r="K1676" i="27"/>
  <c r="K1660" i="27"/>
  <c r="K1747" i="27"/>
  <c r="K1683" i="27"/>
  <c r="K1619" i="27"/>
  <c r="K1555" i="27"/>
  <c r="K1491" i="27"/>
  <c r="K1427" i="27"/>
  <c r="K1754" i="27"/>
  <c r="K1690" i="27"/>
  <c r="K1626" i="27"/>
  <c r="K1562" i="27"/>
  <c r="K1498" i="27"/>
  <c r="K1434" i="27"/>
  <c r="K1716" i="27"/>
  <c r="K1761" i="27"/>
  <c r="K1697" i="27"/>
  <c r="K1633" i="27"/>
  <c r="K1569" i="27"/>
  <c r="K1505" i="27"/>
  <c r="K1441" i="27"/>
  <c r="K1792" i="27"/>
  <c r="K1728" i="27"/>
  <c r="K1664" i="27"/>
  <c r="K1600" i="27"/>
  <c r="K1536" i="27"/>
  <c r="K1472" i="27"/>
  <c r="K1772" i="27"/>
  <c r="K1767" i="27"/>
  <c r="K1703" i="27"/>
  <c r="K1639" i="27"/>
  <c r="K1575" i="27"/>
  <c r="K1511" i="27"/>
  <c r="K1447" i="27"/>
  <c r="K1742" i="27"/>
  <c r="K1678" i="27"/>
  <c r="K1614" i="27"/>
  <c r="K1550" i="27"/>
  <c r="K1486" i="27"/>
  <c r="K1422" i="27"/>
  <c r="K1789" i="27"/>
  <c r="K1725" i="27"/>
  <c r="K1661" i="27"/>
  <c r="K1597" i="27"/>
  <c r="K1533" i="27"/>
  <c r="K1469" i="27"/>
  <c r="K1572" i="27"/>
  <c r="K1484" i="27"/>
  <c r="K1612" i="27"/>
  <c r="K1596" i="27"/>
  <c r="K1739" i="27"/>
  <c r="K1675" i="27"/>
  <c r="K1611" i="27"/>
  <c r="K1547" i="27"/>
  <c r="K1483" i="27"/>
  <c r="K1419" i="27"/>
  <c r="K1746" i="27"/>
  <c r="K1682" i="27"/>
  <c r="K1618" i="27"/>
  <c r="K1554" i="27"/>
  <c r="K1490" i="27"/>
  <c r="K1426" i="27"/>
  <c r="K1753" i="27"/>
  <c r="K1689" i="27"/>
  <c r="K1625" i="27"/>
  <c r="K1561" i="27"/>
  <c r="K1497" i="27"/>
  <c r="K1433" i="27"/>
  <c r="K1784" i="27"/>
  <c r="K1720" i="27"/>
  <c r="K1656" i="27"/>
  <c r="K1592" i="27"/>
  <c r="K1528" i="27"/>
  <c r="K1464" i="27"/>
  <c r="K1732" i="27"/>
  <c r="K1759" i="27"/>
  <c r="K1695" i="27"/>
  <c r="K1631" i="27"/>
  <c r="K1567" i="27"/>
  <c r="K1503" i="27"/>
  <c r="K1439" i="27"/>
  <c r="K1798" i="27"/>
  <c r="K1734" i="27"/>
  <c r="K1670" i="27"/>
  <c r="K1606" i="27"/>
  <c r="K1542" i="27"/>
  <c r="K1478" i="27"/>
  <c r="K1781" i="27"/>
  <c r="K1717" i="27"/>
  <c r="K1653" i="27"/>
  <c r="K1589" i="27"/>
  <c r="K1525" i="27"/>
  <c r="K1461" i="27"/>
  <c r="K1708" i="27"/>
  <c r="K1508" i="27"/>
  <c r="K1684" i="27"/>
  <c r="K1420" i="27"/>
  <c r="K1532" i="27"/>
  <c r="K1795" i="27"/>
  <c r="K1731" i="27"/>
  <c r="K1667" i="27"/>
  <c r="K1603" i="27"/>
  <c r="K1539" i="27"/>
  <c r="K1475" i="27"/>
  <c r="K1802" i="27"/>
  <c r="K1738" i="27"/>
  <c r="K1674" i="27"/>
  <c r="K1610" i="27"/>
  <c r="K1546" i="27"/>
  <c r="K1482" i="27"/>
  <c r="K1418" i="27"/>
  <c r="K1745" i="27"/>
  <c r="K1681" i="27"/>
  <c r="K1617" i="27"/>
  <c r="K1553" i="27"/>
  <c r="K1489" i="27"/>
  <c r="K1425" i="27"/>
  <c r="K1776" i="27"/>
  <c r="K1712" i="27"/>
  <c r="K1648" i="27"/>
  <c r="K1584" i="27"/>
  <c r="K1520" i="27"/>
  <c r="K1456" i="27"/>
  <c r="K1751" i="27"/>
  <c r="K1687" i="27"/>
  <c r="K1623" i="27"/>
  <c r="K1559" i="27"/>
  <c r="K1495" i="27"/>
  <c r="K1431" i="27"/>
  <c r="K1790" i="27"/>
  <c r="K1726" i="27"/>
  <c r="K1662" i="27"/>
  <c r="K1598" i="27"/>
  <c r="K1534" i="27"/>
  <c r="K1470" i="27"/>
  <c r="K1773" i="27"/>
  <c r="K1709" i="27"/>
  <c r="K1645" i="27"/>
  <c r="K1581" i="27"/>
  <c r="K1517" i="27"/>
  <c r="K1453" i="27"/>
  <c r="K1644" i="27"/>
  <c r="K1444" i="27"/>
  <c r="K1620" i="27"/>
  <c r="K1668" i="27"/>
  <c r="K1468" i="27"/>
  <c r="K1459" i="27"/>
  <c r="K1787" i="27"/>
  <c r="K1723" i="27"/>
  <c r="K1659" i="27"/>
  <c r="K1595" i="27"/>
  <c r="K1531" i="27"/>
  <c r="K1467" i="27"/>
  <c r="K1794" i="27"/>
  <c r="K1730" i="27"/>
  <c r="K1666" i="27"/>
  <c r="K1602" i="27"/>
  <c r="K1538" i="27"/>
  <c r="K1474" i="27"/>
  <c r="K1801" i="27"/>
  <c r="K1737" i="27"/>
  <c r="K1673" i="27"/>
  <c r="K1609" i="27"/>
  <c r="K1545" i="27"/>
  <c r="K1481" i="27"/>
  <c r="K1417" i="27"/>
  <c r="K1768" i="27"/>
  <c r="K1704" i="27"/>
  <c r="K1640" i="27"/>
  <c r="K1576" i="27"/>
  <c r="K1512" i="27"/>
  <c r="K1448" i="27"/>
  <c r="K1743" i="27"/>
  <c r="K1679" i="27"/>
  <c r="K1615" i="27"/>
  <c r="K1551" i="27"/>
  <c r="K1487" i="27"/>
  <c r="K1423" i="27"/>
  <c r="K1782" i="27"/>
  <c r="K1718" i="27"/>
  <c r="K1654" i="27"/>
  <c r="K1590" i="27"/>
  <c r="K1526" i="27"/>
  <c r="K1462" i="27"/>
  <c r="K1788" i="27"/>
  <c r="K1765" i="27"/>
  <c r="K1701" i="27"/>
  <c r="K1637" i="27"/>
  <c r="K1573" i="27"/>
  <c r="K1509" i="27"/>
  <c r="K1445" i="27"/>
  <c r="K1580" i="27"/>
  <c r="K1692" i="27"/>
  <c r="K1556" i="27"/>
  <c r="K1604" i="27"/>
  <c r="K1652" i="27"/>
  <c r="K1779" i="27"/>
  <c r="K1715" i="27"/>
  <c r="K1651" i="27"/>
  <c r="K1587" i="27"/>
  <c r="K1523" i="27"/>
  <c r="K1771" i="27"/>
  <c r="K1707" i="27"/>
  <c r="K1643" i="27"/>
  <c r="K1579" i="27"/>
  <c r="K1515" i="27"/>
  <c r="K1451" i="27"/>
  <c r="K1778" i="27"/>
  <c r="K1714" i="27"/>
  <c r="K1650" i="27"/>
  <c r="K1586" i="27"/>
  <c r="K1522" i="27"/>
  <c r="K1458" i="27"/>
  <c r="K1785" i="27"/>
  <c r="K1721" i="27"/>
  <c r="K1657" i="27"/>
  <c r="K1593" i="27"/>
  <c r="K1529" i="27"/>
  <c r="K1465" i="27"/>
  <c r="K1752" i="27"/>
  <c r="K1688" i="27"/>
  <c r="K1624" i="27"/>
  <c r="K1560" i="27"/>
  <c r="K1496" i="27"/>
  <c r="K1432" i="27"/>
  <c r="K1791" i="27"/>
  <c r="K1727" i="27"/>
  <c r="K1663" i="27"/>
  <c r="K1599" i="27"/>
  <c r="K1535" i="27"/>
  <c r="K1471" i="27"/>
  <c r="K1764" i="27"/>
  <c r="K1766" i="27"/>
  <c r="K1702" i="27"/>
  <c r="K1638" i="27"/>
  <c r="K1574" i="27"/>
  <c r="K1510" i="27"/>
  <c r="K1446" i="27"/>
  <c r="K1749" i="27"/>
  <c r="K1685" i="27"/>
  <c r="K1621" i="27"/>
  <c r="K1557" i="27"/>
  <c r="K1493" i="27"/>
  <c r="K1429" i="27"/>
  <c r="K1452" i="27"/>
  <c r="K1564" i="27"/>
  <c r="K1428" i="27"/>
  <c r="K1476" i="27"/>
  <c r="K1524" i="27"/>
  <c r="K1700" i="27"/>
  <c r="K1548" i="27"/>
  <c r="K1460" i="27"/>
  <c r="K1763" i="27"/>
  <c r="K1699" i="27"/>
  <c r="K1635" i="27"/>
  <c r="K1571" i="27"/>
  <c r="K1507" i="27"/>
  <c r="K1443" i="27"/>
  <c r="K1780" i="27"/>
  <c r="K1770" i="27"/>
  <c r="K1706" i="27"/>
  <c r="K1642" i="27"/>
  <c r="K1578" i="27"/>
  <c r="K1514" i="27"/>
  <c r="K1450" i="27"/>
  <c r="K1796" i="27"/>
  <c r="K1777" i="27"/>
  <c r="K1713" i="27"/>
  <c r="K1649" i="27"/>
  <c r="K1585" i="27"/>
  <c r="K1521" i="27"/>
  <c r="K1457" i="27"/>
  <c r="K1744" i="27"/>
  <c r="K1680" i="27"/>
  <c r="K1616" i="27"/>
  <c r="K1552" i="27"/>
  <c r="K1488" i="27"/>
  <c r="K1424" i="27"/>
  <c r="K1783" i="27"/>
  <c r="K1719" i="27"/>
  <c r="K1655" i="27"/>
  <c r="K1591" i="27"/>
  <c r="K1527" i="27"/>
  <c r="K1463" i="27"/>
  <c r="K1724" i="27"/>
  <c r="K1758" i="27"/>
  <c r="K1694" i="27"/>
  <c r="K1630" i="27"/>
  <c r="K1566" i="27"/>
  <c r="K1502" i="27"/>
  <c r="K1438" i="27"/>
  <c r="K1741" i="27"/>
  <c r="K1677" i="27"/>
  <c r="K1613" i="27"/>
  <c r="K1549" i="27"/>
  <c r="K1485" i="27"/>
  <c r="K1421" i="27"/>
  <c r="K1500" i="27"/>
  <c r="K1518" i="27"/>
  <c r="K1799" i="27"/>
  <c r="K1565" i="27"/>
  <c r="K1504" i="27"/>
  <c r="K1748" i="27"/>
  <c r="K1722" i="27"/>
  <c r="K1440" i="27"/>
  <c r="K1671" i="27"/>
  <c r="K1437" i="27"/>
  <c r="K1658" i="27"/>
  <c r="K1793" i="27"/>
  <c r="K1607" i="27"/>
  <c r="K1774" i="27"/>
  <c r="K1516" i="27"/>
  <c r="K1466" i="27"/>
  <c r="K1537" i="27"/>
  <c r="K1629" i="27"/>
  <c r="K1786" i="27"/>
  <c r="K1501" i="27"/>
  <c r="K1594" i="27"/>
  <c r="K1729" i="27"/>
  <c r="K1543" i="27"/>
  <c r="K1710" i="27"/>
  <c r="K1628" i="27"/>
  <c r="K1601" i="27"/>
  <c r="K1693" i="27"/>
  <c r="K1588" i="27"/>
  <c r="K1473" i="27"/>
  <c r="K1530" i="27"/>
  <c r="K1665" i="27"/>
  <c r="K1760" i="27"/>
  <c r="K1479" i="27"/>
  <c r="K1646" i="27"/>
  <c r="K1757" i="27"/>
  <c r="K1492" i="27"/>
  <c r="K1696" i="27"/>
  <c r="K1582" i="27"/>
  <c r="K1540" i="27"/>
  <c r="K1632" i="27"/>
  <c r="K1568" i="27"/>
  <c r="K1454" i="27"/>
  <c r="K1735" i="27"/>
  <c r="A2352" i="27"/>
  <c r="O1173" i="27"/>
  <c r="O1157" i="27"/>
  <c r="O1069" i="27"/>
  <c r="O1101" i="27"/>
  <c r="O1109" i="27"/>
  <c r="O1141" i="27"/>
  <c r="O1045" i="27"/>
  <c r="O1093" i="27"/>
  <c r="O1165" i="27"/>
  <c r="O1077" i="27"/>
  <c r="O1149" i="27"/>
  <c r="O1133" i="27"/>
  <c r="O1053" i="27"/>
  <c r="O1125" i="27"/>
  <c r="O1061" i="27"/>
  <c r="O1085" i="27"/>
  <c r="O1117" i="27"/>
  <c r="O1032" i="27"/>
  <c r="N1171" i="27"/>
  <c r="N1067" i="27"/>
  <c r="N1059" i="27"/>
  <c r="N1155" i="27"/>
  <c r="N1107" i="27"/>
  <c r="N1091" i="27"/>
  <c r="N1139" i="27"/>
  <c r="N1043" i="27"/>
  <c r="N1147" i="27"/>
  <c r="N1163" i="27"/>
  <c r="N1051" i="27"/>
  <c r="N1099" i="27"/>
  <c r="N1075" i="27"/>
  <c r="N1123" i="27"/>
  <c r="N1115" i="27"/>
  <c r="N1083" i="27"/>
  <c r="N1131" i="27"/>
  <c r="M1171" i="27"/>
  <c r="M1163" i="27"/>
  <c r="M1155" i="27"/>
  <c r="L1043" i="27"/>
  <c r="L1131" i="27"/>
  <c r="L1173" i="27"/>
  <c r="L1083" i="27"/>
  <c r="L1115" i="27"/>
  <c r="L1141" i="27"/>
  <c r="L1099" i="27"/>
  <c r="L1045" i="27"/>
  <c r="L1107" i="27"/>
  <c r="L1053" i="27"/>
  <c r="L1117" i="27"/>
  <c r="L1059" i="27"/>
  <c r="L1125" i="27"/>
  <c r="L1149" i="27"/>
  <c r="L1163" i="27"/>
  <c r="L1165" i="27"/>
  <c r="L1093" i="27"/>
  <c r="L1075" i="27"/>
  <c r="L1147" i="27"/>
  <c r="L1171" i="27"/>
  <c r="L1051" i="27"/>
  <c r="L1133" i="27"/>
  <c r="L1061" i="27"/>
  <c r="L1139" i="27"/>
  <c r="L1085" i="27"/>
  <c r="L1077" i="27"/>
  <c r="L1123" i="27"/>
  <c r="L1069" i="27"/>
  <c r="L1109" i="27"/>
  <c r="L1067" i="27"/>
  <c r="L1101" i="27"/>
  <c r="L1091" i="27"/>
  <c r="L1155" i="27"/>
  <c r="L1157" i="27"/>
  <c r="K1123" i="27"/>
  <c r="K1171" i="27"/>
  <c r="K1139" i="27"/>
  <c r="K1083" i="27"/>
  <c r="K1051" i="27"/>
  <c r="K1099" i="27"/>
  <c r="K1163" i="27"/>
  <c r="K1067" i="27"/>
  <c r="K1155" i="27"/>
  <c r="K1107" i="27"/>
  <c r="K1075" i="27"/>
  <c r="K1147" i="27"/>
  <c r="K1131" i="27"/>
  <c r="K1043" i="27"/>
  <c r="K1059" i="27"/>
  <c r="K1091" i="27"/>
  <c r="K1115" i="27"/>
  <c r="J1164" i="27"/>
  <c r="J1171" i="27"/>
  <c r="J1155" i="27"/>
  <c r="J1147" i="27"/>
  <c r="J1163" i="27"/>
  <c r="J1148" i="27"/>
  <c r="J1156" i="27"/>
  <c r="I1174" i="27"/>
  <c r="I1171" i="27"/>
  <c r="I1118" i="27"/>
  <c r="I1158" i="27"/>
  <c r="I1070" i="27"/>
  <c r="I1075" i="27"/>
  <c r="I1067" i="27"/>
  <c r="I1150" i="27"/>
  <c r="I1083" i="27"/>
  <c r="I1099" i="27"/>
  <c r="I1131" i="27"/>
  <c r="I1078" i="27"/>
  <c r="I1110" i="27"/>
  <c r="I1107" i="27"/>
  <c r="I1054" i="27"/>
  <c r="I1094" i="27"/>
  <c r="I1155" i="27"/>
  <c r="I1123" i="27"/>
  <c r="I1166" i="27"/>
  <c r="I1059" i="27"/>
  <c r="I1086" i="27"/>
  <c r="I1102" i="27"/>
  <c r="I1134" i="27"/>
  <c r="I1091" i="27"/>
  <c r="I1142" i="27"/>
  <c r="I1051" i="27"/>
  <c r="I1147" i="27"/>
  <c r="I1163" i="27"/>
  <c r="I1046" i="27"/>
  <c r="I1043" i="27"/>
  <c r="I1139" i="27"/>
  <c r="I1115" i="27"/>
  <c r="I1062" i="27"/>
  <c r="I1126" i="27"/>
  <c r="H1171" i="27"/>
  <c r="H1163" i="27"/>
  <c r="H1090" i="27"/>
  <c r="H1063" i="27"/>
  <c r="H1129" i="27"/>
  <c r="H1052" i="27"/>
  <c r="H1060" i="27"/>
  <c r="H1132" i="27"/>
  <c r="H1081" i="27"/>
  <c r="H1100" i="27"/>
  <c r="H1108" i="27"/>
  <c r="H1057" i="27"/>
  <c r="H1068" i="27"/>
  <c r="H1146" i="27"/>
  <c r="H1094" i="27"/>
  <c r="H1054" i="27"/>
  <c r="H1138" i="27"/>
  <c r="H1175" i="27"/>
  <c r="H1125" i="27"/>
  <c r="H1133" i="27"/>
  <c r="H1058" i="27"/>
  <c r="H1086" i="27"/>
  <c r="H1064" i="27"/>
  <c r="H1127" i="27"/>
  <c r="H1145" i="27"/>
  <c r="H1072" i="27"/>
  <c r="H1151" i="27"/>
  <c r="H1056" i="27"/>
  <c r="H1085" i="27"/>
  <c r="H1067" i="27"/>
  <c r="H1116" i="27"/>
  <c r="H1124" i="27"/>
  <c r="H1082" i="27"/>
  <c r="H1105" i="27"/>
  <c r="H1102" i="27"/>
  <c r="H1164" i="27"/>
  <c r="H1093" i="27"/>
  <c r="H1161" i="27"/>
  <c r="H1110" i="27"/>
  <c r="H1173" i="27"/>
  <c r="H1098" i="27"/>
  <c r="H1071" i="27"/>
  <c r="H1051" i="27"/>
  <c r="H1042" i="27"/>
  <c r="H1134" i="27"/>
  <c r="H1139" i="27"/>
  <c r="H1078" i="27"/>
  <c r="H1091" i="27"/>
  <c r="H1128" i="27"/>
  <c r="H1044" i="27"/>
  <c r="H1166" i="27"/>
  <c r="H1048" i="27"/>
  <c r="H1073" i="27"/>
  <c r="H1170" i="27"/>
  <c r="H1088" i="27"/>
  <c r="H1172" i="27"/>
  <c r="H1165" i="27"/>
  <c r="H1176" i="27"/>
  <c r="H1046" i="27"/>
  <c r="H1142" i="27"/>
  <c r="H1167" i="27"/>
  <c r="H1075" i="27"/>
  <c r="H1106" i="27"/>
  <c r="H1079" i="27"/>
  <c r="H1123" i="27"/>
  <c r="H1119" i="27"/>
  <c r="H1089" i="27"/>
  <c r="H1159" i="27"/>
  <c r="H1137" i="27"/>
  <c r="H1104" i="27"/>
  <c r="H1101" i="27"/>
  <c r="H1050" i="27"/>
  <c r="H1095" i="27"/>
  <c r="H1120" i="27"/>
  <c r="H1168" i="27"/>
  <c r="H1162" i="27"/>
  <c r="H1122" i="27"/>
  <c r="H1169" i="27"/>
  <c r="H1092" i="27"/>
  <c r="H1149" i="27"/>
  <c r="H1153" i="27"/>
  <c r="H1147" i="27"/>
  <c r="H1114" i="27"/>
  <c r="H1070" i="27"/>
  <c r="H1156" i="27"/>
  <c r="H1135" i="27"/>
  <c r="H1177" i="27"/>
  <c r="H1113" i="27"/>
  <c r="H1043" i="27"/>
  <c r="H1087" i="27"/>
  <c r="H1136" i="27"/>
  <c r="H1096" i="27"/>
  <c r="H1121" i="27"/>
  <c r="H1143" i="27"/>
  <c r="H1055" i="27"/>
  <c r="H1109" i="27"/>
  <c r="H1077" i="27"/>
  <c r="H1065" i="27"/>
  <c r="H1047" i="27"/>
  <c r="H1150" i="27"/>
  <c r="H1099" i="27"/>
  <c r="H1131" i="27"/>
  <c r="H1141" i="27"/>
  <c r="H1117" i="27"/>
  <c r="H1118" i="27"/>
  <c r="H1160" i="27"/>
  <c r="H1130" i="27"/>
  <c r="H1076" i="27"/>
  <c r="H1062" i="27"/>
  <c r="H1097" i="27"/>
  <c r="H1107" i="27"/>
  <c r="H1053" i="27"/>
  <c r="H1112" i="27"/>
  <c r="H1178" i="27"/>
  <c r="H1157" i="27"/>
  <c r="H1059" i="27"/>
  <c r="H1083" i="27"/>
  <c r="H1103" i="27"/>
  <c r="H1084" i="27"/>
  <c r="H1155" i="27"/>
  <c r="H1080" i="27"/>
  <c r="H1144" i="27"/>
  <c r="H1074" i="27"/>
  <c r="H1140" i="27"/>
  <c r="H1158" i="27"/>
  <c r="H1148" i="27"/>
  <c r="H1041" i="27"/>
  <c r="H1049" i="27"/>
  <c r="H1045" i="27"/>
  <c r="H1069" i="27"/>
  <c r="H1111" i="27"/>
  <c r="H1152" i="27"/>
  <c r="H1126" i="27"/>
  <c r="H1066" i="27"/>
  <c r="H1154" i="27"/>
  <c r="H1174" i="27"/>
  <c r="H1061" i="27"/>
  <c r="H1115" i="27"/>
  <c r="G1171" i="27"/>
  <c r="G1099" i="27"/>
  <c r="G1139" i="27"/>
  <c r="G1091" i="27"/>
  <c r="G1115" i="27"/>
  <c r="G1107" i="27"/>
  <c r="G1067" i="27"/>
  <c r="G1123" i="27"/>
  <c r="G1131" i="27"/>
  <c r="G1147" i="27"/>
  <c r="G1075" i="27"/>
  <c r="G1051" i="27"/>
  <c r="G1155" i="27"/>
  <c r="G1083" i="27"/>
  <c r="G1059" i="27"/>
  <c r="G1163" i="27"/>
  <c r="G1043" i="27"/>
  <c r="E1173" i="27"/>
  <c r="E1149" i="27"/>
  <c r="E1172" i="27"/>
  <c r="E1147" i="27"/>
  <c r="E1083" i="27"/>
  <c r="E1164" i="27"/>
  <c r="E1091" i="27"/>
  <c r="E1139" i="27"/>
  <c r="E1099" i="27"/>
  <c r="E1123" i="27"/>
  <c r="E1125" i="27"/>
  <c r="E1075" i="27"/>
  <c r="E1101" i="27"/>
  <c r="E1156" i="27"/>
  <c r="E1059" i="27"/>
  <c r="E1131" i="27"/>
  <c r="E1171" i="27"/>
  <c r="E1133" i="27"/>
  <c r="E1051" i="27"/>
  <c r="E1141" i="27"/>
  <c r="E1157" i="27"/>
  <c r="E1163" i="27"/>
  <c r="E1117" i="27"/>
  <c r="E1109" i="27"/>
  <c r="E1148" i="27"/>
  <c r="E1165" i="27"/>
  <c r="E1067" i="27"/>
  <c r="E1107" i="27"/>
  <c r="E1043" i="27"/>
  <c r="E1115" i="27"/>
  <c r="E1155" i="27"/>
  <c r="K1028" i="27"/>
  <c r="K957" i="27"/>
  <c r="K1009" i="27"/>
  <c r="K896" i="27"/>
  <c r="K898" i="27"/>
  <c r="K986" i="27"/>
  <c r="K933" i="27"/>
  <c r="K1019" i="27"/>
  <c r="K987" i="27"/>
  <c r="K963" i="27"/>
  <c r="K972" i="27"/>
  <c r="K978" i="27"/>
  <c r="K1000" i="27"/>
  <c r="K913" i="27"/>
  <c r="K938" i="27"/>
  <c r="K930" i="27"/>
  <c r="K1013" i="27"/>
  <c r="K1020" i="27"/>
  <c r="K988" i="27"/>
  <c r="K981" i="27"/>
  <c r="K983" i="27"/>
  <c r="K926" i="27"/>
  <c r="K1014" i="27"/>
  <c r="K980" i="27"/>
  <c r="K1011" i="27"/>
  <c r="K1008" i="27"/>
  <c r="K984" i="27"/>
  <c r="K917" i="27"/>
  <c r="K974" i="27"/>
  <c r="K1006" i="27"/>
  <c r="K901" i="27"/>
  <c r="K915" i="27"/>
  <c r="K1003" i="27"/>
  <c r="K992" i="27"/>
  <c r="K1012" i="27"/>
  <c r="K1025" i="27"/>
  <c r="K964" i="27"/>
  <c r="K905" i="27"/>
  <c r="K928" i="27"/>
  <c r="K995" i="27"/>
  <c r="K1017" i="27"/>
  <c r="K894" i="27"/>
  <c r="K971" i="27"/>
  <c r="K891" i="27"/>
  <c r="K923" i="27"/>
  <c r="K899" i="27"/>
  <c r="K911" i="27"/>
  <c r="K989" i="27"/>
  <c r="K914" i="27"/>
  <c r="K936" i="27"/>
  <c r="K1024" i="27"/>
  <c r="K951" i="27"/>
  <c r="K975" i="27"/>
  <c r="K949" i="27"/>
  <c r="K1001" i="27"/>
  <c r="K893" i="27"/>
  <c r="K921" i="27"/>
  <c r="K1016" i="27"/>
  <c r="K1005" i="27"/>
  <c r="K922" i="27"/>
  <c r="K920" i="27"/>
  <c r="K947" i="27"/>
  <c r="K944" i="27"/>
  <c r="K919" i="27"/>
  <c r="K927" i="27"/>
  <c r="K1010" i="27"/>
  <c r="K942" i="27"/>
  <c r="K907" i="27"/>
  <c r="K996" i="27"/>
  <c r="K1026" i="27"/>
  <c r="K939" i="27"/>
  <c r="K967" i="27"/>
  <c r="K956" i="27"/>
  <c r="K924" i="27"/>
  <c r="K900" i="27"/>
  <c r="K1023" i="27"/>
  <c r="K982" i="27"/>
  <c r="K950" i="27"/>
  <c r="K916" i="27"/>
  <c r="K1004" i="27"/>
  <c r="K1018" i="27"/>
  <c r="K993" i="27"/>
  <c r="K998" i="27"/>
  <c r="K910" i="27"/>
  <c r="K1022" i="27"/>
  <c r="K1002" i="27"/>
  <c r="K895" i="27"/>
  <c r="K999" i="27"/>
  <c r="K960" i="27"/>
  <c r="K966" i="27"/>
  <c r="K948" i="27"/>
  <c r="K961" i="27"/>
  <c r="K937" i="27"/>
  <c r="K943" i="27"/>
  <c r="K958" i="27"/>
  <c r="K931" i="27"/>
  <c r="K953" i="27"/>
  <c r="K935" i="27"/>
  <c r="K925" i="27"/>
  <c r="K940" i="27"/>
  <c r="K976" i="27"/>
  <c r="K970" i="27"/>
  <c r="K946" i="27"/>
  <c r="K1021" i="27"/>
  <c r="K954" i="27"/>
  <c r="K932" i="27"/>
  <c r="K962" i="27"/>
  <c r="K985" i="27"/>
  <c r="K918" i="27"/>
  <c r="K892" i="27"/>
  <c r="K897" i="27"/>
  <c r="K1027" i="27"/>
  <c r="K952" i="27"/>
  <c r="K941" i="27"/>
  <c r="K903" i="27"/>
  <c r="K977" i="27"/>
  <c r="K955" i="27"/>
  <c r="K994" i="27"/>
  <c r="K934" i="27"/>
  <c r="K904" i="27"/>
  <c r="K973" i="27"/>
  <c r="K929" i="27"/>
  <c r="K969" i="27"/>
  <c r="K990" i="27"/>
  <c r="K1007" i="27"/>
  <c r="K909" i="27"/>
  <c r="K968" i="27"/>
  <c r="K908" i="27"/>
  <c r="K991" i="27"/>
  <c r="K912" i="27"/>
  <c r="K997" i="27"/>
  <c r="K959" i="27"/>
  <c r="K965" i="27"/>
  <c r="K979" i="27"/>
  <c r="K1015" i="27"/>
  <c r="K945" i="27"/>
  <c r="K902" i="27"/>
  <c r="K906" i="27"/>
  <c r="L878" i="27"/>
  <c r="K878" i="27"/>
  <c r="M878" i="27"/>
  <c r="I878" i="27"/>
  <c r="G878" i="27"/>
  <c r="H536" i="27"/>
  <c r="H537" i="27" s="1"/>
  <c r="H538" i="27" s="1"/>
  <c r="H539" i="27" s="1"/>
  <c r="H540" i="27" s="1"/>
  <c r="H535" i="27"/>
  <c r="J189" i="24"/>
  <c r="BE84" i="34"/>
  <c r="BF84" i="34"/>
  <c r="AT85" i="34"/>
  <c r="AO85" i="34"/>
  <c r="AP85" i="34" s="1"/>
  <c r="AQ84" i="34"/>
  <c r="AR84" i="34"/>
  <c r="U1015" i="32"/>
  <c r="J191" i="24"/>
  <c r="J181" i="24"/>
  <c r="O878" i="27"/>
  <c r="Q62" i="24"/>
  <c r="P2352" i="27"/>
  <c r="L2353" i="27"/>
  <c r="K2352" i="27"/>
  <c r="G1013" i="32"/>
  <c r="O488" i="27"/>
  <c r="D2353" i="27"/>
  <c r="A1015" i="32"/>
  <c r="A2131" i="27" l="1"/>
  <c r="A2054" i="27"/>
  <c r="A2122" i="27"/>
  <c r="A2114" i="27"/>
  <c r="A2168" i="27"/>
  <c r="A2083" i="27"/>
  <c r="A2149" i="27"/>
  <c r="A2103" i="27"/>
  <c r="A2077" i="27"/>
  <c r="A2089" i="27"/>
  <c r="A2106" i="27"/>
  <c r="A2091" i="27"/>
  <c r="A2152" i="27"/>
  <c r="A2123" i="27"/>
  <c r="A2087" i="27"/>
  <c r="A2129" i="27"/>
  <c r="A2119" i="27"/>
  <c r="A2049" i="27"/>
  <c r="A2101" i="27"/>
  <c r="A2124" i="27"/>
  <c r="A2084" i="27"/>
  <c r="S935" i="32" a="1"/>
  <c r="S935" i="32" s="1"/>
  <c r="E935" i="32" s="1"/>
  <c r="F2169" i="27" s="1"/>
  <c r="R935" i="32" a="1"/>
  <c r="R935" i="32" s="1"/>
  <c r="D935" i="32" s="1"/>
  <c r="V935" i="32" a="1"/>
  <c r="V935" i="32" s="1"/>
  <c r="L935" i="32" s="1"/>
  <c r="T935" i="32" a="1"/>
  <c r="T935" i="32" s="1"/>
  <c r="M2169" i="27" s="1"/>
  <c r="A2169" i="27" s="1"/>
  <c r="P939" i="32"/>
  <c r="Q937" i="32"/>
  <c r="A2065" i="27"/>
  <c r="A2162" i="27"/>
  <c r="A2075" i="27"/>
  <c r="A2098" i="27"/>
  <c r="A2058" i="27"/>
  <c r="A2105" i="27"/>
  <c r="A2081" i="27"/>
  <c r="A2150" i="27"/>
  <c r="A2125" i="27"/>
  <c r="A2137" i="27"/>
  <c r="A2104" i="27"/>
  <c r="A2078" i="27"/>
  <c r="A2070" i="27"/>
  <c r="A2067" i="27"/>
  <c r="A2160" i="27"/>
  <c r="A2053" i="27"/>
  <c r="A2096" i="27"/>
  <c r="A2156" i="27"/>
  <c r="A2062" i="27"/>
  <c r="A2163" i="27"/>
  <c r="A2082" i="27"/>
  <c r="A2050" i="27"/>
  <c r="A2139" i="27"/>
  <c r="A2157" i="27"/>
  <c r="A2145" i="27"/>
  <c r="A2086" i="27"/>
  <c r="A2051" i="27"/>
  <c r="A2071" i="27"/>
  <c r="A2133" i="27"/>
  <c r="A2100" i="27"/>
  <c r="A2108" i="27"/>
  <c r="A2135" i="27"/>
  <c r="A2120" i="27"/>
  <c r="A2036" i="27"/>
  <c r="A2088" i="27"/>
  <c r="A2038" i="27"/>
  <c r="A2073" i="27"/>
  <c r="A2057" i="27"/>
  <c r="A2117" i="27"/>
  <c r="A2134" i="27"/>
  <c r="A2029" i="27"/>
  <c r="A2072" i="27"/>
  <c r="A2028" i="27"/>
  <c r="A2074" i="27"/>
  <c r="A2023" i="27"/>
  <c r="A2069" i="27"/>
  <c r="A2079" i="27"/>
  <c r="A2154" i="27"/>
  <c r="A2018" i="27"/>
  <c r="A2132" i="27"/>
  <c r="A2068" i="27"/>
  <c r="A2153" i="27"/>
  <c r="A2107" i="27"/>
  <c r="A2127" i="27"/>
  <c r="A2043" i="27"/>
  <c r="A2148" i="27"/>
  <c r="F3114" i="27"/>
  <c r="A2020" i="27"/>
  <c r="A2064" i="27"/>
  <c r="A2121" i="27"/>
  <c r="A2032" i="27"/>
  <c r="A2093" i="27"/>
  <c r="A2034" i="27"/>
  <c r="A2090" i="27"/>
  <c r="A2102" i="27"/>
  <c r="A2025" i="27"/>
  <c r="A2022" i="27"/>
  <c r="A2140" i="27"/>
  <c r="A2166" i="27"/>
  <c r="A2141" i="27"/>
  <c r="A2155" i="27"/>
  <c r="A2033" i="27"/>
  <c r="A2128" i="27"/>
  <c r="A2031" i="27"/>
  <c r="A2040" i="27"/>
  <c r="A2059" i="27"/>
  <c r="A2030" i="27"/>
  <c r="A2035" i="27"/>
  <c r="A2039" i="27"/>
  <c r="A2151" i="27"/>
  <c r="A2056" i="27"/>
  <c r="A2021" i="27"/>
  <c r="A2115" i="27"/>
  <c r="A2041" i="27"/>
  <c r="A2113" i="27"/>
  <c r="P2172" i="27"/>
  <c r="A2063" i="27"/>
  <c r="A2046" i="27"/>
  <c r="A2136" i="27"/>
  <c r="A2042" i="27"/>
  <c r="A2024" i="27"/>
  <c r="A2027" i="27"/>
  <c r="A2044" i="27"/>
  <c r="A2111" i="27"/>
  <c r="A2076" i="27"/>
  <c r="A2037" i="27"/>
  <c r="A2116" i="27"/>
  <c r="A2144" i="27"/>
  <c r="A2061" i="27"/>
  <c r="A2147" i="27"/>
  <c r="A2158" i="27"/>
  <c r="A2045" i="27"/>
  <c r="A2161" i="27"/>
  <c r="A2130" i="27"/>
  <c r="A2026" i="27"/>
  <c r="A2138" i="27"/>
  <c r="A2126" i="27"/>
  <c r="A2047" i="27"/>
  <c r="A2048" i="27"/>
  <c r="A2016" i="27"/>
  <c r="A2055" i="27"/>
  <c r="A2092" i="27"/>
  <c r="A2159" i="27"/>
  <c r="A2109" i="27"/>
  <c r="A2110" i="27"/>
  <c r="A2099" i="27"/>
  <c r="A2146" i="27"/>
  <c r="A2167" i="27"/>
  <c r="A2112" i="27"/>
  <c r="A2052" i="27"/>
  <c r="A2143" i="27"/>
  <c r="A2080" i="27"/>
  <c r="A2165" i="27"/>
  <c r="A2142" i="27"/>
  <c r="A2164" i="27"/>
  <c r="A2095" i="27"/>
  <c r="A2019" i="27"/>
  <c r="A2060" i="27"/>
  <c r="A2094" i="27"/>
  <c r="A2085" i="27"/>
  <c r="A2097" i="27"/>
  <c r="A2066" i="27"/>
  <c r="A2118" i="27"/>
  <c r="A2017" i="27"/>
  <c r="K1804" i="27"/>
  <c r="K1803" i="27"/>
  <c r="A2353" i="27"/>
  <c r="A1171" i="27"/>
  <c r="A1155" i="27"/>
  <c r="H1036" i="27"/>
  <c r="A1163" i="27"/>
  <c r="J1336" i="27"/>
  <c r="H1336" i="27"/>
  <c r="K1204" i="27"/>
  <c r="H541" i="27"/>
  <c r="H542" i="27"/>
  <c r="H543" i="27" s="1"/>
  <c r="H544" i="27" s="1"/>
  <c r="H545" i="27" s="1"/>
  <c r="H546" i="27" s="1"/>
  <c r="BE85" i="34"/>
  <c r="BF85" i="34"/>
  <c r="J1182" i="27"/>
  <c r="AT86" i="34"/>
  <c r="AO86" i="34"/>
  <c r="AP86" i="34" s="1"/>
  <c r="AQ85" i="34"/>
  <c r="AR85" i="34"/>
  <c r="H1182" i="27"/>
  <c r="U1017" i="32"/>
  <c r="S114" i="24"/>
  <c r="J173" i="24"/>
  <c r="S64" i="24"/>
  <c r="N123" i="1"/>
  <c r="M123" i="1"/>
  <c r="R496" i="27"/>
  <c r="G16" i="32"/>
  <c r="P2353" i="27"/>
  <c r="N492" i="27"/>
  <c r="L2354" i="27"/>
  <c r="A1017" i="32"/>
  <c r="K2353" i="27"/>
  <c r="G1015" i="32"/>
  <c r="D2354" i="27"/>
  <c r="G330" i="32"/>
  <c r="R937" i="32" l="1" a="1"/>
  <c r="R937" i="32" s="1"/>
  <c r="D937" i="32" s="1"/>
  <c r="T937" i="32" a="1"/>
  <c r="T937" i="32" s="1"/>
  <c r="M2170" i="27" s="1"/>
  <c r="A2170" i="27" s="1"/>
  <c r="S937" i="32" a="1"/>
  <c r="S937" i="32" s="1"/>
  <c r="E937" i="32" s="1"/>
  <c r="F2170" i="27" s="1"/>
  <c r="V937" i="32" a="1"/>
  <c r="V937" i="32" s="1"/>
  <c r="L937" i="32" s="1"/>
  <c r="P941" i="32"/>
  <c r="Q939" i="32"/>
  <c r="F3115" i="27"/>
  <c r="P2173" i="27"/>
  <c r="K1805" i="27"/>
  <c r="K1806" i="27"/>
  <c r="A2354" i="27"/>
  <c r="N1032" i="27"/>
  <c r="J1032" i="27"/>
  <c r="H1032" i="27"/>
  <c r="E1336" i="27"/>
  <c r="A1336" i="27" s="1"/>
  <c r="K1196" i="27"/>
  <c r="H548" i="27"/>
  <c r="H549" i="27" s="1"/>
  <c r="H550" i="27" s="1"/>
  <c r="H551" i="27" s="1"/>
  <c r="H552" i="27" s="1"/>
  <c r="H547" i="27"/>
  <c r="H189" i="24"/>
  <c r="BE86" i="34"/>
  <c r="BF86" i="34"/>
  <c r="J878" i="27"/>
  <c r="N878" i="27"/>
  <c r="AT87" i="34"/>
  <c r="AO87" i="34"/>
  <c r="AP87" i="34" s="1"/>
  <c r="AR86" i="34"/>
  <c r="AQ86" i="34"/>
  <c r="E1182" i="27"/>
  <c r="A1182" i="27" s="1"/>
  <c r="H878" i="27"/>
  <c r="H191" i="24"/>
  <c r="U1019" i="32"/>
  <c r="AA123" i="1"/>
  <c r="AJ123" i="1" s="1"/>
  <c r="A1019" i="32"/>
  <c r="E492" i="27"/>
  <c r="G1017" i="32"/>
  <c r="G322" i="32"/>
  <c r="L2355" i="27"/>
  <c r="R492" i="27"/>
  <c r="K2354" i="27"/>
  <c r="P2354" i="27"/>
  <c r="D2355" i="27"/>
  <c r="N488" i="27"/>
  <c r="P943" i="32" l="1"/>
  <c r="Q941" i="32"/>
  <c r="T939" i="32" a="1"/>
  <c r="T939" i="32" s="1"/>
  <c r="M2171" i="27" s="1"/>
  <c r="A2171" i="27" s="1"/>
  <c r="R939" i="32" a="1"/>
  <c r="R939" i="32" s="1"/>
  <c r="D939" i="32" s="1"/>
  <c r="S939" i="32" a="1"/>
  <c r="S939" i="32" s="1"/>
  <c r="E939" i="32" s="1"/>
  <c r="F2171" i="27" s="1"/>
  <c r="V939" i="32" a="1"/>
  <c r="V939" i="32" s="1"/>
  <c r="L939" i="32" s="1"/>
  <c r="F3116" i="27"/>
  <c r="P2174" i="27"/>
  <c r="K1807" i="27"/>
  <c r="K1808" i="27"/>
  <c r="A2355" i="27"/>
  <c r="E1032" i="27"/>
  <c r="A1032" i="27" s="1"/>
  <c r="H553" i="27"/>
  <c r="H554" i="27"/>
  <c r="H555" i="27" s="1"/>
  <c r="H556" i="27" s="1"/>
  <c r="H557" i="27" s="1"/>
  <c r="H558" i="27" s="1"/>
  <c r="AM169" i="1"/>
  <c r="AM161" i="1"/>
  <c r="AM153" i="1"/>
  <c r="AM145" i="1"/>
  <c r="AM137" i="1"/>
  <c r="AM129" i="1"/>
  <c r="AL171" i="1"/>
  <c r="AL163" i="1"/>
  <c r="AL155" i="1"/>
  <c r="AL147" i="1"/>
  <c r="AL139" i="1"/>
  <c r="AL131" i="1"/>
  <c r="AK173" i="1"/>
  <c r="AK165" i="1"/>
  <c r="AK157" i="1"/>
  <c r="AK149" i="1"/>
  <c r="AM166" i="1"/>
  <c r="AM158" i="1"/>
  <c r="AM150" i="1"/>
  <c r="AM142" i="1"/>
  <c r="AM134" i="1"/>
  <c r="AM126" i="1"/>
  <c r="AL168" i="1"/>
  <c r="AL160" i="1"/>
  <c r="AL152" i="1"/>
  <c r="AL144" i="1"/>
  <c r="AL136" i="1"/>
  <c r="AL128" i="1"/>
  <c r="AK170" i="1"/>
  <c r="AK162" i="1"/>
  <c r="AK154" i="1"/>
  <c r="AK146" i="1"/>
  <c r="AK138" i="1"/>
  <c r="AK130" i="1"/>
  <c r="AM173" i="1"/>
  <c r="AM165" i="1"/>
  <c r="AM157" i="1"/>
  <c r="AM149" i="1"/>
  <c r="AM141" i="1"/>
  <c r="AM133" i="1"/>
  <c r="AM125" i="1"/>
  <c r="AL167" i="1"/>
  <c r="AL159" i="1"/>
  <c r="AL151" i="1"/>
  <c r="AL143" i="1"/>
  <c r="AL135" i="1"/>
  <c r="AL127" i="1"/>
  <c r="AK169" i="1"/>
  <c r="AK161" i="1"/>
  <c r="AK153" i="1"/>
  <c r="AK145" i="1"/>
  <c r="AK137" i="1"/>
  <c r="AK129" i="1"/>
  <c r="AM172" i="1"/>
  <c r="AM164" i="1"/>
  <c r="AM156" i="1"/>
  <c r="AM148" i="1"/>
  <c r="AM140" i="1"/>
  <c r="AM132" i="1"/>
  <c r="AM124" i="1"/>
  <c r="AL166" i="1"/>
  <c r="AL158" i="1"/>
  <c r="AL150" i="1"/>
  <c r="AL142" i="1"/>
  <c r="AL134" i="1"/>
  <c r="AL126" i="1"/>
  <c r="AK168" i="1"/>
  <c r="AN168" i="1" s="1"/>
  <c r="AK160" i="1"/>
  <c r="AK152" i="1"/>
  <c r="AK144" i="1"/>
  <c r="AK136" i="1"/>
  <c r="AK128" i="1"/>
  <c r="AM171" i="1"/>
  <c r="AM163" i="1"/>
  <c r="AM155" i="1"/>
  <c r="AM147" i="1"/>
  <c r="AM139" i="1"/>
  <c r="AM131" i="1"/>
  <c r="AL173" i="1"/>
  <c r="AL165" i="1"/>
  <c r="AL157" i="1"/>
  <c r="AL149" i="1"/>
  <c r="AL141" i="1"/>
  <c r="AL133" i="1"/>
  <c r="AL125" i="1"/>
  <c r="AK167" i="1"/>
  <c r="AK159" i="1"/>
  <c r="AK151" i="1"/>
  <c r="AK143" i="1"/>
  <c r="AK135" i="1"/>
  <c r="AK127" i="1"/>
  <c r="AN127" i="1" s="1"/>
  <c r="AM167" i="1"/>
  <c r="AM144" i="1"/>
  <c r="AL172" i="1"/>
  <c r="AL153" i="1"/>
  <c r="AL130" i="1"/>
  <c r="AK158" i="1"/>
  <c r="AK140" i="1"/>
  <c r="AK124" i="1"/>
  <c r="AM162" i="1"/>
  <c r="AM143" i="1"/>
  <c r="AL170" i="1"/>
  <c r="AL148" i="1"/>
  <c r="AL129" i="1"/>
  <c r="AK156" i="1"/>
  <c r="AK139" i="1"/>
  <c r="AM160" i="1"/>
  <c r="AM138" i="1"/>
  <c r="AL169" i="1"/>
  <c r="AL146" i="1"/>
  <c r="AL124" i="1"/>
  <c r="AK155" i="1"/>
  <c r="AK134" i="1"/>
  <c r="AN134" i="1" s="1"/>
  <c r="AM159" i="1"/>
  <c r="AM136" i="1"/>
  <c r="AL164" i="1"/>
  <c r="AL145" i="1"/>
  <c r="AK172" i="1"/>
  <c r="AN172" i="1" s="1"/>
  <c r="AK150" i="1"/>
  <c r="AN150" i="1" s="1"/>
  <c r="AK133" i="1"/>
  <c r="AM154" i="1"/>
  <c r="AM135" i="1"/>
  <c r="AL162" i="1"/>
  <c r="AL140" i="1"/>
  <c r="AK171" i="1"/>
  <c r="AK148" i="1"/>
  <c r="AK132" i="1"/>
  <c r="AM152" i="1"/>
  <c r="AM130" i="1"/>
  <c r="AL161" i="1"/>
  <c r="AL138" i="1"/>
  <c r="AK166" i="1"/>
  <c r="AK147" i="1"/>
  <c r="AK131" i="1"/>
  <c r="AM170" i="1"/>
  <c r="AM151" i="1"/>
  <c r="AM128" i="1"/>
  <c r="AL156" i="1"/>
  <c r="AL137" i="1"/>
  <c r="AK164" i="1"/>
  <c r="AN164" i="1" s="1"/>
  <c r="AK142" i="1"/>
  <c r="AK126" i="1"/>
  <c r="AM168" i="1"/>
  <c r="AM146" i="1"/>
  <c r="AM127" i="1"/>
  <c r="AL154" i="1"/>
  <c r="AL132" i="1"/>
  <c r="AK163" i="1"/>
  <c r="AK141" i="1"/>
  <c r="AK125" i="1"/>
  <c r="BF87" i="34"/>
  <c r="BE87" i="34"/>
  <c r="AK123" i="1"/>
  <c r="AM123" i="1"/>
  <c r="AT88" i="34"/>
  <c r="AO88" i="34"/>
  <c r="AP88" i="34" s="1"/>
  <c r="AQ87" i="34"/>
  <c r="AR87" i="34"/>
  <c r="E878" i="27"/>
  <c r="A878" i="27" s="1"/>
  <c r="H181" i="24"/>
  <c r="U1021" i="32"/>
  <c r="AL123" i="1"/>
  <c r="G41" i="33"/>
  <c r="E488" i="27"/>
  <c r="G1019" i="32"/>
  <c r="P2355" i="27"/>
  <c r="L2356" i="27"/>
  <c r="R488" i="27"/>
  <c r="K2355" i="27"/>
  <c r="D2356" i="27"/>
  <c r="A1021" i="32"/>
  <c r="P945" i="32" l="1"/>
  <c r="Q943" i="32"/>
  <c r="T941" i="32" a="1"/>
  <c r="T941" i="32" s="1"/>
  <c r="M2172" i="27" s="1"/>
  <c r="A2172" i="27" s="1"/>
  <c r="S941" i="32" a="1"/>
  <c r="S941" i="32" s="1"/>
  <c r="E941" i="32" s="1"/>
  <c r="F2172" i="27" s="1"/>
  <c r="V941" i="32" a="1"/>
  <c r="V941" i="32" s="1"/>
  <c r="L941" i="32" s="1"/>
  <c r="R941" i="32" a="1"/>
  <c r="R941" i="32" s="1"/>
  <c r="D941" i="32" s="1"/>
  <c r="AN131" i="1"/>
  <c r="AN147" i="1"/>
  <c r="AN171" i="1"/>
  <c r="F3117" i="27"/>
  <c r="P2175" i="27"/>
  <c r="K1810" i="27"/>
  <c r="K1809" i="27"/>
  <c r="A2356" i="27"/>
  <c r="H559" i="27"/>
  <c r="H560" i="27"/>
  <c r="H561" i="27" s="1"/>
  <c r="H562" i="27" s="1"/>
  <c r="H563" i="27" s="1"/>
  <c r="H564" i="27" s="1"/>
  <c r="AN163" i="1"/>
  <c r="AN142" i="1"/>
  <c r="AN125" i="1"/>
  <c r="AN126" i="1"/>
  <c r="AN167" i="1"/>
  <c r="AN144" i="1"/>
  <c r="AN143" i="1"/>
  <c r="AN133" i="1"/>
  <c r="AN151" i="1"/>
  <c r="AN128" i="1"/>
  <c r="AN159" i="1"/>
  <c r="AN136" i="1"/>
  <c r="AN152" i="1"/>
  <c r="AN139" i="1"/>
  <c r="AN135" i="1"/>
  <c r="AN155" i="1"/>
  <c r="AN148" i="1"/>
  <c r="AN141" i="1"/>
  <c r="AN166" i="1"/>
  <c r="AN158" i="1"/>
  <c r="AN169" i="1"/>
  <c r="AN146" i="1"/>
  <c r="AN149" i="1"/>
  <c r="AN132" i="1"/>
  <c r="AN154" i="1"/>
  <c r="AN157" i="1"/>
  <c r="AN162" i="1"/>
  <c r="AN165" i="1"/>
  <c r="AN129" i="1"/>
  <c r="AN170" i="1"/>
  <c r="AN173" i="1"/>
  <c r="AN160" i="1"/>
  <c r="AN137" i="1"/>
  <c r="AN124" i="1"/>
  <c r="AN145" i="1"/>
  <c r="AN140" i="1"/>
  <c r="AN153" i="1"/>
  <c r="AN130" i="1"/>
  <c r="AN156" i="1"/>
  <c r="AN161" i="1"/>
  <c r="AN138" i="1"/>
  <c r="BE88" i="34"/>
  <c r="BF88" i="34"/>
  <c r="AN123" i="1"/>
  <c r="AR88" i="34"/>
  <c r="AQ88" i="34"/>
  <c r="E181" i="24"/>
  <c r="H173" i="24"/>
  <c r="U1023" i="32"/>
  <c r="K2356" i="27"/>
  <c r="G33" i="33"/>
  <c r="P2356" i="27"/>
  <c r="D492" i="27"/>
  <c r="A1023" i="32"/>
  <c r="G1021" i="32"/>
  <c r="S943" i="32" l="1" a="1"/>
  <c r="S943" i="32" s="1"/>
  <c r="E943" i="32" s="1"/>
  <c r="F2173" i="27" s="1"/>
  <c r="V943" i="32" a="1"/>
  <c r="V943" i="32" s="1"/>
  <c r="L943" i="32" s="1"/>
  <c r="T943" i="32" a="1"/>
  <c r="T943" i="32" s="1"/>
  <c r="M2173" i="27" s="1"/>
  <c r="A2173" i="27" s="1"/>
  <c r="R943" i="32" a="1"/>
  <c r="R943" i="32" s="1"/>
  <c r="D943" i="32" s="1"/>
  <c r="P947" i="32"/>
  <c r="Q945" i="32"/>
  <c r="A492" i="27"/>
  <c r="F3119" i="27"/>
  <c r="F3118" i="27"/>
  <c r="P2176" i="27"/>
  <c r="K1812" i="27"/>
  <c r="K1811" i="27"/>
  <c r="H566" i="27"/>
  <c r="H567" i="27" s="1"/>
  <c r="H568" i="27" s="1"/>
  <c r="H569" i="27" s="1"/>
  <c r="H570" i="27" s="1"/>
  <c r="H565" i="27"/>
  <c r="P2" i="29" a="1"/>
  <c r="P2" i="29" s="1"/>
  <c r="O2" i="29" s="1"/>
  <c r="E173" i="24"/>
  <c r="U1025" i="32"/>
  <c r="G1023" i="32"/>
  <c r="D488" i="27"/>
  <c r="A1025" i="32"/>
  <c r="S945" i="32" l="1" a="1"/>
  <c r="S945" i="32" s="1"/>
  <c r="E945" i="32" s="1"/>
  <c r="F2174" i="27" s="1"/>
  <c r="T945" i="32" a="1"/>
  <c r="T945" i="32" s="1"/>
  <c r="M2174" i="27" s="1"/>
  <c r="A2174" i="27" s="1"/>
  <c r="R945" i="32" a="1"/>
  <c r="R945" i="32" s="1"/>
  <c r="D945" i="32" s="1"/>
  <c r="V945" i="32" a="1"/>
  <c r="V945" i="32" s="1"/>
  <c r="L945" i="32" s="1"/>
  <c r="P949" i="32"/>
  <c r="Q947" i="32"/>
  <c r="A488" i="27"/>
  <c r="F3120" i="27"/>
  <c r="K1813" i="27"/>
  <c r="K1814" i="27"/>
  <c r="H571" i="27"/>
  <c r="H572" i="27"/>
  <c r="H573" i="27" s="1"/>
  <c r="H574" i="27" s="1"/>
  <c r="H575" i="27" s="1"/>
  <c r="H576" i="27" s="1"/>
  <c r="Q2" i="29"/>
  <c r="P3" i="29" a="1"/>
  <c r="P3" i="29" s="1"/>
  <c r="P4" i="29" s="1" a="1"/>
  <c r="P4" i="29" s="1"/>
  <c r="O4" i="29" s="1"/>
  <c r="U1027" i="32"/>
  <c r="G1025" i="32"/>
  <c r="A1027" i="32"/>
  <c r="P951" i="32" l="1"/>
  <c r="Q949" i="32"/>
  <c r="V947" i="32" a="1"/>
  <c r="V947" i="32" s="1"/>
  <c r="L947" i="32" s="1"/>
  <c r="R947" i="32" a="1"/>
  <c r="R947" i="32" s="1"/>
  <c r="D947" i="32" s="1"/>
  <c r="S947" i="32" a="1"/>
  <c r="S947" i="32" s="1"/>
  <c r="E947" i="32" s="1"/>
  <c r="F2175" i="27" s="1"/>
  <c r="T947" i="32" a="1"/>
  <c r="T947" i="32" s="1"/>
  <c r="M2175" i="27" s="1"/>
  <c r="A2175" i="27" s="1"/>
  <c r="F3121" i="27"/>
  <c r="K1816" i="27"/>
  <c r="K1815" i="27"/>
  <c r="H577" i="27"/>
  <c r="H578" i="27"/>
  <c r="H579" i="27" s="1"/>
  <c r="H580" i="27" s="1"/>
  <c r="H581" i="27" s="1"/>
  <c r="H582" i="27" s="1"/>
  <c r="P5" i="29" a="1"/>
  <c r="P5" i="29" s="1"/>
  <c r="P6" i="29" s="1" a="1"/>
  <c r="P6" i="29" s="1"/>
  <c r="O6" i="29" s="1"/>
  <c r="O3" i="29"/>
  <c r="Q3" i="29"/>
  <c r="Q4" i="29"/>
  <c r="U1029" i="32"/>
  <c r="A1029" i="32"/>
  <c r="G1027" i="32"/>
  <c r="R949" i="32" l="1" a="1"/>
  <c r="R949" i="32" s="1"/>
  <c r="D949" i="32" s="1"/>
  <c r="V949" i="32" a="1"/>
  <c r="V949" i="32" s="1"/>
  <c r="L949" i="32" s="1"/>
  <c r="T949" i="32" a="1"/>
  <c r="T949" i="32" s="1"/>
  <c r="M2176" i="27" s="1"/>
  <c r="A2176" i="27" s="1"/>
  <c r="S949" i="32" a="1"/>
  <c r="S949" i="32" s="1"/>
  <c r="E949" i="32" s="1"/>
  <c r="F2176" i="27" s="1"/>
  <c r="P953" i="32"/>
  <c r="Q951" i="32"/>
  <c r="F3122" i="27"/>
  <c r="K1818" i="27"/>
  <c r="K1817" i="27"/>
  <c r="H584" i="27"/>
  <c r="H585" i="27" s="1"/>
  <c r="H586" i="27" s="1"/>
  <c r="H587" i="27" s="1"/>
  <c r="H588" i="27" s="1"/>
  <c r="H583" i="27"/>
  <c r="O5" i="29"/>
  <c r="P7" i="29" a="1"/>
  <c r="P7" i="29" s="1"/>
  <c r="O7" i="29" s="1"/>
  <c r="Q5" i="29"/>
  <c r="Q6" i="29"/>
  <c r="U1031" i="32"/>
  <c r="G1029" i="32"/>
  <c r="A1031" i="32"/>
  <c r="S951" i="32" l="1" a="1"/>
  <c r="S951" i="32" s="1"/>
  <c r="E951" i="32" s="1"/>
  <c r="F2177" i="27" s="1"/>
  <c r="V951" i="32" a="1"/>
  <c r="V951" i="32" s="1"/>
  <c r="L951" i="32" s="1"/>
  <c r="T951" i="32" a="1"/>
  <c r="T951" i="32" s="1"/>
  <c r="M2177" i="27" s="1"/>
  <c r="A2177" i="27" s="1"/>
  <c r="R951" i="32" a="1"/>
  <c r="R951" i="32" s="1"/>
  <c r="D951" i="32" s="1"/>
  <c r="P955" i="32"/>
  <c r="Q953" i="32"/>
  <c r="F3123" i="27"/>
  <c r="K1819" i="27"/>
  <c r="K1820" i="27"/>
  <c r="H589" i="27"/>
  <c r="H590" i="27"/>
  <c r="H591" i="27" s="1"/>
  <c r="H592" i="27" s="1"/>
  <c r="H593" i="27" s="1"/>
  <c r="H594" i="27" s="1"/>
  <c r="P8" i="29" a="1"/>
  <c r="P8" i="29" s="1"/>
  <c r="O8" i="29" s="1"/>
  <c r="Q7" i="29"/>
  <c r="U1033" i="32"/>
  <c r="G1031" i="32"/>
  <c r="A1033" i="32"/>
  <c r="S953" i="32" l="1" a="1"/>
  <c r="S953" i="32" s="1"/>
  <c r="E953" i="32" s="1"/>
  <c r="F2178" i="27" s="1"/>
  <c r="V953" i="32" a="1"/>
  <c r="V953" i="32" s="1"/>
  <c r="L953" i="32" s="1"/>
  <c r="R953" i="32" a="1"/>
  <c r="R953" i="32" s="1"/>
  <c r="D953" i="32" s="1"/>
  <c r="T953" i="32" a="1"/>
  <c r="T953" i="32" s="1"/>
  <c r="M2178" i="27" s="1"/>
  <c r="A2178" i="27" s="1"/>
  <c r="P957" i="32"/>
  <c r="Q955" i="32"/>
  <c r="F3125" i="27"/>
  <c r="F3124" i="27"/>
  <c r="K1821" i="27"/>
  <c r="K1822" i="27"/>
  <c r="H595" i="27"/>
  <c r="H596" i="27"/>
  <c r="H597" i="27" s="1"/>
  <c r="H598" i="27" s="1"/>
  <c r="H599" i="27" s="1"/>
  <c r="H600" i="27" s="1"/>
  <c r="P9" i="29" a="1"/>
  <c r="P9" i="29" s="1"/>
  <c r="O9" i="29" s="1"/>
  <c r="Q8" i="29"/>
  <c r="U1035" i="32"/>
  <c r="A1035" i="32"/>
  <c r="G1033" i="32"/>
  <c r="T955" i="32" l="1" a="1"/>
  <c r="T955" i="32" s="1"/>
  <c r="M2179" i="27" s="1"/>
  <c r="A2179" i="27" s="1"/>
  <c r="R955" i="32" a="1"/>
  <c r="R955" i="32" s="1"/>
  <c r="D955" i="32" s="1"/>
  <c r="S955" i="32" a="1"/>
  <c r="S955" i="32" s="1"/>
  <c r="E955" i="32" s="1"/>
  <c r="F2179" i="27" s="1"/>
  <c r="V955" i="32" a="1"/>
  <c r="V955" i="32" s="1"/>
  <c r="L955" i="32" s="1"/>
  <c r="P959" i="32"/>
  <c r="Q957" i="32"/>
  <c r="F3126" i="27"/>
  <c r="K1824" i="27"/>
  <c r="K1823" i="27"/>
  <c r="H602" i="27"/>
  <c r="H603" i="27" s="1"/>
  <c r="H604" i="27" s="1"/>
  <c r="H605" i="27" s="1"/>
  <c r="H606" i="27" s="1"/>
  <c r="H601" i="27"/>
  <c r="P10" i="29" a="1"/>
  <c r="P10" i="29" s="1"/>
  <c r="Q10" i="29" s="1"/>
  <c r="Q9" i="29"/>
  <c r="U1037" i="32"/>
  <c r="A1037" i="32"/>
  <c r="G1035" i="32"/>
  <c r="P961" i="32" l="1"/>
  <c r="Q959" i="32"/>
  <c r="T957" i="32" a="1"/>
  <c r="T957" i="32" s="1"/>
  <c r="M2180" i="27" s="1"/>
  <c r="A2180" i="27" s="1"/>
  <c r="S957" i="32" a="1"/>
  <c r="S957" i="32" s="1"/>
  <c r="E957" i="32" s="1"/>
  <c r="F2180" i="27" s="1"/>
  <c r="V957" i="32" a="1"/>
  <c r="V957" i="32" s="1"/>
  <c r="L957" i="32" s="1"/>
  <c r="R957" i="32" a="1"/>
  <c r="R957" i="32" s="1"/>
  <c r="D957" i="32" s="1"/>
  <c r="F3127" i="27"/>
  <c r="K1826" i="27"/>
  <c r="K1825" i="27"/>
  <c r="H608" i="27"/>
  <c r="H609" i="27" s="1"/>
  <c r="H610" i="27" s="1"/>
  <c r="H611" i="27" s="1"/>
  <c r="H612" i="27" s="1"/>
  <c r="H607" i="27"/>
  <c r="P11" i="29" a="1"/>
  <c r="P11" i="29" s="1"/>
  <c r="O11" i="29" s="1"/>
  <c r="O10" i="29"/>
  <c r="U1039" i="32"/>
  <c r="G1037" i="32"/>
  <c r="A1039" i="32"/>
  <c r="T959" i="32" l="1" a="1"/>
  <c r="T959" i="32" s="1"/>
  <c r="M2181" i="27" s="1"/>
  <c r="A2181" i="27" s="1"/>
  <c r="S959" i="32" a="1"/>
  <c r="S959" i="32" s="1"/>
  <c r="E959" i="32" s="1"/>
  <c r="F2181" i="27" s="1"/>
  <c r="V959" i="32" a="1"/>
  <c r="V959" i="32" s="1"/>
  <c r="L959" i="32" s="1"/>
  <c r="R959" i="32" a="1"/>
  <c r="R959" i="32" s="1"/>
  <c r="D959" i="32" s="1"/>
  <c r="P963" i="32"/>
  <c r="Q961" i="32"/>
  <c r="F3128" i="27"/>
  <c r="K1828" i="27"/>
  <c r="K1827" i="27"/>
  <c r="H613" i="27"/>
  <c r="H614" i="27"/>
  <c r="H615" i="27" s="1"/>
  <c r="H616" i="27" s="1"/>
  <c r="H617" i="27" s="1"/>
  <c r="H618" i="27" s="1"/>
  <c r="P12" i="29" a="1"/>
  <c r="P12" i="29" s="1"/>
  <c r="Q12" i="29" s="1"/>
  <c r="Q11" i="29"/>
  <c r="U1041" i="32"/>
  <c r="G1039" i="32"/>
  <c r="A1041" i="32"/>
  <c r="S961" i="32" l="1" a="1"/>
  <c r="S961" i="32" s="1"/>
  <c r="E961" i="32" s="1"/>
  <c r="F2182" i="27" s="1"/>
  <c r="T961" i="32" a="1"/>
  <c r="T961" i="32" s="1"/>
  <c r="M2182" i="27" s="1"/>
  <c r="A2182" i="27" s="1"/>
  <c r="R961" i="32" a="1"/>
  <c r="R961" i="32" s="1"/>
  <c r="D961" i="32" s="1"/>
  <c r="V961" i="32" a="1"/>
  <c r="V961" i="32" s="1"/>
  <c r="L961" i="32" s="1"/>
  <c r="P965" i="32"/>
  <c r="Q963" i="32"/>
  <c r="F3129" i="27"/>
  <c r="K1829" i="27"/>
  <c r="K1830" i="27"/>
  <c r="H619" i="27"/>
  <c r="H620" i="27"/>
  <c r="H621" i="27" s="1"/>
  <c r="H622" i="27" s="1"/>
  <c r="H623" i="27" s="1"/>
  <c r="H624" i="27" s="1"/>
  <c r="P13" i="29" a="1"/>
  <c r="P13" i="29" s="1"/>
  <c r="Q13" i="29" s="1"/>
  <c r="O12" i="29"/>
  <c r="U1043" i="32"/>
  <c r="G1041" i="32"/>
  <c r="A1043" i="32"/>
  <c r="R963" i="32" l="1" a="1"/>
  <c r="R963" i="32" s="1"/>
  <c r="D963" i="32" s="1"/>
  <c r="V963" i="32" a="1"/>
  <c r="V963" i="32" s="1"/>
  <c r="L963" i="32" s="1"/>
  <c r="S963" i="32" a="1"/>
  <c r="S963" i="32" s="1"/>
  <c r="E963" i="32" s="1"/>
  <c r="F2183" i="27" s="1"/>
  <c r="T963" i="32" a="1"/>
  <c r="T963" i="32" s="1"/>
  <c r="M2183" i="27" s="1"/>
  <c r="A2183" i="27" s="1"/>
  <c r="P967" i="32"/>
  <c r="Q965" i="32"/>
  <c r="F3130" i="27"/>
  <c r="F3131" i="27"/>
  <c r="K1832" i="27"/>
  <c r="K1831" i="27"/>
  <c r="H626" i="27"/>
  <c r="H627" i="27" s="1"/>
  <c r="H628" i="27" s="1"/>
  <c r="H629" i="27" s="1"/>
  <c r="H630" i="27" s="1"/>
  <c r="H625" i="27"/>
  <c r="P14" i="29" a="1"/>
  <c r="P14" i="29" s="1"/>
  <c r="Q14" i="29" s="1"/>
  <c r="O13" i="29"/>
  <c r="U1045" i="32"/>
  <c r="A1045" i="32"/>
  <c r="G1043" i="32"/>
  <c r="S965" i="32" l="1" a="1"/>
  <c r="S965" i="32" s="1"/>
  <c r="E965" i="32" s="1"/>
  <c r="F2184" i="27" s="1"/>
  <c r="T965" i="32" a="1"/>
  <c r="T965" i="32" s="1"/>
  <c r="M2184" i="27" s="1"/>
  <c r="A2184" i="27" s="1"/>
  <c r="R965" i="32" a="1"/>
  <c r="R965" i="32" s="1"/>
  <c r="D965" i="32" s="1"/>
  <c r="V965" i="32" a="1"/>
  <c r="V965" i="32" s="1"/>
  <c r="L965" i="32" s="1"/>
  <c r="P969" i="32"/>
  <c r="Q967" i="32"/>
  <c r="F3132" i="27"/>
  <c r="K1834" i="27"/>
  <c r="K1833" i="27"/>
  <c r="H632" i="27"/>
  <c r="H633" i="27" s="1"/>
  <c r="H634" i="27" s="1"/>
  <c r="H635" i="27" s="1"/>
  <c r="H636" i="27" s="1"/>
  <c r="H631" i="27"/>
  <c r="P15" i="29" a="1"/>
  <c r="P15" i="29" s="1"/>
  <c r="O15" i="29" s="1"/>
  <c r="O14" i="29"/>
  <c r="U1047" i="32"/>
  <c r="A1047" i="32"/>
  <c r="G1045" i="32"/>
  <c r="T967" i="32" l="1" a="1"/>
  <c r="T967" i="32" s="1"/>
  <c r="M2185" i="27" s="1"/>
  <c r="A2185" i="27" s="1"/>
  <c r="R967" i="32" a="1"/>
  <c r="R967" i="32" s="1"/>
  <c r="D967" i="32" s="1"/>
  <c r="S967" i="32" a="1"/>
  <c r="S967" i="32" s="1"/>
  <c r="E967" i="32" s="1"/>
  <c r="F2185" i="27" s="1"/>
  <c r="V967" i="32" a="1"/>
  <c r="V967" i="32" s="1"/>
  <c r="L967" i="32" s="1"/>
  <c r="P971" i="32"/>
  <c r="Q969" i="32"/>
  <c r="F3133" i="27"/>
  <c r="K1836" i="27"/>
  <c r="K1835" i="27"/>
  <c r="H637" i="27"/>
  <c r="H638" i="27"/>
  <c r="H639" i="27" s="1"/>
  <c r="H640" i="27" s="1"/>
  <c r="H641" i="27" s="1"/>
  <c r="H642" i="27" s="1"/>
  <c r="P16" i="29" a="1"/>
  <c r="P16" i="29" s="1"/>
  <c r="Q16" i="29" s="1"/>
  <c r="Q15" i="29"/>
  <c r="U1049" i="32"/>
  <c r="G1047" i="32"/>
  <c r="A1049" i="32"/>
  <c r="R969" i="32" l="1" a="1"/>
  <c r="R969" i="32" s="1"/>
  <c r="D969" i="32" s="1"/>
  <c r="V969" i="32" a="1"/>
  <c r="V969" i="32" s="1"/>
  <c r="L969" i="32" s="1"/>
  <c r="S969" i="32" a="1"/>
  <c r="S969" i="32" s="1"/>
  <c r="E969" i="32" s="1"/>
  <c r="F2186" i="27" s="1"/>
  <c r="T969" i="32" a="1"/>
  <c r="T969" i="32" s="1"/>
  <c r="M2186" i="27" s="1"/>
  <c r="A2186" i="27" s="1"/>
  <c r="P973" i="32"/>
  <c r="Q971" i="32"/>
  <c r="F3134" i="27"/>
  <c r="K1837" i="27"/>
  <c r="K1838" i="27"/>
  <c r="H643" i="27"/>
  <c r="H644" i="27"/>
  <c r="H645" i="27" s="1"/>
  <c r="H646" i="27" s="1"/>
  <c r="H647" i="27" s="1"/>
  <c r="H648" i="27" s="1"/>
  <c r="P17" i="29" a="1"/>
  <c r="P17" i="29" s="1"/>
  <c r="Q17" i="29" s="1"/>
  <c r="O16" i="29"/>
  <c r="U1051" i="32"/>
  <c r="A1051" i="32"/>
  <c r="G1049" i="32"/>
  <c r="T971" i="32" l="1" a="1"/>
  <c r="T971" i="32" s="1"/>
  <c r="M2187" i="27" s="1"/>
  <c r="A2187" i="27" s="1"/>
  <c r="V971" i="32" a="1"/>
  <c r="V971" i="32" s="1"/>
  <c r="L971" i="32" s="1"/>
  <c r="R971" i="32" a="1"/>
  <c r="R971" i="32" s="1"/>
  <c r="D971" i="32" s="1"/>
  <c r="S971" i="32" a="1"/>
  <c r="S971" i="32" s="1"/>
  <c r="E971" i="32" s="1"/>
  <c r="F2187" i="27" s="1"/>
  <c r="P975" i="32"/>
  <c r="Q973" i="32"/>
  <c r="F3135" i="27"/>
  <c r="K1839" i="27"/>
  <c r="K1840" i="27"/>
  <c r="H650" i="27"/>
  <c r="H651" i="27" s="1"/>
  <c r="H652" i="27" s="1"/>
  <c r="H653" i="27" s="1"/>
  <c r="H654" i="27" s="1"/>
  <c r="H649" i="27"/>
  <c r="P18" i="29" a="1"/>
  <c r="P18" i="29" s="1"/>
  <c r="Q18" i="29" s="1"/>
  <c r="O17" i="29"/>
  <c r="U1053" i="32"/>
  <c r="G1051" i="32"/>
  <c r="A1053" i="32"/>
  <c r="S973" i="32" l="1" a="1"/>
  <c r="S973" i="32" s="1"/>
  <c r="E973" i="32" s="1"/>
  <c r="F2188" i="27" s="1"/>
  <c r="T973" i="32" a="1"/>
  <c r="T973" i="32" s="1"/>
  <c r="M2188" i="27" s="1"/>
  <c r="A2188" i="27" s="1"/>
  <c r="V973" i="32" a="1"/>
  <c r="V973" i="32" s="1"/>
  <c r="L973" i="32" s="1"/>
  <c r="R973" i="32" a="1"/>
  <c r="R973" i="32" s="1"/>
  <c r="D973" i="32" s="1"/>
  <c r="P977" i="32"/>
  <c r="Q975" i="32"/>
  <c r="F3136" i="27"/>
  <c r="F3137" i="27"/>
  <c r="K1842" i="27"/>
  <c r="K1841" i="27"/>
  <c r="H656" i="27"/>
  <c r="H657" i="27" s="1"/>
  <c r="H658" i="27" s="1"/>
  <c r="H659" i="27" s="1"/>
  <c r="H660" i="27" s="1"/>
  <c r="H655" i="27"/>
  <c r="P19" i="29" a="1"/>
  <c r="P19" i="29" s="1"/>
  <c r="O19" i="29" s="1"/>
  <c r="O18" i="29"/>
  <c r="U1055" i="32"/>
  <c r="G1053" i="32"/>
  <c r="A1055" i="32"/>
  <c r="R975" i="32" l="1" a="1"/>
  <c r="R975" i="32" s="1"/>
  <c r="D975" i="32" s="1"/>
  <c r="V975" i="32" a="1"/>
  <c r="V975" i="32" s="1"/>
  <c r="L975" i="32" s="1"/>
  <c r="S975" i="32" a="1"/>
  <c r="S975" i="32" s="1"/>
  <c r="E975" i="32" s="1"/>
  <c r="F2189" i="27" s="1"/>
  <c r="T975" i="32" a="1"/>
  <c r="T975" i="32" s="1"/>
  <c r="M2189" i="27" s="1"/>
  <c r="A2189" i="27" s="1"/>
  <c r="P979" i="32"/>
  <c r="Q977" i="32"/>
  <c r="F3138" i="27"/>
  <c r="K1843" i="27"/>
  <c r="K1844" i="27"/>
  <c r="H662" i="27"/>
  <c r="H663" i="27" s="1"/>
  <c r="H664" i="27" s="1"/>
  <c r="H665" i="27" s="1"/>
  <c r="H666" i="27" s="1"/>
  <c r="H661" i="27"/>
  <c r="P20" i="29" a="1"/>
  <c r="P20" i="29" s="1"/>
  <c r="O20" i="29" s="1"/>
  <c r="Q19" i="29"/>
  <c r="U1057" i="32"/>
  <c r="G1055" i="32"/>
  <c r="A1057" i="32"/>
  <c r="S977" i="32" l="1" a="1"/>
  <c r="S977" i="32" s="1"/>
  <c r="E977" i="32" s="1"/>
  <c r="F2190" i="27" s="1"/>
  <c r="T977" i="32" a="1"/>
  <c r="T977" i="32" s="1"/>
  <c r="M2190" i="27" s="1"/>
  <c r="A2190" i="27" s="1"/>
  <c r="V977" i="32" a="1"/>
  <c r="V977" i="32" s="1"/>
  <c r="L977" i="32" s="1"/>
  <c r="R977" i="32" a="1"/>
  <c r="R977" i="32" s="1"/>
  <c r="D977" i="32" s="1"/>
  <c r="P981" i="32"/>
  <c r="Q979" i="32"/>
  <c r="F3139" i="27"/>
  <c r="K1846" i="27"/>
  <c r="K1845" i="27"/>
  <c r="H667" i="27"/>
  <c r="H668" i="27"/>
  <c r="H669" i="27" s="1"/>
  <c r="H670" i="27" s="1"/>
  <c r="H671" i="27" s="1"/>
  <c r="H672" i="27" s="1"/>
  <c r="P21" i="29" a="1"/>
  <c r="P21" i="29" s="1"/>
  <c r="Q21" i="29" s="1"/>
  <c r="Q20" i="29"/>
  <c r="U1059" i="32"/>
  <c r="G1057" i="32"/>
  <c r="A1059" i="32"/>
  <c r="P983" i="32" l="1"/>
  <c r="Q981" i="32"/>
  <c r="T979" i="32" a="1"/>
  <c r="T979" i="32" s="1"/>
  <c r="M2191" i="27" s="1"/>
  <c r="A2191" i="27" s="1"/>
  <c r="S979" i="32" a="1"/>
  <c r="S979" i="32" s="1"/>
  <c r="E979" i="32" s="1"/>
  <c r="F2191" i="27" s="1"/>
  <c r="R979" i="32" a="1"/>
  <c r="R979" i="32" s="1"/>
  <c r="D979" i="32" s="1"/>
  <c r="V979" i="32" a="1"/>
  <c r="V979" i="32" s="1"/>
  <c r="L979" i="32" s="1"/>
  <c r="F3140" i="27"/>
  <c r="K1847" i="27"/>
  <c r="K1848" i="27"/>
  <c r="H674" i="27"/>
  <c r="H675" i="27" s="1"/>
  <c r="H676" i="27" s="1"/>
  <c r="H677" i="27" s="1"/>
  <c r="H678" i="27" s="1"/>
  <c r="H673" i="27"/>
  <c r="P22" i="29" a="1"/>
  <c r="P22" i="29" s="1"/>
  <c r="O22" i="29" s="1"/>
  <c r="O21" i="29"/>
  <c r="U1061" i="32"/>
  <c r="G1059" i="32"/>
  <c r="A1061" i="32"/>
  <c r="R981" i="32" l="1" a="1"/>
  <c r="R981" i="32" s="1"/>
  <c r="D981" i="32" s="1"/>
  <c r="V981" i="32" a="1"/>
  <c r="V981" i="32" s="1"/>
  <c r="L981" i="32" s="1"/>
  <c r="T981" i="32" a="1"/>
  <c r="T981" i="32" s="1"/>
  <c r="S981" i="32" a="1"/>
  <c r="S981" i="32" s="1"/>
  <c r="E981" i="32" s="1"/>
  <c r="P985" i="32"/>
  <c r="Q983" i="32"/>
  <c r="F3141" i="27"/>
  <c r="K1850" i="27"/>
  <c r="K1849" i="27"/>
  <c r="H680" i="27"/>
  <c r="H681" i="27" s="1"/>
  <c r="H682" i="27" s="1"/>
  <c r="H683" i="27" s="1"/>
  <c r="H684" i="27" s="1"/>
  <c r="H679" i="27"/>
  <c r="P23" i="29" a="1"/>
  <c r="P23" i="29" s="1"/>
  <c r="Q23" i="29" s="1"/>
  <c r="Q22" i="29"/>
  <c r="U1063" i="32"/>
  <c r="G1061" i="32"/>
  <c r="A1063" i="32"/>
  <c r="V983" i="32" l="1" a="1"/>
  <c r="V983" i="32" s="1"/>
  <c r="L983" i="32" s="1"/>
  <c r="S983" i="32" a="1"/>
  <c r="S983" i="32" s="1"/>
  <c r="E983" i="32" s="1"/>
  <c r="T983" i="32" a="1"/>
  <c r="T983" i="32" s="1"/>
  <c r="R983" i="32" a="1"/>
  <c r="R983" i="32" s="1"/>
  <c r="D983" i="32" s="1"/>
  <c r="P987" i="32"/>
  <c r="Q985" i="32"/>
  <c r="F3142" i="27"/>
  <c r="F3143" i="27"/>
  <c r="K1851" i="27"/>
  <c r="K1852" i="27"/>
  <c r="H686" i="27"/>
  <c r="H687" i="27" s="1"/>
  <c r="H688" i="27" s="1"/>
  <c r="H689" i="27" s="1"/>
  <c r="H690" i="27" s="1"/>
  <c r="H691" i="27" s="1"/>
  <c r="H685" i="27"/>
  <c r="P24" i="29" a="1"/>
  <c r="P24" i="29" s="1"/>
  <c r="Q24" i="29" s="1"/>
  <c r="O23" i="29"/>
  <c r="U1065" i="32"/>
  <c r="A1065" i="32"/>
  <c r="G1063" i="32"/>
  <c r="R985" i="32" l="1" a="1"/>
  <c r="R985" i="32" s="1"/>
  <c r="D985" i="32" s="1"/>
  <c r="V985" i="32" a="1"/>
  <c r="V985" i="32" s="1"/>
  <c r="L985" i="32" s="1"/>
  <c r="T985" i="32" a="1"/>
  <c r="T985" i="32" s="1"/>
  <c r="S985" i="32" a="1"/>
  <c r="S985" i="32" s="1"/>
  <c r="E985" i="32" s="1"/>
  <c r="P989" i="32"/>
  <c r="Q987" i="32"/>
  <c r="F3144" i="27"/>
  <c r="K1854" i="27"/>
  <c r="K1853" i="27"/>
  <c r="P25" i="29" a="1"/>
  <c r="P25" i="29" s="1"/>
  <c r="O25" i="29" s="1"/>
  <c r="O24" i="29"/>
  <c r="U1067" i="32"/>
  <c r="G1065" i="32"/>
  <c r="A1067" i="32"/>
  <c r="V987" i="32" l="1" a="1"/>
  <c r="V987" i="32" s="1"/>
  <c r="L987" i="32" s="1"/>
  <c r="S987" i="32" a="1"/>
  <c r="S987" i="32" s="1"/>
  <c r="E987" i="32" s="1"/>
  <c r="T987" i="32" a="1"/>
  <c r="T987" i="32" s="1"/>
  <c r="R987" i="32" a="1"/>
  <c r="R987" i="32" s="1"/>
  <c r="D987" i="32" s="1"/>
  <c r="P991" i="32"/>
  <c r="Q989" i="32"/>
  <c r="F3145" i="27"/>
  <c r="K1856" i="27"/>
  <c r="K1855" i="27"/>
  <c r="P26" i="29" a="1"/>
  <c r="P26" i="29" s="1"/>
  <c r="O26" i="29" s="1"/>
  <c r="Q25" i="29"/>
  <c r="U1069" i="32"/>
  <c r="G1067" i="32"/>
  <c r="A1069" i="32"/>
  <c r="T989" i="32" l="1" a="1"/>
  <c r="T989" i="32" s="1"/>
  <c r="V989" i="32" a="1"/>
  <c r="V989" i="32" s="1"/>
  <c r="L989" i="32" s="1"/>
  <c r="S989" i="32" a="1"/>
  <c r="S989" i="32" s="1"/>
  <c r="E989" i="32" s="1"/>
  <c r="R989" i="32" a="1"/>
  <c r="R989" i="32" s="1"/>
  <c r="D989" i="32" s="1"/>
  <c r="P993" i="32"/>
  <c r="Q991" i="32"/>
  <c r="F3146" i="27"/>
  <c r="K1857" i="27"/>
  <c r="K1858" i="27"/>
  <c r="P27" i="29" a="1"/>
  <c r="P27" i="29" s="1"/>
  <c r="O27" i="29" s="1"/>
  <c r="Q26" i="29"/>
  <c r="U1071" i="32"/>
  <c r="A1071" i="32"/>
  <c r="G1069" i="32"/>
  <c r="R991" i="32" l="1" a="1"/>
  <c r="R991" i="32" s="1"/>
  <c r="D991" i="32" s="1"/>
  <c r="V991" i="32" a="1"/>
  <c r="V991" i="32" s="1"/>
  <c r="L991" i="32" s="1"/>
  <c r="T991" i="32" a="1"/>
  <c r="T991" i="32" s="1"/>
  <c r="S991" i="32" a="1"/>
  <c r="S991" i="32" s="1"/>
  <c r="E991" i="32" s="1"/>
  <c r="P995" i="32"/>
  <c r="Q993" i="32"/>
  <c r="F3147" i="27"/>
  <c r="K1860" i="27"/>
  <c r="K1859" i="27"/>
  <c r="P28" i="29" a="1"/>
  <c r="P28" i="29" s="1"/>
  <c r="Q28" i="29" s="1"/>
  <c r="Q27" i="29"/>
  <c r="U1073" i="32"/>
  <c r="A1073" i="32"/>
  <c r="G1071" i="32"/>
  <c r="R993" i="32" l="1" a="1"/>
  <c r="R993" i="32" s="1"/>
  <c r="D993" i="32" s="1"/>
  <c r="T993" i="32" a="1"/>
  <c r="T993" i="32" s="1"/>
  <c r="S993" i="32" a="1"/>
  <c r="S993" i="32" s="1"/>
  <c r="E993" i="32" s="1"/>
  <c r="V993" i="32" a="1"/>
  <c r="V993" i="32" s="1"/>
  <c r="L993" i="32" s="1"/>
  <c r="P997" i="32"/>
  <c r="Q995" i="32"/>
  <c r="F3148" i="27"/>
  <c r="F3149" i="27"/>
  <c r="K1862" i="27"/>
  <c r="K1861" i="27"/>
  <c r="P29" i="29" a="1"/>
  <c r="P29" i="29" s="1"/>
  <c r="O29" i="29" s="1"/>
  <c r="O28" i="29"/>
  <c r="U1075" i="32"/>
  <c r="G1073" i="32"/>
  <c r="A1075" i="32"/>
  <c r="V995" i="32" l="1" a="1"/>
  <c r="V995" i="32" s="1"/>
  <c r="L995" i="32" s="1"/>
  <c r="T995" i="32" a="1"/>
  <c r="T995" i="32" s="1"/>
  <c r="R995" i="32" a="1"/>
  <c r="R995" i="32" s="1"/>
  <c r="D995" i="32" s="1"/>
  <c r="S995" i="32" a="1"/>
  <c r="S995" i="32" s="1"/>
  <c r="E995" i="32" s="1"/>
  <c r="P999" i="32"/>
  <c r="Q997" i="32"/>
  <c r="F3150" i="27"/>
  <c r="K1863" i="27"/>
  <c r="K1864" i="27"/>
  <c r="P30" i="29" a="1"/>
  <c r="P30" i="29" s="1"/>
  <c r="O30" i="29" s="1"/>
  <c r="Q29" i="29"/>
  <c r="U1077" i="32"/>
  <c r="G1075" i="32"/>
  <c r="A1077" i="32"/>
  <c r="T997" i="32" l="1" a="1"/>
  <c r="T997" i="32" s="1"/>
  <c r="V997" i="32" a="1"/>
  <c r="V997" i="32" s="1"/>
  <c r="L997" i="32" s="1"/>
  <c r="R997" i="32" a="1"/>
  <c r="R997" i="32" s="1"/>
  <c r="D997" i="32" s="1"/>
  <c r="S997" i="32" a="1"/>
  <c r="S997" i="32" s="1"/>
  <c r="E997" i="32" s="1"/>
  <c r="P1001" i="32"/>
  <c r="Q999" i="32"/>
  <c r="F3151" i="27"/>
  <c r="K1866" i="27"/>
  <c r="K1865" i="27"/>
  <c r="P31" i="29" a="1"/>
  <c r="P31" i="29" s="1"/>
  <c r="Q31" i="29" s="1"/>
  <c r="Q30" i="29"/>
  <c r="U1079" i="32"/>
  <c r="A1079" i="32"/>
  <c r="G1077" i="32"/>
  <c r="V999" i="32" l="1" a="1"/>
  <c r="V999" i="32" s="1"/>
  <c r="L999" i="32" s="1"/>
  <c r="S999" i="32" a="1"/>
  <c r="S999" i="32" s="1"/>
  <c r="E999" i="32" s="1"/>
  <c r="T999" i="32" a="1"/>
  <c r="T999" i="32" s="1"/>
  <c r="R999" i="32" a="1"/>
  <c r="R999" i="32" s="1"/>
  <c r="D999" i="32" s="1"/>
  <c r="P1003" i="32"/>
  <c r="Q1001" i="32"/>
  <c r="F3152" i="27"/>
  <c r="K1867" i="27"/>
  <c r="K1868" i="27"/>
  <c r="P32" i="29" a="1"/>
  <c r="P32" i="29" s="1"/>
  <c r="O32" i="29" s="1"/>
  <c r="O31" i="29"/>
  <c r="U1081" i="32"/>
  <c r="G1079" i="32"/>
  <c r="A1081" i="32"/>
  <c r="T1001" i="32" l="1" a="1"/>
  <c r="T1001" i="32" s="1"/>
  <c r="R1001" i="32" a="1"/>
  <c r="R1001" i="32" s="1"/>
  <c r="D1001" i="32" s="1"/>
  <c r="S1001" i="32" a="1"/>
  <c r="S1001" i="32" s="1"/>
  <c r="E1001" i="32" s="1"/>
  <c r="V1001" i="32" a="1"/>
  <c r="V1001" i="32" s="1"/>
  <c r="L1001" i="32" s="1"/>
  <c r="P1005" i="32"/>
  <c r="Q1003" i="32"/>
  <c r="F3153" i="27"/>
  <c r="K1869" i="27"/>
  <c r="K1870" i="27"/>
  <c r="P33" i="29" a="1"/>
  <c r="P33" i="29" s="1"/>
  <c r="Q33" i="29" s="1"/>
  <c r="Q32" i="29"/>
  <c r="U1083" i="32"/>
  <c r="G1081" i="32"/>
  <c r="A1083" i="32"/>
  <c r="V1003" i="32" l="1" a="1"/>
  <c r="V1003" i="32" s="1"/>
  <c r="L1003" i="32" s="1"/>
  <c r="S1003" i="32" a="1"/>
  <c r="S1003" i="32" s="1"/>
  <c r="E1003" i="32" s="1"/>
  <c r="R1003" i="32" a="1"/>
  <c r="R1003" i="32" s="1"/>
  <c r="D1003" i="32" s="1"/>
  <c r="T1003" i="32" a="1"/>
  <c r="T1003" i="32" s="1"/>
  <c r="P1007" i="32"/>
  <c r="Q1005" i="32"/>
  <c r="F3155" i="27"/>
  <c r="F3154" i="27"/>
  <c r="K1872" i="27"/>
  <c r="K1871" i="27"/>
  <c r="P34" i="29" a="1"/>
  <c r="P34" i="29" s="1"/>
  <c r="O34" i="29" s="1"/>
  <c r="O33" i="29"/>
  <c r="U1085" i="32"/>
  <c r="G1083" i="32"/>
  <c r="A1085" i="32"/>
  <c r="S1005" i="32" l="1" a="1"/>
  <c r="S1005" i="32" s="1"/>
  <c r="E1005" i="32" s="1"/>
  <c r="R1005" i="32" a="1"/>
  <c r="R1005" i="32" s="1"/>
  <c r="D1005" i="32" s="1"/>
  <c r="V1005" i="32" a="1"/>
  <c r="V1005" i="32" s="1"/>
  <c r="L1005" i="32" s="1"/>
  <c r="T1005" i="32" a="1"/>
  <c r="T1005" i="32" s="1"/>
  <c r="P1009" i="32"/>
  <c r="Q1007" i="32"/>
  <c r="F3156" i="27"/>
  <c r="K1874" i="27"/>
  <c r="K1873" i="27"/>
  <c r="P35" i="29" a="1"/>
  <c r="P35" i="29" s="1"/>
  <c r="O35" i="29" s="1"/>
  <c r="Q34" i="29"/>
  <c r="U1087" i="32"/>
  <c r="G1085" i="32"/>
  <c r="A1087" i="32"/>
  <c r="T1007" i="32" l="1" a="1"/>
  <c r="T1007" i="32" s="1"/>
  <c r="R1007" i="32" a="1"/>
  <c r="R1007" i="32" s="1"/>
  <c r="D1007" i="32" s="1"/>
  <c r="V1007" i="32" a="1"/>
  <c r="V1007" i="32" s="1"/>
  <c r="L1007" i="32" s="1"/>
  <c r="S1007" i="32" a="1"/>
  <c r="S1007" i="32" s="1"/>
  <c r="E1007" i="32" s="1"/>
  <c r="P1011" i="32"/>
  <c r="Q1009" i="32"/>
  <c r="F3157" i="27"/>
  <c r="K1875" i="27"/>
  <c r="K1876" i="27"/>
  <c r="P36" i="29" a="1"/>
  <c r="P36" i="29" s="1"/>
  <c r="Q36" i="29" s="1"/>
  <c r="Q35" i="29"/>
  <c r="U1089" i="32"/>
  <c r="A1089" i="32"/>
  <c r="G1087" i="32"/>
  <c r="P1013" i="32" l="1"/>
  <c r="Q1011" i="32"/>
  <c r="T1009" i="32" a="1"/>
  <c r="T1009" i="32" s="1"/>
  <c r="R1009" i="32" a="1"/>
  <c r="R1009" i="32" s="1"/>
  <c r="D1009" i="32" s="1"/>
  <c r="S1009" i="32" a="1"/>
  <c r="S1009" i="32" s="1"/>
  <c r="E1009" i="32" s="1"/>
  <c r="V1009" i="32" a="1"/>
  <c r="V1009" i="32" s="1"/>
  <c r="L1009" i="32" s="1"/>
  <c r="F3158" i="27"/>
  <c r="K1877" i="27"/>
  <c r="K1878" i="27"/>
  <c r="P37" i="29" a="1"/>
  <c r="P37" i="29" s="1"/>
  <c r="O37" i="29" s="1"/>
  <c r="O36" i="29"/>
  <c r="U1091" i="32"/>
  <c r="G1089" i="32"/>
  <c r="A1091" i="32"/>
  <c r="P1015" i="32" l="1"/>
  <c r="Q1013" i="32"/>
  <c r="V1011" i="32" a="1"/>
  <c r="V1011" i="32" s="1"/>
  <c r="L1011" i="32" s="1"/>
  <c r="S1011" i="32" a="1"/>
  <c r="S1011" i="32" s="1"/>
  <c r="E1011" i="32" s="1"/>
  <c r="T1011" i="32" a="1"/>
  <c r="T1011" i="32" s="1"/>
  <c r="R1011" i="32" a="1"/>
  <c r="R1011" i="32" s="1"/>
  <c r="D1011" i="32" s="1"/>
  <c r="F3159" i="27"/>
  <c r="K1879" i="27"/>
  <c r="K1880" i="27"/>
  <c r="Q37" i="29"/>
  <c r="P38" i="29" a="1"/>
  <c r="P38" i="29" s="1"/>
  <c r="Q38" i="29" s="1"/>
  <c r="U1093" i="32"/>
  <c r="A1093" i="32"/>
  <c r="G1091" i="32"/>
  <c r="R1013" i="32" l="1" a="1"/>
  <c r="R1013" i="32" s="1"/>
  <c r="D1013" i="32" s="1"/>
  <c r="S1013" i="32" a="1"/>
  <c r="S1013" i="32" s="1"/>
  <c r="E1013" i="32" s="1"/>
  <c r="V1013" i="32" a="1"/>
  <c r="V1013" i="32" s="1"/>
  <c r="L1013" i="32" s="1"/>
  <c r="T1013" i="32" a="1"/>
  <c r="T1013" i="32" s="1"/>
  <c r="P1017" i="32"/>
  <c r="Q1015" i="32"/>
  <c r="F3161" i="27"/>
  <c r="F3160" i="27"/>
  <c r="K1882" i="27"/>
  <c r="K1881" i="27"/>
  <c r="P39" i="29" a="1"/>
  <c r="P39" i="29" s="1"/>
  <c r="Q39" i="29" s="1"/>
  <c r="O38" i="29"/>
  <c r="U1095" i="32"/>
  <c r="G1093" i="32"/>
  <c r="A1095" i="32"/>
  <c r="T1015" i="32" l="1" a="1"/>
  <c r="T1015" i="32" s="1"/>
  <c r="V1015" i="32" a="1"/>
  <c r="V1015" i="32" s="1"/>
  <c r="L1015" i="32" s="1"/>
  <c r="R1015" i="32" a="1"/>
  <c r="R1015" i="32" s="1"/>
  <c r="D1015" i="32" s="1"/>
  <c r="S1015" i="32" a="1"/>
  <c r="S1015" i="32" s="1"/>
  <c r="E1015" i="32" s="1"/>
  <c r="P1019" i="32"/>
  <c r="Q1017" i="32"/>
  <c r="F3162" i="27"/>
  <c r="K1883" i="27"/>
  <c r="K1884" i="27"/>
  <c r="P40" i="29" a="1"/>
  <c r="P40" i="29" s="1"/>
  <c r="Q40" i="29" s="1"/>
  <c r="O39" i="29"/>
  <c r="U1097" i="32"/>
  <c r="G1095" i="32"/>
  <c r="A1097" i="32"/>
  <c r="V1017" i="32" l="1" a="1"/>
  <c r="V1017" i="32" s="1"/>
  <c r="L1017" i="32" s="1"/>
  <c r="S1017" i="32" a="1"/>
  <c r="S1017" i="32" s="1"/>
  <c r="E1017" i="32" s="1"/>
  <c r="R1017" i="32" a="1"/>
  <c r="R1017" i="32" s="1"/>
  <c r="D1017" i="32" s="1"/>
  <c r="T1017" i="32" a="1"/>
  <c r="T1017" i="32" s="1"/>
  <c r="P1021" i="32"/>
  <c r="Q1019" i="32"/>
  <c r="F3163" i="27"/>
  <c r="K1886" i="27"/>
  <c r="K1885" i="27"/>
  <c r="P41" i="29" a="1"/>
  <c r="P41" i="29" s="1"/>
  <c r="O41" i="29" s="1"/>
  <c r="O40" i="29"/>
  <c r="U1099" i="32"/>
  <c r="G1097" i="32"/>
  <c r="A1099" i="32"/>
  <c r="P1023" i="32" l="1"/>
  <c r="Q1021" i="32"/>
  <c r="V1019" i="32" a="1"/>
  <c r="V1019" i="32" s="1"/>
  <c r="L1019" i="32" s="1"/>
  <c r="S1019" i="32" a="1"/>
  <c r="S1019" i="32" s="1"/>
  <c r="E1019" i="32" s="1"/>
  <c r="T1019" i="32" a="1"/>
  <c r="T1019" i="32" s="1"/>
  <c r="R1019" i="32" a="1"/>
  <c r="R1019" i="32" s="1"/>
  <c r="D1019" i="32" s="1"/>
  <c r="F3164" i="27"/>
  <c r="K1888" i="27"/>
  <c r="K1887" i="27"/>
  <c r="P42" i="29" a="1"/>
  <c r="P42" i="29" s="1"/>
  <c r="Q42" i="29" s="1"/>
  <c r="Q41" i="29"/>
  <c r="U1101" i="32"/>
  <c r="A1101" i="32"/>
  <c r="G1099" i="32"/>
  <c r="S1021" i="32" l="1" a="1"/>
  <c r="S1021" i="32" s="1"/>
  <c r="E1021" i="32" s="1"/>
  <c r="T1021" i="32" a="1"/>
  <c r="T1021" i="32" s="1"/>
  <c r="R1021" i="32" a="1"/>
  <c r="R1021" i="32" s="1"/>
  <c r="D1021" i="32" s="1"/>
  <c r="V1021" i="32" a="1"/>
  <c r="V1021" i="32" s="1"/>
  <c r="L1021" i="32" s="1"/>
  <c r="P1025" i="32"/>
  <c r="Q1023" i="32"/>
  <c r="F3165" i="27"/>
  <c r="K1889" i="27"/>
  <c r="K1890" i="27"/>
  <c r="P43" i="29" a="1"/>
  <c r="P43" i="29" s="1"/>
  <c r="Q43" i="29" s="1"/>
  <c r="O42" i="29"/>
  <c r="U1103" i="32"/>
  <c r="G1101" i="32"/>
  <c r="A1103" i="32"/>
  <c r="T1023" i="32" l="1" a="1"/>
  <c r="T1023" i="32" s="1"/>
  <c r="S1023" i="32" a="1"/>
  <c r="S1023" i="32" s="1"/>
  <c r="E1023" i="32" s="1"/>
  <c r="V1023" i="32" a="1"/>
  <c r="V1023" i="32" s="1"/>
  <c r="L1023" i="32" s="1"/>
  <c r="R1023" i="32" a="1"/>
  <c r="R1023" i="32" s="1"/>
  <c r="D1023" i="32" s="1"/>
  <c r="P1027" i="32"/>
  <c r="Q1025" i="32"/>
  <c r="F3166" i="27"/>
  <c r="F3167" i="27"/>
  <c r="K1891" i="27"/>
  <c r="K1892" i="27"/>
  <c r="P44" i="29" a="1"/>
  <c r="P44" i="29" s="1"/>
  <c r="Q44" i="29" s="1"/>
  <c r="O43" i="29"/>
  <c r="U1105" i="32"/>
  <c r="A1105" i="32"/>
  <c r="G1103" i="32"/>
  <c r="T1025" i="32" l="1" a="1"/>
  <c r="T1025" i="32" s="1"/>
  <c r="R1025" i="32" a="1"/>
  <c r="R1025" i="32" s="1"/>
  <c r="D1025" i="32" s="1"/>
  <c r="S1025" i="32" a="1"/>
  <c r="S1025" i="32" s="1"/>
  <c r="E1025" i="32" s="1"/>
  <c r="V1025" i="32" a="1"/>
  <c r="V1025" i="32" s="1"/>
  <c r="L1025" i="32" s="1"/>
  <c r="P1029" i="32"/>
  <c r="Q1027" i="32"/>
  <c r="F3168" i="27"/>
  <c r="K1894" i="27"/>
  <c r="K1893" i="27"/>
  <c r="P45" i="29" a="1"/>
  <c r="P45" i="29" s="1"/>
  <c r="Q45" i="29" s="1"/>
  <c r="O44" i="29"/>
  <c r="U1107" i="32"/>
  <c r="G1105" i="32"/>
  <c r="A1107" i="32"/>
  <c r="R1027" i="32" l="1" a="1"/>
  <c r="R1027" i="32" s="1"/>
  <c r="D1027" i="32" s="1"/>
  <c r="T1027" i="32" a="1"/>
  <c r="T1027" i="32" s="1"/>
  <c r="S1027" i="32" a="1"/>
  <c r="S1027" i="32" s="1"/>
  <c r="E1027" i="32" s="1"/>
  <c r="V1027" i="32" a="1"/>
  <c r="V1027" i="32" s="1"/>
  <c r="L1027" i="32" s="1"/>
  <c r="P1031" i="32"/>
  <c r="Q1029" i="32"/>
  <c r="F3169" i="27"/>
  <c r="K1896" i="27"/>
  <c r="K1895" i="27"/>
  <c r="P46" i="29" a="1"/>
  <c r="P46" i="29" s="1"/>
  <c r="Q46" i="29" s="1"/>
  <c r="O45" i="29"/>
  <c r="U1109" i="32"/>
  <c r="A1109" i="32"/>
  <c r="G1107" i="32"/>
  <c r="S1029" i="32" l="1" a="1"/>
  <c r="S1029" i="32" s="1"/>
  <c r="E1029" i="32" s="1"/>
  <c r="V1029" i="32" a="1"/>
  <c r="V1029" i="32" s="1"/>
  <c r="L1029" i="32" s="1"/>
  <c r="T1029" i="32" a="1"/>
  <c r="T1029" i="32" s="1"/>
  <c r="R1029" i="32" a="1"/>
  <c r="R1029" i="32" s="1"/>
  <c r="D1029" i="32" s="1"/>
  <c r="P1033" i="32"/>
  <c r="Q1031" i="32"/>
  <c r="F3170" i="27"/>
  <c r="K1897" i="27"/>
  <c r="K1898" i="27"/>
  <c r="P47" i="29" a="1"/>
  <c r="P47" i="29" s="1"/>
  <c r="O47" i="29" s="1"/>
  <c r="O46" i="29"/>
  <c r="U1111" i="32"/>
  <c r="G1109" i="32"/>
  <c r="A1111" i="32"/>
  <c r="S1031" i="32" l="1" a="1"/>
  <c r="S1031" i="32" s="1"/>
  <c r="E1031" i="32" s="1"/>
  <c r="V1031" i="32" a="1"/>
  <c r="V1031" i="32" s="1"/>
  <c r="L1031" i="32" s="1"/>
  <c r="R1031" i="32" a="1"/>
  <c r="R1031" i="32" s="1"/>
  <c r="D1031" i="32" s="1"/>
  <c r="T1031" i="32" a="1"/>
  <c r="T1031" i="32" s="1"/>
  <c r="P1035" i="32"/>
  <c r="Q1033" i="32"/>
  <c r="F3171" i="27"/>
  <c r="K1900" i="27"/>
  <c r="K1899" i="27"/>
  <c r="P48" i="29" a="1"/>
  <c r="P48" i="29" s="1"/>
  <c r="Q48" i="29" s="1"/>
  <c r="Q47" i="29"/>
  <c r="U1113" i="32"/>
  <c r="A1113" i="32"/>
  <c r="G1111" i="32"/>
  <c r="S1033" i="32" l="1" a="1"/>
  <c r="S1033" i="32" s="1"/>
  <c r="E1033" i="32" s="1"/>
  <c r="T1033" i="32" a="1"/>
  <c r="T1033" i="32" s="1"/>
  <c r="V1033" i="32" a="1"/>
  <c r="V1033" i="32" s="1"/>
  <c r="L1033" i="32" s="1"/>
  <c r="R1033" i="32" a="1"/>
  <c r="R1033" i="32" s="1"/>
  <c r="D1033" i="32" s="1"/>
  <c r="P1037" i="32"/>
  <c r="Q1035" i="32"/>
  <c r="F3172" i="27"/>
  <c r="F3173" i="27"/>
  <c r="K1902" i="27"/>
  <c r="K1901" i="27"/>
  <c r="P49" i="29" a="1"/>
  <c r="P49" i="29" s="1"/>
  <c r="Q49" i="29" s="1"/>
  <c r="O48" i="29"/>
  <c r="U1115" i="32"/>
  <c r="G1113" i="32"/>
  <c r="A1115" i="32"/>
  <c r="P1039" i="32" l="1"/>
  <c r="Q1037" i="32"/>
  <c r="T1035" i="32" a="1"/>
  <c r="T1035" i="32" s="1"/>
  <c r="S1035" i="32" a="1"/>
  <c r="S1035" i="32" s="1"/>
  <c r="E1035" i="32" s="1"/>
  <c r="V1035" i="32" a="1"/>
  <c r="V1035" i="32" s="1"/>
  <c r="L1035" i="32" s="1"/>
  <c r="R1035" i="32" a="1"/>
  <c r="R1035" i="32" s="1"/>
  <c r="D1035" i="32" s="1"/>
  <c r="F3174" i="27"/>
  <c r="K1903" i="27"/>
  <c r="K1904" i="27"/>
  <c r="P50" i="29" a="1"/>
  <c r="P50" i="29" s="1"/>
  <c r="O50" i="29" s="1"/>
  <c r="O49" i="29"/>
  <c r="U1117" i="32"/>
  <c r="A1117" i="32"/>
  <c r="G1115" i="32"/>
  <c r="R1037" i="32" l="1" a="1"/>
  <c r="R1037" i="32" s="1"/>
  <c r="D1037" i="32" s="1"/>
  <c r="S1037" i="32" a="1"/>
  <c r="S1037" i="32" s="1"/>
  <c r="E1037" i="32" s="1"/>
  <c r="T1037" i="32" a="1"/>
  <c r="T1037" i="32" s="1"/>
  <c r="V1037" i="32" a="1"/>
  <c r="V1037" i="32" s="1"/>
  <c r="L1037" i="32" s="1"/>
  <c r="P1041" i="32"/>
  <c r="Q1039" i="32"/>
  <c r="F3175" i="27"/>
  <c r="K1905" i="27"/>
  <c r="K1906" i="27"/>
  <c r="P51" i="29" a="1"/>
  <c r="P51" i="29" s="1"/>
  <c r="O51" i="29" s="1"/>
  <c r="Q50" i="29"/>
  <c r="U1119" i="32"/>
  <c r="G1117" i="32"/>
  <c r="A1119" i="32"/>
  <c r="R1039" i="32" l="1" a="1"/>
  <c r="R1039" i="32" s="1"/>
  <c r="D1039" i="32" s="1"/>
  <c r="T1039" i="32" a="1"/>
  <c r="T1039" i="32" s="1"/>
  <c r="S1039" i="32" a="1"/>
  <c r="S1039" i="32" s="1"/>
  <c r="E1039" i="32" s="1"/>
  <c r="V1039" i="32" a="1"/>
  <c r="V1039" i="32" s="1"/>
  <c r="L1039" i="32" s="1"/>
  <c r="P1043" i="32"/>
  <c r="Q1041" i="32"/>
  <c r="F3176" i="27"/>
  <c r="K1907" i="27"/>
  <c r="K1908" i="27"/>
  <c r="P52" i="29" a="1"/>
  <c r="P52" i="29" s="1"/>
  <c r="Q52" i="29" s="1"/>
  <c r="Q51" i="29"/>
  <c r="U1121" i="32"/>
  <c r="G1119" i="32"/>
  <c r="A1121" i="32"/>
  <c r="R1041" i="32" l="1" a="1"/>
  <c r="R1041" i="32" s="1"/>
  <c r="D1041" i="32" s="1"/>
  <c r="S1041" i="32" a="1"/>
  <c r="S1041" i="32" s="1"/>
  <c r="E1041" i="32" s="1"/>
  <c r="V1041" i="32" a="1"/>
  <c r="V1041" i="32" s="1"/>
  <c r="L1041" i="32" s="1"/>
  <c r="T1041" i="32" a="1"/>
  <c r="T1041" i="32" s="1"/>
  <c r="P1045" i="32"/>
  <c r="Q1043" i="32"/>
  <c r="F3177" i="27"/>
  <c r="K1910" i="27"/>
  <c r="K1909" i="27"/>
  <c r="P53" i="29" a="1"/>
  <c r="P53" i="29" s="1"/>
  <c r="O53" i="29" s="1"/>
  <c r="O52" i="29"/>
  <c r="U1123" i="32"/>
  <c r="A1123" i="32"/>
  <c r="G1121" i="32"/>
  <c r="V1043" i="32" l="1" a="1"/>
  <c r="V1043" i="32" s="1"/>
  <c r="L1043" i="32" s="1"/>
  <c r="S1043" i="32" a="1"/>
  <c r="S1043" i="32" s="1"/>
  <c r="E1043" i="32" s="1"/>
  <c r="T1043" i="32" a="1"/>
  <c r="T1043" i="32" s="1"/>
  <c r="R1043" i="32" a="1"/>
  <c r="R1043" i="32" s="1"/>
  <c r="D1043" i="32" s="1"/>
  <c r="P1047" i="32"/>
  <c r="Q1045" i="32"/>
  <c r="F3178" i="27"/>
  <c r="F3179" i="27"/>
  <c r="K1912" i="27"/>
  <c r="K1911" i="27"/>
  <c r="P54" i="29" a="1"/>
  <c r="P54" i="29" s="1"/>
  <c r="O54" i="29" s="1"/>
  <c r="Q53" i="29"/>
  <c r="U1125" i="32"/>
  <c r="G1123" i="32"/>
  <c r="A1125" i="32"/>
  <c r="V1045" i="32" l="1" a="1"/>
  <c r="V1045" i="32" s="1"/>
  <c r="L1045" i="32" s="1"/>
  <c r="T1045" i="32" a="1"/>
  <c r="T1045" i="32" s="1"/>
  <c r="R1045" i="32" a="1"/>
  <c r="R1045" i="32" s="1"/>
  <c r="D1045" i="32" s="1"/>
  <c r="S1045" i="32" a="1"/>
  <c r="S1045" i="32" s="1"/>
  <c r="E1045" i="32" s="1"/>
  <c r="P1049" i="32"/>
  <c r="Q1047" i="32"/>
  <c r="F3180" i="27"/>
  <c r="K1914" i="27"/>
  <c r="K1913" i="27"/>
  <c r="P55" i="29" a="1"/>
  <c r="P55" i="29" s="1"/>
  <c r="Q55" i="29" s="1"/>
  <c r="Q54" i="29"/>
  <c r="U1127" i="32"/>
  <c r="A1127" i="32"/>
  <c r="G1125" i="32"/>
  <c r="T1047" i="32" l="1" a="1"/>
  <c r="T1047" i="32" s="1"/>
  <c r="R1047" i="32" a="1"/>
  <c r="R1047" i="32" s="1"/>
  <c r="D1047" i="32" s="1"/>
  <c r="V1047" i="32" a="1"/>
  <c r="V1047" i="32" s="1"/>
  <c r="L1047" i="32" s="1"/>
  <c r="S1047" i="32" a="1"/>
  <c r="S1047" i="32" s="1"/>
  <c r="E1047" i="32" s="1"/>
  <c r="P1051" i="32"/>
  <c r="Q1049" i="32"/>
  <c r="F3181" i="27"/>
  <c r="K1916" i="27"/>
  <c r="K1915" i="27"/>
  <c r="P56" i="29" a="1"/>
  <c r="P56" i="29" s="1"/>
  <c r="Q56" i="29" s="1"/>
  <c r="O55" i="29"/>
  <c r="U1129" i="32"/>
  <c r="G1127" i="32"/>
  <c r="A1129" i="32"/>
  <c r="T1049" i="32" l="1" a="1"/>
  <c r="T1049" i="32" s="1"/>
  <c r="S1049" i="32" a="1"/>
  <c r="S1049" i="32" s="1"/>
  <c r="E1049" i="32" s="1"/>
  <c r="V1049" i="32" a="1"/>
  <c r="V1049" i="32" s="1"/>
  <c r="L1049" i="32" s="1"/>
  <c r="R1049" i="32" a="1"/>
  <c r="R1049" i="32" s="1"/>
  <c r="D1049" i="32" s="1"/>
  <c r="P1053" i="32"/>
  <c r="Q1051" i="32"/>
  <c r="F3182" i="27"/>
  <c r="K1918" i="27"/>
  <c r="K1917" i="27"/>
  <c r="P57" i="29" a="1"/>
  <c r="P57" i="29" s="1"/>
  <c r="O57" i="29" s="1"/>
  <c r="O56" i="29"/>
  <c r="U1131" i="32"/>
  <c r="A1131" i="32"/>
  <c r="G1129" i="32"/>
  <c r="V1051" i="32" l="1" a="1"/>
  <c r="V1051" i="32" s="1"/>
  <c r="L1051" i="32" s="1"/>
  <c r="R1051" i="32" a="1"/>
  <c r="R1051" i="32" s="1"/>
  <c r="D1051" i="32" s="1"/>
  <c r="S1051" i="32" a="1"/>
  <c r="S1051" i="32" s="1"/>
  <c r="E1051" i="32" s="1"/>
  <c r="T1051" i="32" a="1"/>
  <c r="T1051" i="32" s="1"/>
  <c r="P1055" i="32"/>
  <c r="Q1053" i="32"/>
  <c r="F3183" i="27"/>
  <c r="K1919" i="27"/>
  <c r="K1920" i="27"/>
  <c r="P58" i="29" a="1"/>
  <c r="P58" i="29" s="1"/>
  <c r="O58" i="29" s="1"/>
  <c r="Q57" i="29"/>
  <c r="U1133" i="32"/>
  <c r="G1131" i="32"/>
  <c r="A1133" i="32"/>
  <c r="T1053" i="32" l="1" a="1"/>
  <c r="T1053" i="32" s="1"/>
  <c r="V1053" i="32" a="1"/>
  <c r="V1053" i="32" s="1"/>
  <c r="L1053" i="32" s="1"/>
  <c r="S1053" i="32" a="1"/>
  <c r="S1053" i="32" s="1"/>
  <c r="E1053" i="32" s="1"/>
  <c r="R1053" i="32" a="1"/>
  <c r="R1053" i="32" s="1"/>
  <c r="D1053" i="32" s="1"/>
  <c r="P1057" i="32"/>
  <c r="Q1055" i="32"/>
  <c r="F3185" i="27"/>
  <c r="F3184" i="27"/>
  <c r="K1921" i="27"/>
  <c r="K1922" i="27"/>
  <c r="P59" i="29" a="1"/>
  <c r="P59" i="29" s="1"/>
  <c r="Q59" i="29" s="1"/>
  <c r="Q58" i="29"/>
  <c r="U1135" i="32"/>
  <c r="G1133" i="32"/>
  <c r="A1135" i="32"/>
  <c r="V1055" i="32" l="1" a="1"/>
  <c r="V1055" i="32" s="1"/>
  <c r="L1055" i="32" s="1"/>
  <c r="T1055" i="32" a="1"/>
  <c r="T1055" i="32" s="1"/>
  <c r="R1055" i="32" a="1"/>
  <c r="R1055" i="32" s="1"/>
  <c r="D1055" i="32" s="1"/>
  <c r="S1055" i="32" a="1"/>
  <c r="S1055" i="32" s="1"/>
  <c r="E1055" i="32" s="1"/>
  <c r="P1059" i="32"/>
  <c r="Q1057" i="32"/>
  <c r="F3186" i="27"/>
  <c r="K1923" i="27"/>
  <c r="K1924" i="27"/>
  <c r="P60" i="29" a="1"/>
  <c r="P60" i="29" s="1"/>
  <c r="Q60" i="29" s="1"/>
  <c r="O59" i="29"/>
  <c r="U1137" i="32"/>
  <c r="G1135" i="32"/>
  <c r="A1137" i="32"/>
  <c r="T1057" i="32" l="1" a="1"/>
  <c r="T1057" i="32" s="1"/>
  <c r="R1057" i="32" a="1"/>
  <c r="R1057" i="32" s="1"/>
  <c r="D1057" i="32" s="1"/>
  <c r="S1057" i="32" a="1"/>
  <c r="S1057" i="32" s="1"/>
  <c r="E1057" i="32" s="1"/>
  <c r="V1057" i="32" a="1"/>
  <c r="V1057" i="32" s="1"/>
  <c r="L1057" i="32" s="1"/>
  <c r="P1061" i="32"/>
  <c r="Q1059" i="32"/>
  <c r="P1101" i="32"/>
  <c r="F3187" i="27"/>
  <c r="K1926" i="27"/>
  <c r="K1925" i="27"/>
  <c r="P61" i="29" a="1"/>
  <c r="P61" i="29" s="1"/>
  <c r="O61" i="29" s="1"/>
  <c r="O60" i="29"/>
  <c r="U1139" i="32"/>
  <c r="A1139" i="32"/>
  <c r="G1137" i="32"/>
  <c r="T1059" i="32" l="1" a="1"/>
  <c r="T1059" i="32" s="1"/>
  <c r="S1059" i="32" a="1"/>
  <c r="S1059" i="32" s="1"/>
  <c r="E1059" i="32" s="1"/>
  <c r="V1059" i="32" a="1"/>
  <c r="V1059" i="32" s="1"/>
  <c r="L1059" i="32" s="1"/>
  <c r="R1059" i="32" a="1"/>
  <c r="R1059" i="32" s="1"/>
  <c r="D1059" i="32" s="1"/>
  <c r="P1063" i="32"/>
  <c r="Q1061" i="32"/>
  <c r="P1103" i="32"/>
  <c r="Q1101" i="32"/>
  <c r="F3188" i="27"/>
  <c r="K1927" i="27"/>
  <c r="K1928" i="27"/>
  <c r="Q61" i="29"/>
  <c r="U1141" i="32"/>
  <c r="A1141" i="32"/>
  <c r="G1139" i="32"/>
  <c r="T1061" i="32" l="1" a="1"/>
  <c r="T1061" i="32" s="1"/>
  <c r="V1061" i="32" a="1"/>
  <c r="V1061" i="32" s="1"/>
  <c r="L1061" i="32" s="1"/>
  <c r="R1061" i="32" a="1"/>
  <c r="R1061" i="32" s="1"/>
  <c r="D1061" i="32" s="1"/>
  <c r="S1061" i="32" a="1"/>
  <c r="S1061" i="32" s="1"/>
  <c r="E1061" i="32" s="1"/>
  <c r="P1065" i="32"/>
  <c r="Q1063" i="32"/>
  <c r="S1101" i="32" a="1"/>
  <c r="S1101" i="32" s="1"/>
  <c r="E1101" i="32" s="1"/>
  <c r="T1101" i="32" a="1"/>
  <c r="T1101" i="32" s="1"/>
  <c r="V1101" i="32" a="1"/>
  <c r="V1101" i="32" s="1"/>
  <c r="L1101" i="32" s="1"/>
  <c r="R1101" i="32" a="1"/>
  <c r="R1101" i="32" s="1"/>
  <c r="D1101" i="32" s="1"/>
  <c r="P1105" i="32"/>
  <c r="Q1103" i="32"/>
  <c r="F3189" i="27"/>
  <c r="K1929" i="27"/>
  <c r="K1930" i="27"/>
  <c r="U1143" i="32"/>
  <c r="A1143" i="32"/>
  <c r="G1141" i="32"/>
  <c r="S1063" i="32" l="1" a="1"/>
  <c r="S1063" i="32" s="1"/>
  <c r="E1063" i="32" s="1"/>
  <c r="V1063" i="32" a="1"/>
  <c r="V1063" i="32" s="1"/>
  <c r="L1063" i="32" s="1"/>
  <c r="T1063" i="32" a="1"/>
  <c r="T1063" i="32" s="1"/>
  <c r="R1063" i="32" a="1"/>
  <c r="R1063" i="32" s="1"/>
  <c r="D1063" i="32" s="1"/>
  <c r="P1067" i="32"/>
  <c r="Q1065" i="32"/>
  <c r="R1103" i="32" a="1"/>
  <c r="R1103" i="32" s="1"/>
  <c r="D1103" i="32" s="1"/>
  <c r="S1103" i="32" a="1"/>
  <c r="S1103" i="32" s="1"/>
  <c r="E1103" i="32" s="1"/>
  <c r="T1103" i="32" a="1"/>
  <c r="T1103" i="32" s="1"/>
  <c r="V1103" i="32" a="1"/>
  <c r="V1103" i="32" s="1"/>
  <c r="L1103" i="32" s="1"/>
  <c r="P1107" i="32"/>
  <c r="Q1105" i="32"/>
  <c r="F3191" i="27"/>
  <c r="F3190" i="27"/>
  <c r="K1932" i="27"/>
  <c r="K1931" i="27"/>
  <c r="U1145" i="32"/>
  <c r="A1145" i="32"/>
  <c r="G1143" i="32"/>
  <c r="V1065" i="32" l="1" a="1"/>
  <c r="V1065" i="32" s="1"/>
  <c r="L1065" i="32" s="1"/>
  <c r="S1065" i="32" a="1"/>
  <c r="S1065" i="32" s="1"/>
  <c r="E1065" i="32" s="1"/>
  <c r="T1065" i="32" a="1"/>
  <c r="T1065" i="32" s="1"/>
  <c r="R1065" i="32" a="1"/>
  <c r="R1065" i="32" s="1"/>
  <c r="D1065" i="32" s="1"/>
  <c r="P1069" i="32"/>
  <c r="Q1067" i="32"/>
  <c r="S1105" i="32" a="1"/>
  <c r="S1105" i="32" s="1"/>
  <c r="E1105" i="32" s="1"/>
  <c r="V1105" i="32" a="1"/>
  <c r="V1105" i="32" s="1"/>
  <c r="L1105" i="32" s="1"/>
  <c r="R1105" i="32" a="1"/>
  <c r="R1105" i="32" s="1"/>
  <c r="D1105" i="32" s="1"/>
  <c r="T1105" i="32" a="1"/>
  <c r="T1105" i="32" s="1"/>
  <c r="P1109" i="32"/>
  <c r="Q1107" i="32"/>
  <c r="F3192" i="27"/>
  <c r="K1934" i="27"/>
  <c r="K1933" i="27"/>
  <c r="U1147" i="32"/>
  <c r="A1147" i="32"/>
  <c r="G1145" i="32"/>
  <c r="R1067" i="32" l="1" a="1"/>
  <c r="R1067" i="32" s="1"/>
  <c r="D1067" i="32" s="1"/>
  <c r="T1067" i="32" a="1"/>
  <c r="T1067" i="32" s="1"/>
  <c r="S1067" i="32" a="1"/>
  <c r="S1067" i="32" s="1"/>
  <c r="E1067" i="32" s="1"/>
  <c r="V1067" i="32" a="1"/>
  <c r="V1067" i="32" s="1"/>
  <c r="L1067" i="32" s="1"/>
  <c r="P1071" i="32"/>
  <c r="Q1069" i="32"/>
  <c r="V1107" i="32" a="1"/>
  <c r="V1107" i="32" s="1"/>
  <c r="L1107" i="32" s="1"/>
  <c r="S1107" i="32" a="1"/>
  <c r="S1107" i="32" s="1"/>
  <c r="E1107" i="32" s="1"/>
  <c r="R1107" i="32" a="1"/>
  <c r="R1107" i="32" s="1"/>
  <c r="D1107" i="32" s="1"/>
  <c r="T1107" i="32" a="1"/>
  <c r="T1107" i="32" s="1"/>
  <c r="P1111" i="32"/>
  <c r="Q1109" i="32"/>
  <c r="F3193" i="27"/>
  <c r="K1936" i="27"/>
  <c r="K1935" i="27"/>
  <c r="U1149" i="32"/>
  <c r="G1147" i="32"/>
  <c r="A1149" i="32"/>
  <c r="S1069" i="32" l="1" a="1"/>
  <c r="S1069" i="32" s="1"/>
  <c r="E1069" i="32" s="1"/>
  <c r="R1069" i="32" a="1"/>
  <c r="R1069" i="32" s="1"/>
  <c r="D1069" i="32" s="1"/>
  <c r="T1069" i="32" a="1"/>
  <c r="T1069" i="32" s="1"/>
  <c r="V1069" i="32" a="1"/>
  <c r="V1069" i="32" s="1"/>
  <c r="L1069" i="32" s="1"/>
  <c r="P1073" i="32"/>
  <c r="Q1071" i="32"/>
  <c r="T1109" i="32" a="1"/>
  <c r="T1109" i="32" s="1"/>
  <c r="S1109" i="32" a="1"/>
  <c r="S1109" i="32" s="1"/>
  <c r="E1109" i="32" s="1"/>
  <c r="V1109" i="32" a="1"/>
  <c r="V1109" i="32" s="1"/>
  <c r="L1109" i="32" s="1"/>
  <c r="R1109" i="32" a="1"/>
  <c r="R1109" i="32" s="1"/>
  <c r="D1109" i="32" s="1"/>
  <c r="P1113" i="32"/>
  <c r="Q1111" i="32"/>
  <c r="F3194" i="27"/>
  <c r="K1937" i="27"/>
  <c r="K1938" i="27"/>
  <c r="U1151" i="32"/>
  <c r="A1151" i="32"/>
  <c r="G1149" i="32"/>
  <c r="T1071" i="32" l="1" a="1"/>
  <c r="T1071" i="32" s="1"/>
  <c r="V1071" i="32" a="1"/>
  <c r="V1071" i="32" s="1"/>
  <c r="L1071" i="32" s="1"/>
  <c r="R1071" i="32" a="1"/>
  <c r="R1071" i="32" s="1"/>
  <c r="D1071" i="32" s="1"/>
  <c r="S1071" i="32" a="1"/>
  <c r="S1071" i="32" s="1"/>
  <c r="E1071" i="32" s="1"/>
  <c r="Q1073" i="32"/>
  <c r="P1075" i="32"/>
  <c r="T1111" i="32" a="1"/>
  <c r="T1111" i="32" s="1"/>
  <c r="S1111" i="32" a="1"/>
  <c r="S1111" i="32" s="1"/>
  <c r="E1111" i="32" s="1"/>
  <c r="V1111" i="32" a="1"/>
  <c r="V1111" i="32" s="1"/>
  <c r="L1111" i="32" s="1"/>
  <c r="R1111" i="32" a="1"/>
  <c r="R1111" i="32" s="1"/>
  <c r="D1111" i="32" s="1"/>
  <c r="P1115" i="32"/>
  <c r="Q1113" i="32"/>
  <c r="F3195" i="27"/>
  <c r="K1939" i="27"/>
  <c r="K1940" i="27"/>
  <c r="U1153" i="32"/>
  <c r="A1153" i="32"/>
  <c r="G1151" i="32"/>
  <c r="P1077" i="32" l="1"/>
  <c r="Q1075" i="32"/>
  <c r="R1073" i="32" a="1"/>
  <c r="R1073" i="32" s="1"/>
  <c r="D1073" i="32" s="1"/>
  <c r="V1073" i="32" a="1"/>
  <c r="V1073" i="32" s="1"/>
  <c r="L1073" i="32" s="1"/>
  <c r="T1073" i="32" a="1"/>
  <c r="T1073" i="32" s="1"/>
  <c r="S1073" i="32" a="1"/>
  <c r="S1073" i="32" s="1"/>
  <c r="E1073" i="32" s="1"/>
  <c r="V1113" i="32" a="1"/>
  <c r="V1113" i="32" s="1"/>
  <c r="L1113" i="32" s="1"/>
  <c r="S1113" i="32" a="1"/>
  <c r="S1113" i="32" s="1"/>
  <c r="E1113" i="32" s="1"/>
  <c r="T1113" i="32" a="1"/>
  <c r="T1113" i="32" s="1"/>
  <c r="R1113" i="32" a="1"/>
  <c r="R1113" i="32" s="1"/>
  <c r="D1113" i="32" s="1"/>
  <c r="P1117" i="32"/>
  <c r="Q1115" i="32"/>
  <c r="F3196" i="27"/>
  <c r="F3197" i="27"/>
  <c r="K1941" i="27"/>
  <c r="K1942" i="27"/>
  <c r="U1155" i="32"/>
  <c r="G1153" i="32"/>
  <c r="A1155" i="32"/>
  <c r="T1075" i="32" l="1" a="1"/>
  <c r="T1075" i="32" s="1"/>
  <c r="S1075" i="32" a="1"/>
  <c r="S1075" i="32" s="1"/>
  <c r="E1075" i="32" s="1"/>
  <c r="V1075" i="32" a="1"/>
  <c r="V1075" i="32" s="1"/>
  <c r="L1075" i="32" s="1"/>
  <c r="R1075" i="32" a="1"/>
  <c r="R1075" i="32" s="1"/>
  <c r="D1075" i="32" s="1"/>
  <c r="Q1077" i="32"/>
  <c r="P1079" i="32"/>
  <c r="S1115" i="32" a="1"/>
  <c r="S1115" i="32" s="1"/>
  <c r="E1115" i="32" s="1"/>
  <c r="R1115" i="32" a="1"/>
  <c r="R1115" i="32" s="1"/>
  <c r="D1115" i="32" s="1"/>
  <c r="V1115" i="32" a="1"/>
  <c r="V1115" i="32" s="1"/>
  <c r="L1115" i="32" s="1"/>
  <c r="T1115" i="32" a="1"/>
  <c r="T1115" i="32" s="1"/>
  <c r="P1119" i="32"/>
  <c r="Q1117" i="32"/>
  <c r="F3198" i="27"/>
  <c r="K1943" i="27"/>
  <c r="K1944" i="27"/>
  <c r="U1157" i="32"/>
  <c r="A1157" i="32"/>
  <c r="G1155" i="32"/>
  <c r="P1081" i="32" l="1"/>
  <c r="Q1079" i="32"/>
  <c r="R1077" i="32" a="1"/>
  <c r="R1077" i="32" s="1"/>
  <c r="D1077" i="32" s="1"/>
  <c r="T1077" i="32" a="1"/>
  <c r="T1077" i="32" s="1"/>
  <c r="S1077" i="32" a="1"/>
  <c r="S1077" i="32" s="1"/>
  <c r="E1077" i="32" s="1"/>
  <c r="V1077" i="32" a="1"/>
  <c r="V1077" i="32" s="1"/>
  <c r="L1077" i="32" s="1"/>
  <c r="S1117" i="32" a="1"/>
  <c r="S1117" i="32" s="1"/>
  <c r="E1117" i="32" s="1"/>
  <c r="V1117" i="32" a="1"/>
  <c r="V1117" i="32" s="1"/>
  <c r="L1117" i="32" s="1"/>
  <c r="R1117" i="32" a="1"/>
  <c r="R1117" i="32" s="1"/>
  <c r="D1117" i="32" s="1"/>
  <c r="T1117" i="32" a="1"/>
  <c r="T1117" i="32" s="1"/>
  <c r="P1121" i="32"/>
  <c r="Q1119" i="32"/>
  <c r="F3199" i="27"/>
  <c r="K1945" i="27"/>
  <c r="K1946" i="27"/>
  <c r="U1159" i="32"/>
  <c r="G1157" i="32"/>
  <c r="A1159" i="32"/>
  <c r="V1079" i="32" l="1" a="1"/>
  <c r="V1079" i="32" s="1"/>
  <c r="L1079" i="32" s="1"/>
  <c r="T1079" i="32" a="1"/>
  <c r="T1079" i="32" s="1"/>
  <c r="R1079" i="32" a="1"/>
  <c r="R1079" i="32" s="1"/>
  <c r="D1079" i="32" s="1"/>
  <c r="S1079" i="32" a="1"/>
  <c r="S1079" i="32" s="1"/>
  <c r="E1079" i="32" s="1"/>
  <c r="Q1081" i="32"/>
  <c r="P1083" i="32"/>
  <c r="S1119" i="32" a="1"/>
  <c r="S1119" i="32" s="1"/>
  <c r="E1119" i="32" s="1"/>
  <c r="T1119" i="32" a="1"/>
  <c r="T1119" i="32" s="1"/>
  <c r="R1119" i="32" a="1"/>
  <c r="R1119" i="32" s="1"/>
  <c r="D1119" i="32" s="1"/>
  <c r="V1119" i="32" a="1"/>
  <c r="V1119" i="32" s="1"/>
  <c r="L1119" i="32" s="1"/>
  <c r="P1123" i="32"/>
  <c r="Q1121" i="32"/>
  <c r="F3200" i="27"/>
  <c r="K1948" i="27"/>
  <c r="K1947" i="27"/>
  <c r="U1161" i="32"/>
  <c r="A1161" i="32"/>
  <c r="G1159" i="32"/>
  <c r="Q1083" i="32" l="1"/>
  <c r="P1085" i="32"/>
  <c r="S1081" i="32" a="1"/>
  <c r="S1081" i="32" s="1"/>
  <c r="E1081" i="32" s="1"/>
  <c r="V1081" i="32" a="1"/>
  <c r="V1081" i="32" s="1"/>
  <c r="L1081" i="32" s="1"/>
  <c r="R1081" i="32" a="1"/>
  <c r="R1081" i="32" s="1"/>
  <c r="D1081" i="32" s="1"/>
  <c r="T1081" i="32" a="1"/>
  <c r="T1081" i="32" s="1"/>
  <c r="V1121" i="32" a="1"/>
  <c r="V1121" i="32" s="1"/>
  <c r="L1121" i="32" s="1"/>
  <c r="R1121" i="32" a="1"/>
  <c r="R1121" i="32" s="1"/>
  <c r="D1121" i="32" s="1"/>
  <c r="S1121" i="32" a="1"/>
  <c r="S1121" i="32" s="1"/>
  <c r="E1121" i="32" s="1"/>
  <c r="T1121" i="32" a="1"/>
  <c r="T1121" i="32" s="1"/>
  <c r="P1125" i="32"/>
  <c r="Q1123" i="32"/>
  <c r="F3201" i="27"/>
  <c r="K1949" i="27"/>
  <c r="K1950" i="27"/>
  <c r="U1163" i="32"/>
  <c r="A1163" i="32"/>
  <c r="G1161" i="32"/>
  <c r="P1087" i="32" l="1"/>
  <c r="Q1085" i="32"/>
  <c r="S1083" i="32" a="1"/>
  <c r="S1083" i="32" s="1"/>
  <c r="E1083" i="32" s="1"/>
  <c r="R1083" i="32" a="1"/>
  <c r="R1083" i="32" s="1"/>
  <c r="D1083" i="32" s="1"/>
  <c r="V1083" i="32" a="1"/>
  <c r="V1083" i="32" s="1"/>
  <c r="L1083" i="32" s="1"/>
  <c r="T1083" i="32" a="1"/>
  <c r="T1083" i="32" s="1"/>
  <c r="R1123" i="32" a="1"/>
  <c r="R1123" i="32" s="1"/>
  <c r="D1123" i="32" s="1"/>
  <c r="S1123" i="32" a="1"/>
  <c r="S1123" i="32" s="1"/>
  <c r="E1123" i="32" s="1"/>
  <c r="T1123" i="32" a="1"/>
  <c r="T1123" i="32" s="1"/>
  <c r="V1123" i="32" a="1"/>
  <c r="V1123" i="32" s="1"/>
  <c r="L1123" i="32" s="1"/>
  <c r="P1127" i="32"/>
  <c r="Q1125" i="32"/>
  <c r="F3202" i="27"/>
  <c r="F3203" i="27"/>
  <c r="K1952" i="27"/>
  <c r="K1951" i="27"/>
  <c r="U1165" i="32"/>
  <c r="A1165" i="32"/>
  <c r="G1163" i="32"/>
  <c r="S1085" i="32" l="1" a="1"/>
  <c r="S1085" i="32" s="1"/>
  <c r="E1085" i="32" s="1"/>
  <c r="T1085" i="32" a="1"/>
  <c r="T1085" i="32" s="1"/>
  <c r="V1085" i="32" a="1"/>
  <c r="V1085" i="32" s="1"/>
  <c r="L1085" i="32" s="1"/>
  <c r="R1085" i="32" a="1"/>
  <c r="R1085" i="32" s="1"/>
  <c r="D1085" i="32" s="1"/>
  <c r="P1089" i="32"/>
  <c r="Q1087" i="32"/>
  <c r="T1125" i="32" a="1"/>
  <c r="T1125" i="32" s="1"/>
  <c r="S1125" i="32" a="1"/>
  <c r="S1125" i="32" s="1"/>
  <c r="E1125" i="32" s="1"/>
  <c r="V1125" i="32" a="1"/>
  <c r="V1125" i="32" s="1"/>
  <c r="L1125" i="32" s="1"/>
  <c r="R1125" i="32" a="1"/>
  <c r="R1125" i="32" s="1"/>
  <c r="D1125" i="32" s="1"/>
  <c r="P1129" i="32"/>
  <c r="Q1127" i="32"/>
  <c r="F3204" i="27"/>
  <c r="K1953" i="27"/>
  <c r="K1954" i="27"/>
  <c r="U1167" i="32"/>
  <c r="G1165" i="32"/>
  <c r="A1167" i="32"/>
  <c r="S1087" i="32" l="1" a="1"/>
  <c r="S1087" i="32" s="1"/>
  <c r="E1087" i="32" s="1"/>
  <c r="T1087" i="32" a="1"/>
  <c r="T1087" i="32" s="1"/>
  <c r="R1087" i="32" a="1"/>
  <c r="R1087" i="32" s="1"/>
  <c r="D1087" i="32" s="1"/>
  <c r="V1087" i="32" a="1"/>
  <c r="V1087" i="32" s="1"/>
  <c r="L1087" i="32" s="1"/>
  <c r="Q1089" i="32"/>
  <c r="P1091" i="32"/>
  <c r="S1127" i="32" a="1"/>
  <c r="S1127" i="32" s="1"/>
  <c r="E1127" i="32" s="1"/>
  <c r="V1127" i="32" a="1"/>
  <c r="V1127" i="32" s="1"/>
  <c r="L1127" i="32" s="1"/>
  <c r="T1127" i="32" a="1"/>
  <c r="T1127" i="32" s="1"/>
  <c r="R1127" i="32" a="1"/>
  <c r="R1127" i="32" s="1"/>
  <c r="D1127" i="32" s="1"/>
  <c r="P1131" i="32"/>
  <c r="Q1129" i="32"/>
  <c r="F3205" i="27"/>
  <c r="K1956" i="27"/>
  <c r="K1955" i="27"/>
  <c r="U1169" i="32"/>
  <c r="G1167" i="32"/>
  <c r="A1169" i="32"/>
  <c r="Q1091" i="32" l="1"/>
  <c r="P1093" i="32"/>
  <c r="S1089" i="32" a="1"/>
  <c r="S1089" i="32" s="1"/>
  <c r="E1089" i="32" s="1"/>
  <c r="V1089" i="32" a="1"/>
  <c r="V1089" i="32" s="1"/>
  <c r="L1089" i="32" s="1"/>
  <c r="R1089" i="32" a="1"/>
  <c r="R1089" i="32" s="1"/>
  <c r="D1089" i="32" s="1"/>
  <c r="T1089" i="32" a="1"/>
  <c r="T1089" i="32" s="1"/>
  <c r="T1129" i="32" a="1"/>
  <c r="T1129" i="32" s="1"/>
  <c r="V1129" i="32" a="1"/>
  <c r="V1129" i="32" s="1"/>
  <c r="L1129" i="32" s="1"/>
  <c r="S1129" i="32" a="1"/>
  <c r="S1129" i="32" s="1"/>
  <c r="E1129" i="32" s="1"/>
  <c r="R1129" i="32" a="1"/>
  <c r="R1129" i="32" s="1"/>
  <c r="D1129" i="32" s="1"/>
  <c r="P1133" i="32"/>
  <c r="Q1131" i="32"/>
  <c r="F3206" i="27"/>
  <c r="K1957" i="27"/>
  <c r="K1958" i="27"/>
  <c r="U1171" i="32"/>
  <c r="A1171" i="32"/>
  <c r="G1169" i="32"/>
  <c r="P1095" i="32" l="1"/>
  <c r="Q1093" i="32"/>
  <c r="S1091" i="32" a="1"/>
  <c r="S1091" i="32" s="1"/>
  <c r="E1091" i="32" s="1"/>
  <c r="T1091" i="32" a="1"/>
  <c r="T1091" i="32" s="1"/>
  <c r="V1091" i="32" a="1"/>
  <c r="V1091" i="32" s="1"/>
  <c r="L1091" i="32" s="1"/>
  <c r="R1091" i="32" a="1"/>
  <c r="R1091" i="32" s="1"/>
  <c r="D1091" i="32" s="1"/>
  <c r="T1131" i="32" a="1"/>
  <c r="T1131" i="32" s="1"/>
  <c r="S1131" i="32" a="1"/>
  <c r="S1131" i="32" s="1"/>
  <c r="E1131" i="32" s="1"/>
  <c r="R1131" i="32" a="1"/>
  <c r="R1131" i="32" s="1"/>
  <c r="D1131" i="32" s="1"/>
  <c r="V1131" i="32" a="1"/>
  <c r="V1131" i="32" s="1"/>
  <c r="L1131" i="32" s="1"/>
  <c r="P1135" i="32"/>
  <c r="Q1133" i="32"/>
  <c r="F3207" i="27"/>
  <c r="K1959" i="27"/>
  <c r="K1960" i="27"/>
  <c r="U1173" i="32"/>
  <c r="A1173" i="32"/>
  <c r="G1171" i="32"/>
  <c r="T1093" i="32" l="1" a="1"/>
  <c r="T1093" i="32" s="1"/>
  <c r="V1093" i="32" a="1"/>
  <c r="V1093" i="32" s="1"/>
  <c r="L1093" i="32" s="1"/>
  <c r="R1093" i="32" a="1"/>
  <c r="R1093" i="32" s="1"/>
  <c r="D1093" i="32" s="1"/>
  <c r="S1093" i="32" a="1"/>
  <c r="S1093" i="32" s="1"/>
  <c r="E1093" i="32" s="1"/>
  <c r="Q1095" i="32"/>
  <c r="P1097" i="32"/>
  <c r="S1133" i="32" a="1"/>
  <c r="S1133" i="32" s="1"/>
  <c r="E1133" i="32" s="1"/>
  <c r="V1133" i="32" a="1"/>
  <c r="V1133" i="32" s="1"/>
  <c r="L1133" i="32" s="1"/>
  <c r="R1133" i="32" a="1"/>
  <c r="R1133" i="32" s="1"/>
  <c r="D1133" i="32" s="1"/>
  <c r="T1133" i="32" a="1"/>
  <c r="T1133" i="32" s="1"/>
  <c r="P1137" i="32"/>
  <c r="Q1135" i="32"/>
  <c r="F3209" i="27"/>
  <c r="F3208" i="27"/>
  <c r="K1961" i="27"/>
  <c r="K1962" i="27"/>
  <c r="U1175" i="32"/>
  <c r="A1175" i="32"/>
  <c r="G1173" i="32"/>
  <c r="P1099" i="32" l="1"/>
  <c r="Q1099" i="32" s="1"/>
  <c r="Q1097" i="32"/>
  <c r="T1095" i="32" a="1"/>
  <c r="T1095" i="32" s="1"/>
  <c r="S1095" i="32" a="1"/>
  <c r="S1095" i="32" s="1"/>
  <c r="E1095" i="32" s="1"/>
  <c r="V1095" i="32" a="1"/>
  <c r="V1095" i="32" s="1"/>
  <c r="L1095" i="32" s="1"/>
  <c r="R1095" i="32" a="1"/>
  <c r="R1095" i="32" s="1"/>
  <c r="D1095" i="32" s="1"/>
  <c r="V1135" i="32" a="1"/>
  <c r="V1135" i="32" s="1"/>
  <c r="L1135" i="32" s="1"/>
  <c r="R1135" i="32" a="1"/>
  <c r="R1135" i="32" s="1"/>
  <c r="D1135" i="32" s="1"/>
  <c r="T1135" i="32" a="1"/>
  <c r="T1135" i="32" s="1"/>
  <c r="S1135" i="32" a="1"/>
  <c r="S1135" i="32" s="1"/>
  <c r="E1135" i="32" s="1"/>
  <c r="P1139" i="32"/>
  <c r="Q1137" i="32"/>
  <c r="F3210" i="27"/>
  <c r="K1964" i="27"/>
  <c r="K1963" i="27"/>
  <c r="U1177" i="32"/>
  <c r="A1177" i="32"/>
  <c r="G1175" i="32"/>
  <c r="S1097" i="32" l="1" a="1"/>
  <c r="S1097" i="32" s="1"/>
  <c r="E1097" i="32" s="1"/>
  <c r="V1097" i="32" a="1"/>
  <c r="V1097" i="32" s="1"/>
  <c r="L1097" i="32" s="1"/>
  <c r="T1097" i="32" a="1"/>
  <c r="T1097" i="32" s="1"/>
  <c r="R1097" i="32" a="1"/>
  <c r="R1097" i="32" s="1"/>
  <c r="D1097" i="32" s="1"/>
  <c r="V1099" i="32" a="1"/>
  <c r="V1099" i="32" s="1"/>
  <c r="L1099" i="32" s="1"/>
  <c r="R1099" i="32" a="1"/>
  <c r="R1099" i="32" s="1"/>
  <c r="D1099" i="32" s="1"/>
  <c r="S1099" i="32" a="1"/>
  <c r="S1099" i="32" s="1"/>
  <c r="E1099" i="32" s="1"/>
  <c r="T1099" i="32" a="1"/>
  <c r="T1099" i="32" s="1"/>
  <c r="V1137" i="32" a="1"/>
  <c r="V1137" i="32" s="1"/>
  <c r="L1137" i="32" s="1"/>
  <c r="T1137" i="32" a="1"/>
  <c r="T1137" i="32" s="1"/>
  <c r="R1137" i="32" a="1"/>
  <c r="R1137" i="32" s="1"/>
  <c r="D1137" i="32" s="1"/>
  <c r="S1137" i="32" a="1"/>
  <c r="S1137" i="32" s="1"/>
  <c r="E1137" i="32" s="1"/>
  <c r="P1141" i="32"/>
  <c r="Q1139" i="32"/>
  <c r="F3211" i="27"/>
  <c r="K1965" i="27"/>
  <c r="K1966" i="27"/>
  <c r="U1179" i="32"/>
  <c r="G1177" i="32"/>
  <c r="A1179" i="32"/>
  <c r="P1143" i="32" l="1"/>
  <c r="Q1141" i="32"/>
  <c r="V1139" i="32" a="1"/>
  <c r="V1139" i="32" s="1"/>
  <c r="L1139" i="32" s="1"/>
  <c r="S1139" i="32" a="1"/>
  <c r="S1139" i="32" s="1"/>
  <c r="E1139" i="32" s="1"/>
  <c r="R1139" i="32" a="1"/>
  <c r="R1139" i="32" s="1"/>
  <c r="D1139" i="32" s="1"/>
  <c r="T1139" i="32" a="1"/>
  <c r="T1139" i="32" s="1"/>
  <c r="F3212" i="27"/>
  <c r="K1968" i="27"/>
  <c r="K1967" i="27"/>
  <c r="U1181" i="32"/>
  <c r="A1181" i="32"/>
  <c r="G1179" i="32"/>
  <c r="P1145" i="32" l="1"/>
  <c r="Q1143" i="32"/>
  <c r="T1141" i="32" a="1"/>
  <c r="T1141" i="32" s="1"/>
  <c r="R1141" i="32" a="1"/>
  <c r="R1141" i="32" s="1"/>
  <c r="D1141" i="32" s="1"/>
  <c r="V1141" i="32" a="1"/>
  <c r="V1141" i="32" s="1"/>
  <c r="L1141" i="32" s="1"/>
  <c r="S1141" i="32" a="1"/>
  <c r="S1141" i="32" s="1"/>
  <c r="E1141" i="32" s="1"/>
  <c r="F3213" i="27"/>
  <c r="K1969" i="27"/>
  <c r="K1970" i="27"/>
  <c r="U1183" i="32"/>
  <c r="G1181" i="32"/>
  <c r="A1183" i="32"/>
  <c r="P1147" i="32" l="1"/>
  <c r="Q1145" i="32"/>
  <c r="T1143" i="32" a="1"/>
  <c r="T1143" i="32" s="1"/>
  <c r="R1143" i="32" a="1"/>
  <c r="R1143" i="32" s="1"/>
  <c r="D1143" i="32" s="1"/>
  <c r="S1143" i="32" a="1"/>
  <c r="S1143" i="32" s="1"/>
  <c r="E1143" i="32" s="1"/>
  <c r="V1143" i="32" a="1"/>
  <c r="V1143" i="32" s="1"/>
  <c r="L1143" i="32" s="1"/>
  <c r="F3214" i="27"/>
  <c r="F3215" i="27"/>
  <c r="K1972" i="27"/>
  <c r="K1971" i="27"/>
  <c r="U1185" i="32"/>
  <c r="G1183" i="32"/>
  <c r="A1185" i="32"/>
  <c r="S1145" i="32" l="1" a="1"/>
  <c r="S1145" i="32" s="1"/>
  <c r="E1145" i="32" s="1"/>
  <c r="T1145" i="32" a="1"/>
  <c r="T1145" i="32" s="1"/>
  <c r="V1145" i="32" a="1"/>
  <c r="V1145" i="32" s="1"/>
  <c r="L1145" i="32" s="1"/>
  <c r="R1145" i="32" a="1"/>
  <c r="R1145" i="32" s="1"/>
  <c r="D1145" i="32" s="1"/>
  <c r="P1149" i="32"/>
  <c r="Q1147" i="32"/>
  <c r="F3216" i="27"/>
  <c r="K1974" i="27"/>
  <c r="K1973" i="27"/>
  <c r="U1187" i="32"/>
  <c r="A1187" i="32"/>
  <c r="G1185" i="32"/>
  <c r="S1147" i="32" l="1" a="1"/>
  <c r="S1147" i="32" s="1"/>
  <c r="E1147" i="32" s="1"/>
  <c r="V1147" i="32" a="1"/>
  <c r="V1147" i="32" s="1"/>
  <c r="L1147" i="32" s="1"/>
  <c r="T1147" i="32" a="1"/>
  <c r="T1147" i="32" s="1"/>
  <c r="R1147" i="32" a="1"/>
  <c r="R1147" i="32" s="1"/>
  <c r="D1147" i="32" s="1"/>
  <c r="P1151" i="32"/>
  <c r="Q1149" i="32"/>
  <c r="F3217" i="27"/>
  <c r="K1976" i="27"/>
  <c r="K1975" i="27"/>
  <c r="U1189" i="32"/>
  <c r="G1187" i="32"/>
  <c r="A1189" i="32"/>
  <c r="R1149" i="32" l="1" a="1"/>
  <c r="R1149" i="32" s="1"/>
  <c r="D1149" i="32" s="1"/>
  <c r="S1149" i="32" a="1"/>
  <c r="S1149" i="32" s="1"/>
  <c r="E1149" i="32" s="1"/>
  <c r="T1149" i="32" a="1"/>
  <c r="T1149" i="32" s="1"/>
  <c r="V1149" i="32" a="1"/>
  <c r="V1149" i="32" s="1"/>
  <c r="L1149" i="32" s="1"/>
  <c r="P1153" i="32"/>
  <c r="Q1151" i="32"/>
  <c r="F3218" i="27"/>
  <c r="K1978" i="27"/>
  <c r="K1977" i="27"/>
  <c r="U1191" i="32"/>
  <c r="A1191" i="32"/>
  <c r="G1189" i="32"/>
  <c r="V1151" i="32" l="1" a="1"/>
  <c r="V1151" i="32" s="1"/>
  <c r="L1151" i="32" s="1"/>
  <c r="R1151" i="32" a="1"/>
  <c r="R1151" i="32" s="1"/>
  <c r="D1151" i="32" s="1"/>
  <c r="S1151" i="32" a="1"/>
  <c r="S1151" i="32" s="1"/>
  <c r="E1151" i="32" s="1"/>
  <c r="T1151" i="32" a="1"/>
  <c r="T1151" i="32" s="1"/>
  <c r="P1155" i="32"/>
  <c r="Q1153" i="32"/>
  <c r="F3219" i="27"/>
  <c r="K1979" i="27"/>
  <c r="K1980" i="27"/>
  <c r="U1193" i="32"/>
  <c r="A1193" i="32"/>
  <c r="G1191" i="32"/>
  <c r="V1153" i="32" l="1" a="1"/>
  <c r="V1153" i="32" s="1"/>
  <c r="L1153" i="32" s="1"/>
  <c r="R1153" i="32" a="1"/>
  <c r="R1153" i="32" s="1"/>
  <c r="D1153" i="32" s="1"/>
  <c r="S1153" i="32" a="1"/>
  <c r="S1153" i="32" s="1"/>
  <c r="E1153" i="32" s="1"/>
  <c r="T1153" i="32" a="1"/>
  <c r="T1153" i="32" s="1"/>
  <c r="P1157" i="32"/>
  <c r="Q1155" i="32"/>
  <c r="F3220" i="27"/>
  <c r="F3221" i="27"/>
  <c r="K1982" i="27"/>
  <c r="K1981" i="27"/>
  <c r="U1195" i="32"/>
  <c r="A1195" i="32"/>
  <c r="G1193" i="32"/>
  <c r="P1159" i="32" l="1"/>
  <c r="Q1157" i="32"/>
  <c r="R1155" i="32" a="1"/>
  <c r="R1155" i="32" s="1"/>
  <c r="D1155" i="32" s="1"/>
  <c r="V1155" i="32" a="1"/>
  <c r="V1155" i="32" s="1"/>
  <c r="L1155" i="32" s="1"/>
  <c r="T1155" i="32" a="1"/>
  <c r="T1155" i="32" s="1"/>
  <c r="S1155" i="32" a="1"/>
  <c r="S1155" i="32" s="1"/>
  <c r="E1155" i="32" s="1"/>
  <c r="F3222" i="27"/>
  <c r="K1983" i="27"/>
  <c r="K1984" i="27"/>
  <c r="U1197" i="32"/>
  <c r="A1197" i="32"/>
  <c r="G1195" i="32"/>
  <c r="P1161" i="32" l="1"/>
  <c r="Q1159" i="32"/>
  <c r="R1157" i="32" a="1"/>
  <c r="R1157" i="32" s="1"/>
  <c r="D1157" i="32" s="1"/>
  <c r="S1157" i="32" a="1"/>
  <c r="S1157" i="32" s="1"/>
  <c r="E1157" i="32" s="1"/>
  <c r="V1157" i="32" a="1"/>
  <c r="V1157" i="32" s="1"/>
  <c r="L1157" i="32" s="1"/>
  <c r="T1157" i="32" a="1"/>
  <c r="T1157" i="32" s="1"/>
  <c r="F3223" i="27"/>
  <c r="K1986" i="27"/>
  <c r="K1985" i="27"/>
  <c r="U1199" i="32"/>
  <c r="G1197" i="32"/>
  <c r="A1199" i="32"/>
  <c r="P1163" i="32" l="1"/>
  <c r="Q1161" i="32"/>
  <c r="T1159" i="32" a="1"/>
  <c r="T1159" i="32" s="1"/>
  <c r="V1159" i="32" a="1"/>
  <c r="V1159" i="32" s="1"/>
  <c r="L1159" i="32" s="1"/>
  <c r="R1159" i="32" a="1"/>
  <c r="R1159" i="32" s="1"/>
  <c r="D1159" i="32" s="1"/>
  <c r="S1159" i="32" a="1"/>
  <c r="S1159" i="32" s="1"/>
  <c r="E1159" i="32" s="1"/>
  <c r="F3224" i="27"/>
  <c r="K1987" i="27"/>
  <c r="K1988" i="27"/>
  <c r="U1201" i="32"/>
  <c r="A1201" i="32"/>
  <c r="G1199" i="32"/>
  <c r="P1165" i="32" l="1"/>
  <c r="Q1163" i="32"/>
  <c r="V1161" i="32" a="1"/>
  <c r="V1161" i="32" s="1"/>
  <c r="L1161" i="32" s="1"/>
  <c r="R1161" i="32" a="1"/>
  <c r="R1161" i="32" s="1"/>
  <c r="D1161" i="32" s="1"/>
  <c r="S1161" i="32" a="1"/>
  <c r="S1161" i="32" s="1"/>
  <c r="E1161" i="32" s="1"/>
  <c r="T1161" i="32" a="1"/>
  <c r="T1161" i="32" s="1"/>
  <c r="F3225" i="27"/>
  <c r="K1990" i="27"/>
  <c r="K1989" i="27"/>
  <c r="U1203" i="32"/>
  <c r="G1201" i="32"/>
  <c r="A1203" i="32"/>
  <c r="S1163" i="32" l="1" a="1"/>
  <c r="S1163" i="32" s="1"/>
  <c r="E1163" i="32" s="1"/>
  <c r="T1163" i="32" a="1"/>
  <c r="T1163" i="32" s="1"/>
  <c r="R1163" i="32" a="1"/>
  <c r="R1163" i="32" s="1"/>
  <c r="D1163" i="32" s="1"/>
  <c r="V1163" i="32" a="1"/>
  <c r="V1163" i="32" s="1"/>
  <c r="L1163" i="32" s="1"/>
  <c r="P1167" i="32"/>
  <c r="Q1165" i="32"/>
  <c r="F3226" i="27"/>
  <c r="F3227" i="27"/>
  <c r="K1992" i="27"/>
  <c r="K1991" i="27"/>
  <c r="U1205" i="32"/>
  <c r="A1205" i="32"/>
  <c r="G1203" i="32"/>
  <c r="V1165" i="32" l="1" a="1"/>
  <c r="V1165" i="32" s="1"/>
  <c r="L1165" i="32" s="1"/>
  <c r="R1165" i="32" a="1"/>
  <c r="R1165" i="32" s="1"/>
  <c r="D1165" i="32" s="1"/>
  <c r="S1165" i="32" a="1"/>
  <c r="S1165" i="32" s="1"/>
  <c r="E1165" i="32" s="1"/>
  <c r="T1165" i="32" a="1"/>
  <c r="T1165" i="32" s="1"/>
  <c r="P1169" i="32"/>
  <c r="Q1167" i="32"/>
  <c r="F3228" i="27"/>
  <c r="K1993" i="27"/>
  <c r="K1994" i="27"/>
  <c r="U1207" i="32"/>
  <c r="A1207" i="32"/>
  <c r="G1205" i="32"/>
  <c r="V1167" i="32" l="1" a="1"/>
  <c r="V1167" i="32" s="1"/>
  <c r="L1167" i="32" s="1"/>
  <c r="T1167" i="32" a="1"/>
  <c r="T1167" i="32" s="1"/>
  <c r="S1167" i="32" a="1"/>
  <c r="S1167" i="32" s="1"/>
  <c r="E1167" i="32" s="1"/>
  <c r="R1167" i="32" a="1"/>
  <c r="R1167" i="32" s="1"/>
  <c r="D1167" i="32" s="1"/>
  <c r="P1171" i="32"/>
  <c r="Q1169" i="32"/>
  <c r="F3229" i="27"/>
  <c r="K1995" i="27"/>
  <c r="K1996" i="27"/>
  <c r="U1209" i="32"/>
  <c r="G1207" i="32"/>
  <c r="A1209" i="32"/>
  <c r="S1169" i="32" l="1" a="1"/>
  <c r="S1169" i="32" s="1"/>
  <c r="E1169" i="32" s="1"/>
  <c r="V1169" i="32" a="1"/>
  <c r="V1169" i="32" s="1"/>
  <c r="L1169" i="32" s="1"/>
  <c r="R1169" i="32" a="1"/>
  <c r="R1169" i="32" s="1"/>
  <c r="D1169" i="32" s="1"/>
  <c r="T1169" i="32" a="1"/>
  <c r="T1169" i="32" s="1"/>
  <c r="P1173" i="32"/>
  <c r="Q1171" i="32"/>
  <c r="F3230" i="27"/>
  <c r="K1997" i="27"/>
  <c r="K1998" i="27"/>
  <c r="U1211" i="32"/>
  <c r="G1209" i="32"/>
  <c r="A1211" i="32"/>
  <c r="S1171" i="32" l="1" a="1"/>
  <c r="S1171" i="32" s="1"/>
  <c r="E1171" i="32" s="1"/>
  <c r="V1171" i="32" a="1"/>
  <c r="V1171" i="32" s="1"/>
  <c r="L1171" i="32" s="1"/>
  <c r="R1171" i="32" a="1"/>
  <c r="R1171" i="32" s="1"/>
  <c r="D1171" i="32" s="1"/>
  <c r="T1171" i="32" a="1"/>
  <c r="T1171" i="32" s="1"/>
  <c r="P1175" i="32"/>
  <c r="Q1173" i="32"/>
  <c r="F3231" i="27"/>
  <c r="K2000" i="27"/>
  <c r="K1999" i="27"/>
  <c r="U1213" i="32"/>
  <c r="G1211" i="32"/>
  <c r="A1213" i="32"/>
  <c r="R1173" i="32" l="1" a="1"/>
  <c r="R1173" i="32" s="1"/>
  <c r="D1173" i="32" s="1"/>
  <c r="V1173" i="32" a="1"/>
  <c r="V1173" i="32" s="1"/>
  <c r="L1173" i="32" s="1"/>
  <c r="T1173" i="32" a="1"/>
  <c r="T1173" i="32" s="1"/>
  <c r="S1173" i="32" a="1"/>
  <c r="S1173" i="32" s="1"/>
  <c r="E1173" i="32" s="1"/>
  <c r="P1177" i="32"/>
  <c r="Q1175" i="32"/>
  <c r="F3232" i="27"/>
  <c r="F3233" i="27"/>
  <c r="K2002" i="27"/>
  <c r="K2001" i="27"/>
  <c r="U1215" i="32"/>
  <c r="A1215" i="32"/>
  <c r="G1213" i="32"/>
  <c r="R1175" i="32" l="1" a="1"/>
  <c r="R1175" i="32" s="1"/>
  <c r="D1175" i="32" s="1"/>
  <c r="T1175" i="32" a="1"/>
  <c r="T1175" i="32" s="1"/>
  <c r="V1175" i="32" a="1"/>
  <c r="V1175" i="32" s="1"/>
  <c r="L1175" i="32" s="1"/>
  <c r="S1175" i="32" a="1"/>
  <c r="S1175" i="32" s="1"/>
  <c r="E1175" i="32" s="1"/>
  <c r="P1179" i="32"/>
  <c r="Q1177" i="32"/>
  <c r="F3234" i="27"/>
  <c r="K2003" i="27"/>
  <c r="K2004" i="27"/>
  <c r="U1217" i="32"/>
  <c r="G1215" i="32"/>
  <c r="A1217" i="32"/>
  <c r="R1177" i="32" l="1" a="1"/>
  <c r="R1177" i="32" s="1"/>
  <c r="D1177" i="32" s="1"/>
  <c r="T1177" i="32" a="1"/>
  <c r="T1177" i="32" s="1"/>
  <c r="V1177" i="32" a="1"/>
  <c r="V1177" i="32" s="1"/>
  <c r="L1177" i="32" s="1"/>
  <c r="S1177" i="32" a="1"/>
  <c r="S1177" i="32" s="1"/>
  <c r="E1177" i="32" s="1"/>
  <c r="P1181" i="32"/>
  <c r="Q1179" i="32"/>
  <c r="P1221" i="32"/>
  <c r="F3235" i="27"/>
  <c r="K2006" i="27"/>
  <c r="K2005" i="27"/>
  <c r="U1219" i="32"/>
  <c r="A1219" i="32"/>
  <c r="G1217" i="32"/>
  <c r="P1223" i="32" l="1"/>
  <c r="Q1221" i="32"/>
  <c r="R1179" i="32" a="1"/>
  <c r="R1179" i="32" s="1"/>
  <c r="D1179" i="32" s="1"/>
  <c r="V1179" i="32" a="1"/>
  <c r="V1179" i="32" s="1"/>
  <c r="L1179" i="32" s="1"/>
  <c r="S1179" i="32" a="1"/>
  <c r="S1179" i="32" s="1"/>
  <c r="E1179" i="32" s="1"/>
  <c r="T1179" i="32" a="1"/>
  <c r="T1179" i="32" s="1"/>
  <c r="P1183" i="32"/>
  <c r="Q1181" i="32"/>
  <c r="F3236" i="27"/>
  <c r="K2007" i="27"/>
  <c r="K2008" i="27"/>
  <c r="U1221" i="32"/>
  <c r="A1221" i="32"/>
  <c r="G1219" i="32"/>
  <c r="T1221" i="32" l="1" a="1"/>
  <c r="T1221" i="32" s="1"/>
  <c r="V1221" i="32" a="1"/>
  <c r="V1221" i="32" s="1"/>
  <c r="L1221" i="32" s="1"/>
  <c r="S1221" i="32" a="1"/>
  <c r="S1221" i="32" s="1"/>
  <c r="E1221" i="32" s="1"/>
  <c r="R1221" i="32" a="1"/>
  <c r="R1221" i="32" s="1"/>
  <c r="D1221" i="32" s="1"/>
  <c r="P1225" i="32"/>
  <c r="Q1223" i="32"/>
  <c r="R1181" i="32" a="1"/>
  <c r="R1181" i="32" s="1"/>
  <c r="D1181" i="32" s="1"/>
  <c r="V1181" i="32" a="1"/>
  <c r="V1181" i="32" s="1"/>
  <c r="L1181" i="32" s="1"/>
  <c r="S1181" i="32" a="1"/>
  <c r="S1181" i="32" s="1"/>
  <c r="E1181" i="32" s="1"/>
  <c r="T1181" i="32" a="1"/>
  <c r="T1181" i="32" s="1"/>
  <c r="P1185" i="32"/>
  <c r="Q1183" i="32"/>
  <c r="F3237" i="27"/>
  <c r="K2009" i="27"/>
  <c r="K2010" i="27"/>
  <c r="U1223" i="32"/>
  <c r="A1223" i="32"/>
  <c r="G1221" i="32"/>
  <c r="R1223" i="32" l="1" a="1"/>
  <c r="R1223" i="32" s="1"/>
  <c r="D1223" i="32" s="1"/>
  <c r="S1223" i="32" a="1"/>
  <c r="S1223" i="32" s="1"/>
  <c r="E1223" i="32" s="1"/>
  <c r="T1223" i="32" a="1"/>
  <c r="T1223" i="32" s="1"/>
  <c r="V1223" i="32" a="1"/>
  <c r="V1223" i="32" s="1"/>
  <c r="L1223" i="32" s="1"/>
  <c r="P1227" i="32"/>
  <c r="Q1225" i="32"/>
  <c r="T1183" i="32" a="1"/>
  <c r="T1183" i="32" s="1"/>
  <c r="S1183" i="32" a="1"/>
  <c r="S1183" i="32" s="1"/>
  <c r="E1183" i="32" s="1"/>
  <c r="R1183" i="32" a="1"/>
  <c r="R1183" i="32" s="1"/>
  <c r="D1183" i="32" s="1"/>
  <c r="V1183" i="32" a="1"/>
  <c r="V1183" i="32" s="1"/>
  <c r="L1183" i="32" s="1"/>
  <c r="P1187" i="32"/>
  <c r="Q1185" i="32"/>
  <c r="F3238" i="27"/>
  <c r="F3239" i="27"/>
  <c r="K2011" i="27"/>
  <c r="U1225" i="32"/>
  <c r="G1223" i="32"/>
  <c r="A1225" i="32"/>
  <c r="R1225" i="32" l="1" a="1"/>
  <c r="R1225" i="32" s="1"/>
  <c r="D1225" i="32" s="1"/>
  <c r="T1225" i="32" a="1"/>
  <c r="T1225" i="32" s="1"/>
  <c r="S1225" i="32" a="1"/>
  <c r="S1225" i="32" s="1"/>
  <c r="E1225" i="32" s="1"/>
  <c r="V1225" i="32" a="1"/>
  <c r="V1225" i="32" s="1"/>
  <c r="L1225" i="32" s="1"/>
  <c r="P1229" i="32"/>
  <c r="Q1227" i="32"/>
  <c r="T1185" i="32" a="1"/>
  <c r="T1185" i="32" s="1"/>
  <c r="S1185" i="32" a="1"/>
  <c r="S1185" i="32" s="1"/>
  <c r="E1185" i="32" s="1"/>
  <c r="R1185" i="32" a="1"/>
  <c r="R1185" i="32" s="1"/>
  <c r="D1185" i="32" s="1"/>
  <c r="V1185" i="32" a="1"/>
  <c r="V1185" i="32" s="1"/>
  <c r="L1185" i="32" s="1"/>
  <c r="Q1187" i="32"/>
  <c r="P1189" i="32"/>
  <c r="F3240" i="27"/>
  <c r="U1227" i="32"/>
  <c r="G1225" i="32"/>
  <c r="A1227" i="32"/>
  <c r="S1227" i="32" l="1" a="1"/>
  <c r="S1227" i="32" s="1"/>
  <c r="E1227" i="32" s="1"/>
  <c r="R1227" i="32" a="1"/>
  <c r="R1227" i="32" s="1"/>
  <c r="D1227" i="32" s="1"/>
  <c r="T1227" i="32" a="1"/>
  <c r="T1227" i="32" s="1"/>
  <c r="V1227" i="32" a="1"/>
  <c r="V1227" i="32" s="1"/>
  <c r="L1227" i="32" s="1"/>
  <c r="P1231" i="32"/>
  <c r="Q1229" i="32"/>
  <c r="Q1189" i="32"/>
  <c r="P1191" i="32"/>
  <c r="T1187" i="32" a="1"/>
  <c r="T1187" i="32" s="1"/>
  <c r="R1187" i="32" a="1"/>
  <c r="R1187" i="32" s="1"/>
  <c r="D1187" i="32" s="1"/>
  <c r="V1187" i="32" a="1"/>
  <c r="V1187" i="32" s="1"/>
  <c r="L1187" i="32" s="1"/>
  <c r="S1187" i="32" a="1"/>
  <c r="S1187" i="32" s="1"/>
  <c r="E1187" i="32" s="1"/>
  <c r="F3241" i="27"/>
  <c r="U1229" i="32"/>
  <c r="A1229" i="32"/>
  <c r="G1227" i="32"/>
  <c r="R1229" i="32" l="1" a="1"/>
  <c r="R1229" i="32" s="1"/>
  <c r="D1229" i="32" s="1"/>
  <c r="T1229" i="32" a="1"/>
  <c r="T1229" i="32" s="1"/>
  <c r="S1229" i="32" a="1"/>
  <c r="S1229" i="32" s="1"/>
  <c r="E1229" i="32" s="1"/>
  <c r="V1229" i="32" a="1"/>
  <c r="V1229" i="32" s="1"/>
  <c r="L1229" i="32" s="1"/>
  <c r="P1233" i="32"/>
  <c r="Q1231" i="32"/>
  <c r="Q1191" i="32"/>
  <c r="P1193" i="32"/>
  <c r="T1189" i="32" a="1"/>
  <c r="T1189" i="32" s="1"/>
  <c r="R1189" i="32" a="1"/>
  <c r="R1189" i="32" s="1"/>
  <c r="D1189" i="32" s="1"/>
  <c r="S1189" i="32" a="1"/>
  <c r="S1189" i="32" s="1"/>
  <c r="E1189" i="32" s="1"/>
  <c r="V1189" i="32" a="1"/>
  <c r="V1189" i="32" s="1"/>
  <c r="L1189" i="32" s="1"/>
  <c r="F3242" i="27"/>
  <c r="U1231" i="32"/>
  <c r="G1229" i="32"/>
  <c r="A1231" i="32"/>
  <c r="S1231" i="32" l="1" a="1"/>
  <c r="S1231" i="32" s="1"/>
  <c r="E1231" i="32" s="1"/>
  <c r="V1231" i="32" a="1"/>
  <c r="V1231" i="32" s="1"/>
  <c r="L1231" i="32" s="1"/>
  <c r="T1231" i="32" a="1"/>
  <c r="T1231" i="32" s="1"/>
  <c r="R1231" i="32" a="1"/>
  <c r="R1231" i="32" s="1"/>
  <c r="D1231" i="32" s="1"/>
  <c r="P1235" i="32"/>
  <c r="Q1233" i="32"/>
  <c r="P1195" i="32"/>
  <c r="Q1193" i="32"/>
  <c r="S1191" i="32" a="1"/>
  <c r="S1191" i="32" s="1"/>
  <c r="E1191" i="32" s="1"/>
  <c r="R1191" i="32" a="1"/>
  <c r="R1191" i="32" s="1"/>
  <c r="D1191" i="32" s="1"/>
  <c r="T1191" i="32" a="1"/>
  <c r="T1191" i="32" s="1"/>
  <c r="V1191" i="32" a="1"/>
  <c r="V1191" i="32" s="1"/>
  <c r="L1191" i="32" s="1"/>
  <c r="F3243" i="27"/>
  <c r="U1233" i="32"/>
  <c r="G1231" i="32"/>
  <c r="A1233" i="32"/>
  <c r="V1233" i="32" l="1" a="1"/>
  <c r="V1233" i="32" s="1"/>
  <c r="L1233" i="32" s="1"/>
  <c r="R1233" i="32" a="1"/>
  <c r="R1233" i="32" s="1"/>
  <c r="D1233" i="32" s="1"/>
  <c r="S1233" i="32" a="1"/>
  <c r="S1233" i="32" s="1"/>
  <c r="E1233" i="32" s="1"/>
  <c r="T1233" i="32" a="1"/>
  <c r="T1233" i="32" s="1"/>
  <c r="P1237" i="32"/>
  <c r="Q1235" i="32"/>
  <c r="S1193" i="32" a="1"/>
  <c r="S1193" i="32" s="1"/>
  <c r="E1193" i="32" s="1"/>
  <c r="R1193" i="32" a="1"/>
  <c r="R1193" i="32" s="1"/>
  <c r="D1193" i="32" s="1"/>
  <c r="T1193" i="32" a="1"/>
  <c r="T1193" i="32" s="1"/>
  <c r="V1193" i="32" a="1"/>
  <c r="V1193" i="32" s="1"/>
  <c r="L1193" i="32" s="1"/>
  <c r="P1197" i="32"/>
  <c r="Q1195" i="32"/>
  <c r="F3245" i="27"/>
  <c r="F3244" i="27"/>
  <c r="U1235" i="32"/>
  <c r="A1235" i="32"/>
  <c r="G1233" i="32"/>
  <c r="R1235" i="32" l="1" a="1"/>
  <c r="R1235" i="32" s="1"/>
  <c r="D1235" i="32" s="1"/>
  <c r="S1235" i="32" a="1"/>
  <c r="S1235" i="32" s="1"/>
  <c r="E1235" i="32" s="1"/>
  <c r="T1235" i="32" a="1"/>
  <c r="T1235" i="32" s="1"/>
  <c r="V1235" i="32" a="1"/>
  <c r="V1235" i="32" s="1"/>
  <c r="L1235" i="32" s="1"/>
  <c r="P1239" i="32"/>
  <c r="Q1237" i="32"/>
  <c r="R1195" i="32" a="1"/>
  <c r="R1195" i="32" s="1"/>
  <c r="D1195" i="32" s="1"/>
  <c r="T1195" i="32" a="1"/>
  <c r="T1195" i="32" s="1"/>
  <c r="V1195" i="32" a="1"/>
  <c r="V1195" i="32" s="1"/>
  <c r="L1195" i="32" s="1"/>
  <c r="S1195" i="32" a="1"/>
  <c r="S1195" i="32" s="1"/>
  <c r="E1195" i="32" s="1"/>
  <c r="P1199" i="32"/>
  <c r="Q1197" i="32"/>
  <c r="F3246" i="27"/>
  <c r="U1237" i="32"/>
  <c r="A1237" i="32"/>
  <c r="G1235" i="32"/>
  <c r="V1237" i="32" l="1" a="1"/>
  <c r="V1237" i="32" s="1"/>
  <c r="L1237" i="32" s="1"/>
  <c r="R1237" i="32" a="1"/>
  <c r="R1237" i="32" s="1"/>
  <c r="D1237" i="32" s="1"/>
  <c r="T1237" i="32" a="1"/>
  <c r="T1237" i="32" s="1"/>
  <c r="S1237" i="32" a="1"/>
  <c r="S1237" i="32" s="1"/>
  <c r="E1237" i="32" s="1"/>
  <c r="P1241" i="32"/>
  <c r="Q1239" i="32"/>
  <c r="R1197" i="32" a="1"/>
  <c r="R1197" i="32" s="1"/>
  <c r="D1197" i="32" s="1"/>
  <c r="V1197" i="32" a="1"/>
  <c r="V1197" i="32" s="1"/>
  <c r="L1197" i="32" s="1"/>
  <c r="T1197" i="32" a="1"/>
  <c r="T1197" i="32" s="1"/>
  <c r="S1197" i="32" a="1"/>
  <c r="S1197" i="32" s="1"/>
  <c r="E1197" i="32" s="1"/>
  <c r="P1201" i="32"/>
  <c r="Q1199" i="32"/>
  <c r="F3247" i="27"/>
  <c r="U1239" i="32"/>
  <c r="A1239" i="32"/>
  <c r="G1237" i="32"/>
  <c r="R1239" i="32" l="1" a="1"/>
  <c r="R1239" i="32" s="1"/>
  <c r="D1239" i="32" s="1"/>
  <c r="S1239" i="32" a="1"/>
  <c r="S1239" i="32" s="1"/>
  <c r="E1239" i="32" s="1"/>
  <c r="T1239" i="32" a="1"/>
  <c r="T1239" i="32" s="1"/>
  <c r="V1239" i="32" a="1"/>
  <c r="V1239" i="32" s="1"/>
  <c r="L1239" i="32" s="1"/>
  <c r="P1243" i="32"/>
  <c r="Q1241" i="32"/>
  <c r="R1199" i="32" a="1"/>
  <c r="R1199" i="32" s="1"/>
  <c r="D1199" i="32" s="1"/>
  <c r="T1199" i="32" a="1"/>
  <c r="T1199" i="32" s="1"/>
  <c r="S1199" i="32" a="1"/>
  <c r="S1199" i="32" s="1"/>
  <c r="E1199" i="32" s="1"/>
  <c r="V1199" i="32" a="1"/>
  <c r="V1199" i="32" s="1"/>
  <c r="L1199" i="32" s="1"/>
  <c r="P1203" i="32"/>
  <c r="Q1201" i="32"/>
  <c r="F3248" i="27"/>
  <c r="U1241" i="32"/>
  <c r="G1239" i="32"/>
  <c r="A1241" i="32"/>
  <c r="R1241" i="32" l="1" a="1"/>
  <c r="R1241" i="32" s="1"/>
  <c r="D1241" i="32" s="1"/>
  <c r="V1241" i="32" a="1"/>
  <c r="V1241" i="32" s="1"/>
  <c r="L1241" i="32" s="1"/>
  <c r="S1241" i="32" a="1"/>
  <c r="S1241" i="32" s="1"/>
  <c r="E1241" i="32" s="1"/>
  <c r="T1241" i="32" a="1"/>
  <c r="T1241" i="32" s="1"/>
  <c r="P1245" i="32"/>
  <c r="Q1243" i="32"/>
  <c r="V1201" i="32" a="1"/>
  <c r="V1201" i="32" s="1"/>
  <c r="L1201" i="32" s="1"/>
  <c r="R1201" i="32" a="1"/>
  <c r="R1201" i="32" s="1"/>
  <c r="D1201" i="32" s="1"/>
  <c r="T1201" i="32" a="1"/>
  <c r="T1201" i="32" s="1"/>
  <c r="S1201" i="32" a="1"/>
  <c r="S1201" i="32" s="1"/>
  <c r="E1201" i="32" s="1"/>
  <c r="P1205" i="32"/>
  <c r="Q1203" i="32"/>
  <c r="F3249" i="27"/>
  <c r="U1243" i="32"/>
  <c r="G1241" i="32"/>
  <c r="A1243" i="32"/>
  <c r="V1243" i="32" l="1" a="1"/>
  <c r="V1243" i="32" s="1"/>
  <c r="L1243" i="32" s="1"/>
  <c r="S1243" i="32" a="1"/>
  <c r="S1243" i="32" s="1"/>
  <c r="E1243" i="32" s="1"/>
  <c r="T1243" i="32" a="1"/>
  <c r="T1243" i="32" s="1"/>
  <c r="R1243" i="32" a="1"/>
  <c r="R1243" i="32" s="1"/>
  <c r="D1243" i="32" s="1"/>
  <c r="P1247" i="32"/>
  <c r="Q1245" i="32"/>
  <c r="S1203" i="32" a="1"/>
  <c r="S1203" i="32" s="1"/>
  <c r="E1203" i="32" s="1"/>
  <c r="R1203" i="32" a="1"/>
  <c r="R1203" i="32" s="1"/>
  <c r="D1203" i="32" s="1"/>
  <c r="V1203" i="32" a="1"/>
  <c r="V1203" i="32" s="1"/>
  <c r="L1203" i="32" s="1"/>
  <c r="T1203" i="32" a="1"/>
  <c r="T1203" i="32" s="1"/>
  <c r="Q1205" i="32"/>
  <c r="P1207" i="32"/>
  <c r="F3251" i="27"/>
  <c r="F3250" i="27"/>
  <c r="U1245" i="32"/>
  <c r="G1243" i="32"/>
  <c r="A1245" i="32"/>
  <c r="S1245" i="32" l="1" a="1"/>
  <c r="S1245" i="32" s="1"/>
  <c r="E1245" i="32" s="1"/>
  <c r="V1245" i="32" a="1"/>
  <c r="V1245" i="32" s="1"/>
  <c r="L1245" i="32" s="1"/>
  <c r="T1245" i="32" a="1"/>
  <c r="T1245" i="32" s="1"/>
  <c r="R1245" i="32" a="1"/>
  <c r="R1245" i="32" s="1"/>
  <c r="D1245" i="32" s="1"/>
  <c r="P1249" i="32"/>
  <c r="Q1247" i="32"/>
  <c r="Q1207" i="32"/>
  <c r="P1209" i="32"/>
  <c r="V1205" i="32" a="1"/>
  <c r="V1205" i="32" s="1"/>
  <c r="L1205" i="32" s="1"/>
  <c r="S1205" i="32" a="1"/>
  <c r="S1205" i="32" s="1"/>
  <c r="E1205" i="32" s="1"/>
  <c r="T1205" i="32" a="1"/>
  <c r="T1205" i="32" s="1"/>
  <c r="R1205" i="32" a="1"/>
  <c r="R1205" i="32" s="1"/>
  <c r="D1205" i="32" s="1"/>
  <c r="F3252" i="27"/>
  <c r="U1247" i="32"/>
  <c r="G1245" i="32"/>
  <c r="A1247" i="32"/>
  <c r="T1247" i="32" l="1" a="1"/>
  <c r="T1247" i="32" s="1"/>
  <c r="S1247" i="32" a="1"/>
  <c r="S1247" i="32" s="1"/>
  <c r="E1247" i="32" s="1"/>
  <c r="V1247" i="32" a="1"/>
  <c r="V1247" i="32" s="1"/>
  <c r="L1247" i="32" s="1"/>
  <c r="R1247" i="32" a="1"/>
  <c r="R1247" i="32" s="1"/>
  <c r="D1247" i="32" s="1"/>
  <c r="P1251" i="32"/>
  <c r="Q1249" i="32"/>
  <c r="Q1209" i="32"/>
  <c r="P1211" i="32"/>
  <c r="R1207" i="32" a="1"/>
  <c r="R1207" i="32" s="1"/>
  <c r="D1207" i="32" s="1"/>
  <c r="V1207" i="32" a="1"/>
  <c r="V1207" i="32" s="1"/>
  <c r="L1207" i="32" s="1"/>
  <c r="T1207" i="32" a="1"/>
  <c r="T1207" i="32" s="1"/>
  <c r="S1207" i="32" a="1"/>
  <c r="S1207" i="32" s="1"/>
  <c r="E1207" i="32" s="1"/>
  <c r="F3253" i="27"/>
  <c r="U1249" i="32"/>
  <c r="A1249" i="32"/>
  <c r="G1247" i="32"/>
  <c r="T1249" i="32" l="1" a="1"/>
  <c r="T1249" i="32" s="1"/>
  <c r="V1249" i="32" a="1"/>
  <c r="V1249" i="32" s="1"/>
  <c r="L1249" i="32" s="1"/>
  <c r="S1249" i="32" a="1"/>
  <c r="S1249" i="32" s="1"/>
  <c r="E1249" i="32" s="1"/>
  <c r="R1249" i="32" a="1"/>
  <c r="R1249" i="32" s="1"/>
  <c r="D1249" i="32" s="1"/>
  <c r="P1253" i="32"/>
  <c r="Q1251" i="32"/>
  <c r="Q1211" i="32"/>
  <c r="P1213" i="32"/>
  <c r="V1209" i="32" a="1"/>
  <c r="V1209" i="32" s="1"/>
  <c r="L1209" i="32" s="1"/>
  <c r="R1209" i="32" a="1"/>
  <c r="R1209" i="32" s="1"/>
  <c r="D1209" i="32" s="1"/>
  <c r="T1209" i="32" a="1"/>
  <c r="T1209" i="32" s="1"/>
  <c r="S1209" i="32" a="1"/>
  <c r="S1209" i="32" s="1"/>
  <c r="E1209" i="32" s="1"/>
  <c r="F3254" i="27"/>
  <c r="U1251" i="32"/>
  <c r="G1249" i="32"/>
  <c r="A1251" i="32"/>
  <c r="S1251" i="32" l="1" a="1"/>
  <c r="S1251" i="32" s="1"/>
  <c r="E1251" i="32" s="1"/>
  <c r="R1251" i="32" a="1"/>
  <c r="R1251" i="32" s="1"/>
  <c r="D1251" i="32" s="1"/>
  <c r="V1251" i="32" a="1"/>
  <c r="V1251" i="32" s="1"/>
  <c r="L1251" i="32" s="1"/>
  <c r="T1251" i="32" a="1"/>
  <c r="T1251" i="32" s="1"/>
  <c r="P1255" i="32"/>
  <c r="Q1253" i="32"/>
  <c r="Q1213" i="32"/>
  <c r="P1215" i="32"/>
  <c r="S1211" i="32" a="1"/>
  <c r="S1211" i="32" s="1"/>
  <c r="E1211" i="32" s="1"/>
  <c r="T1211" i="32" a="1"/>
  <c r="T1211" i="32" s="1"/>
  <c r="R1211" i="32" a="1"/>
  <c r="R1211" i="32" s="1"/>
  <c r="D1211" i="32" s="1"/>
  <c r="V1211" i="32" a="1"/>
  <c r="V1211" i="32" s="1"/>
  <c r="L1211" i="32" s="1"/>
  <c r="F3255" i="27"/>
  <c r="U1253" i="32"/>
  <c r="G1251" i="32"/>
  <c r="A1253" i="32"/>
  <c r="R1253" i="32" l="1" a="1"/>
  <c r="R1253" i="32" s="1"/>
  <c r="D1253" i="32" s="1"/>
  <c r="S1253" i="32" a="1"/>
  <c r="S1253" i="32" s="1"/>
  <c r="E1253" i="32" s="1"/>
  <c r="V1253" i="32" a="1"/>
  <c r="V1253" i="32" s="1"/>
  <c r="L1253" i="32" s="1"/>
  <c r="T1253" i="32" a="1"/>
  <c r="T1253" i="32" s="1"/>
  <c r="P1257" i="32"/>
  <c r="Q1255" i="32"/>
  <c r="P1217" i="32"/>
  <c r="Q1215" i="32"/>
  <c r="V1213" i="32" a="1"/>
  <c r="V1213" i="32" s="1"/>
  <c r="L1213" i="32" s="1"/>
  <c r="S1213" i="32" a="1"/>
  <c r="S1213" i="32" s="1"/>
  <c r="E1213" i="32" s="1"/>
  <c r="T1213" i="32" a="1"/>
  <c r="T1213" i="32" s="1"/>
  <c r="R1213" i="32" a="1"/>
  <c r="R1213" i="32" s="1"/>
  <c r="D1213" i="32" s="1"/>
  <c r="F3256" i="27"/>
  <c r="F3257" i="27"/>
  <c r="U1255" i="32"/>
  <c r="G1253" i="32"/>
  <c r="A1255" i="32"/>
  <c r="S1255" i="32" l="1" a="1"/>
  <c r="S1255" i="32" s="1"/>
  <c r="E1255" i="32" s="1"/>
  <c r="R1255" i="32" a="1"/>
  <c r="R1255" i="32" s="1"/>
  <c r="D1255" i="32" s="1"/>
  <c r="V1255" i="32" a="1"/>
  <c r="V1255" i="32" s="1"/>
  <c r="L1255" i="32" s="1"/>
  <c r="T1255" i="32" a="1"/>
  <c r="T1255" i="32" s="1"/>
  <c r="P1259" i="32"/>
  <c r="Q1257" i="32"/>
  <c r="T1215" i="32" a="1"/>
  <c r="T1215" i="32" s="1"/>
  <c r="V1215" i="32" a="1"/>
  <c r="V1215" i="32" s="1"/>
  <c r="L1215" i="32" s="1"/>
  <c r="R1215" i="32" a="1"/>
  <c r="R1215" i="32" s="1"/>
  <c r="D1215" i="32" s="1"/>
  <c r="S1215" i="32" a="1"/>
  <c r="S1215" i="32" s="1"/>
  <c r="E1215" i="32" s="1"/>
  <c r="Q1217" i="32"/>
  <c r="P1219" i="32"/>
  <c r="Q1219" i="32" s="1"/>
  <c r="F3258" i="27"/>
  <c r="U1257" i="32"/>
  <c r="G1255" i="32"/>
  <c r="A1257" i="32"/>
  <c r="T1257" i="32" l="1" a="1"/>
  <c r="T1257" i="32" s="1"/>
  <c r="R1257" i="32" a="1"/>
  <c r="R1257" i="32" s="1"/>
  <c r="D1257" i="32" s="1"/>
  <c r="S1257" i="32" a="1"/>
  <c r="S1257" i="32" s="1"/>
  <c r="E1257" i="32" s="1"/>
  <c r="V1257" i="32" a="1"/>
  <c r="V1257" i="32" s="1"/>
  <c r="L1257" i="32" s="1"/>
  <c r="P1261" i="32"/>
  <c r="Q1259" i="32"/>
  <c r="P1421" i="32"/>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P1463" i="32" s="1"/>
  <c r="P1465" i="32" s="1"/>
  <c r="P1467" i="32" s="1"/>
  <c r="P1469" i="32" s="1"/>
  <c r="P1471" i="32" s="1"/>
  <c r="P1473" i="32" s="1"/>
  <c r="P1475" i="32" s="1"/>
  <c r="P1477" i="32" s="1"/>
  <c r="P1479" i="32" s="1"/>
  <c r="P1481" i="32" s="1"/>
  <c r="P1483" i="32" s="1"/>
  <c r="P1485" i="32" s="1"/>
  <c r="P1487" i="32" s="1"/>
  <c r="P1489" i="32" s="1"/>
  <c r="P1491" i="32" s="1"/>
  <c r="P1493" i="32" s="1"/>
  <c r="P1495" i="32" s="1"/>
  <c r="P1497" i="32" s="1"/>
  <c r="P1499" i="32" s="1"/>
  <c r="P1501" i="32" s="1"/>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P1543" i="32" s="1"/>
  <c r="P1545" i="32" s="1"/>
  <c r="P1547" i="32" s="1"/>
  <c r="P1549" i="32" s="1"/>
  <c r="P1551" i="32" s="1"/>
  <c r="P1553" i="32" s="1"/>
  <c r="P1555" i="32" s="1"/>
  <c r="P1557" i="32" s="1"/>
  <c r="P1559" i="32" s="1"/>
  <c r="P1561" i="32" s="1"/>
  <c r="P1563" i="32" s="1"/>
  <c r="P1565" i="32" s="1"/>
  <c r="P1567" i="32" s="1"/>
  <c r="P1569" i="32" s="1"/>
  <c r="P1571" i="32" s="1"/>
  <c r="P1573" i="32" s="1"/>
  <c r="P1575" i="32" s="1"/>
  <c r="P1577" i="32" s="1"/>
  <c r="P1579" i="32" s="1"/>
  <c r="P1581" i="32" s="1"/>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T1219" i="32" a="1"/>
  <c r="T1219" i="32" s="1"/>
  <c r="R1219" i="32" a="1"/>
  <c r="R1219" i="32" s="1"/>
  <c r="D1219" i="32" s="1"/>
  <c r="V1219" i="32" a="1"/>
  <c r="V1219" i="32" s="1"/>
  <c r="L1219" i="32" s="1"/>
  <c r="S1219" i="32" a="1"/>
  <c r="S1219" i="32" s="1"/>
  <c r="E1219" i="32" s="1"/>
  <c r="R1217" i="32" a="1"/>
  <c r="R1217" i="32" s="1"/>
  <c r="D1217" i="32" s="1"/>
  <c r="S1217" i="32" a="1"/>
  <c r="S1217" i="32" s="1"/>
  <c r="E1217" i="32" s="1"/>
  <c r="V1217" i="32" a="1"/>
  <c r="V1217" i="32" s="1"/>
  <c r="L1217" i="32" s="1"/>
  <c r="T1217" i="32" a="1"/>
  <c r="T1217" i="32" s="1"/>
  <c r="F3259" i="27"/>
  <c r="U1259" i="32"/>
  <c r="G1257" i="32"/>
  <c r="A1259" i="32"/>
  <c r="R1259" i="32" l="1" a="1"/>
  <c r="R1259" i="32" s="1"/>
  <c r="D1259" i="32" s="1"/>
  <c r="S1259" i="32" a="1"/>
  <c r="S1259" i="32" s="1"/>
  <c r="E1259" i="32" s="1"/>
  <c r="V1259" i="32" a="1"/>
  <c r="V1259" i="32" s="1"/>
  <c r="L1259" i="32" s="1"/>
  <c r="T1259" i="32" a="1"/>
  <c r="T1259" i="32" s="1"/>
  <c r="P1263" i="32"/>
  <c r="Q1261" i="32"/>
  <c r="F3260" i="27"/>
  <c r="U1261" i="32"/>
  <c r="G1259" i="32"/>
  <c r="A1261" i="32"/>
  <c r="V1261" i="32" l="1" a="1"/>
  <c r="V1261" i="32" s="1"/>
  <c r="L1261" i="32" s="1"/>
  <c r="R1261" i="32" a="1"/>
  <c r="R1261" i="32" s="1"/>
  <c r="D1261" i="32" s="1"/>
  <c r="S1261" i="32" a="1"/>
  <c r="S1261" i="32" s="1"/>
  <c r="E1261" i="32" s="1"/>
  <c r="T1261" i="32" a="1"/>
  <c r="T1261" i="32" s="1"/>
  <c r="P1265" i="32"/>
  <c r="Q1263" i="32"/>
  <c r="F3261" i="27"/>
  <c r="U1263" i="32"/>
  <c r="G1261" i="32"/>
  <c r="A1263" i="32"/>
  <c r="V1263" i="32" l="1" a="1"/>
  <c r="V1263" i="32" s="1"/>
  <c r="L1263" i="32" s="1"/>
  <c r="T1263" i="32" a="1"/>
  <c r="T1263" i="32" s="1"/>
  <c r="S1263" i="32" a="1"/>
  <c r="S1263" i="32" s="1"/>
  <c r="E1263" i="32" s="1"/>
  <c r="R1263" i="32" a="1"/>
  <c r="R1263" i="32" s="1"/>
  <c r="D1263" i="32" s="1"/>
  <c r="P1267" i="32"/>
  <c r="Q1265" i="32"/>
  <c r="F3263" i="27"/>
  <c r="F3262" i="27"/>
  <c r="U1265" i="32"/>
  <c r="A1265" i="32"/>
  <c r="G1263" i="32"/>
  <c r="V1265" i="32" l="1" a="1"/>
  <c r="V1265" i="32" s="1"/>
  <c r="L1265" i="32" s="1"/>
  <c r="T1265" i="32" a="1"/>
  <c r="T1265" i="32" s="1"/>
  <c r="S1265" i="32" a="1"/>
  <c r="S1265" i="32" s="1"/>
  <c r="E1265" i="32" s="1"/>
  <c r="R1265" i="32" a="1"/>
  <c r="R1265" i="32" s="1"/>
  <c r="D1265" i="32" s="1"/>
  <c r="P1269" i="32"/>
  <c r="Q1267" i="32"/>
  <c r="F3264" i="27"/>
  <c r="U1267" i="32"/>
  <c r="G1265" i="32"/>
  <c r="A1267" i="32"/>
  <c r="T1267" i="32" l="1" a="1"/>
  <c r="T1267" i="32" s="1"/>
  <c r="V1267" i="32" a="1"/>
  <c r="V1267" i="32" s="1"/>
  <c r="L1267" i="32" s="1"/>
  <c r="S1267" i="32" a="1"/>
  <c r="S1267" i="32" s="1"/>
  <c r="E1267" i="32" s="1"/>
  <c r="R1267" i="32" a="1"/>
  <c r="R1267" i="32" s="1"/>
  <c r="D1267" i="32" s="1"/>
  <c r="P1271" i="32"/>
  <c r="Q1269" i="32"/>
  <c r="F3265" i="27"/>
  <c r="U1269" i="32"/>
  <c r="A1269" i="32"/>
  <c r="G1267" i="32"/>
  <c r="R1269" i="32" l="1" a="1"/>
  <c r="R1269" i="32" s="1"/>
  <c r="D1269" i="32" s="1"/>
  <c r="V1269" i="32" a="1"/>
  <c r="V1269" i="32" s="1"/>
  <c r="L1269" i="32" s="1"/>
  <c r="S1269" i="32" a="1"/>
  <c r="S1269" i="32" s="1"/>
  <c r="E1269" i="32" s="1"/>
  <c r="T1269" i="32" a="1"/>
  <c r="T1269" i="32" s="1"/>
  <c r="P1273" i="32"/>
  <c r="Q1271" i="32"/>
  <c r="F3266" i="27"/>
  <c r="U1271" i="32"/>
  <c r="G1269" i="32"/>
  <c r="A1271" i="32"/>
  <c r="V1271" i="32" l="1" a="1"/>
  <c r="V1271" i="32" s="1"/>
  <c r="L1271" i="32" s="1"/>
  <c r="T1271" i="32" a="1"/>
  <c r="T1271" i="32" s="1"/>
  <c r="S1271" i="32" a="1"/>
  <c r="S1271" i="32" s="1"/>
  <c r="E1271" i="32" s="1"/>
  <c r="R1271" i="32" a="1"/>
  <c r="R1271" i="32" s="1"/>
  <c r="D1271" i="32" s="1"/>
  <c r="P1275" i="32"/>
  <c r="Q1273" i="32"/>
  <c r="F3267" i="27"/>
  <c r="U1273" i="32"/>
  <c r="G1271" i="32"/>
  <c r="A1273" i="32"/>
  <c r="S1273" i="32" l="1" a="1"/>
  <c r="S1273" i="32" s="1"/>
  <c r="E1273" i="32" s="1"/>
  <c r="T1273" i="32" a="1"/>
  <c r="T1273" i="32" s="1"/>
  <c r="R1273" i="32" a="1"/>
  <c r="R1273" i="32" s="1"/>
  <c r="D1273" i="32" s="1"/>
  <c r="V1273" i="32" a="1"/>
  <c r="V1273" i="32" s="1"/>
  <c r="L1273" i="32" s="1"/>
  <c r="P1277" i="32"/>
  <c r="Q1275" i="32"/>
  <c r="F3269" i="27"/>
  <c r="F3268" i="27"/>
  <c r="U1275" i="32"/>
  <c r="A1275" i="32"/>
  <c r="G1273" i="32"/>
  <c r="V1275" i="32" l="1" a="1"/>
  <c r="V1275" i="32" s="1"/>
  <c r="L1275" i="32" s="1"/>
  <c r="T1275" i="32" a="1"/>
  <c r="T1275" i="32" s="1"/>
  <c r="R1275" i="32" a="1"/>
  <c r="R1275" i="32" s="1"/>
  <c r="D1275" i="32" s="1"/>
  <c r="S1275" i="32" a="1"/>
  <c r="S1275" i="32" s="1"/>
  <c r="E1275" i="32" s="1"/>
  <c r="P1279" i="32"/>
  <c r="Q1277" i="32"/>
  <c r="F3270" i="27"/>
  <c r="U1277" i="32"/>
  <c r="G1275" i="32"/>
  <c r="A1277" i="32"/>
  <c r="R1277" i="32" l="1" a="1"/>
  <c r="R1277" i="32" s="1"/>
  <c r="D1277" i="32" s="1"/>
  <c r="T1277" i="32" a="1"/>
  <c r="T1277" i="32" s="1"/>
  <c r="S1277" i="32" a="1"/>
  <c r="S1277" i="32" s="1"/>
  <c r="E1277" i="32" s="1"/>
  <c r="V1277" i="32" a="1"/>
  <c r="V1277" i="32" s="1"/>
  <c r="L1277" i="32" s="1"/>
  <c r="P1281" i="32"/>
  <c r="Q1279" i="32"/>
  <c r="F3271" i="27"/>
  <c r="U1279" i="32"/>
  <c r="A1279" i="32"/>
  <c r="G1277" i="32"/>
  <c r="V1279" i="32" l="1" a="1"/>
  <c r="V1279" i="32" s="1"/>
  <c r="L1279" i="32" s="1"/>
  <c r="R1279" i="32" a="1"/>
  <c r="R1279" i="32" s="1"/>
  <c r="D1279" i="32" s="1"/>
  <c r="S1279" i="32" a="1"/>
  <c r="S1279" i="32" s="1"/>
  <c r="E1279" i="32" s="1"/>
  <c r="T1279" i="32" a="1"/>
  <c r="T1279" i="32" s="1"/>
  <c r="P1283" i="32"/>
  <c r="Q1281" i="32"/>
  <c r="F3272" i="27"/>
  <c r="U1281" i="32"/>
  <c r="A1281" i="32"/>
  <c r="G1279" i="32"/>
  <c r="R1281" i="32" l="1" a="1"/>
  <c r="R1281" i="32" s="1"/>
  <c r="D1281" i="32" s="1"/>
  <c r="S1281" i="32" a="1"/>
  <c r="S1281" i="32" s="1"/>
  <c r="E1281" i="32" s="1"/>
  <c r="V1281" i="32" a="1"/>
  <c r="V1281" i="32" s="1"/>
  <c r="L1281" i="32" s="1"/>
  <c r="T1281" i="32" a="1"/>
  <c r="T1281" i="32" s="1"/>
  <c r="P1285" i="32"/>
  <c r="Q1283" i="32"/>
  <c r="F3273" i="27"/>
  <c r="U1283" i="32"/>
  <c r="A1283" i="32"/>
  <c r="G1281" i="32"/>
  <c r="V1283" i="32" l="1" a="1"/>
  <c r="V1283" i="32" s="1"/>
  <c r="L1283" i="32" s="1"/>
  <c r="R1283" i="32" a="1"/>
  <c r="R1283" i="32" s="1"/>
  <c r="D1283" i="32" s="1"/>
  <c r="S1283" i="32" a="1"/>
  <c r="S1283" i="32" s="1"/>
  <c r="E1283" i="32" s="1"/>
  <c r="T1283" i="32" a="1"/>
  <c r="T1283" i="32" s="1"/>
  <c r="P1287" i="32"/>
  <c r="Q1285" i="32"/>
  <c r="F3275" i="27"/>
  <c r="F3274" i="27"/>
  <c r="U1285" i="32"/>
  <c r="A1285" i="32"/>
  <c r="G1283" i="32"/>
  <c r="R1285" i="32" l="1" a="1"/>
  <c r="R1285" i="32" s="1"/>
  <c r="D1285" i="32" s="1"/>
  <c r="V1285" i="32" a="1"/>
  <c r="V1285" i="32" s="1"/>
  <c r="L1285" i="32" s="1"/>
  <c r="S1285" i="32" a="1"/>
  <c r="S1285" i="32" s="1"/>
  <c r="E1285" i="32" s="1"/>
  <c r="T1285" i="32" a="1"/>
  <c r="T1285" i="32" s="1"/>
  <c r="P1289" i="32"/>
  <c r="Q1287" i="32"/>
  <c r="F3276" i="27"/>
  <c r="U1287" i="32"/>
  <c r="A1287" i="32"/>
  <c r="G1285" i="32"/>
  <c r="R1287" i="32" l="1" a="1"/>
  <c r="R1287" i="32" s="1"/>
  <c r="D1287" i="32" s="1"/>
  <c r="S1287" i="32" a="1"/>
  <c r="S1287" i="32" s="1"/>
  <c r="E1287" i="32" s="1"/>
  <c r="T1287" i="32" a="1"/>
  <c r="T1287" i="32" s="1"/>
  <c r="V1287" i="32" a="1"/>
  <c r="V1287" i="32" s="1"/>
  <c r="L1287" i="32" s="1"/>
  <c r="P1291" i="32"/>
  <c r="Q1289" i="32"/>
  <c r="F3277" i="27"/>
  <c r="U1289" i="32"/>
  <c r="G1287" i="32"/>
  <c r="A1289" i="32"/>
  <c r="R1289" i="32" l="1" a="1"/>
  <c r="R1289" i="32" s="1"/>
  <c r="D1289" i="32" s="1"/>
  <c r="V1289" i="32" a="1"/>
  <c r="V1289" i="32" s="1"/>
  <c r="L1289" i="32" s="1"/>
  <c r="S1289" i="32" a="1"/>
  <c r="S1289" i="32" s="1"/>
  <c r="E1289" i="32" s="1"/>
  <c r="T1289" i="32" a="1"/>
  <c r="T1289" i="32" s="1"/>
  <c r="P1293" i="32"/>
  <c r="Q1291" i="32"/>
  <c r="F3278" i="27"/>
  <c r="U1291" i="32"/>
  <c r="A1291" i="32"/>
  <c r="G1289" i="32"/>
  <c r="R1291" i="32" l="1" a="1"/>
  <c r="R1291" i="32" s="1"/>
  <c r="D1291" i="32" s="1"/>
  <c r="T1291" i="32" a="1"/>
  <c r="T1291" i="32" s="1"/>
  <c r="S1291" i="32" a="1"/>
  <c r="S1291" i="32" s="1"/>
  <c r="E1291" i="32" s="1"/>
  <c r="V1291" i="32" a="1"/>
  <c r="V1291" i="32" s="1"/>
  <c r="L1291" i="32" s="1"/>
  <c r="P1295" i="32"/>
  <c r="Q1293" i="32"/>
  <c r="F3279" i="27"/>
  <c r="U1293" i="32"/>
  <c r="A1293" i="32"/>
  <c r="G1291" i="32"/>
  <c r="V1293" i="32" l="1" a="1"/>
  <c r="V1293" i="32" s="1"/>
  <c r="L1293" i="32" s="1"/>
  <c r="T1293" i="32" a="1"/>
  <c r="T1293" i="32" s="1"/>
  <c r="S1293" i="32" a="1"/>
  <c r="S1293" i="32" s="1"/>
  <c r="E1293" i="32" s="1"/>
  <c r="R1293" i="32" a="1"/>
  <c r="R1293" i="32" s="1"/>
  <c r="D1293" i="32" s="1"/>
  <c r="P1297" i="32"/>
  <c r="Q1295" i="32"/>
  <c r="F3281" i="27"/>
  <c r="F3280" i="27"/>
  <c r="U1295" i="32"/>
  <c r="G1293" i="32"/>
  <c r="A1295" i="32"/>
  <c r="S1295" i="32" l="1" a="1"/>
  <c r="S1295" i="32" s="1"/>
  <c r="E1295" i="32" s="1"/>
  <c r="T1295" i="32" a="1"/>
  <c r="T1295" i="32" s="1"/>
  <c r="R1295" i="32" a="1"/>
  <c r="R1295" i="32" s="1"/>
  <c r="D1295" i="32" s="1"/>
  <c r="V1295" i="32" a="1"/>
  <c r="V1295" i="32" s="1"/>
  <c r="L1295" i="32" s="1"/>
  <c r="P1299" i="32"/>
  <c r="Q1297" i="32"/>
  <c r="F3282" i="27"/>
  <c r="U1297" i="32"/>
  <c r="G1295" i="32"/>
  <c r="A1297" i="32"/>
  <c r="S1297" i="32" l="1" a="1"/>
  <c r="S1297" i="32" s="1"/>
  <c r="E1297" i="32" s="1"/>
  <c r="T1297" i="32" a="1"/>
  <c r="T1297" i="32" s="1"/>
  <c r="R1297" i="32" a="1"/>
  <c r="R1297" i="32" s="1"/>
  <c r="D1297" i="32" s="1"/>
  <c r="V1297" i="32" a="1"/>
  <c r="V1297" i="32" s="1"/>
  <c r="L1297" i="32" s="1"/>
  <c r="P1301" i="32"/>
  <c r="Q1299" i="32"/>
  <c r="F3283" i="27"/>
  <c r="U1299" i="32"/>
  <c r="A1299" i="32"/>
  <c r="G1297" i="32"/>
  <c r="T1299" i="32" l="1" a="1"/>
  <c r="T1299" i="32" s="1"/>
  <c r="V1299" i="32" a="1"/>
  <c r="V1299" i="32" s="1"/>
  <c r="L1299" i="32" s="1"/>
  <c r="S1299" i="32" a="1"/>
  <c r="S1299" i="32" s="1"/>
  <c r="E1299" i="32" s="1"/>
  <c r="R1299" i="32" a="1"/>
  <c r="R1299" i="32" s="1"/>
  <c r="D1299" i="32" s="1"/>
  <c r="P1303" i="32"/>
  <c r="Q1301" i="32"/>
  <c r="F3284" i="27"/>
  <c r="U1301" i="32"/>
  <c r="A1301" i="32"/>
  <c r="G1299" i="32"/>
  <c r="V1301" i="32" l="1" a="1"/>
  <c r="V1301" i="32" s="1"/>
  <c r="L1301" i="32" s="1"/>
  <c r="R1301" i="32" a="1"/>
  <c r="R1301" i="32" s="1"/>
  <c r="D1301" i="32" s="1"/>
  <c r="S1301" i="32" a="1"/>
  <c r="S1301" i="32" s="1"/>
  <c r="E1301" i="32" s="1"/>
  <c r="T1301" i="32" a="1"/>
  <c r="T1301" i="32" s="1"/>
  <c r="P1305" i="32"/>
  <c r="Q1303" i="32"/>
  <c r="F3285" i="27"/>
  <c r="U1303" i="32"/>
  <c r="G1301" i="32"/>
  <c r="A1303" i="32"/>
  <c r="S1303" i="32" l="1" a="1"/>
  <c r="S1303" i="32" s="1"/>
  <c r="E1303" i="32" s="1"/>
  <c r="V1303" i="32" a="1"/>
  <c r="V1303" i="32" s="1"/>
  <c r="L1303" i="32" s="1"/>
  <c r="T1303" i="32" a="1"/>
  <c r="T1303" i="32" s="1"/>
  <c r="R1303" i="32" a="1"/>
  <c r="R1303" i="32" s="1"/>
  <c r="D1303" i="32" s="1"/>
  <c r="P1307" i="32"/>
  <c r="Q1305" i="32"/>
  <c r="F3286" i="27"/>
  <c r="F3287" i="27"/>
  <c r="U1305" i="32"/>
  <c r="A1305" i="32"/>
  <c r="G1303" i="32"/>
  <c r="T1305" i="32" l="1" a="1"/>
  <c r="T1305" i="32" s="1"/>
  <c r="V1305" i="32" a="1"/>
  <c r="V1305" i="32" s="1"/>
  <c r="L1305" i="32" s="1"/>
  <c r="R1305" i="32" a="1"/>
  <c r="R1305" i="32" s="1"/>
  <c r="D1305" i="32" s="1"/>
  <c r="S1305" i="32" a="1"/>
  <c r="S1305" i="32" s="1"/>
  <c r="E1305" i="32" s="1"/>
  <c r="P1309" i="32"/>
  <c r="Q1307" i="32"/>
  <c r="F3288" i="27"/>
  <c r="U1307" i="32"/>
  <c r="A1307" i="32"/>
  <c r="G1305" i="32"/>
  <c r="T1307" i="32" l="1" a="1"/>
  <c r="T1307" i="32" s="1"/>
  <c r="V1307" i="32" a="1"/>
  <c r="V1307" i="32" s="1"/>
  <c r="L1307" i="32" s="1"/>
  <c r="S1307" i="32" a="1"/>
  <c r="S1307" i="32" s="1"/>
  <c r="E1307" i="32" s="1"/>
  <c r="R1307" i="32" a="1"/>
  <c r="R1307" i="32" s="1"/>
  <c r="D1307" i="32" s="1"/>
  <c r="P1311" i="32"/>
  <c r="Q1309" i="32"/>
  <c r="F3289" i="27"/>
  <c r="U1309" i="32"/>
  <c r="A1309" i="32"/>
  <c r="G1307" i="32"/>
  <c r="V1309" i="32" l="1" a="1"/>
  <c r="V1309" i="32" s="1"/>
  <c r="L1309" i="32" s="1"/>
  <c r="R1309" i="32" a="1"/>
  <c r="R1309" i="32" s="1"/>
  <c r="D1309" i="32" s="1"/>
  <c r="T1309" i="32" a="1"/>
  <c r="T1309" i="32" s="1"/>
  <c r="S1309" i="32" a="1"/>
  <c r="S1309" i="32" s="1"/>
  <c r="E1309" i="32" s="1"/>
  <c r="P1313" i="32"/>
  <c r="Q1311" i="32"/>
  <c r="F3290" i="27"/>
  <c r="U1311" i="32"/>
  <c r="G1309" i="32"/>
  <c r="A1311" i="32"/>
  <c r="V1311" i="32" l="1" a="1"/>
  <c r="V1311" i="32" s="1"/>
  <c r="L1311" i="32" s="1"/>
  <c r="T1311" i="32" a="1"/>
  <c r="T1311" i="32" s="1"/>
  <c r="R1311" i="32" a="1"/>
  <c r="R1311" i="32" s="1"/>
  <c r="D1311" i="32" s="1"/>
  <c r="S1311" i="32" a="1"/>
  <c r="S1311" i="32" s="1"/>
  <c r="E1311" i="32" s="1"/>
  <c r="P1315" i="32"/>
  <c r="Q1313" i="32"/>
  <c r="F3291" i="27"/>
  <c r="U1313" i="32"/>
  <c r="G1311" i="32"/>
  <c r="A1313" i="32"/>
  <c r="V1313" i="32" l="1" a="1"/>
  <c r="V1313" i="32" s="1"/>
  <c r="L1313" i="32" s="1"/>
  <c r="S1313" i="32" a="1"/>
  <c r="S1313" i="32" s="1"/>
  <c r="E1313" i="32" s="1"/>
  <c r="T1313" i="32" a="1"/>
  <c r="T1313" i="32" s="1"/>
  <c r="R1313" i="32" a="1"/>
  <c r="R1313" i="32" s="1"/>
  <c r="D1313" i="32" s="1"/>
  <c r="P1317" i="32"/>
  <c r="Q1315" i="32"/>
  <c r="F3292" i="27"/>
  <c r="F3293" i="27"/>
  <c r="U1315" i="32"/>
  <c r="A1315" i="32"/>
  <c r="G1313" i="32"/>
  <c r="T1315" i="32" l="1" a="1"/>
  <c r="T1315" i="32" s="1"/>
  <c r="R1315" i="32" a="1"/>
  <c r="R1315" i="32" s="1"/>
  <c r="D1315" i="32" s="1"/>
  <c r="S1315" i="32" a="1"/>
  <c r="S1315" i="32" s="1"/>
  <c r="E1315" i="32" s="1"/>
  <c r="V1315" i="32" a="1"/>
  <c r="V1315" i="32" s="1"/>
  <c r="L1315" i="32" s="1"/>
  <c r="P1319" i="32"/>
  <c r="Q1317" i="32"/>
  <c r="F3294" i="27"/>
  <c r="U1317" i="32"/>
  <c r="G1315" i="32"/>
  <c r="A1317" i="32"/>
  <c r="T1317" i="32" l="1" a="1"/>
  <c r="T1317" i="32" s="1"/>
  <c r="R1317" i="32" a="1"/>
  <c r="R1317" i="32" s="1"/>
  <c r="D1317" i="32" s="1"/>
  <c r="V1317" i="32" a="1"/>
  <c r="V1317" i="32" s="1"/>
  <c r="L1317" i="32" s="1"/>
  <c r="S1317" i="32" a="1"/>
  <c r="S1317" i="32" s="1"/>
  <c r="E1317" i="32" s="1"/>
  <c r="P1321" i="32"/>
  <c r="Q1319" i="32"/>
  <c r="F3295" i="27"/>
  <c r="U1319" i="32"/>
  <c r="G1317" i="32"/>
  <c r="A1319" i="32"/>
  <c r="R1319" i="32" l="1" a="1"/>
  <c r="R1319" i="32" s="1"/>
  <c r="D1319" i="32" s="1"/>
  <c r="V1319" i="32" a="1"/>
  <c r="V1319" i="32" s="1"/>
  <c r="L1319" i="32" s="1"/>
  <c r="S1319" i="32" a="1"/>
  <c r="S1319" i="32" s="1"/>
  <c r="E1319" i="32" s="1"/>
  <c r="T1319" i="32" a="1"/>
  <c r="T1319" i="32" s="1"/>
  <c r="P1323" i="32"/>
  <c r="Q1321" i="32"/>
  <c r="F3296" i="27"/>
  <c r="U1321" i="32"/>
  <c r="G1319" i="32"/>
  <c r="A1321" i="32"/>
  <c r="V1321" i="32" l="1" a="1"/>
  <c r="V1321" i="32" s="1"/>
  <c r="L1321" i="32" s="1"/>
  <c r="S1321" i="32" a="1"/>
  <c r="S1321" i="32" s="1"/>
  <c r="E1321" i="32" s="1"/>
  <c r="T1321" i="32" a="1"/>
  <c r="T1321" i="32" s="1"/>
  <c r="R1321" i="32" a="1"/>
  <c r="R1321" i="32" s="1"/>
  <c r="D1321" i="32" s="1"/>
  <c r="P1325" i="32"/>
  <c r="Q1323" i="32"/>
  <c r="F3297" i="27"/>
  <c r="U1323" i="32"/>
  <c r="G1321" i="32"/>
  <c r="A1323" i="32"/>
  <c r="S1323" i="32" l="1" a="1"/>
  <c r="S1323" i="32" s="1"/>
  <c r="E1323" i="32" s="1"/>
  <c r="T1323" i="32" a="1"/>
  <c r="T1323" i="32" s="1"/>
  <c r="R1323" i="32" a="1"/>
  <c r="R1323" i="32" s="1"/>
  <c r="D1323" i="32" s="1"/>
  <c r="V1323" i="32" a="1"/>
  <c r="V1323" i="32" s="1"/>
  <c r="L1323" i="32" s="1"/>
  <c r="P1327" i="32"/>
  <c r="Q1325" i="32"/>
  <c r="F3299" i="27"/>
  <c r="F3298" i="27"/>
  <c r="U1325" i="32"/>
  <c r="A1325" i="32"/>
  <c r="G1323" i="32"/>
  <c r="R1325" i="32" l="1" a="1"/>
  <c r="R1325" i="32" s="1"/>
  <c r="D1325" i="32" s="1"/>
  <c r="V1325" i="32" a="1"/>
  <c r="V1325" i="32" s="1"/>
  <c r="L1325" i="32" s="1"/>
  <c r="S1325" i="32" a="1"/>
  <c r="S1325" i="32" s="1"/>
  <c r="E1325" i="32" s="1"/>
  <c r="T1325" i="32" a="1"/>
  <c r="T1325" i="32" s="1"/>
  <c r="P1329" i="32"/>
  <c r="Q1327" i="32"/>
  <c r="F3300" i="27"/>
  <c r="U1327" i="32"/>
  <c r="G1325" i="32"/>
  <c r="A1327" i="32"/>
  <c r="V1327" i="32" l="1" a="1"/>
  <c r="V1327" i="32" s="1"/>
  <c r="L1327" i="32" s="1"/>
  <c r="T1327" i="32" a="1"/>
  <c r="T1327" i="32" s="1"/>
  <c r="S1327" i="32" a="1"/>
  <c r="S1327" i="32" s="1"/>
  <c r="E1327" i="32" s="1"/>
  <c r="R1327" i="32" a="1"/>
  <c r="R1327" i="32" s="1"/>
  <c r="D1327" i="32" s="1"/>
  <c r="P1331" i="32"/>
  <c r="Q1329" i="32"/>
  <c r="F3301" i="27"/>
  <c r="U1329" i="32"/>
  <c r="A1329" i="32"/>
  <c r="G1327" i="32"/>
  <c r="S1329" i="32" l="1" a="1"/>
  <c r="S1329" i="32" s="1"/>
  <c r="E1329" i="32" s="1"/>
  <c r="T1329" i="32" a="1"/>
  <c r="T1329" i="32" s="1"/>
  <c r="V1329" i="32" a="1"/>
  <c r="V1329" i="32" s="1"/>
  <c r="L1329" i="32" s="1"/>
  <c r="R1329" i="32" a="1"/>
  <c r="R1329" i="32" s="1"/>
  <c r="D1329" i="32" s="1"/>
  <c r="P1333" i="32"/>
  <c r="Q1331" i="32"/>
  <c r="F3302" i="27"/>
  <c r="U1331" i="32"/>
  <c r="A1331" i="32"/>
  <c r="G1329" i="32"/>
  <c r="S1331" i="32" l="1" a="1"/>
  <c r="S1331" i="32" s="1"/>
  <c r="E1331" i="32" s="1"/>
  <c r="T1331" i="32" a="1"/>
  <c r="T1331" i="32" s="1"/>
  <c r="V1331" i="32" a="1"/>
  <c r="V1331" i="32" s="1"/>
  <c r="L1331" i="32" s="1"/>
  <c r="R1331" i="32" a="1"/>
  <c r="R1331" i="32" s="1"/>
  <c r="D1331" i="32" s="1"/>
  <c r="P1335" i="32"/>
  <c r="Q1333" i="32"/>
  <c r="F3303" i="27"/>
  <c r="U1333" i="32"/>
  <c r="G1331" i="32"/>
  <c r="A1333" i="32"/>
  <c r="R1333" i="32" l="1" a="1"/>
  <c r="R1333" i="32" s="1"/>
  <c r="D1333" i="32" s="1"/>
  <c r="S1333" i="32" a="1"/>
  <c r="S1333" i="32" s="1"/>
  <c r="E1333" i="32" s="1"/>
  <c r="T1333" i="32" a="1"/>
  <c r="T1333" i="32" s="1"/>
  <c r="V1333" i="32" a="1"/>
  <c r="V1333" i="32" s="1"/>
  <c r="L1333" i="32" s="1"/>
  <c r="P1337" i="32"/>
  <c r="Q1335" i="32"/>
  <c r="F3305" i="27"/>
  <c r="F3304" i="27"/>
  <c r="U1335" i="32"/>
  <c r="A1335" i="32"/>
  <c r="G1333" i="32"/>
  <c r="T1335" i="32" l="1" a="1"/>
  <c r="T1335" i="32" s="1"/>
  <c r="R1335" i="32" a="1"/>
  <c r="R1335" i="32" s="1"/>
  <c r="D1335" i="32" s="1"/>
  <c r="V1335" i="32" a="1"/>
  <c r="V1335" i="32" s="1"/>
  <c r="L1335" i="32" s="1"/>
  <c r="S1335" i="32" a="1"/>
  <c r="S1335" i="32" s="1"/>
  <c r="E1335" i="32" s="1"/>
  <c r="P1339" i="32"/>
  <c r="Q1337" i="32"/>
  <c r="F3306" i="27"/>
  <c r="U1337" i="32"/>
  <c r="G1335" i="32"/>
  <c r="A1337" i="32"/>
  <c r="R1337" i="32" l="1" a="1"/>
  <c r="R1337" i="32" s="1"/>
  <c r="D1337" i="32" s="1"/>
  <c r="S1337" i="32" a="1"/>
  <c r="S1337" i="32" s="1"/>
  <c r="E1337" i="32" s="1"/>
  <c r="T1337" i="32" a="1"/>
  <c r="T1337" i="32" s="1"/>
  <c r="V1337" i="32" a="1"/>
  <c r="V1337" i="32" s="1"/>
  <c r="L1337" i="32" s="1"/>
  <c r="P1341" i="32"/>
  <c r="Q1339" i="32"/>
  <c r="F3307" i="27"/>
  <c r="U1339" i="32"/>
  <c r="A1339" i="32"/>
  <c r="G1337" i="32"/>
  <c r="S1339" i="32" l="1" a="1"/>
  <c r="S1339" i="32" s="1"/>
  <c r="E1339" i="32" s="1"/>
  <c r="R1339" i="32" a="1"/>
  <c r="R1339" i="32" s="1"/>
  <c r="D1339" i="32" s="1"/>
  <c r="V1339" i="32" a="1"/>
  <c r="V1339" i="32" s="1"/>
  <c r="L1339" i="32" s="1"/>
  <c r="T1339" i="32" a="1"/>
  <c r="T1339" i="32" s="1"/>
  <c r="P1343" i="32"/>
  <c r="Q1341" i="32"/>
  <c r="F3308" i="27"/>
  <c r="U1341" i="32"/>
  <c r="A1341" i="32"/>
  <c r="G1339" i="32"/>
  <c r="R1341" i="32" l="1" a="1"/>
  <c r="R1341" i="32" s="1"/>
  <c r="D1341" i="32" s="1"/>
  <c r="S1341" i="32" a="1"/>
  <c r="S1341" i="32" s="1"/>
  <c r="E1341" i="32" s="1"/>
  <c r="T1341" i="32" a="1"/>
  <c r="T1341" i="32" s="1"/>
  <c r="V1341" i="32" a="1"/>
  <c r="V1341" i="32" s="1"/>
  <c r="L1341" i="32" s="1"/>
  <c r="P1345" i="32"/>
  <c r="Q1343" i="32"/>
  <c r="F3309" i="27"/>
  <c r="U1343" i="32"/>
  <c r="A1343" i="32"/>
  <c r="G1341" i="32"/>
  <c r="T1343" i="32" l="1" a="1"/>
  <c r="T1343" i="32" s="1"/>
  <c r="V1343" i="32" a="1"/>
  <c r="V1343" i="32" s="1"/>
  <c r="L1343" i="32" s="1"/>
  <c r="R1343" i="32" a="1"/>
  <c r="R1343" i="32" s="1"/>
  <c r="D1343" i="32" s="1"/>
  <c r="S1343" i="32" a="1"/>
  <c r="S1343" i="32" s="1"/>
  <c r="E1343" i="32" s="1"/>
  <c r="P1347" i="32"/>
  <c r="Q1345" i="32"/>
  <c r="F3310" i="27"/>
  <c r="F3311" i="27"/>
  <c r="U1345" i="32"/>
  <c r="A1345" i="32"/>
  <c r="G1343" i="32"/>
  <c r="S1345" i="32" l="1" a="1"/>
  <c r="S1345" i="32" s="1"/>
  <c r="E1345" i="32" s="1"/>
  <c r="R1345" i="32" a="1"/>
  <c r="R1345" i="32" s="1"/>
  <c r="D1345" i="32" s="1"/>
  <c r="V1345" i="32" a="1"/>
  <c r="V1345" i="32" s="1"/>
  <c r="L1345" i="32" s="1"/>
  <c r="T1345" i="32" a="1"/>
  <c r="T1345" i="32" s="1"/>
  <c r="P1349" i="32"/>
  <c r="Q1347" i="32"/>
  <c r="F3312" i="27"/>
  <c r="U1347" i="32"/>
  <c r="A1347" i="32"/>
  <c r="G1345" i="32"/>
  <c r="S1347" i="32" l="1" a="1"/>
  <c r="S1347" i="32" s="1"/>
  <c r="E1347" i="32" s="1"/>
  <c r="V1347" i="32" a="1"/>
  <c r="V1347" i="32" s="1"/>
  <c r="L1347" i="32" s="1"/>
  <c r="T1347" i="32" a="1"/>
  <c r="T1347" i="32" s="1"/>
  <c r="R1347" i="32" a="1"/>
  <c r="R1347" i="32" s="1"/>
  <c r="D1347" i="32" s="1"/>
  <c r="P1351" i="32"/>
  <c r="Q1349" i="32"/>
  <c r="F3313" i="27"/>
  <c r="U1349" i="32"/>
  <c r="G1347" i="32"/>
  <c r="A1349" i="32"/>
  <c r="R1349" i="32" l="1" a="1"/>
  <c r="R1349" i="32" s="1"/>
  <c r="D1349" i="32" s="1"/>
  <c r="V1349" i="32" a="1"/>
  <c r="V1349" i="32" s="1"/>
  <c r="L1349" i="32" s="1"/>
  <c r="S1349" i="32" a="1"/>
  <c r="S1349" i="32" s="1"/>
  <c r="E1349" i="32" s="1"/>
  <c r="T1349" i="32" a="1"/>
  <c r="T1349" i="32" s="1"/>
  <c r="P1353" i="32"/>
  <c r="Q1351" i="32"/>
  <c r="F3314" i="27"/>
  <c r="U1351" i="32"/>
  <c r="G1349" i="32"/>
  <c r="A1351" i="32"/>
  <c r="T1351" i="32" l="1" a="1"/>
  <c r="T1351" i="32" s="1"/>
  <c r="R1351" i="32" a="1"/>
  <c r="R1351" i="32" s="1"/>
  <c r="D1351" i="32" s="1"/>
  <c r="V1351" i="32" a="1"/>
  <c r="V1351" i="32" s="1"/>
  <c r="L1351" i="32" s="1"/>
  <c r="S1351" i="32" a="1"/>
  <c r="S1351" i="32" s="1"/>
  <c r="E1351" i="32" s="1"/>
  <c r="P1355" i="32"/>
  <c r="Q1353" i="32"/>
  <c r="F3315" i="27"/>
  <c r="U1353" i="32"/>
  <c r="A1353" i="32"/>
  <c r="G1351" i="32"/>
  <c r="V1353" i="32" l="1" a="1"/>
  <c r="V1353" i="32" s="1"/>
  <c r="L1353" i="32" s="1"/>
  <c r="T1353" i="32" a="1"/>
  <c r="T1353" i="32" s="1"/>
  <c r="R1353" i="32" a="1"/>
  <c r="R1353" i="32" s="1"/>
  <c r="D1353" i="32" s="1"/>
  <c r="S1353" i="32" a="1"/>
  <c r="S1353" i="32" s="1"/>
  <c r="E1353" i="32" s="1"/>
  <c r="P1357" i="32"/>
  <c r="Q1355" i="32"/>
  <c r="F3317" i="27"/>
  <c r="F3316" i="27"/>
  <c r="U1355" i="32"/>
  <c r="A1355" i="32"/>
  <c r="G1353" i="32"/>
  <c r="R1355" i="32" l="1" a="1"/>
  <c r="R1355" i="32" s="1"/>
  <c r="D1355" i="32" s="1"/>
  <c r="T1355" i="32" a="1"/>
  <c r="T1355" i="32" s="1"/>
  <c r="S1355" i="32" a="1"/>
  <c r="S1355" i="32" s="1"/>
  <c r="E1355" i="32" s="1"/>
  <c r="V1355" i="32" a="1"/>
  <c r="V1355" i="32" s="1"/>
  <c r="L1355" i="32" s="1"/>
  <c r="P1359" i="32"/>
  <c r="Q1357" i="32"/>
  <c r="F3318" i="27"/>
  <c r="U1357" i="32"/>
  <c r="G1355" i="32"/>
  <c r="A1357" i="32"/>
  <c r="R1357" i="32" l="1" a="1"/>
  <c r="R1357" i="32" s="1"/>
  <c r="D1357" i="32" s="1"/>
  <c r="V1357" i="32" a="1"/>
  <c r="V1357" i="32" s="1"/>
  <c r="L1357" i="32" s="1"/>
  <c r="S1357" i="32" a="1"/>
  <c r="S1357" i="32" s="1"/>
  <c r="E1357" i="32" s="1"/>
  <c r="T1357" i="32" a="1"/>
  <c r="T1357" i="32" s="1"/>
  <c r="P1361" i="32"/>
  <c r="Q1359" i="32"/>
  <c r="F3319" i="27"/>
  <c r="U1359" i="32"/>
  <c r="A1359" i="32"/>
  <c r="G1357" i="32"/>
  <c r="T1359" i="32" l="1" a="1"/>
  <c r="T1359" i="32" s="1"/>
  <c r="V1359" i="32" a="1"/>
  <c r="V1359" i="32" s="1"/>
  <c r="L1359" i="32" s="1"/>
  <c r="R1359" i="32" a="1"/>
  <c r="R1359" i="32" s="1"/>
  <c r="D1359" i="32" s="1"/>
  <c r="S1359" i="32" a="1"/>
  <c r="S1359" i="32" s="1"/>
  <c r="E1359" i="32" s="1"/>
  <c r="P1363" i="32"/>
  <c r="Q1361" i="32"/>
  <c r="F3320" i="27"/>
  <c r="U1361" i="32"/>
  <c r="A1361" i="32"/>
  <c r="G1359" i="32"/>
  <c r="V1361" i="32" l="1" a="1"/>
  <c r="V1361" i="32" s="1"/>
  <c r="L1361" i="32" s="1"/>
  <c r="R1361" i="32" a="1"/>
  <c r="R1361" i="32" s="1"/>
  <c r="D1361" i="32" s="1"/>
  <c r="S1361" i="32" a="1"/>
  <c r="S1361" i="32" s="1"/>
  <c r="E1361" i="32" s="1"/>
  <c r="T1361" i="32" a="1"/>
  <c r="T1361" i="32" s="1"/>
  <c r="P1365" i="32"/>
  <c r="Q1363" i="32"/>
  <c r="F3321" i="27"/>
  <c r="U1363" i="32"/>
  <c r="G1361" i="32"/>
  <c r="A1363" i="32"/>
  <c r="T1363" i="32" l="1" a="1"/>
  <c r="T1363" i="32" s="1"/>
  <c r="R1363" i="32" a="1"/>
  <c r="R1363" i="32" s="1"/>
  <c r="D1363" i="32" s="1"/>
  <c r="S1363" i="32" a="1"/>
  <c r="S1363" i="32" s="1"/>
  <c r="E1363" i="32" s="1"/>
  <c r="V1363" i="32" a="1"/>
  <c r="V1363" i="32" s="1"/>
  <c r="L1363" i="32" s="1"/>
  <c r="P1367" i="32"/>
  <c r="Q1365" i="32"/>
  <c r="F3322" i="27"/>
  <c r="U1365" i="32"/>
  <c r="A1365" i="32"/>
  <c r="G1363" i="32"/>
  <c r="T1365" i="32" l="1" a="1"/>
  <c r="T1365" i="32" s="1"/>
  <c r="V1365" i="32" a="1"/>
  <c r="V1365" i="32" s="1"/>
  <c r="L1365" i="32" s="1"/>
  <c r="S1365" i="32" a="1"/>
  <c r="S1365" i="32" s="1"/>
  <c r="E1365" i="32" s="1"/>
  <c r="R1365" i="32" a="1"/>
  <c r="R1365" i="32" s="1"/>
  <c r="D1365" i="32" s="1"/>
  <c r="P1369" i="32"/>
  <c r="Q1367" i="32"/>
  <c r="U1367" i="32"/>
  <c r="A1367" i="32"/>
  <c r="G1365" i="32"/>
  <c r="S1367" i="32" l="1" a="1"/>
  <c r="S1367" i="32" s="1"/>
  <c r="E1367" i="32" s="1"/>
  <c r="T1367" i="32" a="1"/>
  <c r="T1367" i="32" s="1"/>
  <c r="V1367" i="32" a="1"/>
  <c r="V1367" i="32" s="1"/>
  <c r="L1367" i="32" s="1"/>
  <c r="R1367" i="32" a="1"/>
  <c r="R1367" i="32" s="1"/>
  <c r="D1367" i="32" s="1"/>
  <c r="P1371" i="32"/>
  <c r="Q1369" i="32"/>
  <c r="U1369" i="32"/>
  <c r="G1367" i="32"/>
  <c r="A1369" i="32"/>
  <c r="T1369" i="32" l="1" a="1"/>
  <c r="T1369" i="32" s="1"/>
  <c r="S1369" i="32" a="1"/>
  <c r="S1369" i="32" s="1"/>
  <c r="E1369" i="32" s="1"/>
  <c r="V1369" i="32" a="1"/>
  <c r="V1369" i="32" s="1"/>
  <c r="L1369" i="32" s="1"/>
  <c r="R1369" i="32" a="1"/>
  <c r="R1369" i="32" s="1"/>
  <c r="D1369" i="32" s="1"/>
  <c r="P1373" i="32"/>
  <c r="Q1371" i="32"/>
  <c r="U1371" i="32"/>
  <c r="A1371" i="32"/>
  <c r="G1369" i="32"/>
  <c r="S1371" i="32" l="1" a="1"/>
  <c r="S1371" i="32" s="1"/>
  <c r="E1371" i="32" s="1"/>
  <c r="T1371" i="32" a="1"/>
  <c r="T1371" i="32" s="1"/>
  <c r="V1371" i="32" a="1"/>
  <c r="V1371" i="32" s="1"/>
  <c r="L1371" i="32" s="1"/>
  <c r="R1371" i="32" a="1"/>
  <c r="R1371" i="32" s="1"/>
  <c r="D1371" i="32" s="1"/>
  <c r="P1375" i="32"/>
  <c r="Q1373" i="32"/>
  <c r="U1373" i="32"/>
  <c r="A1373" i="32"/>
  <c r="G1371" i="32"/>
  <c r="R1373" i="32" l="1" a="1"/>
  <c r="R1373" i="32" s="1"/>
  <c r="D1373" i="32" s="1"/>
  <c r="T1373" i="32" a="1"/>
  <c r="T1373" i="32" s="1"/>
  <c r="V1373" i="32" a="1"/>
  <c r="V1373" i="32" s="1"/>
  <c r="L1373" i="32" s="1"/>
  <c r="S1373" i="32" a="1"/>
  <c r="S1373" i="32" s="1"/>
  <c r="E1373" i="32" s="1"/>
  <c r="P1377" i="32"/>
  <c r="Q1375" i="32"/>
  <c r="U1375" i="32"/>
  <c r="G1373" i="32"/>
  <c r="A1375" i="32"/>
  <c r="S1375" i="32" l="1" a="1"/>
  <c r="S1375" i="32" s="1"/>
  <c r="E1375" i="32" s="1"/>
  <c r="T1375" i="32" a="1"/>
  <c r="T1375" i="32" s="1"/>
  <c r="V1375" i="32" a="1"/>
  <c r="V1375" i="32" s="1"/>
  <c r="L1375" i="32" s="1"/>
  <c r="R1375" i="32" a="1"/>
  <c r="R1375" i="32" s="1"/>
  <c r="D1375" i="32" s="1"/>
  <c r="P1379" i="32"/>
  <c r="Q1377" i="32"/>
  <c r="U1377" i="32"/>
  <c r="G1375" i="32"/>
  <c r="A1377" i="32"/>
  <c r="S1377" i="32" l="1" a="1"/>
  <c r="S1377" i="32" s="1"/>
  <c r="E1377" i="32" s="1"/>
  <c r="R1377" i="32" a="1"/>
  <c r="R1377" i="32" s="1"/>
  <c r="D1377" i="32" s="1"/>
  <c r="V1377" i="32" a="1"/>
  <c r="V1377" i="32" s="1"/>
  <c r="L1377" i="32" s="1"/>
  <c r="T1377" i="32" a="1"/>
  <c r="T1377" i="32" s="1"/>
  <c r="P1381" i="32"/>
  <c r="Q1379" i="32"/>
  <c r="U1379" i="32"/>
  <c r="A1379" i="32"/>
  <c r="G1377" i="32"/>
  <c r="S1379" i="32" l="1" a="1"/>
  <c r="S1379" i="32" s="1"/>
  <c r="E1379" i="32" s="1"/>
  <c r="R1379" i="32" a="1"/>
  <c r="R1379" i="32" s="1"/>
  <c r="D1379" i="32" s="1"/>
  <c r="T1379" i="32" a="1"/>
  <c r="T1379" i="32" s="1"/>
  <c r="V1379" i="32" a="1"/>
  <c r="V1379" i="32" s="1"/>
  <c r="L1379" i="32" s="1"/>
  <c r="P1383" i="32"/>
  <c r="Q1381" i="32"/>
  <c r="U1381" i="32"/>
  <c r="A1381" i="32"/>
  <c r="G1379" i="32"/>
  <c r="S1381" i="32" l="1" a="1"/>
  <c r="S1381" i="32" s="1"/>
  <c r="E1381" i="32" s="1"/>
  <c r="V1381" i="32" a="1"/>
  <c r="V1381" i="32" s="1"/>
  <c r="L1381" i="32" s="1"/>
  <c r="T1381" i="32" a="1"/>
  <c r="T1381" i="32" s="1"/>
  <c r="R1381" i="32" a="1"/>
  <c r="R1381" i="32" s="1"/>
  <c r="D1381" i="32" s="1"/>
  <c r="P1385" i="32"/>
  <c r="Q1383" i="32"/>
  <c r="U1383" i="32"/>
  <c r="G1381" i="32"/>
  <c r="A1383" i="32"/>
  <c r="T1383" i="32" l="1" a="1"/>
  <c r="T1383" i="32" s="1"/>
  <c r="V1383" i="32" a="1"/>
  <c r="V1383" i="32" s="1"/>
  <c r="L1383" i="32" s="1"/>
  <c r="S1383" i="32" a="1"/>
  <c r="S1383" i="32" s="1"/>
  <c r="E1383" i="32" s="1"/>
  <c r="R1383" i="32" a="1"/>
  <c r="R1383" i="32" s="1"/>
  <c r="D1383" i="32" s="1"/>
  <c r="P1387" i="32"/>
  <c r="Q1385" i="32"/>
  <c r="U1385" i="32"/>
  <c r="A1385" i="32"/>
  <c r="G1383" i="32"/>
  <c r="T1385" i="32" l="1" a="1"/>
  <c r="T1385" i="32" s="1"/>
  <c r="S1385" i="32" a="1"/>
  <c r="S1385" i="32" s="1"/>
  <c r="E1385" i="32" s="1"/>
  <c r="V1385" i="32" a="1"/>
  <c r="V1385" i="32" s="1"/>
  <c r="L1385" i="32" s="1"/>
  <c r="R1385" i="32" a="1"/>
  <c r="R1385" i="32" s="1"/>
  <c r="D1385" i="32" s="1"/>
  <c r="P1389" i="32"/>
  <c r="Q1387" i="32"/>
  <c r="U1387" i="32"/>
  <c r="G1385" i="32"/>
  <c r="A1387" i="32"/>
  <c r="S1387" i="32" l="1" a="1"/>
  <c r="S1387" i="32" s="1"/>
  <c r="E1387" i="32" s="1"/>
  <c r="V1387" i="32" a="1"/>
  <c r="V1387" i="32" s="1"/>
  <c r="L1387" i="32" s="1"/>
  <c r="R1387" i="32" a="1"/>
  <c r="R1387" i="32" s="1"/>
  <c r="D1387" i="32" s="1"/>
  <c r="T1387" i="32" a="1"/>
  <c r="T1387" i="32" s="1"/>
  <c r="P1391" i="32"/>
  <c r="Q1389" i="32"/>
  <c r="U1389" i="32"/>
  <c r="A1389" i="32"/>
  <c r="G1387" i="32"/>
  <c r="P1393" i="32" l="1"/>
  <c r="Q1391" i="32"/>
  <c r="V1389" i="32" a="1"/>
  <c r="V1389" i="32" s="1"/>
  <c r="L1389" i="32" s="1"/>
  <c r="T1389" i="32" a="1"/>
  <c r="T1389" i="32" s="1"/>
  <c r="R1389" i="32" a="1"/>
  <c r="R1389" i="32" s="1"/>
  <c r="D1389" i="32" s="1"/>
  <c r="S1389" i="32" a="1"/>
  <c r="S1389" i="32" s="1"/>
  <c r="E1389" i="32" s="1"/>
  <c r="U1391" i="32"/>
  <c r="G1389" i="32"/>
  <c r="A1391" i="32"/>
  <c r="V1391" i="32" l="1" a="1"/>
  <c r="V1391" i="32" s="1"/>
  <c r="L1391" i="32" s="1"/>
  <c r="T1391" i="32" a="1"/>
  <c r="T1391" i="32" s="1"/>
  <c r="R1391" i="32" a="1"/>
  <c r="R1391" i="32" s="1"/>
  <c r="D1391" i="32" s="1"/>
  <c r="S1391" i="32" a="1"/>
  <c r="S1391" i="32" s="1"/>
  <c r="E1391" i="32" s="1"/>
  <c r="P1395" i="32"/>
  <c r="Q1393" i="32"/>
  <c r="U1393" i="32"/>
  <c r="G1391" i="32"/>
  <c r="A1393" i="32"/>
  <c r="S1393" i="32" l="1" a="1"/>
  <c r="S1393" i="32" s="1"/>
  <c r="E1393" i="32" s="1"/>
  <c r="R1393" i="32" a="1"/>
  <c r="R1393" i="32" s="1"/>
  <c r="D1393" i="32" s="1"/>
  <c r="V1393" i="32" a="1"/>
  <c r="V1393" i="32" s="1"/>
  <c r="L1393" i="32" s="1"/>
  <c r="T1393" i="32" a="1"/>
  <c r="T1393" i="32" s="1"/>
  <c r="P1397" i="32"/>
  <c r="Q1395" i="32"/>
  <c r="U1395" i="32"/>
  <c r="A1395" i="32"/>
  <c r="G1393" i="32"/>
  <c r="V1395" i="32" l="1" a="1"/>
  <c r="V1395" i="32" s="1"/>
  <c r="L1395" i="32" s="1"/>
  <c r="R1395" i="32" a="1"/>
  <c r="R1395" i="32" s="1"/>
  <c r="D1395" i="32" s="1"/>
  <c r="S1395" i="32" a="1"/>
  <c r="S1395" i="32" s="1"/>
  <c r="E1395" i="32" s="1"/>
  <c r="T1395" i="32" a="1"/>
  <c r="T1395" i="32" s="1"/>
  <c r="P1399" i="32"/>
  <c r="Q1397" i="32"/>
  <c r="U1397" i="32"/>
  <c r="G1395" i="32"/>
  <c r="A1397" i="32"/>
  <c r="R1397" i="32" l="1" a="1"/>
  <c r="R1397" i="32" s="1"/>
  <c r="D1397" i="32" s="1"/>
  <c r="T1397" i="32" a="1"/>
  <c r="T1397" i="32" s="1"/>
  <c r="V1397" i="32" a="1"/>
  <c r="V1397" i="32" s="1"/>
  <c r="L1397" i="32" s="1"/>
  <c r="S1397" i="32" a="1"/>
  <c r="S1397" i="32" s="1"/>
  <c r="E1397" i="32" s="1"/>
  <c r="P1401" i="32"/>
  <c r="Q1399" i="32"/>
  <c r="U1399" i="32"/>
  <c r="A1399" i="32"/>
  <c r="G1397" i="32"/>
  <c r="S1399" i="32" l="1" a="1"/>
  <c r="S1399" i="32" s="1"/>
  <c r="E1399" i="32" s="1"/>
  <c r="R1399" i="32" a="1"/>
  <c r="R1399" i="32" s="1"/>
  <c r="D1399" i="32" s="1"/>
  <c r="V1399" i="32" a="1"/>
  <c r="V1399" i="32" s="1"/>
  <c r="L1399" i="32" s="1"/>
  <c r="T1399" i="32" a="1"/>
  <c r="T1399" i="32" s="1"/>
  <c r="Q1401" i="32"/>
  <c r="P1403" i="32"/>
  <c r="U1401" i="32"/>
  <c r="A1401" i="32"/>
  <c r="G1399" i="32"/>
  <c r="S1401" i="32" l="1" a="1"/>
  <c r="S1401" i="32" s="1"/>
  <c r="E1401" i="32" s="1"/>
  <c r="V1401" i="32" a="1"/>
  <c r="V1401" i="32" s="1"/>
  <c r="L1401" i="32" s="1"/>
  <c r="R1401" i="32" a="1"/>
  <c r="R1401" i="32" s="1"/>
  <c r="D1401" i="32" s="1"/>
  <c r="T1401" i="32" a="1"/>
  <c r="T1401" i="32" s="1"/>
  <c r="P1405" i="32"/>
  <c r="Q1403" i="32"/>
  <c r="U1403" i="32"/>
  <c r="A1403" i="32"/>
  <c r="G1401" i="32"/>
  <c r="Q1405" i="32" l="1"/>
  <c r="P1407" i="32"/>
  <c r="T1403" i="32" a="1"/>
  <c r="T1403" i="32" s="1"/>
  <c r="S1403" i="32" a="1"/>
  <c r="S1403" i="32" s="1"/>
  <c r="E1403" i="32" s="1"/>
  <c r="V1403" i="32" a="1"/>
  <c r="V1403" i="32" s="1"/>
  <c r="L1403" i="32" s="1"/>
  <c r="R1403" i="32" a="1"/>
  <c r="R1403" i="32" s="1"/>
  <c r="D1403" i="32" s="1"/>
  <c r="U1405" i="32"/>
  <c r="G1403" i="32"/>
  <c r="A1405" i="32"/>
  <c r="R1405" i="32" l="1" a="1"/>
  <c r="R1405" i="32" s="1"/>
  <c r="D1405" i="32" s="1"/>
  <c r="S1405" i="32" a="1"/>
  <c r="S1405" i="32" s="1"/>
  <c r="E1405" i="32" s="1"/>
  <c r="V1405" i="32" a="1"/>
  <c r="V1405" i="32" s="1"/>
  <c r="L1405" i="32" s="1"/>
  <c r="T1405" i="32" a="1"/>
  <c r="T1405" i="32" s="1"/>
  <c r="P1409" i="32"/>
  <c r="Q1407" i="32"/>
  <c r="U1407" i="32"/>
  <c r="G1405" i="32"/>
  <c r="A1407" i="32"/>
  <c r="P1411" i="32" l="1"/>
  <c r="Q1409" i="32"/>
  <c r="V1407" i="32" a="1"/>
  <c r="V1407" i="32" s="1"/>
  <c r="L1407" i="32" s="1"/>
  <c r="R1407" i="32" a="1"/>
  <c r="R1407" i="32" s="1"/>
  <c r="D1407" i="32" s="1"/>
  <c r="T1407" i="32" a="1"/>
  <c r="T1407" i="32" s="1"/>
  <c r="S1407" i="32" a="1"/>
  <c r="S1407" i="32" s="1"/>
  <c r="E1407" i="32" s="1"/>
  <c r="U1409" i="32"/>
  <c r="A1409" i="32"/>
  <c r="G1407" i="32"/>
  <c r="P1413" i="32" l="1"/>
  <c r="Q1411" i="32"/>
  <c r="R1409" i="32" a="1"/>
  <c r="R1409" i="32" s="1"/>
  <c r="D1409" i="32" s="1"/>
  <c r="T1409" i="32" a="1"/>
  <c r="T1409" i="32" s="1"/>
  <c r="V1409" i="32" a="1"/>
  <c r="V1409" i="32" s="1"/>
  <c r="L1409" i="32" s="1"/>
  <c r="S1409" i="32" a="1"/>
  <c r="S1409" i="32" s="1"/>
  <c r="E1409" i="32" s="1"/>
  <c r="U1411" i="32"/>
  <c r="A1411" i="32"/>
  <c r="G1409" i="32"/>
  <c r="P1415" i="32" l="1"/>
  <c r="Q1413" i="32"/>
  <c r="R1411" i="32" a="1"/>
  <c r="R1411" i="32" s="1"/>
  <c r="D1411" i="32" s="1"/>
  <c r="S1411" i="32" a="1"/>
  <c r="S1411" i="32" s="1"/>
  <c r="E1411" i="32" s="1"/>
  <c r="V1411" i="32" a="1"/>
  <c r="V1411" i="32" s="1"/>
  <c r="L1411" i="32" s="1"/>
  <c r="T1411" i="32" a="1"/>
  <c r="T1411" i="32" s="1"/>
  <c r="U1413" i="32"/>
  <c r="G1411" i="32"/>
  <c r="A1413" i="32"/>
  <c r="P1417" i="32" l="1"/>
  <c r="Q1415" i="32"/>
  <c r="V1413" i="32" a="1"/>
  <c r="V1413" i="32" s="1"/>
  <c r="L1413" i="32" s="1"/>
  <c r="T1413" i="32" a="1"/>
  <c r="T1413" i="32" s="1"/>
  <c r="S1413" i="32" a="1"/>
  <c r="S1413" i="32" s="1"/>
  <c r="E1413" i="32" s="1"/>
  <c r="R1413" i="32" a="1"/>
  <c r="R1413" i="32" s="1"/>
  <c r="D1413" i="32" s="1"/>
  <c r="U1415" i="32"/>
  <c r="G1413" i="32"/>
  <c r="A1415" i="32"/>
  <c r="Q1417" i="32" l="1"/>
  <c r="P1419" i="32"/>
  <c r="Q1419" i="32" s="1"/>
  <c r="V1415" i="32" a="1"/>
  <c r="V1415" i="32" s="1"/>
  <c r="L1415" i="32" s="1"/>
  <c r="T1415" i="32" a="1"/>
  <c r="T1415" i="32" s="1"/>
  <c r="S1415" i="32" a="1"/>
  <c r="S1415" i="32" s="1"/>
  <c r="E1415" i="32" s="1"/>
  <c r="R1415" i="32" a="1"/>
  <c r="R1415" i="32" s="1"/>
  <c r="D1415" i="32" s="1"/>
  <c r="U1417" i="32"/>
  <c r="A1417" i="32"/>
  <c r="G1415" i="32"/>
  <c r="V1417" i="32" l="1" a="1"/>
  <c r="V1417" i="32" s="1"/>
  <c r="L1417" i="32" s="1"/>
  <c r="S1417" i="32" a="1"/>
  <c r="S1417" i="32" s="1"/>
  <c r="E1417" i="32" s="1"/>
  <c r="R1417" i="32" a="1"/>
  <c r="R1417" i="32" s="1"/>
  <c r="D1417" i="32" s="1"/>
  <c r="T1417" i="32" a="1"/>
  <c r="T1417" i="32" s="1"/>
  <c r="V1419" i="32" a="1"/>
  <c r="V1419" i="32" s="1"/>
  <c r="L1419" i="32" s="1"/>
  <c r="T1419" i="32" a="1"/>
  <c r="T1419" i="32" s="1"/>
  <c r="S1419" i="32" a="1"/>
  <c r="S1419" i="32" s="1"/>
  <c r="E1419" i="32" s="1"/>
  <c r="R1419" i="32" a="1"/>
  <c r="R1419" i="32" s="1"/>
  <c r="D1419" i="32" s="1"/>
  <c r="U1419" i="32"/>
  <c r="A1419" i="32"/>
  <c r="G1417" i="32"/>
  <c r="U1421" i="32" l="1"/>
  <c r="G1419" i="32"/>
  <c r="A1421" i="32"/>
  <c r="U1423" i="32" l="1"/>
  <c r="A1423" i="32"/>
  <c r="G1421" i="32"/>
  <c r="U1425" i="32" l="1"/>
  <c r="G1423" i="32"/>
  <c r="A1425" i="32"/>
  <c r="U1427" i="32" l="1"/>
  <c r="G1425" i="32"/>
  <c r="A1427" i="32"/>
  <c r="U1429" i="32" l="1"/>
  <c r="A1429" i="32"/>
  <c r="G1427" i="32"/>
  <c r="U1431" i="32" l="1"/>
  <c r="G1429" i="32"/>
  <c r="A1431" i="32"/>
  <c r="U1433" i="32" l="1"/>
  <c r="A1433" i="32"/>
  <c r="G1431" i="32"/>
  <c r="U1435" i="32" l="1"/>
  <c r="A1435" i="32"/>
  <c r="G1433" i="32"/>
  <c r="U1437" i="32" l="1"/>
  <c r="A1437" i="32"/>
  <c r="G1435" i="32"/>
  <c r="U1439" i="32" l="1"/>
  <c r="A1439" i="32"/>
  <c r="G1437" i="32"/>
  <c r="U1441" i="32" l="1"/>
  <c r="A1441" i="32"/>
  <c r="G1439" i="32"/>
  <c r="U1443" i="32" l="1"/>
  <c r="A1443" i="32"/>
  <c r="G1441" i="32"/>
  <c r="U1445" i="32" l="1"/>
  <c r="A1445" i="32"/>
  <c r="G1443" i="32"/>
  <c r="U1447" i="32" l="1"/>
  <c r="G1445" i="32"/>
  <c r="A1447" i="32"/>
  <c r="U1449" i="32" l="1"/>
  <c r="G1447" i="32"/>
  <c r="A1449" i="32"/>
  <c r="U1451" i="32" l="1"/>
  <c r="A1451" i="32"/>
  <c r="G1449" i="32"/>
  <c r="U1453" i="32" l="1"/>
  <c r="G1451" i="32"/>
  <c r="A1453" i="32"/>
  <c r="U1455" i="32" l="1"/>
  <c r="G1453" i="32"/>
  <c r="A1455" i="32"/>
  <c r="U1457" i="32" l="1"/>
  <c r="A1457" i="32"/>
  <c r="G1455" i="32"/>
  <c r="U1459" i="32" l="1"/>
  <c r="G1457" i="32"/>
  <c r="A1459" i="32"/>
  <c r="U1461" i="32" l="1"/>
  <c r="G1459" i="32"/>
  <c r="A1461" i="32"/>
  <c r="U1463" i="32" l="1"/>
  <c r="G1461" i="32"/>
  <c r="A1463" i="32"/>
  <c r="U1465" i="32" l="1"/>
  <c r="A1465" i="32"/>
  <c r="G1463" i="32"/>
  <c r="U1467" i="32" l="1"/>
  <c r="G1465" i="32"/>
  <c r="A1467" i="32"/>
  <c r="U1469" i="32" l="1"/>
  <c r="A1469" i="32"/>
  <c r="G1467" i="32"/>
  <c r="U1471" i="32" l="1"/>
  <c r="G1469" i="32"/>
  <c r="A1471" i="32"/>
  <c r="U1473" i="32" l="1"/>
  <c r="A1473" i="32"/>
  <c r="G1471" i="32"/>
  <c r="U1475" i="32" l="1"/>
  <c r="A1475" i="32"/>
  <c r="G1473" i="32"/>
  <c r="U1477" i="32" l="1"/>
  <c r="G1475" i="32"/>
  <c r="A1477" i="32"/>
  <c r="U1479" i="32" l="1"/>
  <c r="A1479" i="32"/>
  <c r="G1477" i="32"/>
  <c r="U1481" i="32" l="1"/>
  <c r="A1481" i="32"/>
  <c r="G1479" i="32"/>
  <c r="U1483" i="32" l="1"/>
  <c r="G1481" i="32"/>
  <c r="A1483" i="32"/>
  <c r="U1485" i="32" l="1"/>
  <c r="G1483" i="32"/>
  <c r="A1485" i="32"/>
  <c r="U1487" i="32" l="1"/>
  <c r="A1487" i="32"/>
  <c r="G1485" i="32"/>
  <c r="U1489" i="32" l="1"/>
  <c r="G1487" i="32"/>
  <c r="A1489" i="32"/>
  <c r="U1491" i="32" l="1"/>
  <c r="A1491" i="32"/>
  <c r="G1489" i="32"/>
  <c r="U1493" i="32" l="1"/>
  <c r="A1493" i="32"/>
  <c r="G1491" i="32"/>
  <c r="U1495" i="32" l="1"/>
  <c r="G1493" i="32"/>
  <c r="A1495" i="32"/>
  <c r="U1497" i="32" l="1"/>
  <c r="A1497" i="32"/>
  <c r="G1495" i="32"/>
  <c r="U1499" i="32" l="1"/>
  <c r="G1497" i="32"/>
  <c r="A1499" i="32"/>
  <c r="U1501" i="32" l="1"/>
  <c r="G1499" i="32"/>
  <c r="A1501" i="32"/>
  <c r="U1503" i="32" l="1"/>
  <c r="A1503" i="32"/>
  <c r="G1501" i="32"/>
  <c r="U1505" i="32" l="1"/>
  <c r="G1503" i="32"/>
  <c r="A1505" i="32"/>
  <c r="U1507" i="32" l="1"/>
  <c r="G1505" i="32"/>
  <c r="A1507" i="32"/>
  <c r="U1509" i="32" l="1"/>
  <c r="G1507" i="32"/>
  <c r="A1509" i="32"/>
  <c r="U1511" i="32" l="1"/>
  <c r="A1511" i="32"/>
  <c r="G1509" i="32"/>
  <c r="U1513" i="32" l="1"/>
  <c r="A1513" i="32"/>
  <c r="G1511" i="32"/>
  <c r="U1515" i="32" l="1"/>
  <c r="A1515" i="32"/>
  <c r="G1513" i="32"/>
  <c r="U1517" i="32" l="1"/>
  <c r="A1517" i="32"/>
  <c r="G1515" i="32"/>
  <c r="U1519" i="32" l="1"/>
  <c r="G1517" i="32"/>
  <c r="A1519" i="32"/>
  <c r="U1521" i="32" l="1"/>
  <c r="G1519" i="32"/>
  <c r="A1521" i="32"/>
  <c r="U1523" i="32" l="1"/>
  <c r="A1523" i="32"/>
  <c r="G1521" i="32"/>
  <c r="U1525" i="32" l="1"/>
  <c r="G1523" i="32"/>
  <c r="A1525" i="32"/>
  <c r="U1527" i="32" l="1"/>
  <c r="G1525" i="32"/>
  <c r="A1527" i="32"/>
  <c r="U1529" i="32" l="1"/>
  <c r="A1529" i="32"/>
  <c r="G1527" i="32"/>
  <c r="U1531" i="32" l="1"/>
  <c r="A1531" i="32"/>
  <c r="G1529" i="32"/>
  <c r="U1533" i="32" l="1"/>
  <c r="A1533" i="32"/>
  <c r="G1531" i="32"/>
  <c r="U1535" i="32" l="1"/>
  <c r="A1535" i="32"/>
  <c r="G1533" i="32"/>
  <c r="U1537" i="32" l="1"/>
  <c r="G1535" i="32"/>
  <c r="A1537" i="32"/>
  <c r="U1539" i="32" l="1"/>
  <c r="G1537" i="32"/>
  <c r="A1539" i="32"/>
  <c r="U1541" i="32" l="1"/>
  <c r="G1539" i="32"/>
  <c r="A1541" i="32"/>
  <c r="U1543" i="32" l="1"/>
  <c r="G1541" i="32"/>
  <c r="A1543" i="32"/>
  <c r="U1545" i="32" l="1"/>
  <c r="G1543" i="32"/>
  <c r="A1545" i="32"/>
  <c r="U1547" i="32" l="1"/>
  <c r="G1545" i="32"/>
  <c r="A1547" i="32"/>
  <c r="U1549" i="32" l="1"/>
  <c r="G1547" i="32"/>
  <c r="A1549" i="32"/>
  <c r="U1551" i="32" l="1"/>
  <c r="G1549" i="32"/>
  <c r="A1551" i="32"/>
  <c r="U1553" i="32" l="1"/>
  <c r="G1551" i="32"/>
  <c r="A1553" i="32"/>
  <c r="U1555" i="32" l="1"/>
  <c r="G1553" i="32"/>
  <c r="A1555" i="32"/>
  <c r="U1557" i="32" l="1"/>
  <c r="G1555" i="32"/>
  <c r="A1557" i="32"/>
  <c r="U1559" i="32" l="1"/>
  <c r="A1559" i="32"/>
  <c r="G1557" i="32"/>
  <c r="U1561" i="32" l="1"/>
  <c r="G1559" i="32"/>
  <c r="A1561" i="32"/>
  <c r="U1563" i="32" l="1"/>
  <c r="G1561" i="32"/>
  <c r="A1563" i="32"/>
  <c r="U1565" i="32" l="1"/>
  <c r="G1563" i="32"/>
  <c r="A1565" i="32"/>
  <c r="U1567" i="32" l="1"/>
  <c r="A1567" i="32"/>
  <c r="G1565" i="32"/>
  <c r="U1569" i="32" l="1"/>
  <c r="A1569" i="32"/>
  <c r="G1567" i="32"/>
  <c r="U1571" i="32" l="1"/>
  <c r="G1569" i="32"/>
  <c r="A1571" i="32"/>
  <c r="U1573" i="32" l="1"/>
  <c r="A1573" i="32"/>
  <c r="G1571" i="32"/>
  <c r="U1575" i="32" l="1"/>
  <c r="A1575" i="32"/>
  <c r="G1573" i="32"/>
  <c r="U1577" i="32" l="1"/>
  <c r="G1575" i="32"/>
  <c r="A1577" i="32"/>
  <c r="U1579" i="32" l="1"/>
  <c r="A1579" i="32"/>
  <c r="G1577" i="32"/>
  <c r="U1581" i="32" l="1"/>
  <c r="A1581" i="32"/>
  <c r="G1579" i="32"/>
  <c r="U1583" i="32" l="1"/>
  <c r="G1581" i="32"/>
  <c r="A1583" i="32"/>
  <c r="U1585" i="32" l="1"/>
  <c r="A1585" i="32"/>
  <c r="G1583" i="32"/>
  <c r="U1587" i="32" l="1"/>
  <c r="G1585" i="32"/>
  <c r="A1587" i="32"/>
  <c r="U1589" i="32" l="1"/>
  <c r="A1589" i="32"/>
  <c r="G1587" i="32"/>
  <c r="U1591" i="32" l="1"/>
  <c r="A1591" i="32"/>
  <c r="G1589" i="32"/>
  <c r="U1593" i="32" l="1"/>
  <c r="A1593" i="32"/>
  <c r="G1591" i="32"/>
  <c r="U1595" i="32" l="1"/>
  <c r="G1593" i="32"/>
  <c r="A1595" i="32"/>
  <c r="U1597" i="32" l="1"/>
  <c r="G1595" i="32"/>
  <c r="A1597" i="32"/>
  <c r="U1599" i="32" l="1"/>
  <c r="G1597" i="32"/>
  <c r="A1599" i="32"/>
  <c r="U1601" i="32" l="1"/>
  <c r="G1599" i="32"/>
  <c r="A1601" i="32"/>
  <c r="U1603" i="32" l="1"/>
  <c r="A1603" i="32"/>
  <c r="G1601" i="32"/>
  <c r="U1605" i="32" l="1"/>
  <c r="A1605" i="32"/>
  <c r="G1603" i="32"/>
  <c r="U1607" i="32" l="1"/>
  <c r="A1607" i="32"/>
  <c r="G1605" i="32"/>
  <c r="U1609" i="32" l="1"/>
  <c r="A1609" i="32"/>
  <c r="G1607" i="32"/>
  <c r="U1611" i="32" l="1"/>
  <c r="G1609" i="32"/>
  <c r="A1611" i="32"/>
  <c r="U1613" i="32" l="1"/>
  <c r="G1611" i="32"/>
  <c r="A1613" i="32"/>
  <c r="U1615" i="32" l="1"/>
  <c r="G1613" i="32"/>
  <c r="A1615" i="32"/>
  <c r="U1617" i="32" l="1"/>
  <c r="A1617" i="32"/>
  <c r="G1615" i="32"/>
  <c r="U1619" i="32" l="1"/>
  <c r="G1617" i="32"/>
  <c r="A1619" i="32"/>
  <c r="U1621" i="32" l="1"/>
  <c r="A1621" i="32"/>
  <c r="G1619" i="32"/>
  <c r="U1623" i="32" l="1"/>
  <c r="G1621" i="32"/>
  <c r="A1623" i="32"/>
  <c r="U1625" i="32" l="1"/>
  <c r="A1625" i="32"/>
  <c r="G1623" i="32"/>
  <c r="U1627" i="32" l="1"/>
  <c r="G1625" i="32"/>
  <c r="A1627" i="32"/>
  <c r="U1629" i="32" l="1"/>
  <c r="G1627" i="32"/>
  <c r="A1629" i="32"/>
  <c r="U1631" i="32" l="1"/>
  <c r="A1631" i="32"/>
  <c r="G1629" i="32"/>
  <c r="U1633" i="32" l="1"/>
  <c r="G1631" i="32"/>
  <c r="A1633" i="32"/>
  <c r="U1635" i="32" l="1"/>
  <c r="A1635" i="32"/>
  <c r="G1633" i="32"/>
  <c r="U1637" i="32" l="1"/>
  <c r="A1637" i="32"/>
  <c r="G1635" i="32"/>
  <c r="U1639" i="32" l="1"/>
  <c r="G1637" i="32"/>
  <c r="A1639" i="32"/>
  <c r="U1641" i="32" l="1"/>
  <c r="A1641" i="32"/>
  <c r="G1639" i="32"/>
  <c r="U1643" i="32" l="1"/>
  <c r="G1641" i="32"/>
  <c r="A1643" i="32"/>
  <c r="U1645" i="32" l="1"/>
  <c r="A1645" i="32"/>
  <c r="G1643" i="32"/>
  <c r="U1647" i="32" l="1"/>
  <c r="G1645" i="32"/>
  <c r="A1647" i="32"/>
  <c r="U1649" i="32" l="1"/>
  <c r="A1649" i="32"/>
  <c r="G1647" i="32"/>
  <c r="U1651" i="32" l="1"/>
  <c r="G1649" i="32"/>
  <c r="A1651" i="32"/>
  <c r="U1653" i="32" l="1"/>
  <c r="A1653" i="32"/>
  <c r="G1651" i="32"/>
  <c r="U1655" i="32" l="1"/>
  <c r="A1655" i="32"/>
  <c r="G1653" i="32"/>
  <c r="U1657" i="32" l="1"/>
  <c r="A1657" i="32"/>
  <c r="G1655" i="32"/>
  <c r="U1659" i="32" l="1"/>
  <c r="G1657" i="32"/>
  <c r="A1659" i="32"/>
  <c r="U1661" i="32" l="1"/>
  <c r="A1661" i="32"/>
  <c r="G1659" i="32"/>
  <c r="U1663" i="32" l="1"/>
  <c r="G1661" i="32"/>
  <c r="A1663" i="32"/>
  <c r="U1665" i="32" l="1"/>
  <c r="G1663" i="32"/>
  <c r="A1665" i="32"/>
  <c r="U1667" i="32" l="1"/>
  <c r="G1665" i="32"/>
  <c r="A1667" i="32"/>
  <c r="U1669" i="32" l="1"/>
  <c r="G1667" i="32"/>
  <c r="A1669" i="32"/>
  <c r="U1671" i="32" l="1"/>
  <c r="A1671" i="32"/>
  <c r="G1669" i="32"/>
  <c r="U1673" i="32" l="1"/>
  <c r="G1671" i="32"/>
  <c r="A1673" i="32"/>
  <c r="U1675" i="32" l="1"/>
  <c r="G1673" i="32"/>
  <c r="A1675" i="32"/>
  <c r="U1677" i="32" l="1"/>
  <c r="G1675" i="32"/>
  <c r="A1677" i="32"/>
  <c r="U1679" i="32" l="1"/>
  <c r="A1679" i="32"/>
  <c r="G1677" i="32"/>
  <c r="U1681" i="32" l="1"/>
  <c r="G1679" i="32"/>
  <c r="A1681" i="32"/>
  <c r="U1683" i="32" l="1"/>
  <c r="A1683" i="32"/>
  <c r="G1681" i="32"/>
  <c r="U1685" i="32" l="1"/>
  <c r="A1685" i="32"/>
  <c r="G1683" i="32"/>
  <c r="U1687" i="32" l="1"/>
  <c r="A1687" i="32"/>
  <c r="G1685" i="32"/>
  <c r="U1689" i="32" l="1"/>
  <c r="A1689" i="32"/>
  <c r="G1687" i="32"/>
  <c r="U1691" i="32" l="1"/>
  <c r="G1689" i="32"/>
  <c r="A1691" i="32"/>
  <c r="U1693" i="32" l="1"/>
  <c r="A1693" i="32"/>
  <c r="G1691" i="32"/>
  <c r="U1695" i="32" l="1"/>
  <c r="G1693" i="32"/>
  <c r="A1695" i="32"/>
  <c r="U1697" i="32" l="1"/>
  <c r="A1697" i="32"/>
  <c r="G1695" i="32"/>
  <c r="U1699" i="32" l="1"/>
  <c r="G1697" i="32"/>
  <c r="A1699" i="32"/>
  <c r="U1701" i="32" l="1"/>
  <c r="A1701" i="32"/>
  <c r="G1699" i="32"/>
  <c r="U1703" i="32" l="1"/>
  <c r="A1703" i="32"/>
  <c r="G1701" i="32"/>
  <c r="U1705" i="32" l="1"/>
  <c r="A1705" i="32"/>
  <c r="G1703" i="32"/>
  <c r="U1707" i="32" l="1"/>
  <c r="G1705" i="32"/>
  <c r="A1707" i="32"/>
  <c r="U1709" i="32" l="1"/>
  <c r="G1707" i="32"/>
  <c r="A1709" i="32"/>
  <c r="U1711" i="32" l="1"/>
  <c r="G1709" i="32"/>
  <c r="A1711" i="32"/>
  <c r="U1713" i="32" l="1"/>
  <c r="A1713" i="32"/>
  <c r="G1711" i="32"/>
  <c r="U1715" i="32" l="1"/>
  <c r="G1713" i="32"/>
  <c r="A1715" i="32"/>
  <c r="U1717" i="32" l="1"/>
  <c r="G1715" i="32"/>
  <c r="A1717" i="32"/>
  <c r="U1719" i="32" l="1"/>
  <c r="G1717" i="32"/>
  <c r="A1719" i="32"/>
  <c r="U1721" i="32" l="1"/>
  <c r="A1721" i="32"/>
  <c r="G1719" i="32"/>
  <c r="U1723" i="32" l="1"/>
  <c r="A1723" i="32"/>
  <c r="G1721" i="32"/>
  <c r="U1725" i="32" l="1"/>
  <c r="A1725" i="32"/>
  <c r="G1723" i="32"/>
  <c r="U1727" i="32" l="1"/>
  <c r="A1727" i="32"/>
  <c r="G1725" i="32"/>
  <c r="U1729" i="32" l="1"/>
  <c r="A1729" i="32"/>
  <c r="G1727" i="32"/>
  <c r="U1731" i="32" l="1"/>
  <c r="A1731" i="32"/>
  <c r="G1729" i="32"/>
  <c r="U1733" i="32" l="1"/>
  <c r="A1733" i="32"/>
  <c r="G1731" i="32"/>
  <c r="U1735" i="32" l="1"/>
  <c r="A1735" i="32"/>
  <c r="G1733" i="32"/>
  <c r="U1737" i="32" l="1"/>
  <c r="G1735" i="32"/>
  <c r="A1737" i="32"/>
  <c r="U1739" i="32" l="1"/>
  <c r="G1737" i="32"/>
  <c r="A1739" i="32"/>
  <c r="U1741" i="32" l="1"/>
  <c r="G1739" i="32"/>
  <c r="A1741" i="32"/>
  <c r="U1743" i="32" l="1"/>
  <c r="G1741" i="32"/>
  <c r="A1743" i="32"/>
  <c r="U1745" i="32" l="1"/>
  <c r="G1743" i="32"/>
  <c r="A1745" i="32"/>
  <c r="U1747" i="32" l="1"/>
  <c r="G1745" i="32"/>
  <c r="A1747" i="32"/>
  <c r="U1749" i="32" l="1"/>
  <c r="A1749" i="32"/>
  <c r="G1747" i="32"/>
  <c r="U1751" i="32" l="1"/>
  <c r="A1751" i="32"/>
  <c r="G1749" i="32"/>
  <c r="U1753" i="32" l="1"/>
  <c r="A1753" i="32"/>
  <c r="G1751" i="32"/>
  <c r="U1755" i="32" l="1"/>
  <c r="G1753" i="32"/>
  <c r="A1755" i="32"/>
  <c r="U1757" i="32" l="1"/>
  <c r="G1755" i="32"/>
  <c r="A1757" i="32"/>
  <c r="U1759" i="32" l="1"/>
  <c r="G1757" i="32"/>
  <c r="A1759" i="32"/>
  <c r="U1761" i="32" l="1"/>
  <c r="G1759" i="32"/>
  <c r="A1761" i="32"/>
  <c r="U1763" i="32" l="1"/>
  <c r="A1763" i="32"/>
  <c r="G1761" i="32"/>
  <c r="U1765" i="32" l="1"/>
  <c r="A1765" i="32"/>
  <c r="G1763" i="32"/>
  <c r="U1767" i="32" l="1"/>
  <c r="G1765" i="32"/>
  <c r="A1767" i="32"/>
  <c r="U1769" i="32" l="1"/>
  <c r="G1767" i="32"/>
  <c r="A1769" i="32"/>
  <c r="U1771" i="32" l="1"/>
  <c r="A1771" i="32"/>
  <c r="G1769" i="32"/>
  <c r="U1773" i="32" l="1"/>
  <c r="G1771" i="32"/>
  <c r="A1773" i="32"/>
  <c r="U1775" i="32" l="1"/>
  <c r="G1773" i="32"/>
  <c r="A1775" i="32"/>
  <c r="U1777" i="32" l="1"/>
  <c r="G1775" i="32"/>
  <c r="A1777" i="32"/>
  <c r="U1779" i="32" l="1"/>
  <c r="G1777" i="32"/>
  <c r="A1779" i="32"/>
  <c r="U1781" i="32" l="1"/>
  <c r="A1781" i="32"/>
  <c r="G1779" i="32"/>
  <c r="U1783" i="32" l="1"/>
  <c r="A1783" i="32"/>
  <c r="G1781" i="32"/>
  <c r="U1785" i="32" l="1"/>
  <c r="G1783" i="32"/>
  <c r="A1785" i="32"/>
  <c r="U1787" i="32" l="1"/>
  <c r="G1785" i="32"/>
  <c r="A1787" i="32"/>
  <c r="U1789" i="32" l="1"/>
  <c r="G1787" i="32"/>
  <c r="A1789" i="32"/>
  <c r="U1791" i="32" l="1"/>
  <c r="G1789" i="32"/>
  <c r="A1791" i="32"/>
  <c r="U1793" i="32" l="1"/>
  <c r="A1793" i="32"/>
  <c r="G1791" i="32"/>
  <c r="U1795" i="32" l="1"/>
  <c r="G1793" i="32"/>
  <c r="A1795" i="32"/>
  <c r="U1797" i="32" l="1"/>
  <c r="A1797" i="32"/>
  <c r="G1795" i="32"/>
  <c r="U1799" i="32" l="1"/>
  <c r="G1797" i="32"/>
  <c r="A1799" i="32"/>
  <c r="U1801" i="32" l="1"/>
  <c r="A1801" i="32"/>
  <c r="G1799" i="32"/>
  <c r="U1803" i="32" l="1"/>
  <c r="A1803" i="32"/>
  <c r="G1801" i="32"/>
  <c r="U1805" i="32" l="1"/>
  <c r="A1805" i="32"/>
  <c r="G1803" i="32"/>
  <c r="U1807" i="32" l="1"/>
  <c r="G1805" i="32"/>
  <c r="A1807" i="32"/>
  <c r="U1809" i="32" l="1"/>
  <c r="G1807" i="32"/>
  <c r="A1809" i="32"/>
  <c r="U1811" i="32" l="1"/>
  <c r="G1809" i="32"/>
  <c r="A1811" i="32"/>
  <c r="U1813" i="32" l="1"/>
  <c r="G1811" i="32"/>
  <c r="A1813" i="32"/>
  <c r="U1815" i="32" l="1"/>
  <c r="A1815" i="32"/>
  <c r="G1813" i="32"/>
  <c r="U1817" i="32" l="1"/>
  <c r="G1815" i="32"/>
  <c r="A1817" i="32"/>
  <c r="U1819" i="32" l="1"/>
  <c r="AZ10" i="34"/>
  <c r="J2853" i="27"/>
  <c r="A1819" i="32"/>
  <c r="G1817" i="32"/>
  <c r="P2022" i="27" l="1"/>
  <c r="J1411" i="27"/>
  <c r="H1411" i="27"/>
  <c r="A1411" i="27" s="1"/>
  <c r="O1050" i="27"/>
  <c r="O1059" i="27"/>
  <c r="O1137" i="27"/>
  <c r="O1124" i="27"/>
  <c r="O1147" i="27"/>
  <c r="O1068" i="27"/>
  <c r="O1153" i="27"/>
  <c r="O1135" i="27"/>
  <c r="O1148" i="27"/>
  <c r="O1113" i="27"/>
  <c r="O1122" i="27"/>
  <c r="O1099" i="27"/>
  <c r="O1167" i="27"/>
  <c r="O1103" i="27"/>
  <c r="O1041" i="27"/>
  <c r="O1062" i="27"/>
  <c r="O1089" i="27"/>
  <c r="O1065" i="27"/>
  <c r="O1123" i="27"/>
  <c r="O1169" i="27"/>
  <c r="O1178" i="27"/>
  <c r="O1161" i="27"/>
  <c r="O1074" i="27"/>
  <c r="O1140" i="27"/>
  <c r="O1083" i="27"/>
  <c r="O1054" i="27"/>
  <c r="O1131" i="27"/>
  <c r="O1105" i="27"/>
  <c r="O1076" i="27"/>
  <c r="O1164" i="27"/>
  <c r="O1043" i="27"/>
  <c r="O1110" i="27"/>
  <c r="O1087" i="27"/>
  <c r="O1166" i="27"/>
  <c r="O1052" i="27"/>
  <c r="O1057" i="27"/>
  <c r="O1111" i="27"/>
  <c r="O1081" i="27"/>
  <c r="O1112" i="27"/>
  <c r="O1118" i="27"/>
  <c r="O1106" i="27"/>
  <c r="O1115" i="27"/>
  <c r="O1102" i="27"/>
  <c r="O1090" i="27"/>
  <c r="O1042" i="27"/>
  <c r="O1096" i="27"/>
  <c r="O1063" i="27"/>
  <c r="O1058" i="27"/>
  <c r="O1078" i="27"/>
  <c r="O1100" i="27"/>
  <c r="O1171" i="27"/>
  <c r="O1163" i="27"/>
  <c r="O1121" i="27"/>
  <c r="O1056" i="27"/>
  <c r="O1143" i="27"/>
  <c r="O1176" i="27"/>
  <c r="O1047" i="27"/>
  <c r="O1064" i="27"/>
  <c r="O1071" i="27"/>
  <c r="O1088" i="27"/>
  <c r="O1079" i="27"/>
  <c r="O1128" i="27"/>
  <c r="O1084" i="27"/>
  <c r="O1095" i="27"/>
  <c r="O1132" i="27"/>
  <c r="O1094" i="27"/>
  <c r="O1067" i="27"/>
  <c r="O1120" i="27"/>
  <c r="O1138" i="27"/>
  <c r="O1055" i="27"/>
  <c r="O1086" i="27"/>
  <c r="O1082" i="27"/>
  <c r="O1142" i="27"/>
  <c r="O1159" i="27"/>
  <c r="O1080" i="27"/>
  <c r="O1129" i="27"/>
  <c r="O1044" i="27"/>
  <c r="O1051" i="27"/>
  <c r="O1049" i="27"/>
  <c r="O1160" i="27"/>
  <c r="O1155" i="27"/>
  <c r="O1145" i="27"/>
  <c r="O1154" i="27"/>
  <c r="O1139" i="27"/>
  <c r="O1127" i="27"/>
  <c r="O1144" i="27"/>
  <c r="O1126" i="27"/>
  <c r="O1114" i="27"/>
  <c r="O1075" i="27"/>
  <c r="O1136" i="27"/>
  <c r="O1150" i="27"/>
  <c r="O1158" i="27"/>
  <c r="O1175" i="27"/>
  <c r="O1104" i="27"/>
  <c r="O1146" i="27"/>
  <c r="O1060" i="27"/>
  <c r="O1170" i="27"/>
  <c r="O1174" i="27"/>
  <c r="O1162" i="27"/>
  <c r="O1152" i="27"/>
  <c r="O1130" i="27"/>
  <c r="O1134" i="27"/>
  <c r="O1151" i="27"/>
  <c r="O1073" i="27"/>
  <c r="O1119" i="27"/>
  <c r="O1097" i="27"/>
  <c r="O1172" i="27"/>
  <c r="O1092" i="27"/>
  <c r="O1070" i="27"/>
  <c r="O1046" i="27"/>
  <c r="O1066" i="27"/>
  <c r="O1168" i="27"/>
  <c r="O1177" i="27"/>
  <c r="O1048" i="27"/>
  <c r="O1072" i="27"/>
  <c r="O1116" i="27"/>
  <c r="O1098" i="27"/>
  <c r="O1107" i="27"/>
  <c r="O1156" i="27"/>
  <c r="O1108" i="27"/>
  <c r="O1091" i="27"/>
  <c r="N1058" i="27"/>
  <c r="N1124" i="27"/>
  <c r="N1079" i="27"/>
  <c r="N1122" i="27"/>
  <c r="N1141" i="27"/>
  <c r="N1177" i="27"/>
  <c r="N1055" i="27"/>
  <c r="N1118" i="27"/>
  <c r="N1105" i="27"/>
  <c r="N1054" i="27"/>
  <c r="N1142" i="27"/>
  <c r="N1102" i="27"/>
  <c r="N1060" i="27"/>
  <c r="N1073" i="27"/>
  <c r="N1151" i="27"/>
  <c r="N1070" i="27"/>
  <c r="N1162" i="27"/>
  <c r="N1092" i="27"/>
  <c r="N1047" i="27"/>
  <c r="N1113" i="27"/>
  <c r="N1086" i="27"/>
  <c r="N1172" i="27"/>
  <c r="N1104" i="27"/>
  <c r="N1066" i="27"/>
  <c r="N1053" i="27"/>
  <c r="N1100" i="27"/>
  <c r="N1076" i="27"/>
  <c r="N1161" i="27"/>
  <c r="N1144" i="27"/>
  <c r="N1154" i="27"/>
  <c r="N1178" i="27"/>
  <c r="N1128" i="27"/>
  <c r="N1153" i="27"/>
  <c r="N1148" i="27"/>
  <c r="N1158" i="27"/>
  <c r="N1135" i="27"/>
  <c r="N1087" i="27"/>
  <c r="N1052" i="27"/>
  <c r="N1149" i="27"/>
  <c r="N1050" i="27"/>
  <c r="N1062" i="27"/>
  <c r="N1117" i="27"/>
  <c r="N1061" i="27"/>
  <c r="N1081" i="27"/>
  <c r="N1048" i="27"/>
  <c r="N1103" i="27"/>
  <c r="N1146" i="27"/>
  <c r="N1095" i="27"/>
  <c r="N1072" i="27"/>
  <c r="N1074" i="27"/>
  <c r="N1101" i="27"/>
  <c r="N1042" i="27"/>
  <c r="N1057" i="27"/>
  <c r="N1176" i="27"/>
  <c r="N1080" i="27"/>
  <c r="N1056" i="27"/>
  <c r="N1082" i="27"/>
  <c r="N1121" i="27"/>
  <c r="N1109" i="27"/>
  <c r="N1169" i="27"/>
  <c r="N1173" i="27"/>
  <c r="N1150" i="27"/>
  <c r="N1156" i="27"/>
  <c r="N1078" i="27"/>
  <c r="N1046" i="27"/>
  <c r="N1160" i="27"/>
  <c r="N1111" i="27"/>
  <c r="N1064" i="27"/>
  <c r="N1097" i="27"/>
  <c r="N1110" i="27"/>
  <c r="N1130" i="27"/>
  <c r="N1069" i="27"/>
  <c r="N1175" i="27"/>
  <c r="N1112" i="27"/>
  <c r="N1126" i="27"/>
  <c r="N1044" i="27"/>
  <c r="N1084" i="27"/>
  <c r="N1119" i="27"/>
  <c r="N1088" i="27"/>
  <c r="N1114" i="27"/>
  <c r="N1127" i="27"/>
  <c r="N1165" i="27"/>
  <c r="N1133" i="27"/>
  <c r="N1068" i="27"/>
  <c r="N1093" i="27"/>
  <c r="N1152" i="27"/>
  <c r="N1094" i="27"/>
  <c r="N1116" i="27"/>
  <c r="N1170" i="27"/>
  <c r="N1120" i="27"/>
  <c r="N1145" i="27"/>
  <c r="N1132" i="27"/>
  <c r="N1167" i="27"/>
  <c r="N1085" i="27"/>
  <c r="N1098" i="27"/>
  <c r="N1090" i="27"/>
  <c r="N1108" i="27"/>
  <c r="N1077" i="27"/>
  <c r="N1106" i="27"/>
  <c r="N1174" i="27"/>
  <c r="N1166" i="27"/>
  <c r="N1049" i="27"/>
  <c r="N1143" i="27"/>
  <c r="N1129" i="27"/>
  <c r="N1157" i="27"/>
  <c r="N1065" i="27"/>
  <c r="N1125" i="27"/>
  <c r="N1140" i="27"/>
  <c r="N1089" i="27"/>
  <c r="N1168" i="27"/>
  <c r="N1136" i="27"/>
  <c r="N1071" i="27"/>
  <c r="N1063" i="27"/>
  <c r="N1045" i="27"/>
  <c r="N1137" i="27"/>
  <c r="N1096" i="27"/>
  <c r="N1159" i="27"/>
  <c r="N1138" i="27"/>
  <c r="N1134" i="27"/>
  <c r="N1164" i="27"/>
  <c r="N1041" i="27"/>
  <c r="M1049" i="27"/>
  <c r="M1145" i="27"/>
  <c r="M1060" i="27"/>
  <c r="M1069" i="27"/>
  <c r="M1100" i="27"/>
  <c r="M1117" i="27"/>
  <c r="M1115" i="27"/>
  <c r="A1115" i="27" s="1"/>
  <c r="M1165" i="27"/>
  <c r="M1138" i="27"/>
  <c r="M1167" i="27"/>
  <c r="M1168" i="27"/>
  <c r="M1058" i="27"/>
  <c r="M1118" i="27"/>
  <c r="M1146" i="27"/>
  <c r="M1073" i="27"/>
  <c r="M1092" i="27"/>
  <c r="M1086" i="27"/>
  <c r="M1090" i="27"/>
  <c r="M1063" i="27"/>
  <c r="M1048" i="27"/>
  <c r="M1124" i="27"/>
  <c r="M1044" i="27"/>
  <c r="M1154" i="27"/>
  <c r="M1139" i="27"/>
  <c r="A1139" i="27" s="1"/>
  <c r="M1176" i="27"/>
  <c r="M1109" i="27"/>
  <c r="M1130" i="27"/>
  <c r="M1068" i="27"/>
  <c r="M1108" i="27"/>
  <c r="M1151" i="27"/>
  <c r="M1161" i="27"/>
  <c r="M1098" i="27"/>
  <c r="M1041" i="27"/>
  <c r="M1082" i="27"/>
  <c r="M1125" i="27"/>
  <c r="M1152" i="27"/>
  <c r="M1121" i="27"/>
  <c r="M1097" i="27"/>
  <c r="M1043" i="27"/>
  <c r="A1043" i="27" s="1"/>
  <c r="M1067" i="27"/>
  <c r="A1067" i="27" s="1"/>
  <c r="M1107" i="27"/>
  <c r="A1107" i="27" s="1"/>
  <c r="M1061" i="27"/>
  <c r="M1065" i="27"/>
  <c r="M1096" i="27"/>
  <c r="M1175" i="27"/>
  <c r="M1053" i="27"/>
  <c r="M1135" i="27"/>
  <c r="M1110" i="27"/>
  <c r="M1045" i="27"/>
  <c r="M1077" i="27"/>
  <c r="M1101" i="27"/>
  <c r="M1149" i="27"/>
  <c r="M1085" i="27"/>
  <c r="M1142" i="27"/>
  <c r="M1122" i="27"/>
  <c r="M1134" i="27"/>
  <c r="M1148" i="27"/>
  <c r="M1089" i="27"/>
  <c r="M1094" i="27"/>
  <c r="M1046" i="27"/>
  <c r="M1056" i="27"/>
  <c r="M1170" i="27"/>
  <c r="M1137" i="27"/>
  <c r="M1127" i="27"/>
  <c r="M1174" i="27"/>
  <c r="M1150" i="27"/>
  <c r="M1177" i="27"/>
  <c r="M1062" i="27"/>
  <c r="M1113" i="27"/>
  <c r="M1178" i="27"/>
  <c r="M1081" i="27"/>
  <c r="M1144" i="27"/>
  <c r="M1158" i="27"/>
  <c r="M1103" i="27"/>
  <c r="M1164" i="27"/>
  <c r="M1059" i="27"/>
  <c r="A1059" i="27" s="1"/>
  <c r="M1129" i="27"/>
  <c r="M1136" i="27"/>
  <c r="M1050" i="27"/>
  <c r="M1156" i="27"/>
  <c r="M1105" i="27"/>
  <c r="M1076" i="27"/>
  <c r="M1147" i="27"/>
  <c r="A1147" i="27" s="1"/>
  <c r="M1091" i="27"/>
  <c r="A1091" i="27" s="1"/>
  <c r="M1114" i="27"/>
  <c r="M1052" i="27"/>
  <c r="M1066" i="27"/>
  <c r="M1055" i="27"/>
  <c r="M1064" i="27"/>
  <c r="M1126" i="27"/>
  <c r="M1106" i="27"/>
  <c r="M1141" i="27"/>
  <c r="M1157" i="27"/>
  <c r="M1102" i="27"/>
  <c r="M1071" i="27"/>
  <c r="M1173" i="27"/>
  <c r="M1095" i="27"/>
  <c r="M1119" i="27"/>
  <c r="M1131" i="27"/>
  <c r="A1131" i="27" s="1"/>
  <c r="M1088" i="27"/>
  <c r="M1169" i="27"/>
  <c r="M1116" i="27"/>
  <c r="M1075" i="27"/>
  <c r="A1075" i="27" s="1"/>
  <c r="M1162" i="27"/>
  <c r="M1057" i="27"/>
  <c r="M1084" i="27"/>
  <c r="M1042" i="27"/>
  <c r="M1128" i="27"/>
  <c r="M1054" i="27"/>
  <c r="M1079" i="27"/>
  <c r="M1123" i="27"/>
  <c r="A1123" i="27" s="1"/>
  <c r="M1083" i="27"/>
  <c r="A1083" i="27" s="1"/>
  <c r="M1120" i="27"/>
  <c r="M1160" i="27"/>
  <c r="M1143" i="27"/>
  <c r="M1172" i="27"/>
  <c r="M1140" i="27"/>
  <c r="M1133" i="27"/>
  <c r="M1153" i="27"/>
  <c r="M1074" i="27"/>
  <c r="M1112" i="27"/>
  <c r="M1087" i="27"/>
  <c r="M1070" i="27"/>
  <c r="M1072" i="27"/>
  <c r="M1093" i="27"/>
  <c r="M1132" i="27"/>
  <c r="M1047" i="27"/>
  <c r="M1099" i="27"/>
  <c r="A1099" i="27" s="1"/>
  <c r="M1051" i="27"/>
  <c r="A1051" i="27" s="1"/>
  <c r="M1080" i="27"/>
  <c r="M1159" i="27"/>
  <c r="M1111" i="27"/>
  <c r="M1104" i="27"/>
  <c r="M1078" i="27"/>
  <c r="M1166" i="27"/>
  <c r="L1086" i="27"/>
  <c r="L1070" i="27"/>
  <c r="L1098" i="27"/>
  <c r="L1135" i="27"/>
  <c r="L1159" i="27"/>
  <c r="L1056" i="27"/>
  <c r="L1084" i="27"/>
  <c r="L1042" i="27"/>
  <c r="L1073" i="27"/>
  <c r="L1074" i="27"/>
  <c r="L1088" i="27"/>
  <c r="L1146" i="27"/>
  <c r="L1106" i="27"/>
  <c r="L1153" i="27"/>
  <c r="L1090" i="27"/>
  <c r="L1145" i="27"/>
  <c r="L1119" i="27"/>
  <c r="L1100" i="27"/>
  <c r="L1134" i="27"/>
  <c r="L1060" i="27"/>
  <c r="L1162" i="27"/>
  <c r="L1057" i="27"/>
  <c r="L1168" i="27"/>
  <c r="L1143" i="27"/>
  <c r="L1047" i="27"/>
  <c r="L1065" i="27"/>
  <c r="L1104" i="27"/>
  <c r="L1089" i="27"/>
  <c r="L1167" i="27"/>
  <c r="L1164" i="27"/>
  <c r="L1166" i="27"/>
  <c r="L1108" i="27"/>
  <c r="L1064" i="27"/>
  <c r="L1055" i="27"/>
  <c r="L1094" i="27"/>
  <c r="L1116" i="27"/>
  <c r="L1048" i="27"/>
  <c r="L1126" i="27"/>
  <c r="L1054" i="27"/>
  <c r="L1124" i="27"/>
  <c r="L1114" i="27"/>
  <c r="L1161" i="27"/>
  <c r="L1176" i="27"/>
  <c r="L1142" i="27"/>
  <c r="L1177" i="27"/>
  <c r="L1140" i="27"/>
  <c r="L1103" i="27"/>
  <c r="L1066" i="27"/>
  <c r="L1169" i="27"/>
  <c r="L1128" i="27"/>
  <c r="L1058" i="27"/>
  <c r="L1046" i="27"/>
  <c r="L1082" i="27"/>
  <c r="L1175" i="27"/>
  <c r="L1129" i="27"/>
  <c r="L1111" i="27"/>
  <c r="L1132" i="27"/>
  <c r="L1158" i="27"/>
  <c r="L1154" i="27"/>
  <c r="L1160" i="27"/>
  <c r="L1152" i="27"/>
  <c r="L1136" i="27"/>
  <c r="L1121" i="27"/>
  <c r="L1080" i="27"/>
  <c r="L1096" i="27"/>
  <c r="L1097" i="27"/>
  <c r="L1052" i="27"/>
  <c r="L1138" i="27"/>
  <c r="L1113" i="27"/>
  <c r="L1092" i="27"/>
  <c r="L1148" i="27"/>
  <c r="L1081" i="27"/>
  <c r="L1150" i="27"/>
  <c r="L1178" i="27"/>
  <c r="L1087" i="27"/>
  <c r="L1137" i="27"/>
  <c r="L1078" i="27"/>
  <c r="L1105" i="27"/>
  <c r="L1072" i="27"/>
  <c r="L1049" i="27"/>
  <c r="L1110" i="27"/>
  <c r="L1170" i="27"/>
  <c r="L1050" i="27"/>
  <c r="L1095" i="27"/>
  <c r="L1118" i="27"/>
  <c r="L1112" i="27"/>
  <c r="L1151" i="27"/>
  <c r="L1071" i="27"/>
  <c r="L1062" i="27"/>
  <c r="L1102" i="27"/>
  <c r="L1068" i="27"/>
  <c r="L1174" i="27"/>
  <c r="L1122" i="27"/>
  <c r="L1041" i="27"/>
  <c r="L1079" i="27"/>
  <c r="L1120" i="27"/>
  <c r="L1172" i="27"/>
  <c r="L1156" i="27"/>
  <c r="L1044" i="27"/>
  <c r="L1144" i="27"/>
  <c r="L1127" i="27"/>
  <c r="L1063" i="27"/>
  <c r="L1130" i="27"/>
  <c r="L1076" i="27"/>
  <c r="K1046" i="27"/>
  <c r="K1159" i="27"/>
  <c r="K1098" i="27"/>
  <c r="K1173" i="27"/>
  <c r="K1161" i="27"/>
  <c r="K1074" i="27"/>
  <c r="K1106" i="27"/>
  <c r="K1136" i="27"/>
  <c r="K1126" i="27"/>
  <c r="K1092" i="27"/>
  <c r="K1110" i="27"/>
  <c r="K1122" i="27"/>
  <c r="K1121" i="27"/>
  <c r="K1086" i="27"/>
  <c r="K1108" i="27"/>
  <c r="K1073" i="27"/>
  <c r="K1118" i="27"/>
  <c r="K1152" i="27"/>
  <c r="K1097" i="27"/>
  <c r="K1068" i="27"/>
  <c r="K1064" i="27"/>
  <c r="K1109" i="27"/>
  <c r="K1045" i="27"/>
  <c r="K1042" i="27"/>
  <c r="K1071" i="27"/>
  <c r="K1172" i="27"/>
  <c r="K1175" i="27"/>
  <c r="K1080" i="27"/>
  <c r="K1041" i="27"/>
  <c r="K1058" i="27"/>
  <c r="K1138" i="27"/>
  <c r="K1120" i="27"/>
  <c r="K1093" i="27"/>
  <c r="K1133" i="27"/>
  <c r="K1177" i="27"/>
  <c r="K1048" i="27"/>
  <c r="K1150" i="27"/>
  <c r="K1178" i="27"/>
  <c r="K1134" i="27"/>
  <c r="K1105" i="27"/>
  <c r="K1117" i="27"/>
  <c r="K1094" i="27"/>
  <c r="K1148" i="27"/>
  <c r="K1145" i="27"/>
  <c r="K1132" i="27"/>
  <c r="K1069" i="27"/>
  <c r="K1158" i="27"/>
  <c r="K1165" i="27"/>
  <c r="K1101" i="27"/>
  <c r="K1100" i="27"/>
  <c r="K1054" i="27"/>
  <c r="K1057" i="27"/>
  <c r="K1077" i="27"/>
  <c r="K1087" i="27"/>
  <c r="K1076" i="27"/>
  <c r="K1062" i="27"/>
  <c r="K1144" i="27"/>
  <c r="K1124" i="27"/>
  <c r="K1113" i="27"/>
  <c r="K1061" i="27"/>
  <c r="K1103" i="27"/>
  <c r="K1116" i="27"/>
  <c r="K1081" i="27"/>
  <c r="K1052" i="27"/>
  <c r="K1089" i="27"/>
  <c r="K1153" i="27"/>
  <c r="K1160" i="27"/>
  <c r="K1079" i="27"/>
  <c r="K1135" i="27"/>
  <c r="K1130" i="27"/>
  <c r="K1044" i="27"/>
  <c r="K1104" i="27"/>
  <c r="K1095" i="27"/>
  <c r="K1143" i="27"/>
  <c r="K1078" i="27"/>
  <c r="K1125" i="27"/>
  <c r="K1084" i="27"/>
  <c r="K1156" i="27"/>
  <c r="K1049" i="27"/>
  <c r="K1066" i="27"/>
  <c r="K1141" i="27"/>
  <c r="K1119" i="27"/>
  <c r="K1128" i="27"/>
  <c r="K1167" i="27"/>
  <c r="K1090" i="27"/>
  <c r="K1070" i="27"/>
  <c r="K1111" i="27"/>
  <c r="K1053" i="27"/>
  <c r="K1085" i="27"/>
  <c r="K1162" i="27"/>
  <c r="K1129" i="27"/>
  <c r="K1050" i="27"/>
  <c r="K1088" i="27"/>
  <c r="K1065" i="27"/>
  <c r="K1174" i="27"/>
  <c r="K1102" i="27"/>
  <c r="K1149" i="27"/>
  <c r="K1063" i="27"/>
  <c r="K1142" i="27"/>
  <c r="K1164" i="27"/>
  <c r="K1137" i="27"/>
  <c r="K1096" i="27"/>
  <c r="K1072" i="27"/>
  <c r="K1112" i="27"/>
  <c r="K1140" i="27"/>
  <c r="K1151" i="27"/>
  <c r="K1055" i="27"/>
  <c r="K1047" i="27"/>
  <c r="K1060" i="27"/>
  <c r="K1127" i="27"/>
  <c r="K1168" i="27"/>
  <c r="K1170" i="27"/>
  <c r="K1154" i="27"/>
  <c r="K1169" i="27"/>
  <c r="K1082" i="27"/>
  <c r="K1176" i="27"/>
  <c r="K1114" i="27"/>
  <c r="K1146" i="27"/>
  <c r="K1157" i="27"/>
  <c r="K1166" i="27"/>
  <c r="K1056" i="27"/>
  <c r="J1133" i="27"/>
  <c r="J1098" i="27"/>
  <c r="J1072" i="27"/>
  <c r="J1176" i="27"/>
  <c r="J1132" i="27"/>
  <c r="J1074" i="27"/>
  <c r="J1069" i="27"/>
  <c r="J1175" i="27"/>
  <c r="J1049" i="27"/>
  <c r="J1053" i="27"/>
  <c r="J1092" i="27"/>
  <c r="J1108" i="27"/>
  <c r="J1174" i="27"/>
  <c r="J1107" i="27"/>
  <c r="J1077" i="27"/>
  <c r="J1145" i="27"/>
  <c r="J1170" i="27"/>
  <c r="J1117" i="27"/>
  <c r="J1061" i="27"/>
  <c r="J1105" i="27"/>
  <c r="J1114" i="27"/>
  <c r="J1066" i="27"/>
  <c r="J1101" i="27"/>
  <c r="J1151" i="27"/>
  <c r="J1082" i="27"/>
  <c r="J1104" i="27"/>
  <c r="J1118" i="27"/>
  <c r="J1083" i="27"/>
  <c r="J1116" i="27"/>
  <c r="J1127" i="27"/>
  <c r="J1153" i="27"/>
  <c r="J1041" i="27"/>
  <c r="J1126" i="27"/>
  <c r="J1060" i="27"/>
  <c r="J1042" i="27"/>
  <c r="J1134" i="27"/>
  <c r="J1177" i="27"/>
  <c r="J1136" i="27"/>
  <c r="J1128" i="27"/>
  <c r="J1076" i="27"/>
  <c r="J1139" i="27"/>
  <c r="J1068" i="27"/>
  <c r="J1095" i="27"/>
  <c r="J1169" i="27"/>
  <c r="J1131" i="27"/>
  <c r="J1081" i="27"/>
  <c r="J1055" i="27"/>
  <c r="J1120" i="27"/>
  <c r="J1143" i="27"/>
  <c r="J1137" i="27"/>
  <c r="J1144" i="27"/>
  <c r="J1094" i="27"/>
  <c r="J1087" i="27"/>
  <c r="J1115" i="27"/>
  <c r="J1097" i="27"/>
  <c r="J1057" i="27"/>
  <c r="J1125" i="27"/>
  <c r="J1157" i="27"/>
  <c r="J1167" i="27"/>
  <c r="J1050" i="27"/>
  <c r="J1096" i="27"/>
  <c r="J1102" i="27"/>
  <c r="J1129" i="27"/>
  <c r="J1149" i="27"/>
  <c r="J1085" i="27"/>
  <c r="J1158" i="27"/>
  <c r="J1065" i="27"/>
  <c r="J1064" i="27"/>
  <c r="J1062" i="27"/>
  <c r="J1075" i="27"/>
  <c r="J1178" i="27"/>
  <c r="J1045" i="27"/>
  <c r="J1088" i="27"/>
  <c r="J1160" i="27"/>
  <c r="J1103" i="27"/>
  <c r="J1112" i="27"/>
  <c r="J1071" i="27"/>
  <c r="J1124" i="27"/>
  <c r="J1150" i="27"/>
  <c r="J1146" i="27"/>
  <c r="J1036" i="27"/>
  <c r="J1099" i="27"/>
  <c r="J1054" i="27"/>
  <c r="J1089" i="27"/>
  <c r="J1051" i="27"/>
  <c r="J1121" i="27"/>
  <c r="J1046" i="27"/>
  <c r="J1059" i="27"/>
  <c r="J1140" i="27"/>
  <c r="J1086" i="27"/>
  <c r="J1111" i="27"/>
  <c r="J1063" i="27"/>
  <c r="J1123" i="27"/>
  <c r="J1080" i="27"/>
  <c r="J1047" i="27"/>
  <c r="J1084" i="27"/>
  <c r="J1091" i="27"/>
  <c r="J1048" i="27"/>
  <c r="J1152" i="27"/>
  <c r="J1142" i="27"/>
  <c r="J1173" i="27"/>
  <c r="J1172" i="27"/>
  <c r="J1168" i="27"/>
  <c r="J1159" i="27"/>
  <c r="J1106" i="27"/>
  <c r="J1079" i="27"/>
  <c r="J1056" i="27"/>
  <c r="J1100" i="27"/>
  <c r="J1110" i="27"/>
  <c r="J1135" i="27"/>
  <c r="J1073" i="27"/>
  <c r="J1090" i="27"/>
  <c r="J1044" i="27"/>
  <c r="J1113" i="27"/>
  <c r="J1122" i="27"/>
  <c r="J1162" i="27"/>
  <c r="J1070" i="27"/>
  <c r="J1141" i="27"/>
  <c r="J1058" i="27"/>
  <c r="J1165" i="27"/>
  <c r="J1161" i="27"/>
  <c r="J1130" i="27"/>
  <c r="J1109" i="27"/>
  <c r="J1166" i="27"/>
  <c r="J1043" i="27"/>
  <c r="J1154" i="27"/>
  <c r="J1067" i="27"/>
  <c r="J1078" i="27"/>
  <c r="J1138" i="27"/>
  <c r="J1119" i="27"/>
  <c r="J1093" i="27"/>
  <c r="J1052" i="27"/>
  <c r="I1160" i="27"/>
  <c r="I1121" i="27"/>
  <c r="I1127" i="27"/>
  <c r="I1124" i="27"/>
  <c r="I1178" i="27"/>
  <c r="I1077" i="27"/>
  <c r="I1151" i="27"/>
  <c r="I1057" i="27"/>
  <c r="I1061" i="27"/>
  <c r="I1098" i="27"/>
  <c r="I1156" i="27"/>
  <c r="I1079" i="27"/>
  <c r="I1058" i="27"/>
  <c r="I1161" i="27"/>
  <c r="I1119" i="27"/>
  <c r="I1120" i="27"/>
  <c r="I1072" i="27"/>
  <c r="I1167" i="27"/>
  <c r="I1148" i="27"/>
  <c r="I1109" i="27"/>
  <c r="I1164" i="27"/>
  <c r="I1041" i="27"/>
  <c r="I1165" i="27"/>
  <c r="I1137" i="27"/>
  <c r="I1044" i="27"/>
  <c r="I1133" i="27"/>
  <c r="I1045" i="27"/>
  <c r="I1162" i="27"/>
  <c r="I1157" i="27"/>
  <c r="I1068" i="27"/>
  <c r="I1050" i="27"/>
  <c r="I1092" i="27"/>
  <c r="I1128" i="27"/>
  <c r="I1080" i="27"/>
  <c r="I1047" i="27"/>
  <c r="I1140" i="27"/>
  <c r="I1176" i="27"/>
  <c r="I1090" i="27"/>
  <c r="I1105" i="27"/>
  <c r="I1065" i="27"/>
  <c r="I1111" i="27"/>
  <c r="I1095" i="27"/>
  <c r="I1154" i="27"/>
  <c r="I1053" i="27"/>
  <c r="I1153" i="27"/>
  <c r="I1143" i="27"/>
  <c r="I1159" i="27"/>
  <c r="I1088" i="27"/>
  <c r="I1100" i="27"/>
  <c r="I1112" i="27"/>
  <c r="I1063" i="27"/>
  <c r="I1089" i="27"/>
  <c r="I1076" i="27"/>
  <c r="I1135" i="27"/>
  <c r="I1130" i="27"/>
  <c r="I1101" i="27"/>
  <c r="I1116" i="27"/>
  <c r="I1141" i="27"/>
  <c r="I1149" i="27"/>
  <c r="I1056" i="27"/>
  <c r="I1106" i="27"/>
  <c r="I1104" i="27"/>
  <c r="I1175" i="27"/>
  <c r="I1177" i="27"/>
  <c r="I1172" i="27"/>
  <c r="I1108" i="27"/>
  <c r="I1144" i="27"/>
  <c r="I1096" i="27"/>
  <c r="I1129" i="27"/>
  <c r="I1136" i="27"/>
  <c r="I1122" i="27"/>
  <c r="I1117" i="27"/>
  <c r="I1103" i="27"/>
  <c r="I1081" i="27"/>
  <c r="I1169" i="27"/>
  <c r="I1049" i="27"/>
  <c r="I1042" i="27"/>
  <c r="I1052" i="27"/>
  <c r="I1084" i="27"/>
  <c r="I1168" i="27"/>
  <c r="I1071" i="27"/>
  <c r="I1085" i="27"/>
  <c r="I1093" i="27"/>
  <c r="I1082" i="27"/>
  <c r="I1087" i="27"/>
  <c r="I1114" i="27"/>
  <c r="I1170" i="27"/>
  <c r="I1048" i="27"/>
  <c r="I1069" i="27"/>
  <c r="I1173" i="27"/>
  <c r="I1152" i="27"/>
  <c r="I1074" i="27"/>
  <c r="I1060" i="27"/>
  <c r="I1146" i="27"/>
  <c r="I1064" i="27"/>
  <c r="I1097" i="27"/>
  <c r="I1125" i="27"/>
  <c r="I1145" i="27"/>
  <c r="I1138" i="27"/>
  <c r="I1113" i="27"/>
  <c r="I1066" i="27"/>
  <c r="I1073" i="27"/>
  <c r="I1055" i="27"/>
  <c r="I1132" i="27"/>
  <c r="G1162" i="27"/>
  <c r="G1100" i="27"/>
  <c r="G1102" i="27"/>
  <c r="G1146" i="27"/>
  <c r="G1074" i="27"/>
  <c r="G1094" i="27"/>
  <c r="G1036" i="27"/>
  <c r="G1049" i="27"/>
  <c r="G1130" i="27"/>
  <c r="G1089" i="27"/>
  <c r="G1177" i="27"/>
  <c r="G1160" i="27"/>
  <c r="G1098" i="27"/>
  <c r="G1052" i="27"/>
  <c r="G1173" i="27"/>
  <c r="G1154" i="27"/>
  <c r="G1090" i="27"/>
  <c r="G1118" i="27"/>
  <c r="G1159" i="27"/>
  <c r="G1096" i="27"/>
  <c r="G1152" i="27"/>
  <c r="G1066" i="27"/>
  <c r="G1044" i="27"/>
  <c r="G1136" i="27"/>
  <c r="G1101" i="27"/>
  <c r="G1174" i="27"/>
  <c r="G1041" i="27"/>
  <c r="G1062" i="27"/>
  <c r="G1084" i="27"/>
  <c r="G1095" i="27"/>
  <c r="G1178" i="27"/>
  <c r="G1114" i="27"/>
  <c r="G1092" i="27"/>
  <c r="G1145" i="27"/>
  <c r="G1124" i="27"/>
  <c r="G1157" i="27"/>
  <c r="G1122" i="27"/>
  <c r="G1141" i="27"/>
  <c r="G1129" i="27"/>
  <c r="G1093" i="27"/>
  <c r="G1148" i="27"/>
  <c r="G1045" i="27"/>
  <c r="G1156" i="27"/>
  <c r="G1050" i="27"/>
  <c r="G1105" i="27"/>
  <c r="G1081" i="27"/>
  <c r="G1109" i="27"/>
  <c r="G1048" i="27"/>
  <c r="G1065" i="27"/>
  <c r="G1058" i="27"/>
  <c r="G1161" i="27"/>
  <c r="G1133" i="27"/>
  <c r="G1172" i="27"/>
  <c r="G1168" i="27"/>
  <c r="G1137" i="27"/>
  <c r="G1085" i="27"/>
  <c r="G1113" i="27"/>
  <c r="G1121" i="27"/>
  <c r="G1138" i="27"/>
  <c r="G1053" i="27"/>
  <c r="G1119" i="27"/>
  <c r="G1068" i="27"/>
  <c r="G1150" i="27"/>
  <c r="G1164" i="27"/>
  <c r="G1126" i="27"/>
  <c r="G1127" i="27"/>
  <c r="G1072" i="27"/>
  <c r="G1167" i="27"/>
  <c r="G1125" i="27"/>
  <c r="G1088" i="27"/>
  <c r="G1042" i="27"/>
  <c r="G1176" i="27"/>
  <c r="G1047" i="27"/>
  <c r="G1097" i="27"/>
  <c r="G1153" i="27"/>
  <c r="G1111" i="27"/>
  <c r="G1055" i="27"/>
  <c r="G1135" i="27"/>
  <c r="G1117" i="27"/>
  <c r="G1080" i="27"/>
  <c r="G1069" i="27"/>
  <c r="G1175" i="27"/>
  <c r="G1073" i="27"/>
  <c r="G1087" i="27"/>
  <c r="G1057" i="27"/>
  <c r="G1116" i="27"/>
  <c r="G1112" i="27"/>
  <c r="G1142" i="27"/>
  <c r="G1054" i="27"/>
  <c r="G1143" i="27"/>
  <c r="G1071" i="27"/>
  <c r="G1082" i="27"/>
  <c r="G1060" i="27"/>
  <c r="G1165" i="27"/>
  <c r="G1076" i="27"/>
  <c r="G1077" i="27"/>
  <c r="G1086" i="27"/>
  <c r="G1061" i="27"/>
  <c r="G1140" i="27"/>
  <c r="G1078" i="27"/>
  <c r="G1166" i="27"/>
  <c r="G1120" i="27"/>
  <c r="G1106" i="27"/>
  <c r="G1149" i="27"/>
  <c r="A1149" i="27" s="1"/>
  <c r="G1132" i="27"/>
  <c r="G1110" i="27"/>
  <c r="G1063" i="27"/>
  <c r="G1108" i="27"/>
  <c r="G1046" i="27"/>
  <c r="G1079" i="27"/>
  <c r="G1169" i="27"/>
  <c r="G1170" i="27"/>
  <c r="G1070" i="27"/>
  <c r="G1158" i="27"/>
  <c r="G1144" i="27"/>
  <c r="G1151" i="27"/>
  <c r="G1103" i="27"/>
  <c r="G1064" i="27"/>
  <c r="G1128" i="27"/>
  <c r="G1056" i="27"/>
  <c r="G1134" i="27"/>
  <c r="G1104" i="27"/>
  <c r="E1092" i="27"/>
  <c r="E1096" i="27"/>
  <c r="E1084" i="27"/>
  <c r="E1144" i="27"/>
  <c r="E1174" i="27"/>
  <c r="E1073" i="27"/>
  <c r="E1143" i="27"/>
  <c r="E1104" i="27"/>
  <c r="E1064" i="27"/>
  <c r="E1169" i="27"/>
  <c r="E1121" i="27"/>
  <c r="E1076" i="27"/>
  <c r="E1041" i="27"/>
  <c r="E1047" i="27"/>
  <c r="E1112" i="27"/>
  <c r="E1105" i="27"/>
  <c r="E1061" i="27"/>
  <c r="E1110" i="27"/>
  <c r="E1056" i="27"/>
  <c r="E1136" i="27"/>
  <c r="E1090" i="27"/>
  <c r="E1120" i="27"/>
  <c r="E1137" i="27"/>
  <c r="E1118" i="27"/>
  <c r="E1135" i="27"/>
  <c r="E1054" i="27"/>
  <c r="E1140" i="27"/>
  <c r="E1102" i="27"/>
  <c r="E1161" i="27"/>
  <c r="E1168" i="27"/>
  <c r="E1130" i="27"/>
  <c r="E1078" i="27"/>
  <c r="E1050" i="27"/>
  <c r="E1086" i="27"/>
  <c r="E1106" i="27"/>
  <c r="E1070" i="27"/>
  <c r="E1044" i="27"/>
  <c r="E1053" i="27"/>
  <c r="E1175" i="27"/>
  <c r="E1089" i="27"/>
  <c r="E1074" i="27"/>
  <c r="E1052" i="27"/>
  <c r="E1062" i="27"/>
  <c r="E1095" i="27"/>
  <c r="E1082" i="27"/>
  <c r="E1045" i="27"/>
  <c r="E1126" i="27"/>
  <c r="E1114" i="27"/>
  <c r="E1100" i="27"/>
  <c r="E1103" i="27"/>
  <c r="E1177" i="27"/>
  <c r="E1138" i="27"/>
  <c r="E1048" i="27"/>
  <c r="E1046" i="27"/>
  <c r="E1151" i="27"/>
  <c r="E1129" i="27"/>
  <c r="E1145" i="27"/>
  <c r="E1111" i="27"/>
  <c r="E1159" i="27"/>
  <c r="E1176" i="27"/>
  <c r="E1167" i="27"/>
  <c r="E1134" i="27"/>
  <c r="E1119" i="27"/>
  <c r="E1097" i="27"/>
  <c r="A1097" i="27" s="1"/>
  <c r="E1065" i="27"/>
  <c r="E1058" i="27"/>
  <c r="E1069" i="27"/>
  <c r="E1124" i="27"/>
  <c r="E1088" i="27"/>
  <c r="E1036" i="27"/>
  <c r="E1153" i="27"/>
  <c r="A1153" i="27" s="1"/>
  <c r="E1098" i="27"/>
  <c r="E1079" i="27"/>
  <c r="E1060" i="27"/>
  <c r="E1170" i="27"/>
  <c r="E1160" i="27"/>
  <c r="E1077" i="27"/>
  <c r="E1122" i="27"/>
  <c r="E1154" i="27"/>
  <c r="E1063" i="27"/>
  <c r="E1113" i="27"/>
  <c r="E1068" i="27"/>
  <c r="E1049" i="27"/>
  <c r="E1162" i="27"/>
  <c r="E1055" i="27"/>
  <c r="E1072" i="27"/>
  <c r="E1132" i="27"/>
  <c r="E1146" i="27"/>
  <c r="E1108" i="27"/>
  <c r="E1085" i="27"/>
  <c r="E1158" i="27"/>
  <c r="E1093" i="27"/>
  <c r="E1150" i="27"/>
  <c r="E1152" i="27"/>
  <c r="E1071" i="27"/>
  <c r="E1128" i="27"/>
  <c r="E1080" i="27"/>
  <c r="E1081" i="27"/>
  <c r="E1178" i="27"/>
  <c r="E1066" i="27"/>
  <c r="A1066" i="27" s="1"/>
  <c r="E1042" i="27"/>
  <c r="A1042" i="27" s="1"/>
  <c r="E1094" i="27"/>
  <c r="E1127" i="27"/>
  <c r="E1116" i="27"/>
  <c r="E1142" i="27"/>
  <c r="E1057" i="27"/>
  <c r="E1087" i="27"/>
  <c r="E1166" i="27"/>
  <c r="AZ11" i="34"/>
  <c r="I2851" i="27"/>
  <c r="I2853" i="27"/>
  <c r="H2852" i="27"/>
  <c r="H2853" i="27"/>
  <c r="I2852" i="27"/>
  <c r="G1819" i="32"/>
  <c r="I2854" i="27"/>
  <c r="J2854" i="27"/>
  <c r="H2851" i="27"/>
  <c r="J2857" i="27"/>
  <c r="K2856" i="27"/>
  <c r="J2852" i="27"/>
  <c r="J2850" i="27"/>
  <c r="I2849" i="27"/>
  <c r="H2850" i="27"/>
  <c r="J2849" i="27"/>
  <c r="K2851" i="27"/>
  <c r="H2854" i="27"/>
  <c r="K2849" i="27"/>
  <c r="H2849" i="27"/>
  <c r="K2853" i="27"/>
  <c r="K2852" i="27"/>
  <c r="J2851" i="27"/>
  <c r="K2854" i="27"/>
  <c r="I2850" i="27"/>
  <c r="K2850" i="27"/>
  <c r="A1104" i="27" l="1"/>
  <c r="A1116" i="27"/>
  <c r="A1150" i="27"/>
  <c r="A1109" i="27"/>
  <c r="A1089" i="27"/>
  <c r="A1126" i="27"/>
  <c r="A1095" i="27"/>
  <c r="A1098" i="27"/>
  <c r="A1148" i="27"/>
  <c r="A1173" i="27"/>
  <c r="A1146" i="27"/>
  <c r="A1165" i="27"/>
  <c r="A1084" i="27"/>
  <c r="A1114" i="27"/>
  <c r="A1118" i="27"/>
  <c r="A1055" i="27"/>
  <c r="A1130" i="27"/>
  <c r="A1101" i="27"/>
  <c r="A1156" i="27"/>
  <c r="A1167" i="27"/>
  <c r="A1082" i="27"/>
  <c r="A1125" i="27"/>
  <c r="A1164" i="27"/>
  <c r="A1177" i="27"/>
  <c r="A1159" i="27"/>
  <c r="A2854" i="27"/>
  <c r="A2852" i="27"/>
  <c r="A2853" i="27"/>
  <c r="A2851" i="27"/>
  <c r="A2849" i="27"/>
  <c r="A2850" i="27"/>
  <c r="A1157" i="27"/>
  <c r="A1172" i="27"/>
  <c r="A1111" i="27"/>
  <c r="A1141" i="27"/>
  <c r="A1096" i="27"/>
  <c r="A1154" i="27"/>
  <c r="A1071" i="27"/>
  <c r="A1048" i="27"/>
  <c r="A1093" i="27"/>
  <c r="A1049" i="27"/>
  <c r="A1077" i="27"/>
  <c r="A1085" i="27"/>
  <c r="A1087" i="27"/>
  <c r="A1161" i="27"/>
  <c r="A1041" i="27"/>
  <c r="A1132" i="27"/>
  <c r="A1151" i="27"/>
  <c r="A1094" i="27"/>
  <c r="A1168" i="27"/>
  <c r="A1120" i="27"/>
  <c r="A1088" i="27"/>
  <c r="A1044" i="27"/>
  <c r="A1117" i="27"/>
  <c r="A1178" i="27"/>
  <c r="A1170" i="27"/>
  <c r="A1068" i="27"/>
  <c r="A1052" i="27"/>
  <c r="A1133" i="27"/>
  <c r="A1081" i="27"/>
  <c r="A1119" i="27"/>
  <c r="A1152" i="27"/>
  <c r="A1122" i="27"/>
  <c r="A1140" i="27"/>
  <c r="A1060" i="27"/>
  <c r="A1057" i="27"/>
  <c r="A1079" i="27"/>
  <c r="A1074" i="27"/>
  <c r="A1135" i="27"/>
  <c r="A1064" i="27"/>
  <c r="A1045" i="27"/>
  <c r="A1053" i="27"/>
  <c r="A1090" i="27"/>
  <c r="A1127" i="27"/>
  <c r="A1175" i="27"/>
  <c r="A1174" i="27"/>
  <c r="A1160" i="27"/>
  <c r="A1176" i="27"/>
  <c r="A1136" i="27"/>
  <c r="A1158" i="27"/>
  <c r="A1069" i="27"/>
  <c r="A1062" i="27"/>
  <c r="A1056" i="27"/>
  <c r="A1121" i="27"/>
  <c r="A1058" i="27"/>
  <c r="A1142" i="27"/>
  <c r="A1080" i="27"/>
  <c r="A1108" i="27"/>
  <c r="A1113" i="27"/>
  <c r="A1065" i="27"/>
  <c r="A1145" i="27"/>
  <c r="A1100" i="27"/>
  <c r="A1050" i="27"/>
  <c r="A1092" i="27"/>
  <c r="A1143" i="27"/>
  <c r="A1061" i="27"/>
  <c r="A1110" i="27"/>
  <c r="A1086" i="27"/>
  <c r="A1054" i="27"/>
  <c r="A1128" i="27"/>
  <c r="A1063" i="27"/>
  <c r="A1129" i="27"/>
  <c r="A1078" i="27"/>
  <c r="A1105" i="27"/>
  <c r="A1072" i="27"/>
  <c r="A1036" i="27"/>
  <c r="A1134" i="27"/>
  <c r="A1046" i="27"/>
  <c r="A1047" i="27"/>
  <c r="A1073" i="27"/>
  <c r="A1166" i="27"/>
  <c r="A1162" i="27"/>
  <c r="A1124" i="27"/>
  <c r="A1138" i="27"/>
  <c r="A1070" i="27"/>
  <c r="A1102" i="27"/>
  <c r="A1103" i="27"/>
  <c r="A1169" i="27"/>
  <c r="A1137" i="27"/>
  <c r="A1112" i="27"/>
  <c r="A1076" i="27"/>
  <c r="A1106" i="27"/>
  <c r="A1144" i="27"/>
  <c r="N231" i="24"/>
  <c r="N235" i="24"/>
  <c r="I232" i="24"/>
  <c r="I229" i="24"/>
  <c r="I233" i="24"/>
  <c r="I234" i="24"/>
  <c r="I235" i="24"/>
  <c r="I230" i="24"/>
  <c r="N234" i="24"/>
  <c r="N233" i="24"/>
  <c r="N230" i="24"/>
  <c r="I231" i="24"/>
  <c r="N229" i="24"/>
  <c r="N232" i="24"/>
  <c r="AZ12" i="34"/>
  <c r="H2860" i="27"/>
  <c r="H2859" i="27"/>
  <c r="I2858" i="27"/>
  <c r="J2859" i="27"/>
  <c r="I2859" i="27"/>
  <c r="H2857" i="27"/>
  <c r="K2863" i="27"/>
  <c r="K2857" i="27"/>
  <c r="I2857" i="27"/>
  <c r="H2855" i="27"/>
  <c r="J2855" i="27"/>
  <c r="I2865" i="27"/>
  <c r="K2855" i="27"/>
  <c r="J2860" i="27"/>
  <c r="J2856" i="27"/>
  <c r="K2859" i="27"/>
  <c r="H2858" i="27"/>
  <c r="I2856" i="27"/>
  <c r="K2860" i="27"/>
  <c r="J2858" i="27"/>
  <c r="I2855" i="27"/>
  <c r="K2858" i="27"/>
  <c r="H2856" i="27"/>
  <c r="I2860" i="27"/>
  <c r="A2859" i="27" l="1"/>
  <c r="A2856" i="27"/>
  <c r="A2855" i="27"/>
  <c r="A2860" i="27"/>
  <c r="A2858" i="27"/>
  <c r="A2857" i="27"/>
  <c r="N243" i="24"/>
  <c r="I241" i="24"/>
  <c r="I237" i="24"/>
  <c r="I238" i="24"/>
  <c r="N239" i="24"/>
  <c r="I242" i="24"/>
  <c r="I240" i="24"/>
  <c r="I239" i="24"/>
  <c r="N242" i="24"/>
  <c r="I243" i="24"/>
  <c r="N240" i="24"/>
  <c r="N237" i="24"/>
  <c r="N241" i="24"/>
  <c r="N238" i="24"/>
  <c r="I249" i="24"/>
  <c r="AZ13" i="34"/>
  <c r="H2866" i="27"/>
  <c r="I2861" i="27"/>
  <c r="J2865" i="27"/>
  <c r="H2861" i="27"/>
  <c r="H2865" i="27"/>
  <c r="K2862" i="27"/>
  <c r="J2862" i="27"/>
  <c r="H2864" i="27"/>
  <c r="I2864" i="27"/>
  <c r="J2861" i="27"/>
  <c r="J2863" i="27"/>
  <c r="K2866" i="27"/>
  <c r="K2864" i="27"/>
  <c r="K2865" i="27"/>
  <c r="J2866" i="27"/>
  <c r="J2864" i="27"/>
  <c r="H2862" i="27"/>
  <c r="I2863" i="27"/>
  <c r="I2862" i="27"/>
  <c r="K2861" i="27"/>
  <c r="H2863" i="27"/>
  <c r="I2866" i="27"/>
  <c r="J2870" i="27"/>
  <c r="A2866" i="27" l="1"/>
  <c r="A2865" i="27"/>
  <c r="A2862" i="27"/>
  <c r="A2863" i="27"/>
  <c r="A2864" i="27"/>
  <c r="A2861" i="27"/>
  <c r="I251" i="24"/>
  <c r="I250" i="24"/>
  <c r="N249" i="24"/>
  <c r="N245" i="24"/>
  <c r="I245" i="24"/>
  <c r="I246" i="24"/>
  <c r="I247" i="24"/>
  <c r="N248" i="24"/>
  <c r="N251" i="24"/>
  <c r="N246" i="24"/>
  <c r="I248" i="24"/>
  <c r="N247" i="24"/>
  <c r="N250" i="24"/>
  <c r="AZ14" i="34"/>
  <c r="K2869" i="27"/>
  <c r="I2872" i="27"/>
  <c r="J2869" i="27"/>
  <c r="K2871" i="27"/>
  <c r="H2870" i="27"/>
  <c r="K2872" i="27"/>
  <c r="I2869" i="27"/>
  <c r="I2868" i="27"/>
  <c r="I2871" i="27"/>
  <c r="I2867" i="27"/>
  <c r="J2867" i="27"/>
  <c r="K2867" i="27"/>
  <c r="I2870" i="27"/>
  <c r="J2872" i="27"/>
  <c r="H2868" i="27"/>
  <c r="K2870" i="27"/>
  <c r="K2868" i="27"/>
  <c r="J2871" i="27"/>
  <c r="H2872" i="27"/>
  <c r="H2869" i="27"/>
  <c r="J2868" i="27"/>
  <c r="H2871" i="27"/>
  <c r="H2867" i="27"/>
  <c r="A2867" i="27" l="1"/>
  <c r="A2869" i="27"/>
  <c r="A2868" i="27"/>
  <c r="A2871" i="27"/>
  <c r="A2870" i="27"/>
  <c r="A2872" i="27"/>
  <c r="N258" i="24"/>
  <c r="N257" i="24"/>
  <c r="N256" i="24"/>
  <c r="I255" i="24"/>
  <c r="I257" i="24"/>
  <c r="N255" i="24"/>
  <c r="I254" i="24"/>
  <c r="I258" i="24"/>
  <c r="N254" i="24"/>
  <c r="N259" i="24"/>
  <c r="I253" i="24"/>
  <c r="N253" i="24"/>
  <c r="I256" i="24"/>
  <c r="I259" i="24"/>
  <c r="N267" i="24"/>
  <c r="AZ15" i="34"/>
  <c r="J2874" i="27"/>
  <c r="I2876" i="27"/>
  <c r="J2877" i="27"/>
  <c r="H2873" i="27"/>
  <c r="J2878" i="27"/>
  <c r="J2873" i="27"/>
  <c r="H2882" i="27"/>
  <c r="I2877" i="27"/>
  <c r="H2878" i="27"/>
  <c r="H2877" i="27"/>
  <c r="J2876" i="27"/>
  <c r="I2874" i="27"/>
  <c r="K2873" i="27"/>
  <c r="I2873" i="27"/>
  <c r="K2876" i="27"/>
  <c r="I2875" i="27"/>
  <c r="J2875" i="27"/>
  <c r="K2875" i="27"/>
  <c r="K2877" i="27"/>
  <c r="K2874" i="27"/>
  <c r="H2875" i="27"/>
  <c r="K2878" i="27"/>
  <c r="I2878" i="27"/>
  <c r="H2876" i="27"/>
  <c r="H2874" i="27"/>
  <c r="A2875" i="27" l="1"/>
  <c r="A2876" i="27"/>
  <c r="A2878" i="27"/>
  <c r="A2873" i="27"/>
  <c r="A2874" i="27"/>
  <c r="A2877" i="27"/>
  <c r="N263" i="24"/>
  <c r="N266" i="24"/>
  <c r="I266" i="24"/>
  <c r="I267" i="24"/>
  <c r="N262" i="24"/>
  <c r="I265" i="24"/>
  <c r="I261" i="24"/>
  <c r="I262" i="24"/>
  <c r="N265" i="24"/>
  <c r="N261" i="24"/>
  <c r="I264" i="24"/>
  <c r="N264" i="24"/>
  <c r="I263" i="24"/>
  <c r="N272" i="24"/>
  <c r="AZ16" i="34"/>
  <c r="J2884" i="27"/>
  <c r="H2883" i="27"/>
  <c r="H2879" i="27"/>
  <c r="H2880" i="27"/>
  <c r="I2880" i="27"/>
  <c r="J2880" i="27"/>
  <c r="J2882" i="27"/>
  <c r="K2880" i="27"/>
  <c r="K2882" i="27"/>
  <c r="I2884" i="27"/>
  <c r="J2881" i="27"/>
  <c r="K2884" i="27"/>
  <c r="H2881" i="27"/>
  <c r="J2879" i="27"/>
  <c r="K2879" i="27"/>
  <c r="I2879" i="27"/>
  <c r="H2884" i="27"/>
  <c r="J2883" i="27"/>
  <c r="I2881" i="27"/>
  <c r="I2883" i="27"/>
  <c r="I2882" i="27"/>
  <c r="H2888" i="27"/>
  <c r="K2881" i="27"/>
  <c r="K2883" i="27"/>
  <c r="A2882" i="27" l="1"/>
  <c r="A2883" i="27"/>
  <c r="A2884" i="27"/>
  <c r="A2880" i="27"/>
  <c r="A2879" i="27"/>
  <c r="A2881" i="27"/>
  <c r="N273" i="24"/>
  <c r="N274" i="24"/>
  <c r="N275" i="24"/>
  <c r="I270" i="24"/>
  <c r="I273" i="24"/>
  <c r="I274" i="24"/>
  <c r="I275" i="24"/>
  <c r="N269" i="24"/>
  <c r="I269" i="24"/>
  <c r="N271" i="24"/>
  <c r="I272" i="24"/>
  <c r="I271" i="24"/>
  <c r="N270" i="24"/>
  <c r="N280" i="24"/>
  <c r="AZ17" i="34"/>
  <c r="J2887" i="27"/>
  <c r="I2886" i="27"/>
  <c r="J2886" i="27"/>
  <c r="H2893" i="27"/>
  <c r="K2886" i="27"/>
  <c r="I2890" i="27"/>
  <c r="H2886" i="27"/>
  <c r="K2889" i="27"/>
  <c r="K2894" i="27"/>
  <c r="K2887" i="27"/>
  <c r="J2888" i="27"/>
  <c r="H2885" i="27"/>
  <c r="K2890" i="27"/>
  <c r="I2888" i="27"/>
  <c r="H2889" i="27"/>
  <c r="I2885" i="27"/>
  <c r="H2887" i="27"/>
  <c r="J2889" i="27"/>
  <c r="I2887" i="27"/>
  <c r="H2890" i="27"/>
  <c r="K2885" i="27"/>
  <c r="J2890" i="27"/>
  <c r="K2888" i="27"/>
  <c r="I2889" i="27"/>
  <c r="J2885" i="27"/>
  <c r="A2888" i="27" l="1"/>
  <c r="A2890" i="27"/>
  <c r="A2886" i="27"/>
  <c r="A2885" i="27"/>
  <c r="A2889" i="27"/>
  <c r="A2887" i="27"/>
  <c r="N279" i="24"/>
  <c r="N283" i="24"/>
  <c r="N282" i="24"/>
  <c r="I278" i="24"/>
  <c r="I277" i="24"/>
  <c r="I281" i="24"/>
  <c r="N278" i="24"/>
  <c r="N277" i="24"/>
  <c r="I282" i="24"/>
  <c r="I279" i="24"/>
  <c r="N281" i="24"/>
  <c r="I280" i="24"/>
  <c r="I283" i="24"/>
  <c r="N287" i="24"/>
  <c r="I291" i="24"/>
  <c r="AZ18" i="34"/>
  <c r="K2895" i="27"/>
  <c r="I2893" i="27"/>
  <c r="J2891" i="27"/>
  <c r="I2895" i="27"/>
  <c r="K2893" i="27"/>
  <c r="I2892" i="27"/>
  <c r="I2894" i="27"/>
  <c r="J2893" i="27"/>
  <c r="K2892" i="27"/>
  <c r="H2892" i="27"/>
  <c r="H2895" i="27"/>
  <c r="K2897" i="27"/>
  <c r="J2892" i="27"/>
  <c r="J2896" i="27"/>
  <c r="I2896" i="27"/>
  <c r="J2894" i="27"/>
  <c r="K2896" i="27"/>
  <c r="K2891" i="27"/>
  <c r="J2895" i="27"/>
  <c r="H2891" i="27"/>
  <c r="H2896" i="27"/>
  <c r="H2894" i="27"/>
  <c r="I2891" i="27"/>
  <c r="A2893" i="27" l="1"/>
  <c r="A2895" i="27"/>
  <c r="A2894" i="27"/>
  <c r="A2896" i="27"/>
  <c r="A2892" i="27"/>
  <c r="A2891" i="27"/>
  <c r="I290" i="24"/>
  <c r="I288" i="24"/>
  <c r="I286" i="24"/>
  <c r="I287" i="24"/>
  <c r="N286" i="24"/>
  <c r="N291" i="24"/>
  <c r="N285" i="24"/>
  <c r="N290" i="24"/>
  <c r="N289" i="24"/>
  <c r="I289" i="24"/>
  <c r="I285" i="24"/>
  <c r="N288" i="24"/>
  <c r="AZ19" i="34"/>
  <c r="J2898" i="27"/>
  <c r="K2901" i="27"/>
  <c r="J2902" i="27"/>
  <c r="I2900" i="27"/>
  <c r="I2901" i="27"/>
  <c r="J2899" i="27"/>
  <c r="K2898" i="27"/>
  <c r="H2899" i="27"/>
  <c r="K2902" i="27"/>
  <c r="K2900" i="27"/>
  <c r="J2900" i="27"/>
  <c r="J2897" i="27"/>
  <c r="I2899" i="27"/>
  <c r="I2898" i="27"/>
  <c r="J2901" i="27"/>
  <c r="I2897" i="27"/>
  <c r="I2902" i="27"/>
  <c r="H2901" i="27"/>
  <c r="K2899" i="27"/>
  <c r="H2897" i="27"/>
  <c r="H2902" i="27"/>
  <c r="H2900" i="27"/>
  <c r="I2905" i="27"/>
  <c r="H2898" i="27"/>
  <c r="A2897" i="27" l="1"/>
  <c r="A2899" i="27"/>
  <c r="A2901" i="27"/>
  <c r="A2898" i="27"/>
  <c r="A2902" i="27"/>
  <c r="A2900" i="27"/>
  <c r="N294" i="24"/>
  <c r="N297" i="24"/>
  <c r="I295" i="24"/>
  <c r="N296" i="24"/>
  <c r="I298" i="24"/>
  <c r="N295" i="24"/>
  <c r="N298" i="24"/>
  <c r="I296" i="24"/>
  <c r="N293" i="24"/>
  <c r="I297" i="24"/>
  <c r="N299" i="24"/>
  <c r="I299" i="24"/>
  <c r="I294" i="24"/>
  <c r="I293" i="24"/>
  <c r="AZ20" i="34"/>
  <c r="H2904" i="27"/>
  <c r="J2903" i="27"/>
  <c r="H2905" i="27"/>
  <c r="K2907" i="27"/>
  <c r="K2906" i="27"/>
  <c r="I2906" i="27"/>
  <c r="J2907" i="27"/>
  <c r="I2907" i="27"/>
  <c r="I2910" i="27"/>
  <c r="K2904" i="27"/>
  <c r="H2903" i="27"/>
  <c r="K2908" i="27"/>
  <c r="I2908" i="27"/>
  <c r="H2907" i="27"/>
  <c r="I2903" i="27"/>
  <c r="K2905" i="27"/>
  <c r="K2903" i="27"/>
  <c r="J2908" i="27"/>
  <c r="H2908" i="27"/>
  <c r="J2905" i="27"/>
  <c r="J2906" i="27"/>
  <c r="J2904" i="27"/>
  <c r="I2904" i="27"/>
  <c r="H2906" i="27"/>
  <c r="A2906" i="27" l="1"/>
  <c r="A2904" i="27"/>
  <c r="A2908" i="27"/>
  <c r="A2905" i="27"/>
  <c r="A2903" i="27"/>
  <c r="A2907" i="27"/>
  <c r="AZ21" i="34"/>
  <c r="I2912" i="27"/>
  <c r="J2912" i="27"/>
  <c r="K2913" i="27"/>
  <c r="K2912" i="27"/>
  <c r="H2909" i="27"/>
  <c r="I2913" i="27"/>
  <c r="H2911" i="27"/>
  <c r="K2911" i="27"/>
  <c r="I2920" i="27"/>
  <c r="H2910" i="27"/>
  <c r="K2914" i="27"/>
  <c r="I2909" i="27"/>
  <c r="H2914" i="27"/>
  <c r="K2910" i="27"/>
  <c r="J2910" i="27"/>
  <c r="H2912" i="27"/>
  <c r="K2909" i="27"/>
  <c r="H2913" i="27"/>
  <c r="J2911" i="27"/>
  <c r="J2913" i="27"/>
  <c r="J2909" i="27"/>
  <c r="I2911" i="27"/>
  <c r="J2914" i="27"/>
  <c r="I2914" i="27"/>
  <c r="A2912" i="27" l="1"/>
  <c r="A2910" i="27"/>
  <c r="A2914" i="27"/>
  <c r="A2911" i="27"/>
  <c r="A2909" i="27"/>
  <c r="A2913" i="27"/>
  <c r="AZ22" i="34"/>
  <c r="H2920" i="27"/>
  <c r="K2921" i="27"/>
  <c r="K2917" i="27"/>
  <c r="H2921" i="27"/>
  <c r="H2915" i="27"/>
  <c r="H2917" i="27"/>
  <c r="I2922" i="27"/>
  <c r="J2919" i="27"/>
  <c r="I2918" i="27"/>
  <c r="K2919" i="27"/>
  <c r="J2924" i="27"/>
  <c r="H2922" i="27"/>
  <c r="K2916" i="27"/>
  <c r="J2915" i="27"/>
  <c r="I2916" i="27"/>
  <c r="I2921" i="27"/>
  <c r="H2918" i="27"/>
  <c r="K2915" i="27"/>
  <c r="H2925" i="27"/>
  <c r="K2923" i="27"/>
  <c r="I2925" i="27"/>
  <c r="J2920" i="27"/>
  <c r="J2926" i="27"/>
  <c r="I2915" i="27"/>
  <c r="K2925" i="27"/>
  <c r="J2918" i="27"/>
  <c r="H2916" i="27"/>
  <c r="I2917" i="27"/>
  <c r="I2919" i="27"/>
  <c r="K2922" i="27"/>
  <c r="H2919" i="27"/>
  <c r="K2920" i="27"/>
  <c r="J2916" i="27"/>
  <c r="J2917" i="27"/>
  <c r="K2918" i="27"/>
  <c r="A2918" i="27" l="1"/>
  <c r="A2925" i="27"/>
  <c r="A2917" i="27"/>
  <c r="A2919" i="27"/>
  <c r="A2922" i="27"/>
  <c r="A2915" i="27"/>
  <c r="A2920" i="27"/>
  <c r="A2916" i="27"/>
  <c r="A2921" i="27"/>
  <c r="AZ23" i="34"/>
  <c r="I2923" i="27"/>
  <c r="J2923" i="27"/>
  <c r="J2921" i="27"/>
  <c r="J2922" i="27"/>
  <c r="I2924" i="27"/>
  <c r="H2930" i="27"/>
  <c r="K2926" i="27"/>
  <c r="I2926" i="27"/>
  <c r="K2924" i="27"/>
  <c r="H2923" i="27"/>
  <c r="H2924" i="27"/>
  <c r="H2926" i="27"/>
  <c r="J2925" i="27"/>
  <c r="A2924" i="27" l="1"/>
  <c r="A2923" i="27"/>
  <c r="A2926" i="27"/>
  <c r="AZ24" i="34"/>
  <c r="K2932" i="27"/>
  <c r="J2927" i="27"/>
  <c r="H2931" i="27"/>
  <c r="K2931" i="27"/>
  <c r="J2929" i="27"/>
  <c r="J2928" i="27"/>
  <c r="H2932" i="27"/>
  <c r="H2928" i="27"/>
  <c r="J2931" i="27"/>
  <c r="K2930" i="27"/>
  <c r="K2927" i="27"/>
  <c r="J2932" i="27"/>
  <c r="K2928" i="27"/>
  <c r="J2930" i="27"/>
  <c r="K2929" i="27"/>
  <c r="H2927" i="27"/>
  <c r="I2930" i="27"/>
  <c r="I2929" i="27"/>
  <c r="I2932" i="27"/>
  <c r="I2927" i="27"/>
  <c r="H2929" i="27"/>
  <c r="I2928" i="27"/>
  <c r="I2931" i="27"/>
  <c r="A2930" i="27" l="1"/>
  <c r="A2931" i="27"/>
  <c r="A2928" i="27"/>
  <c r="A2927" i="27"/>
  <c r="A2929" i="27"/>
  <c r="A2932" i="27"/>
  <c r="AZ25" i="34"/>
  <c r="K2934" i="27"/>
  <c r="J2933" i="27"/>
  <c r="I2937" i="27"/>
  <c r="I2936" i="27"/>
  <c r="K2938" i="27"/>
  <c r="J2937" i="27"/>
  <c r="K2935" i="27"/>
  <c r="K2937" i="27"/>
  <c r="I2933" i="27"/>
  <c r="H2933" i="27"/>
  <c r="H2939" i="27"/>
  <c r="J2936" i="27"/>
  <c r="H2938" i="27"/>
  <c r="J2934" i="27"/>
  <c r="I2938" i="27"/>
  <c r="J2935" i="27"/>
  <c r="K2936" i="27"/>
  <c r="I2935" i="27"/>
  <c r="H2937" i="27"/>
  <c r="H2936" i="27"/>
  <c r="H2934" i="27"/>
  <c r="H2935" i="27"/>
  <c r="J2938" i="27"/>
  <c r="I2934" i="27"/>
  <c r="K2933" i="27"/>
  <c r="A2937" i="27" l="1"/>
  <c r="A2934" i="27"/>
  <c r="A2935" i="27"/>
  <c r="A2933" i="27"/>
  <c r="A2936" i="27"/>
  <c r="A2938" i="27"/>
  <c r="AZ26" i="34"/>
  <c r="J2944" i="27"/>
  <c r="I2939" i="27"/>
  <c r="J2942" i="27"/>
  <c r="H2946" i="27"/>
  <c r="I2949" i="27"/>
  <c r="K2939" i="27"/>
  <c r="J2940" i="27"/>
  <c r="K2942" i="27"/>
  <c r="J2939" i="27"/>
  <c r="K2950" i="27"/>
  <c r="I2944" i="27"/>
  <c r="J2941" i="27"/>
  <c r="H2948" i="27"/>
  <c r="I2941" i="27"/>
  <c r="H2941" i="27"/>
  <c r="I2943" i="27"/>
  <c r="I2940" i="27"/>
  <c r="I2942" i="27"/>
  <c r="J2948" i="27"/>
  <c r="H2944" i="27"/>
  <c r="K2944" i="27"/>
  <c r="K2949" i="27"/>
  <c r="H2943" i="27"/>
  <c r="J2943" i="27"/>
  <c r="K2943" i="27"/>
  <c r="H2942" i="27"/>
  <c r="K2941" i="27"/>
  <c r="H2940" i="27"/>
  <c r="J2946" i="27"/>
  <c r="J2949" i="27"/>
  <c r="K2948" i="27"/>
  <c r="K2940" i="27"/>
  <c r="A2939" i="27" l="1"/>
  <c r="A2941" i="27"/>
  <c r="A2943" i="27"/>
  <c r="A2942" i="27"/>
  <c r="A2944" i="27"/>
  <c r="A2940" i="27"/>
  <c r="AZ27" i="34"/>
  <c r="J2954" i="27"/>
  <c r="H2950" i="27"/>
  <c r="I2945" i="27"/>
  <c r="I2950" i="27"/>
  <c r="H2949" i="27"/>
  <c r="K2947" i="27"/>
  <c r="J2945" i="27"/>
  <c r="J2947" i="27"/>
  <c r="I2948" i="27"/>
  <c r="H2947" i="27"/>
  <c r="I2947" i="27"/>
  <c r="I2946" i="27"/>
  <c r="K2946" i="27"/>
  <c r="K2945" i="27"/>
  <c r="J2950" i="27"/>
  <c r="H2945" i="27"/>
  <c r="A2946" i="27" l="1"/>
  <c r="A2948" i="27"/>
  <c r="A2947" i="27"/>
  <c r="A2950" i="27"/>
  <c r="A2949" i="27"/>
  <c r="A2945" i="27"/>
  <c r="AZ28" i="34"/>
  <c r="I2956" i="27"/>
  <c r="K2956" i="27"/>
  <c r="J2955" i="27"/>
  <c r="K2953" i="27"/>
  <c r="H2954" i="27"/>
  <c r="J2956" i="27"/>
  <c r="H2955" i="27"/>
  <c r="I2952" i="27"/>
  <c r="H2951" i="27"/>
  <c r="I2954" i="27"/>
  <c r="H2956" i="27"/>
  <c r="H2953" i="27"/>
  <c r="K2955" i="27"/>
  <c r="I2951" i="27"/>
  <c r="J2952" i="27"/>
  <c r="J2953" i="27"/>
  <c r="I2955" i="27"/>
  <c r="K2954" i="27"/>
  <c r="K2952" i="27"/>
  <c r="J2951" i="27"/>
  <c r="H2952" i="27"/>
  <c r="I2953" i="27"/>
  <c r="K2951" i="27"/>
  <c r="J2959" i="27"/>
  <c r="A2956" i="27" l="1"/>
  <c r="A2952" i="27"/>
  <c r="A2951" i="27"/>
  <c r="A2955" i="27"/>
  <c r="A2953" i="27"/>
  <c r="A2954" i="27"/>
  <c r="AZ29" i="34"/>
  <c r="H2961" i="27"/>
  <c r="I2965" i="27"/>
  <c r="H2962" i="27"/>
  <c r="H2967" i="27"/>
  <c r="H2959" i="27"/>
  <c r="K2961" i="27"/>
  <c r="I2963" i="27"/>
  <c r="I2958" i="27"/>
  <c r="I2964" i="27"/>
  <c r="K2962" i="27"/>
  <c r="I2959" i="27"/>
  <c r="J2962" i="27"/>
  <c r="H2958" i="27"/>
  <c r="I2962" i="27"/>
  <c r="H2968" i="27"/>
  <c r="J2968" i="27"/>
  <c r="H2957" i="27"/>
  <c r="J2961" i="27"/>
  <c r="J2958" i="27"/>
  <c r="I2957" i="27"/>
  <c r="J2957" i="27"/>
  <c r="J2960" i="27"/>
  <c r="I2960" i="27"/>
  <c r="K2959" i="27"/>
  <c r="I2968" i="27"/>
  <c r="I2961" i="27"/>
  <c r="K2960" i="27"/>
  <c r="K2958" i="27"/>
  <c r="H2960" i="27"/>
  <c r="K2957" i="27"/>
  <c r="K2967" i="27"/>
  <c r="H2964" i="27"/>
  <c r="A2957" i="27" l="1"/>
  <c r="A2959" i="27"/>
  <c r="A2958" i="27"/>
  <c r="A2961" i="27"/>
  <c r="A2964" i="27"/>
  <c r="A2962" i="27"/>
  <c r="A2960" i="27"/>
  <c r="A2968" i="27"/>
  <c r="AZ30" i="34"/>
  <c r="K2972" i="27"/>
  <c r="K2965" i="27"/>
  <c r="I2967" i="27"/>
  <c r="K2964" i="27"/>
  <c r="J2969" i="27"/>
  <c r="H2963" i="27"/>
  <c r="H2965" i="27"/>
  <c r="H2972" i="27"/>
  <c r="K2970" i="27"/>
  <c r="H2974" i="27"/>
  <c r="H2971" i="27"/>
  <c r="K2968" i="27"/>
  <c r="J2964" i="27"/>
  <c r="K2966" i="27"/>
  <c r="H2966" i="27"/>
  <c r="J2966" i="27"/>
  <c r="K2971" i="27"/>
  <c r="J2965" i="27"/>
  <c r="J2963" i="27"/>
  <c r="I2966" i="27"/>
  <c r="K2969" i="27"/>
  <c r="K2963" i="27"/>
  <c r="J2967" i="27"/>
  <c r="A2967" i="27" l="1"/>
  <c r="A2966" i="27"/>
  <c r="A2965" i="27"/>
  <c r="A2963" i="27"/>
  <c r="AZ31" i="34"/>
  <c r="K2973" i="27"/>
  <c r="H2973" i="27"/>
  <c r="J2972" i="27"/>
  <c r="J2971" i="27"/>
  <c r="H2970" i="27"/>
  <c r="I2970" i="27"/>
  <c r="I2969" i="27"/>
  <c r="I2978" i="27"/>
  <c r="J2973" i="27"/>
  <c r="I2973" i="27"/>
  <c r="J2970" i="27"/>
  <c r="K2974" i="27"/>
  <c r="H2969" i="27"/>
  <c r="I2972" i="27"/>
  <c r="I2971" i="27"/>
  <c r="I2974" i="27"/>
  <c r="J2974" i="27"/>
  <c r="A2971" i="27" l="1"/>
  <c r="A2974" i="27"/>
  <c r="A2972" i="27"/>
  <c r="A2970" i="27"/>
  <c r="A2969" i="27"/>
  <c r="A2973" i="27"/>
  <c r="AZ32" i="34"/>
  <c r="J2984" i="27"/>
  <c r="H2978" i="27"/>
  <c r="K2975" i="27"/>
  <c r="H2975" i="27"/>
  <c r="H2980" i="27"/>
  <c r="I2975" i="27"/>
  <c r="K2976" i="27"/>
  <c r="J2977" i="27"/>
  <c r="I2979" i="27"/>
  <c r="I2985" i="27"/>
  <c r="I2982" i="27"/>
  <c r="K2979" i="27"/>
  <c r="J2978" i="27"/>
  <c r="I2977" i="27"/>
  <c r="J2981" i="27"/>
  <c r="I2980" i="27"/>
  <c r="H2979" i="27"/>
  <c r="H2982" i="27"/>
  <c r="H2976" i="27"/>
  <c r="I2976" i="27"/>
  <c r="J2986" i="27"/>
  <c r="J2980" i="27"/>
  <c r="J2975" i="27"/>
  <c r="J2982" i="27"/>
  <c r="J2976" i="27"/>
  <c r="H2977" i="27"/>
  <c r="H2984" i="27"/>
  <c r="I2984" i="27"/>
  <c r="K2977" i="27"/>
  <c r="K2978" i="27"/>
  <c r="K2980" i="27"/>
  <c r="J2979" i="27"/>
  <c r="A2978" i="27" l="1"/>
  <c r="A2976" i="27"/>
  <c r="A2977" i="27"/>
  <c r="A2979" i="27"/>
  <c r="A2980" i="27"/>
  <c r="A2982" i="27"/>
  <c r="A2984" i="27"/>
  <c r="A2975" i="27"/>
  <c r="AZ33" i="34"/>
  <c r="J2990" i="27"/>
  <c r="H2989" i="27"/>
  <c r="H2986" i="27"/>
  <c r="I2986" i="27"/>
  <c r="K2985" i="27"/>
  <c r="H2992" i="27"/>
  <c r="J2983" i="27"/>
  <c r="J2985" i="27"/>
  <c r="K2986" i="27"/>
  <c r="K2983" i="27"/>
  <c r="I2988" i="27"/>
  <c r="J2991" i="27"/>
  <c r="K2989" i="27"/>
  <c r="K2984" i="27"/>
  <c r="K2987" i="27"/>
  <c r="H2981" i="27"/>
  <c r="K2988" i="27"/>
  <c r="I2981" i="27"/>
  <c r="K2982" i="27"/>
  <c r="K2991" i="27"/>
  <c r="I2983" i="27"/>
  <c r="H2985" i="27"/>
  <c r="H2983" i="27"/>
  <c r="K2981" i="27"/>
  <c r="A2985" i="27" l="1"/>
  <c r="A2981" i="27"/>
  <c r="A2986" i="27"/>
  <c r="A2983" i="27"/>
  <c r="AZ34" i="34"/>
  <c r="I2989" i="27"/>
  <c r="J2987" i="27"/>
  <c r="H2991" i="27"/>
  <c r="J2988" i="27"/>
  <c r="K2992" i="27"/>
  <c r="I2992" i="27"/>
  <c r="H2990" i="27"/>
  <c r="K2990" i="27"/>
  <c r="J2989" i="27"/>
  <c r="I2987" i="27"/>
  <c r="H2987" i="27"/>
  <c r="I2990" i="27"/>
  <c r="I2991" i="27"/>
  <c r="J2992" i="27"/>
  <c r="H2994" i="27"/>
  <c r="H2988" i="27"/>
  <c r="A2989" i="27" l="1"/>
  <c r="A2992" i="27"/>
  <c r="A2988" i="27"/>
  <c r="A2987" i="27"/>
  <c r="A2991" i="27"/>
  <c r="A2990" i="27"/>
  <c r="AZ35" i="34"/>
  <c r="H2997" i="27"/>
  <c r="H3000" i="27"/>
  <c r="K2993" i="27"/>
  <c r="K2997" i="27"/>
  <c r="I2994" i="27"/>
  <c r="J2999" i="27"/>
  <c r="J2994" i="27"/>
  <c r="I2996" i="27"/>
  <c r="J2997" i="27"/>
  <c r="H3004" i="27"/>
  <c r="H2996" i="27"/>
  <c r="H2998" i="27"/>
  <c r="I2997" i="27"/>
  <c r="J3003" i="27"/>
  <c r="J2998" i="27"/>
  <c r="H3001" i="27"/>
  <c r="H3002" i="27"/>
  <c r="K2994" i="27"/>
  <c r="J2996" i="27"/>
  <c r="J2995" i="27"/>
  <c r="I2995" i="27"/>
  <c r="I3000" i="27"/>
  <c r="I2993" i="27"/>
  <c r="K3001" i="27"/>
  <c r="J3002" i="27"/>
  <c r="J2993" i="27"/>
  <c r="I3004" i="27"/>
  <c r="K2996" i="27"/>
  <c r="K2998" i="27"/>
  <c r="K2995" i="27"/>
  <c r="H2999" i="27"/>
  <c r="H2993" i="27"/>
  <c r="I2998" i="27"/>
  <c r="H2995" i="27"/>
  <c r="A2994" i="27" l="1"/>
  <c r="A3004" i="27"/>
  <c r="A2998" i="27"/>
  <c r="A3000" i="27"/>
  <c r="A2993" i="27"/>
  <c r="A2997" i="27"/>
  <c r="A2995" i="27"/>
  <c r="A2996" i="27"/>
  <c r="AZ36" i="34"/>
  <c r="I3003" i="27"/>
  <c r="J3001" i="27"/>
  <c r="H3005" i="27"/>
  <c r="J3000" i="27"/>
  <c r="K3005" i="27"/>
  <c r="K3003" i="27"/>
  <c r="I3002" i="27"/>
  <c r="K3002" i="27"/>
  <c r="K3000" i="27"/>
  <c r="J3006" i="27"/>
  <c r="K2999" i="27"/>
  <c r="H3003" i="27"/>
  <c r="I2999" i="27"/>
  <c r="I3001" i="27"/>
  <c r="K3004" i="27"/>
  <c r="K3007" i="27"/>
  <c r="J3004" i="27"/>
  <c r="A2999" i="27" l="1"/>
  <c r="A3001" i="27"/>
  <c r="A3002" i="27"/>
  <c r="A3003" i="27"/>
  <c r="AZ37" i="34"/>
  <c r="I3006" i="27"/>
  <c r="I3015" i="27"/>
  <c r="H3012" i="27"/>
  <c r="K3012" i="27"/>
  <c r="H3009" i="27"/>
  <c r="H3010" i="27"/>
  <c r="K3013" i="27"/>
  <c r="H3006" i="27"/>
  <c r="K3010" i="27"/>
  <c r="J3005" i="27"/>
  <c r="K3016" i="27"/>
  <c r="H3015" i="27"/>
  <c r="I3014" i="27"/>
  <c r="K3006" i="27"/>
  <c r="I3007" i="27"/>
  <c r="I3010" i="27"/>
  <c r="H3011" i="27"/>
  <c r="J3015" i="27"/>
  <c r="H3016" i="27"/>
  <c r="I3016" i="27"/>
  <c r="K3009" i="27"/>
  <c r="J3007" i="27"/>
  <c r="I3009" i="27"/>
  <c r="I3008" i="27"/>
  <c r="H3007" i="27"/>
  <c r="J3011" i="27"/>
  <c r="K3011" i="27"/>
  <c r="J3010" i="27"/>
  <c r="K3008" i="27"/>
  <c r="I3013" i="27"/>
  <c r="H3008" i="27"/>
  <c r="J3009" i="27"/>
  <c r="H3013" i="27"/>
  <c r="J3016" i="27"/>
  <c r="J3012" i="27"/>
  <c r="J3008" i="27"/>
  <c r="I3005" i="27"/>
  <c r="A3005" i="27" l="1"/>
  <c r="A3006" i="27"/>
  <c r="A3009" i="27"/>
  <c r="A3008" i="27"/>
  <c r="A3010" i="27"/>
  <c r="A3007" i="27"/>
  <c r="A3016" i="27"/>
  <c r="A3013" i="27"/>
  <c r="A3015" i="27"/>
  <c r="AZ38" i="34"/>
  <c r="H3014" i="27"/>
  <c r="J3013" i="27"/>
  <c r="K3014" i="27"/>
  <c r="I3011" i="27"/>
  <c r="J3014" i="27"/>
  <c r="K3015" i="27"/>
  <c r="I3012" i="27"/>
  <c r="A3012" i="27" l="1"/>
  <c r="A3011" i="27"/>
  <c r="A3014" i="27"/>
  <c r="AZ39" i="34"/>
  <c r="J3027" i="27"/>
  <c r="K3025" i="27"/>
  <c r="I3027" i="27"/>
  <c r="I3021" i="27"/>
  <c r="K3023" i="27"/>
  <c r="J3024" i="27"/>
  <c r="K3018" i="27"/>
  <c r="J3018" i="27"/>
  <c r="H3024" i="27"/>
  <c r="K3019" i="27"/>
  <c r="I3020" i="27"/>
  <c r="J3020" i="27"/>
  <c r="H3020" i="27"/>
  <c r="H3022" i="27"/>
  <c r="K3021" i="27"/>
  <c r="I3019" i="27"/>
  <c r="H3021" i="27"/>
  <c r="H3019" i="27"/>
  <c r="I3022" i="27"/>
  <c r="K3022" i="27"/>
  <c r="I3018" i="27"/>
  <c r="J3022" i="27"/>
  <c r="H3023" i="27"/>
  <c r="H3017" i="27"/>
  <c r="J3019" i="27"/>
  <c r="H3025" i="27"/>
  <c r="K3028" i="27"/>
  <c r="J3021" i="27"/>
  <c r="K3017" i="27"/>
  <c r="K3020" i="27"/>
  <c r="J3017" i="27"/>
  <c r="H3018" i="27"/>
  <c r="I3017" i="27"/>
  <c r="K3024" i="27"/>
  <c r="A3018" i="27" l="1"/>
  <c r="A3022" i="27"/>
  <c r="A3019" i="27"/>
  <c r="A3021" i="27"/>
  <c r="A3017" i="27"/>
  <c r="A3020" i="27"/>
  <c r="AZ40" i="34"/>
  <c r="H3033" i="27"/>
  <c r="H3029" i="27"/>
  <c r="K3031" i="27"/>
  <c r="J3026" i="27"/>
  <c r="K3030" i="27"/>
  <c r="I3028" i="27"/>
  <c r="H3028" i="27"/>
  <c r="H3030" i="27"/>
  <c r="J3034" i="27"/>
  <c r="J3031" i="27"/>
  <c r="J3032" i="27"/>
  <c r="J3025" i="27"/>
  <c r="H3032" i="27"/>
  <c r="J3023" i="27"/>
  <c r="K3027" i="27"/>
  <c r="H3031" i="27"/>
  <c r="K3026" i="27"/>
  <c r="I3025" i="27"/>
  <c r="I3032" i="27"/>
  <c r="I3026" i="27"/>
  <c r="I3024" i="27"/>
  <c r="J3033" i="27"/>
  <c r="I3023" i="27"/>
  <c r="K3034" i="27"/>
  <c r="K3032" i="27"/>
  <c r="H3027" i="27"/>
  <c r="J3028" i="27"/>
  <c r="H3026" i="27"/>
  <c r="A3024" i="27" l="1"/>
  <c r="A3025" i="27"/>
  <c r="A3023" i="27"/>
  <c r="A3032" i="27"/>
  <c r="A3027" i="27"/>
  <c r="A3026" i="27"/>
  <c r="A3028" i="27"/>
  <c r="AZ41" i="34"/>
  <c r="H3037" i="27"/>
  <c r="I3031" i="27"/>
  <c r="I3029" i="27"/>
  <c r="I3034" i="27"/>
  <c r="I3030" i="27"/>
  <c r="K3033" i="27"/>
  <c r="K3029" i="27"/>
  <c r="H3034" i="27"/>
  <c r="J3029" i="27"/>
  <c r="J3030" i="27"/>
  <c r="H3040" i="27"/>
  <c r="I3033" i="27"/>
  <c r="A3030" i="27" l="1"/>
  <c r="A3029" i="27"/>
  <c r="A3031" i="27"/>
  <c r="A3033" i="27"/>
  <c r="A3034" i="27"/>
  <c r="AZ42" i="34"/>
  <c r="K3038" i="27"/>
  <c r="I3039" i="27"/>
  <c r="J3037" i="27"/>
  <c r="J3044" i="27"/>
  <c r="J3036" i="27"/>
  <c r="K3040" i="27"/>
  <c r="I3036" i="27"/>
  <c r="H3036" i="27"/>
  <c r="J3045" i="27"/>
  <c r="I3043" i="27"/>
  <c r="H3041" i="27"/>
  <c r="I3038" i="27"/>
  <c r="K3045" i="27"/>
  <c r="J3039" i="27"/>
  <c r="H3039" i="27"/>
  <c r="H3042" i="27"/>
  <c r="I3037" i="27"/>
  <c r="K3037" i="27"/>
  <c r="I3040" i="27"/>
  <c r="H3038" i="27"/>
  <c r="J3040" i="27"/>
  <c r="J3038" i="27"/>
  <c r="K3035" i="27"/>
  <c r="H3035" i="27"/>
  <c r="K3036" i="27"/>
  <c r="H3043" i="27"/>
  <c r="J3035" i="27"/>
  <c r="I3046" i="27"/>
  <c r="I3035" i="27"/>
  <c r="K3044" i="27"/>
  <c r="K3039" i="27"/>
  <c r="A3037" i="27" l="1"/>
  <c r="A3040" i="27"/>
  <c r="A3038" i="27"/>
  <c r="A3043" i="27"/>
  <c r="A3039" i="27"/>
  <c r="A3035" i="27"/>
  <c r="A3036" i="27"/>
  <c r="AZ43" i="34"/>
  <c r="J3043" i="27"/>
  <c r="K3042" i="27"/>
  <c r="I3045" i="27"/>
  <c r="I3049" i="27"/>
  <c r="J3041" i="27"/>
  <c r="I3042" i="27"/>
  <c r="K3049" i="27"/>
  <c r="K3041" i="27"/>
  <c r="H3048" i="27"/>
  <c r="J3049" i="27"/>
  <c r="K3050" i="27"/>
  <c r="J3042" i="27"/>
  <c r="K3051" i="27"/>
  <c r="K3046" i="27"/>
  <c r="J3048" i="27"/>
  <c r="J3052" i="27"/>
  <c r="H3044" i="27"/>
  <c r="I3044" i="27"/>
  <c r="J3046" i="27"/>
  <c r="H3049" i="27"/>
  <c r="H3045" i="27"/>
  <c r="I3041" i="27"/>
  <c r="H3046" i="27"/>
  <c r="K3043" i="27"/>
  <c r="A3041" i="27" l="1"/>
  <c r="A3042" i="27"/>
  <c r="A3045" i="27"/>
  <c r="A3049" i="27"/>
  <c r="A3044" i="27"/>
  <c r="A3046" i="27"/>
  <c r="AZ44" i="34"/>
  <c r="K3047" i="27"/>
  <c r="I3056" i="27"/>
  <c r="H3047" i="27"/>
  <c r="J3056" i="27"/>
  <c r="I3055" i="27"/>
  <c r="I3051" i="27"/>
  <c r="J3053" i="27"/>
  <c r="J3057" i="27"/>
  <c r="I3052" i="27"/>
  <c r="I3047" i="27"/>
  <c r="J3047" i="27"/>
  <c r="I3054" i="27"/>
  <c r="H3051" i="27"/>
  <c r="J3051" i="27"/>
  <c r="H3053" i="27"/>
  <c r="K3056" i="27"/>
  <c r="I3050" i="27"/>
  <c r="K3052" i="27"/>
  <c r="H3056" i="27"/>
  <c r="K3048" i="27"/>
  <c r="H3052" i="27"/>
  <c r="K3053" i="27"/>
  <c r="H3050" i="27"/>
  <c r="I3048" i="27"/>
  <c r="J3050" i="27"/>
  <c r="J3054" i="27"/>
  <c r="A3048" i="27" l="1"/>
  <c r="A3052" i="27"/>
  <c r="A3050" i="27"/>
  <c r="A3047" i="27"/>
  <c r="A3051" i="27"/>
  <c r="A3056" i="27"/>
  <c r="AZ45" i="34"/>
  <c r="K3060" i="27"/>
  <c r="I3064" i="27"/>
  <c r="H3058" i="27"/>
  <c r="K3055" i="27"/>
  <c r="J3059" i="27"/>
  <c r="J3058" i="27"/>
  <c r="I3057" i="27"/>
  <c r="I3062" i="27"/>
  <c r="I3053" i="27"/>
  <c r="H3054" i="27"/>
  <c r="I3058" i="27"/>
  <c r="J3055" i="27"/>
  <c r="K3057" i="27"/>
  <c r="H3055" i="27"/>
  <c r="I3060" i="27"/>
  <c r="K3054" i="27"/>
  <c r="K3058" i="27"/>
  <c r="H3057" i="27"/>
  <c r="H3063" i="27"/>
  <c r="A3053" i="27" l="1"/>
  <c r="A3058" i="27"/>
  <c r="A3057" i="27"/>
  <c r="A3055" i="27"/>
  <c r="A3054" i="27"/>
  <c r="AZ46" i="34"/>
  <c r="H3062" i="27"/>
  <c r="K3070" i="27"/>
  <c r="H3065" i="27"/>
  <c r="K3066" i="27"/>
  <c r="J3060" i="27"/>
  <c r="H3068" i="27"/>
  <c r="J3062" i="27"/>
  <c r="K3062" i="27"/>
  <c r="J3066" i="27"/>
  <c r="H3061" i="27"/>
  <c r="K3063" i="27"/>
  <c r="K3064" i="27"/>
  <c r="K3059" i="27"/>
  <c r="I3063" i="27"/>
  <c r="I3059" i="27"/>
  <c r="I3065" i="27"/>
  <c r="H3066" i="27"/>
  <c r="H3070" i="27"/>
  <c r="I3069" i="27"/>
  <c r="J3070" i="27"/>
  <c r="H3064" i="27"/>
  <c r="I3070" i="27"/>
  <c r="K3068" i="27"/>
  <c r="I3067" i="27"/>
  <c r="I3068" i="27"/>
  <c r="J3063" i="27"/>
  <c r="I3061" i="27"/>
  <c r="I3066" i="27"/>
  <c r="H3067" i="27"/>
  <c r="K3067" i="27"/>
  <c r="H3060" i="27"/>
  <c r="J3061" i="27"/>
  <c r="J3064" i="27"/>
  <c r="K3061" i="27"/>
  <c r="H3069" i="27"/>
  <c r="K3069" i="27"/>
  <c r="K3065" i="27"/>
  <c r="J3069" i="27"/>
  <c r="J3065" i="27"/>
  <c r="J3068" i="27"/>
  <c r="H3059" i="27"/>
  <c r="J3067" i="27"/>
  <c r="A3063" i="27" l="1"/>
  <c r="A3069" i="27"/>
  <c r="A3066" i="27"/>
  <c r="A3064" i="27"/>
  <c r="A3060" i="27"/>
  <c r="A3070" i="27"/>
  <c r="A3062" i="27"/>
  <c r="A3061" i="27"/>
  <c r="A3068" i="27"/>
  <c r="A3059" i="27"/>
  <c r="A3067" i="27"/>
  <c r="A3065" i="27"/>
  <c r="AZ47" i="34"/>
  <c r="I3073" i="27"/>
  <c r="J3074" i="27"/>
  <c r="K3072" i="27"/>
  <c r="H3071" i="27"/>
  <c r="I3071" i="27"/>
  <c r="H3074" i="27"/>
  <c r="J3076" i="27"/>
  <c r="J3071" i="27"/>
  <c r="I3074" i="27"/>
  <c r="K3073" i="27"/>
  <c r="K3075" i="27"/>
  <c r="K3074" i="27"/>
  <c r="I3072" i="27"/>
  <c r="I3075" i="27"/>
  <c r="H3073" i="27"/>
  <c r="I3076" i="27"/>
  <c r="K3071" i="27"/>
  <c r="H3075" i="27"/>
  <c r="J3075" i="27"/>
  <c r="H3072" i="27"/>
  <c r="K3076" i="27"/>
  <c r="J3072" i="27"/>
  <c r="J3073" i="27"/>
  <c r="H3076" i="27"/>
  <c r="A3072" i="27" l="1"/>
  <c r="A3073" i="27"/>
  <c r="A3074" i="27"/>
  <c r="A3076" i="27"/>
  <c r="A3075" i="27"/>
  <c r="A3071" i="27"/>
  <c r="AZ48" i="34"/>
  <c r="H3082" i="27"/>
  <c r="H3078" i="27"/>
  <c r="K3081" i="27"/>
  <c r="I3078" i="27"/>
  <c r="H3080" i="27"/>
  <c r="I3080" i="27"/>
  <c r="H3079" i="27"/>
  <c r="K3077" i="27"/>
  <c r="H3077" i="27"/>
  <c r="J3078" i="27"/>
  <c r="I3079" i="27"/>
  <c r="J3077" i="27"/>
  <c r="K3078" i="27"/>
  <c r="J3080" i="27"/>
  <c r="I3081" i="27"/>
  <c r="J3082" i="27"/>
  <c r="K3079" i="27"/>
  <c r="J3079" i="27"/>
  <c r="I3082" i="27"/>
  <c r="K3080" i="27"/>
  <c r="K3082" i="27"/>
  <c r="J3081" i="27"/>
  <c r="I3077" i="27"/>
  <c r="H3081" i="27"/>
  <c r="A3077" i="27" l="1"/>
  <c r="A3081" i="27"/>
  <c r="A3078" i="27"/>
  <c r="A3082" i="27"/>
  <c r="A3079" i="27"/>
  <c r="A3080" i="27"/>
  <c r="AZ49" i="34"/>
  <c r="H3083" i="27"/>
  <c r="AZ50" i="34" l="1"/>
  <c r="J3086" i="27"/>
  <c r="I3087" i="27"/>
  <c r="I3091" i="27"/>
  <c r="H3092" i="27"/>
  <c r="K3090" i="27"/>
  <c r="I3088" i="27"/>
  <c r="I3083" i="27"/>
  <c r="I3086" i="27"/>
  <c r="K3086" i="27"/>
  <c r="H3094" i="27"/>
  <c r="I3094" i="27"/>
  <c r="J3088" i="27"/>
  <c r="J3089" i="27"/>
  <c r="K3085" i="27"/>
  <c r="H3093" i="27"/>
  <c r="J3087" i="27"/>
  <c r="I3089" i="27"/>
  <c r="J3085" i="27"/>
  <c r="H3086" i="27"/>
  <c r="I3092" i="27"/>
  <c r="K3083" i="27"/>
  <c r="H3088" i="27"/>
  <c r="J3091" i="27"/>
  <c r="J3090" i="27"/>
  <c r="J3084" i="27"/>
  <c r="K3093" i="27"/>
  <c r="H3084" i="27"/>
  <c r="J3083" i="27"/>
  <c r="H3085" i="27"/>
  <c r="K3091" i="27"/>
  <c r="I3084" i="27"/>
  <c r="I3085" i="27"/>
  <c r="K3087" i="27"/>
  <c r="K3084" i="27"/>
  <c r="K3088" i="27"/>
  <c r="H3087" i="27"/>
  <c r="A3083" i="27" l="1"/>
  <c r="A3085" i="27"/>
  <c r="A3092" i="27"/>
  <c r="A3086" i="27"/>
  <c r="A3084" i="27"/>
  <c r="A3094" i="27"/>
  <c r="A3087" i="27"/>
  <c r="A3088" i="27"/>
  <c r="AZ51" i="34"/>
  <c r="H3091" i="27"/>
  <c r="J3099" i="27"/>
  <c r="H3090" i="27"/>
  <c r="J3093" i="27"/>
  <c r="K3094" i="27"/>
  <c r="I3096" i="27"/>
  <c r="K3092" i="27"/>
  <c r="K3096" i="27"/>
  <c r="I3100" i="27"/>
  <c r="K3100" i="27"/>
  <c r="K3089" i="27"/>
  <c r="I3095" i="27"/>
  <c r="I3090" i="27"/>
  <c r="J3094" i="27"/>
  <c r="J3098" i="27"/>
  <c r="I3098" i="27"/>
  <c r="H3099" i="27"/>
  <c r="H3097" i="27"/>
  <c r="J3092" i="27"/>
  <c r="H3098" i="27"/>
  <c r="I3093" i="27"/>
  <c r="K3095" i="27"/>
  <c r="K3098" i="27"/>
  <c r="H3089" i="27"/>
  <c r="I3099" i="27"/>
  <c r="K3097" i="27"/>
  <c r="A3093" i="27" l="1"/>
  <c r="A3091" i="27"/>
  <c r="A3098" i="27"/>
  <c r="A3089" i="27"/>
  <c r="A3090" i="27"/>
  <c r="A3099" i="27"/>
  <c r="AZ52" i="34"/>
  <c r="H3095" i="27"/>
  <c r="H3100" i="27"/>
  <c r="I3097" i="27"/>
  <c r="K3099" i="27"/>
  <c r="J3097" i="27"/>
  <c r="J3096" i="27"/>
  <c r="J3095" i="27"/>
  <c r="J3100" i="27"/>
  <c r="H3096" i="27"/>
  <c r="J3105" i="27"/>
  <c r="A3097" i="27" l="1"/>
  <c r="A3095" i="27"/>
  <c r="A3096" i="27"/>
  <c r="A3100" i="27"/>
  <c r="AZ53" i="34"/>
  <c r="I3105" i="27"/>
  <c r="J3103" i="27"/>
  <c r="J3101" i="27"/>
  <c r="K3102" i="27"/>
  <c r="K3105" i="27"/>
  <c r="J3102" i="27"/>
  <c r="I3103" i="27"/>
  <c r="H3101" i="27"/>
  <c r="H3103" i="27"/>
  <c r="K3103" i="27"/>
  <c r="J3104" i="27"/>
  <c r="H3105" i="27"/>
  <c r="K3101" i="27"/>
  <c r="I3104" i="27"/>
  <c r="H3102" i="27"/>
  <c r="K3106" i="27"/>
  <c r="I3101" i="27"/>
  <c r="I3102" i="27"/>
  <c r="K3104" i="27"/>
  <c r="H3104" i="27"/>
  <c r="J3106" i="27"/>
  <c r="H3106" i="27"/>
  <c r="I3106" i="27"/>
  <c r="A3106" i="27" l="1"/>
  <c r="A3103" i="27"/>
  <c r="A3104" i="27"/>
  <c r="A3102" i="27"/>
  <c r="A3101" i="27"/>
  <c r="A3105" i="27"/>
  <c r="AZ54" i="34"/>
  <c r="K3107" i="27"/>
  <c r="K3112" i="27"/>
  <c r="J3110" i="27"/>
  <c r="H3111" i="27"/>
  <c r="J3108" i="27"/>
  <c r="I3108" i="27"/>
  <c r="H3107" i="27"/>
  <c r="K3110" i="27"/>
  <c r="J3112" i="27"/>
  <c r="H3110" i="27"/>
  <c r="I3109" i="27"/>
  <c r="I3111" i="27"/>
  <c r="H3108" i="27"/>
  <c r="K3108" i="27"/>
  <c r="K3116" i="27"/>
  <c r="J3111" i="27"/>
  <c r="J3109" i="27"/>
  <c r="I3110" i="27"/>
  <c r="H3116" i="27"/>
  <c r="J3113" i="27"/>
  <c r="J3107" i="27"/>
  <c r="K3115" i="27"/>
  <c r="K3111" i="27"/>
  <c r="J3116" i="27"/>
  <c r="I3107" i="27"/>
  <c r="H3109" i="27"/>
  <c r="K3109" i="27"/>
  <c r="H3112" i="27"/>
  <c r="H3115" i="27"/>
  <c r="H3114" i="27"/>
  <c r="I3112" i="27"/>
  <c r="A3112" i="27" l="1"/>
  <c r="A3111" i="27"/>
  <c r="A3110" i="27"/>
  <c r="A3109" i="27"/>
  <c r="A3107" i="27"/>
  <c r="A3108" i="27"/>
  <c r="AZ55" i="34"/>
  <c r="K3121" i="27"/>
  <c r="I3116" i="27"/>
  <c r="I3115" i="27"/>
  <c r="J3123" i="27"/>
  <c r="J3118" i="27"/>
  <c r="H3113" i="27"/>
  <c r="K3118" i="27"/>
  <c r="H3118" i="27"/>
  <c r="J3115" i="27"/>
  <c r="I3113" i="27"/>
  <c r="K3113" i="27"/>
  <c r="I3117" i="27"/>
  <c r="K3114" i="27"/>
  <c r="K3123" i="27"/>
  <c r="J3114" i="27"/>
  <c r="J3124" i="27"/>
  <c r="I3118" i="27"/>
  <c r="I3114" i="27"/>
  <c r="H3117" i="27"/>
  <c r="J3117" i="27"/>
  <c r="K3117" i="27"/>
  <c r="I3123" i="27"/>
  <c r="A3115" i="27" l="1"/>
  <c r="A3114" i="27"/>
  <c r="A3116" i="27"/>
  <c r="A3117" i="27"/>
  <c r="A3118" i="27"/>
  <c r="A3113" i="27"/>
  <c r="AZ56" i="34"/>
  <c r="J3125" i="27"/>
  <c r="I3121" i="27"/>
  <c r="H3124" i="27"/>
  <c r="J3119" i="27"/>
  <c r="J3121" i="27"/>
  <c r="I3122" i="27"/>
  <c r="H3123" i="27"/>
  <c r="J3120" i="27"/>
  <c r="J3129" i="27"/>
  <c r="H3120" i="27"/>
  <c r="I3119" i="27"/>
  <c r="I3120" i="27"/>
  <c r="I3124" i="27"/>
  <c r="K3129" i="27"/>
  <c r="K3124" i="27"/>
  <c r="K3122" i="27"/>
  <c r="J3127" i="27"/>
  <c r="H3125" i="27"/>
  <c r="J3130" i="27"/>
  <c r="H3130" i="27"/>
  <c r="K3120" i="27"/>
  <c r="I3130" i="27"/>
  <c r="H3126" i="27"/>
  <c r="H3122" i="27"/>
  <c r="K3125" i="27"/>
  <c r="I3127" i="27"/>
  <c r="K3119" i="27"/>
  <c r="H3121" i="27"/>
  <c r="I3129" i="27"/>
  <c r="H3119" i="27"/>
  <c r="J3122" i="27"/>
  <c r="J3128" i="27"/>
  <c r="H3128" i="27"/>
  <c r="A3122" i="27" l="1"/>
  <c r="A3130" i="27"/>
  <c r="A3119" i="27"/>
  <c r="A3121" i="27"/>
  <c r="A3123" i="27"/>
  <c r="A3120" i="27"/>
  <c r="A3124" i="27"/>
  <c r="AZ57" i="34"/>
  <c r="H3132" i="27"/>
  <c r="K3127" i="27"/>
  <c r="I3126" i="27"/>
  <c r="K3126" i="27"/>
  <c r="H3127" i="27"/>
  <c r="K3128" i="27"/>
  <c r="I3125" i="27"/>
  <c r="K3130" i="27"/>
  <c r="H3129" i="27"/>
  <c r="J3126" i="27"/>
  <c r="I3128" i="27"/>
  <c r="A3128" i="27" l="1"/>
  <c r="A3126" i="27"/>
  <c r="A3125" i="27"/>
  <c r="A3129" i="27"/>
  <c r="A3127" i="27"/>
  <c r="AZ58" i="34"/>
  <c r="J3138" i="27"/>
  <c r="K3139" i="27"/>
  <c r="J3131" i="27"/>
  <c r="I3131" i="27"/>
  <c r="K3142" i="27"/>
  <c r="H3142" i="27"/>
  <c r="J3140" i="27"/>
  <c r="J3137" i="27"/>
  <c r="H3138" i="27"/>
  <c r="I3135" i="27"/>
  <c r="I3132" i="27"/>
  <c r="H3135" i="27"/>
  <c r="I3134" i="27"/>
  <c r="K3135" i="27"/>
  <c r="H3134" i="27"/>
  <c r="J3135" i="27"/>
  <c r="K3133" i="27"/>
  <c r="J3132" i="27"/>
  <c r="K3136" i="27"/>
  <c r="I3136" i="27"/>
  <c r="J3142" i="27"/>
  <c r="I3133" i="27"/>
  <c r="J3134" i="27"/>
  <c r="I3141" i="27"/>
  <c r="H3131" i="27"/>
  <c r="K3134" i="27"/>
  <c r="K3131" i="27"/>
  <c r="K3137" i="27"/>
  <c r="K3132" i="27"/>
  <c r="J3133" i="27"/>
  <c r="H3136" i="27"/>
  <c r="J3136" i="27"/>
  <c r="H3133" i="27"/>
  <c r="I3139" i="27"/>
  <c r="A3132" i="27" l="1"/>
  <c r="A3135" i="27"/>
  <c r="A3131" i="27"/>
  <c r="A3136" i="27"/>
  <c r="A3133" i="27"/>
  <c r="A3134" i="27"/>
  <c r="AZ59" i="34"/>
  <c r="H3137" i="27"/>
  <c r="K3148" i="27"/>
  <c r="J3143" i="27"/>
  <c r="H3140" i="27"/>
  <c r="J3148" i="27"/>
  <c r="I3142" i="27"/>
  <c r="I3144" i="27"/>
  <c r="K3145" i="27"/>
  <c r="I3137" i="27"/>
  <c r="I3147" i="27"/>
  <c r="I3138" i="27"/>
  <c r="I3146" i="27"/>
  <c r="J3146" i="27"/>
  <c r="I3143" i="27"/>
  <c r="K3143" i="27"/>
  <c r="H3145" i="27"/>
  <c r="H3146" i="27"/>
  <c r="K3140" i="27"/>
  <c r="J3147" i="27"/>
  <c r="K3144" i="27"/>
  <c r="J3145" i="27"/>
  <c r="K3147" i="27"/>
  <c r="I3148" i="27"/>
  <c r="H3147" i="27"/>
  <c r="I3140" i="27"/>
  <c r="K3138" i="27"/>
  <c r="H3148" i="27"/>
  <c r="J3141" i="27"/>
  <c r="H3141" i="27"/>
  <c r="K3146" i="27"/>
  <c r="I3145" i="27"/>
  <c r="H3139" i="27"/>
  <c r="K3141" i="27"/>
  <c r="J3139" i="27"/>
  <c r="H3143" i="27"/>
  <c r="H3144" i="27"/>
  <c r="A3142" i="27" l="1"/>
  <c r="A3138" i="27"/>
  <c r="A3148" i="27"/>
  <c r="A3146" i="27"/>
  <c r="A3143" i="27"/>
  <c r="A3145" i="27"/>
  <c r="A3141" i="27"/>
  <c r="A3147" i="27"/>
  <c r="A3137" i="27"/>
  <c r="A3140" i="27"/>
  <c r="A3144" i="27"/>
  <c r="A3139" i="27"/>
  <c r="AZ60" i="34"/>
  <c r="H3152" i="27"/>
  <c r="H3153" i="27"/>
  <c r="J3154" i="27"/>
  <c r="K3154" i="27"/>
  <c r="H3150" i="27"/>
  <c r="K3149" i="27"/>
  <c r="H3149" i="27"/>
  <c r="J3152" i="27"/>
  <c r="J3150" i="27"/>
  <c r="J3151" i="27"/>
  <c r="K3152" i="27"/>
  <c r="J3144" i="27"/>
  <c r="I3154" i="27"/>
  <c r="J3149" i="27"/>
  <c r="I3149" i="27"/>
  <c r="H3151" i="27"/>
  <c r="J3153" i="27"/>
  <c r="A3149" i="27" l="1"/>
  <c r="AZ61" i="34"/>
  <c r="I3152" i="27"/>
  <c r="J3157" i="27"/>
  <c r="I3150" i="27"/>
  <c r="J3159" i="27"/>
  <c r="H3157" i="27"/>
  <c r="I3160" i="27"/>
  <c r="H3156" i="27"/>
  <c r="H3158" i="27"/>
  <c r="K3158" i="27"/>
  <c r="H3159" i="27"/>
  <c r="H3154" i="27"/>
  <c r="H3155" i="27"/>
  <c r="K3155" i="27"/>
  <c r="K3153" i="27"/>
  <c r="I3157" i="27"/>
  <c r="I3151" i="27"/>
  <c r="J3158" i="27"/>
  <c r="I3156" i="27"/>
  <c r="I3155" i="27"/>
  <c r="J3155" i="27"/>
  <c r="K3156" i="27"/>
  <c r="I3158" i="27"/>
  <c r="K3159" i="27"/>
  <c r="H3160" i="27"/>
  <c r="I3159" i="27"/>
  <c r="K3151" i="27"/>
  <c r="J3160" i="27"/>
  <c r="K3160" i="27"/>
  <c r="K3150" i="27"/>
  <c r="J3156" i="27"/>
  <c r="K3157" i="27"/>
  <c r="I3153" i="27"/>
  <c r="A3150" i="27" l="1"/>
  <c r="A3153" i="27"/>
  <c r="A3152" i="27"/>
  <c r="A3151" i="27"/>
  <c r="A3157" i="27"/>
  <c r="A3155" i="27"/>
  <c r="A3158" i="27"/>
  <c r="A3159" i="27"/>
  <c r="A3154" i="27"/>
  <c r="A3160" i="27"/>
  <c r="A3156" i="27"/>
  <c r="AZ62" i="34"/>
  <c r="H3164" i="27"/>
  <c r="I3162" i="27"/>
  <c r="K3161" i="27"/>
  <c r="H3161" i="27"/>
  <c r="H3165" i="27"/>
  <c r="J3163" i="27"/>
  <c r="J3166" i="27"/>
  <c r="K3162" i="27"/>
  <c r="I3164" i="27"/>
  <c r="H3166" i="27"/>
  <c r="K3163" i="27"/>
  <c r="J3164" i="27"/>
  <c r="K3166" i="27"/>
  <c r="K3164" i="27"/>
  <c r="I3166" i="27"/>
  <c r="I3163" i="27"/>
  <c r="J3162" i="27"/>
  <c r="I3161" i="27"/>
  <c r="J3161" i="27"/>
  <c r="H3162" i="27"/>
  <c r="J3165" i="27"/>
  <c r="H3163" i="27"/>
  <c r="I3165" i="27"/>
  <c r="K3165" i="27"/>
  <c r="A3164" i="27" l="1"/>
  <c r="A3165" i="27"/>
  <c r="A3161" i="27"/>
  <c r="A3166" i="27"/>
  <c r="A3162" i="27"/>
  <c r="A3163" i="27"/>
  <c r="AZ63" i="34"/>
  <c r="I3172" i="27"/>
  <c r="H3171" i="27"/>
  <c r="J3170" i="27"/>
  <c r="I3168" i="27"/>
  <c r="J3168" i="27"/>
  <c r="H3172" i="27"/>
  <c r="K3172" i="27"/>
  <c r="H3167" i="27"/>
  <c r="H3170" i="27"/>
  <c r="J3171" i="27"/>
  <c r="I3170" i="27"/>
  <c r="I3171" i="27"/>
  <c r="H3169" i="27"/>
  <c r="K3168" i="27"/>
  <c r="I3167" i="27"/>
  <c r="K3169" i="27"/>
  <c r="K3167" i="27"/>
  <c r="I3169" i="27"/>
  <c r="K3171" i="27"/>
  <c r="J3167" i="27"/>
  <c r="K3170" i="27"/>
  <c r="J3169" i="27"/>
  <c r="J3172" i="27"/>
  <c r="H3168" i="27"/>
  <c r="A3167" i="27" l="1"/>
  <c r="A3171" i="27"/>
  <c r="A3172" i="27"/>
  <c r="A3169" i="27"/>
  <c r="A3170" i="27"/>
  <c r="A3168" i="27"/>
  <c r="AZ64" i="34"/>
  <c r="AZ65" i="34" l="1"/>
  <c r="I3176" i="27"/>
  <c r="J3173" i="27"/>
  <c r="K3176" i="27"/>
  <c r="H3179" i="27"/>
  <c r="J3177" i="27"/>
  <c r="H3174" i="27"/>
  <c r="H3173" i="27"/>
  <c r="J3176" i="27"/>
  <c r="I3177" i="27"/>
  <c r="K3174" i="27"/>
  <c r="K3177" i="27"/>
  <c r="K3175" i="27"/>
  <c r="I3173" i="27"/>
  <c r="K3182" i="27"/>
  <c r="I3183" i="27"/>
  <c r="I3180" i="27"/>
  <c r="K3173" i="27"/>
  <c r="I3175" i="27"/>
  <c r="I3174" i="27"/>
  <c r="J3178" i="27"/>
  <c r="J3182" i="27"/>
  <c r="H3182" i="27"/>
  <c r="K3183" i="27"/>
  <c r="H3176" i="27"/>
  <c r="J3183" i="27"/>
  <c r="H3178" i="27"/>
  <c r="H3177" i="27"/>
  <c r="K3178" i="27"/>
  <c r="J3184" i="27"/>
  <c r="J3174" i="27"/>
  <c r="H3175" i="27"/>
  <c r="I3184" i="27"/>
  <c r="J3175" i="27"/>
  <c r="I3178" i="27"/>
  <c r="A3178" i="27" l="1"/>
  <c r="A3173" i="27"/>
  <c r="A3177" i="27"/>
  <c r="A3175" i="27"/>
  <c r="A3174" i="27"/>
  <c r="A3176" i="27"/>
  <c r="AZ66" i="34"/>
  <c r="K3180" i="27"/>
  <c r="K3185" i="27"/>
  <c r="I3190" i="27"/>
  <c r="J3181" i="27"/>
  <c r="H3190" i="27"/>
  <c r="K3179" i="27"/>
  <c r="K3190" i="27"/>
  <c r="H3180" i="27"/>
  <c r="I3179" i="27"/>
  <c r="I3185" i="27"/>
  <c r="J3187" i="27"/>
  <c r="I3182" i="27"/>
  <c r="J3188" i="27"/>
  <c r="H3181" i="27"/>
  <c r="J3185" i="27"/>
  <c r="K3181" i="27"/>
  <c r="H3186" i="27"/>
  <c r="H3183" i="27"/>
  <c r="K3187" i="27"/>
  <c r="I3186" i="27"/>
  <c r="I3181" i="27"/>
  <c r="J3179" i="27"/>
  <c r="H3184" i="27"/>
  <c r="J3180" i="27"/>
  <c r="K3184" i="27"/>
  <c r="A3182" i="27" l="1"/>
  <c r="A3179" i="27"/>
  <c r="A3183" i="27"/>
  <c r="A3190" i="27"/>
  <c r="A3184" i="27"/>
  <c r="A3181" i="27"/>
  <c r="A3186" i="27"/>
  <c r="A3180" i="27"/>
  <c r="AZ67" i="34"/>
  <c r="K3195" i="27"/>
  <c r="K3193" i="27"/>
  <c r="J3196" i="27"/>
  <c r="J3186" i="27"/>
  <c r="H3193" i="27"/>
  <c r="I3189" i="27"/>
  <c r="K3186" i="27"/>
  <c r="K3194" i="27"/>
  <c r="I3188" i="27"/>
  <c r="H3189" i="27"/>
  <c r="K3196" i="27"/>
  <c r="K3192" i="27"/>
  <c r="K3188" i="27"/>
  <c r="H3185" i="27"/>
  <c r="H3188" i="27"/>
  <c r="I3187" i="27"/>
  <c r="K3189" i="27"/>
  <c r="I3195" i="27"/>
  <c r="J3194" i="27"/>
  <c r="J3192" i="27"/>
  <c r="I3191" i="27"/>
  <c r="I3193" i="27"/>
  <c r="H3192" i="27"/>
  <c r="J3189" i="27"/>
  <c r="H3187" i="27"/>
  <c r="J3190" i="27"/>
  <c r="H3194" i="27"/>
  <c r="A3193" i="27" l="1"/>
  <c r="A3185" i="27"/>
  <c r="A3187" i="27"/>
  <c r="A3188" i="27"/>
  <c r="A3189" i="27"/>
  <c r="AZ68" i="34"/>
  <c r="H3200" i="27"/>
  <c r="H3191" i="27"/>
  <c r="H3198" i="27"/>
  <c r="H3201" i="27"/>
  <c r="K3201" i="27"/>
  <c r="H3195" i="27"/>
  <c r="J3200" i="27"/>
  <c r="I3197" i="27"/>
  <c r="I3196" i="27"/>
  <c r="K3191" i="27"/>
  <c r="I3200" i="27"/>
  <c r="H3202" i="27"/>
  <c r="I3201" i="27"/>
  <c r="H3197" i="27"/>
  <c r="J3197" i="27"/>
  <c r="K3200" i="27"/>
  <c r="I3194" i="27"/>
  <c r="J3195" i="27"/>
  <c r="I3199" i="27"/>
  <c r="J3201" i="27"/>
  <c r="H3196" i="27"/>
  <c r="J3199" i="27"/>
  <c r="J3198" i="27"/>
  <c r="I3192" i="27"/>
  <c r="H3199" i="27"/>
  <c r="K3197" i="27"/>
  <c r="K3199" i="27"/>
  <c r="J3193" i="27"/>
  <c r="J3202" i="27"/>
  <c r="J3191" i="27"/>
  <c r="K3202" i="27"/>
  <c r="A3192" i="27" l="1"/>
  <c r="A3194" i="27"/>
  <c r="A3199" i="27"/>
  <c r="A3191" i="27"/>
  <c r="A3200" i="27"/>
  <c r="A3195" i="27"/>
  <c r="A3197" i="27"/>
  <c r="A3196" i="27"/>
  <c r="A3201" i="27"/>
  <c r="AZ69" i="34"/>
  <c r="I3202" i="27"/>
  <c r="I3198" i="27"/>
  <c r="K3205" i="27"/>
  <c r="K3207" i="27"/>
  <c r="H3203" i="27"/>
  <c r="K3208" i="27"/>
  <c r="K3203" i="27"/>
  <c r="H3207" i="27"/>
  <c r="I3208" i="27"/>
  <c r="J3205" i="27"/>
  <c r="I3204" i="27"/>
  <c r="J3208" i="27"/>
  <c r="J3204" i="27"/>
  <c r="H3205" i="27"/>
  <c r="K3198" i="27"/>
  <c r="H3206" i="27"/>
  <c r="H3208" i="27"/>
  <c r="J3203" i="27"/>
  <c r="A3198" i="27" l="1"/>
  <c r="A3202" i="27"/>
  <c r="A3208" i="27"/>
  <c r="AZ70" i="34"/>
  <c r="I3206" i="27"/>
  <c r="K3212" i="27"/>
  <c r="I3211" i="27"/>
  <c r="J3212" i="27"/>
  <c r="H3211" i="27"/>
  <c r="I3212" i="27"/>
  <c r="J3211" i="27"/>
  <c r="I3214" i="27"/>
  <c r="I3205" i="27"/>
  <c r="K3211" i="27"/>
  <c r="K3213" i="27"/>
  <c r="K3204" i="27"/>
  <c r="J3207" i="27"/>
  <c r="I3210" i="27"/>
  <c r="K3214" i="27"/>
  <c r="H3204" i="27"/>
  <c r="H3213" i="27"/>
  <c r="H3209" i="27"/>
  <c r="K3206" i="27"/>
  <c r="J3209" i="27"/>
  <c r="I3209" i="27"/>
  <c r="H3212" i="27"/>
  <c r="I3207" i="27"/>
  <c r="J3214" i="27"/>
  <c r="J3206" i="27"/>
  <c r="K3209" i="27"/>
  <c r="I3203" i="27"/>
  <c r="J3210" i="27"/>
  <c r="J3213" i="27"/>
  <c r="H3214" i="27"/>
  <c r="H3210" i="27"/>
  <c r="A3206" i="27" l="1"/>
  <c r="A3207" i="27"/>
  <c r="A3203" i="27"/>
  <c r="A3205" i="27"/>
  <c r="A3214" i="27"/>
  <c r="A3211" i="27"/>
  <c r="A3204" i="27"/>
  <c r="A3212" i="27"/>
  <c r="A3210" i="27"/>
  <c r="A3209" i="27"/>
  <c r="AZ71" i="34"/>
  <c r="K3219" i="27"/>
  <c r="K3210" i="27"/>
  <c r="J3216" i="27"/>
  <c r="J3220" i="27"/>
  <c r="J3218" i="27"/>
  <c r="H3216" i="27"/>
  <c r="K3216" i="27"/>
  <c r="J3219" i="27"/>
  <c r="I3217" i="27"/>
  <c r="I3219" i="27"/>
  <c r="J3215" i="27"/>
  <c r="H3219" i="27"/>
  <c r="I3213" i="27"/>
  <c r="H3218" i="27"/>
  <c r="K3217" i="27"/>
  <c r="K3215" i="27"/>
  <c r="H3220" i="27"/>
  <c r="A3213" i="27" l="1"/>
  <c r="A3219" i="27"/>
  <c r="AZ72" i="34"/>
  <c r="H3225" i="27"/>
  <c r="I3218" i="27"/>
  <c r="H3217" i="27"/>
  <c r="K3226" i="27"/>
  <c r="K3218" i="27"/>
  <c r="I3224" i="27"/>
  <c r="H3215" i="27"/>
  <c r="J3217" i="27"/>
  <c r="K3220" i="27"/>
  <c r="J3226" i="27"/>
  <c r="I3216" i="27"/>
  <c r="I3225" i="27"/>
  <c r="I3215" i="27"/>
  <c r="I3220" i="27"/>
  <c r="H3223" i="27"/>
  <c r="A3218" i="27" l="1"/>
  <c r="A3220" i="27"/>
  <c r="A3216" i="27"/>
  <c r="A3217" i="27"/>
  <c r="A3215" i="27"/>
  <c r="A3225" i="27"/>
  <c r="AZ73" i="34"/>
  <c r="H3221" i="27"/>
  <c r="K3221" i="27"/>
  <c r="K3225" i="27"/>
  <c r="H3222" i="27"/>
  <c r="I3222" i="27"/>
  <c r="I3226" i="27"/>
  <c r="J3223" i="27"/>
  <c r="I3221" i="27"/>
  <c r="I3223" i="27"/>
  <c r="H3224" i="27"/>
  <c r="J3222" i="27"/>
  <c r="J3221" i="27"/>
  <c r="K3223" i="27"/>
  <c r="K3222" i="27"/>
  <c r="J3229" i="27"/>
  <c r="J3224" i="27"/>
  <c r="J3225" i="27"/>
  <c r="K3224" i="27"/>
  <c r="H3226" i="27"/>
  <c r="A3223" i="27" l="1"/>
  <c r="A3222" i="27"/>
  <c r="A3224" i="27"/>
  <c r="A3226" i="27"/>
  <c r="A3221" i="27"/>
  <c r="AZ74" i="34"/>
  <c r="J3236" i="27"/>
  <c r="K3235" i="27"/>
  <c r="I3237" i="27"/>
  <c r="J3237" i="27"/>
  <c r="K3234" i="27"/>
  <c r="J3230" i="27"/>
  <c r="I3232" i="27"/>
  <c r="I3230" i="27"/>
  <c r="K3229" i="27"/>
  <c r="K3228" i="27"/>
  <c r="H3232" i="27"/>
  <c r="I3233" i="27"/>
  <c r="I3231" i="27"/>
  <c r="K3233" i="27"/>
  <c r="K3230" i="27"/>
  <c r="H3231" i="27"/>
  <c r="K3227" i="27"/>
  <c r="H3230" i="27"/>
  <c r="I3238" i="27"/>
  <c r="I3227" i="27"/>
  <c r="K3232" i="27"/>
  <c r="H3234" i="27"/>
  <c r="J3232" i="27"/>
  <c r="J3231" i="27"/>
  <c r="I3229" i="27"/>
  <c r="H3228" i="27"/>
  <c r="J3234" i="27"/>
  <c r="K3231" i="27"/>
  <c r="K3236" i="27"/>
  <c r="H3229" i="27"/>
  <c r="J3235" i="27"/>
  <c r="I3228" i="27"/>
  <c r="J3228" i="27"/>
  <c r="H3227" i="27"/>
  <c r="J3227" i="27"/>
  <c r="A3227" i="27" l="1"/>
  <c r="A3228" i="27"/>
  <c r="A3232" i="27"/>
  <c r="A3231" i="27"/>
  <c r="A3230" i="27"/>
  <c r="A3229" i="27"/>
  <c r="AZ75" i="34"/>
  <c r="J3241" i="27"/>
  <c r="K3237" i="27"/>
  <c r="K3242" i="27"/>
  <c r="K3238" i="27"/>
  <c r="H3244" i="27"/>
  <c r="H3239" i="27"/>
  <c r="I3236" i="27"/>
  <c r="J3239" i="27"/>
  <c r="K3241" i="27"/>
  <c r="H3235" i="27"/>
  <c r="J3238" i="27"/>
  <c r="H3238" i="27"/>
  <c r="I3234" i="27"/>
  <c r="H3242" i="27"/>
  <c r="J3233" i="27"/>
  <c r="K3239" i="27"/>
  <c r="J3243" i="27"/>
  <c r="H3236" i="27"/>
  <c r="J3244" i="27"/>
  <c r="I3240" i="27"/>
  <c r="H3237" i="27"/>
  <c r="I3244" i="27"/>
  <c r="I3235" i="27"/>
  <c r="I3242" i="27"/>
  <c r="H3243" i="27"/>
  <c r="H3240" i="27"/>
  <c r="I3243" i="27"/>
  <c r="H3233" i="27"/>
  <c r="K3244" i="27"/>
  <c r="K3240" i="27"/>
  <c r="I3239" i="27"/>
  <c r="K3243" i="27"/>
  <c r="I3241" i="27"/>
  <c r="J3240" i="27"/>
  <c r="A3234" i="27" l="1"/>
  <c r="A3238" i="27"/>
  <c r="A3244" i="27"/>
  <c r="A3233" i="27"/>
  <c r="A3242" i="27"/>
  <c r="A3236" i="27"/>
  <c r="A3243" i="27"/>
  <c r="A3237" i="27"/>
  <c r="A3240" i="27"/>
  <c r="A3239" i="27"/>
  <c r="A3235" i="27"/>
  <c r="AZ76" i="34"/>
  <c r="H3241" i="27"/>
  <c r="K3248" i="27"/>
  <c r="J3242" i="27"/>
  <c r="I3247" i="27"/>
  <c r="J3249" i="27"/>
  <c r="J3250" i="27"/>
  <c r="K3249" i="27"/>
  <c r="K3246" i="27"/>
  <c r="J3248" i="27"/>
  <c r="H3250" i="27"/>
  <c r="A3241" i="27" l="1"/>
  <c r="AZ77" i="34"/>
  <c r="I3245" i="27"/>
  <c r="H3248" i="27"/>
  <c r="I3250" i="27"/>
  <c r="H3247" i="27"/>
  <c r="K3245" i="27"/>
  <c r="J3253" i="27"/>
  <c r="J3251" i="27"/>
  <c r="J3247" i="27"/>
  <c r="I3254" i="27"/>
  <c r="I3248" i="27"/>
  <c r="H3249" i="27"/>
  <c r="I3255" i="27"/>
  <c r="H3245" i="27"/>
  <c r="H3246" i="27"/>
  <c r="H3256" i="27"/>
  <c r="K3251" i="27"/>
  <c r="K3256" i="27"/>
  <c r="H3253" i="27"/>
  <c r="K3247" i="27"/>
  <c r="J3245" i="27"/>
  <c r="K3250" i="27"/>
  <c r="I3249" i="27"/>
  <c r="J3246" i="27"/>
  <c r="I3246" i="27"/>
  <c r="A3250" i="27" l="1"/>
  <c r="A3246" i="27"/>
  <c r="A3248" i="27"/>
  <c r="A3245" i="27"/>
  <c r="A3249" i="27"/>
  <c r="A3247" i="27"/>
  <c r="AZ78" i="34"/>
  <c r="H3251" i="27"/>
  <c r="J3256" i="27"/>
  <c r="J3252" i="27"/>
  <c r="I3256" i="27"/>
  <c r="H3254" i="27"/>
  <c r="I3258" i="27"/>
  <c r="K3253" i="27"/>
  <c r="J3255" i="27"/>
  <c r="I3252" i="27"/>
  <c r="I3262" i="27"/>
  <c r="H3262" i="27"/>
  <c r="H3252" i="27"/>
  <c r="H3255" i="27"/>
  <c r="I3251" i="27"/>
  <c r="K3254" i="27"/>
  <c r="H3261" i="27"/>
  <c r="I3260" i="27"/>
  <c r="I3253" i="27"/>
  <c r="K3255" i="27"/>
  <c r="J3254" i="27"/>
  <c r="K3252" i="27"/>
  <c r="J3260" i="27"/>
  <c r="A3253" i="27" l="1"/>
  <c r="A3256" i="27"/>
  <c r="A3255" i="27"/>
  <c r="A3251" i="27"/>
  <c r="A3262" i="27"/>
  <c r="A3252" i="27"/>
  <c r="A3254" i="27"/>
  <c r="AZ79" i="34"/>
  <c r="K3259" i="27"/>
  <c r="J3258" i="27"/>
  <c r="K3260" i="27"/>
  <c r="J3262" i="27"/>
  <c r="K3258" i="27"/>
  <c r="I3257" i="27"/>
  <c r="H3257" i="27"/>
  <c r="J3257" i="27"/>
  <c r="H3259" i="27"/>
  <c r="H3260" i="27"/>
  <c r="K3262" i="27"/>
  <c r="J3261" i="27"/>
  <c r="I3261" i="27"/>
  <c r="J3259" i="27"/>
  <c r="K3257" i="27"/>
  <c r="K3261" i="27"/>
  <c r="I3259" i="27"/>
  <c r="I3265" i="27"/>
  <c r="H3258" i="27"/>
  <c r="A3261" i="27" l="1"/>
  <c r="A3257" i="27"/>
  <c r="A3260" i="27"/>
  <c r="A3259" i="27"/>
  <c r="A3258" i="27"/>
  <c r="AZ80" i="34"/>
  <c r="I3267" i="27"/>
  <c r="J3266" i="27"/>
  <c r="J3264" i="27"/>
  <c r="H3265" i="27"/>
  <c r="I3269" i="27"/>
  <c r="K3269" i="27"/>
  <c r="I3266" i="27"/>
  <c r="K3265" i="27"/>
  <c r="H3267" i="27"/>
  <c r="K3272" i="27"/>
  <c r="J3265" i="27"/>
  <c r="J3267" i="27"/>
  <c r="J3268" i="27"/>
  <c r="K3263" i="27"/>
  <c r="H3264" i="27"/>
  <c r="I3268" i="27"/>
  <c r="H3263" i="27"/>
  <c r="K3267" i="27"/>
  <c r="H3266" i="27"/>
  <c r="K3268" i="27"/>
  <c r="K3266" i="27"/>
  <c r="H3270" i="27"/>
  <c r="J3263" i="27"/>
  <c r="K3264" i="27"/>
  <c r="I3271" i="27"/>
  <c r="H3268" i="27"/>
  <c r="I3263" i="27"/>
  <c r="I3264" i="27"/>
  <c r="A3268" i="27" l="1"/>
  <c r="A3266" i="27"/>
  <c r="A3263" i="27"/>
  <c r="A3264" i="27"/>
  <c r="A3267" i="27"/>
  <c r="A3265" i="27"/>
  <c r="AZ81" i="34"/>
  <c r="J3271" i="27"/>
  <c r="J3276" i="27"/>
  <c r="K3279" i="27"/>
  <c r="I3273" i="27"/>
  <c r="H3280" i="27"/>
  <c r="K3274" i="27"/>
  <c r="J3274" i="27"/>
  <c r="J3273" i="27"/>
  <c r="K3270" i="27"/>
  <c r="K3273" i="27"/>
  <c r="K3280" i="27"/>
  <c r="H3275" i="27"/>
  <c r="I3279" i="27"/>
  <c r="I3277" i="27"/>
  <c r="J3269" i="27"/>
  <c r="I3272" i="27"/>
  <c r="J3277" i="27"/>
  <c r="H3273" i="27"/>
  <c r="H3269" i="27"/>
  <c r="J3279" i="27"/>
  <c r="H3276" i="27"/>
  <c r="K3271" i="27"/>
  <c r="I3274" i="27"/>
  <c r="J3270" i="27"/>
  <c r="I3280" i="27"/>
  <c r="J3278" i="27"/>
  <c r="H3271" i="27"/>
  <c r="H3272" i="27"/>
  <c r="H3278" i="27"/>
  <c r="I3270" i="27"/>
  <c r="J3272" i="27"/>
  <c r="J3280" i="27"/>
  <c r="K3276" i="27"/>
  <c r="I3278" i="27"/>
  <c r="H3279" i="27"/>
  <c r="I3276" i="27"/>
  <c r="H3277" i="27"/>
  <c r="H3274" i="27"/>
  <c r="K3278" i="27"/>
  <c r="K3277" i="27"/>
  <c r="J3275" i="27"/>
  <c r="K3275" i="27"/>
  <c r="I3275" i="27"/>
  <c r="A3270" i="27" l="1"/>
  <c r="A3269" i="27"/>
  <c r="A3273" i="27"/>
  <c r="A3279" i="27"/>
  <c r="A3272" i="27"/>
  <c r="A3275" i="27"/>
  <c r="A3280" i="27"/>
  <c r="A3277" i="27"/>
  <c r="A3278" i="27"/>
  <c r="A3274" i="27"/>
  <c r="A3271" i="27"/>
  <c r="A3276" i="27"/>
  <c r="AZ82" i="34"/>
  <c r="K3285" i="27"/>
  <c r="H3281" i="27"/>
  <c r="H3282" i="27"/>
  <c r="K3286" i="27"/>
  <c r="I3285" i="27"/>
  <c r="K3284" i="27"/>
  <c r="H3285" i="27"/>
  <c r="I3284" i="27"/>
  <c r="I3283" i="27"/>
  <c r="J3284" i="27"/>
  <c r="J3285" i="27"/>
  <c r="J3281" i="27"/>
  <c r="I3286" i="27"/>
  <c r="H3283" i="27"/>
  <c r="J3283" i="27"/>
  <c r="K3282" i="27"/>
  <c r="K3283" i="27"/>
  <c r="I3282" i="27"/>
  <c r="H3286" i="27"/>
  <c r="K3281" i="27"/>
  <c r="J3282" i="27"/>
  <c r="H3284" i="27"/>
  <c r="I3281" i="27"/>
  <c r="J3286" i="27"/>
  <c r="A3284" i="27" l="1"/>
  <c r="A3282" i="27"/>
  <c r="A3283" i="27"/>
  <c r="A3281" i="27"/>
  <c r="A3286" i="27"/>
  <c r="A3285" i="27"/>
  <c r="AZ83" i="34"/>
  <c r="AZ84" i="34" l="1"/>
  <c r="K3298" i="27"/>
  <c r="I3287" i="27"/>
  <c r="K3297" i="27"/>
  <c r="J3290" i="27"/>
  <c r="K3292" i="27"/>
  <c r="J3297" i="27"/>
  <c r="H3295" i="27"/>
  <c r="J3289" i="27"/>
  <c r="I3298" i="27"/>
  <c r="J3288" i="27"/>
  <c r="I3291" i="27"/>
  <c r="J3298" i="27"/>
  <c r="H3289" i="27"/>
  <c r="I3289" i="27"/>
  <c r="J3287" i="27"/>
  <c r="I3292" i="27"/>
  <c r="I3296" i="27"/>
  <c r="H3294" i="27"/>
  <c r="H3297" i="27"/>
  <c r="H3293" i="27"/>
  <c r="K3290" i="27"/>
  <c r="I3290" i="27"/>
  <c r="I3294" i="27"/>
  <c r="H3288" i="27"/>
  <c r="K3288" i="27"/>
  <c r="K3291" i="27"/>
  <c r="H3290" i="27"/>
  <c r="H3287" i="27"/>
  <c r="I3293" i="27"/>
  <c r="K3295" i="27"/>
  <c r="J3292" i="27"/>
  <c r="H3298" i="27"/>
  <c r="J3296" i="27"/>
  <c r="K3287" i="27"/>
  <c r="J3294" i="27"/>
  <c r="H3291" i="27"/>
  <c r="H3292" i="27"/>
  <c r="I3288" i="27"/>
  <c r="J3293" i="27"/>
  <c r="J3295" i="27"/>
  <c r="K3289" i="27"/>
  <c r="J3291" i="27"/>
  <c r="A3292" i="27" l="1"/>
  <c r="A3298" i="27"/>
  <c r="A3287" i="27"/>
  <c r="A3290" i="27"/>
  <c r="A3294" i="27"/>
  <c r="A3293" i="27"/>
  <c r="A3288" i="27"/>
  <c r="A3291" i="27"/>
  <c r="A3289" i="27"/>
  <c r="AZ85" i="34"/>
  <c r="K3296" i="27"/>
  <c r="K3293" i="27"/>
  <c r="I3297" i="27"/>
  <c r="I3295" i="27"/>
  <c r="K3300" i="27"/>
  <c r="K3294" i="27"/>
  <c r="H3296" i="27"/>
  <c r="A3297" i="27" l="1"/>
  <c r="A3295" i="27"/>
  <c r="A3296" i="27"/>
  <c r="AZ86" i="34"/>
  <c r="H3299" i="27"/>
  <c r="H3302" i="27"/>
  <c r="I3301" i="27"/>
  <c r="I3299" i="27"/>
  <c r="J3303" i="27"/>
  <c r="I3304" i="27"/>
  <c r="K3301" i="27"/>
  <c r="K3304" i="27"/>
  <c r="J3302" i="27"/>
  <c r="H3304" i="27"/>
  <c r="I3300" i="27"/>
  <c r="K3302" i="27"/>
  <c r="H3303" i="27"/>
  <c r="J3304" i="27"/>
  <c r="J3300" i="27"/>
  <c r="J3299" i="27"/>
  <c r="K3299" i="27"/>
  <c r="I3303" i="27"/>
  <c r="I3302" i="27"/>
  <c r="H3300" i="27"/>
  <c r="J3301" i="27"/>
  <c r="H3301" i="27"/>
  <c r="K3303" i="27"/>
  <c r="I3309" i="27"/>
  <c r="A3304" i="27" l="1"/>
  <c r="A3299" i="27"/>
  <c r="A3301" i="27"/>
  <c r="A3302" i="27"/>
  <c r="A3300" i="27"/>
  <c r="A3303" i="27"/>
  <c r="AZ87" i="34"/>
  <c r="K3316" i="27"/>
  <c r="H3306" i="27"/>
  <c r="H3310" i="27"/>
  <c r="K3309" i="27"/>
  <c r="J3315" i="27"/>
  <c r="K3307" i="27"/>
  <c r="I3308" i="27"/>
  <c r="I3312" i="27"/>
  <c r="I3307" i="27"/>
  <c r="K3310" i="27"/>
  <c r="I3306" i="27"/>
  <c r="I3313" i="27"/>
  <c r="J3309" i="27"/>
  <c r="K3315" i="27"/>
  <c r="I3310" i="27"/>
  <c r="K3305" i="27"/>
  <c r="J3313" i="27"/>
  <c r="H3308" i="27"/>
  <c r="K3308" i="27"/>
  <c r="K3306" i="27"/>
  <c r="J3310" i="27"/>
  <c r="J3305" i="27"/>
  <c r="H3307" i="27"/>
  <c r="H3305" i="27"/>
  <c r="I3315" i="27"/>
  <c r="K3312" i="27"/>
  <c r="I3305" i="27"/>
  <c r="J3316" i="27"/>
  <c r="K3311" i="27"/>
  <c r="H3313" i="27"/>
  <c r="J3307" i="27"/>
  <c r="J3308" i="27"/>
  <c r="J3306" i="27"/>
  <c r="H3309" i="27"/>
  <c r="H3316" i="27"/>
  <c r="A3313" i="27" l="1"/>
  <c r="A3306" i="27"/>
  <c r="A3309" i="27"/>
  <c r="A3305" i="27"/>
  <c r="A3307" i="27"/>
  <c r="A3310" i="27"/>
  <c r="A3308" i="27"/>
  <c r="AZ88" i="34"/>
  <c r="J3321" i="27"/>
  <c r="K3314" i="27"/>
  <c r="I3319" i="27"/>
  <c r="K3319" i="27"/>
  <c r="H3318" i="27"/>
  <c r="J3314" i="27"/>
  <c r="I3322" i="27"/>
  <c r="I3321" i="27"/>
  <c r="H3321" i="27"/>
  <c r="H3317" i="27"/>
  <c r="K3322" i="27"/>
  <c r="H3315" i="27"/>
  <c r="K3318" i="27"/>
  <c r="J3320" i="27"/>
  <c r="H3312" i="27"/>
  <c r="K3313" i="27"/>
  <c r="K3320" i="27"/>
  <c r="I3318" i="27"/>
  <c r="I3311" i="27"/>
  <c r="I3320" i="27"/>
  <c r="H3311" i="27"/>
  <c r="I3317" i="27"/>
  <c r="I3314" i="27"/>
  <c r="J3311" i="27"/>
  <c r="J3319" i="27"/>
  <c r="J3318" i="27"/>
  <c r="K3321" i="27"/>
  <c r="H3322" i="27"/>
  <c r="J3317" i="27"/>
  <c r="K3317" i="27"/>
  <c r="H3314" i="27"/>
  <c r="H3320" i="27"/>
  <c r="J3312" i="27"/>
  <c r="I3316" i="27"/>
  <c r="J3322" i="27"/>
  <c r="H3319" i="27"/>
  <c r="A3316" i="27" l="1"/>
  <c r="A3320" i="27"/>
  <c r="A3319" i="27"/>
  <c r="A3321" i="27"/>
  <c r="A3322" i="27"/>
  <c r="A3312" i="27"/>
  <c r="A3318" i="27"/>
  <c r="A3314" i="27"/>
  <c r="A3317" i="27"/>
  <c r="A3311" i="27"/>
  <c r="A3315" i="27"/>
  <c r="C3" i="27"/>
  <c r="C502" i="27"/>
  <c r="C481" i="27"/>
  <c r="C503" i="27"/>
  <c r="C490" i="27"/>
  <c r="C501" i="27"/>
  <c r="C498" i="27"/>
  <c r="C487" i="27"/>
  <c r="C496" i="27"/>
  <c r="C492" i="27"/>
  <c r="C486" i="27"/>
  <c r="C483" i="27"/>
  <c r="C504" i="27"/>
  <c r="C488" i="27"/>
  <c r="C491" i="27"/>
  <c r="C484" i="27"/>
  <c r="C477" i="27"/>
  <c r="C497" i="27"/>
  <c r="C480" i="27"/>
  <c r="C495" i="27"/>
  <c r="C494" i="27"/>
  <c r="C476" i="27"/>
  <c r="C482" i="27"/>
  <c r="C493" i="27"/>
  <c r="C500" i="27"/>
  <c r="C485" i="27"/>
  <c r="C479" i="27"/>
  <c r="C499" i="27"/>
  <c r="C478" i="27"/>
  <c r="C489" i="27"/>
  <c r="C505" i="27"/>
  <c r="AE2" i="27" l="1"/>
  <c r="AD2" i="27" s="1"/>
  <c r="B510" i="27" s="1"/>
  <c r="B511" i="27" l="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M612" i="27"/>
  <c r="M588" i="27"/>
  <c r="M511" i="27"/>
  <c r="C511" i="27" s="1"/>
  <c r="M809" i="27" l="1"/>
  <c r="C809" i="27" s="1"/>
  <c r="M834" i="27"/>
  <c r="C834" i="27" s="1"/>
  <c r="M722" i="27"/>
  <c r="C722" i="27" s="1"/>
  <c r="M786" i="27"/>
  <c r="C786" i="27" s="1"/>
  <c r="M715" i="27"/>
  <c r="C715" i="27" s="1"/>
  <c r="M779" i="27"/>
  <c r="C779" i="27" s="1"/>
  <c r="M843" i="27"/>
  <c r="C843" i="27" s="1"/>
  <c r="M724" i="27"/>
  <c r="C724" i="27" s="1"/>
  <c r="M788" i="27"/>
  <c r="C788" i="27" s="1"/>
  <c r="M852" i="27"/>
  <c r="C852" i="27" s="1"/>
  <c r="M733" i="27"/>
  <c r="C733" i="27" s="1"/>
  <c r="M797" i="27"/>
  <c r="C797" i="27" s="1"/>
  <c r="M861" i="27"/>
  <c r="C861" i="27" s="1"/>
  <c r="M750" i="27"/>
  <c r="C750" i="27" s="1"/>
  <c r="M814" i="27"/>
  <c r="C814" i="27" s="1"/>
  <c r="M726" i="27"/>
  <c r="C726" i="27" s="1"/>
  <c r="M751" i="27"/>
  <c r="C751" i="27" s="1"/>
  <c r="M815" i="27"/>
  <c r="C815" i="27" s="1"/>
  <c r="M856" i="27"/>
  <c r="C856" i="27" s="1"/>
  <c r="M753" i="27"/>
  <c r="C753" i="27" s="1"/>
  <c r="M730" i="27"/>
  <c r="C730" i="27" s="1"/>
  <c r="M794" i="27"/>
  <c r="C794" i="27" s="1"/>
  <c r="M723" i="27"/>
  <c r="C723" i="27" s="1"/>
  <c r="M787" i="27"/>
  <c r="C787" i="27" s="1"/>
  <c r="M851" i="27"/>
  <c r="C851" i="27" s="1"/>
  <c r="M732" i="27"/>
  <c r="C732" i="27" s="1"/>
  <c r="M796" i="27"/>
  <c r="C796" i="27" s="1"/>
  <c r="M860" i="27"/>
  <c r="C860" i="27" s="1"/>
  <c r="M741" i="27"/>
  <c r="C741" i="27" s="1"/>
  <c r="M805" i="27"/>
  <c r="C805" i="27" s="1"/>
  <c r="M869" i="27"/>
  <c r="C869" i="27" s="1"/>
  <c r="M758" i="27"/>
  <c r="C758" i="27" s="1"/>
  <c r="M822" i="27"/>
  <c r="C822" i="27" s="1"/>
  <c r="M695" i="27"/>
  <c r="C695" i="27" s="1"/>
  <c r="M759" i="27"/>
  <c r="C759" i="27" s="1"/>
  <c r="M823" i="27"/>
  <c r="C823" i="27" s="1"/>
  <c r="M792" i="27"/>
  <c r="C792" i="27" s="1"/>
  <c r="M864" i="27"/>
  <c r="C864" i="27" s="1"/>
  <c r="M744" i="27"/>
  <c r="C744" i="27" s="1"/>
  <c r="M808" i="27"/>
  <c r="C808" i="27" s="1"/>
  <c r="M697" i="27"/>
  <c r="C697" i="27" s="1"/>
  <c r="M761" i="27"/>
  <c r="C761" i="27" s="1"/>
  <c r="M825" i="27"/>
  <c r="C825" i="27" s="1"/>
  <c r="M850" i="27"/>
  <c r="C850" i="27" s="1"/>
  <c r="M738" i="27"/>
  <c r="C738" i="27" s="1"/>
  <c r="M802" i="27"/>
  <c r="C802" i="27" s="1"/>
  <c r="M731" i="27"/>
  <c r="C731" i="27" s="1"/>
  <c r="M795" i="27"/>
  <c r="C795" i="27" s="1"/>
  <c r="M859" i="27"/>
  <c r="C859" i="27" s="1"/>
  <c r="M740" i="27"/>
  <c r="C740" i="27" s="1"/>
  <c r="M804" i="27"/>
  <c r="C804" i="27" s="1"/>
  <c r="M868" i="27"/>
  <c r="C868" i="27" s="1"/>
  <c r="M749" i="27"/>
  <c r="C749" i="27" s="1"/>
  <c r="M813" i="27"/>
  <c r="C813" i="27" s="1"/>
  <c r="M694" i="27"/>
  <c r="C694" i="27" s="1"/>
  <c r="M766" i="27"/>
  <c r="C766" i="27" s="1"/>
  <c r="M830" i="27"/>
  <c r="C830" i="27" s="1"/>
  <c r="M703" i="27"/>
  <c r="C703" i="27" s="1"/>
  <c r="M767" i="27"/>
  <c r="C767" i="27" s="1"/>
  <c r="M831" i="27"/>
  <c r="C831" i="27" s="1"/>
  <c r="M752" i="27"/>
  <c r="C752" i="27" s="1"/>
  <c r="M816" i="27"/>
  <c r="C816" i="27" s="1"/>
  <c r="M705" i="27"/>
  <c r="C705" i="27" s="1"/>
  <c r="M769" i="27"/>
  <c r="C769" i="27" s="1"/>
  <c r="M833" i="27"/>
  <c r="C833" i="27" s="1"/>
  <c r="M858" i="27"/>
  <c r="C858" i="27" s="1"/>
  <c r="M746" i="27"/>
  <c r="C746" i="27" s="1"/>
  <c r="M810" i="27"/>
  <c r="C810" i="27" s="1"/>
  <c r="M739" i="27"/>
  <c r="C739" i="27" s="1"/>
  <c r="M803" i="27"/>
  <c r="C803" i="27" s="1"/>
  <c r="M867" i="27"/>
  <c r="C867" i="27" s="1"/>
  <c r="M748" i="27"/>
  <c r="C748" i="27" s="1"/>
  <c r="M812" i="27"/>
  <c r="C812" i="27" s="1"/>
  <c r="M693" i="27"/>
  <c r="C693" i="27" s="1"/>
  <c r="M757" i="27"/>
  <c r="C757" i="27" s="1"/>
  <c r="M821" i="27"/>
  <c r="C821" i="27" s="1"/>
  <c r="M702" i="27"/>
  <c r="C702" i="27" s="1"/>
  <c r="M774" i="27"/>
  <c r="C774" i="27" s="1"/>
  <c r="M838" i="27"/>
  <c r="C838" i="27" s="1"/>
  <c r="M711" i="27"/>
  <c r="C711" i="27" s="1"/>
  <c r="M775" i="27"/>
  <c r="C775" i="27" s="1"/>
  <c r="M839" i="27"/>
  <c r="C839" i="27" s="1"/>
  <c r="M736" i="27"/>
  <c r="C736" i="27" s="1"/>
  <c r="M636" i="27"/>
  <c r="M696" i="27"/>
  <c r="C696" i="27" s="1"/>
  <c r="M760" i="27"/>
  <c r="C760" i="27" s="1"/>
  <c r="M824" i="27"/>
  <c r="C824" i="27" s="1"/>
  <c r="M713" i="27"/>
  <c r="C713" i="27" s="1"/>
  <c r="M777" i="27"/>
  <c r="C777" i="27" s="1"/>
  <c r="M841" i="27"/>
  <c r="C841" i="27" s="1"/>
  <c r="M866" i="27"/>
  <c r="C866" i="27" s="1"/>
  <c r="M754" i="27"/>
  <c r="C754" i="27" s="1"/>
  <c r="M818" i="27"/>
  <c r="C818" i="27" s="1"/>
  <c r="M747" i="27"/>
  <c r="C747" i="27" s="1"/>
  <c r="M811" i="27"/>
  <c r="C811" i="27" s="1"/>
  <c r="M692" i="27"/>
  <c r="C692" i="27" s="1"/>
  <c r="M756" i="27"/>
  <c r="C756" i="27" s="1"/>
  <c r="M820" i="27"/>
  <c r="C820" i="27" s="1"/>
  <c r="M701" i="27"/>
  <c r="C701" i="27" s="1"/>
  <c r="M765" i="27"/>
  <c r="C765" i="27" s="1"/>
  <c r="M829" i="27"/>
  <c r="C829" i="27" s="1"/>
  <c r="M710" i="27"/>
  <c r="C710" i="27" s="1"/>
  <c r="M782" i="27"/>
  <c r="C782" i="27" s="1"/>
  <c r="M846" i="27"/>
  <c r="C846" i="27" s="1"/>
  <c r="M719" i="27"/>
  <c r="C719" i="27" s="1"/>
  <c r="M783" i="27"/>
  <c r="C783" i="27" s="1"/>
  <c r="M847" i="27"/>
  <c r="C847" i="27" s="1"/>
  <c r="M745" i="27"/>
  <c r="C745" i="27" s="1"/>
  <c r="M800" i="27"/>
  <c r="C800" i="27" s="1"/>
  <c r="M842" i="27"/>
  <c r="C842" i="27" s="1"/>
  <c r="M704" i="27"/>
  <c r="C704" i="27" s="1"/>
  <c r="M768" i="27"/>
  <c r="C768" i="27" s="1"/>
  <c r="M832" i="27"/>
  <c r="C832" i="27" s="1"/>
  <c r="M721" i="27"/>
  <c r="C721" i="27" s="1"/>
  <c r="M785" i="27"/>
  <c r="C785" i="27" s="1"/>
  <c r="M849" i="27"/>
  <c r="C849" i="27" s="1"/>
  <c r="M698" i="27"/>
  <c r="C698" i="27" s="1"/>
  <c r="M762" i="27"/>
  <c r="C762" i="27" s="1"/>
  <c r="M826" i="27"/>
  <c r="C826" i="27" s="1"/>
  <c r="M755" i="27"/>
  <c r="C755" i="27" s="1"/>
  <c r="M819" i="27"/>
  <c r="C819" i="27" s="1"/>
  <c r="M700" i="27"/>
  <c r="C700" i="27" s="1"/>
  <c r="M764" i="27"/>
  <c r="C764" i="27" s="1"/>
  <c r="M828" i="27"/>
  <c r="C828" i="27" s="1"/>
  <c r="M709" i="27"/>
  <c r="C709" i="27" s="1"/>
  <c r="M773" i="27"/>
  <c r="C773" i="27" s="1"/>
  <c r="M837" i="27"/>
  <c r="C837" i="27" s="1"/>
  <c r="M718" i="27"/>
  <c r="C718" i="27" s="1"/>
  <c r="M790" i="27"/>
  <c r="C790" i="27" s="1"/>
  <c r="M854" i="27"/>
  <c r="C854" i="27" s="1"/>
  <c r="M727" i="27"/>
  <c r="C727" i="27" s="1"/>
  <c r="M791" i="27"/>
  <c r="C791" i="27" s="1"/>
  <c r="M855" i="27"/>
  <c r="C855" i="27" s="1"/>
  <c r="M728" i="27"/>
  <c r="C728" i="27" s="1"/>
  <c r="M635" i="27"/>
  <c r="M712" i="27"/>
  <c r="C712" i="27" s="1"/>
  <c r="M776" i="27"/>
  <c r="C776" i="27" s="1"/>
  <c r="M840" i="27"/>
  <c r="C840" i="27" s="1"/>
  <c r="M729" i="27"/>
  <c r="C729" i="27" s="1"/>
  <c r="M793" i="27"/>
  <c r="C793" i="27" s="1"/>
  <c r="M857" i="27"/>
  <c r="C857" i="27" s="1"/>
  <c r="M706" i="27"/>
  <c r="C706" i="27" s="1"/>
  <c r="M770" i="27"/>
  <c r="C770" i="27" s="1"/>
  <c r="M699" i="27"/>
  <c r="C699" i="27" s="1"/>
  <c r="M763" i="27"/>
  <c r="C763" i="27" s="1"/>
  <c r="M827" i="27"/>
  <c r="C827" i="27" s="1"/>
  <c r="M708" i="27"/>
  <c r="C708" i="27" s="1"/>
  <c r="M772" i="27"/>
  <c r="C772" i="27" s="1"/>
  <c r="M836" i="27"/>
  <c r="C836" i="27" s="1"/>
  <c r="M717" i="27"/>
  <c r="C717" i="27" s="1"/>
  <c r="M781" i="27"/>
  <c r="C781" i="27" s="1"/>
  <c r="M845" i="27"/>
  <c r="C845" i="27" s="1"/>
  <c r="M734" i="27"/>
  <c r="C734" i="27" s="1"/>
  <c r="M798" i="27"/>
  <c r="C798" i="27" s="1"/>
  <c r="M862" i="27"/>
  <c r="C862" i="27" s="1"/>
  <c r="M735" i="27"/>
  <c r="C735" i="27" s="1"/>
  <c r="M799" i="27"/>
  <c r="C799" i="27" s="1"/>
  <c r="M863" i="27"/>
  <c r="C863" i="27" s="1"/>
  <c r="M817" i="27"/>
  <c r="C817" i="27" s="1"/>
  <c r="M580" i="27"/>
  <c r="M720" i="27"/>
  <c r="C720" i="27" s="1"/>
  <c r="M784" i="27"/>
  <c r="C784" i="27" s="1"/>
  <c r="M848" i="27"/>
  <c r="C848" i="27" s="1"/>
  <c r="M737" i="27"/>
  <c r="C737" i="27" s="1"/>
  <c r="M801" i="27"/>
  <c r="C801" i="27" s="1"/>
  <c r="M865" i="27"/>
  <c r="C865" i="27" s="1"/>
  <c r="M714" i="27"/>
  <c r="C714" i="27" s="1"/>
  <c r="M778" i="27"/>
  <c r="C778" i="27" s="1"/>
  <c r="M707" i="27"/>
  <c r="C707" i="27" s="1"/>
  <c r="M771" i="27"/>
  <c r="C771" i="27" s="1"/>
  <c r="M835" i="27"/>
  <c r="C835" i="27" s="1"/>
  <c r="M716" i="27"/>
  <c r="C716" i="27" s="1"/>
  <c r="M780" i="27"/>
  <c r="C780" i="27" s="1"/>
  <c r="M844" i="27"/>
  <c r="C844" i="27" s="1"/>
  <c r="M725" i="27"/>
  <c r="C725" i="27" s="1"/>
  <c r="M789" i="27"/>
  <c r="C789" i="27" s="1"/>
  <c r="M853" i="27"/>
  <c r="C853" i="27" s="1"/>
  <c r="M742" i="27"/>
  <c r="C742" i="27" s="1"/>
  <c r="M806" i="27"/>
  <c r="C806" i="27" s="1"/>
  <c r="M870" i="27"/>
  <c r="C870" i="27" s="1"/>
  <c r="M743" i="27"/>
  <c r="C743" i="27" s="1"/>
  <c r="M807" i="27"/>
  <c r="C807" i="27" s="1"/>
  <c r="M871" i="27"/>
  <c r="C871" i="27" s="1"/>
  <c r="M532" i="27"/>
  <c r="M540" i="27"/>
  <c r="M572" i="27"/>
  <c r="M516" i="27"/>
  <c r="M524" i="27"/>
  <c r="M644" i="27"/>
  <c r="M652" i="27"/>
  <c r="M660" i="27"/>
  <c r="M668" i="27"/>
  <c r="M518" i="27"/>
  <c r="M596" i="27"/>
  <c r="M558" i="27"/>
  <c r="M604" i="27"/>
  <c r="M590" i="27"/>
  <c r="M686" i="27"/>
  <c r="M676" i="27"/>
  <c r="M517" i="27"/>
  <c r="M581" i="27"/>
  <c r="M645" i="27"/>
  <c r="M559" i="27"/>
  <c r="M655" i="27"/>
  <c r="M662" i="27"/>
  <c r="M568" i="27"/>
  <c r="M632" i="27"/>
  <c r="M542" i="27"/>
  <c r="M551" i="27"/>
  <c r="M537" i="27"/>
  <c r="M601" i="27"/>
  <c r="M665" i="27"/>
  <c r="M670" i="27"/>
  <c r="M570" i="27"/>
  <c r="M634" i="27"/>
  <c r="M515" i="27"/>
  <c r="M579" i="27"/>
  <c r="M643" i="27"/>
  <c r="M548" i="27"/>
  <c r="M556" i="27"/>
  <c r="M620" i="27"/>
  <c r="M684" i="27"/>
  <c r="M525" i="27"/>
  <c r="M589" i="27"/>
  <c r="M653" i="27"/>
  <c r="M575" i="27"/>
  <c r="M663" i="27"/>
  <c r="M512" i="27"/>
  <c r="M576" i="27"/>
  <c r="M640" i="27"/>
  <c r="M574" i="27"/>
  <c r="M567" i="27"/>
  <c r="M545" i="27"/>
  <c r="M609" i="27"/>
  <c r="M673" i="27"/>
  <c r="M514" i="27"/>
  <c r="M578" i="27"/>
  <c r="M642" i="27"/>
  <c r="M523" i="27"/>
  <c r="M587" i="27"/>
  <c r="M651" i="27"/>
  <c r="M564" i="27"/>
  <c r="M628" i="27"/>
  <c r="M526" i="27"/>
  <c r="M533" i="27"/>
  <c r="M597" i="27"/>
  <c r="M661" i="27"/>
  <c r="M591" i="27"/>
  <c r="M671" i="27"/>
  <c r="M520" i="27"/>
  <c r="M584" i="27"/>
  <c r="M648" i="27"/>
  <c r="M606" i="27"/>
  <c r="M583" i="27"/>
  <c r="M553" i="27"/>
  <c r="M617" i="27"/>
  <c r="M681" i="27"/>
  <c r="M522" i="27"/>
  <c r="M586" i="27"/>
  <c r="M650" i="27"/>
  <c r="M531" i="27"/>
  <c r="M595" i="27"/>
  <c r="M659" i="27"/>
  <c r="M541" i="27"/>
  <c r="M605" i="27"/>
  <c r="M669" i="27"/>
  <c r="M615" i="27"/>
  <c r="M679" i="27"/>
  <c r="M528" i="27"/>
  <c r="M592" i="27"/>
  <c r="M656" i="27"/>
  <c r="M638" i="27"/>
  <c r="M599" i="27"/>
  <c r="M561" i="27"/>
  <c r="M625" i="27"/>
  <c r="M689" i="27"/>
  <c r="M530" i="27"/>
  <c r="M594" i="27"/>
  <c r="M658" i="27"/>
  <c r="M539" i="27"/>
  <c r="M603" i="27"/>
  <c r="M667" i="27"/>
  <c r="M549" i="27"/>
  <c r="M613" i="27"/>
  <c r="M677" i="27"/>
  <c r="M623" i="27"/>
  <c r="M687" i="27"/>
  <c r="M536" i="27"/>
  <c r="M600" i="27"/>
  <c r="M664" i="27"/>
  <c r="M654" i="27"/>
  <c r="M607" i="27"/>
  <c r="M569" i="27"/>
  <c r="M633" i="27"/>
  <c r="M534" i="27"/>
  <c r="M538" i="27"/>
  <c r="M602" i="27"/>
  <c r="M666" i="27"/>
  <c r="M547" i="27"/>
  <c r="M611" i="27"/>
  <c r="M675" i="27"/>
  <c r="M622" i="27"/>
  <c r="M557" i="27"/>
  <c r="M621" i="27"/>
  <c r="M685" i="27"/>
  <c r="M631" i="27"/>
  <c r="M550" i="27"/>
  <c r="M544" i="27"/>
  <c r="M608" i="27"/>
  <c r="M672" i="27"/>
  <c r="M678" i="27"/>
  <c r="M513" i="27"/>
  <c r="M577" i="27"/>
  <c r="M641" i="27"/>
  <c r="M566" i="27"/>
  <c r="M546" i="27"/>
  <c r="M610" i="27"/>
  <c r="M674" i="27"/>
  <c r="M555" i="27"/>
  <c r="M619" i="27"/>
  <c r="M683" i="27"/>
  <c r="M646" i="27"/>
  <c r="M565" i="27"/>
  <c r="M629" i="27"/>
  <c r="M527" i="27"/>
  <c r="M639" i="27"/>
  <c r="M582" i="27"/>
  <c r="M552" i="27"/>
  <c r="M616" i="27"/>
  <c r="M680" i="27"/>
  <c r="M519" i="27"/>
  <c r="M521" i="27"/>
  <c r="M585" i="27"/>
  <c r="M649" i="27"/>
  <c r="M598" i="27"/>
  <c r="M554" i="27"/>
  <c r="M618" i="27"/>
  <c r="M682" i="27"/>
  <c r="M563" i="27"/>
  <c r="M627" i="27"/>
  <c r="M691" i="27"/>
  <c r="M573" i="27"/>
  <c r="M637" i="27"/>
  <c r="M543" i="27"/>
  <c r="M647" i="27"/>
  <c r="M614" i="27"/>
  <c r="M560" i="27"/>
  <c r="M624" i="27"/>
  <c r="M688" i="27"/>
  <c r="M535" i="27"/>
  <c r="M529" i="27"/>
  <c r="M593" i="27"/>
  <c r="M657" i="27"/>
  <c r="M630" i="27"/>
  <c r="M562" i="27"/>
  <c r="M626" i="27"/>
  <c r="M690" i="27"/>
  <c r="M571" i="27"/>
</calcChain>
</file>

<file path=xl/sharedStrings.xml><?xml version="1.0" encoding="utf-8"?>
<sst xmlns="http://schemas.openxmlformats.org/spreadsheetml/2006/main" count="19193" uniqueCount="8113">
  <si>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</si>
  <si>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</si>
  <si>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</si>
  <si>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</si>
  <si>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</si>
  <si>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</si>
  <si>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</si>
  <si>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</si>
  <si>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</si>
  <si>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</si>
  <si>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</si>
  <si>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</si>
  <si>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</si>
  <si>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</si>
  <si>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</si>
  <si>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</si>
  <si>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</si>
  <si>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</si>
  <si>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</si>
  <si>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</si>
  <si>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Impact Indicator Number</t>
  </si>
  <si>
    <t>Outcome Indicators</t>
  </si>
  <si>
    <t>Outcome Indicator Number</t>
  </si>
  <si>
    <t>Coverage Indicators</t>
  </si>
  <si>
    <t>Intervention Number</t>
  </si>
  <si>
    <t>Coverage Indicator Number</t>
  </si>
  <si>
    <t>Report Due Date</t>
  </si>
  <si>
    <t>Disaggregation</t>
  </si>
  <si>
    <t>Baseline Value</t>
  </si>
  <si>
    <t>Baseline Year</t>
  </si>
  <si>
    <t>Coverage</t>
  </si>
  <si>
    <t>Page Navigation</t>
  </si>
  <si>
    <t>Interventions</t>
  </si>
  <si>
    <t>Only required if you have Work plan Tracking Measures</t>
  </si>
  <si>
    <t>Category</t>
  </si>
  <si>
    <t>Performance Framework  - Overview - Section A</t>
  </si>
  <si>
    <t>Performance Framework - Impact Indicators - Section B</t>
  </si>
  <si>
    <t xml:space="preserve"> </t>
  </si>
  <si>
    <t>[Reporting Period End Date]</t>
  </si>
  <si>
    <t>Country (Name)</t>
  </si>
  <si>
    <t>[Baseline Value]</t>
  </si>
  <si>
    <t>[Baseline Year]</t>
  </si>
  <si>
    <t>[Baseline Source]</t>
  </si>
  <si>
    <t>Name</t>
  </si>
  <si>
    <t>[Disaggregation Categories]</t>
  </si>
  <si>
    <t>Disaggregation Categories</t>
  </si>
  <si>
    <t>Allow creation from PF</t>
  </si>
  <si>
    <t>[Record ID]</t>
  </si>
  <si>
    <t>Record ID</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</si>
  <si>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</si>
  <si>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</si>
  <si>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</si>
  <si>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</si>
  <si>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</si>
  <si>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</si>
  <si>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</si>
  <si>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</si>
  <si>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</si>
  <si>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</si>
  <si>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</si>
  <si>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</si>
  <si>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</si>
  <si>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</si>
  <si>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</si>
  <si>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</si>
  <si>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</si>
  <si>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[Name]</t>
  </si>
  <si>
    <t>Intervention</t>
  </si>
  <si>
    <t>Key Activity</t>
  </si>
  <si>
    <t>[Comments]</t>
  </si>
  <si>
    <t>Module ID</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</si>
  <si>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</si>
  <si>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</si>
  <si>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</si>
  <si>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</si>
  <si>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</si>
  <si>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</si>
  <si>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</si>
  <si>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</si>
  <si>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</si>
  <si>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</si>
  <si>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</si>
  <si>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</si>
  <si>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</si>
  <si>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Outcome Data - Indicator-Disaggregation Reference</t>
  </si>
  <si>
    <t>Coverage Data - Indicator-Disaggregation Reference</t>
  </si>
  <si>
    <t>[Coverage Indicator  Reference (Name)]</t>
  </si>
  <si>
    <t>Coverage Indicator  Reference (Name)</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</si>
  <si>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</si>
  <si>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</si>
  <si>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</si>
  <si>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</si>
  <si>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</si>
  <si>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</si>
  <si>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</si>
  <si>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</si>
  <si>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</si>
  <si>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</si>
  <si>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</si>
  <si>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</si>
  <si>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Criterion for Completion</t>
  </si>
  <si>
    <t>Module Data - Component - Indicator Reference</t>
  </si>
  <si>
    <t>[Module (Name)]</t>
  </si>
  <si>
    <t>Column1</t>
  </si>
  <si>
    <t>Column2</t>
  </si>
  <si>
    <t>Column3</t>
  </si>
  <si>
    <t>Column4</t>
  </si>
  <si>
    <t>Name ID</t>
  </si>
  <si>
    <t>Milestone / Target Description</t>
  </si>
  <si>
    <t>Mark if target is TBD?</t>
  </si>
  <si>
    <t>Concatenation of Names</t>
  </si>
  <si>
    <t>Record ID2</t>
  </si>
  <si>
    <t>Reference Record Id</t>
  </si>
  <si>
    <t>Column5</t>
  </si>
  <si>
    <t>Column6</t>
  </si>
  <si>
    <t>Column7</t>
  </si>
  <si>
    <t>Objective Description</t>
  </si>
  <si>
    <t>Querying Account Role for Group of countries</t>
  </si>
  <si>
    <t>Quering Account Role for Single Country</t>
  </si>
  <si>
    <t>[Account (Name)]</t>
  </si>
  <si>
    <t>[Component Name]</t>
  </si>
  <si>
    <t>Component Name</t>
  </si>
  <si>
    <t>Programmatic Report Period Frequency</t>
  </si>
  <si>
    <t>Cumulation type</t>
  </si>
  <si>
    <t>Coverage Data - Module-Coverage-Intervention Reference</t>
  </si>
  <si>
    <t>Column8</t>
  </si>
  <si>
    <t>Column12</t>
  </si>
  <si>
    <t>Column13</t>
  </si>
  <si>
    <t>Performance Framework - Coverage Indicators - Section D</t>
  </si>
  <si>
    <t>Performance Framework - Disaggregation - Section E</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</si>
  <si>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</si>
  <si>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</si>
  <si>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</si>
  <si>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</si>
  <si>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</si>
  <si>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</si>
  <si>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</si>
  <si>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</si>
  <si>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</si>
  <si>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</si>
  <si>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</si>
  <si>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</si>
  <si>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</si>
  <si>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[Country (Name)]</t>
  </si>
  <si>
    <t>Custom Impact Indicator</t>
  </si>
  <si>
    <t>Outcome Reference (Name)</t>
  </si>
  <si>
    <t>Year</t>
  </si>
  <si>
    <t>Coverage Indicator Reference ID (Name)</t>
  </si>
  <si>
    <t>Intervention ID (Name)</t>
  </si>
  <si>
    <t>Year of Target</t>
  </si>
  <si>
    <t>[Impact Disaggregation ID]</t>
  </si>
  <si>
    <t>Impact Disaggregation ID</t>
  </si>
  <si>
    <t>[Impact Indicator ID (Name)]</t>
  </si>
  <si>
    <t>Impact Indicator ID (Name)</t>
  </si>
  <si>
    <t>[Impact Indicator Name]</t>
  </si>
  <si>
    <t>Concatenation</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</si>
  <si>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</si>
  <si>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</si>
  <si>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</si>
  <si>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</si>
  <si>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</si>
  <si>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</si>
  <si>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</si>
  <si>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</si>
  <si>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</si>
  <si>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</si>
  <si>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</si>
  <si>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</si>
  <si>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</si>
  <si>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[IP (Name)]</t>
  </si>
  <si>
    <t>IP (Name)</t>
  </si>
  <si>
    <t>[Coverage Indicator Name]</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</si>
  <si>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</si>
  <si>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</si>
  <si>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</si>
  <si>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</si>
  <si>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</si>
  <si>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</si>
  <si>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</si>
  <si>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</si>
  <si>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</si>
  <si>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</si>
  <si>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</si>
  <si>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</si>
  <si>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</si>
  <si>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</si>
  <si>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</si>
  <si>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</si>
  <si>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</si>
  <si>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</si>
  <si>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</si>
  <si>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</si>
  <si>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</si>
  <si>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</si>
  <si>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</si>
  <si>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</si>
  <si>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</si>
  <si>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</si>
  <si>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</si>
  <si>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</si>
  <si>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</si>
  <si>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</si>
  <si>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</si>
  <si>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</si>
  <si>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</si>
  <si>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</si>
  <si>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</si>
  <si>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</si>
  <si>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</si>
  <si>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</si>
  <si>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</si>
  <si>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</si>
  <si>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</si>
  <si>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</si>
  <si>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</si>
  <si>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</si>
  <si>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</si>
  <si>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</si>
  <si>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</si>
  <si>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</si>
  <si>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</si>
  <si>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</si>
  <si>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</si>
  <si>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</si>
  <si>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</si>
  <si>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</si>
  <si>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</si>
  <si>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</si>
  <si>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</si>
  <si>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</si>
  <si>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</si>
  <si>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</si>
  <si>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</si>
  <si>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</si>
  <si>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</si>
  <si>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</si>
  <si>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</si>
  <si>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</si>
  <si>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</si>
  <si>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</si>
  <si>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</si>
  <si>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</si>
  <si>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</si>
  <si>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</si>
  <si>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</si>
  <si>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</si>
  <si>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Baseline #N
Baseline #D</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</si>
  <si>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</si>
  <si>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</si>
  <si>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</si>
  <si>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</si>
  <si>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</si>
  <si>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</si>
  <si>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</si>
  <si>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</si>
  <si>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</si>
  <si>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</si>
  <si>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</si>
  <si>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</si>
  <si>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</si>
  <si>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</si>
  <si>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AIM_Module_Coverage_Interventio_Comp_Ref__c.Coverage.AIM_Data_Type__c</t>
  </si>
  <si>
    <t>AIM_Module_Coverage_Interventio_Comp_Ref__c.Coverage_by_Population.AIM_Data_Type__c</t>
  </si>
  <si>
    <t>AIM_Module_Coverage_Interventio_Comp_Ref__c.Intervention.AIM_Data_Type__c</t>
  </si>
  <si>
    <t>AIM_Module_Coverage_Interventio_Comp_Ref__c.Intervention_By_Population.AIM_Data_Type__c</t>
  </si>
  <si>
    <t>PickListValue</t>
  </si>
  <si>
    <t>PickListKey</t>
  </si>
  <si>
    <t>Impact</t>
  </si>
  <si>
    <t>Outcome</t>
  </si>
  <si>
    <t>Master</t>
  </si>
  <si>
    <t>Coverage by Population</t>
  </si>
  <si>
    <t>Coverage_by_Population</t>
  </si>
  <si>
    <t>Intervention By Population</t>
  </si>
  <si>
    <t>Intervention_By_Population</t>
  </si>
  <si>
    <t>RSSH</t>
  </si>
  <si>
    <t>impIndRowNo</t>
  </si>
  <si>
    <t>Impact Indicator Disaggregation</t>
  </si>
  <si>
    <t>Outcome Indicator Disaggregation</t>
  </si>
  <si>
    <t>Coverage Indicator Disaggregation</t>
  </si>
  <si>
    <t>Population</t>
  </si>
  <si>
    <t>Performance Framework - WPTM - Section F</t>
  </si>
  <si>
    <t>No</t>
  </si>
  <si>
    <t>[Allocation Cycle]</t>
  </si>
  <si>
    <t>Allocation Cycle</t>
  </si>
  <si>
    <t>[Allocation Cycle (Name)]</t>
  </si>
  <si>
    <t>Allocation Cycle (Name)</t>
  </si>
  <si>
    <t>Row Count</t>
  </si>
  <si>
    <t>Section B</t>
  </si>
  <si>
    <t>Section C</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</si>
  <si>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</si>
  <si>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</si>
  <si>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</si>
  <si>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</si>
  <si>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</si>
  <si>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</si>
  <si>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</si>
  <si>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</si>
  <si>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</si>
  <si>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</si>
  <si>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</si>
  <si>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</si>
  <si>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</si>
  <si>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Baseline Source (EN)</t>
  </si>
  <si>
    <t>English</t>
  </si>
  <si>
    <t>Language</t>
  </si>
  <si>
    <t>I. Introduction</t>
  </si>
  <si>
    <t>III. Instructions</t>
  </si>
  <si>
    <t xml:space="preserve">Interventions </t>
  </si>
  <si>
    <t xml:space="preserve">Coverage Indicators - Section D </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</si>
  <si>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</si>
  <si>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</si>
  <si>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</si>
  <si>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</si>
  <si>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</si>
  <si>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</si>
  <si>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</si>
  <si>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</si>
  <si>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</si>
  <si>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</si>
  <si>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</si>
  <si>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</si>
  <si>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</si>
  <si>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</si>
  <si>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</si>
  <si>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</si>
  <si>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</si>
  <si>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</si>
  <si>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</si>
  <si>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</si>
  <si>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</si>
  <si>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</si>
  <si>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</si>
  <si>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</si>
  <si>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</si>
  <si>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</si>
  <si>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</si>
  <si>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</si>
  <si>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</si>
  <si>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</si>
  <si>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date format</t>
  </si>
  <si>
    <t>impact reference</t>
  </si>
  <si>
    <t>Custom Outcome Indicator</t>
  </si>
  <si>
    <t>Outcome indicators Targets (section C)</t>
  </si>
  <si>
    <t>Impact Indicator (Name)</t>
  </si>
  <si>
    <t>countif</t>
  </si>
  <si>
    <t>Outcome Indicator Baseline ID (Name)</t>
  </si>
  <si>
    <t>record_id</t>
  </si>
  <si>
    <t xml:space="preserve"> Disaggregation - Section E </t>
  </si>
  <si>
    <t>Module ID (Name)</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</si>
  <si>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</si>
  <si>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</si>
  <si>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</si>
  <si>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</si>
  <si>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</si>
  <si>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</si>
  <si>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</si>
  <si>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</si>
  <si>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</si>
  <si>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</si>
  <si>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</si>
  <si>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</si>
  <si>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</si>
  <si>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</si>
  <si>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</si>
  <si>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</si>
  <si>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</si>
  <si>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</si>
  <si>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</si>
  <si>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WPTM  - Section F</t>
  </si>
  <si>
    <t>Indicator-Disaggregation Reference (Name)</t>
  </si>
  <si>
    <t>[Disaggregation Reference ID]</t>
  </si>
  <si>
    <t>Disaggregation Reference ID</t>
  </si>
  <si>
    <t>Not applicable</t>
  </si>
  <si>
    <t>multicountry</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</si>
  <si>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</si>
  <si>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</si>
  <si>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</si>
  <si>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</si>
  <si>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</si>
  <si>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</si>
  <si>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</si>
  <si>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</si>
  <si>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</si>
  <si>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</si>
  <si>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</si>
  <si>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</si>
  <si>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</si>
  <si>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</si>
  <si>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</si>
  <si>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</si>
  <si>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</si>
  <si>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</si>
  <si>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</si>
  <si>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Pays / Candidat</t>
  </si>
  <si>
    <t>País / Solicitante:</t>
  </si>
  <si>
    <t>Date de début du programme</t>
  </si>
  <si>
    <t>Date de fin du programme</t>
  </si>
  <si>
    <t>Fecha de inicio del programa</t>
  </si>
  <si>
    <t>Fecha final del programa</t>
  </si>
  <si>
    <t>Componente</t>
  </si>
  <si>
    <t>Receptores principales</t>
  </si>
  <si>
    <t>Intervention standard</t>
  </si>
  <si>
    <t xml:space="preserve">Intervención estándar </t>
  </si>
  <si>
    <t>Référence %</t>
  </si>
  <si>
    <t>Línea de base %</t>
  </si>
  <si>
    <t>Key Activity-Milestone ID (Name)</t>
  </si>
  <si>
    <t>[Module ID]</t>
  </si>
  <si>
    <t>module name repeated</t>
  </si>
  <si>
    <t>Indicador personalizado</t>
  </si>
  <si>
    <t>País</t>
  </si>
  <si>
    <t>Pays</t>
  </si>
  <si>
    <t>Commentaires</t>
  </si>
  <si>
    <t>Comentarios</t>
  </si>
  <si>
    <t>Principal Recipients</t>
  </si>
  <si>
    <t>Intervención</t>
  </si>
  <si>
    <t>Reporting Periods</t>
  </si>
  <si>
    <t>New Principal Recipient Name (use if the entity has never been a Global Fund PR or does not appear in dropdown list in previous column)</t>
  </si>
  <si>
    <t>Target #N</t>
  </si>
  <si>
    <t>Cible N#</t>
  </si>
  <si>
    <t>Meta N#</t>
  </si>
  <si>
    <t>Target #D</t>
  </si>
  <si>
    <t>Cible D#</t>
  </si>
  <si>
    <t>Meta D#</t>
  </si>
  <si>
    <t>Date de remise du rapport</t>
  </si>
  <si>
    <t>Indicator</t>
  </si>
  <si>
    <t>Cible %</t>
  </si>
  <si>
    <t>Meta %</t>
  </si>
  <si>
    <t>Catégorie</t>
  </si>
  <si>
    <t>Categoría</t>
  </si>
  <si>
    <t xml:space="preserve">Resultados </t>
  </si>
  <si>
    <t>Critère de réalisation</t>
  </si>
  <si>
    <t>Cadre de résultats</t>
  </si>
  <si>
    <t>Marco de desempeño</t>
  </si>
  <si>
    <t>Buts</t>
  </si>
  <si>
    <t xml:space="preserve">Metas </t>
  </si>
  <si>
    <t>Descripción de meta</t>
  </si>
  <si>
    <t>Objectifs</t>
  </si>
  <si>
    <t>Objetivos</t>
  </si>
  <si>
    <t>Módulos</t>
  </si>
  <si>
    <t xml:space="preserve">Indicador de impacto número </t>
  </si>
  <si>
    <t>Référence Année</t>
  </si>
  <si>
    <t>Línea de base año</t>
  </si>
  <si>
    <t>Référence Source</t>
  </si>
  <si>
    <t>Línea de base año fuente</t>
  </si>
  <si>
    <t>Yes</t>
  </si>
  <si>
    <t>Oui</t>
  </si>
  <si>
    <t>Sí</t>
  </si>
  <si>
    <t>Non</t>
  </si>
  <si>
    <t>[Name - ES]</t>
  </si>
  <si>
    <t>Name - ES</t>
  </si>
  <si>
    <t>[Name - FR]</t>
  </si>
  <si>
    <t>Name - FR</t>
  </si>
  <si>
    <t>translated intervetnion name</t>
  </si>
  <si>
    <t>translated name</t>
  </si>
  <si>
    <t>Translated name</t>
  </si>
  <si>
    <t>translated disaggregation category</t>
  </si>
  <si>
    <t>[Disaggregation Categories FR]</t>
  </si>
  <si>
    <t>Disaggregation Categories FR</t>
  </si>
  <si>
    <t>[Disaggregation Categories ES]</t>
  </si>
  <si>
    <t>Disaggregation Categories ES</t>
  </si>
  <si>
    <t>transalted coverage categories name</t>
  </si>
  <si>
    <t>[Category - FR]</t>
  </si>
  <si>
    <t>Category - FR</t>
  </si>
  <si>
    <t>[Category - ES]</t>
  </si>
  <si>
    <t>Category - ES</t>
  </si>
  <si>
    <t>[Disaggregation - FR]</t>
  </si>
  <si>
    <t>Disaggregation - FR</t>
  </si>
  <si>
    <t>[Disaggregation - ES]</t>
  </si>
  <si>
    <t>Disaggregation - ES</t>
  </si>
  <si>
    <t>translated category</t>
  </si>
  <si>
    <t>translated disaggregation</t>
  </si>
  <si>
    <t>translated disagregattion</t>
  </si>
  <si>
    <t>Custom Impact Indicator Local</t>
  </si>
  <si>
    <t>Baseline Source - Local</t>
  </si>
  <si>
    <t>Comment - Local</t>
  </si>
  <si>
    <t>Custom Outcome Indicator Local</t>
  </si>
  <si>
    <t>Custom Coverage Indicator Name - Local</t>
  </si>
  <si>
    <t>Baseline Source Local</t>
  </si>
  <si>
    <t>Comments Local</t>
  </si>
  <si>
    <t>Key Activity Local</t>
  </si>
  <si>
    <t>Milestone / Target Description Local</t>
  </si>
  <si>
    <t>Criterion for Completion Local</t>
  </si>
  <si>
    <t>Helper1 module + int + pop</t>
  </si>
  <si>
    <t>helper 2</t>
  </si>
  <si>
    <t>rank</t>
  </si>
  <si>
    <t>sorted</t>
  </si>
  <si>
    <t>module</t>
  </si>
  <si>
    <t>pop</t>
  </si>
  <si>
    <t>module+pop</t>
  </si>
  <si>
    <r>
      <t xml:space="preserve">o </t>
    </r>
    <r>
      <rPr>
        <b/>
        <sz val="11"/>
        <color rgb="FF000000"/>
        <rFont val="Calibri"/>
        <family val="2"/>
      </rPr>
      <t>COMPLETE: l</t>
    </r>
    <r>
      <rPr>
        <sz val="11"/>
        <color rgb="FF000000"/>
        <rFont val="Calibri"/>
        <family val="2"/>
      </rPr>
      <t>e rapport sur l'évaluation des besoins est approuvé par les autorités compétentes, puis publié et diffusé sur le site Web.</t>
    </r>
  </si>
  <si>
    <r>
      <t xml:space="preserve">o </t>
    </r>
    <r>
      <rPr>
        <b/>
        <sz val="11"/>
        <color rgb="FF000000"/>
        <rFont val="Calibri"/>
        <family val="2"/>
      </rPr>
      <t xml:space="preserve">AVANCE: </t>
    </r>
    <r>
      <rPr>
        <sz val="11"/>
        <color rgb="FF000000"/>
        <rFont val="Calibri"/>
        <family val="2"/>
      </rPr>
      <t>travail sur le terrain terminé</t>
    </r>
  </si>
  <si>
    <r>
      <t xml:space="preserve">o </t>
    </r>
    <r>
      <rPr>
        <b/>
        <sz val="11"/>
        <color rgb="FF000000"/>
        <rFont val="Calibri"/>
        <family val="2"/>
      </rPr>
      <t>COMMENCE:</t>
    </r>
    <r>
      <rPr>
        <sz val="11"/>
        <color rgb="FF000000"/>
        <rFont val="Calibri"/>
        <family val="2"/>
      </rPr>
      <t xml:space="preserve"> Protocole develope </t>
    </r>
  </si>
  <si>
    <t xml:space="preserve">Au stade d’établissement des subventions </t>
  </si>
  <si>
    <t>• La description du repère ne doit pas dépasser 200 caractères.</t>
  </si>
  <si>
    <t>Repère / Description de la cible</t>
  </si>
  <si>
    <t>• Pour les demandes régionales ou multi-pays / subventions, si un activité et son repère / cible correspondant couvre deux pays ou plus, les candidats / Récipiendaires Principaux doivent sélectionner l'option «multi-pays» dans le menu déroulant et spécifier les pays / zones géographiques concernés dans la colonne des commentaires.</t>
  </si>
  <si>
    <t>• Pour les applications régionales ou multi-pays / subventions, le candidat / Récipiendaire Principal doit spécifier le nom du pays correspondant à chaque activité sélectionnée.</t>
  </si>
  <si>
    <t>• Pour les applications par pays/ subventions, sélectionnez le nom du pays.</t>
  </si>
  <si>
    <t xml:space="preserve">Commentaires </t>
  </si>
  <si>
    <t>• Si plus d'un Récipiendaire Principal a été nommé à l'étape de la demande de financement, des modèles de cadre de performance distincts pour chaque Récipiendaire Principal sélectionné seront disponibles pour la négociation de la subvention. Ce champ n'apparaîtra pas dans le cadre de performance des négociations.</t>
  </si>
  <si>
    <t>Au stade d’établissement des subventions:</t>
  </si>
  <si>
    <t>• Le candidat doit inclure le nom du Récipiendaire Principal (parmi les Récipiendaires Principaux désignés dans la demande de financement) qui sera responsable de la mise en œuvre de ces activités et de ces repères / cibles au Fonds mondial. Les noms doivent être sélectionnés dans le menu déroulant pré-rempli avec les noms saisis dans l'onglet « Aperçu - Section A».</t>
  </si>
  <si>
    <t>Au stade de la demande de financement:</t>
  </si>
  <si>
    <t>Récipiendaire Principal Responsable</t>
  </si>
  <si>
    <t>• Inclure l'activité clé à surveiller par rapport à un ensemble défini de repères et de cibles</t>
  </si>
  <si>
    <t>Activités Clés</t>
  </si>
  <si>
    <t>• Sous chaque module, sélectionnez l'intervention liée à la mesure de suivi dans le menu déroulant. La liste inclura toutes les interventions incluses dans l’aperçu - Section A.</t>
  </si>
  <si>
    <t>• Pour les interventions personnalisées, le champ population n'est pas obligatoire. Si une «Intervention personnalisée» est sélectionnée, le menu déroulant du champ «Population» affiche une seule option «Non applicable». Sélectionnez cette option à l'aide de la liste déroulante. Ne pas modifier ce champ pour ajouter un groupe de population.</t>
  </si>
  <si>
    <t>• Une fois qu'une «Intervention standard» est sélectionnée, le menu déroulant du champ «Population» affiche les groupes de population pertinents pour cette intervention. Sélectionnez cette option à l'aide de la liste déroulante.</t>
  </si>
  <si>
    <t>• Ce champ s'applique à certains modules et aux interventions standard associées dans la composante VIH uniquement. Cela inclut les modules «Prévention», «Services différenciés de dépistage du VIH» et «Traitement, soins et soutien». Pour les modules SRPS, TB, Paludisme et VIH restant ainsi que les interventions associées, sélectionnez «Non applicable» dans la liste déroulante.</t>
  </si>
  <si>
    <t>• Insérer le nom du module lié à l'activité dans le menu déroulant. La liste comprendra tous les modules inclus dans l’aperçu - Section A.</t>
  </si>
  <si>
    <t xml:space="preserve">Nom du module </t>
  </si>
  <si>
    <t>Navigation de Page</t>
  </si>
  <si>
    <t>• Celles-ci sont surveillées à l'aide d'un ensemble défini de repères / cibles. Par exemple, pour les modules et les interventions liées au SRPS ou aux droits humains, ou dans les applications régionales ou multi-pays pour capturer les activités de plaidoyer et autres activités transfrontalières qui ne peuvent pas être mesurées à l'aide de la liste d'indicateurs de référence.</t>
  </si>
  <si>
    <t>Mesures de suivi du plan de travail - Section F</t>
  </si>
  <si>
    <t>• Indiquer les mesures prises / prévues pour collecter les données de référence manquantes et le calendrier de mise à jour du cadre de performance</t>
  </si>
  <si>
    <t>• Indiquer si la source de données de la valeur de référence est différente de la source de données qui sera utilisée pour générer des rapports sur l'indicateur.</t>
  </si>
  <si>
    <t>• Indiquer si la source de données à désagréger est différente de la valeur de référence globale.</t>
  </si>
  <si>
    <t>• Veuillez fournir toute information pertinente liée aux données désagrégées.</t>
  </si>
  <si>
    <t>• Veuillez inclure la source de données pour la valeur de référence.</t>
  </si>
  <si>
    <t>Source de la valeur de Référence</t>
  </si>
  <si>
    <t>• Inclure l'année des valeurs de référence. Si aucune valeur de référence n'est disponible, ce champ doit rester vide.</t>
  </si>
  <si>
    <t>Année de la valeur de Référence</t>
  </si>
  <si>
    <t>• Ce champ sera automatiquement calculé dans les cas où des valeurs de référence de numérateur et de dénominateur sont entrées pour l'indicateur.</t>
  </si>
  <si>
    <t>Valeur de Référence %</t>
  </si>
  <si>
    <t>• Dans le cas où des valeurs de référence ne sont pas disponibles, veuillez indiquer dans la case commentaires les actions entreprises / prévues et le moment auquel ces informations seront disponibles, ainsi que la date de mise à jour du cadre de performance.</t>
  </si>
  <si>
    <t>• Veuillez fournir les données des valeurs de référence du numérateur et du dénominateur (si applicable) pour les catégories et les variables de désagrégation requises.</t>
  </si>
  <si>
    <t xml:space="preserve">Valeur de Référence #N
Valeur de Référence #D 
</t>
  </si>
  <si>
    <t>•Les champs pour le numéro de l'indicateur, le nom de l'indicateur, la catégorie de désagrégation et la valeur de désagrégation seront pré-renseignés en fonction des catégories de désagrégation requises pour les indicateurs standard d'impact, de résultat et de couverture sélectionnés dans les sections précédentes.</t>
  </si>
  <si>
    <t>• Cela inclut également le lien vers la section des instructions permettant de remplir la section Désagrégation - section E.</t>
  </si>
  <si>
    <t>• Veuillez utiliser les liens fournis pour faire défiler les indicateurs d’impact, de résultat et de couverture de cette page qui nécessitent une désagrégation.</t>
  </si>
  <si>
    <t>Désagrégation (indicateurs d'impact, de résultat et de couverture) - Section E</t>
  </si>
  <si>
    <t xml:space="preserve">   − Des informations pertinentes supplémentaires, telles que les taux de participation aux consultations prénatales lors, par exemple, de la définition des cibles de PTME, les sources de données utilisées pour générer les estimations de la taille de la population ou décrire le contenu des paquets de service des interventions qui en comprennent.</t>
  </si>
  <si>
    <t>− En cas de valeurs de référence manquantes et / ou de cibles, indiquez quand ces informations seront disponibles et le cadre de performance mis à jour ;</t>
  </si>
  <si>
    <t>− Description de la zone géographique si les cibles sont infranationales (par exemple, dans le cas où les ONG Récipiendaires Principales rapportent à partir de sites de projet spécifiques);</t>
  </si>
  <si>
    <t>− Population cible, si cela n’est pas déjà indiqué dans la définition standard de l’indicateur ;</t>
  </si>
  <si>
    <t>− Les sources de données, si elles diffèrent des sources des valeurs de Référence;</t>
  </si>
  <si>
    <t>− Hypothèses des cibles, par exemple alignement sur le NSP ou toutes autres cibles nationales ;</t>
  </si>
  <si>
    <t xml:space="preserve"> • Cette colonne devrait être utilisée pour fournir des informations supplémentaires sur l'indicateur et les cibles, telles que: </t>
  </si>
  <si>
    <t>• Entrez « TBD » (à déterminer) si les cibles seront déterminées ultérieurement (par exemple, dans les cas où des valeurs de Référence précises ne sont pas disponibles, ou si des résultats sont attendus au moment de l'élaboration du cadre de performance et qu'il est donc impossible de définir des cibles au moment de la soumission du cadre de performance).</t>
  </si>
  <si>
    <t>Marquer si la cible est à déterminer “TBD”</t>
  </si>
  <si>
    <t xml:space="preserve">    • Pour certains indicateurs, même si des cibles en% sont définies, les résultats devront être rapportés en tant que numérateur, dénominateur et pourcentage.</t>
  </si>
  <si>
    <t>• Dans les cas où les valeurs de numérateur et de dénominateur des cibles ne sont pas requises, les % cibles peuvent être inclus manuellement.</t>
  </si>
  <si>
    <t>• Ce champ sera automatiquement calculé dans les cas où des valeurs de numérateur et de dénominateur pour des cibles sont entrées pour l'indicateur.</t>
  </si>
  <si>
    <t xml:space="preserve">Cible % </t>
  </si>
  <si>
    <t xml:space="preserve">   • Conformément aux exigences de déclaration différenciées, les pays classés par le Fonds mondial dans la catégorie «portefeuilles ciblés» incluent principalement des cibles annuelles dans le cadre de performance. Les pays classés dans la catégorie des «portefeuilles principaux / à impact élevé» incluent principalement des cibles semestrielles. </t>
  </si>
  <si>
    <t>• Tous les indicateurs ne doivent pas être rapportés au cours de chaque période. Inclure les cibles selon la fréquence de rapportage recommandée.</t>
  </si>
  <si>
    <t>• Inclure des cibles dans les périodes durant lesquelles les données seront collectées.</t>
  </si>
  <si>
    <t>• Les cibles doivent être alignées avec le plan stratégique national ou toutes autres cibles nationales actualisées et convenues, et basées sur l'analyse des écarts programmatique dans la demande de financement.</t>
  </si>
  <si>
    <t xml:space="preserve">  • Veuillez fournir les valeurs du numérateur et du dénominateur des cibles (si applicable) pour chaque indicateur de couverture.</t>
  </si>
  <si>
    <t xml:space="preserve">Cible #N
Cible #D
</t>
  </si>
  <si>
    <r>
      <t xml:space="preserve">− </t>
    </r>
    <r>
      <rPr>
        <b/>
        <sz val="11"/>
        <color rgb="FF000000"/>
        <rFont val="Calibri"/>
        <family val="2"/>
      </rPr>
      <t>Non cumulatif - Autre:</t>
    </r>
    <r>
      <rPr>
        <sz val="11"/>
        <color rgb="FF000000"/>
        <rFont val="Calibri"/>
        <family val="2"/>
      </rPr>
      <t xml:space="preserve"> Ceci s'applique aux indicateurs qui se réfèrent aux personnes recevant actuellement des services, quels que soient les cibles des périodes précédentes. Par exemple, «Pourcentage de personnes sous ART». Dans de tels cas, les cibles périodiques pertinentes de la dernière période de référence seront utilisées pour calculer la note de l'indicateur au moment de la décision de financement annuelle.</t>
    </r>
  </si>
  <si>
    <r>
      <t xml:space="preserve"> −</t>
    </r>
    <r>
      <rPr>
        <b/>
        <sz val="11"/>
        <color rgb="FF000000"/>
        <rFont val="Calibri"/>
        <family val="2"/>
      </rPr>
      <t xml:space="preserve"> Non cumulatif - Spécial: </t>
    </r>
    <r>
      <rPr>
        <sz val="11"/>
        <color rgb="FF000000"/>
        <rFont val="Calibri"/>
        <family val="2"/>
      </rPr>
      <t>Ceci reflète également les cibles par période, identiques à ceux de la catégorie ci-dessus, sauf que dans ce cas, les dénominateurs sont les mêmes pour les périodes de rapportage (par exemple, les estimations de taille pour les populations clés). Les cibles périodiques pertinentes (numérateurs) seront additionnées, mais pas le dénominateur, c’est-à-dire que le dénominateur de la période de rapportage en cours sera utilisé pour calculer la note de l’indicateur au moment de la décision de financement annuelle.</t>
    </r>
  </si>
  <si>
    <r>
      <t xml:space="preserve"> −</t>
    </r>
    <r>
      <rPr>
        <b/>
        <sz val="11"/>
        <color rgb="FF000000"/>
        <rFont val="Calibri"/>
        <family val="2"/>
      </rPr>
      <t xml:space="preserve"> Non cumulables:</t>
    </r>
    <r>
      <rPr>
        <sz val="11"/>
        <color rgb="FF000000"/>
        <rFont val="Calibri"/>
        <family val="2"/>
      </rPr>
      <t xml:space="preserve"> Cela correspond aux cibles spécifiques à une période, c’est-à-dire que la valeur correspond à ce qui sera réalisé au cours d’une période considérée indépendamment des cibles des périodes précédentes. Dans ce cas, les cibles périodiques appropriées  (numérateurs ou numérateurs et dénominateurs, le cas échéant) seront ajoutées pour calculer la note de l'indicateur au moment de la décision de financement annuelle.</t>
    </r>
  </si>
  <si>
    <t xml:space="preserve"> • Sous ce champ, indiquez comment les cibles sont définies pour les périodes de rapportage en sélectionnant les catégories de cumul pertinentes dans les listes déroulantes. Le Fonds mondial utilisera ces catégories pour générer la performance combinée des périodes de rapportage au cours d’une année au cours de laquelle sera prise la décision de financement annuelle. Le menu déroulant propose les trois options suivantes:</t>
  </si>
  <si>
    <t>Type de cumulation</t>
  </si>
  <si>
    <t xml:space="preserve">   • Si les cibles sont sous-nationales, veuillez spécifier la zone de couverture dans le champ de commentaires de l'indicateur.</t>
  </si>
  <si>
    <t>− Géographiquement sous-nationales, c’est-à-dire que cela ne se réfère qu’à certaines zones géographiques et que cela représente moins de 100% de la cible du programme national. Par exemple, dans les cas où les cibles proviennent de certaines zones spécifiques soutenues par la subvention / les Récipiendaires Principaux du Fonds mondial et ne couvrent pas d'autres zones géographiques affectées.</t>
  </si>
  <si>
    <t xml:space="preserve">− Géographiquement sous-nationales, c’est-à-dire que cela ne réfère qu’à certaines zones géographiques mais qu’elles reflètent 100% de la cible du programme national. Par exemple, dans les cas où l’épidémie est concentrée dans certaines régions du pays et où les cibles se rapportent à toutes ces régions; </t>
  </si>
  <si>
    <t>− Géographiquement nationales, c'est-à-dire que cela se réfère à l'ensemble du pays et représente 100% de la cible du programme national;</t>
  </si>
  <si>
    <t>• Dans le deuxième champ sous le nom du pays, spécifiez la portée des cibles pour chaque indicateur à l'aide du menu déroulant. Les options proposées permettent de distinguer si les cibles sont:</t>
  </si>
  <si>
    <t>• Pour les demandes régionales ou pour multiples pays / subventions, si un indicateur couvre deux pays ou plus, les candidats / Récipiendaires Principaux doivent sélectionner l'option «multi-pays» dans le menu déroulant et spécifier les pays / zones géographiques concernés dans la colonne des commentaires.</t>
  </si>
  <si>
    <t>• Pour les applications régionales ou pour multi-pays / subventions, le candidat / Récipiendaire Principal doit spécifier le nom du pays correspondant à chaque indicateur sélectionné.</t>
  </si>
  <si>
    <t>Pays/ Portée des cibles</t>
  </si>
  <si>
    <t>• Le PR de la subvention sera chargé de rendre compte des indicateurs inclus dans le cadre de performance de la subvention.</t>
  </si>
  <si>
    <t>• Si plus d'un récipiendaire principal a été nommé à l'étape de la demande de financement, des modèles de cadre de performance distincts pour chaque récipiendaire sélectionné seront disponibles pour la négociation de la subvention. Ce champ n'apparaîtra pas dans le cadre de performance pour l'octroi de subventions.</t>
  </si>
  <si>
    <t>• Le candidat doit inclure le nom du Récipiendaire Principal (parmi les Récipiendaires Principaux désignés dans la demande de financement) qui sera responsable de la mise en œuvre de ces indicateurs et du rapportage de ces indicateurs au Fonds mondial. Les noms doivent être sélectionnés dans le menu déroulant pré-rempli avec les noms saisis dans l'onglet «Aperçu - Section A».</t>
  </si>
  <si>
    <t>Au stade de la demande de financement</t>
  </si>
  <si>
    <t xml:space="preserve">Récipiendaire Principal responsable </t>
  </si>
  <si>
    <t>• Cela est destiné à identifier les chiffres qui seront utilisés pour le rapportage des résultats à l'échelle du portefeuille du Fonds mondial dans les cas où plusieurs PR dans un pays déclarent le même indicateur. Ce champ aidera à éviter la duplication des résultats rapportés.</t>
  </si>
  <si>
    <t>• Ce champ doit être renseigné par l'équipe pays du Fonds mondial / le spécialiste PHME en sélectionnant «Oui» ou «Non» dans le menu déroulant.</t>
  </si>
  <si>
    <t xml:space="preserve">Inclure dans les résultats du Fonds mondial </t>
  </si>
  <si>
    <t>• Conformément aux exigences de rapportage différencié, les pays classés dans la catégorie «Portefeuilles ciblés» par le Fonds mondial ne sont pas tenus de communiquer leurs résultats sous forme désagrégée.</t>
  </si>
  <si>
    <t>• Il n'est pas possible d'ajouter une catégorie de désagrégation pour les indicateurs personnalisés.</t>
  </si>
  <si>
    <t>• Les valeurs de référence (valeur, année et source) de chacune des catégories de désagrégation requises doivent être incluses dans l'onglet intitulé "Désagrégation - Section E".</t>
  </si>
  <si>
    <t>• Pour les indicateurs nécessitant une désagrégation, cette colonne sera préremplie avec les catégories pré-identifiées. Cette colonne indique les catégories de désagrégation par rapport auxquelles les résultats doivent être rapportés, une fois par an, lors de la mise en œuvre de la subvention.</t>
  </si>
  <si>
    <t>• Afin de garantir l'équité et de s'assurer que les programmes atteignent les populations à risque ou les plus touchées par la maladie, certains indicateurs sélectionnés dans la liste de référence du Fonds mondial nécessitent le rapportage de résultats désagrégés par rapport à des catégories pré-identifiées.</t>
  </si>
  <si>
    <t>• Si la source de données de la valeur de référence est différente de la source de données qui sera utilisée pour générer des rapports sur l'indicateur, cela doit être expliqué dans le champ "commentaires".</t>
  </si>
  <si>
    <t>• Si les données de référence ne sont pas disponibles au moment de la soumission de la demande de financement ou des négociations des subventions, indiquez «TBD » (à déterminer) et indiquez la date à laquelle elles seront déterminées «TBD en MM / AAAA »</t>
  </si>
  <si>
    <t xml:space="preserve">• Veuillez inclure la source de données pour la valeur de référence. </t>
  </si>
  <si>
    <t xml:space="preserve">Source de la valeur de Référence </t>
  </si>
  <si>
    <t>• Veuillez inclure l'année des valeurs de référence. Si aucune valeur de référence n'est disponible, ce champ doit rester vide.</t>
  </si>
  <si>
    <t xml:space="preserve">Année de la valeur de Référence  </t>
  </si>
  <si>
    <t xml:space="preserve">Valeur de Référence % </t>
  </si>
  <si>
    <t>• Si aucune donnée n'est disponible au stade de la demande de financement, ce champ doit être laissé en blanc et les valeurs de référence doivent être déterminées lors des négociations ou de la mise en œuvre de la subvention.</t>
  </si>
  <si>
    <t>• Veuillez fournir les données des valeurs de référence du numérateur et du dénominateur (si applicable) pour chaque indicateur de couverture. Les données de référence servent de point de départ pour mesurer la performance du programme. Les valeurs de référence se réfèrent aux derniers résultats disponibles provenant de sources de données valides.</t>
  </si>
  <si>
    <t xml:space="preserve">Valeur de Référence #N
Valeur de Référence #D
</t>
  </si>
  <si>
    <t>• L'inclusion de tout indicateur personnalisé nécessitera une revue et une approbation par l'équipe de Suivi &amp; Evaluation et d'Analyse de Pays du Fonds mondial.</t>
  </si>
  <si>
    <t>Nom du module (abrégé comme dans la liste d'indicateurs standard) - Autre 1 (nombre pour le nombre d'indicateurs de couverture personnalisés). Par exemple, un indicateur personnalisé lié au module Paludisme "Prise en charge des cas" doit avoir le code suivant: CM - Autre 1: Pourcentage de ....</t>
  </si>
  <si>
    <t>• Les indicateurs de couverture personnalisés doivent être codés comme suit:</t>
  </si>
  <si>
    <t>• Les indicateurs de couverture personnalisés en dehors de la liste des indicateurs standard fournis ne sont autorisés que dans des cas exceptionnels.</t>
  </si>
  <si>
    <t>Indicateur personalisé</t>
  </si>
  <si>
    <t>• Pour les demandes de financement à plusieurs composantes, il est recommandé d'inclure des indicateurs liés à chacune des composantes dans l'ordre, plutôt que de les mélanger. Par exemple, dans une demande de financement conjointe VIH et tuberculose, incluez d’abord tous les indicateurs VIH pertinents, suivis des indicateurs TB ou vice versa.</t>
  </si>
  <si>
    <t>• Portefeuilles ciblés: Conformément aux exigences de rapportage différencié, les pays classés dans la catégorie «Portefeuilles ciblés» par le Fonds mondial devraient avoir moins d'indicateurs dans leurs cadres de performance. Les indicateurs recommandés sont marqués d'un (M) dans le manuel Cadre Modulaire et dans la liste déroulante du modèle de cadre de performance. Pour plus de conseils, veuillez contacter vos équipes de pays.</t>
  </si>
  <si>
    <t>• Sélectionnez les indicateurs de couverture appropriés dans le menu déroulant. La liste comprend une liste d'indicateurs de couverture standard, avec un code d'indicateur standard, à utiliser pour les rapports du Fonds mondial. Ceux-ci sont dérivés des indicateurs recommandés par les partenaires techniques pour les rapports mondiaux et nationaux.</t>
  </si>
  <si>
    <t>Indicateur standard</t>
  </si>
  <si>
    <t>• Pour les indicateurs personnalisés, le champ population n'est pas obligatoire. Si un «Indicateur personnalisé» est sélectionné, le menu déroulant du champ «Population» affiche une seule option «Non applicable». Sélectionnez cette option à l'aide de la liste déroulante. Ne pas modifier ce champ pour ajouter un groupe de population</t>
  </si>
  <si>
    <t>• Une fois qu'un «Indicateur standard» est sélectionné, le menu déroulant du champ «Population» indique le groupe de population pertinent pour cet indicateur. Sélectionnez cette option à l'aide de la liste déroulante.</t>
  </si>
  <si>
    <t>• Ce champ s’applique uniquement à certains modules et aux indicateurs standard associés de la composante VIH. Cela inclut les modules Prévention, Services différenciés de dépistage du VIH et Traitement, soins et soutien. Pour les modules SRPS, TB, Paludisme et VIH restant et les indicateurs connexes, sélectionnez «Non applicable» dans la liste déroulante.</t>
  </si>
  <si>
    <t>• Ce champ peut être renseigné uniquement après la sélection des indicateurs dans la colonne «Indicateur standard» adjacente.</t>
  </si>
  <si>
    <t>• Sélectionnez le nom du module dans le menu déroulant. La liste comprendra tous les modules inclus dans l’aperçu - Section A.</t>
  </si>
  <si>
    <t>• Cela inclut le lien vers la section des instructions permettant de renseigner les indicateurs de couverture - section D.</t>
  </si>
  <si>
    <t>Navigation de page</t>
  </si>
  <si>
    <t xml:space="preserve">   − En cas de valeurs de référence manquantes et / ou de cibles, indiquez quand ces informations seront disponibles et le cadre de performance mis à jour.</t>
  </si>
  <si>
    <t xml:space="preserve">− Tout changement de méthodologie de mesure par rapport à l'année précédente; </t>
  </si>
  <si>
    <t xml:space="preserve">− Zone géographique couverte par les enquêtes; </t>
  </si>
  <si>
    <t>− Entité responsable de la collecte et du rapportage des données;</t>
  </si>
  <si>
    <t>− Les sources de données, si elles diffèrent des sources des valeurs de référence;</t>
  </si>
  <si>
    <t xml:space="preserve">• Cette colonne devrait être utilisée pour fournir des informations supplémentaires sur l'indicateur et les cibles, telles que: </t>
  </si>
  <si>
    <t>• Entrez « TBD » (à déterminer) si les cibles seront déterminées ultérieurement (par exemple, dans les cas où des valeurs de référence précises ne sont pas disponibles, ou si les résultats de l'enquête sont attendus au moment de l'élaboration du cadre de performance et qu'il est donc impossible de définir des cibles au moment de la soumission du cadre de performance).</t>
  </si>
  <si>
    <t>• Indiquez les délais dans lesquels les résultats des indicateurs de résultats seront disponibles dans le pays. Cela peut être différent de la date à laquelle ils seront rapportés au Fonds mondial avec les Rapports de Progrès.</t>
  </si>
  <si>
    <t>Date de Remise du Rapport</t>
  </si>
  <si>
    <t>• Dans les cas où les valeurs des cibles du numérateur et du dénominateur ne sont pas obligatoires, le % des cibles peut être inclus manuellement.</t>
  </si>
  <si>
    <t>• Ce champ sera automatiquement calculé dans les cas où les valeurs des cibles du numérateur et du dénominateur sont entrées pour l'indicateur.</t>
  </si>
  <si>
    <t>• Les cibles doivent être alignées avec le plan stratégique national ou toutes autres cibles nationales actualisées et convenues. Celles-ci devraient être inclues en fonction de la fréquence de leurs mesures. Par exemple, si les enquêtes sont menées les années 1 et 3, les cibles doivent être fournies uniquement pour ces années.</t>
  </si>
  <si>
    <t>• Indiquez les valeurs cibles du numérateur et du dénominateur (le cas échéant) pour chaque indicateur de résultat.</t>
  </si>
  <si>
    <t>• Tous les champs des cibles (N, D et %) sont des champs numériques et ne permettent pas la saisie de caractères alphanumériques ni de commentaires (p. ex. &lt;,&gt; ou TBD (à déterminer).</t>
  </si>
  <si>
    <t>• L'année de la cible est préremplie en fonction de la date de début de la période de mise en œuvre.</t>
  </si>
  <si>
    <t xml:space="preserve">Année de la cible </t>
  </si>
  <si>
    <t>• Pour les demandes régionales / subventions, si un indicateur couvre deux pays ou plus dans la demande régionale / subvention, les candidats / Récipiendaires Principaux doivent sélectionner l'option «multi-pays» dans le menu déroulant et spécifier les pays / zones géographiques concernés dans la colonne des commentaires.</t>
  </si>
  <si>
    <t>• Pour les applications régionales / subventions, le candidat / Récipiendaire Principal doit spécifier le nom du pays correspondant à chaque indicateur sélectionné.</t>
  </si>
  <si>
    <t>• Le RP de la subvention sera chargé de rapporter les indicateurs inclus dans le cadre de performance de la subvention.</t>
  </si>
  <si>
    <t xml:space="preserve">• Si plus d'un Récipiendaire Principal a été nommé à l'étape de la demande de financement, des modèles de cadre de performance distincts pour chaque Récipiendaire Principal sélectionné seront disponibles pour la négociation de la subvention. Ce champ n'apparaîtra pas dans le Cadre de Performance des négociations des subventions. </t>
  </si>
  <si>
    <t>PR responsible</t>
  </si>
  <si>
    <t xml:space="preserve">• Veuillez inclure la source de données pour la valeur de référence. Il peut s'agir par exemple du nom du système de données ou du nom de l'enquête / étude, du titre d'un rapport, etc. </t>
  </si>
  <si>
    <t>• Inclure l'année des données de référence. Si aucune valeur de référence n'est disponible, ce champ doit rester vide.</t>
  </si>
  <si>
    <t xml:space="preserve">Année de la valeur de Référence </t>
  </si>
  <si>
    <t>• Dans les cas où les valeurs de référence de numérateur et de dénominateur ne sont pas obligatoires, les valeurs en % peuvent être incluses manuellement.</t>
  </si>
  <si>
    <t xml:space="preserve">• Ce champ sera automatiquement calculé dans les cas où des valeurs de référence de numérateur et de dénominateur sont entrées pour l'indicateur. </t>
  </si>
  <si>
    <t>• Si aucune donnée n'est disponible au stade de la demande de financement, ce champ doit être laissé en blanc et les valeurs de Référence doivent être déterminés lors des négociations des subventions ou de la mise en œuvre de la subvention.</t>
  </si>
  <si>
    <t xml:space="preserve">• Pour les indicateurs rapportés sous forme de taux pour 1000 ou 100 000, seule la valeur du numérateur doit être fournie. </t>
  </si>
  <si>
    <t>• Fournissez les valeurs de référence du numérateur et du dénominateur (le cas échéant) pour chaque indicateur de résultat. La valeur en % sera calculée automatiquement. Les données de référence servent de point de départ pour mesurer la performance du programme. Les valeurs de référence se réfèrent aux derniers résultats disponibles provenant de sources de données valides.</t>
  </si>
  <si>
    <t xml:space="preserve">• Les indicateurs de résultats personnalisés doivent être codés comme suit: (Composante), puis O (pour Outcome) - autre 1 (le compte pour le nombre d’indicateurs de résultats personnalisés). Par exemple, un indicateur personnalisé pour le VIH aurait le code suivant: VIH O - Autre 1: Pourcentage de ... </t>
  </si>
  <si>
    <t>• Les indicateurs de résultats personnalisés, en dehors de la liste des indicateurs standard fournis, ne sont autorisés que dans des cas exceptionnels.</t>
  </si>
  <si>
    <t>Indicateur Personnalisé</t>
  </si>
  <si>
    <t>• Pour les demandes de financement à plusieurs composantes, il est recommandé d'inclure des indicateurs liés à chacune des composantes dans l'ordre, plutôt que de les mélanger. Par exemple, dans une demande de financement conjointe VIH et tuberculose, incluez d’abord tous les indicateurs pertinents du VIH, suivis des indicateurs de la tuberculose ou inversement.</t>
  </si>
  <si>
    <t xml:space="preserve">• Portefeuilles ciblés : Conformément les exigences de rapportage différencié, les pays classés dans la catégorie «Portefeuilles ciblés» par le Fonds mondial devraient avoir moins d'indicateurs dans leurs cadres de performance. Les indicateurs recommandés sont marqués d'un (M) dans le manuel Cadre Modulaire et dans la liste déroulante du modèle de cadre de performance. Pour plus de conseils, veuillez contacter vos équipes de pays. </t>
  </si>
  <si>
    <t xml:space="preserve">• Le menu déroulant comprend une liste d'indicateurs de résultats standard, avec un code d'indicateur standard, à utiliser pour les rapports du Fonds mondial. Ceux-ci sont dérivés des indicateurs recommandés par les partenaires techniques pour les rapports mondiaux et nationaux. </t>
  </si>
  <si>
    <t xml:space="preserve">• Sélectionnez les indicateurs de résultats pertinents dans le menu déroulant. Les indicateurs de résultats sont liés au(x) but(s) définis. </t>
  </si>
  <si>
    <t xml:space="preserve">Indicateur Standard </t>
  </si>
  <si>
    <t xml:space="preserve">• Cela inclut le lien vers la section des instructions permettant de renseigner les indicateurs de résultats - section B.
• Les indicateurs de résultats doivent être rapportés au niveau du programme national. Si plusieurs Récipiendaires Principaux étaient sélectionnés pour une composante, un ensemble commun d'indicateurs de résultats et de cibles devrait être inclus dans toutes les subventions liées à cette composante, pour chacun des Récipiendaires Principaux.
</t>
  </si>
  <si>
    <t xml:space="preserve">Indicateurs de résultats- Section C </t>
  </si>
  <si>
    <t xml:space="preserve">   --   En cas de valeurs de Référence manquantes et / ou de cibles, indiquez quand ces informations seront disponibles et le cadre de performance mis à jour.</t>
  </si>
  <si>
    <r>
      <t>−</t>
    </r>
    <r>
      <rPr>
        <sz val="7"/>
        <color rgb="FF000000"/>
        <rFont val="Times New Roman"/>
        <family val="1"/>
      </rPr>
      <t xml:space="preserve">     </t>
    </r>
    <r>
      <rPr>
        <sz val="11"/>
        <color rgb="FF000000"/>
        <rFont val="Calibri"/>
        <family val="2"/>
      </rPr>
      <t xml:space="preserve">Tout changement de méthodologie de mesure par rapport à l'année précédente; </t>
    </r>
  </si>
  <si>
    <r>
      <t>−</t>
    </r>
    <r>
      <rPr>
        <sz val="7"/>
        <color rgb="FF000000"/>
        <rFont val="Times New Roman"/>
        <family val="1"/>
      </rPr>
      <t xml:space="preserve">     </t>
    </r>
    <r>
      <rPr>
        <sz val="11"/>
        <color rgb="FF000000"/>
        <rFont val="Calibri"/>
        <family val="2"/>
      </rPr>
      <t xml:space="preserve">Zone géographique couverte par les enquêtes; </t>
    </r>
  </si>
  <si>
    <r>
      <t>−</t>
    </r>
    <r>
      <rPr>
        <sz val="7"/>
        <color rgb="FF000000"/>
        <rFont val="Times New Roman"/>
        <family val="1"/>
      </rPr>
      <t xml:space="preserve">     </t>
    </r>
    <r>
      <rPr>
        <sz val="11"/>
        <color rgb="FF000000"/>
        <rFont val="Calibri"/>
        <family val="2"/>
      </rPr>
      <t>Entité responsable de la collecte et du rapportage des données;</t>
    </r>
  </si>
  <si>
    <r>
      <t>−</t>
    </r>
    <r>
      <rPr>
        <sz val="7"/>
        <color rgb="FF000000"/>
        <rFont val="Times New Roman"/>
        <family val="1"/>
      </rPr>
      <t xml:space="preserve">     </t>
    </r>
    <r>
      <rPr>
        <sz val="11"/>
        <color rgb="FF000000"/>
        <rFont val="Calibri"/>
        <family val="2"/>
      </rPr>
      <t>Description de la zone géographique si les cibles sont infranationales (par exemple, dans le cas où les ONG Récipiendaires Principales rapportent à partir de sites de projet spécifiques);</t>
    </r>
  </si>
  <si>
    <r>
      <t>−</t>
    </r>
    <r>
      <rPr>
        <sz val="7"/>
        <color rgb="FF000000"/>
        <rFont val="Times New Roman"/>
        <family val="1"/>
      </rPr>
      <t xml:space="preserve">     </t>
    </r>
    <r>
      <rPr>
        <sz val="11"/>
        <color rgb="FF000000"/>
        <rFont val="Calibri"/>
        <family val="2"/>
      </rPr>
      <t>Population cible, si cela n’est pas déjà indiqué dans la définition standard de l’indicateur ;</t>
    </r>
  </si>
  <si>
    <r>
      <t>−</t>
    </r>
    <r>
      <rPr>
        <sz val="7"/>
        <color rgb="FF000000"/>
        <rFont val="Times New Roman"/>
        <family val="1"/>
      </rPr>
      <t xml:space="preserve">     </t>
    </r>
    <r>
      <rPr>
        <sz val="11"/>
        <color rgb="FF000000"/>
        <rFont val="Calibri"/>
        <family val="2"/>
      </rPr>
      <t>Les sources de données, si elles diffèrent des sources des valeurs de référence;</t>
    </r>
  </si>
  <si>
    <r>
      <t>−</t>
    </r>
    <r>
      <rPr>
        <sz val="7"/>
        <color rgb="FF000000"/>
        <rFont val="Times New Roman"/>
        <family val="1"/>
      </rPr>
      <t xml:space="preserve">     </t>
    </r>
    <r>
      <rPr>
        <sz val="11"/>
        <color rgb="FF000000"/>
        <rFont val="Calibri"/>
        <family val="2"/>
      </rPr>
      <t>Hypothèses des cibles, par exemple alignement sur le NSP ou toutes autres cibles nationales ;</t>
    </r>
  </si>
  <si>
    <t xml:space="preserve">Cette colonne devrait être utilisée pour fournir des informations supplémentaires sur l'indicateur et les cibles, telles que: </t>
  </si>
  <si>
    <t xml:space="preserve">    •  Entrez « TBD » (à déterminer) si les cibles seront déterminées ultérieurement (par exemple, dans les cas où des valeurs de référence précises ne sont pas disponibles, ou si les résultats de l'enquête sont attendus au moment de l'élaboration du cadre de performance et qu'il est donc impossible de définir des cibles au moment de la soumission du cadre de performance).</t>
  </si>
  <si>
    <t xml:space="preserve">    •   Indiquez les délais dans lesquels les résultats des indicateurs d'impact seront disponibles dans le pays. Cela peut être différent de la date à laquelle ils seront rapportés au Fonds mondial avec les Rapports de Progrès.</t>
  </si>
  <si>
    <t xml:space="preserve">    •   Dans les cas où les valeurs des cibles du numérateur et du dénominateur ne sont pas obligatoires, le % des cibles peut être inclus manuellement.</t>
  </si>
  <si>
    <t xml:space="preserve">    •  Ce champ sera automatiquement calculé dans les cas où les valeurs des cibles du numérateur et du dénominateur sont entrées pour l'indicateur.</t>
  </si>
  <si>
    <t xml:space="preserve">Cible %  </t>
  </si>
  <si>
    <t>•  Les cibles doivent être alignées avec le plan stratégique national ou toutes autres cibles nationales actualisées et convenues. Celles-ci devraient être inclues en fonction de la fréquence de leurs mesures. Par exemple, si les enquêtes sont menées les années 1 et 3, les cibles doivent être fournies uniquement pour ces années.</t>
  </si>
  <si>
    <t>•  Indiquez les valeurs cibles du numérateur et du dénominateur (le cas échéant) pour chaque indicateur d'impact.</t>
  </si>
  <si>
    <t>•  Tous les champs des cibles (N, D et %) sont des champs numériques et ne permettent pas la saisie de caractères alphanumériques ni de commentaires (p. ex. &lt;,&gt; ou TBD (à déterminer).</t>
  </si>
  <si>
    <r>
      <t>·</t>
    </r>
    <r>
      <rPr>
        <sz val="7"/>
        <color rgb="FF000000"/>
        <rFont val="Times New Roman"/>
        <family val="1"/>
      </rPr>
      <t xml:space="preserve">    </t>
    </r>
    <r>
      <rPr>
        <sz val="11"/>
        <color rgb="FF000000"/>
        <rFont val="Calibri"/>
        <family val="2"/>
      </rPr>
      <t>L'année de la cible est préremplie en fonction de la date de début de la période de mise en œuvre.</t>
    </r>
  </si>
  <si>
    <t xml:space="preserve">    •   Pour les demandes régionales / subventions, si un indicateur couvre deux pays ou plus dans la demande régionale / subvention, les candidats / Récipiendaires Principaux doivent sélectionner l'option «multi-pays» dans le menu déroulant et spécifier les pays / zones géographiques concernés dans la colonne des commentaires.</t>
  </si>
  <si>
    <t xml:space="preserve">    •   Pour les applications régionales / subventions, le candidat / Récipiendaire Principal doit spécifier le nom du pays correspondant à chaque indicateur sélectionné.</t>
  </si>
  <si>
    <t xml:space="preserve">    •   Pour les applications par pays/ subventions, sélectionnez le nom du pays.</t>
  </si>
  <si>
    <t xml:space="preserve">    •   Le PR de la subvention sera chargé de rapporter les indicateurs inclus dans le cadre de performance de la subvention.</t>
  </si>
  <si>
    <t xml:space="preserve">    •   Si plus d'un Récipiendaire Principal a été nommé à l'étape de la demande de financement, des modèles de cadre de performance distincts pour chaque Récipiendaire Principal sélectionné seront disponibles pour la négociation de la subvention. Ce champ n'apparaîtra pas dans le Cadre de Performance des négociations des subventions. </t>
  </si>
  <si>
    <t xml:space="preserve">    •   Le candidat doit inclure le nom du Récipiendaire Principal (parmi les Récipiendaires Principaux désignés dans la demande de financement) qui sont responsable de ces indicateurs dans le cadre de performance au stade de la demande de financement. Le nom doit être sélectionné dans le menu déroulant qui est pré-rempli avec les noms saisis dans la section «Aperçu-Section A».</t>
  </si>
  <si>
    <t xml:space="preserve">PR Responsable </t>
  </si>
  <si>
    <t xml:space="preserve">    •   Conformément aux exigences de rapportage différencié, les pays classés dans la catégorie «Portefeuilles ciblés» par le Fonds mondial ne sont pas tenus de communiquer leurs résultats sous forme désagrégée.</t>
  </si>
  <si>
    <t xml:space="preserve">    •   Il n'est pas possible d'ajouter une catégorie de désagrégation pour les indicateurs personnalisés.</t>
  </si>
  <si>
    <t xml:space="preserve">    •   Dans le cas où des valeurs de référence ne sont pas disponibles, veuillez indiquer dans la case commentaires les actions entreprises / prévues et le moment auquel ces informations seront disponibles, ainsi que la date de mise à jour du cadre de performance.</t>
  </si>
  <si>
    <t xml:space="preserve">    •   Les valeurs de référence (valeur, année et source) de chacune des catégories de désagrégation requises doivent être incluses dans l'onglet intitulé "Désagrégation - Section E".</t>
  </si>
  <si>
    <t xml:space="preserve">    •   Pour les indicateurs nécessitant une désagrégation, cette colonne sera préremplie avec les catégories pré-identifiées. Cette colonne indique les catégories de désagrégation par rapport auxquelles les résultats doivent être rapportés, une fois par an, lors de la mise en œuvre de la subvention.</t>
  </si>
  <si>
    <t xml:space="preserve">    •   Afin de garantir l'équité et de s'assurer que les programmes atteignent les populations à risque ou les plus touchées par la maladie, certains indicateurs sélectionnés dans la liste de Référence du Fonds mondial nécessitent le rapportage de résultats désagrégés par rapport à des catégories pré-identifiées.</t>
  </si>
  <si>
    <t xml:space="preserve">    •   Si la source de données de la valeur de référence est différente de la source de données qui sera utilisée pour générer des rapports sur l'indicateur, cela doit être expliqué dans le champ "commentaires".</t>
  </si>
  <si>
    <t xml:space="preserve">    •   Si les données de référence ne sont pas disponibles au moment de la soumission de la demande de financement ou des négociations des subventions, indiquez «TBD » (à déterminer) et indiquez la date à laquelle elles seront déterminées «TBD en MM / AAAA »</t>
  </si>
  <si>
    <t xml:space="preserve">    •   Veuillez inclure la source de données pour la valeur de référence. Il peut s'agir par exemple du nom du système de données ou du nom de l'enquête / étude, du titre d'un rapport, etc. </t>
  </si>
  <si>
    <t xml:space="preserve">Source de la Valeur de Référence </t>
  </si>
  <si>
    <t xml:space="preserve">    •   Inclure l'année des données de référence. Si aucune valeur de référence n'est disponible, ce champ doit rester vide.</t>
  </si>
  <si>
    <t xml:space="preserve">Année de la Valeur de Référence </t>
  </si>
  <si>
    <t xml:space="preserve">    •   Dans les cas où les valeurs de référence de numérateur et de dénominateur ne sont pas obligatoires, les valeurs en % peuvent être incluses manuellement.</t>
  </si>
  <si>
    <t xml:space="preserve">    •   Ce champ sera automatiquement calculé dans les cas où des valeurs de Référence de numérateur et de dénominateur sont entrées pour l'indicateur. </t>
  </si>
  <si>
    <t xml:space="preserve">    •   Si aucune donnée n'est disponible au stade de la demande de financement, ce champ doit être laissé en blanc et les valeurs de référence doivent être déterminés lors des négociations des subventions ou de la mise en œuvre de la subvention.</t>
  </si>
  <si>
    <t xml:space="preserve">    •   Pour les indicateurs rapportés sous forme de taux pour 1000 ou 100 000, seule la valeur du numérateur doit être fournie. </t>
  </si>
  <si>
    <t xml:space="preserve">    •   Fournissez les valeurs de référence du numérateur et du dénominateur (le cas échéant) pour chaque indicateur d'impact. La valeur en % sera calculée automatiquement. Les données de référence servent de point de départ pour mesurer la performance du programme. Les valeurs de référence se réfèrent aux derniers résultats disponibles provenant de sources de données valides.</t>
  </si>
  <si>
    <t xml:space="preserve">    •   L'inclusion de tout indicateur personnalisé nécessitera une revue et une approbation par l'équipe de Suivi &amp; Evaluation et d'Analyse de Pays du Fonds mondial.</t>
  </si>
  <si>
    <t xml:space="preserve">    •   Les indicateurs d’impact personnalisés doivent être codés comme suit: (Composante), puis I (pour Impact) - autre 1 (le compte pour le nombre d’indicateurs d’impact personnalisés). Par exemple, un indicateur personnalisé pour le VIH aurait le code suivant: VIH I - Autre 1: Pourcentage de ... </t>
  </si>
  <si>
    <t xml:space="preserve">    •   Les indicateurs d'impact personnalisés, en dehors de la liste des indicateurs standard fournis, ne sont autorisés que dans des cas exceptionnels.</t>
  </si>
  <si>
    <t xml:space="preserve">    •   Pour les demandes de financement à plusieurs composantes, il est recommandé d'inclure des indicateurs liés à chacune des composantes dans l'ordre, plutôt que de les mélanger. Par exemple, dans une demande de financement conjointe VIH et tuberculose, incluez d’abord tous les indicateurs pertinents du VIH, suivis des indicateurs de la tuberculose ou inversement.</t>
  </si>
  <si>
    <t xml:space="preserve">    •   Portefeuilles ciblés: Conformément aux exigences de rapportage différencié, les pays classés dans la catégorie «Portefeuilles ciblés» par le Fonds mondial devraient avoir moins d'indicateurs dans leurs cadres de performance. Les indicateurs recommandés sont marqués d'un (M) dans le manuel Cadre Modulaire et dans la liste déroulante du modèle de cadre de performance. Pour plus de conseils, veuillez contacter vos équipes de pays. </t>
  </si>
  <si>
    <t xml:space="preserve">    •   Le menu déroulant comprend une liste d'indicateurs d'impact standard, avec un code d'indicateur standard, à utiliser pour les rapports du Fonds mondial. Ceux-ci sont dérivés des indicateurs recommandés par les partenaires techniques pour les rapports mondiaux et nationaux. </t>
  </si>
  <si>
    <t xml:space="preserve">    •   Sélectionnez les indicateurs d’impact pertinents dans le menu déroulant. Les indicateurs d’impact sont liés au(x) but(s) définis. </t>
  </si>
  <si>
    <t xml:space="preserve">    •   Les indicateurs d’impact doivent être rapportés au niveau du programme national. Si plusieurs Récipiendaires Principaux étaient sélectionnés pour une composante, un ensemble commun d'indicateurs d'impact et de cibles devrait être inclus dans toutes les subventions liées à cette composante, pour chacun des Récipiendaires Principaux.</t>
  </si>
  <si>
    <t xml:space="preserve">    •   Cela inclut le lien vers la section des instructions permettant de renseigner les indicateurs d’impact - section B.</t>
  </si>
  <si>
    <t>Indicateurs d’Impact  – Section B</t>
  </si>
  <si>
    <t xml:space="preserve">    •   Pour les interventions personnalisées, le champ population n'est pas obligatoire. Si une «Intervention personnalisée» est sélectionnée, le menu déroulant du champ «Population» affiche une seule option «Non applicable». Sélectionnez cette option à l'aide de la liste déroulante. Ne pas modifier ce champ pour ajouter un groupe de population.</t>
  </si>
  <si>
    <t xml:space="preserve">    •   Une fois qu'une «Intervention standard» est sélectionnée, le menu déroulant du champ «Population» affiche les groupes de population pertinents pour cette intervention. Sélectionnez cette option à l'aide de la liste déroulante.</t>
  </si>
  <si>
    <t xml:space="preserve">    •   Ce champ s’applique uniquement à certains modules et aux interventions standard associées dans la composante VIH. Cela inclut les modules «Prévention», «Services de dépistage différenciés du VIH» et «Traitement, soins et soutien». Pour les modules restants SRPS, TB, Paludisme et VIH ainsi que les interventions associées, sélectionnez «Non applicable» dans la liste déroulante.</t>
  </si>
  <si>
    <t xml:space="preserve">    •   L'inclusion d'interventions personnalisées nécessitera une revue et une validation par l'équipe de pays.</t>
  </si>
  <si>
    <r>
      <t xml:space="preserve">    •   Pour le paludisme, </t>
    </r>
    <r>
      <rPr>
        <u/>
        <sz val="11"/>
        <color rgb="FF000000"/>
        <rFont val="Calibri"/>
        <family val="2"/>
      </rPr>
      <t>cela peut être fait en sélectionnant d’abord «Autres interventions»</t>
    </r>
    <r>
      <rPr>
        <sz val="11"/>
        <color rgb="FF000000"/>
        <rFont val="Calibri"/>
        <family val="2"/>
      </rPr>
      <t xml:space="preserve"> dans la liste déroulante de la colonne «Intervention standard», puis en indiquant le nom de l’intervention personnalisée que vous souhaitez inclure dans la colonne «Interventions personnalisées». Si les interventions personnalisées sont incluses sans sélectionner l'option «Autres interventions» dans la colonne «Intervention standard», elles ne peuvent pas être réimportées.</t>
    </r>
  </si>
  <si>
    <r>
      <t xml:space="preserve">    •   L'inclusion d'interventions personnalisées qui ne figurent pas dans la liste déroulante </t>
    </r>
    <r>
      <rPr>
        <u/>
        <sz val="11"/>
        <color rgb="FF000000"/>
        <rFont val="Calibri"/>
        <family val="2"/>
      </rPr>
      <t>n'est pas autorisée pour le VIH, la tuberculose et le SRPS</t>
    </r>
    <r>
      <rPr>
        <sz val="11"/>
        <color rgb="FF000000"/>
        <rFont val="Calibri"/>
        <family val="2"/>
      </rPr>
      <t>. Dans des cas exceptionnels, ceux-ci peuvent être inclus pour le paludisme.</t>
    </r>
  </si>
  <si>
    <t xml:space="preserve">Interventions Personnalisées 
(seulement si “Autres » interventions est sélectionné)
</t>
  </si>
  <si>
    <t xml:space="preserve">    •   Si vous utilisez des mesures de suivi du plan de travail pour suivre les progrès des activités clés, veuillez inclure la liste des modules et les noms des interventions associées pour les activités sélectionnées dans la liste déroulante.</t>
  </si>
  <si>
    <t xml:space="preserve">    •   Le nombre de modules qu’il est possible de sélectionner est limité à quinze.</t>
  </si>
  <si>
    <t xml:space="preserve">    •   Pour les demandes de financement à plusieurs composantes, il est recommandé d'inclure des modules liés à chacune des composantes dans l'ordre, plutôt que de les mélanger. Par exemple, dans une demande de financement conjointe VIH et tuberculose, incluez d’abord tous les modules VIH pertinents, suivis des modules TB, ou inversement. </t>
  </si>
  <si>
    <t xml:space="preserve">Nom du Module </t>
  </si>
  <si>
    <t xml:space="preserve">    •   Veuillez inclure les objectifs du programme dans cette section. Chaque objectif doit avoir un ensemble d'objectifs connexes plus spécifiques qui permettront au programme d'atteindre le ou les objectifs déclarés. Ces objectifs doivent être compatibles avec les objectifs des plans stratégiques nationaux ou des stratégies régionales.</t>
  </si>
  <si>
    <t xml:space="preserve">Description des objectifs </t>
  </si>
  <si>
    <t xml:space="preserve">    •   Veuillez inclure les buts du programme dans cette section. Les buts sont des déclarations générales et globales sur l’impact souhaité du programme à moyen et à long terme et doivent être cohérents avec les plans stratégiques nationaux ou les stratégies régionales.</t>
  </si>
  <si>
    <t>Description des buts</t>
  </si>
  <si>
    <t xml:space="preserve">    •   Les Récipiendaires Principaux sont chargés d'agréger les données des Sous-Récipiendaires et de soumettre un rapport consolidé au Fonds mondial.</t>
  </si>
  <si>
    <t xml:space="preserve">    •   Le Rapport de Progrès (Progress Update (PU) tous les six mois) et la date de soumission des Rapports de Progrès et Demandes de Décaissement (PUDR annuel) seront préremplies. Pour le PU, il s’agit de 45 jours à partir de la fin de la période de rapportage et pour le PUDR il s’agit de 60 jours à partir de la fin de la période de rapportage annuelle.</t>
  </si>
  <si>
    <t xml:space="preserve">    •   Veuillez indiquer si une demande de décaissement sera soumise avec le rapport de progrès pour chacune des périodes de rapportage en sélectionnant «oui» ou «non» dans le menu déroulant.</t>
  </si>
  <si>
    <t>Date d'échéance du PUDR</t>
  </si>
  <si>
    <t xml:space="preserve">    •   La date de fin de la période de rapportage est généralement de 6 à 12 mois après la date de début de la période de rapportage, en fonction de la fréquence de rapportage convenue. La durée de la période de rapportage peut être modifiée pour assurer un alignement dans le cycle de rapportage.</t>
  </si>
  <si>
    <t>Date de fin de la période</t>
  </si>
  <si>
    <t xml:space="preserve">    •   La date de début de la première période de rapportage correspond à la date de début de la subvention. Le reste des périodes de rapportage commence le jour suivant la date de fin de la période de rapportage précédente.</t>
  </si>
  <si>
    <t>Date de début de la période</t>
  </si>
  <si>
    <r>
      <t>·</t>
    </r>
    <r>
      <rPr>
        <sz val="7"/>
        <color rgb="FF000000"/>
        <rFont val="Times New Roman"/>
        <family val="1"/>
      </rPr>
      <t xml:space="preserve">     </t>
    </r>
    <r>
      <rPr>
        <sz val="11"/>
        <color rgb="FF000000"/>
        <rFont val="Calibri"/>
        <family val="2"/>
      </rPr>
      <t>Le candidat / Récipiendaire Principal doit s'assurer que les cycles de rapportage programmatiques et financiers sont harmonisés. Dans les cas où les cycles de rapportage programmatique et les cycles budgétaires diffèrent, un accord doit être conclu entre la CT et le candidat / Récipiendaire Principal afin d’avoir un cycle de rapportage commun, c’est-à-dire aligné sur le cycle de rapportage programmatique ou le cycle budgétaire.</t>
    </r>
  </si>
  <si>
    <r>
      <t>·</t>
    </r>
    <r>
      <rPr>
        <sz val="7"/>
        <color rgb="FF000000"/>
        <rFont val="Times New Roman"/>
        <family val="1"/>
      </rPr>
      <t xml:space="preserve">     </t>
    </r>
    <r>
      <rPr>
        <sz val="11"/>
        <color rgb="FF000000"/>
        <rFont val="Calibri"/>
        <family val="2"/>
      </rPr>
      <t>Pour aligner les dates de début des subventions sur les cycles de rapportage nationaux, les première et dernières périodes de rapportage d'une subvention pourraient être plus longues ou plus courtes que 6 ou 12 mois. Cela peut être fait en modifiant manuellement les dates de début et de fin des périodes de rapportage. Par exemple, si la subvention débute le 1er avril et que la période de rapport programmatique pour le pays est janvier-décembre, la première période de rapport peut être ajustée pour couvrir les neuf mois restants de cette période. De même, les dates de fin de la dernière période de rapport devront également être ajustées. Cela ajustera la longueur des périodes de rapportage dans les indicateurs de couverture - section D et les mesures de suivi du plan de travail - section F.</t>
    </r>
  </si>
  <si>
    <r>
      <t>·</t>
    </r>
    <r>
      <rPr>
        <sz val="7"/>
        <color rgb="FF000000"/>
        <rFont val="Times New Roman"/>
        <family val="1"/>
      </rPr>
      <t xml:space="preserve">     </t>
    </r>
    <r>
      <rPr>
        <sz val="11"/>
        <color rgb="FF000000"/>
        <rFont val="Calibri"/>
        <family val="2"/>
      </rPr>
      <t>Ces périodes de rapportage des progrès doivent être alignées sur le cycle de rapportage national et ne doivent pas nécessairement être liées à l'année civile ou aux années de mise en œuvre à compter de la date de début du programme. L'alignement sur le cycle de rapportage national est nécessaire pour assurer la disponibilité des résultats programmatiques.</t>
    </r>
  </si>
  <si>
    <r>
      <t>·</t>
    </r>
    <r>
      <rPr>
        <sz val="7"/>
        <color rgb="FF000000"/>
        <rFont val="Times New Roman"/>
        <family val="1"/>
      </rPr>
      <t xml:space="preserve">     </t>
    </r>
    <r>
      <rPr>
        <sz val="11"/>
        <color rgb="FF000000"/>
        <rFont val="Calibri"/>
        <family val="2"/>
      </rPr>
      <t>Les périodes de rapportage seront pré-renseignées par défaut, en fonction des dates de début et de fin de la période de mise en œuvre annuelle et de la fréquence de rapport sélectionnée.</t>
    </r>
  </si>
  <si>
    <t>Périodes de rapportage</t>
  </si>
  <si>
    <r>
      <t>·</t>
    </r>
    <r>
      <rPr>
        <sz val="7"/>
        <color rgb="FF000000"/>
        <rFont val="Times New Roman"/>
        <family val="1"/>
      </rPr>
      <t xml:space="preserve">     </t>
    </r>
    <r>
      <rPr>
        <sz val="11"/>
        <color rgb="FF000000"/>
        <rFont val="Calibri"/>
        <family val="2"/>
      </rPr>
      <t xml:space="preserve">Si le partenaire de mise en œuvre sélectionné est nouveau et n'a pas encore géré les subventions du Fonds mondial, l'utilisateur peut saisir manuellement son nom, sur une nouvelle ligne, dans la colonne </t>
    </r>
    <r>
      <rPr>
        <b/>
        <sz val="11"/>
        <color rgb="FF000000"/>
        <rFont val="Calibri"/>
        <family val="2"/>
      </rPr>
      <t>Nouveau Récipiendaire principal</t>
    </r>
    <r>
      <rPr>
        <sz val="11"/>
        <color rgb="FF000000"/>
        <rFont val="Calibri"/>
        <family val="2"/>
      </rPr>
      <t>.</t>
    </r>
  </si>
  <si>
    <r>
      <t>·</t>
    </r>
    <r>
      <rPr>
        <sz val="7"/>
        <color rgb="FF000000"/>
        <rFont val="Times New Roman"/>
        <family val="1"/>
      </rPr>
      <t xml:space="preserve">     </t>
    </r>
    <r>
      <rPr>
        <sz val="11"/>
        <color rgb="FF000000"/>
        <rFont val="Calibri"/>
        <family val="2"/>
      </rPr>
      <t xml:space="preserve">Pour ce faire, veuillez utiliser un menu déroulant contenant la liste de tous les partenaires de mise en œuvre qui ont précédemment géré une subvention du Fonds mondial. </t>
    </r>
  </si>
  <si>
    <r>
      <t>·</t>
    </r>
    <r>
      <rPr>
        <sz val="7"/>
        <color rgb="FF000000"/>
        <rFont val="Times New Roman"/>
        <family val="1"/>
      </rPr>
      <t xml:space="preserve">     </t>
    </r>
    <r>
      <rPr>
        <sz val="11"/>
        <color rgb="FF000000"/>
        <rFont val="Calibri"/>
        <family val="2"/>
      </rPr>
      <t xml:space="preserve">Sous la colonne </t>
    </r>
    <r>
      <rPr>
        <b/>
        <sz val="11"/>
        <color rgb="FF000000"/>
        <rFont val="Calibri"/>
        <family val="2"/>
      </rPr>
      <t>Récipiendaires Principal</t>
    </r>
    <r>
      <rPr>
        <sz val="11"/>
        <color rgb="FF000000"/>
        <rFont val="Calibri"/>
        <family val="2"/>
      </rPr>
      <t xml:space="preserve">, le candidat inclura le nom du / des partenaires de mise en œuvre(s). </t>
    </r>
  </si>
  <si>
    <t>Récipiendaires Principaux</t>
  </si>
  <si>
    <t>Nom de la composante</t>
  </si>
  <si>
    <r>
      <t>·</t>
    </r>
    <r>
      <rPr>
        <sz val="7"/>
        <color rgb="FF000000"/>
        <rFont val="Times New Roman"/>
        <family val="1"/>
      </rPr>
      <t xml:space="preserve">     </t>
    </r>
    <r>
      <rPr>
        <sz val="11"/>
        <color rgb="FF000000"/>
        <rFont val="Calibri"/>
        <family val="2"/>
      </rPr>
      <t>Ceci fournit des liens pour faciliter la navigation dans chaque page et vers la page d'instructions.</t>
    </r>
  </si>
  <si>
    <t>• Cela signifie trois ans à compter de la date de début de la période d’utilisation des allocations.</t>
  </si>
  <si>
    <t>• Cette date fait référence à la date de fin de la période d'utilisation des allocations indiquée dans la lettre d'allocation.</t>
  </si>
  <si>
    <t>Date de fin de la période d'utilisation des allocations</t>
  </si>
  <si>
    <t>• La date de début de la période d'utilisation de la répartition par composante est indiquée dans la lettre de répartition.</t>
  </si>
  <si>
    <t>• C’est la période au cours de laquelle la composante pays par composante de la maladie peut être utilisée pour mettre en œuvre des programmes. Il commence le lendemain de la dernière date de fin de la période d’utilisation des allocations.</t>
  </si>
  <si>
    <t>Date de début de la période d'utilisation des allocations</t>
  </si>
  <si>
    <t xml:space="preserve">•   Sélectionnez «6» ou «12» en fonction de la catégorie du pays dans le cadre de  différenciation du Fonds mondial.
             - Les portefeuilles classés dans la catégorie «ciblés» rapportent sur une Référence annuelle.
             - Les portefeuilles classés dans la catégorie «principaux» ou «à risque élevé» devraient présenter des rapports semestriels.
</t>
  </si>
  <si>
    <t xml:space="preserve">Au stade d’établissement des subventions : </t>
  </si>
  <si>
    <r>
      <t>·</t>
    </r>
    <r>
      <rPr>
        <sz val="7"/>
        <color rgb="FF000000"/>
        <rFont val="Times New Roman"/>
        <family val="1"/>
      </rPr>
      <t xml:space="preserve">     </t>
    </r>
    <r>
      <rPr>
        <sz val="11"/>
        <color rgb="FF000000"/>
        <rFont val="Calibri"/>
        <family val="2"/>
        <scheme val="minor"/>
      </rPr>
      <t>La fréquence de rapportage est définie par défaut sur 12 mois pour toutes les demandes de financement. Les candidats sont tenus de fournir des cibles annuelles. Si les candidats ont l'intention d'inclure des cibles semestrielles, il est possible de le faire en sélectionnant «6» dans le menu déroulant.</t>
    </r>
  </si>
  <si>
    <t xml:space="preserve">Au stade de la demande de financement: </t>
  </si>
  <si>
    <r>
      <t>·</t>
    </r>
    <r>
      <rPr>
        <sz val="7"/>
        <color rgb="FF000000"/>
        <rFont val="Times New Roman"/>
        <family val="1"/>
      </rPr>
      <t xml:space="preserve">     </t>
    </r>
    <r>
      <rPr>
        <sz val="11"/>
        <color rgb="FF000000"/>
        <rFont val="Calibri"/>
        <family val="2"/>
        <scheme val="minor"/>
      </rPr>
      <t>Ce champ indique la fréquence à laquelle les résultats seront communiqués au Fonds mondial lors de la mise en œuvre de la subvention. En conséquence, dans le cadre de performance, il définit si les objectifs seront semestriels ou annuels.</t>
    </r>
  </si>
  <si>
    <t>•   Trois ans après la date de début de la période de mise en œuvre, sauf dans les cas où le Fonds mondial a accepté une subvention prévoyant une période de mise en œuvre inférieure à trois ans.</t>
  </si>
  <si>
    <t>Date de fin de la période de mise en œuvre</t>
  </si>
  <si>
    <t>•   Le début de la période de mise en œuvre doit toujours être le premier jour du mois.</t>
  </si>
  <si>
    <t>•   Ce champ fait référence à la date de début de la période de mise en œuvre, qui suivra généralement la date de fin de la période de mise en œuvre précédente (y compris la période de prolongation, le cas échéant). Si le candidat ne dispose pas de subventions du Fonds mondial, la date de début de la période de mise en œuvre sera la date de début du programme demandée par le candidat.</t>
  </si>
  <si>
    <t>Date de début de la période de mise en œuvre</t>
  </si>
  <si>
    <r>
      <t>·</t>
    </r>
    <r>
      <rPr>
        <sz val="7"/>
        <color rgb="FF000000"/>
        <rFont val="Times New Roman"/>
        <family val="1"/>
      </rPr>
      <t xml:space="preserve">     </t>
    </r>
    <r>
      <rPr>
        <sz val="11"/>
        <color rgb="FF000000"/>
        <rFont val="Calibri"/>
        <family val="2"/>
      </rPr>
      <t>Avant de mettre le modèle de cadre de performance à la disposition du candidat, le nom de la demande de financement sera pré-rempli par le Fonds mondial.</t>
    </r>
  </si>
  <si>
    <r>
      <t>·</t>
    </r>
    <r>
      <rPr>
        <sz val="7"/>
        <color rgb="FF000000"/>
        <rFont val="Times New Roman"/>
        <family val="1"/>
      </rPr>
      <t xml:space="preserve">     </t>
    </r>
    <r>
      <rPr>
        <sz val="11"/>
        <color rgb="FF000000"/>
        <rFont val="Calibri"/>
        <family val="2"/>
      </rPr>
      <t xml:space="preserve">Ce champ sera pré-rempli par le Fonds mondial </t>
    </r>
  </si>
  <si>
    <t>Nom de la subvention / Nom de la demande de financement</t>
  </si>
  <si>
    <r>
      <t>·</t>
    </r>
    <r>
      <rPr>
        <sz val="7"/>
        <color rgb="FF000000"/>
        <rFont val="Times New Roman"/>
        <family val="1"/>
      </rPr>
      <t xml:space="preserve">     </t>
    </r>
    <r>
      <rPr>
        <sz val="11"/>
        <color rgb="FF000000"/>
        <rFont val="Calibri"/>
        <family val="2"/>
        <scheme val="minor"/>
      </rPr>
      <t>Ce champ sera pré-rempli par le Fonds mondial et envoyé à chaque pays / candidat.</t>
    </r>
  </si>
  <si>
    <t xml:space="preserve">Pays/Géographie  </t>
  </si>
  <si>
    <t>13.    Les instructions détaillées pour compléter les différentes sections du modèle de cadre de performance sont fournies ci-dessous :</t>
  </si>
  <si>
    <t>12.    Le dernier onglet du cadre de performance intitulé « Aperçu avant impression » fournit un aperçu des informations saisies dans chacune des sections pour faciliter l'impression et la révision du document.</t>
  </si>
  <si>
    <t>11.    Sous l'onglet de désagrégation (section E), vous pouvez trouver plusieurs lignes vides pour chaque indicateur. Cela est pour faciliter la visualisation de toutes les valeurs de désagrégation possibles en fonction de l'ordre dans lequel les indicateurs sont sélectionnés dans les onglets des indicateurs d'impact, de résultat et de couverture. Vous pouvez utiliser le menu de navigation en haut de la page pour accéder aux différentes sections de cet onglet. Vous pouvez utiliser ctrl + home pour revenir au menu de navigation de la page.</t>
  </si>
  <si>
    <r>
      <t xml:space="preserve">o </t>
    </r>
    <r>
      <rPr>
        <b/>
        <sz val="11"/>
        <color rgb="FF000000"/>
        <rFont val="Calibri"/>
        <family val="2"/>
        <scheme val="minor"/>
      </rPr>
      <t xml:space="preserve">Section E: </t>
    </r>
    <r>
      <rPr>
        <sz val="11"/>
        <color rgb="FF000000"/>
        <rFont val="Calibri"/>
        <family val="2"/>
        <scheme val="minor"/>
      </rPr>
      <t>Désagrégation (indicateurs d'impact, de résultat et de couverture)</t>
    </r>
  </si>
  <si>
    <r>
      <t xml:space="preserve">o </t>
    </r>
    <r>
      <rPr>
        <b/>
        <sz val="11"/>
        <color rgb="FF000000"/>
        <rFont val="Calibri"/>
        <family val="2"/>
        <scheme val="minor"/>
      </rPr>
      <t xml:space="preserve">Section D: </t>
    </r>
    <r>
      <rPr>
        <sz val="11"/>
        <color rgb="FF000000"/>
        <rFont val="Calibri"/>
        <family val="2"/>
        <scheme val="minor"/>
      </rPr>
      <t>Indicateurs de couverture</t>
    </r>
  </si>
  <si>
    <r>
      <t xml:space="preserve">o </t>
    </r>
    <r>
      <rPr>
        <b/>
        <sz val="11"/>
        <color rgb="FF000000"/>
        <rFont val="Calibri"/>
        <family val="2"/>
        <scheme val="minor"/>
      </rPr>
      <t xml:space="preserve">Section C: </t>
    </r>
    <r>
      <rPr>
        <sz val="11"/>
        <color rgb="FF000000"/>
        <rFont val="Calibri"/>
        <family val="2"/>
        <scheme val="minor"/>
      </rPr>
      <t>Indicateurs de résultats</t>
    </r>
  </si>
  <si>
    <r>
      <t xml:space="preserve">o </t>
    </r>
    <r>
      <rPr>
        <b/>
        <sz val="11"/>
        <color rgb="FF000000"/>
        <rFont val="Calibri"/>
        <family val="2"/>
        <scheme val="minor"/>
      </rPr>
      <t xml:space="preserve">Section B: </t>
    </r>
    <r>
      <rPr>
        <sz val="11"/>
        <color rgb="FF000000"/>
        <rFont val="Calibri"/>
        <family val="2"/>
        <scheme val="minor"/>
      </rPr>
      <t>Indicateurs d'impact</t>
    </r>
  </si>
  <si>
    <r>
      <t>10.</t>
    </r>
    <r>
      <rPr>
        <sz val="7"/>
        <color rgb="FF000000"/>
        <rFont val="Times New Roman"/>
        <family val="1"/>
      </rPr>
      <t xml:space="preserve">       </t>
    </r>
    <r>
      <rPr>
        <sz val="11"/>
        <color rgb="FF000000"/>
        <rFont val="Calibri"/>
        <family val="2"/>
        <scheme val="minor"/>
      </rPr>
      <t>Les instructions suivent la structure du modèle de cadre de performance et sont divisées en sections suivantes :</t>
    </r>
  </si>
  <si>
    <t>7.      Le modèle de cadre de performance est disponible en anglais, français et espagnol.</t>
  </si>
  <si>
    <r>
      <t xml:space="preserve">5.     Le modèle en format Excel comprend des feuilles de calcul interdépendantes et est protégé. Les utilisateurs ne doivent pas altérer le fichier. Toute falsification du fichier entraînera la perte de certaines fonctionnalités et ne permettra pas de le réimporter dans le système d'exploitation du Fonds mondial. Les cadres de performances susceptibles d’être altérés (par exemple, lorsque la protection par mot de passe du modèle Excel a été brisée, que les menus déroulants ont été remplacés en copiant et collant des valeurs, ou que la structure du formulaire a été modifiée en ajoutant ou en supprimant des colonnes et / ou des lignes, etc.) </t>
    </r>
    <r>
      <rPr>
        <b/>
        <sz val="11"/>
        <color rgb="FF000000"/>
        <rFont val="Calibri"/>
        <family val="2"/>
        <scheme val="minor"/>
      </rPr>
      <t>seront rejetés</t>
    </r>
    <r>
      <rPr>
        <sz val="11"/>
        <color rgb="FF000000"/>
        <rFont val="Calibri"/>
        <family val="2"/>
        <scheme val="minor"/>
      </rPr>
      <t xml:space="preserve"> et les utilisateurs seront tenus de soumettre à nouveau les informations dans un nouveau modèle.</t>
    </r>
  </si>
  <si>
    <t>4.     Le modèle Excel du cadre de performance est compatible avec MS Excel 2010 ou des versions ultérieures uniquement. Certains menus déroulants et formules risquent de ne pas fonctionner dans MS Excel 2007 ou des versions antérieures. Par conséquent, les candidats / récipiendaires principaux ayant des versions MS antérieures sont invités à effectuer une mise à niveau vers MS Excel 2010 ou des versions ultérieures avant de travailler sur ce fichier.</t>
  </si>
  <si>
    <t>II. Orientation générale</t>
  </si>
  <si>
    <t>Instructions pour compléter le modèle de cadre de performance</t>
  </si>
  <si>
    <t xml:space="preserve">Indicador estándar </t>
  </si>
  <si>
    <t>Couverture</t>
  </si>
  <si>
    <t>Indicateurs d’impact</t>
  </si>
  <si>
    <t>Non applicable</t>
  </si>
  <si>
    <r>
      <t xml:space="preserve">Cadre de performance  - </t>
    </r>
    <r>
      <rPr>
        <sz val="11"/>
        <color rgb="FFFF0000"/>
        <rFont val="Calibri"/>
        <family val="2"/>
        <scheme val="minor"/>
      </rPr>
      <t xml:space="preserve">Orientation générale </t>
    </r>
    <r>
      <rPr>
        <sz val="11"/>
        <color theme="1"/>
        <rFont val="Calibri"/>
        <family val="2"/>
        <charset val="238"/>
        <scheme val="minor"/>
      </rPr>
      <t xml:space="preserve"> - Section A</t>
    </r>
  </si>
  <si>
    <t>Marco de desempeño  - Descripción General - Sección A</t>
  </si>
  <si>
    <t>Nombre de la Subvención/Nombre de la solicitud de financiamiento</t>
  </si>
  <si>
    <t>Fréquence du rapportage programmatique</t>
  </si>
  <si>
    <t>Frecuencia del período de reporte programático</t>
  </si>
  <si>
    <t>Fecha de inicio del período de uso de la asignación</t>
  </si>
  <si>
    <t xml:space="preserve">Fecha de término del período de uso de la asignación </t>
  </si>
  <si>
    <t>Navegación de la página</t>
  </si>
  <si>
    <t>Composante</t>
  </si>
  <si>
    <t>Numéro du Récipiendaire Principal</t>
  </si>
  <si>
    <t xml:space="preserve">Número del Receptor Principal </t>
  </si>
  <si>
    <r>
      <t>Récipiendair</t>
    </r>
    <r>
      <rPr>
        <sz val="11"/>
        <color rgb="FFFF0000"/>
        <rFont val="Calibri"/>
        <family val="2"/>
        <scheme val="minor"/>
      </rPr>
      <t xml:space="preserve">e </t>
    </r>
    <r>
      <rPr>
        <sz val="11"/>
        <color theme="1"/>
        <rFont val="Calibri"/>
        <family val="2"/>
        <charset val="238"/>
        <scheme val="minor"/>
      </rPr>
      <t>Principal</t>
    </r>
  </si>
  <si>
    <t>Nombre del Receptor Principal</t>
  </si>
  <si>
    <r>
      <rPr>
        <b/>
        <sz val="12"/>
        <color theme="1"/>
        <rFont val="Calibri"/>
        <family val="2"/>
        <charset val="238"/>
        <scheme val="minor"/>
      </rPr>
      <t>Principal Recipient Name</t>
    </r>
    <r>
      <rPr>
        <sz val="11"/>
        <color theme="1"/>
        <rFont val="Calibri"/>
        <family val="2"/>
        <charset val="238"/>
        <scheme val="minor"/>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</si>
  <si>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</si>
  <si>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</si>
  <si>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Período de reporte</t>
  </si>
  <si>
    <t>Fecha de inicio del período</t>
  </si>
  <si>
    <t xml:space="preserve">Date de fin de la période </t>
  </si>
  <si>
    <t>Fecha de término del período</t>
  </si>
  <si>
    <t xml:space="preserve">Date d'échéance du PUDR </t>
  </si>
  <si>
    <t>Fecha de envío del PUDR</t>
  </si>
  <si>
    <t>Fecha de envío</t>
  </si>
  <si>
    <t>Numéro du but</t>
  </si>
  <si>
    <t>Número de meta</t>
  </si>
  <si>
    <t>Description du but</t>
  </si>
  <si>
    <t xml:space="preserve">Numéro de l'objectif </t>
  </si>
  <si>
    <t>Número de objetivo</t>
  </si>
  <si>
    <t>Description de l'objectif</t>
  </si>
  <si>
    <t>Descripción de objetivos</t>
  </si>
  <si>
    <t>Numéro du module</t>
  </si>
  <si>
    <t>Número de módulo</t>
  </si>
  <si>
    <t>Nom du module</t>
  </si>
  <si>
    <t>Nombre del módulo</t>
  </si>
  <si>
    <t>Requis uniquement si vous avez des mesures de suivi du plan de travail</t>
  </si>
  <si>
    <t>Solo se requiere si tiene Medidas de Seguimiento al Plan de Trabajo</t>
  </si>
  <si>
    <t>Numéro de l'intervention</t>
  </si>
  <si>
    <t>Número de intervención</t>
  </si>
  <si>
    <t>Intervention personnalisée (uniquement si "Autre" intervention est choisie)</t>
  </si>
  <si>
    <t>Intervención personalizada (solo si selecciona "otras" intervenciones)</t>
  </si>
  <si>
    <t>Población</t>
  </si>
  <si>
    <r>
      <t xml:space="preserve">Cadre de performance - </t>
    </r>
    <r>
      <rPr>
        <sz val="11"/>
        <color rgb="FFFF0000"/>
        <rFont val="Calibri"/>
        <family val="2"/>
        <scheme val="minor"/>
      </rPr>
      <t>Indicateurs d'impact</t>
    </r>
    <r>
      <rPr>
        <sz val="11"/>
        <color theme="1"/>
        <rFont val="Calibri"/>
        <family val="2"/>
        <charset val="238"/>
        <scheme val="minor"/>
      </rPr>
      <t xml:space="preserve"> - Section B</t>
    </r>
  </si>
  <si>
    <t>Marco de desempeño - Indicadores de Impacto- Sección B</t>
  </si>
  <si>
    <t xml:space="preserve">Numéro de l'indicateurs d’impact </t>
  </si>
  <si>
    <r>
      <t>Indicateu</t>
    </r>
    <r>
      <rPr>
        <sz val="11"/>
        <color rgb="FFFF0000"/>
        <rFont val="Calibri"/>
        <family val="2"/>
        <scheme val="minor"/>
      </rPr>
      <t>r</t>
    </r>
    <r>
      <rPr>
        <sz val="11"/>
        <color theme="1"/>
        <rFont val="Calibri"/>
        <family val="2"/>
        <charset val="238"/>
        <scheme val="minor"/>
      </rPr>
      <t xml:space="preserve"> standard</t>
    </r>
  </si>
  <si>
    <r>
      <t>Indicateu</t>
    </r>
    <r>
      <rPr>
        <sz val="11"/>
        <color rgb="FFFF0000"/>
        <rFont val="Calibri"/>
        <family val="2"/>
        <scheme val="minor"/>
      </rPr>
      <t xml:space="preserve">r </t>
    </r>
    <r>
      <rPr>
        <sz val="11"/>
        <color theme="1"/>
        <rFont val="Calibri"/>
        <family val="2"/>
        <charset val="238"/>
        <scheme val="minor"/>
      </rPr>
      <t>personnalisé</t>
    </r>
  </si>
  <si>
    <t>Référence #N
Référence #D</t>
  </si>
  <si>
    <t>Línea de base #N
Línea de base #D</t>
  </si>
  <si>
    <t xml:space="preserve">Récipiendaires principaux </t>
  </si>
  <si>
    <t>Instrucciones</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</si>
  <si>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</si>
  <si>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</si>
  <si>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Désaggrégation obligatoire</t>
  </si>
  <si>
    <t>Desagregación requerida</t>
  </si>
  <si>
    <t xml:space="preserve">Récipiendaire principal responsable </t>
  </si>
  <si>
    <t>Receptor principal responsible</t>
  </si>
  <si>
    <t>Fecha de envío del reporte</t>
  </si>
  <si>
    <t>Marque si la meta es "TBD"</t>
  </si>
  <si>
    <t>Cadre de performance - Indicateurs de résultats - Section C</t>
  </si>
  <si>
    <t>Marco de desempeño - Indicadores de Resultado - Sección C</t>
  </si>
  <si>
    <t xml:space="preserve">Résultats </t>
  </si>
  <si>
    <t>Resultado</t>
  </si>
  <si>
    <t xml:space="preserve">Indicateur </t>
  </si>
  <si>
    <t>Indicador</t>
  </si>
  <si>
    <t>Numéro</t>
  </si>
  <si>
    <t>Número</t>
  </si>
  <si>
    <t>Cadre de performance -Indicateurs de couverture - Section D</t>
  </si>
  <si>
    <t>Marco de desempeño - Indicadores de cobertura - Sección D</t>
  </si>
  <si>
    <t xml:space="preserve">Numéro de l'indicateur de couverture </t>
  </si>
  <si>
    <t xml:space="preserve">Número del Indicador de cobertura </t>
  </si>
  <si>
    <t>Incluir en resultados del FM</t>
  </si>
  <si>
    <t>País / Alcance de las metas</t>
  </si>
  <si>
    <t>Tipo de acumulación</t>
  </si>
  <si>
    <t>Cadre de performance - Désagrégation - Section E</t>
  </si>
  <si>
    <t>Marco de desempeño - Desagregación - Sección E</t>
  </si>
  <si>
    <t>Impacto</t>
  </si>
  <si>
    <t>Cobertura</t>
  </si>
  <si>
    <t xml:space="preserve">Désagrégation de l'indicateur d'impact </t>
  </si>
  <si>
    <t>Desagregación del Indicador de impacto</t>
  </si>
  <si>
    <t xml:space="preserve">Nom de l'indicateur d’impact </t>
  </si>
  <si>
    <t>Nombre del indicador de impacto</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</si>
  <si>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</si>
  <si>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</si>
  <si>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</si>
  <si>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</si>
  <si>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</si>
  <si>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</si>
  <si>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Nom de l'indicateur de résultats </t>
  </si>
  <si>
    <t>Nombre del indicador de resultado</t>
  </si>
  <si>
    <t xml:space="preserve">Désagrégation de l'indicateur de couverture </t>
  </si>
  <si>
    <t>Desagregación del indicador de cobertura</t>
  </si>
  <si>
    <r>
      <rPr>
        <sz val="11"/>
        <color rgb="FFFF0000"/>
        <rFont val="Calibri"/>
        <family val="2"/>
        <scheme val="minor"/>
      </rPr>
      <t>Numéro de l'i</t>
    </r>
    <r>
      <rPr>
        <sz val="11"/>
        <color theme="1"/>
        <rFont val="Calibri"/>
        <family val="2"/>
        <charset val="238"/>
        <scheme val="minor"/>
      </rPr>
      <t xml:space="preserve">ndicateur de couverture </t>
    </r>
  </si>
  <si>
    <t>Número del indicador de cobertura</t>
  </si>
  <si>
    <r>
      <rPr>
        <sz val="11"/>
        <color rgb="FFFF0000"/>
        <rFont val="Calibri"/>
        <family val="2"/>
        <scheme val="minor"/>
      </rPr>
      <t>Nom de l'in</t>
    </r>
    <r>
      <rPr>
        <sz val="11"/>
        <color theme="1"/>
        <rFont val="Calibri"/>
        <family val="2"/>
        <charset val="238"/>
        <scheme val="minor"/>
      </rPr>
      <t>dicateur de couverture</t>
    </r>
  </si>
  <si>
    <t>Nombre del indicador de cobertura</t>
  </si>
  <si>
    <r>
      <t xml:space="preserve">Cadre de performance - </t>
    </r>
    <r>
      <rPr>
        <sz val="11"/>
        <color rgb="FFFF0000"/>
        <rFont val="Calibri"/>
        <family val="2"/>
        <scheme val="minor"/>
      </rPr>
      <t>MSPT</t>
    </r>
    <r>
      <rPr>
        <sz val="11"/>
        <color theme="1"/>
        <rFont val="Calibri"/>
        <family val="2"/>
        <charset val="238"/>
        <scheme val="minor"/>
      </rPr>
      <t xml:space="preserve"> - Section E</t>
    </r>
  </si>
  <si>
    <t>Marco de desempeño - MSPT - Sección E</t>
  </si>
  <si>
    <t xml:space="preserve">Número </t>
  </si>
  <si>
    <t>Activité principale</t>
  </si>
  <si>
    <t>Actividad clave</t>
  </si>
  <si>
    <t xml:space="preserve">Repères/ Description de la cible </t>
  </si>
  <si>
    <t>Hitos/ Descripción de la meta</t>
  </si>
  <si>
    <t>Criterios para la finalización</t>
  </si>
  <si>
    <t>Fréquence de la période de rapportage programmatique</t>
  </si>
  <si>
    <t>Indicadores de impacto</t>
  </si>
  <si>
    <r>
      <t>Indicateu</t>
    </r>
    <r>
      <rPr>
        <sz val="11"/>
        <color rgb="FFFF0000"/>
        <rFont val="Calibri"/>
        <family val="2"/>
        <scheme val="minor"/>
      </rPr>
      <t>r</t>
    </r>
    <r>
      <rPr>
        <sz val="11"/>
        <color theme="1"/>
        <rFont val="Calibri"/>
        <family val="2"/>
        <charset val="238"/>
        <scheme val="minor"/>
      </rPr>
      <t xml:space="preserve"> d’impact personnalisé</t>
    </r>
  </si>
  <si>
    <t>Indicador de impacto personalizado</t>
  </si>
  <si>
    <t>Valeur de référence</t>
  </si>
  <si>
    <t>Valor de línea de base</t>
  </si>
  <si>
    <t>Année de la référence &amp; Source</t>
  </si>
  <si>
    <t>Año y fuente de la línea de base</t>
  </si>
  <si>
    <t>Valeur de la cible</t>
  </si>
  <si>
    <t>Valor de la meta</t>
  </si>
  <si>
    <r>
      <t xml:space="preserve">Indicateurs de </t>
    </r>
    <r>
      <rPr>
        <sz val="11"/>
        <color rgb="FFFF0000"/>
        <rFont val="Calibri"/>
        <family val="2"/>
        <scheme val="minor"/>
      </rPr>
      <t>résultats</t>
    </r>
  </si>
  <si>
    <t xml:space="preserve">Indicadores de resultados </t>
  </si>
  <si>
    <t>Indicateurs de couverture</t>
  </si>
  <si>
    <t>Indicadores de cobertura</t>
  </si>
  <si>
    <t xml:space="preserve">Mesures de Suivi du Plan de Travail </t>
  </si>
  <si>
    <t>Medidas de seguimiento al plan de trabajo</t>
  </si>
  <si>
    <t>Repères</t>
  </si>
  <si>
    <t>Hitos</t>
  </si>
  <si>
    <t>Fechas</t>
  </si>
  <si>
    <t>Non cumulative</t>
  </si>
  <si>
    <t>Non cumulative – other</t>
  </si>
  <si>
    <t>Non cumulative - special</t>
  </si>
  <si>
    <t>Cadre de performance  - Orientation générale - Section A</t>
  </si>
  <si>
    <t>1.       Ces instructions indiquent comment remplir le modèle de cadre de performance. Il est destiné à toutes les parties prenantes impliquées dans le développement et la révision des cadres de performance, à la fois lors de la demande de financement et lors des étapes d’établissement des subventions du cycle de financement des subventions. Cela inclut les instances de coordination nationale (CCM), les récipiendaires principaux (PR), les autres responsables de la mise en œuvre des subventions, les fournisseurs d'assistance technique, le comité technique d’examen des propositions, le secrétariat du Fonds mondial et les agents locaux du Fonds mondial (LFA).</t>
  </si>
  <si>
    <r>
      <t>2.</t>
    </r>
    <r>
      <rPr>
        <sz val="11"/>
        <color rgb="FF212121"/>
        <rFont val="Calibri"/>
        <family val="2"/>
        <scheme val="minor"/>
      </rPr>
      <t>       Un cadre de performance est soumis au stade de la demande de financement et est affiné au stade de l'octroi des subventions. Il fait partie de l'accord de subvention entre le Fonds mondial et le pays / récipiendaire  principal et définit les indicateurs et les objectifs à atteindre au cours de la période de subvention.</t>
    </r>
  </si>
  <si>
    <r>
      <t xml:space="preserve">3.      Le cadre de performance comprend des indicateurs d'impact, de résultat et de couverture, chacun avec des cibles associées et un calendrier pour le rapportage. Chaque indicateur de couverture est associé à un module spécifique financé par la subvention du Fonds mondial. Le modèle de cadre de performance fournit une liste standardisée d’indicateurs à sélectionner. Ceux-ci sont dérivés des directives des partenaires techniques afin d’assurer un rapportage cohérent et harmonisé. Veuillez-vous reporter au </t>
    </r>
    <r>
      <rPr>
        <u/>
        <sz val="11"/>
        <color theme="4" tint="-0.249977111117893"/>
        <rFont val="Calibri"/>
        <family val="2"/>
        <scheme val="minor"/>
      </rPr>
      <t>manuel du cadre modulaire - octobre 2019</t>
    </r>
    <r>
      <rPr>
        <sz val="11"/>
        <rFont val="Calibri"/>
        <family val="2"/>
        <scheme val="minor"/>
      </rPr>
      <t xml:space="preserve"> pour obtenir la liste complète des indicateurs permettant le rapportage au Fonds mondial.</t>
    </r>
  </si>
  <si>
    <t>6.     Le modèle comprend le formatage conditionnel dans différentes cellules, telles que la date standardisée (par exemple, 01-Jan-2021) et les formats numériques (avec le point «.» comme décimale et la virgule pour les séparateurs de milliers). Veuillez ne pas modifier cette convention.</t>
  </si>
  <si>
    <r>
      <t>8.      </t>
    </r>
    <r>
      <rPr>
        <b/>
        <sz val="11"/>
        <rFont val="Calibri"/>
        <family val="2"/>
        <scheme val="minor"/>
      </rPr>
      <t>Au stade de la demande de financement</t>
    </r>
    <r>
      <rPr>
        <sz val="11"/>
        <rFont val="Calibri"/>
        <family val="2"/>
        <scheme val="minor"/>
      </rPr>
      <t xml:space="preserve"> : les candidats doivent demander à l’équipe de pays un modèle de cadre de performance. Dans leur demande, les candidats doivent spécifier la ou les composantes à couvrir dans leurs demandes de financement. Pour plus de détails sur les soumissions conjointes, veuillez-vous reporter </t>
    </r>
    <r>
      <rPr>
        <u/>
        <sz val="11"/>
        <color theme="4" tint="-0.249977111117893"/>
        <rFont val="Calibri"/>
        <family val="2"/>
        <scheme val="minor"/>
      </rPr>
      <t>aux instructions relatives à la demande de financement</t>
    </r>
    <r>
      <rPr>
        <sz val="11"/>
        <rFont val="Calibri"/>
        <family val="2"/>
        <scheme val="minor"/>
      </rPr>
      <t>. Les équipes de pays du Fonds mondial créeront et partageront un modèle de cadre de performance spécifique à chaque candidat. Les candidats utiliseront un modèle de cadre de performance pour couvrir la demande de financement complète pour tous les récipiendaires principaux désignés.</t>
    </r>
  </si>
  <si>
    <r>
      <t>9.      </t>
    </r>
    <r>
      <rPr>
        <b/>
        <sz val="11"/>
        <color rgb="FF000000"/>
        <rFont val="Calibri"/>
        <family val="2"/>
        <scheme val="minor"/>
      </rPr>
      <t>Au stade de l'octroi de la subvention</t>
    </r>
    <r>
      <rPr>
        <sz val="11"/>
        <color rgb="FF000000"/>
        <rFont val="Calibri"/>
        <family val="2"/>
        <scheme val="minor"/>
      </rPr>
      <t xml:space="preserve"> : Une fois la demande de financement examinée et recommandée par le comité technique d’examen des propositions, le récipiendaire principal désigné sera invité à procéder à l’établissement de la subvention. À cette étape, l'équipe de pays partagera le ou les modèles de cadre de performance, pré-remplis avec les indicateurs et les niveaux de référence issus de la demande de financement examinée par le TRP, avec chaque récipiendaire principal désigné. Si plus d'un récipiendaire principal a été nommé à l'étape de la demande de financement, le cadre de performance sera séparé par le responsable de la mise en œuvre et mis à la disposition des différents récipiendaires principaux. Cela servira ensuite de référence pour la négociation des indicateurs et des cibles pendant le processus d'octroi de subventions.</t>
    </r>
  </si>
  <si>
    <r>
      <t xml:space="preserve">o </t>
    </r>
    <r>
      <rPr>
        <b/>
        <sz val="11"/>
        <color rgb="FF000000"/>
        <rFont val="Calibri"/>
        <family val="2"/>
        <scheme val="minor"/>
      </rPr>
      <t xml:space="preserve">Section A: </t>
    </r>
    <r>
      <rPr>
        <sz val="11"/>
        <color rgb="FF000000"/>
        <rFont val="Calibri"/>
        <family val="2"/>
        <scheme val="minor"/>
      </rPr>
      <t>Orientation générale</t>
    </r>
  </si>
  <si>
    <r>
      <t xml:space="preserve">o </t>
    </r>
    <r>
      <rPr>
        <b/>
        <sz val="11"/>
        <color rgb="FF000000"/>
        <rFont val="Calibri"/>
        <family val="2"/>
        <scheme val="minor"/>
      </rPr>
      <t xml:space="preserve">Section F: </t>
    </r>
    <r>
      <rPr>
        <sz val="11"/>
        <color rgb="FF000000"/>
        <rFont val="Calibri"/>
        <family val="2"/>
        <scheme val="minor"/>
      </rPr>
      <t>Mesures de Suivi du Plan de Travail</t>
    </r>
  </si>
  <si>
    <t xml:space="preserve">Orientation générale - Section A </t>
  </si>
  <si>
    <t>•   Ce champ fait référence au nom de la subvention. Il est généré à l'aide du nom du pays ou des multi-pays du candidat, de la composante maladie et du récipiendaire principal sélectionné.</t>
  </si>
  <si>
    <t>•   La date sera pré-renseignée dans le modèle de cadre de performance. En cas de nécessité de changer la date, cela peut être fait directement dans le modèle par les candidatss / bénéficiaires principaux après en avoir informé l'équipe de pays.</t>
  </si>
  <si>
    <r>
      <t>·</t>
    </r>
    <r>
      <rPr>
        <sz val="7"/>
        <color rgb="FF000000"/>
        <rFont val="Calibri"/>
        <family val="2"/>
        <scheme val="minor"/>
      </rPr>
      <t xml:space="preserve">     </t>
    </r>
    <r>
      <rPr>
        <sz val="11"/>
        <color rgb="FF000000"/>
        <rFont val="Calibri"/>
        <family val="2"/>
        <scheme val="minor"/>
      </rPr>
      <t>Cette date doit être cohérente pour tous les documents requis lors des étapes de demande de financement et d'octroi de subvention (par exemple, budget et liste des produits de santé).</t>
    </r>
  </si>
  <si>
    <r>
      <t>·</t>
    </r>
    <r>
      <rPr>
        <sz val="7"/>
        <color rgb="FF000000"/>
        <rFont val="Calibri"/>
        <family val="2"/>
        <scheme val="minor"/>
      </rPr>
      <t xml:space="preserve">     </t>
    </r>
    <r>
      <rPr>
        <sz val="11"/>
        <color rgb="FF000000"/>
        <rFont val="Calibri"/>
        <family val="2"/>
        <scheme val="minor"/>
      </rPr>
      <t>Ce champ fait référence à la date de fin proposée pour la période de mise en œuvre.</t>
    </r>
  </si>
  <si>
    <t>·     La date sera pré-renseignée dans le modèle de cadre de performance. En cas de nécessité de changer la date, cela peut être fait directement dans le modèle par les candidats / bénéficiaires principaux.</t>
  </si>
  <si>
    <r>
      <t>·</t>
    </r>
    <r>
      <rPr>
        <sz val="7"/>
        <color rgb="FF000000"/>
        <rFont val="Calibri"/>
        <family val="2"/>
        <scheme val="minor"/>
      </rPr>
      <t xml:space="preserve">     </t>
    </r>
    <r>
      <rPr>
        <sz val="11"/>
        <color rgb="FF000000"/>
        <rFont val="Calibri"/>
        <family val="2"/>
        <scheme val="minor"/>
      </rPr>
      <t>La fin de la période de mise en œuvre doit toujours être le dernier jour du mois.</t>
    </r>
  </si>
  <si>
    <r>
      <t>·</t>
    </r>
    <r>
      <rPr>
        <sz val="7"/>
        <color rgb="FF000000"/>
        <rFont val="Calibri"/>
        <family val="2"/>
        <scheme val="minor"/>
      </rPr>
      <t xml:space="preserve">     </t>
    </r>
    <r>
      <rPr>
        <sz val="11"/>
        <color rgb="FF000000"/>
        <rFont val="Calibri"/>
        <family val="2"/>
        <scheme val="minor"/>
      </rPr>
      <t>Cette date doit être cohérente pour tous les documents requis aux étapes de la demande de financement et de l'octroi de la subvention (p. Ex. Budget et liste des produits de santé).</t>
    </r>
  </si>
  <si>
    <r>
      <t>·</t>
    </r>
    <r>
      <rPr>
        <sz val="7"/>
        <color rgb="FF000000"/>
        <rFont val="Times New Roman"/>
        <family val="1"/>
      </rPr>
      <t xml:space="preserve">     </t>
    </r>
    <r>
      <rPr>
        <sz val="11"/>
        <color rgb="FF000000"/>
        <rFont val="Calibri"/>
        <family val="2"/>
      </rPr>
      <t>Le nom de la composante sera pré-remplie pour le candidat / récipiendaire principal lorsque le modèle de cadre de performance sera partagé par l'équipe de pays du Fonds mondial, à la demande du candidat.</t>
    </r>
  </si>
  <si>
    <r>
      <t>·</t>
    </r>
    <r>
      <rPr>
        <sz val="7"/>
        <color rgb="FF000000"/>
        <rFont val="Times New Roman"/>
        <family val="1"/>
      </rPr>
      <t xml:space="preserve">     </t>
    </r>
    <r>
      <rPr>
        <sz val="11"/>
        <color rgb="FF000000"/>
        <rFont val="Calibri"/>
        <family val="2"/>
      </rPr>
      <t>Les menus déroulants seront automatiquement renseignés avec la liste pertinente de modules, d'interventions et d'indicateurs applicables au (x) composante (s) sélectionnée (s).</t>
    </r>
  </si>
  <si>
    <t xml:space="preserve">    •   Veuillez sélectionner, dans le menu déroulant, les modules pour lesquels des indicateurs et des Mesures de Suivi du Plan de Travail (MSPT ou WPTM en anglais) doivent être inclus dans le cadre de performance. Il est interdit d'ajouter d'autres modules en dehors de cette liste. 
             - Seuls les modules sélectionnés sur cette page apparaissent dans les listes déroulantes sous «Indicateurs de couverture - Section D» et «MSPT - Section F». 
             - A moins qu’un module ne soit sélectionné dans la page de vue d’ensemble, les indicateurs de couverture associés n'apparaîtront pas dans les listes déroulantes de la section «Indicateurs de couverture Section D». 
</t>
  </si>
  <si>
    <t xml:space="preserve">    •   Si la demande de financement inclut plusieurs composantes, le menu déroulant affichera tous les modules liés à ces composantes ainsi que tous les modules du SRPS.</t>
  </si>
  <si>
    <t xml:space="preserve">Désagrégation obligatoire </t>
  </si>
  <si>
    <t>• Le candidat doit inclure le nom du Récipiendaire Principal (parmi les Récipiendaires Principaux désignés dans la demande de financement) qui sont responsable de ces indicateurs dans le cadre de performance au stade de la demande de financement. Le nom doit être sélectionné dans le menu déroulant qui est pré-rempli avec les noms saisis dans la section «Aperçu-Section A».</t>
  </si>
  <si>
    <t>Désagrégation obligatoire</t>
  </si>
  <si>
    <t>Désagrégation de l’indicateur</t>
  </si>
  <si>
    <t>Mesures de Suivi du Plan de Travail</t>
  </si>
  <si>
    <t>• Des mesures de Suivi du Plan de Travail (MSPT) pourraient être incluses dans la demande de financement pour les modules et les interventions ne disposant pas d'indicateurs de couverture appropriés pour mesurer les progrès réalisés au cours de la période de mise en œuvre de la subvention.</t>
  </si>
  <si>
    <t>• Cela inclut le lien vers la section des instructions permettant de remplir les mesures de suivi du plan de travail (MSPT) - section F.</t>
  </si>
  <si>
    <r>
      <t xml:space="preserve">• Ce champ peut être renseigné uniquement </t>
    </r>
    <r>
      <rPr>
        <b/>
        <sz val="11"/>
        <color rgb="FF000000"/>
        <rFont val="Calibri"/>
        <family val="2"/>
      </rPr>
      <t>après la sélection de l'indicateur standard</t>
    </r>
    <r>
      <rPr>
        <sz val="11"/>
        <color rgb="FF000000"/>
        <rFont val="Calibri"/>
        <family val="2"/>
      </rPr>
      <t xml:space="preserve"> dans la colonne «Intervention» adjacente.</t>
    </r>
  </si>
  <si>
    <t>• Les mesures de suivi du plan de travail (MSPT) peuvent être des repères qualitatifs ou des cibles quantitatives.</t>
  </si>
  <si>
    <t>• Identifier les mesures pertinentes (repères qualitatifs ou cibles quantitatifs) permettant de suivre les progrès des activités sélectionnées au cours de la période de rapportage lorsque le MSPT (repère ou cible) devrait être atteint et signalé.</t>
  </si>
  <si>
    <t>• Inclure un nombre limité de mesures de suivi du plan de travail (MSPT)  (jusqu'à cinq dans tous les modules) à rapporter pendant la période de mise en œuvre de la subvention. Les périodes de rapportage ne doivent pas nécessairement comporter de MSPT (c’est-à-dire un repère ou une cible).</t>
  </si>
  <si>
    <t>• Si la subvention inclut déjà des indicateurs personnalisés, évitez d’utiliser des mesures de suivi du plan de travail (MSPT).</t>
  </si>
  <si>
    <t>• Spécifiez le critère lorsque la mesure du plan de travail (MSPT), c’est-à-dire que le repère / cible sera considéré comme «non commencé», «commencé», «avancé» ou «terminé». Il est obligatoire de remplir ce champ car il sera utilisé pour donner un score et une note aux mesures de suivi du plan de travail (MSPT) .</t>
  </si>
  <si>
    <t>• Ces critères seront utilisés pour donner un score et une note aux mesures de suivi du plan de travail (MSPT) afin d'évaluer les progrès accomplis dans la mise en œuvre des activités clés. Par exemple, pour le repère "Évaluation des besoins réalisée", les critères d'évaluation des progrès pourraient être les suivants:</t>
  </si>
  <si>
    <r>
      <t xml:space="preserve">o </t>
    </r>
    <r>
      <rPr>
        <b/>
        <sz val="11"/>
        <color rgb="FF000000"/>
        <rFont val="Calibri"/>
        <family val="2"/>
      </rPr>
      <t>NON COMMENCE:</t>
    </r>
    <r>
      <rPr>
        <sz val="11"/>
        <color rgb="FF000000"/>
        <rFont val="Calibri"/>
        <family val="2"/>
      </rPr>
      <t xml:space="preserve"> activité non commencée</t>
    </r>
  </si>
  <si>
    <t>• Fournissez toute information pertinente liée à l'activité et / ou à la mesure de suivi du plan de travail (MSPT)</t>
  </si>
  <si>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</si>
  <si>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</si>
  <si>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</si>
  <si>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t>2.</t>
    </r>
    <r>
      <rPr>
        <sz val="11"/>
        <color rgb="FF212121"/>
        <rFont val="Calibri"/>
        <family val="2"/>
        <scheme val="minor"/>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</si>
  <si>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theme="4" tint="-0.249977111117893"/>
        <rFont val="Calibri"/>
        <family val="2"/>
        <scheme val="minor"/>
      </rPr>
      <t>Manual del Marco Modular-Octubre 2019</t>
    </r>
    <r>
      <rPr>
        <sz val="11"/>
        <rFont val="Calibri"/>
        <family val="2"/>
        <scheme val="minor"/>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</si>
  <si>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</si>
  <si>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</si>
  <si>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rgb="FF000000"/>
        <rFont val="Calibri"/>
        <family val="2"/>
        <scheme val="minor"/>
      </rPr>
      <t>será rechazado</t>
    </r>
    <r>
      <rPr>
        <sz val="11"/>
        <color rgb="FF000000"/>
        <rFont val="Calibri"/>
        <family val="2"/>
        <scheme val="minor"/>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</si>
  <si>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</si>
  <si>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</si>
  <si>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t>8.      </t>
    </r>
    <r>
      <rPr>
        <b/>
        <sz val="11"/>
        <rFont val="Calibri"/>
        <family val="2"/>
        <scheme val="minor"/>
      </rPr>
      <t>En la etapa de solicitud de financiamiento</t>
    </r>
    <r>
      <rPr>
        <sz val="11"/>
        <rFont val="Calibri"/>
        <family val="2"/>
        <scheme val="minor"/>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theme="4" tint="-0.249977111117893"/>
        <rFont val="Calibri"/>
        <family val="2"/>
        <scheme val="minor"/>
      </rPr>
      <t>Instrucciones de solicitud de financiación</t>
    </r>
    <r>
      <rPr>
        <sz val="11"/>
        <rFont val="Calibri"/>
        <family val="2"/>
        <scheme val="minor"/>
      </rPr>
      <t>. Los Equipos de País del Fondo Mundial generarán y compartirán una plantilla de MD, específica para cada solicitante. Los solicitantes utilizarán una plantilla de MD para la solicitud de financiación para todos los Receptores Principales nominados.</t>
    </r>
  </si>
  <si>
    <r>
      <t>9.      </t>
    </r>
    <r>
      <rPr>
        <b/>
        <sz val="11"/>
        <color rgb="FF000000"/>
        <rFont val="Calibri"/>
        <family val="2"/>
        <scheme val="minor"/>
      </rPr>
      <t>En la etapa de preparación de la subvención</t>
    </r>
    <r>
      <rPr>
        <sz val="11"/>
        <color rgb="FF000000"/>
        <rFont val="Calibri"/>
        <family val="2"/>
        <scheme val="minor"/>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</si>
  <si>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t>10.</t>
    </r>
    <r>
      <rPr>
        <sz val="7"/>
        <color rgb="FF000000"/>
        <rFont val="Times New Roman"/>
        <family val="1"/>
      </rPr>
      <t xml:space="preserve">       </t>
    </r>
    <r>
      <rPr>
        <sz val="11"/>
        <color rgb="FF000000"/>
        <rFont val="Calibri"/>
        <family val="2"/>
        <scheme val="minor"/>
      </rPr>
      <t>Las instrucciones siguen la estructura de la plantilla de MD y se dividen en consecuencia en las siguientes secciones:</t>
    </r>
  </si>
  <si>
    <r>
      <t xml:space="preserve">o </t>
    </r>
    <r>
      <rPr>
        <b/>
        <sz val="11"/>
        <color rgb="FF000000"/>
        <rFont val="Calibri"/>
        <family val="2"/>
        <scheme val="minor"/>
      </rPr>
      <t xml:space="preserve">Sección A: </t>
    </r>
    <r>
      <rPr>
        <sz val="11"/>
        <color rgb="FF000000"/>
        <rFont val="Calibri"/>
        <family val="2"/>
        <scheme val="minor"/>
      </rPr>
      <t>Descripción general</t>
    </r>
  </si>
  <si>
    <r>
      <t xml:space="preserve">o </t>
    </r>
    <r>
      <rPr>
        <b/>
        <sz val="11"/>
        <color rgb="FF000000"/>
        <rFont val="Calibri"/>
        <family val="2"/>
        <scheme val="minor"/>
      </rPr>
      <t xml:space="preserve">Sección B: </t>
    </r>
    <r>
      <rPr>
        <sz val="11"/>
        <color rgb="FF000000"/>
        <rFont val="Calibri"/>
        <family val="2"/>
        <scheme val="minor"/>
      </rPr>
      <t>Indicadores de impacto</t>
    </r>
  </si>
  <si>
    <r>
      <t xml:space="preserve">o </t>
    </r>
    <r>
      <rPr>
        <b/>
        <sz val="11"/>
        <color rgb="FF000000"/>
        <rFont val="Calibri"/>
        <family val="2"/>
        <scheme val="minor"/>
      </rPr>
      <t>Sección C:</t>
    </r>
    <r>
      <rPr>
        <sz val="11"/>
        <color rgb="FF000000"/>
        <rFont val="Calibri"/>
        <family val="2"/>
        <scheme val="minor"/>
      </rPr>
      <t xml:space="preserve"> Indicadores de resultado</t>
    </r>
  </si>
  <si>
    <r>
      <t xml:space="preserve">o </t>
    </r>
    <r>
      <rPr>
        <b/>
        <sz val="11"/>
        <color rgb="FF000000"/>
        <rFont val="Calibri"/>
        <family val="2"/>
        <scheme val="minor"/>
      </rPr>
      <t>Sección D:</t>
    </r>
    <r>
      <rPr>
        <sz val="11"/>
        <color rgb="FF000000"/>
        <rFont val="Calibri"/>
        <family val="2"/>
        <scheme val="minor"/>
      </rPr>
      <t xml:space="preserve"> Indicadores de cobertura</t>
    </r>
  </si>
  <si>
    <r>
      <t xml:space="preserve">o </t>
    </r>
    <r>
      <rPr>
        <b/>
        <sz val="11"/>
        <color rgb="FF000000"/>
        <rFont val="Calibri"/>
        <family val="2"/>
        <scheme val="minor"/>
      </rPr>
      <t xml:space="preserve">Sección E: </t>
    </r>
    <r>
      <rPr>
        <sz val="11"/>
        <color rgb="FF000000"/>
        <rFont val="Calibri"/>
        <family val="2"/>
        <scheme val="minor"/>
      </rPr>
      <t>Desagregación (indicadores de impacto, resultado y cobertura)</t>
    </r>
  </si>
  <si>
    <r>
      <t xml:space="preserve">o </t>
    </r>
    <r>
      <rPr>
        <b/>
        <sz val="11"/>
        <color rgb="FF000000"/>
        <rFont val="Calibri"/>
        <family val="2"/>
        <scheme val="minor"/>
      </rPr>
      <t>Sección F:</t>
    </r>
    <r>
      <rPr>
        <sz val="11"/>
        <color rgb="FF000000"/>
        <rFont val="Calibri"/>
        <family val="2"/>
        <scheme val="minor"/>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</si>
  <si>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</si>
  <si>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</si>
  <si>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</si>
  <si>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</si>
  <si>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</si>
  <si>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</si>
  <si>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t>·</t>
    </r>
    <r>
      <rPr>
        <sz val="7"/>
        <color rgb="FF000000"/>
        <rFont val="Times New Roman"/>
        <family val="1"/>
      </rPr>
      <t xml:space="preserve">     </t>
    </r>
    <r>
      <rPr>
        <sz val="11"/>
        <color rgb="FF000000"/>
        <rFont val="Calibri"/>
        <family val="2"/>
      </rPr>
      <t>Este campo será rellenado previamente por el Fondo Mundial y enviado a cada país / solicitante.</t>
    </r>
  </si>
  <si>
    <t>Nombre de la subvención / Nombre de la solicitud de financiación</t>
  </si>
  <si>
    <r>
      <t>·</t>
    </r>
    <r>
      <rPr>
        <sz val="7"/>
        <color rgb="FF000000"/>
        <rFont val="Times New Roman"/>
        <family val="1"/>
      </rPr>
      <t xml:space="preserve">     </t>
    </r>
    <r>
      <rPr>
        <sz val="11"/>
        <color rgb="FF000000"/>
        <rFont val="Calibri"/>
        <family val="2"/>
      </rPr>
      <t>Este campo estará rellenado previamente por el Fondo Mundial</t>
    </r>
  </si>
  <si>
    <t>En la etapa de solicitud de financiación</t>
  </si>
  <si>
    <r>
      <t>·</t>
    </r>
    <r>
      <rPr>
        <sz val="7"/>
        <color rgb="FF000000"/>
        <rFont val="Times New Roman"/>
        <family val="1"/>
      </rPr>
      <t xml:space="preserve">     </t>
    </r>
    <r>
      <rPr>
        <sz val="11"/>
        <color rgb="FF000000"/>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</si>
  <si>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</si>
  <si>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</si>
  <si>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</si>
  <si>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</si>
  <si>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</si>
  <si>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</si>
  <si>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t>·</t>
    </r>
    <r>
      <rPr>
        <sz val="7"/>
        <color rgb="FF000000"/>
        <rFont val="Times New Roman"/>
        <family val="1"/>
      </rPr>
      <t xml:space="preserve">     </t>
    </r>
    <r>
      <rPr>
        <sz val="11"/>
        <color rgb="FF000000"/>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</si>
  <si>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</si>
  <si>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t>·</t>
    </r>
    <r>
      <rPr>
        <sz val="7"/>
        <color rgb="FF000000"/>
        <rFont val="Times New Roman"/>
        <family val="1"/>
      </rPr>
      <t xml:space="preserve">     </t>
    </r>
    <r>
      <rPr>
        <sz val="11"/>
        <color rgb="FF000000"/>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</si>
  <si>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</si>
  <si>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t>·</t>
    </r>
    <r>
      <rPr>
        <sz val="7"/>
        <color rgb="FF000000"/>
        <rFont val="Times New Roman"/>
        <family val="1"/>
      </rPr>
      <t xml:space="preserve">     </t>
    </r>
    <r>
      <rPr>
        <sz val="11"/>
        <color rgb="FF000000"/>
        <rFont val="Calibri"/>
        <family val="2"/>
        <scheme val="minor"/>
      </rPr>
      <t>La fecha estará rellenada previamente en la plantilla de MD. En caso de que sea necesario cambiar la fecha, los solicitantes / Receptores principales pueden hacer esto directamente en la plantilla.</t>
    </r>
  </si>
  <si>
    <r>
      <t>·</t>
    </r>
    <r>
      <rPr>
        <sz val="7"/>
        <color rgb="FF000000"/>
        <rFont val="Times New Roman"/>
        <family val="1"/>
      </rPr>
      <t xml:space="preserve">     </t>
    </r>
    <r>
      <rPr>
        <sz val="11"/>
        <color rgb="FF000000"/>
        <rFont val="Calibri"/>
        <family val="2"/>
      </rPr>
      <t>El final del Período de implementación siempre debe ser el último día del mes.</t>
    </r>
  </si>
  <si>
    <r>
      <t>·</t>
    </r>
    <r>
      <rPr>
        <sz val="7"/>
        <color rgb="FF000000"/>
        <rFont val="Times New Roman"/>
        <family val="1"/>
      </rPr>
      <t xml:space="preserve">     </t>
    </r>
    <r>
      <rPr>
        <sz val="11"/>
        <color rgb="FF000000"/>
        <rFont val="Calibri"/>
        <family val="2"/>
      </rPr>
      <t>Esta fecha debe ser coherente en todos los documentos requeridos en las etapas de Solicitud de financiación y Preparación de subvenciones (por ejemplo, presupuesto y lista de productos de salud).</t>
    </r>
  </si>
  <si>
    <t>Frecuencia de reporte</t>
  </si>
  <si>
    <r>
      <t>·</t>
    </r>
    <r>
      <rPr>
        <sz val="7"/>
        <color rgb="FF000000"/>
        <rFont val="Times New Roman"/>
        <family val="1"/>
      </rPr>
      <t xml:space="preserve">     </t>
    </r>
    <r>
      <rPr>
        <sz val="11"/>
        <color rgb="FF000000"/>
        <rFont val="Calibri"/>
        <family val="2"/>
        <scheme val="minor"/>
      </rPr>
      <t>Este campo se refiere a la frecuencia con la que los resultados se reportarán al Fondo Mundial durante la implementación de la subvención. En consecuencia, en el MD se define si las metas serán semestrales o anuales.</t>
    </r>
  </si>
  <si>
    <r>
      <t>·</t>
    </r>
    <r>
      <rPr>
        <sz val="7"/>
        <color rgb="FF000000"/>
        <rFont val="Times New Roman"/>
        <family val="1"/>
      </rPr>
      <t xml:space="preserve">     </t>
    </r>
    <r>
      <rPr>
        <sz val="11"/>
        <color rgb="FF000000"/>
        <rFont val="Calibri"/>
        <family val="2"/>
        <scheme val="minor"/>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</si>
  <si>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</si>
  <si>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</si>
  <si>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</si>
  <si>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</si>
  <si>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</si>
  <si>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</si>
  <si>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</si>
  <si>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</si>
  <si>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t>·</t>
    </r>
    <r>
      <rPr>
        <sz val="7"/>
        <color rgb="FF000000"/>
        <rFont val="Times New Roman"/>
        <family val="1"/>
      </rPr>
      <t xml:space="preserve">     </t>
    </r>
    <r>
      <rPr>
        <sz val="11"/>
        <color rgb="FF000000"/>
        <rFont val="Calibri"/>
        <family val="2"/>
      </rPr>
      <t>Proporciona enlaces para facilitar la navegación dentro de cada página y a la página de instrucciones</t>
    </r>
  </si>
  <si>
    <t>Nombre del componente</t>
  </si>
  <si>
    <r>
      <t>·</t>
    </r>
    <r>
      <rPr>
        <sz val="7"/>
        <color rgb="FF000000"/>
        <rFont val="Times New Roman"/>
        <family val="1"/>
      </rPr>
      <t xml:space="preserve">     </t>
    </r>
    <r>
      <rPr>
        <sz val="11"/>
        <color rgb="FF000000"/>
        <rFont val="Calibri"/>
        <family val="2"/>
      </rPr>
      <t>El nombre del componente se rellenará previamente para el solicitante / Receptor principal cuando el Equipo de país del Fondo Mundial comparta la plantilla del MD, según lo solicite el solicitante.</t>
    </r>
  </si>
  <si>
    <r>
      <t>·</t>
    </r>
    <r>
      <rPr>
        <sz val="7"/>
        <color rgb="FF000000"/>
        <rFont val="Times New Roman"/>
        <family val="1"/>
      </rPr>
      <t xml:space="preserve">     </t>
    </r>
    <r>
      <rPr>
        <sz val="11"/>
        <color rgb="FF000000"/>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</si>
  <si>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</si>
  <si>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t>·</t>
    </r>
    <r>
      <rPr>
        <sz val="7"/>
        <color rgb="FF000000"/>
        <rFont val="Times New Roman"/>
        <family val="1"/>
      </rPr>
      <t xml:space="preserve">     </t>
    </r>
    <r>
      <rPr>
        <sz val="11"/>
        <color rgb="FF000000"/>
        <rFont val="Calibri"/>
        <family val="2"/>
      </rPr>
      <t xml:space="preserve">En la columna </t>
    </r>
    <r>
      <rPr>
        <b/>
        <sz val="11"/>
        <color rgb="FF000000"/>
        <rFont val="Calibri"/>
        <family val="2"/>
      </rPr>
      <t>Nombre del</t>
    </r>
    <r>
      <rPr>
        <sz val="11"/>
        <color rgb="FF000000"/>
        <rFont val="Calibri"/>
        <family val="2"/>
      </rPr>
      <t xml:space="preserve"> </t>
    </r>
    <r>
      <rPr>
        <b/>
        <sz val="11"/>
        <color rgb="FF000000"/>
        <rFont val="Calibri"/>
        <family val="2"/>
      </rPr>
      <t>Receptor Principal</t>
    </r>
    <r>
      <rPr>
        <sz val="11"/>
        <color rgb="FF000000"/>
        <rFont val="Calibri"/>
        <family val="2"/>
      </rPr>
      <t>, el solicitante incluirá el nombre de los implementadores.</t>
    </r>
  </si>
  <si>
    <r>
      <t>·</t>
    </r>
    <r>
      <rPr>
        <sz val="7"/>
        <color rgb="FF000000"/>
        <rFont val="Times New Roman"/>
        <family val="1"/>
      </rPr>
      <t xml:space="preserve">     </t>
    </r>
    <r>
      <rPr>
        <sz val="11"/>
        <color rgb="FF000000"/>
        <rFont val="Calibri"/>
        <family val="2"/>
      </rPr>
      <t>Esto se puede hacer mediante el uso de un menú desplegable que contiene la lista de todos los implementadores que administraron previamente una subvención del Fondo Mundial.</t>
    </r>
  </si>
  <si>
    <r>
      <t>·</t>
    </r>
    <r>
      <rPr>
        <sz val="7"/>
        <color rgb="FF000000"/>
        <rFont val="Times New Roman"/>
        <family val="1"/>
      </rPr>
      <t xml:space="preserve">     </t>
    </r>
    <r>
      <rPr>
        <sz val="11"/>
        <color rgb="FF000000"/>
        <rFont val="Calibri"/>
        <family val="2"/>
      </rPr>
      <t>Si el implementador seleccionado es nuevo y no ha administrado previamente subvenciones del Fondo Mundial, el usuario puede escribir manualmente su nombre, en una nueva fila, en la columna</t>
    </r>
    <r>
      <rPr>
        <b/>
        <sz val="11"/>
        <color rgb="FF000000"/>
        <rFont val="Calibri"/>
        <family val="2"/>
      </rPr>
      <t xml:space="preserve"> Nuevo nombre del Receptor principal.</t>
    </r>
  </si>
  <si>
    <t>Períodos de reporte</t>
  </si>
  <si>
    <r>
      <t>·</t>
    </r>
    <r>
      <rPr>
        <sz val="7"/>
        <color rgb="FF000000"/>
        <rFont val="Times New Roman"/>
        <family val="1"/>
      </rPr>
      <t xml:space="preserve">     </t>
    </r>
    <r>
      <rPr>
        <sz val="11"/>
        <color rgb="FF000000"/>
        <rFont val="Calibri"/>
        <family val="2"/>
      </rPr>
      <t>Los períodos de reporte se rellenarán de forma predeterminada, en función de las fechas de inicio y finalización del Período de implementación anual y la frecuencia de reportes seleccionada.</t>
    </r>
  </si>
  <si>
    <r>
      <t>·</t>
    </r>
    <r>
      <rPr>
        <sz val="7"/>
        <color rgb="FF000000"/>
        <rFont val="Times New Roman"/>
        <family val="1"/>
      </rPr>
      <t xml:space="preserve">     </t>
    </r>
    <r>
      <rPr>
        <sz val="11"/>
        <color rgb="FF000000"/>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</si>
  <si>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t>·</t>
    </r>
    <r>
      <rPr>
        <sz val="7"/>
        <color rgb="FF000000"/>
        <rFont val="Times New Roman"/>
        <family val="1"/>
      </rPr>
      <t xml:space="preserve">     </t>
    </r>
    <r>
      <rPr>
        <sz val="11"/>
        <color rgb="FF000000"/>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</si>
  <si>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t>·</t>
    </r>
    <r>
      <rPr>
        <sz val="7"/>
        <color rgb="FF000000"/>
        <rFont val="Times New Roman"/>
        <family val="1"/>
      </rPr>
      <t xml:space="preserve">     </t>
    </r>
    <r>
      <rPr>
        <sz val="11"/>
        <color rgb="FF000000"/>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</si>
  <si>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</si>
  <si>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</si>
  <si>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</si>
  <si>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</si>
  <si>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</si>
  <si>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</si>
  <si>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</si>
  <si>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</si>
  <si>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</si>
  <si>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</si>
  <si>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</si>
  <si>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</si>
  <si>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</si>
  <si>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</si>
  <si>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</si>
  <si>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</si>
  <si>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</si>
  <si>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</si>
  <si>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</si>
  <si>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</si>
  <si>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t xml:space="preserve">    •   La inclusión de intervenciones personalizadas que </t>
    </r>
    <r>
      <rPr>
        <u/>
        <sz val="11"/>
        <color rgb="FF000000"/>
        <rFont val="Calibri"/>
        <family val="2"/>
      </rPr>
      <t>no están en la lista desplegable no está permitida para VIH, TB y RSSH</t>
    </r>
    <r>
      <rPr>
        <sz val="11"/>
        <color rgb="FF000000"/>
        <rFont val="Calibri"/>
        <family val="2"/>
      </rPr>
      <t>. En casos excepcionales, estos pueden incluirse para la malaria.</t>
    </r>
  </si>
  <si>
    <r>
      <t xml:space="preserve">    •   Para la malaria, </t>
    </r>
    <r>
      <rPr>
        <u/>
        <sz val="11"/>
        <color rgb="FF000000"/>
        <rFont val="Calibri"/>
        <family val="2"/>
      </rPr>
      <t>se puede hacer primero seleccionando "Otras intervenciones</t>
    </r>
    <r>
      <rPr>
        <sz val="11"/>
        <color rgb="FF000000"/>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</si>
  <si>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</si>
  <si>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</si>
  <si>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</si>
  <si>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</si>
  <si>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</si>
  <si>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</si>
  <si>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</si>
  <si>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</si>
  <si>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</si>
  <si>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</si>
  <si>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</si>
  <si>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</si>
  <si>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</si>
  <si>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</si>
  <si>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</si>
  <si>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</si>
  <si>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</si>
  <si>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</si>
  <si>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</si>
  <si>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</si>
  <si>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</si>
  <si>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</si>
  <si>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</si>
  <si>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</si>
  <si>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</si>
  <si>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</si>
  <si>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</si>
  <si>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</si>
  <si>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</si>
  <si>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</si>
  <si>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</si>
  <si>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</si>
  <si>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</si>
  <si>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</si>
  <si>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</si>
  <si>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</si>
  <si>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</si>
  <si>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</si>
  <si>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</si>
  <si>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</si>
  <si>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t>·</t>
    </r>
    <r>
      <rPr>
        <sz val="7"/>
        <color rgb="FF000000"/>
        <rFont val="Times New Roman"/>
        <family val="1"/>
      </rPr>
      <t xml:space="preserve">    </t>
    </r>
    <r>
      <rPr>
        <sz val="11"/>
        <color rgb="FF000000"/>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</si>
  <si>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</si>
  <si>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</si>
  <si>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</si>
  <si>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</si>
  <si>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</si>
  <si>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</si>
  <si>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</si>
  <si>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</si>
  <si>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</si>
  <si>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</si>
  <si>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</si>
  <si>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</si>
  <si>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</si>
  <si>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</si>
  <si>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</si>
  <si>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</si>
  <si>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</si>
  <si>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</si>
  <si>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</si>
  <si>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</si>
  <si>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</si>
  <si>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</si>
  <si>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</si>
  <si>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</si>
  <si>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</si>
  <si>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</si>
  <si>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</si>
  <si>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</si>
  <si>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</si>
  <si>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</si>
  <si>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</si>
  <si>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</si>
  <si>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</si>
  <si>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</si>
  <si>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</si>
  <si>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</si>
  <si>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</si>
  <si>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</si>
  <si>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</si>
  <si>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</si>
  <si>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</si>
  <si>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</si>
  <si>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</si>
  <si>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</si>
  <si>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</si>
  <si>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</si>
  <si>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</si>
  <si>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</si>
  <si>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</si>
  <si>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</si>
  <si>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</si>
  <si>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</si>
  <si>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</si>
  <si>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</si>
  <si>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</si>
  <si>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</si>
  <si>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</si>
  <si>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</si>
  <si>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</si>
  <si>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</si>
  <si>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</si>
  <si>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</si>
  <si>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t>·</t>
    </r>
    <r>
      <rPr>
        <sz val="7"/>
        <color rgb="FF000000"/>
        <rFont val="Times New Roman"/>
        <family val="1"/>
      </rPr>
      <t xml:space="preserve">    </t>
    </r>
    <r>
      <rPr>
        <sz val="11"/>
        <color rgb="FF000000"/>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</si>
  <si>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</si>
  <si>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</si>
  <si>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</si>
  <si>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</si>
  <si>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</si>
  <si>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</si>
  <si>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</si>
  <si>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</si>
  <si>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</si>
  <si>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</si>
  <si>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</si>
  <si>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</si>
  <si>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</si>
  <si>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</si>
  <si>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</si>
  <si>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</si>
  <si>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</si>
  <si>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</si>
  <si>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</si>
  <si>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</si>
  <si>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</si>
  <si>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</si>
  <si>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</si>
  <si>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</si>
  <si>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</si>
  <si>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</si>
  <si>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</si>
  <si>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</si>
  <si>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</si>
  <si>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</si>
  <si>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</si>
  <si>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t xml:space="preserve">• </t>
    </r>
    <r>
      <rPr>
        <b/>
        <sz val="11"/>
        <color rgb="FF000000"/>
        <rFont val="Calibri"/>
        <family val="2"/>
      </rPr>
      <t>El especialista del Equipo de País / PHME del Fondo Mundial debe llenar</t>
    </r>
    <r>
      <rPr>
        <sz val="11"/>
        <color rgb="FF000000"/>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</si>
  <si>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</si>
  <si>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</si>
  <si>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</si>
  <si>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</si>
  <si>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</si>
  <si>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</si>
  <si>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</si>
  <si>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t>·</t>
    </r>
    <r>
      <rPr>
        <sz val="7"/>
        <color rgb="FF000000"/>
        <rFont val="Times New Roman"/>
        <family val="1"/>
      </rPr>
      <t xml:space="preserve">    </t>
    </r>
    <r>
      <rPr>
        <sz val="11"/>
        <color rgb="FF000000"/>
        <rFont val="Calibri"/>
        <family val="2"/>
      </rPr>
      <t>Para solicitudes / subvenciones de un solo país, incluya el nombre del país.</t>
    </r>
  </si>
  <si>
    <r>
      <t>·</t>
    </r>
    <r>
      <rPr>
        <sz val="7"/>
        <color rgb="FF000000"/>
        <rFont val="Times New Roman"/>
        <family val="1"/>
      </rPr>
      <t xml:space="preserve">    </t>
    </r>
    <r>
      <rPr>
        <sz val="11"/>
        <color rgb="FF000000"/>
        <rFont val="Calibri"/>
        <family val="2"/>
      </rPr>
      <t>Para solicitudes / subvenciones regionales o de varios países, el solicitante / Receptor principal debe seleccionar el nombre del país correspondiente a cada indicador seleccionado.</t>
    </r>
  </si>
  <si>
    <r>
      <t>·</t>
    </r>
    <r>
      <rPr>
        <sz val="7"/>
        <rFont val="Times New Roman"/>
        <family val="1"/>
      </rPr>
      <t xml:space="preserve">    </t>
    </r>
    <r>
      <rPr>
        <sz val="11"/>
        <color rgb="FF000000"/>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</si>
  <si>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t>·</t>
    </r>
    <r>
      <rPr>
        <sz val="7"/>
        <color rgb="FF000000"/>
        <rFont val="Times New Roman"/>
        <family val="1"/>
      </rPr>
      <t xml:space="preserve">    </t>
    </r>
    <r>
      <rPr>
        <sz val="11"/>
        <color rgb="FF000000"/>
        <rFont val="Calibri"/>
        <family val="2"/>
      </rPr>
      <t>En el segundo campo debajo del nombre del país, especifique el alcance de los objetivos para cada indicador utilizando el menú desplegable. Las opciones proporcionadas ayudan a distinguir si los objetivos son de alcance:</t>
    </r>
  </si>
  <si>
    <r>
      <t>−</t>
    </r>
    <r>
      <rPr>
        <sz val="7"/>
        <color rgb="FF000000"/>
        <rFont val="Times New Roman"/>
        <family val="1"/>
      </rPr>
      <t xml:space="preserve">   </t>
    </r>
    <r>
      <rPr>
        <sz val="11"/>
        <color rgb="FF000000"/>
        <rFont val="Calibri"/>
        <family val="2"/>
      </rPr>
      <t>Geográfico nacional, i.e. se refiere a todo el país y representan el 100% de las metas del programa nacional;</t>
    </r>
  </si>
  <si>
    <r>
      <t>−</t>
    </r>
    <r>
      <rPr>
        <sz val="7"/>
        <color rgb="FF000000"/>
        <rFont val="Times New Roman"/>
        <family val="1"/>
      </rPr>
      <t xml:space="preserve">   </t>
    </r>
    <r>
      <rPr>
        <sz val="11"/>
        <color rgb="FF000000"/>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</si>
  <si>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</si>
  <si>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</si>
  <si>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</si>
  <si>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t xml:space="preserve"> o </t>
    </r>
    <r>
      <rPr>
        <b/>
        <sz val="11"/>
        <color rgb="FF000000"/>
        <rFont val="Calibri"/>
        <family val="2"/>
      </rPr>
      <t>No acumulativo:</t>
    </r>
    <r>
      <rPr>
        <sz val="11"/>
        <color rgb="FF000000"/>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</si>
  <si>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t xml:space="preserve"> o </t>
    </r>
    <r>
      <rPr>
        <b/>
        <sz val="11"/>
        <color rgb="FF000000"/>
        <rFont val="Calibri"/>
        <family val="2"/>
      </rPr>
      <t xml:space="preserve">No acumulativo - Especial: </t>
    </r>
    <r>
      <rPr>
        <sz val="11"/>
        <color rgb="FF000000"/>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</si>
  <si>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t xml:space="preserve"> o </t>
    </r>
    <r>
      <rPr>
        <b/>
        <sz val="11"/>
        <color rgb="FF000000"/>
        <rFont val="Calibri"/>
        <family val="2"/>
      </rPr>
      <t xml:space="preserve">No acumulativo - Otro: </t>
    </r>
    <r>
      <rPr>
        <sz val="11"/>
        <color rgb="FF000000"/>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</si>
  <si>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</si>
  <si>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</si>
  <si>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t>·</t>
    </r>
    <r>
      <rPr>
        <sz val="7"/>
        <color rgb="FF000000"/>
        <rFont val="Times New Roman"/>
        <family val="1"/>
      </rPr>
      <t xml:space="preserve">    </t>
    </r>
    <r>
      <rPr>
        <sz val="11"/>
        <color rgb="FF000000"/>
        <rFont val="Calibri"/>
        <family val="2"/>
      </rPr>
      <t>Las metas deben ser consistentes con el plan estratégico nacional o cualquier otra meta de país actualizada y acordada, y deben basarse en el análisis de brecha programática en la solicitud de financiamiento.</t>
    </r>
  </si>
  <si>
    <r>
      <t>·</t>
    </r>
    <r>
      <rPr>
        <sz val="7"/>
        <color rgb="FF000000"/>
        <rFont val="Times New Roman"/>
        <family val="1"/>
      </rPr>
      <t xml:space="preserve">    </t>
    </r>
    <r>
      <rPr>
        <sz val="11"/>
        <color rgb="FF000000"/>
        <rFont val="Calibri"/>
        <family val="2"/>
      </rPr>
      <t>Incluir metas en los períodos en que se recopilarán los datos.</t>
    </r>
  </si>
  <si>
    <r>
      <t>·</t>
    </r>
    <r>
      <rPr>
        <sz val="7"/>
        <color rgb="FF000000"/>
        <rFont val="Times New Roman"/>
        <family val="1"/>
      </rPr>
      <t xml:space="preserve">    </t>
    </r>
    <r>
      <rPr>
        <sz val="11"/>
        <color rgb="FF000000"/>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</si>
  <si>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</si>
  <si>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t>·</t>
    </r>
    <r>
      <rPr>
        <sz val="7"/>
        <color rgb="FF000000"/>
        <rFont val="Times New Roman"/>
        <family val="1"/>
      </rPr>
      <t xml:space="preserve">    </t>
    </r>
    <r>
      <rPr>
        <sz val="11"/>
        <color rgb="FF000000"/>
        <rFont val="Calibri"/>
        <family val="2"/>
      </rPr>
      <t>Este campo se calculará automáticamente en los casos en que se ingresen valores de numerador y denominador para las metas del indicador.</t>
    </r>
  </si>
  <si>
    <r>
      <t>·</t>
    </r>
    <r>
      <rPr>
        <sz val="7"/>
        <color rgb="FF000000"/>
        <rFont val="Times New Roman"/>
        <family val="1"/>
      </rPr>
      <t xml:space="preserve">    </t>
    </r>
    <r>
      <rPr>
        <sz val="11"/>
        <color rgb="FF000000"/>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</si>
  <si>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</si>
  <si>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</si>
  <si>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</si>
  <si>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</si>
  <si>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</si>
  <si>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</si>
  <si>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</si>
  <si>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</si>
  <si>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</si>
  <si>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</si>
  <si>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</si>
  <si>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</si>
  <si>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</si>
  <si>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</si>
  <si>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</si>
  <si>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</si>
  <si>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</si>
  <si>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</si>
  <si>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</si>
  <si>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</si>
  <si>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</si>
  <si>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</si>
  <si>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</si>
  <si>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</si>
  <si>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</si>
  <si>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</si>
  <si>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</si>
  <si>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</si>
  <si>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</si>
  <si>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</si>
  <si>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</si>
  <si>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</si>
  <si>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</si>
  <si>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</si>
  <si>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</si>
  <si>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</si>
  <si>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</si>
  <si>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</si>
  <si>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</si>
  <si>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</si>
  <si>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</si>
  <si>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</si>
  <si>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</si>
  <si>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</si>
  <si>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</si>
  <si>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</si>
  <si>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</si>
  <si>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</si>
  <si>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</si>
  <si>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</si>
  <si>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</si>
  <si>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</si>
  <si>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</si>
  <si>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t xml:space="preserve">o </t>
    </r>
    <r>
      <rPr>
        <b/>
        <sz val="11"/>
        <color rgb="FF000000"/>
        <rFont val="Calibri"/>
        <family val="2"/>
      </rPr>
      <t xml:space="preserve">NO INICIADA: </t>
    </r>
    <r>
      <rPr>
        <sz val="11"/>
        <color rgb="FF000000"/>
        <rFont val="Calibri"/>
        <family val="2"/>
      </rPr>
      <t>Actividad no iniciada</t>
    </r>
  </si>
  <si>
    <r>
      <t xml:space="preserve">o </t>
    </r>
    <r>
      <rPr>
        <b/>
        <sz val="11"/>
        <color rgb="FF000000"/>
        <rFont val="Calibri"/>
        <family val="2"/>
      </rPr>
      <t>INICIADA</t>
    </r>
    <r>
      <rPr>
        <sz val="11"/>
        <color rgb="FF000000"/>
        <rFont val="Calibri"/>
        <family val="2"/>
      </rPr>
      <t>: Protocolo desarrollado</t>
    </r>
  </si>
  <si>
    <r>
      <t xml:space="preserve">o </t>
    </r>
    <r>
      <rPr>
        <b/>
        <sz val="11"/>
        <color rgb="FF000000"/>
        <rFont val="Calibri"/>
        <family val="2"/>
      </rPr>
      <t>AVANZADA</t>
    </r>
    <r>
      <rPr>
        <sz val="11"/>
        <color rgb="FF000000"/>
        <rFont val="Calibri"/>
        <family val="2"/>
      </rPr>
      <t>: trabajo de campo completado</t>
    </r>
  </si>
  <si>
    <r>
      <t xml:space="preserve">o </t>
    </r>
    <r>
      <rPr>
        <b/>
        <sz val="11"/>
        <color rgb="FF000000"/>
        <rFont val="Calibri"/>
        <family val="2"/>
      </rPr>
      <t xml:space="preserve">COMPLETADA: </t>
    </r>
    <r>
      <rPr>
        <sz val="11"/>
        <color rgb="FF000000"/>
        <rFont val="Calibri"/>
        <family val="2"/>
      </rPr>
      <t>El informe de la evaluación de necesidades está avalado por las autoridades pertinentes, ha sido publicado y difundido en el sitio web.</t>
    </r>
  </si>
  <si>
    <t>• Proporcionar cualquier información relevante relacionada con la actividad y/o la MSPT.</t>
  </si>
  <si>
    <t>impact targets dispalmap ron no</t>
  </si>
  <si>
    <t>impact dispalmap ron no</t>
  </si>
  <si>
    <t>impact indicator no row for impact</t>
  </si>
  <si>
    <t>outcome indicator no row for outcome</t>
  </si>
  <si>
    <t>disaggregation no row for disaggregation</t>
  </si>
  <si>
    <t>wptm results no row for wptm</t>
  </si>
  <si>
    <t>coverage displayMap row no.</t>
  </si>
  <si>
    <t>coverage target  dispalymap Row NO</t>
  </si>
  <si>
    <t>WPTM row no display map</t>
  </si>
  <si>
    <t>wptm resutls row no display map</t>
  </si>
  <si>
    <t>[Impact Indicator Name FR]</t>
  </si>
  <si>
    <t>Impact Indicator Name FR</t>
  </si>
  <si>
    <t>[Impact Indicator Name ES]</t>
  </si>
  <si>
    <t>Impact Indicator Name ES</t>
  </si>
  <si>
    <t>[Outcome Indicator Name FR]</t>
  </si>
  <si>
    <t>Outcome Indicator Name FR</t>
  </si>
  <si>
    <t>[Outcome Indicator Name ES]</t>
  </si>
  <si>
    <t>Outcome Indicator Name ES</t>
  </si>
  <si>
    <t>[Coverage Indicator Name  - FR]</t>
  </si>
  <si>
    <t>Coverage Indicator Name  - FR</t>
  </si>
  <si>
    <t>[Coverage Indicator Name - ES]</t>
  </si>
  <si>
    <t>Coverage Indicator Name - ES</t>
  </si>
  <si>
    <t>[Grant (Name)]</t>
  </si>
  <si>
    <t>Grant (Name)</t>
  </si>
  <si>
    <t>[Intervention]</t>
  </si>
  <si>
    <t>original population</t>
  </si>
  <si>
    <t>pr list merged with blank</t>
  </si>
  <si>
    <t>pr distinct without duplicate</t>
  </si>
  <si>
    <t>number calculated row</t>
  </si>
  <si>
    <t>048d8ea8-6bc6-4518-b57a-50dcb189b7e2</t>
  </si>
  <si>
    <t>[Module Name FR]</t>
  </si>
  <si>
    <t>Module Name FR</t>
  </si>
  <si>
    <t>[Module Name ES]</t>
  </si>
  <si>
    <t>Module Name ES</t>
  </si>
  <si>
    <t>outcome targets</t>
  </si>
  <si>
    <t>[Module]</t>
  </si>
  <si>
    <t>[Key Activity Milestone Number]</t>
  </si>
  <si>
    <t xml:space="preserve">coverage disaggregation </t>
  </si>
  <si>
    <t>truncated translated name name</t>
  </si>
  <si>
    <t>english interventions</t>
  </si>
  <si>
    <t>population english</t>
  </si>
  <si>
    <t>[Intervention ES]</t>
  </si>
  <si>
    <t>Intervention ES</t>
  </si>
  <si>
    <t>[Intervention FR]</t>
  </si>
  <si>
    <t>Intervention FR</t>
  </si>
  <si>
    <t>No aplicable</t>
  </si>
  <si>
    <t>Version  2.0.1</t>
  </si>
  <si>
    <t>[Coverage Indicator Number]</t>
  </si>
  <si>
    <t>[Module Name]</t>
  </si>
  <si>
    <t>coverage indic. Targets</t>
  </si>
  <si>
    <t>[Allow Field Update]</t>
  </si>
  <si>
    <t>coverage indicator targets no rows</t>
  </si>
  <si>
    <t>coverage indicator no rows</t>
  </si>
  <si>
    <t>`</t>
  </si>
  <si>
    <t>count rows</t>
  </si>
  <si>
    <t>AIM_Reporting_Period__c.AIM_Report_Period_Category__c</t>
  </si>
  <si>
    <t>Implementation</t>
  </si>
  <si>
    <t>AIM_Coverage_Indicator__c.AIM_Geographic_Coverage__c</t>
  </si>
  <si>
    <t>National</t>
  </si>
  <si>
    <t>Subnational</t>
  </si>
  <si>
    <t>AIM_Coverage_Indicator__c.AIM_Rating_Cumulation_Type__c</t>
  </si>
  <si>
    <t>N-Non-cumulative</t>
  </si>
  <si>
    <t>N-Non -cumulative (other)</t>
  </si>
  <si>
    <t>N-Non -cumulative (special)</t>
  </si>
  <si>
    <t>Non Cumulative - Other</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</si>
  <si>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</si>
  <si>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</si>
  <si>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</si>
  <si>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</si>
  <si>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</si>
  <si>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</si>
  <si>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</si>
  <si>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</si>
  <si>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</si>
  <si>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</si>
  <si>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</si>
  <si>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</si>
  <si>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</si>
  <si>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</si>
  <si>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</si>
  <si>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</si>
  <si>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</si>
  <si>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</si>
  <si>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</si>
  <si>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</si>
  <si>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</si>
  <si>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</si>
  <si>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</si>
  <si>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</si>
  <si>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</si>
  <si>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</si>
  <si>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</si>
  <si>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</si>
  <si>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</si>
  <si>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</si>
  <si>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</si>
  <si>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</si>
  <si>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</si>
  <si>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</si>
  <si>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</si>
  <si>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</si>
  <si>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</si>
  <si>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</si>
  <si>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</si>
  <si>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</si>
  <si>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</si>
  <si>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</si>
  <si>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</si>
  <si>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</si>
  <si>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</si>
  <si>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</si>
  <si>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</si>
  <si>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</si>
  <si>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</si>
  <si>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</si>
  <si>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</si>
  <si>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</si>
  <si>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Y- Cumulative annually</t>
  </si>
  <si>
    <t>a1K3p000005Q9wBEAS</t>
  </si>
  <si>
    <t>FR941-CIV-H</t>
  </si>
  <si>
    <t>Côte d'Ivoire</t>
  </si>
  <si>
    <t>a1A360000013M3FEAU</t>
  </si>
  <si>
    <t>a1C3p00000AmhWZEAZ</t>
  </si>
  <si>
    <t>a1C3p00000AmhWaEAJ</t>
  </si>
  <si>
    <t>a1C3p00000AmhWbEAJ</t>
  </si>
  <si>
    <t>a1C3p00000AmhWcEAJ</t>
  </si>
  <si>
    <t>a1C3p00000Amhi8EAB</t>
  </si>
  <si>
    <t>a1C3p00000Amhi9EAB</t>
  </si>
  <si>
    <t>a1C3p00000AmhiAEAR</t>
  </si>
  <si>
    <t>a1C3p00000AmhiBEAR</t>
  </si>
  <si>
    <t>a1C3p00000AmhiCEAR</t>
  </si>
  <si>
    <t>a1C3p00000AmhiDEAR</t>
  </si>
  <si>
    <t>a1C3p00000AmhiEEAR</t>
  </si>
  <si>
    <t>a1C3p00000AmhiFEAR</t>
  </si>
  <si>
    <t>a1R3p000005LqbnEAC</t>
  </si>
  <si>
    <t>a1R3p000005LqboEAC</t>
  </si>
  <si>
    <t>a1R3p000005LqbpEAC</t>
  </si>
  <si>
    <t>a1R3p000005LqbqEAC</t>
  </si>
  <si>
    <t>a1R3p000005LqbrEAC</t>
  </si>
  <si>
    <t>a1R3p000005LqbsEAC</t>
  </si>
  <si>
    <t>a1R3p000005LqbtEAC</t>
  </si>
  <si>
    <t>a1R3p000005LqbuEAC</t>
  </si>
  <si>
    <t>a1R3p000005LqbvEAC</t>
  </si>
  <si>
    <t>a1R3p000005LqbwEAC</t>
  </si>
  <si>
    <t>a1R3p000005LqbxEAC</t>
  </si>
  <si>
    <t>a1R3p000005LqbyEAC</t>
  </si>
  <si>
    <t>M-34813</t>
  </si>
  <si>
    <t>a1P3p000006KmxSEAS</t>
  </si>
  <si>
    <t>M-34814</t>
  </si>
  <si>
    <t>a1P3p000006KmxTEAS</t>
  </si>
  <si>
    <t>M-34815</t>
  </si>
  <si>
    <t>a1P3p000006KmxUEAS</t>
  </si>
  <si>
    <t>M-34816</t>
  </si>
  <si>
    <t>a1P3p000006KmxVEAS</t>
  </si>
  <si>
    <t>M-34817</t>
  </si>
  <si>
    <t>a1P3p000006KmxWEAS</t>
  </si>
  <si>
    <t>M-34818</t>
  </si>
  <si>
    <t>a1P3p000006KmxXEAS</t>
  </si>
  <si>
    <t>M-34819</t>
  </si>
  <si>
    <t>a1P3p000006KmxYEAS</t>
  </si>
  <si>
    <t>M-34820</t>
  </si>
  <si>
    <t>a1P3p000006KmxZEAS</t>
  </si>
  <si>
    <t>M-34821</t>
  </si>
  <si>
    <t>a1P3p000006KmxaEAC</t>
  </si>
  <si>
    <t>M-34822</t>
  </si>
  <si>
    <t>a1P3p000006KmxbEAC</t>
  </si>
  <si>
    <t>M-34823</t>
  </si>
  <si>
    <t>a1P3p000006KmxcEAC</t>
  </si>
  <si>
    <t>M-34824</t>
  </si>
  <si>
    <t>a1P3p000006KmxdEAC</t>
  </si>
  <si>
    <t>M-34825</t>
  </si>
  <si>
    <t>a1P3p000006KmxeEAC</t>
  </si>
  <si>
    <t>M-34826</t>
  </si>
  <si>
    <t>a1P3p000006KmxfEAC</t>
  </si>
  <si>
    <t>M-34827</t>
  </si>
  <si>
    <t>a1P3p000006KmxgEAC</t>
  </si>
  <si>
    <t>a1M3p000009xyNAEAY</t>
  </si>
  <si>
    <t>INT-130914</t>
  </si>
  <si>
    <t>a1M3p000009xyNBEAY</t>
  </si>
  <si>
    <t>INT-130915</t>
  </si>
  <si>
    <t>a1M3p000009xyNCEAY</t>
  </si>
  <si>
    <t>INT-130916</t>
  </si>
  <si>
    <t>a1M3p000009xyNDEAY</t>
  </si>
  <si>
    <t>INT-130917</t>
  </si>
  <si>
    <t>a1M3p000009xyNEEAY</t>
  </si>
  <si>
    <t>INT-130918</t>
  </si>
  <si>
    <t>a1M3p000009xyNFEAY</t>
  </si>
  <si>
    <t>INT-130919</t>
  </si>
  <si>
    <t>a1M3p000009xyNGEAY</t>
  </si>
  <si>
    <t>INT-130920</t>
  </si>
  <si>
    <t>a1M3p000009xyNHEAY</t>
  </si>
  <si>
    <t>INT-130921</t>
  </si>
  <si>
    <t>a1M3p000009xyNIEAY</t>
  </si>
  <si>
    <t>INT-130922</t>
  </si>
  <si>
    <t>a1M3p000009xyNJEAY</t>
  </si>
  <si>
    <t>INT-130923</t>
  </si>
  <si>
    <t>a1M3p000009xyNKEAY</t>
  </si>
  <si>
    <t>INT-130924</t>
  </si>
  <si>
    <t>a1M3p000009xyNLEAY</t>
  </si>
  <si>
    <t>INT-130925</t>
  </si>
  <si>
    <t>a1M3p000009xyNMEAY</t>
  </si>
  <si>
    <t>INT-130926</t>
  </si>
  <si>
    <t>a1M3p000009xyNNEAY</t>
  </si>
  <si>
    <t>INT-130927</t>
  </si>
  <si>
    <t>a1M3p000009xyNOEAY</t>
  </si>
  <si>
    <t>INT-130928</t>
  </si>
  <si>
    <t>a1M3p000009xyNPEAY</t>
  </si>
  <si>
    <t>INT-130929</t>
  </si>
  <si>
    <t>a1M3p000009xyNQEAY</t>
  </si>
  <si>
    <t>INT-130930</t>
  </si>
  <si>
    <t>a1M3p000009xyNREAY</t>
  </si>
  <si>
    <t>INT-130931</t>
  </si>
  <si>
    <t>a1M3p000009xyNSEAY</t>
  </si>
  <si>
    <t>INT-130932</t>
  </si>
  <si>
    <t>a1M3p000009xyNTEAY</t>
  </si>
  <si>
    <t>INT-130933</t>
  </si>
  <si>
    <t>a1M3p000009xyNUEAY</t>
  </si>
  <si>
    <t>INT-130934</t>
  </si>
  <si>
    <t>a1M3p000009xyNVEAY</t>
  </si>
  <si>
    <t>INT-130935</t>
  </si>
  <si>
    <t>a1M3p000009xyNWEAY</t>
  </si>
  <si>
    <t>INT-130936</t>
  </si>
  <si>
    <t>a1M3p000009xyNXEAY</t>
  </si>
  <si>
    <t>INT-130937</t>
  </si>
  <si>
    <t>a1M3p000009xyNYEAY</t>
  </si>
  <si>
    <t>INT-130938</t>
  </si>
  <si>
    <t>a1M3p000009xyNZEAY</t>
  </si>
  <si>
    <t>INT-130939</t>
  </si>
  <si>
    <t>a1M3p000009xyNaEAI</t>
  </si>
  <si>
    <t>INT-130940</t>
  </si>
  <si>
    <t>a1M3p000009xyNbEAI</t>
  </si>
  <si>
    <t>INT-130941</t>
  </si>
  <si>
    <t>a1M3p000009xyNcEAI</t>
  </si>
  <si>
    <t>INT-130942</t>
  </si>
  <si>
    <t>a1M3p000009xyNdEAI</t>
  </si>
  <si>
    <t>INT-130943</t>
  </si>
  <si>
    <t>a1M3p000009xyNeEAI</t>
  </si>
  <si>
    <t>INT-130944</t>
  </si>
  <si>
    <t>a1M3p000009xyNfEAI</t>
  </si>
  <si>
    <t>INT-130945</t>
  </si>
  <si>
    <t>a1M3p000009xyNgEAI</t>
  </si>
  <si>
    <t>INT-130946</t>
  </si>
  <si>
    <t>a1M3p000009xyNhEAI</t>
  </si>
  <si>
    <t>INT-130947</t>
  </si>
  <si>
    <t>a1M3p000009xyNiEAI</t>
  </si>
  <si>
    <t>INT-130948</t>
  </si>
  <si>
    <t>a1M3p000009xyNjEAI</t>
  </si>
  <si>
    <t>INT-130949</t>
  </si>
  <si>
    <t>a1M3p000009xyNkEAI</t>
  </si>
  <si>
    <t>INT-130950</t>
  </si>
  <si>
    <t>a1M3p000009xyNlEAI</t>
  </si>
  <si>
    <t>INT-130951</t>
  </si>
  <si>
    <t>a1M3p000009xyNmEAI</t>
  </si>
  <si>
    <t>INT-130952</t>
  </si>
  <si>
    <t>a1M3p000009xyNnEAI</t>
  </si>
  <si>
    <t>INT-130953</t>
  </si>
  <si>
    <t>a1M3p000009xyNoEAI</t>
  </si>
  <si>
    <t>INT-130954</t>
  </si>
  <si>
    <t>a1M3p000009xyNpEAI</t>
  </si>
  <si>
    <t>INT-130955</t>
  </si>
  <si>
    <t>a1M3p000009xyNqEAI</t>
  </si>
  <si>
    <t>INT-130956</t>
  </si>
  <si>
    <t>a1M3p000009xyNrEAI</t>
  </si>
  <si>
    <t>INT-130957</t>
  </si>
  <si>
    <t>a1M3p000009xyNsEAI</t>
  </si>
  <si>
    <t>INT-130958</t>
  </si>
  <si>
    <t>a1M3p000009xyNtEAI</t>
  </si>
  <si>
    <t>INT-130959</t>
  </si>
  <si>
    <t>a1M3p000009xyNuEAI</t>
  </si>
  <si>
    <t>INT-130960</t>
  </si>
  <si>
    <t>a1M3p000009xyNvEAI</t>
  </si>
  <si>
    <t>INT-130961</t>
  </si>
  <si>
    <t>a1M3p000009xyNwEAI</t>
  </si>
  <si>
    <t>INT-130962</t>
  </si>
  <si>
    <t>a1M3p000009xyNxEAI</t>
  </si>
  <si>
    <t>INT-130963</t>
  </si>
  <si>
    <t>HIV/AIDS</t>
  </si>
  <si>
    <t>a1Y3p000004BrV4EAK</t>
  </si>
  <si>
    <t>a1Y3p000004BrV5EAK</t>
  </si>
  <si>
    <t>a1Y3p000004BrV6EAK</t>
  </si>
  <si>
    <t>a1Y3p000004BrV7EAK</t>
  </si>
  <si>
    <t>a1Y3p000004BrV8EAK</t>
  </si>
  <si>
    <t>a1Y3p000004BrV9EAK</t>
  </si>
  <si>
    <t>IOR-00079</t>
  </si>
  <si>
    <t>a1L1R00000J6DNdUAN</t>
  </si>
  <si>
    <t>IDR-00875</t>
  </si>
  <si>
    <t>Gender | Age</t>
  </si>
  <si>
    <t>Sexe | Age</t>
  </si>
  <si>
    <t>Género | Edad</t>
  </si>
  <si>
    <t>Female 20-24</t>
  </si>
  <si>
    <t>Femme 20-24</t>
  </si>
  <si>
    <t>Mujeres 20-24</t>
  </si>
  <si>
    <t>HIV I-13 Percentage of people living with HIV</t>
  </si>
  <si>
    <t>HIV I-13 Pourcentage de personnes vivant avec le VIH</t>
  </si>
  <si>
    <t>HIV I-13 Porcentaje de personas que viven con el VIH</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</si>
  <si>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</si>
  <si>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</si>
  <si>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</si>
  <si>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</si>
  <si>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</si>
  <si>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</si>
  <si>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</si>
  <si>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</si>
  <si>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</si>
  <si>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</si>
  <si>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</si>
  <si>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</si>
  <si>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</si>
  <si>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</si>
  <si>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</si>
  <si>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</si>
  <si>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</si>
  <si>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Gender</t>
  </si>
  <si>
    <t>Sexe</t>
  </si>
  <si>
    <t>Género</t>
  </si>
  <si>
    <t>Female</t>
  </si>
  <si>
    <t>Femme</t>
  </si>
  <si>
    <t>Mujeres</t>
  </si>
  <si>
    <t>a1L1R00000J6DLuUAN</t>
  </si>
  <si>
    <t>IDR-00768</t>
  </si>
  <si>
    <t>Male</t>
  </si>
  <si>
    <t>Homme</t>
  </si>
  <si>
    <t>Hombres</t>
  </si>
  <si>
    <t>a1L1R00000J6DK0UAN</t>
  </si>
  <si>
    <t>IDR-00650</t>
  </si>
  <si>
    <t>Age</t>
  </si>
  <si>
    <t>Edad</t>
  </si>
  <si>
    <t>15+</t>
  </si>
  <si>
    <t>a1L1R00000J6DJzUAN</t>
  </si>
  <si>
    <t>IDR-00649</t>
  </si>
  <si>
    <t>&lt;15</t>
  </si>
  <si>
    <t>IOR-00080</t>
  </si>
  <si>
    <t>a1L1R00000J6DNhUAN</t>
  </si>
  <si>
    <t>IDR-00879</t>
  </si>
  <si>
    <t>HIV I-14 Number of new HIV infections per 1000 uninfected population</t>
  </si>
  <si>
    <t>HIV I-14 Nombre de nouvelles infections par le VIH pour 1000 habitants non infectés</t>
  </si>
  <si>
    <t>HIV I-14 Número de infecciones nuevas de VIH por 1.000 habitantes no infectados</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</si>
  <si>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</si>
  <si>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</si>
  <si>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</si>
  <si>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</si>
  <si>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</si>
  <si>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</si>
  <si>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</si>
  <si>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</si>
  <si>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</si>
  <si>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</si>
  <si>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</si>
  <si>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</si>
  <si>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</si>
  <si>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</si>
  <si>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IOR-00081</t>
  </si>
  <si>
    <t>a1L1R00000J6DNlUAN</t>
  </si>
  <si>
    <t>IDR-00883</t>
  </si>
  <si>
    <t>HIV I-4 Number of AIDS-related deaths per 100,000 population</t>
  </si>
  <si>
    <t>HIV I-4 Nombre de décès liés au sida pour 100,000 habitants</t>
  </si>
  <si>
    <t>HIV I-4 Número de muertes relacionadas con el sida por cada 100.000 habitantes</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</si>
  <si>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</si>
  <si>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</si>
  <si>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</si>
  <si>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</si>
  <si>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</si>
  <si>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</si>
  <si>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</si>
  <si>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</si>
  <si>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</si>
  <si>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</si>
  <si>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</si>
  <si>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</si>
  <si>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</si>
  <si>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</si>
  <si>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</si>
  <si>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</si>
  <si>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</si>
  <si>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</si>
  <si>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IOR-00083</t>
  </si>
  <si>
    <t>a1L1R00000J6DK7UAN</t>
  </si>
  <si>
    <t>IDR-00657</t>
  </si>
  <si>
    <t>25+</t>
  </si>
  <si>
    <t>HIV I-9a⁽ᴹ⁾ Percentage of men who have sex with men who are living with HIV</t>
  </si>
  <si>
    <t>HIV I-9a⁽ᴹ⁾ Pourcentage d’hommes ayant des rapports sexuels avec des hommes vivant avec le VIH</t>
  </si>
  <si>
    <t>HIV I-9a⁽ᴹ⁾ Porcentaje de HSH y viven con el VIH</t>
  </si>
  <si>
    <t>a1L1R00000J6DK6UAN</t>
  </si>
  <si>
    <t>IDR-00656</t>
  </si>
  <si>
    <t>&lt;25</t>
  </si>
  <si>
    <t>IOR-00084</t>
  </si>
  <si>
    <t>a1L1R00000J6DK9UAN</t>
  </si>
  <si>
    <t>IDR-00659</t>
  </si>
  <si>
    <t>HIV I-9b⁽ᴹ⁾ Percentage of transgender people who are living with HIV</t>
  </si>
  <si>
    <t>HIV I-9b⁽ᴹ⁾ Pourcentage de personnes transgenres vivant avec le VIH</t>
  </si>
  <si>
    <t>HIV I-9b⁽ᴹ⁾ Porcentaje de personas transgénero que viven con el VIH</t>
  </si>
  <si>
    <t>a1L1R00000J6DK8UAN</t>
  </si>
  <si>
    <t>IDR-00658</t>
  </si>
  <si>
    <t>IOR-00085</t>
  </si>
  <si>
    <t>a1L1R00000J6DM2UAN</t>
  </si>
  <si>
    <t>IDR-00776</t>
  </si>
  <si>
    <t>Transgender</t>
  </si>
  <si>
    <t>Transgenre</t>
  </si>
  <si>
    <t>Transgénero</t>
  </si>
  <si>
    <t>HIV I-10⁽ᴹ⁾ Percentage of sex workers who are living with HIV</t>
  </si>
  <si>
    <t>HIV I-10⁽ᴹ⁾ Pourcentage de professionnels du sexe vivant avec le VIH</t>
  </si>
  <si>
    <t>HIV I-10⁽ᴹ⁾ Porcentaje de trabajadores sexuales que viven con el VIH</t>
  </si>
  <si>
    <t>a1L1R00000J6DM1UAN</t>
  </si>
  <si>
    <t>IDR-00775</t>
  </si>
  <si>
    <t>a1L1R00000J6DM0UAN</t>
  </si>
  <si>
    <t>IDR-00774</t>
  </si>
  <si>
    <t>a1L1R00000J6DKBUA3</t>
  </si>
  <si>
    <t>IDR-00661</t>
  </si>
  <si>
    <t>a1L1R00000J6DKAUA3</t>
  </si>
  <si>
    <t>IDR-00660</t>
  </si>
  <si>
    <t>IOR-00086</t>
  </si>
  <si>
    <t>a1L1R00000J6DM5UAN</t>
  </si>
  <si>
    <t>IDR-00779</t>
  </si>
  <si>
    <t>HIV I-11⁽ᴹ⁾ Percentage of people who inject drugs who are living with HIV</t>
  </si>
  <si>
    <t>HIV I-11⁽ᴹ⁾ Pourcentage de personnes qui s’injectent des drogues vivant avec le VIH</t>
  </si>
  <si>
    <t>HIV I-11⁽ᴹ⁾ Porcentaje de personas que consumen drogas inyectables y que viven con el VIH</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</si>
  <si>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</si>
  <si>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</si>
  <si>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</si>
  <si>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</si>
  <si>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</si>
  <si>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</si>
  <si>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</si>
  <si>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</si>
  <si>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</si>
  <si>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</si>
  <si>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</si>
  <si>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</si>
  <si>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</si>
  <si>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</si>
  <si>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</si>
  <si>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</si>
  <si>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</si>
  <si>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</si>
  <si>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</si>
  <si>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</si>
  <si>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</si>
  <si>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</si>
  <si>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</si>
  <si>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</si>
  <si>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</si>
  <si>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</si>
  <si>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</si>
  <si>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</si>
  <si>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</si>
  <si>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</si>
  <si>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</si>
  <si>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</si>
  <si>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</si>
  <si>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</si>
  <si>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</si>
  <si>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</si>
  <si>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</si>
  <si>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</si>
  <si>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</si>
  <si>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</si>
  <si>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</si>
  <si>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</si>
  <si>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</si>
  <si>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</si>
  <si>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</si>
  <si>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</si>
  <si>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</si>
  <si>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</si>
  <si>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</si>
  <si>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</si>
  <si>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</si>
  <si>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</si>
  <si>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</si>
  <si>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</si>
  <si>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</si>
  <si>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</si>
  <si>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</si>
  <si>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</si>
  <si>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</si>
  <si>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</si>
  <si>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</si>
  <si>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</si>
  <si>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</si>
  <si>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</si>
  <si>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</si>
  <si>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</si>
  <si>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</si>
  <si>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</si>
  <si>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</si>
  <si>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</si>
  <si>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</si>
  <si>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</si>
  <si>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</si>
  <si>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</si>
  <si>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</si>
  <si>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</si>
  <si>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</si>
  <si>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</si>
  <si>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</si>
  <si>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</si>
  <si>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</si>
  <si>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</si>
  <si>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</si>
  <si>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</si>
  <si>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</si>
  <si>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</si>
  <si>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</si>
  <si>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</si>
  <si>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</si>
  <si>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</si>
  <si>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</si>
  <si>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</si>
  <si>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</si>
  <si>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</si>
  <si>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</si>
  <si>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</si>
  <si>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</si>
  <si>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</si>
  <si>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</si>
  <si>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</si>
  <si>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</si>
  <si>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</si>
  <si>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</si>
  <si>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</si>
  <si>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</si>
  <si>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</si>
  <si>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</si>
  <si>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</si>
  <si>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</si>
  <si>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</si>
  <si>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</si>
  <si>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</si>
  <si>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</si>
  <si>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</si>
  <si>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</si>
  <si>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</si>
  <si>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</si>
  <si>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</si>
  <si>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</si>
  <si>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</si>
  <si>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</si>
  <si>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</si>
  <si>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</si>
  <si>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</si>
  <si>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</si>
  <si>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</si>
  <si>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</si>
  <si>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</si>
  <si>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</si>
  <si>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</si>
  <si>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</si>
  <si>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IOR-00100</t>
  </si>
  <si>
    <t>a1L1R00000J6DMKUA3</t>
  </si>
  <si>
    <t>IDR-00794</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</si>
  <si>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</si>
  <si>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</si>
  <si>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</si>
  <si>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a1L1R00000J6DMJUA3</t>
  </si>
  <si>
    <t>IDR-00793</t>
  </si>
  <si>
    <t>a1L1R00000J6DKWUA3</t>
  </si>
  <si>
    <t>IDR-00682</t>
  </si>
  <si>
    <t>a1L1R00000J6DKVUA3</t>
  </si>
  <si>
    <t>IDR-00681</t>
  </si>
  <si>
    <t>20-24</t>
  </si>
  <si>
    <t>a1L1R00000J6DKUUA3</t>
  </si>
  <si>
    <t>IDR-00680</t>
  </si>
  <si>
    <t>15-19</t>
  </si>
  <si>
    <t>IOR-00101</t>
  </si>
  <si>
    <t>a1L1R00000J6DKLUA3</t>
  </si>
  <si>
    <t>IDR-00671</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</si>
  <si>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</si>
  <si>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</si>
  <si>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</si>
  <si>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a1L1R00000J6DKKUA3</t>
  </si>
  <si>
    <t>IDR-00670</t>
  </si>
  <si>
    <t>IOR-00102</t>
  </si>
  <si>
    <t>a1L1R00000J6DKNUA3</t>
  </si>
  <si>
    <t>IDR-00673</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</si>
  <si>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</si>
  <si>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</si>
  <si>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</si>
  <si>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a1L1R00000J6DKMUA3</t>
  </si>
  <si>
    <t>IDR-00672</t>
  </si>
  <si>
    <t>IOR-00103</t>
  </si>
  <si>
    <t>a1L1R00000J6DMCUA3</t>
  </si>
  <si>
    <t>IDR-00786</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</si>
  <si>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</si>
  <si>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</si>
  <si>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</si>
  <si>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a1L1R00000J6DMBUA3</t>
  </si>
  <si>
    <t>IDR-00785</t>
  </si>
  <si>
    <t>a1L1R00000J6DMAUA3</t>
  </si>
  <si>
    <t>IDR-00784</t>
  </si>
  <si>
    <t>a1L1R00000J6DKPUA3</t>
  </si>
  <si>
    <t>IDR-00675</t>
  </si>
  <si>
    <t>a1L1R00000J6DKOUA3</t>
  </si>
  <si>
    <t>IDR-00674</t>
  </si>
  <si>
    <t>IOR-00104</t>
  </si>
  <si>
    <t>a1L1R00000J6DMFUA3</t>
  </si>
  <si>
    <t>IDR-00789</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</si>
  <si>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</si>
  <si>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</si>
  <si>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</si>
  <si>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a1L1R00000J6DMEUA3</t>
  </si>
  <si>
    <t>IDR-00788</t>
  </si>
  <si>
    <t>a1L1R00000J6DMDUA3</t>
  </si>
  <si>
    <t>IDR-00787</t>
  </si>
  <si>
    <t>a1L1R00000J6DKRUA3</t>
  </si>
  <si>
    <t>IDR-00677</t>
  </si>
  <si>
    <t>a1L1R00000J6DKQUA3</t>
  </si>
  <si>
    <t>IDR-00676</t>
  </si>
  <si>
    <t>IOR-00105</t>
  </si>
  <si>
    <t>a1L1R00000J6DMIUA3</t>
  </si>
  <si>
    <t>IDR-00792</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</si>
  <si>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</si>
  <si>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</si>
  <si>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</si>
  <si>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a1L1R00000J6DMHUA3</t>
  </si>
  <si>
    <t>IDR-00791</t>
  </si>
  <si>
    <t>a1L1R00000J6DMGUA3</t>
  </si>
  <si>
    <t>IDR-00790</t>
  </si>
  <si>
    <t>a1L1R00000J6DKTUA3</t>
  </si>
  <si>
    <t>IDR-00679</t>
  </si>
  <si>
    <t>a1L1R00000J6DKSUA3</t>
  </si>
  <si>
    <t>IDR-00678</t>
  </si>
  <si>
    <t>IOR-00107</t>
  </si>
  <si>
    <t>a1L1R00000J6DMPUA3</t>
  </si>
  <si>
    <t>IDR-00799</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</si>
  <si>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</si>
  <si>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</si>
  <si>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</si>
  <si>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a1L1R00000J6DMOUA3</t>
  </si>
  <si>
    <t>IDR-00798</t>
  </si>
  <si>
    <t>a1L1R00000J6DMLUA3</t>
  </si>
  <si>
    <t>IDR-00795</t>
  </si>
  <si>
    <t>IOR-00108</t>
  </si>
  <si>
    <t>a1L1R00000J6DMQUA3</t>
  </si>
  <si>
    <t>IDR-00800</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</si>
  <si>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</si>
  <si>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</si>
  <si>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</si>
  <si>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a1L1R00000J6DMNUA3</t>
  </si>
  <si>
    <t>IDR-00797</t>
  </si>
  <si>
    <t>a1L1R00000J6DMMUA3</t>
  </si>
  <si>
    <t>IDR-00796</t>
  </si>
  <si>
    <t>IOR-00109</t>
  </si>
  <si>
    <t>a1L1R00000J6DKYUA3</t>
  </si>
  <si>
    <t>IDR-00684</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</si>
  <si>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</si>
  <si>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</si>
  <si>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</si>
  <si>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a1L1R00000J6DKXUA3</t>
  </si>
  <si>
    <t>IDR-00683</t>
  </si>
  <si>
    <t>IOR-00112</t>
  </si>
  <si>
    <t>a1L1R00000J6DKaUAN</t>
  </si>
  <si>
    <t>IDR-00686</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</si>
  <si>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</si>
  <si>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</si>
  <si>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</si>
  <si>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a1L1R00000J6DKZUA3</t>
  </si>
  <si>
    <t>IDR-00685</t>
  </si>
  <si>
    <t>IOR-00113</t>
  </si>
  <si>
    <t>a1L1R00000J6DKcUAN</t>
  </si>
  <si>
    <t>IDR-00688</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</si>
  <si>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</si>
  <si>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</si>
  <si>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</si>
  <si>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a1L1R00000J6DKbUAN</t>
  </si>
  <si>
    <t>IDR-00687</t>
  </si>
  <si>
    <t>IOR-00114</t>
  </si>
  <si>
    <t>a1L1R00000J6DMTUA3</t>
  </si>
  <si>
    <t>IDR-00803</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</si>
  <si>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</si>
  <si>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</si>
  <si>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</si>
  <si>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a1L1R00000J6DMSUA3</t>
  </si>
  <si>
    <t>IDR-00802</t>
  </si>
  <si>
    <t>a1L1R00000J6DMRUA3</t>
  </si>
  <si>
    <t>IDR-00801</t>
  </si>
  <si>
    <t>a1L1R00000J6DKeUAN</t>
  </si>
  <si>
    <t>IDR-00690</t>
  </si>
  <si>
    <t>a1L1R00000J6DKdUAN</t>
  </si>
  <si>
    <t>IDR-00689</t>
  </si>
  <si>
    <t>IOR-00115</t>
  </si>
  <si>
    <t>a1L1R00000J6DMWUA3</t>
  </si>
  <si>
    <t>IDR-00806</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</si>
  <si>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</si>
  <si>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</si>
  <si>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</si>
  <si>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a1L1R00000J6DMVUA3</t>
  </si>
  <si>
    <t>IDR-00805</t>
  </si>
  <si>
    <t>a1L1R00000J6DMUUA3</t>
  </si>
  <si>
    <t>IDR-00804</t>
  </si>
  <si>
    <t>a1L1R00000J6DKgUAN</t>
  </si>
  <si>
    <t>IDR-00692</t>
  </si>
  <si>
    <t>a1L1R00000J6DKfUAN</t>
  </si>
  <si>
    <t>IDR-00691</t>
  </si>
  <si>
    <t>IOR-00116</t>
  </si>
  <si>
    <t>a1L1R00000J6DPCUA3</t>
  </si>
  <si>
    <t>IDR-00972</t>
  </si>
  <si>
    <t>Target / Risk population group</t>
  </si>
  <si>
    <t>Groupe à risque cible</t>
  </si>
  <si>
    <t>Grupo de riesgo objetivo</t>
  </si>
  <si>
    <t>Prisoners</t>
  </si>
  <si>
    <t>Prisonniers</t>
  </si>
  <si>
    <t>Reclusos</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</si>
  <si>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</si>
  <si>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</si>
  <si>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</si>
  <si>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</si>
  <si>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</si>
  <si>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</si>
  <si>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</si>
  <si>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</si>
  <si>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</si>
  <si>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</si>
  <si>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</si>
  <si>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</si>
  <si>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</si>
  <si>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</si>
  <si>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</si>
  <si>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</si>
  <si>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HSH</t>
  </si>
  <si>
    <t>a1L1R00000J6DMZUA3</t>
  </si>
  <si>
    <t>IDR-00809</t>
  </si>
  <si>
    <t>a1L1R00000J6DMYUA3</t>
  </si>
  <si>
    <t>IDR-00808</t>
  </si>
  <si>
    <t>a1L1R00000J6DMXUA3</t>
  </si>
  <si>
    <t>IDR-00807</t>
  </si>
  <si>
    <t>a1L1R00000J6DKiUAN</t>
  </si>
  <si>
    <t>IDR-00694</t>
  </si>
  <si>
    <t>a1L1R00000J6DKhUAN</t>
  </si>
  <si>
    <t>IDR-00693</t>
  </si>
  <si>
    <t>IOR-00120</t>
  </si>
  <si>
    <t>a1L1R00000J6DPjUAN</t>
  </si>
  <si>
    <t>IDR-01005</t>
  </si>
  <si>
    <t>Treatment outcome</t>
  </si>
  <si>
    <t>Résultat du traitement</t>
  </si>
  <si>
    <t>Resultados de tratamiento</t>
  </si>
  <si>
    <t>Lost to follow up</t>
  </si>
  <si>
    <t>Perdus de vue</t>
  </si>
  <si>
    <t>Perdidos en seguimiento</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</si>
  <si>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</si>
  <si>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</si>
  <si>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</si>
  <si>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</si>
  <si>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</si>
  <si>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</si>
  <si>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</si>
  <si>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</si>
  <si>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</si>
  <si>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</si>
  <si>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</si>
  <si>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</si>
  <si>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</si>
  <si>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</si>
  <si>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</si>
  <si>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</si>
  <si>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</si>
  <si>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</si>
  <si>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</si>
  <si>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</si>
  <si>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</si>
  <si>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</si>
  <si>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</si>
  <si>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IOR-00126</t>
  </si>
  <si>
    <t>a1L1R00000J6DMeUAN</t>
  </si>
  <si>
    <t>IDR-00814</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</si>
  <si>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</si>
  <si>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</si>
  <si>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</si>
  <si>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a1L1R00000J6DMdUAN</t>
  </si>
  <si>
    <t>IDR-00813</t>
  </si>
  <si>
    <t>IOR-00127</t>
  </si>
  <si>
    <t>a1L1R00000J6DMgUAN</t>
  </si>
  <si>
    <t>IDR-00816</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</si>
  <si>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</si>
  <si>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</si>
  <si>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</si>
  <si>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a1L1R00000J6DMfUAN</t>
  </si>
  <si>
    <t>IDR-00815</t>
  </si>
  <si>
    <t>IOR-00128</t>
  </si>
  <si>
    <t>a1L1R00000J6DMiUAN</t>
  </si>
  <si>
    <t>IDR-00818</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</si>
  <si>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</si>
  <si>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</si>
  <si>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</si>
  <si>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</si>
  <si>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</si>
  <si>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</si>
  <si>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</si>
  <si>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</si>
  <si>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</si>
  <si>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</si>
  <si>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</si>
  <si>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</si>
  <si>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</si>
  <si>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</si>
  <si>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</si>
  <si>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</si>
  <si>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</si>
  <si>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</si>
  <si>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</si>
  <si>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</si>
  <si>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</si>
  <si>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</si>
  <si>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</si>
  <si>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</si>
  <si>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</si>
  <si>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</si>
  <si>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</si>
  <si>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</si>
  <si>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</si>
  <si>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</si>
  <si>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</si>
  <si>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</si>
  <si>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</si>
  <si>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</si>
  <si>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</si>
  <si>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</si>
  <si>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IOR-00140</t>
  </si>
  <si>
    <t>a1L1R00000J6DOpUAN</t>
  </si>
  <si>
    <t>IDR-00949</t>
  </si>
  <si>
    <t>Occupation group</t>
  </si>
  <si>
    <t>Groupe d'occupation</t>
  </si>
  <si>
    <t>Grupo de ocupación</t>
  </si>
  <si>
    <t>Community health workers</t>
  </si>
  <si>
    <t>Agents de santé communautaires</t>
  </si>
  <si>
    <t>Trabajadores de la salud comunitarios</t>
  </si>
  <si>
    <t>HSS O-8 Active health workers per 10,000 population</t>
  </si>
  <si>
    <t>HSS O-8 Agents de santé actifs pour 10,000 habitants</t>
  </si>
  <si>
    <t>HSS O-8 Trabajadores de  salud activos por cada 10.000 habitantes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</si>
  <si>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</si>
  <si>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</si>
  <si>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</si>
  <si>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</si>
  <si>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</si>
  <si>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</si>
  <si>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</si>
  <si>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</si>
  <si>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</si>
  <si>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</si>
  <si>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</si>
  <si>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</si>
  <si>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</si>
  <si>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</si>
  <si>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</si>
  <si>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</si>
  <si>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</si>
  <si>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</si>
  <si>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</si>
  <si>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</si>
  <si>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IOR-00141</t>
  </si>
  <si>
    <t>a1L1R00000J6DKmUAN</t>
  </si>
  <si>
    <t>IDR-00698</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</si>
  <si>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</si>
  <si>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</si>
  <si>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</si>
  <si>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a1L1R00000J6DKlUAN</t>
  </si>
  <si>
    <t>IDR-00697</t>
  </si>
  <si>
    <t>10-14</t>
  </si>
  <si>
    <t>MCI-01045</t>
  </si>
  <si>
    <t>a1L1R00000J6DKnUAN</t>
  </si>
  <si>
    <t>IDR-00699</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</si>
  <si>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</si>
  <si>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</si>
  <si>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</si>
  <si>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a1L1R00000J6DKoUAN</t>
  </si>
  <si>
    <t>IDR-00700</t>
  </si>
  <si>
    <t>MCI-01046</t>
  </si>
  <si>
    <t>a1L1R00000J6DKpUAN</t>
  </si>
  <si>
    <t>IDR-00701</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</si>
  <si>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</si>
  <si>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</si>
  <si>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</si>
  <si>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a1L1R00000J6DKqUAN</t>
  </si>
  <si>
    <t>IDR-00702</t>
  </si>
  <si>
    <t>MCI-01047</t>
  </si>
  <si>
    <t>a1L1R00000J6DKsUAN</t>
  </si>
  <si>
    <t>IDR-00704</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</si>
  <si>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</si>
  <si>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</si>
  <si>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</si>
  <si>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a1L1R00000J6DKrUAN</t>
  </si>
  <si>
    <t>IDR-00703</t>
  </si>
  <si>
    <t>a1L1R00000J6DMnUAN</t>
  </si>
  <si>
    <t>IDR-00823</t>
  </si>
  <si>
    <t>a1L1R00000J6DMoUAN</t>
  </si>
  <si>
    <t>IDR-00824</t>
  </si>
  <si>
    <t>a1L1R00000J6DMpUAN</t>
  </si>
  <si>
    <t>IDR-00825</t>
  </si>
  <si>
    <t>MCI-01048</t>
  </si>
  <si>
    <t>a1L1R00000J6DKtUAN</t>
  </si>
  <si>
    <t>IDR-00705</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</si>
  <si>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</si>
  <si>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</si>
  <si>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</si>
  <si>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a1L1R00000J6DKuUAN</t>
  </si>
  <si>
    <t>IDR-00706</t>
  </si>
  <si>
    <t>a1L1R00000J6DMqUAN</t>
  </si>
  <si>
    <t>IDR-00826</t>
  </si>
  <si>
    <t>a1L1R00000J6DMrUAN</t>
  </si>
  <si>
    <t>IDR-00827</t>
  </si>
  <si>
    <t>a1L1R00000J6DMsUAN</t>
  </si>
  <si>
    <t>IDR-00828</t>
  </si>
  <si>
    <t>MCI-01056</t>
  </si>
  <si>
    <t>a1L1R00000J6DMtUAN</t>
  </si>
  <si>
    <t>IDR-00829</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</si>
  <si>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</si>
  <si>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</si>
  <si>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</si>
  <si>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a1L1R00000J6DMuUAN</t>
  </si>
  <si>
    <t>IDR-00830</t>
  </si>
  <si>
    <t>MCI-01057</t>
  </si>
  <si>
    <t>a1L1R00000J6DMwUAN</t>
  </si>
  <si>
    <t>IDR-00832</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</si>
  <si>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</si>
  <si>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</si>
  <si>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</si>
  <si>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a1L1R00000J6DMvUAN</t>
  </si>
  <si>
    <t>IDR-00831</t>
  </si>
  <si>
    <t>MCI-01058</t>
  </si>
  <si>
    <t>a1L1R00000J6DKvUAN</t>
  </si>
  <si>
    <t>IDR-00707</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</si>
  <si>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</si>
  <si>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</si>
  <si>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</si>
  <si>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a1L1R00000J6DKwUAN</t>
  </si>
  <si>
    <t>IDR-00708</t>
  </si>
  <si>
    <t>a1L1R00000J6DKxUAN</t>
  </si>
  <si>
    <t>IDR-00709</t>
  </si>
  <si>
    <t>MCI-01060</t>
  </si>
  <si>
    <t>a1L1R00000J6DOEUA3</t>
  </si>
  <si>
    <t>IDR-00912</t>
  </si>
  <si>
    <t>HIV test status</t>
  </si>
  <si>
    <t>Résultat du test VIH</t>
  </si>
  <si>
    <t>Resultado de prueba del VIH</t>
  </si>
  <si>
    <t>Positive</t>
  </si>
  <si>
    <t>Positif</t>
  </si>
  <si>
    <t>Positivo</t>
  </si>
  <si>
    <t>PMTCT-1 Percentage of pregnant women who know their HIV status</t>
  </si>
  <si>
    <t>PMTCT-1 Pourcentage de femmes enceintes qui connaissent leur statut sérologique pour le VIH</t>
  </si>
  <si>
    <t>PMTCT-1 Porcentaje de mujeres embarazadas que conocen su Estatus de VIH</t>
  </si>
  <si>
    <t>a1L1R00000J6DOFUA3</t>
  </si>
  <si>
    <t>IDR-00913</t>
  </si>
  <si>
    <t>Negative</t>
  </si>
  <si>
    <t>Négatif</t>
  </si>
  <si>
    <t>Negativo</t>
  </si>
  <si>
    <t>MCI-01062</t>
  </si>
  <si>
    <t>a1L1R00000J6DOGUA3</t>
  </si>
  <si>
    <t>IDR-00914</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</si>
  <si>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</si>
  <si>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</si>
  <si>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</si>
  <si>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a1L1R00000J6DOHUA3</t>
  </si>
  <si>
    <t>IDR-00915</t>
  </si>
  <si>
    <t>a1L1R00000J6DOIUA3</t>
  </si>
  <si>
    <t>IDR-00916</t>
  </si>
  <si>
    <t>Indeterminate</t>
  </si>
  <si>
    <t>Indéterminé</t>
  </si>
  <si>
    <t>Indeterminado</t>
  </si>
  <si>
    <t>MCI-01064</t>
  </si>
  <si>
    <t>a1L1R00000J6DKyUAN</t>
  </si>
  <si>
    <t>IDR-00710</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</si>
  <si>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</si>
  <si>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</si>
  <si>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</si>
  <si>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a1L1R00000J6DL0UAN</t>
  </si>
  <si>
    <t>IDR-00712</t>
  </si>
  <si>
    <t>15-24</t>
  </si>
  <si>
    <t>a1L1R00000J6DKzUAN</t>
  </si>
  <si>
    <t>IDR-00711</t>
  </si>
  <si>
    <t>a1L1R00000J6DOJUA3</t>
  </si>
  <si>
    <t>IDR-00917</t>
  </si>
  <si>
    <t>a1L1R00000J6DOKUA3</t>
  </si>
  <si>
    <t>IDR-00918</t>
  </si>
  <si>
    <t>MCI-01065</t>
  </si>
  <si>
    <t>a1L1R00000J6DL1UAN</t>
  </si>
  <si>
    <t>IDR-00713</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</si>
  <si>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</si>
  <si>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</si>
  <si>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</si>
  <si>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a1L1R00000J6DL2UAN</t>
  </si>
  <si>
    <t>IDR-00714</t>
  </si>
  <si>
    <t>a1L1R00000J6DOLUA3</t>
  </si>
  <si>
    <t>IDR-00919</t>
  </si>
  <si>
    <t>a1L1R00000J6DOMUA3</t>
  </si>
  <si>
    <t>IDR-00920</t>
  </si>
  <si>
    <t>MCI-01066</t>
  </si>
  <si>
    <t>a1L1R00000J6DL3UAN</t>
  </si>
  <si>
    <t>IDR-00715</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</si>
  <si>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</si>
  <si>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</si>
  <si>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</si>
  <si>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a1L1R00000J6DL4UAN</t>
  </si>
  <si>
    <t>IDR-00716</t>
  </si>
  <si>
    <t>a1L1R00000J6DONUA3</t>
  </si>
  <si>
    <t>IDR-00921</t>
  </si>
  <si>
    <t>a1L1R00000J6DOOUA3</t>
  </si>
  <si>
    <t>IDR-00922</t>
  </si>
  <si>
    <t>MCI-01067</t>
  </si>
  <si>
    <t>a1L1R00000J6DL5UAN</t>
  </si>
  <si>
    <t>IDR-00717</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</si>
  <si>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</si>
  <si>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</si>
  <si>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</si>
  <si>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a1L1R00000J6DL6UAN</t>
  </si>
  <si>
    <t>IDR-00718</t>
  </si>
  <si>
    <t>a1L1R00000J6DMxUAN</t>
  </si>
  <si>
    <t>IDR-00833</t>
  </si>
  <si>
    <t>a1L1R00000J6DMyUAN</t>
  </si>
  <si>
    <t>IDR-00834</t>
  </si>
  <si>
    <t>a1L1R00000J6DMzUAN</t>
  </si>
  <si>
    <t>IDR-00835</t>
  </si>
  <si>
    <t>a1L1R00000J6DOPUA3</t>
  </si>
  <si>
    <t>IDR-00923</t>
  </si>
  <si>
    <t>a1L1R00000J6DOQUA3</t>
  </si>
  <si>
    <t>IDR-00924</t>
  </si>
  <si>
    <t>MCI-01068</t>
  </si>
  <si>
    <t>a1L1R00000J6DL7UAN</t>
  </si>
  <si>
    <t>IDR-00719</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</si>
  <si>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</si>
  <si>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</si>
  <si>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</si>
  <si>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a1L1R00000J6DL8UAN</t>
  </si>
  <si>
    <t>IDR-00720</t>
  </si>
  <si>
    <t>a1L1R00000J6DN0UAN</t>
  </si>
  <si>
    <t>IDR-00836</t>
  </si>
  <si>
    <t>a1L1R00000J6DN1UAN</t>
  </si>
  <si>
    <t>IDR-00837</t>
  </si>
  <si>
    <t>a1L1R00000J6DN2UAN</t>
  </si>
  <si>
    <t>IDR-00838</t>
  </si>
  <si>
    <t>a1L1R00000J6DORUA3</t>
  </si>
  <si>
    <t>IDR-00925</t>
  </si>
  <si>
    <t>a1L1R00000J6DOSUA3</t>
  </si>
  <si>
    <t>IDR-00926</t>
  </si>
  <si>
    <t>MCI-01069</t>
  </si>
  <si>
    <t>a1L1R00000J6DOTUA3</t>
  </si>
  <si>
    <t>IDR-00927</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</si>
  <si>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</si>
  <si>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</si>
  <si>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</si>
  <si>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a1L1R00000J6DOUUA3</t>
  </si>
  <si>
    <t>IDR-00928</t>
  </si>
  <si>
    <t>MCI-01070</t>
  </si>
  <si>
    <t>a1L1R00000J6DOVUA3</t>
  </si>
  <si>
    <t>IDR-00929</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</si>
  <si>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</si>
  <si>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</si>
  <si>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</si>
  <si>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a1L1R00000J6DOWUA3</t>
  </si>
  <si>
    <t>IDR-00930</t>
  </si>
  <si>
    <t>MCI-01071</t>
  </si>
  <si>
    <t>a1L1R00000J6DL9UAN</t>
  </si>
  <si>
    <t>IDR-00721</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</si>
  <si>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</si>
  <si>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</si>
  <si>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</si>
  <si>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a1L1R00000J6DLAUA3</t>
  </si>
  <si>
    <t>IDR-00722</t>
  </si>
  <si>
    <t>a1L1R00000J6DO4UAN</t>
  </si>
  <si>
    <t>IDR-00902</t>
  </si>
  <si>
    <t>Community testing</t>
  </si>
  <si>
    <t>Tests fait dans la communauté</t>
  </si>
  <si>
    <t>Diagnóstico en la comunidad</t>
  </si>
  <si>
    <t>Mobile testing</t>
  </si>
  <si>
    <t>Tests via clinics mobiles</t>
  </si>
  <si>
    <t>Pruebas en unidades móviles</t>
  </si>
  <si>
    <t>a1L1R00000J6DO5UAN</t>
  </si>
  <si>
    <t>IDR-00903</t>
  </si>
  <si>
    <t>Community VCT</t>
  </si>
  <si>
    <t>Centres communautaires de dépistage volontaire</t>
  </si>
  <si>
    <t>Consejería y prueba en la comunidad</t>
  </si>
  <si>
    <t>a1L1R00000J6DO9UAN</t>
  </si>
  <si>
    <t>IDR-00907</t>
  </si>
  <si>
    <t>Facility testing</t>
  </si>
  <si>
    <t>Tests fait dans un centre de santé</t>
  </si>
  <si>
    <t>Diagnóstico en establecimientos de salud</t>
  </si>
  <si>
    <t>ANC clinics</t>
  </si>
  <si>
    <t>Centres de soins prénatals</t>
  </si>
  <si>
    <t>Clínicas de atención prenatal</t>
  </si>
  <si>
    <t>a1L1R00000J6DOAUA3</t>
  </si>
  <si>
    <t>IDR-00908</t>
  </si>
  <si>
    <t>Family Planning clinics</t>
  </si>
  <si>
    <t>Centres de planification familiale</t>
  </si>
  <si>
    <t>Planificación familiar</t>
  </si>
  <si>
    <t>a1L1R00000J6DOBUA3</t>
  </si>
  <si>
    <t>IDR-00909</t>
  </si>
  <si>
    <t>TB clinics</t>
  </si>
  <si>
    <t>Centres de traitement de la tuberculose</t>
  </si>
  <si>
    <t>Servicios de TB</t>
  </si>
  <si>
    <t>a1L1R00000J6DOCUA3</t>
  </si>
  <si>
    <t>IDR-00910</t>
  </si>
  <si>
    <t>VCT centers</t>
  </si>
  <si>
    <t>Centres de de dépistage volontaire</t>
  </si>
  <si>
    <t>Centros de consejería y pruebas</t>
  </si>
  <si>
    <t>a1L1R00000J6DODUA3</t>
  </si>
  <si>
    <t>IDR-00911</t>
  </si>
  <si>
    <t>Other</t>
  </si>
  <si>
    <t>Autre</t>
  </si>
  <si>
    <t>Otros</t>
  </si>
  <si>
    <t>a1L1R00000J6DN3UAN</t>
  </si>
  <si>
    <t>IDR-00839</t>
  </si>
  <si>
    <t>a1L1R00000J6DN4UAN</t>
  </si>
  <si>
    <t>IDR-00840</t>
  </si>
  <si>
    <t>MCI-01072</t>
  </si>
  <si>
    <t>a1L1R00000J6DN5UAN</t>
  </si>
  <si>
    <t>IDR-00841</t>
  </si>
  <si>
    <t>HTS-5 Percentage of people newly diagnosed with HIV initiated on ART</t>
  </si>
  <si>
    <t>HTS-5 Pourcentage de personnes récemment diagnostiquées comme séropositives admises dans des services de prise en charge du VIH</t>
  </si>
  <si>
    <t>HTS-5 Porcentaje de personas con diagnóstico nuevo de VIH que han iniciado terapia antirretroviral</t>
  </si>
  <si>
    <t>a1L1R00000J6DN6UAN</t>
  </si>
  <si>
    <t>IDR-00842</t>
  </si>
  <si>
    <t>a1L1R00000J6DN7UAN</t>
  </si>
  <si>
    <t>IDR-00843</t>
  </si>
  <si>
    <t>a1L1R00000J6DPFUA3</t>
  </si>
  <si>
    <t>IDR-00975</t>
  </si>
  <si>
    <t>a1L1R00000J6DPGUA3</t>
  </si>
  <si>
    <t>IDR-00976</t>
  </si>
  <si>
    <t>a1L1R00000J6DPDUA3</t>
  </si>
  <si>
    <t>IDR-00973</t>
  </si>
  <si>
    <t>a1L1R00000J6DPEUA3</t>
  </si>
  <si>
    <t>IDR-00974</t>
  </si>
  <si>
    <t>MCI-01073</t>
  </si>
  <si>
    <t>a1L1R00000J6DLBUA3</t>
  </si>
  <si>
    <t>IDR-00723</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</si>
  <si>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</si>
  <si>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</si>
  <si>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</si>
  <si>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a1L1R00000J6DLCUA3</t>
  </si>
  <si>
    <t>IDR-00724</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</si>
  <si>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</si>
  <si>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</si>
  <si>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</si>
  <si>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</si>
  <si>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</si>
  <si>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</si>
  <si>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</si>
  <si>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</si>
  <si>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a1L1R00000J6DN8UAN</t>
  </si>
  <si>
    <t>IDR-00844</t>
  </si>
  <si>
    <t>a1L1R00000J6DN9UAN</t>
  </si>
  <si>
    <t>IDR-00845</t>
  </si>
  <si>
    <t>a1L1R00000J6DNAUA3</t>
  </si>
  <si>
    <t>IDR-00846</t>
  </si>
  <si>
    <t>a1L1R00000J6DNmUAN</t>
  </si>
  <si>
    <t>IDR-00884</t>
  </si>
  <si>
    <t>Male 15+</t>
  </si>
  <si>
    <t>Homme 15+</t>
  </si>
  <si>
    <t>Hombres 15+</t>
  </si>
  <si>
    <t>a1L1R00000J6DNnUAN</t>
  </si>
  <si>
    <t>IDR-00885</t>
  </si>
  <si>
    <t>Female 15+</t>
  </si>
  <si>
    <t>Femme 15+</t>
  </si>
  <si>
    <t>Mujeres 15+</t>
  </si>
  <si>
    <t>a1L1R00000J6DNoUAN</t>
  </si>
  <si>
    <t>IDR-00886</t>
  </si>
  <si>
    <t>a1L1R00000J6DNpUAN</t>
  </si>
  <si>
    <t>IDR-00887</t>
  </si>
  <si>
    <t>a1L1R00000J6DNqUAN</t>
  </si>
  <si>
    <t>IDR-00888</t>
  </si>
  <si>
    <t>a1L1R00000J6DNrUAN</t>
  </si>
  <si>
    <t>IDR-00889</t>
  </si>
  <si>
    <t>a1L1R00000J6DNsUAN</t>
  </si>
  <si>
    <t>IDR-00890</t>
  </si>
  <si>
    <t>Male 15-24</t>
  </si>
  <si>
    <t>Homme 15-24</t>
  </si>
  <si>
    <t>Hombres 15-24</t>
  </si>
  <si>
    <t>a1L1R00000J6DNtUAN</t>
  </si>
  <si>
    <t>IDR-00891</t>
  </si>
  <si>
    <t>Female 15-24</t>
  </si>
  <si>
    <t>Femme 15-24</t>
  </si>
  <si>
    <t>Mujeres 15-24</t>
  </si>
  <si>
    <t>a1L1R00000J6DPHUA3</t>
  </si>
  <si>
    <t>IDR-00977</t>
  </si>
  <si>
    <t>a1L1R00000J6DPIUA3</t>
  </si>
  <si>
    <t>IDR-00978</t>
  </si>
  <si>
    <t>a1L1R00000J6DPJUA3</t>
  </si>
  <si>
    <t>IDR-00979</t>
  </si>
  <si>
    <t>a1L1R00000J6DPKUA3</t>
  </si>
  <si>
    <t>IDR-00980</t>
  </si>
  <si>
    <t>MCI-01074</t>
  </si>
  <si>
    <t>a1L1R00000J6DO7UAN</t>
  </si>
  <si>
    <t>IDR-00905</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</si>
  <si>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</si>
  <si>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</si>
  <si>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</si>
  <si>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a1L1R00000J6DNBUA3</t>
  </si>
  <si>
    <t>IDR-00847</t>
  </si>
  <si>
    <t>a1L1R00000J6DNCUA3</t>
  </si>
  <si>
    <t>IDR-00848</t>
  </si>
  <si>
    <t>a1L1R00000J6DNDUA3</t>
  </si>
  <si>
    <t>IDR-00849</t>
  </si>
  <si>
    <t>a1L1R00000J6DNuUAN</t>
  </si>
  <si>
    <t>IDR-00892</t>
  </si>
  <si>
    <t>a1L1R00000J6DNvUAN</t>
  </si>
  <si>
    <t>IDR-00893</t>
  </si>
  <si>
    <t>a1L1R00000J6DNwUAN</t>
  </si>
  <si>
    <t>IDR-00894</t>
  </si>
  <si>
    <t>a1L1R00000J6DNxUAN</t>
  </si>
  <si>
    <t>IDR-00895</t>
  </si>
  <si>
    <t>a1L1R00000J6DNyUAN</t>
  </si>
  <si>
    <t>IDR-00896</t>
  </si>
  <si>
    <t>a1L1R00000J6DNzUAN</t>
  </si>
  <si>
    <t>IDR-00897</t>
  </si>
  <si>
    <t>a1L1R00000J6DO0UAN</t>
  </si>
  <si>
    <t>IDR-00898</t>
  </si>
  <si>
    <t>a1L1R00000J6DO1UAN</t>
  </si>
  <si>
    <t>IDR-00899</t>
  </si>
  <si>
    <t>a1L1R00000J6DPLUA3</t>
  </si>
  <si>
    <t>IDR-00981</t>
  </si>
  <si>
    <t>a1L1R00000J6DPMUA3</t>
  </si>
  <si>
    <t>IDR-00982</t>
  </si>
  <si>
    <t>a1L1R00000J6DPNUA3</t>
  </si>
  <si>
    <t>IDR-00983</t>
  </si>
  <si>
    <t>a1L1R00000J6DPOUA3</t>
  </si>
  <si>
    <t>IDR-00984</t>
  </si>
  <si>
    <t>MCI-01075</t>
  </si>
  <si>
    <t>a1L1R00000J6DO8UAN</t>
  </si>
  <si>
    <t>IDR-00906</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</si>
  <si>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</si>
  <si>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</si>
  <si>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</si>
  <si>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a1L1R00000J6DNEUA3</t>
  </si>
  <si>
    <t>IDR-00850</t>
  </si>
  <si>
    <t>a1L1R00000J6DNFUA3</t>
  </si>
  <si>
    <t>IDR-00851</t>
  </si>
  <si>
    <t>MCI-01076</t>
  </si>
  <si>
    <t>a1L1R00000J6DLDUA3</t>
  </si>
  <si>
    <t>IDR-00725</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</si>
  <si>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</si>
  <si>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</si>
  <si>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</si>
  <si>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a1L1R00000J6DLEUA3</t>
  </si>
  <si>
    <t>IDR-00726</t>
  </si>
  <si>
    <t>a1L1R00000J6DNGUA3</t>
  </si>
  <si>
    <t>IDR-00852</t>
  </si>
  <si>
    <t>a1L1R00000J6DNHUA3</t>
  </si>
  <si>
    <t>IDR-00853</t>
  </si>
  <si>
    <t>a1L1R00000J6DOXUA3</t>
  </si>
  <si>
    <t>IDR-00931</t>
  </si>
  <si>
    <t>a1L1R00000J6DOYUA3</t>
  </si>
  <si>
    <t>IDR-00932</t>
  </si>
  <si>
    <t>a1L1R00000J6DOZUA3</t>
  </si>
  <si>
    <t>IDR-00933</t>
  </si>
  <si>
    <t>Not documented</t>
  </si>
  <si>
    <t>non communiqué</t>
  </si>
  <si>
    <t>No documentado</t>
  </si>
  <si>
    <t>a1L1R00000J6DPYUA3</t>
  </si>
  <si>
    <t>IDR-00994</t>
  </si>
  <si>
    <t>TB case definition</t>
  </si>
  <si>
    <t>Bacteriologically confirmed</t>
  </si>
  <si>
    <t>Bactériologiquement confirmé</t>
  </si>
  <si>
    <t>Confirmado bacteriológicamente</t>
  </si>
  <si>
    <t>MCI-01077</t>
  </si>
  <si>
    <t>a1L1R00000J6DLFUA3</t>
  </si>
  <si>
    <t>IDR-00727</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</si>
  <si>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</si>
  <si>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</si>
  <si>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</si>
  <si>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a1L1R00000J6DLGUA3</t>
  </si>
  <si>
    <t>IDR-00728</t>
  </si>
  <si>
    <t>a1L1R00000J6DNIUA3</t>
  </si>
  <si>
    <t>IDR-00854</t>
  </si>
  <si>
    <t>a1L1R00000J6DNJUA3</t>
  </si>
  <si>
    <t>IDR-00855</t>
  </si>
  <si>
    <t>a1L1R00000J6DOaUAN</t>
  </si>
  <si>
    <t>IDR-00934</t>
  </si>
  <si>
    <t>a1L1R00000J6DObUAN</t>
  </si>
  <si>
    <t>IDR-00935</t>
  </si>
  <si>
    <t>a1L1R00000J6DOcUAN</t>
  </si>
  <si>
    <t>IDR-00936</t>
  </si>
  <si>
    <t>MCI-01079</t>
  </si>
  <si>
    <t>a1L1R00000J6DLHUA3</t>
  </si>
  <si>
    <t>IDR-00729</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</si>
  <si>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</si>
  <si>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</si>
  <si>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</si>
  <si>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a1L1R00000J6DLIUA3</t>
  </si>
  <si>
    <t>IDR-00730</t>
  </si>
  <si>
    <t>a1L1R00000J6DLJUA3</t>
  </si>
  <si>
    <t>IDR-00731</t>
  </si>
  <si>
    <t>MCI-01081</t>
  </si>
  <si>
    <t>a1L1R00000J6DPPUA3</t>
  </si>
  <si>
    <t>IDR-00985</t>
  </si>
  <si>
    <t>Migrants/ refugees/ IDPs</t>
  </si>
  <si>
    <t>Migrants / réfugiés / personnes déplacées</t>
  </si>
  <si>
    <t>Migrantes/refugiados/personas internamente desplazadas</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</si>
  <si>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</si>
  <si>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</si>
  <si>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</si>
  <si>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a1L1R00000J6DPQUA3</t>
  </si>
  <si>
    <t>IDR-00986</t>
  </si>
  <si>
    <t>Other population group</t>
  </si>
  <si>
    <t>Autre groupe à risque cible - à préciser</t>
  </si>
  <si>
    <t>Otro grupo de riesgo objetivo [especificar]</t>
  </si>
  <si>
    <t>MCI-01086</t>
  </si>
  <si>
    <t>a1L1R00000J6DLWUA3</t>
  </si>
  <si>
    <t>IDR-00744</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</si>
  <si>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</si>
  <si>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</si>
  <si>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</si>
  <si>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a1L1R00000J6DLXUA3</t>
  </si>
  <si>
    <t>IDR-00745</t>
  </si>
  <si>
    <t>a1L1R00000J6DNSUA3</t>
  </si>
  <si>
    <t>IDR-00864</t>
  </si>
  <si>
    <t>a1L1R00000J6DNTUA3</t>
  </si>
  <si>
    <t>IDR-00865</t>
  </si>
  <si>
    <t>MCI-01087</t>
  </si>
  <si>
    <t>a1L1R00000J6DLYUA3</t>
  </si>
  <si>
    <t>IDR-00746</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</si>
  <si>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</si>
  <si>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</si>
  <si>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</si>
  <si>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a1L1R00000J6DLZUA3</t>
  </si>
  <si>
    <t>IDR-00747</t>
  </si>
  <si>
    <t>a1L1R00000J6DNUUA3</t>
  </si>
  <si>
    <t>IDR-00866</t>
  </si>
  <si>
    <t>a1L1R00000J6DNVUA3</t>
  </si>
  <si>
    <t>IDR-00867</t>
  </si>
  <si>
    <t>a1L1R00000J6DPaUAN</t>
  </si>
  <si>
    <t>IDR-00996</t>
  </si>
  <si>
    <t>TB regimen</t>
  </si>
  <si>
    <t>Schéma thérapeutique</t>
  </si>
  <si>
    <t>Tipo de tratamiento</t>
  </si>
  <si>
    <t>New TB drugs</t>
  </si>
  <si>
    <t>Nouveau traitement TB</t>
  </si>
  <si>
    <t>Nuevas drogas anti tuberculosis</t>
  </si>
  <si>
    <t>a1L1R00000J6DPbUAN</t>
  </si>
  <si>
    <t>IDR-00997</t>
  </si>
  <si>
    <t>Short regimens</t>
  </si>
  <si>
    <t>Régime court</t>
  </si>
  <si>
    <t>Regimenes acortados</t>
  </si>
  <si>
    <t>MCI-01093</t>
  </si>
  <si>
    <t>a1L1R00000J6DLaUAN</t>
  </si>
  <si>
    <t>IDR-00748</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</si>
  <si>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</si>
  <si>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</si>
  <si>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</si>
  <si>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a1L1R00000J6DLbUAN</t>
  </si>
  <si>
    <t>IDR-00749</t>
  </si>
  <si>
    <t>a1L1R00000J6DNWUA3</t>
  </si>
  <si>
    <t>IDR-00868</t>
  </si>
  <si>
    <t>a1L1R00000J6DNXUA3</t>
  </si>
  <si>
    <t>IDR-00869</t>
  </si>
  <si>
    <t>a1L1R00000J6DOeUAN</t>
  </si>
  <si>
    <t>IDR-00938</t>
  </si>
  <si>
    <t>a1L1R00000J6DPZUA3</t>
  </si>
  <si>
    <t>IDR-00995</t>
  </si>
  <si>
    <t>XDR TB</t>
  </si>
  <si>
    <t>TB-XDR</t>
  </si>
  <si>
    <t>MCI-01094</t>
  </si>
  <si>
    <t>a1L1R00000J6DLNUA3</t>
  </si>
  <si>
    <t>IDR-00735</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</si>
  <si>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</si>
  <si>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</si>
  <si>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</si>
  <si>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a1L1R00000J6DLOUA3</t>
  </si>
  <si>
    <t>IDR-00736</t>
  </si>
  <si>
    <t>a1L1R00000J6DLPUA3</t>
  </si>
  <si>
    <t>IDR-00737</t>
  </si>
  <si>
    <t>a1L1R00000J6DNMUA3</t>
  </si>
  <si>
    <t>IDR-00858</t>
  </si>
  <si>
    <t>a1L1R00000J6DNNUA3</t>
  </si>
  <si>
    <t>IDR-00859</t>
  </si>
  <si>
    <t>a1L1R00000J6DOdUAN</t>
  </si>
  <si>
    <t>IDR-00937</t>
  </si>
  <si>
    <t>MCI-01095</t>
  </si>
  <si>
    <t>a1L1R00000J6DLQUA3</t>
  </si>
  <si>
    <t>IDR-00738</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</si>
  <si>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</si>
  <si>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</si>
  <si>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</si>
  <si>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a1L1R00000J6DLRUA3</t>
  </si>
  <si>
    <t>IDR-00739</t>
  </si>
  <si>
    <t>a1L1R00000J6DLSUA3</t>
  </si>
  <si>
    <t>IDR-00740</t>
  </si>
  <si>
    <t>a1L1R00000J6DNOUA3</t>
  </si>
  <si>
    <t>IDR-00860</t>
  </si>
  <si>
    <t>a1L1R00000J6DNPUA3</t>
  </si>
  <si>
    <t>IDR-00861</t>
  </si>
  <si>
    <t>MCI-01097</t>
  </si>
  <si>
    <t>a1L1R00000J6DLTUA3</t>
  </si>
  <si>
    <t>IDR-00741</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</si>
  <si>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</si>
  <si>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</si>
  <si>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</si>
  <si>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a1L1R00000J6DLUUA3</t>
  </si>
  <si>
    <t>IDR-00742</t>
  </si>
  <si>
    <t>a1L1R00000J6DLVUA3</t>
  </si>
  <si>
    <t>IDR-00743</t>
  </si>
  <si>
    <t>a1L1R00000J6DNQUA3</t>
  </si>
  <si>
    <t>IDR-00862</t>
  </si>
  <si>
    <t>a1L1R00000J6DNRUA3</t>
  </si>
  <si>
    <t>IDR-00863</t>
  </si>
  <si>
    <t>a1L1R00000J6DPcUAN</t>
  </si>
  <si>
    <t>IDR-00998</t>
  </si>
  <si>
    <t>TPT regimen</t>
  </si>
  <si>
    <t>Régime TPT</t>
  </si>
  <si>
    <t>Régimen de TPT</t>
  </si>
  <si>
    <t>3HP</t>
  </si>
  <si>
    <t>a1L1R00000J6DPdUAN</t>
  </si>
  <si>
    <t>IDR-00999</t>
  </si>
  <si>
    <t>1HP</t>
  </si>
  <si>
    <t>a1L1R00000J6DPeUAN</t>
  </si>
  <si>
    <t>IDR-01000</t>
  </si>
  <si>
    <t>RIF</t>
  </si>
  <si>
    <t>a1L1R00000J6DPfUAN</t>
  </si>
  <si>
    <t>IDR-01001</t>
  </si>
  <si>
    <t>3RH</t>
  </si>
  <si>
    <t>a1L1R00000J6DPgUAN</t>
  </si>
  <si>
    <t>IDR-01002</t>
  </si>
  <si>
    <t>INH</t>
  </si>
  <si>
    <t>MCI-01098</t>
  </si>
  <si>
    <t>a1L1R00000J6DPRUA3</t>
  </si>
  <si>
    <t>IDR-00987</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</si>
  <si>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</si>
  <si>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</si>
  <si>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</si>
  <si>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</si>
  <si>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</si>
  <si>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a1L1R00000J6DPTUA3</t>
  </si>
  <si>
    <t>IDR-00989</t>
  </si>
  <si>
    <t>MCI-01099</t>
  </si>
  <si>
    <t>a1L1R00000J6DPUUA3</t>
  </si>
  <si>
    <t>IDR-00990</t>
  </si>
  <si>
    <t>Pregnant women</t>
  </si>
  <si>
    <t>Femmes enceintes</t>
  </si>
  <si>
    <t>Mujeres embarazadas</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</si>
  <si>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</si>
  <si>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</si>
  <si>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</si>
  <si>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a1L1R00000J6DPVUA3</t>
  </si>
  <si>
    <t>IDR-00991</t>
  </si>
  <si>
    <t>Children 0-5</t>
  </si>
  <si>
    <t>Enfants &lt;5 ans</t>
  </si>
  <si>
    <t>Niños menores de 5 años</t>
  </si>
  <si>
    <t>a1L1R00000J6DPWUA3</t>
  </si>
  <si>
    <t>IDR-00992</t>
  </si>
  <si>
    <t>School children</t>
  </si>
  <si>
    <t>Enfants scolarisés</t>
  </si>
  <si>
    <t>Niños escolar</t>
  </si>
  <si>
    <t>a1L1R00000J6DPXUA3</t>
  </si>
  <si>
    <t>IDR-00993</t>
  </si>
  <si>
    <t>MCI-01102</t>
  </si>
  <si>
    <t>a1L1R00000J6DLcUAN</t>
  </si>
  <si>
    <t>IDR-00750</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</si>
  <si>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</si>
  <si>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</si>
  <si>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</si>
  <si>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a1L1R00000J6DLdUAN</t>
  </si>
  <si>
    <t>IDR-00751</t>
  </si>
  <si>
    <t>a1L1R00000J6DPuUAN</t>
  </si>
  <si>
    <t>IDR-01016</t>
  </si>
  <si>
    <t>a1L1R00000J6DPvUAN</t>
  </si>
  <si>
    <t>IDR-01017</t>
  </si>
  <si>
    <t>MCI-01103</t>
  </si>
  <si>
    <t>a1L1R00000J6DLeUAN</t>
  </si>
  <si>
    <t>IDR-00752</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</si>
  <si>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</si>
  <si>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</si>
  <si>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</si>
  <si>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a1L1R00000J6DLfUAN</t>
  </si>
  <si>
    <t>IDR-00753</t>
  </si>
  <si>
    <t>a1L1R00000J6DPwUAN</t>
  </si>
  <si>
    <t>IDR-01018</t>
  </si>
  <si>
    <t>a1L1R00000J6DPxUAN</t>
  </si>
  <si>
    <t>IDR-01019</t>
  </si>
  <si>
    <t>MCI-01104</t>
  </si>
  <si>
    <t>a1L1R00000J6DLhUAN</t>
  </si>
  <si>
    <t>IDR-00755</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</si>
  <si>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</si>
  <si>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</si>
  <si>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</si>
  <si>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a1L1R00000J6DLgUAN</t>
  </si>
  <si>
    <t>IDR-00754</t>
  </si>
  <si>
    <t>a1L1R00000J6DPyUAN</t>
  </si>
  <si>
    <t>IDR-01020</t>
  </si>
  <si>
    <t>a1L1R00000J6DPzUAN</t>
  </si>
  <si>
    <t>IDR-01021</t>
  </si>
  <si>
    <t>MCI-01105</t>
  </si>
  <si>
    <t>a1L1R00000J6DLiUAN</t>
  </si>
  <si>
    <t>IDR-00756</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</si>
  <si>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</si>
  <si>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</si>
  <si>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</si>
  <si>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a1L1R00000J6DLjUAN</t>
  </si>
  <si>
    <t>IDR-00757</t>
  </si>
  <si>
    <t>MCI-01106</t>
  </si>
  <si>
    <t>a1L1R00000J6DLkUAN</t>
  </si>
  <si>
    <t>IDR-00758</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</si>
  <si>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</si>
  <si>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</si>
  <si>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</si>
  <si>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a1L1R00000J6DLlUAN</t>
  </si>
  <si>
    <t>IDR-00759</t>
  </si>
  <si>
    <t>MCI-01107</t>
  </si>
  <si>
    <t>a1L1R00000J6DLmUAN</t>
  </si>
  <si>
    <t>IDR-00760</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</si>
  <si>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</si>
  <si>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</si>
  <si>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</si>
  <si>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a1L1R00000J6DLnUAN</t>
  </si>
  <si>
    <t>IDR-00761</t>
  </si>
  <si>
    <t>MCI-01108</t>
  </si>
  <si>
    <t>a1L1R00000J6DLoUAN</t>
  </si>
  <si>
    <t>IDR-00762</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</si>
  <si>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</si>
  <si>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</si>
  <si>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</si>
  <si>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a1L1R00000J6DLpUAN</t>
  </si>
  <si>
    <t>IDR-00763</t>
  </si>
  <si>
    <t>MCI-01109</t>
  </si>
  <si>
    <t>a1L1R00000J6DLqUAN</t>
  </si>
  <si>
    <t>IDR-00764</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</si>
  <si>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</si>
  <si>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</si>
  <si>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</si>
  <si>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a1L1R00000J6DLrUAN</t>
  </si>
  <si>
    <t>IDR-00765</t>
  </si>
  <si>
    <t>MCI-01110</t>
  </si>
  <si>
    <t>a1L1R00000J6DLsUAN</t>
  </si>
  <si>
    <t>IDR-00766</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</si>
  <si>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</si>
  <si>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</si>
  <si>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</si>
  <si>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a1L1R00000J6DLtUAN</t>
  </si>
  <si>
    <t>IDR-00767</t>
  </si>
  <si>
    <t>MCI-01114</t>
  </si>
  <si>
    <t>a1L1R00000J6DNYUA3</t>
  </si>
  <si>
    <t>IDR-00870</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</si>
  <si>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</si>
  <si>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</si>
  <si>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</si>
  <si>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a1L1R00000J6DNZUA3</t>
  </si>
  <si>
    <t>IDR-00871</t>
  </si>
  <si>
    <t>MCI-01120</t>
  </si>
  <si>
    <t>a1L1R00000J6DPkUAN</t>
  </si>
  <si>
    <t>IDR-01006</t>
  </si>
  <si>
    <t>Type of report</t>
  </si>
  <si>
    <t>Type de rapport</t>
  </si>
  <si>
    <t>Tipo de informe</t>
  </si>
  <si>
    <t>HIV reports</t>
  </si>
  <si>
    <t>Rapports sur le VIH</t>
  </si>
  <si>
    <t>Informes de VIH</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</si>
  <si>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</si>
  <si>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</si>
  <si>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</si>
  <si>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a1L1R00000J6DPlUAN</t>
  </si>
  <si>
    <t>IDR-01007</t>
  </si>
  <si>
    <t>TB reports</t>
  </si>
  <si>
    <t>Rapports sur la tuberculose</t>
  </si>
  <si>
    <t>Informes de tuberculosis</t>
  </si>
  <si>
    <t>a1L1R00000J6DPnUAN</t>
  </si>
  <si>
    <t>IDR-01009</t>
  </si>
  <si>
    <t>Integrated reports</t>
  </si>
  <si>
    <t>Rapports intégrés</t>
  </si>
  <si>
    <t>Informes integrados</t>
  </si>
  <si>
    <t>a1L1R00000J6DPmUAN</t>
  </si>
  <si>
    <t>IDR-01008</t>
  </si>
  <si>
    <t>Malaria reports</t>
  </si>
  <si>
    <t>Rapports sur le paludisme</t>
  </si>
  <si>
    <t>Informes de malaria</t>
  </si>
  <si>
    <t>MCI-01121</t>
  </si>
  <si>
    <t>a1L1R00000J6DPoUAN</t>
  </si>
  <si>
    <t>IDR-01010</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</si>
  <si>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</si>
  <si>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</si>
  <si>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</si>
  <si>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a1L1R00000J6DPpUAN</t>
  </si>
  <si>
    <t>IDR-01011</t>
  </si>
  <si>
    <t>a1L1R00000J6DPqUAN</t>
  </si>
  <si>
    <t>IDR-01012</t>
  </si>
  <si>
    <t>a1L1R00000J6DPrUAN</t>
  </si>
  <si>
    <t>IDR-01013</t>
  </si>
  <si>
    <t>MCI-01125</t>
  </si>
  <si>
    <t>a1L1R00000J6DOqUAN</t>
  </si>
  <si>
    <t>IDR-00950</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</si>
  <si>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</si>
  <si>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</si>
  <si>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</si>
  <si>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a1L1R00000J6DOrUAN</t>
  </si>
  <si>
    <t>IDR-00951</t>
  </si>
  <si>
    <t>a1L1R00000J6DOsUAN</t>
  </si>
  <si>
    <t>IDR-00952</t>
  </si>
  <si>
    <t>a1L1R00000J6DOtUAN</t>
  </si>
  <si>
    <t>IDR-00953</t>
  </si>
  <si>
    <t>a1L1R00000J6DOuUAN</t>
  </si>
  <si>
    <t>IDR-00954</t>
  </si>
  <si>
    <t>MCI-01126</t>
  </si>
  <si>
    <t>a1L1R00000J6DOvUAN</t>
  </si>
  <si>
    <t>IDR-00955</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</si>
  <si>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</si>
  <si>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</si>
  <si>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</si>
  <si>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a1L1R00000J6DOwUAN</t>
  </si>
  <si>
    <t>IDR-00956</t>
  </si>
  <si>
    <t>a1L1R00000J6DOxUAN</t>
  </si>
  <si>
    <t>IDR-00957</t>
  </si>
  <si>
    <t>a1L1R00000J6DOyUAN</t>
  </si>
  <si>
    <t>IDR-00958</t>
  </si>
  <si>
    <t>a1L1R00000J6DOzUAN</t>
  </si>
  <si>
    <t>IDR-00959</t>
  </si>
  <si>
    <t>MCI-01131</t>
  </si>
  <si>
    <t>a1L1R00000J6DOfUAN</t>
  </si>
  <si>
    <t>IDR-00939</t>
  </si>
  <si>
    <t>iCCM condition</t>
  </si>
  <si>
    <t>Condition PEC-C</t>
  </si>
  <si>
    <t>Condición GICC</t>
  </si>
  <si>
    <t>Malaria</t>
  </si>
  <si>
    <t>Paludisme</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</si>
  <si>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</si>
  <si>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</si>
  <si>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</si>
  <si>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a1L1R00000J6DOgUAN</t>
  </si>
  <si>
    <t>IDR-00940</t>
  </si>
  <si>
    <t>Pneumonia</t>
  </si>
  <si>
    <t>Pneumonie</t>
  </si>
  <si>
    <t>Neumonía</t>
  </si>
  <si>
    <t>a1L1R00000J6DOhUAN</t>
  </si>
  <si>
    <t>IDR-00941</t>
  </si>
  <si>
    <t>Diarrhoea</t>
  </si>
  <si>
    <t>Diarrhée</t>
  </si>
  <si>
    <t>Diarrea</t>
  </si>
  <si>
    <t>a1L1R00000J6DOiUAN</t>
  </si>
  <si>
    <t>IDR-00942</t>
  </si>
  <si>
    <t>Malnutrition</t>
  </si>
  <si>
    <t>Malnutrición</t>
  </si>
  <si>
    <t>MCI-01230</t>
  </si>
  <si>
    <t>a1L1R00000J6DLKUA3</t>
  </si>
  <si>
    <t>IDR-00732</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</si>
  <si>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</si>
  <si>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</si>
  <si>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</si>
  <si>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a1L1R00000J6DLLUA3</t>
  </si>
  <si>
    <t>IDR-00733</t>
  </si>
  <si>
    <t>a1L1R00000J6DLMUA3</t>
  </si>
  <si>
    <t>IDR-00734</t>
  </si>
  <si>
    <t>a1L1R00000J6DNKUA3</t>
  </si>
  <si>
    <t>IDR-00856</t>
  </si>
  <si>
    <t>a1L1R00000J6DNLUA3</t>
  </si>
  <si>
    <t>IDR-00857</t>
  </si>
  <si>
    <t>a1J1R000008lToKUAU</t>
  </si>
  <si>
    <t>a3z1R0000007SGD</t>
  </si>
  <si>
    <t>2020-2022</t>
  </si>
  <si>
    <t>Gender | Age,Gender,Age</t>
  </si>
  <si>
    <t>Sexe,Age</t>
  </si>
  <si>
    <t>Género,Edad</t>
  </si>
  <si>
    <t>a1J1R000008lToLUAU</t>
  </si>
  <si>
    <t>a3z1R0000007SGE</t>
  </si>
  <si>
    <t>a1J1R000008lToMUAU</t>
  </si>
  <si>
    <t>a3z1R0000007SGF</t>
  </si>
  <si>
    <t>Age,Gender,Gender | Age</t>
  </si>
  <si>
    <t>Age,Sexe</t>
  </si>
  <si>
    <t>Edad,Género</t>
  </si>
  <si>
    <t>IOR-00082</t>
  </si>
  <si>
    <t>a1J1R000008lToNUAU</t>
  </si>
  <si>
    <t>a3z1R0000007SGG</t>
  </si>
  <si>
    <t>HIV I-6 Estimated percentage of children newly infected with HIV from mother-to-child transmission among women living with HIV delivering in the past 12 months</t>
  </si>
  <si>
    <t>HIV I-6 Pourcentage estimé d’enfants ayant été nouvellement infectés par le VIH dans le cadre de la transmission de la mère à l’enfant chez les femmes séropositives ayant accouché au cours des 12 derniers mois</t>
  </si>
  <si>
    <t>HIV I-6 Porcentaje estimado de niños que contraen el VIH mediante transmisión maternoinfantil entre el número de mujeres que viven con el VIH que han dado a luz en los 12 meses anteriores</t>
  </si>
  <si>
    <t>a1J1R000008lToOUAU</t>
  </si>
  <si>
    <t>a3z1R0000007SGH</t>
  </si>
  <si>
    <t>a1J1R000008lToPUAU</t>
  </si>
  <si>
    <t>a3z1R0000007SGI</t>
  </si>
  <si>
    <t>a1J1R000008lToQUAU</t>
  </si>
  <si>
    <t>a3z1R0000007SGJ</t>
  </si>
  <si>
    <t>Gender,Age</t>
  </si>
  <si>
    <t>a1J1R000008lToRUAU</t>
  </si>
  <si>
    <t>a3z1R0000007SGK</t>
  </si>
  <si>
    <t>IOR-00087</t>
  </si>
  <si>
    <t>a1J1R000008lToSUAU</t>
  </si>
  <si>
    <t>a3z1R0000007SGL</t>
  </si>
  <si>
    <t>HIV I-12 Percentage of other vulnerable populations (specify) who are living with HIV</t>
  </si>
  <si>
    <t>HIV I-12 Pourcentage de personnes appartenant à d'autres populations vulnérables (à préciser) vivant avec le VIH</t>
  </si>
  <si>
    <t>HIV I-12 Porcentaje de otras poblaciones vulnerables (especifíquense) que viven con el VIH</t>
  </si>
  <si>
    <t>IOR-00091</t>
  </si>
  <si>
    <t>a1J1R000008lToWUAU</t>
  </si>
  <si>
    <t>a3z1R0000007SGP</t>
  </si>
  <si>
    <t>TB/HIV I-1 TB/HIV mortality rate per 100,000 population</t>
  </si>
  <si>
    <t>TB/HIV I-1 Taux de mortalité par tuberculose/VIH (pour 100 000 habitants)</t>
  </si>
  <si>
    <t>TB/HIV I-1 Tasa de mortalidad de la TB y el VIH por 100.000 habitantes</t>
  </si>
  <si>
    <t>a1J1R000008lTofUAE</t>
  </si>
  <si>
    <t>a3z1R0000007SGZ</t>
  </si>
  <si>
    <t>a1J1R000008lTogUAE</t>
  </si>
  <si>
    <t>a3z1R0000007SGa</t>
  </si>
  <si>
    <t>a1J1R000008lTohUAE</t>
  </si>
  <si>
    <t>a3z1R0000007SGb</t>
  </si>
  <si>
    <t>a1J1R000008lToiUAE</t>
  </si>
  <si>
    <t>a3z1R0000007SGc</t>
  </si>
  <si>
    <t>a1J1R000008lTojUAE</t>
  </si>
  <si>
    <t>a3z1R0000007SGd</t>
  </si>
  <si>
    <t>a1J1R000008lTokUAE</t>
  </si>
  <si>
    <t>a3z1R0000007SGe</t>
  </si>
  <si>
    <t>IOR-00106</t>
  </si>
  <si>
    <t>a1J1R000008lTolUAE</t>
  </si>
  <si>
    <t>a3z1R0000007SGf</t>
  </si>
  <si>
    <t>HIV O-7 Percentage of other vulnerable populations who report the use of a condom at last sexual intercourse</t>
  </si>
  <si>
    <t>HIV O-7 Pourcentage de personnes appartenant à d'autres populations vulnérables qui indiquent avoir utilisé un préservatif lors de leur dernier rapport sexuel</t>
  </si>
  <si>
    <t>HIV O-7 Porcentaje de otras poblaciones vulnerables que afirman haber utilizado preservativo en su última relación sexual</t>
  </si>
  <si>
    <t>a1J1R000008lTomUAE</t>
  </si>
  <si>
    <t>a3z1R0000007SGg</t>
  </si>
  <si>
    <t>a1J1R000008lTonUAE</t>
  </si>
  <si>
    <t>a3z1R0000007SGh</t>
  </si>
  <si>
    <t>a1J1R000008lTooUAE</t>
  </si>
  <si>
    <t>a3z1R0000007SGi</t>
  </si>
  <si>
    <t>IOR-00110</t>
  </si>
  <si>
    <t>a1J1R000008lTopUAE</t>
  </si>
  <si>
    <t>a3z1R0000007SGj</t>
  </si>
  <si>
    <t>HIV O-14 Percentage of women and men aged 15–49 who report discriminatory attitudes towards people living with HIV</t>
  </si>
  <si>
    <t>HIV O-14 Pourcentage de femmes et d’hommes de 15 à 49 ans qui font état d’attitudes discriminatoires à l’encontre des personnes vivant avec le VIH</t>
  </si>
  <si>
    <t>HIV O-14 Porcentaje de mujeres y hombres de 15 a 49 años que informan de actitudes discriminatorias hacia las personas que viven con el VIH</t>
  </si>
  <si>
    <t>IOR-00111</t>
  </si>
  <si>
    <t>a1J1R000008lToqUAE</t>
  </si>
  <si>
    <t>a3z1R0000007SGk</t>
  </si>
  <si>
    <t>HIV O-15 Percentage of people living with HIV who report experiences of HIV-related discrimination in health-care settings</t>
  </si>
  <si>
    <t>HIV O-15 Pourcentage de personnes vivant avec le VIH déclarant avoir été victimes de discrimination liée au VIH dans les services de soins de santé</t>
  </si>
  <si>
    <t>HIV O-15 Porcentaje de personas que viven con el VIH que afirman haber experimentado discriminación relacionada con el VIH en el ámbito de servicios de salud</t>
  </si>
  <si>
    <t>a1J1R000008lTorUAE</t>
  </si>
  <si>
    <t>a3z1R0000007SGl</t>
  </si>
  <si>
    <t>a1J1R000008lTosUAE</t>
  </si>
  <si>
    <t>a3z1R0000007SGm</t>
  </si>
  <si>
    <t>a1J1R000008lTotUAE</t>
  </si>
  <si>
    <t>a3z1R0000007SGn</t>
  </si>
  <si>
    <t>a1J1R000008lTouUAE</t>
  </si>
  <si>
    <t>a3z1R0000007SGo</t>
  </si>
  <si>
    <t>a1J1R000008lTovUAE</t>
  </si>
  <si>
    <t>a3z1R0000007SGp</t>
  </si>
  <si>
    <t>Target / Risk population group,Gender,Age</t>
  </si>
  <si>
    <t>Groupe à risque cible,Sexe,Age</t>
  </si>
  <si>
    <t>Grupo de riesgo objetivo,Género,Edad</t>
  </si>
  <si>
    <t>IOR-00117</t>
  </si>
  <si>
    <t>a1J1R000008lTowUAE</t>
  </si>
  <si>
    <t>a3z1R0000007SGq</t>
  </si>
  <si>
    <t>HIV O-18 Percentage of women aged 15-24 who had 2+ partners in the past 12 months</t>
  </si>
  <si>
    <t>HIV O-18 Pourcentage de femmes entre 15 et 24 ans qui ont eu plus de 2 partenaires au cours des 12 derniers mois</t>
  </si>
  <si>
    <t>HIV O-18 Porcentajes de mujeres de 15 a 24 años de edad que han tenido dos o más parejas en los últimos 12 meses</t>
  </si>
  <si>
    <t>IOR-00118</t>
  </si>
  <si>
    <t>a1J1R000008lToxUAE</t>
  </si>
  <si>
    <t>a3z1R0000007SGr</t>
  </si>
  <si>
    <t>HIV O-19 Percentage of women aged 15-19 who have had a live birth or are currently pregnant</t>
  </si>
  <si>
    <t>HIV O-19 Pourcentage de femmes entre 15 et 19 ans enceintes ou ayant donné naissance à un enfant vivant</t>
  </si>
  <si>
    <t>HIV O-19 Porcentaje de mujeres de 15 a 19 años de edad que han tenido un niño nacido vivo o que están embarazadas actualmente</t>
  </si>
  <si>
    <t>IOR-00119</t>
  </si>
  <si>
    <t>a1J1R000008lToyUAE</t>
  </si>
  <si>
    <t>a3z1R0000007SGs</t>
  </si>
  <si>
    <t>HIV O-20 Percentage of females aged 15-24 who dropped out of school in the last year</t>
  </si>
  <si>
    <t>HIV O-20 Pourcentage de femmes entre 15 et 24 ans ayant abandonné l’école durant la dernière année</t>
  </si>
  <si>
    <t>HIV O-20 Porcentaje de mujeres de 15 a 24 años de edad que abandonaron los estudios en el último año</t>
  </si>
  <si>
    <t>a1J1R000008lTozUAE</t>
  </si>
  <si>
    <t>a3z1R0000007SGt</t>
  </si>
  <si>
    <t>Age,Treatment outcome,Gender</t>
  </si>
  <si>
    <t>Age,Résultat du traitement,Sexe</t>
  </si>
  <si>
    <t>Edad,Resultados de tratamiento,Género</t>
  </si>
  <si>
    <t>IOR-00137</t>
  </si>
  <si>
    <t>a1J1R000008lTpGUAU</t>
  </si>
  <si>
    <t>a3z1R0000007SHA</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</si>
  <si>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</si>
  <si>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</si>
  <si>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</si>
  <si>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a3z1R0000007SHS</t>
  </si>
  <si>
    <t>IOR-00138</t>
  </si>
  <si>
    <t>a1J1R000008lTpHUAU</t>
  </si>
  <si>
    <t>a3z1R0000007SHB</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</si>
  <si>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</si>
  <si>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</si>
  <si>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</si>
  <si>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a3z1R0000007SHT</t>
  </si>
  <si>
    <t>IOR-00139</t>
  </si>
  <si>
    <t>a1J1R000008lTpIUAU</t>
  </si>
  <si>
    <t>a3z1R0000007SHC</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</si>
  <si>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</si>
  <si>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</si>
  <si>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</si>
  <si>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a3z1R0000007SHU</t>
  </si>
  <si>
    <t>a1J1R000008lTpJUAU</t>
  </si>
  <si>
    <t>a3z1R0000007SHD</t>
  </si>
  <si>
    <t>a3z1R0000007SHV</t>
  </si>
  <si>
    <t>a1J1R000008lTpKUAU</t>
  </si>
  <si>
    <t>a3z1R0000007SHE</t>
  </si>
  <si>
    <t>a3z1R0000007SHW</t>
  </si>
  <si>
    <t>IOR-00142</t>
  </si>
  <si>
    <t>a1J1R000008lTpLUAU</t>
  </si>
  <si>
    <t>a3z1R0000007SHF</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</si>
  <si>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</si>
  <si>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</si>
  <si>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</si>
  <si>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a3z1R0000007SHX</t>
  </si>
  <si>
    <t>Differentiated HIV Testing Services</t>
  </si>
  <si>
    <t>MCI-00650</t>
  </si>
  <si>
    <t>a3z1R0000007SFOQA2</t>
  </si>
  <si>
    <t>a1O1R000006c5MbUAI</t>
  </si>
  <si>
    <t>a3z1R0000007SFO</t>
  </si>
  <si>
    <t>Services de dépistage différencié du VIH</t>
  </si>
  <si>
    <t>Servicios diferenciados de diagnóstico del VIH</t>
  </si>
  <si>
    <t>Payment for results</t>
  </si>
  <si>
    <t>MCI-00669</t>
  </si>
  <si>
    <t>a3z1R0000007SFiQAM</t>
  </si>
  <si>
    <t>a1O1R000006c5MuUAI</t>
  </si>
  <si>
    <t>a3z1R0000007SFi</t>
  </si>
  <si>
    <t>Financement basé sur les résultats</t>
  </si>
  <si>
    <t>Financiación basada en los resultados</t>
  </si>
  <si>
    <t>a3z1R0000007SGCQA2</t>
  </si>
  <si>
    <t>a3z1R0000007SGC</t>
  </si>
  <si>
    <t>PMTCT</t>
  </si>
  <si>
    <t>MCI-00649</t>
  </si>
  <si>
    <t>a3z1R0000007SFNQA2</t>
  </si>
  <si>
    <t>a1O1R000006c5MaUAI</t>
  </si>
  <si>
    <t>a3z1R0000007SFN</t>
  </si>
  <si>
    <t>PTME</t>
  </si>
  <si>
    <t>PTMI</t>
  </si>
  <si>
    <t>Prevention</t>
  </si>
  <si>
    <t>MCI-00648</t>
  </si>
  <si>
    <t>a3z1R0000007SFMQA2</t>
  </si>
  <si>
    <t>a1O1R000006c5MZUAY</t>
  </si>
  <si>
    <t>a3z1R0000007SFM</t>
  </si>
  <si>
    <t>Prévention</t>
  </si>
  <si>
    <t>Prevención</t>
  </si>
  <si>
    <t>Program management</t>
  </si>
  <si>
    <t>MCI-00660</t>
  </si>
  <si>
    <t>a3z1R0000007SFZQA2</t>
  </si>
  <si>
    <t>a1O1R000006c5MlUAI</t>
  </si>
  <si>
    <t>a3z1R0000007SFZ</t>
  </si>
  <si>
    <t>Gestion de programme</t>
  </si>
  <si>
    <t>Gestión de programas</t>
  </si>
  <si>
    <t>a3z1R0000007SG3QAM</t>
  </si>
  <si>
    <t>a3z1R0000007SG3</t>
  </si>
  <si>
    <t>Reducing human rights-related barriers to HIV/TB services</t>
  </si>
  <si>
    <t>MCI-00652</t>
  </si>
  <si>
    <t>a3z1R0000007SFQQA2</t>
  </si>
  <si>
    <t>a1O1R000006c5MdUAI</t>
  </si>
  <si>
    <t>a3z1R0000007SFQ</t>
  </si>
  <si>
    <t>Réduction des obstacles liés aux droits humains qui entravent l’accès aux services de lutte contre le VIH/la tuberculose</t>
  </si>
  <si>
    <t>Reducción de las barreras relacionadas con los derechos humanos para acceder a los servicios del VIH y la tuberculosis</t>
  </si>
  <si>
    <t>RSSH: Community systems strengthening</t>
  </si>
  <si>
    <t>MCI-00667</t>
  </si>
  <si>
    <t>a3z1R0000007SFgQAM</t>
  </si>
  <si>
    <t>a1O1R000006c5MsUAI</t>
  </si>
  <si>
    <t>a3z1R0000007SFg</t>
  </si>
  <si>
    <t>SRPS : Renforcement des systèmes communautaires</t>
  </si>
  <si>
    <t>SSRS: fortalecimiento de los sistemas comunitarios</t>
  </si>
  <si>
    <t>a3z1R0000007SGAQA2</t>
  </si>
  <si>
    <t>a3z1R0000007SGA</t>
  </si>
  <si>
    <t>RSSH: Financial management systems</t>
  </si>
  <si>
    <t>MCI-00665</t>
  </si>
  <si>
    <t>a3z1R0000007SFeQAM</t>
  </si>
  <si>
    <t>a1O1R000006c5MqUAI</t>
  </si>
  <si>
    <t>a3z1R0000007SFe</t>
  </si>
  <si>
    <t>SRPS : Systèmes de gestion financière</t>
  </si>
  <si>
    <t>SSRS: Sistemas de gestión financiera</t>
  </si>
  <si>
    <t>a3z1R0000007SG8QAM</t>
  </si>
  <si>
    <t>a3z1R0000007SG8</t>
  </si>
  <si>
    <t>RSSH: Health management information systems and M&amp;E</t>
  </si>
  <si>
    <t>MCI-00662</t>
  </si>
  <si>
    <t>a3z1R0000007SFbQAM</t>
  </si>
  <si>
    <t>a1O1R000006c5MnUAI</t>
  </si>
  <si>
    <t>a3z1R0000007SFb</t>
  </si>
  <si>
    <t>SRPS : Système de gestion de l’information sanitaire et suivi et évaluation</t>
  </si>
  <si>
    <t>SSRS: Sistemas de información de gestión de salud y M&amp;E (Monitoria y Evaluación)</t>
  </si>
  <si>
    <t>a3z1R0000007SG5QAM</t>
  </si>
  <si>
    <t>a3z1R0000007SG5</t>
  </si>
  <si>
    <t>RSSH: Health products management systems</t>
  </si>
  <si>
    <t>MCI-00661</t>
  </si>
  <si>
    <t>a3z1R0000007SFaQAM</t>
  </si>
  <si>
    <t>a1O1R000006c5MmUAI</t>
  </si>
  <si>
    <t>a3z1R0000007SFa</t>
  </si>
  <si>
    <t>SRPS: Systèmes de gestion des produits de santé</t>
  </si>
  <si>
    <t>SSRS: sistemas de gestión de productos para la salud</t>
  </si>
  <si>
    <t>a3z1R0000007SG4QAM</t>
  </si>
  <si>
    <t>a3z1R0000007SG4</t>
  </si>
  <si>
    <t>RSSH: Health sector governance and planning</t>
  </si>
  <si>
    <t>MCI-00666</t>
  </si>
  <si>
    <t>a3z1R0000007SFfQAM</t>
  </si>
  <si>
    <t>a1O1R000006c5MrUAI</t>
  </si>
  <si>
    <t>a3z1R0000007SFf</t>
  </si>
  <si>
    <t>SRPS : Gouvernance et planification du secteur de la santé</t>
  </si>
  <si>
    <t>SSRS: gobernanza y planificación del sector de la salud</t>
  </si>
  <si>
    <t>a3z1R0000007SG9QAM</t>
  </si>
  <si>
    <t>a3z1R0000007SG9</t>
  </si>
  <si>
    <t>RSSH: Human resources for health, including community health workers</t>
  </si>
  <si>
    <t>MCI-00663</t>
  </si>
  <si>
    <t>a3z1R0000007SFcQAM</t>
  </si>
  <si>
    <t>a1O1R000006c5MoUAI</t>
  </si>
  <si>
    <t>a3z1R0000007SFc</t>
  </si>
  <si>
    <t>SRPS : Ressources humaines pour la santé, y compris agents de santé communautaires</t>
  </si>
  <si>
    <t>SSRS: recursos humanos para la salud  incluidos los trabajadores de la salud comunitarios</t>
  </si>
  <si>
    <t>a3z1R0000007SG6QAM</t>
  </si>
  <si>
    <t>a3z1R0000007SG6</t>
  </si>
  <si>
    <t>RSSH: Integrated service delivery and quality improvement</t>
  </si>
  <si>
    <t>MCI-00664</t>
  </si>
  <si>
    <t>a3z1R0000007SFdQAM</t>
  </si>
  <si>
    <t>a1O1R000006c5MpUAI</t>
  </si>
  <si>
    <t>a3z1R0000007SFd</t>
  </si>
  <si>
    <t>SRPS : Fourniture de service intégré et amélioration de la qualité</t>
  </si>
  <si>
    <t>SSRS: mejora de la calidad y la prestación de servicios integrados</t>
  </si>
  <si>
    <t>a3z1R0000007SG7QAM</t>
  </si>
  <si>
    <t>a3z1R0000007SG7</t>
  </si>
  <si>
    <t>RSSH: Laboratory systems</t>
  </si>
  <si>
    <t>MCI-00668</t>
  </si>
  <si>
    <t>a3z1R0000007SFhQAM</t>
  </si>
  <si>
    <t>a1O1R000006c5MtUAI</t>
  </si>
  <si>
    <t>a3z1R0000007SFh</t>
  </si>
  <si>
    <t>SRPS : Systèmes de laboratoire</t>
  </si>
  <si>
    <t>SSRS: sistemas de laboratorio</t>
  </si>
  <si>
    <t>a3z1R0000007SGBQA2</t>
  </si>
  <si>
    <t>a3z1R0000007SGB</t>
  </si>
  <si>
    <t>TB/HIV</t>
  </si>
  <si>
    <t>MCI-00656</t>
  </si>
  <si>
    <t>a3z1R0000007SFUQA2</t>
  </si>
  <si>
    <t>a1O1R000006c5MhUAI</t>
  </si>
  <si>
    <t>a3z1R0000007SFU</t>
  </si>
  <si>
    <t>Tuberculose/VIH</t>
  </si>
  <si>
    <t>TB/VIH</t>
  </si>
  <si>
    <t>Treatment, care and support</t>
  </si>
  <si>
    <t>MCI-00651</t>
  </si>
  <si>
    <t>a3z1R0000007SFPQA2</t>
  </si>
  <si>
    <t>a1O1R000006c5McUAI</t>
  </si>
  <si>
    <t>a3z1R0000007SFP</t>
  </si>
  <si>
    <t>Traitement, prise en charge et soutien</t>
  </si>
  <si>
    <t>Tratamiento, atención y apoyo</t>
  </si>
  <si>
    <t>a1O1R000006c5nXUAQ</t>
  </si>
  <si>
    <t>true</t>
  </si>
  <si>
    <t>Non cumulative;Non cumulative – other;Non cumulative - special</t>
  </si>
  <si>
    <t>a1O1R000006c5nYUAQ</t>
  </si>
  <si>
    <t>a1O1R000006c5nZUAQ</t>
  </si>
  <si>
    <t>a1O1R000006c5naUAA</t>
  </si>
  <si>
    <t>Age,Gender</t>
  </si>
  <si>
    <t>MCI-01049</t>
  </si>
  <si>
    <t>a1O1R000006c5nbUAA</t>
  </si>
  <si>
    <t>KP-1e Percentage of other vulnerable populations reached with HIV prevention programs - defined package of services</t>
  </si>
  <si>
    <t>KP-1e Pourcentage de personnes ayant bénéficié de programmes préventifs de lutte contre le VIH parmi les autres populations vulnérables (paquet de services définis)</t>
  </si>
  <si>
    <t>KP-1e Porcentaje de otras poblaciones vulnerables alcanzados por programas de prevención del VIH - paquete definido de servicios</t>
  </si>
  <si>
    <t>MCI-01050</t>
  </si>
  <si>
    <t>a1O1R000006c5ncUAA</t>
  </si>
  <si>
    <t>KP-1f⁽ᴹ⁾ Number of people in prisons and other closed settings reached with HIV prevention programs - defined package of services</t>
  </si>
  <si>
    <t>KP-1f⁽ᴹ⁾ Pourcentage de personnes en détention ou se trouvant dans d’autres lieux fermés ayant bénéficié de programmes préventifs de lutte contre le VIH (paquet de services définis)</t>
  </si>
  <si>
    <t>KP-1f⁽ᴹ⁾ Número de personas privadas de libertad en centros penitenciarios y otros lugares de reclusión alcanzados por programas de prevención del VIH - paquete definido de servicios</t>
  </si>
  <si>
    <t>MCI-01051</t>
  </si>
  <si>
    <t>a1O1R000006c5ndUAA</t>
  </si>
  <si>
    <t>KP-4 Number of needles and syringes distributed per person who injects drugs per year by needle and syringe programs</t>
  </si>
  <si>
    <t>KP-4 Nombre d’aiguilles et de seringues distribuées par les personnes qui s'injectent des drogues, par an et lors de programmes d’échange d’aiguilles et de seringues</t>
  </si>
  <si>
    <t>KP-4 Número de agujas y jeringuillas distribuidas al año por persona que consume drogas inyectables a través de programas de agujas y jeringuillas</t>
  </si>
  <si>
    <t>MCI-01052</t>
  </si>
  <si>
    <t>a1O1R000006c5neUAA</t>
  </si>
  <si>
    <t>KP-5 Percentage of individuals receiving Opioid Substitution Therapy who received treatment for at least 6 months</t>
  </si>
  <si>
    <t>KP-5 Pourcentage d’individus recevant un traitement de substitution aux opioïdes depuis au moins 6 mois</t>
  </si>
  <si>
    <t>KP-5 Porcentaje de personas en terapia de sustitución de opiáceos que recibieron tratamiento durante al menos 6 meses</t>
  </si>
  <si>
    <t>MCI-01053</t>
  </si>
  <si>
    <t>a1O1R000006c5nfUAA</t>
  </si>
  <si>
    <t>KP-6a Percentage of eligible men who have sex with men who initiated oral antiretroviral PrEP during the reporting period</t>
  </si>
  <si>
    <t>KP-6a Pourcentage d’hommes éligibles ayant des rapports sexuels avec des hommes ayant commencé un traitement antirétroviral oral par PrEP durant la période de rapportage</t>
  </si>
  <si>
    <t>KP-6a Porcentaje de HSH elegibles que iniciaron PrEP durante el período de reporte</t>
  </si>
  <si>
    <t>MCI-01054</t>
  </si>
  <si>
    <t>a1O1R000006c5ngUAA</t>
  </si>
  <si>
    <t>KP-6b Percentage of eligible transgender people who initiated oral antiretroviral PrEP during the reporting period</t>
  </si>
  <si>
    <t>KP-6b Pourcentage de personnes transgenres éligibles ayant commencé un traitement antirétroviral oral par PrEP durant la période de rapportage</t>
  </si>
  <si>
    <t>KP-6b Porcentaje de personas transgénero elegibles que iniciaron PrEP durante el período de reporte</t>
  </si>
  <si>
    <t>MCI-01055</t>
  </si>
  <si>
    <t>a1O1R000006c5nhUAA</t>
  </si>
  <si>
    <t>KP-6c Percentage of eligible sex workers who initiated oral antiretroviral PrEP during the reporting period</t>
  </si>
  <si>
    <t>KP-6c Pourcentage de professionnels du sexe éligibles ayant commencé un traitement antirétroviral oral par PrEP durant la période de rapportage</t>
  </si>
  <si>
    <t>KP-6c Porcentaje de trabajadores sexuales elegibles que iniciaron PrEP durante el período de reporte</t>
  </si>
  <si>
    <t>MCI-01044</t>
  </si>
  <si>
    <t>a1O1R000006c5nWUAQ</t>
  </si>
  <si>
    <t>MEN-1 Number of medical male circumcisions performed according to national standards</t>
  </si>
  <si>
    <t>MEN-1 Nombre de circoncisions masculines médicales pratiquées selon les normes nationales</t>
  </si>
  <si>
    <t>MEN-1 Número de circuncisiones masculinas médicas realizadas de conformidad con las normas nacionales</t>
  </si>
  <si>
    <t>a1O1R000006c5niUAA</t>
  </si>
  <si>
    <t>a1O1R000006c5njUAA</t>
  </si>
  <si>
    <t>a1O1R000006c5nkUAA</t>
  </si>
  <si>
    <t>MCI-01059</t>
  </si>
  <si>
    <t>a1O1R000006c5nlUAA</t>
  </si>
  <si>
    <t>YP-4 Percentage of eligible adolescent girls and young women who initiated oral antiretroviral PrEP during the reporting period</t>
  </si>
  <si>
    <t>YP-4 Pourcentage d’adolescentes et de jeunes femmes éligibles ayant commencé un traitement antirétroviral oral par PrEP durant la période de rapportage</t>
  </si>
  <si>
    <t>YP-4 Porcentaje de niñas adolescentes y mujeres jóvenes elegibles que iniciaron PrEP durante el período de reporte</t>
  </si>
  <si>
    <t>a1O1R000006c5nmUAA</t>
  </si>
  <si>
    <t>MCI-01061</t>
  </si>
  <si>
    <t>a1O1R000006c5nnUAA</t>
  </si>
  <si>
    <t>PMTCT-2.1 Percentage of HIV-positive women who received ART during pregnancy and/or labour and delivery</t>
  </si>
  <si>
    <t>PMTCT-2.1 Pourcentage de femmes enceintes séropositives pour le VIH ayant reçu une TARV durant leur grossesse et/ou le travail et l'accouchement</t>
  </si>
  <si>
    <t>PMTCT-2.1 Porcentaje de mujeres seropositivas que recibieron TARV durante el embarazo y/o trabajo de parto y parto</t>
  </si>
  <si>
    <t>a1O1R000006c5noUAA</t>
  </si>
  <si>
    <t>MCI-01063</t>
  </si>
  <si>
    <t>a1O1R000006c5npUAA</t>
  </si>
  <si>
    <t>PMTCT-4 Percentage of antenatal care attendees tested for syphilis</t>
  </si>
  <si>
    <t>PMTCT-4 Pourcentage de femmes recevant des soins prénatals ayant bénéficié d’un dépistage de la syphilis</t>
  </si>
  <si>
    <t>PMTCT-4 Porcentaje de pacientes de atención prenatal que se sometieron a la prueba de la sífilis</t>
  </si>
  <si>
    <t>a1O1R000006c5nqUAA</t>
  </si>
  <si>
    <t>Age,HIV test status</t>
  </si>
  <si>
    <t>Age,Résultat du test VIH</t>
  </si>
  <si>
    <t>Edad,Resultado de prueba del VIH</t>
  </si>
  <si>
    <t>a1O1R000006c5nrUAA</t>
  </si>
  <si>
    <t>a1O1R000006c5nsUAA</t>
  </si>
  <si>
    <t>a1O1R000006c5ntUAA</t>
  </si>
  <si>
    <t>Age,Gender,HIV test status</t>
  </si>
  <si>
    <t>Age,Sexe,Résultat du test VIH</t>
  </si>
  <si>
    <t>Edad,Género,Resultado de prueba del VIH</t>
  </si>
  <si>
    <t>a1O1R000006c5nuUAA</t>
  </si>
  <si>
    <t>a1O1R000006c5nvUAA</t>
  </si>
  <si>
    <t>a1O1R000006c5nwUAA</t>
  </si>
  <si>
    <t>a1O1R000006c5nxUAA</t>
  </si>
  <si>
    <t>Age,Gender,Community testing,Facility testing</t>
  </si>
  <si>
    <t>Age,Sexe,Tests fait dans la communauté,Tests fait dans un centre de santé</t>
  </si>
  <si>
    <t>Edad,Género,Diagnóstico en la comunidad,Diagnóstico en establecimientos de salud</t>
  </si>
  <si>
    <t>a1O1R000006c5nyUAA</t>
  </si>
  <si>
    <t>Gender,Target / Risk population group</t>
  </si>
  <si>
    <t>Sexe,Groupe à risque cible</t>
  </si>
  <si>
    <t>Género,Grupo de riesgo objetivo</t>
  </si>
  <si>
    <t>a1O1R000006c5nzUAA</t>
  </si>
  <si>
    <t>Age,Gender,Gender | Age,Duration of treatment,Target / Risk population group</t>
  </si>
  <si>
    <t>Age,Sexe,Durée du traitement,Groupe à risque cible</t>
  </si>
  <si>
    <t>Edad,Género,Duración del tratamiento,Grupo de riesgo objetivo</t>
  </si>
  <si>
    <t>a1O1R000006c5o0UAA</t>
  </si>
  <si>
    <t>Gender,Gender | Age,Duration of treatment,Target / Risk population group</t>
  </si>
  <si>
    <t>Sexe,Durée du traitement,Groupe à risque cible</t>
  </si>
  <si>
    <t>Género,Duración del tratamiento,Grupo de riesgo objetivo</t>
  </si>
  <si>
    <t>a1O1R000006c5o1UAA</t>
  </si>
  <si>
    <t>Gender,Duration of treatment</t>
  </si>
  <si>
    <t>Sexe,Durée du traitement</t>
  </si>
  <si>
    <t>Género,Duración del tratamiento</t>
  </si>
  <si>
    <t>a1O1R000006c8GzUAI</t>
  </si>
  <si>
    <t>a1O1R000006c5oKUAQ</t>
  </si>
  <si>
    <t>a1O1R000006c5oLUAQ</t>
  </si>
  <si>
    <t>a1O1R000006c5oNUAQ</t>
  </si>
  <si>
    <t>Age,Gender,TPT regimen</t>
  </si>
  <si>
    <t>Age,Sexe,Régime TPT</t>
  </si>
  <si>
    <t>Edad,Género,Régimen de TPT</t>
  </si>
  <si>
    <t>MCI-01115</t>
  </si>
  <si>
    <t>a1O1R000006c5ofUAA</t>
  </si>
  <si>
    <t>Non cumulative – other;Non cumulative - special</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</si>
  <si>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</si>
  <si>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</si>
  <si>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</si>
  <si>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</si>
  <si>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</si>
  <si>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</si>
  <si>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</si>
  <si>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</si>
  <si>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</si>
  <si>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</si>
  <si>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</si>
  <si>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</si>
  <si>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</si>
  <si>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</si>
  <si>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</si>
  <si>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</si>
  <si>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</si>
  <si>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</si>
  <si>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</si>
  <si>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</si>
  <si>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</si>
  <si>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</si>
  <si>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</si>
  <si>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a1O1R000006c5okUAA</t>
  </si>
  <si>
    <t>a1O1R000006c5olUAA</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</si>
  <si>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</si>
  <si>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</si>
  <si>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</si>
  <si>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</si>
  <si>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</si>
  <si>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</si>
  <si>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</si>
  <si>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</si>
  <si>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</si>
  <si>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</si>
  <si>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</si>
  <si>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</si>
  <si>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</si>
  <si>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</si>
  <si>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</si>
  <si>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a1O1R000006c5opUAA</t>
  </si>
  <si>
    <t>a1O1R000006c5oqUAA</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</si>
  <si>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</si>
  <si>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</si>
  <si>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</si>
  <si>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</si>
  <si>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</si>
  <si>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</si>
  <si>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</si>
  <si>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</si>
  <si>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</si>
  <si>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</si>
  <si>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</si>
  <si>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</si>
  <si>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</si>
  <si>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</si>
  <si>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</si>
  <si>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</si>
  <si>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</si>
  <si>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</si>
  <si>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</si>
  <si>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</si>
  <si>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a1O1R000006c5ovUAA</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</si>
  <si>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</si>
  <si>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</si>
  <si>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</si>
  <si>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</si>
  <si>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</si>
  <si>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</si>
  <si>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</si>
  <si>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</si>
  <si>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</si>
  <si>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</si>
  <si>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</si>
  <si>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</si>
  <si>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</si>
  <si>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</si>
  <si>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</si>
  <si>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</si>
  <si>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</si>
  <si>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</si>
  <si>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</si>
  <si>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</si>
  <si>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</si>
  <si>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</si>
  <si>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</si>
  <si>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</si>
  <si>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</si>
  <si>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MCI-00676</t>
  </si>
  <si>
    <t>a1O1R000006c5haUAA</t>
  </si>
  <si>
    <t>Addressing stigma, discrimination and violence</t>
  </si>
  <si>
    <t>Lutte contre la stigmatisation, la discrimination et la violence</t>
  </si>
  <si>
    <t>Abordaje del estigma, la discriminación y la violencia</t>
  </si>
  <si>
    <t>MCI-00672</t>
  </si>
  <si>
    <t>a1O1R000006c5hWUAQ</t>
  </si>
  <si>
    <t>Behavior change interventions</t>
  </si>
  <si>
    <t>Interventions pour le changement de comportement</t>
  </si>
  <si>
    <t>Intervenciones para cambio de comportamiento</t>
  </si>
  <si>
    <t>MCI-00673</t>
  </si>
  <si>
    <t>a1O1R000006c5hXUAQ</t>
  </si>
  <si>
    <t>Community empowerment</t>
  </si>
  <si>
    <t>Autonomisation des communautés</t>
  </si>
  <si>
    <t>Empoderamiento comunitario</t>
  </si>
  <si>
    <t>MCI-00682</t>
  </si>
  <si>
    <t>a1O1R000006c5hgUAA</t>
  </si>
  <si>
    <t>Comprehensive sexuality education</t>
  </si>
  <si>
    <t>Éducation complète  à la sexualité</t>
  </si>
  <si>
    <t>Educación sexual integral</t>
  </si>
  <si>
    <t>MCI-00670</t>
  </si>
  <si>
    <t>a1O1R000006c5hUUAQ</t>
  </si>
  <si>
    <t>Condom and lubricant programing</t>
  </si>
  <si>
    <t>Programmation relative aux préservatifs et aux lubrifiants</t>
  </si>
  <si>
    <t>Programas de preservativos y lubricantes</t>
  </si>
  <si>
    <t>MCI-00683</t>
  </si>
  <si>
    <t>a1O1R000006c5hhUAA</t>
  </si>
  <si>
    <t>Gender-based violence prevention and post violence care</t>
  </si>
  <si>
    <t>Prévention de la violence fondée sur le genre et soins apportés aux rescapées des violences</t>
  </si>
  <si>
    <t>Prevención de la violencia de género y atención posterior a un episodio de violencia</t>
  </si>
  <si>
    <t>MCI-00675</t>
  </si>
  <si>
    <t>a1O1R000006c5hZUAQ</t>
  </si>
  <si>
    <t>Harm reduction interventions for drug use</t>
  </si>
  <si>
    <t>Interventions de réduction des risques liées à la consommation de drogues</t>
  </si>
  <si>
    <t>Intervenciones de reducción de daño por consumo de drogas</t>
  </si>
  <si>
    <t>MCI-00685</t>
  </si>
  <si>
    <t>a1O1R000006c5hjUAA</t>
  </si>
  <si>
    <t>Integration into national multi-sectoral responses of AGYW programs</t>
  </si>
  <si>
    <t>Intégration des programmes à destination des adolescentes et des jeunes femmes dans les interventions multisectorielles nationales</t>
  </si>
  <si>
    <t>Integración de los programas para niñas adolescentes y mujeres jóvenes en las respuestas nacionales multisectoriales</t>
  </si>
  <si>
    <t>MCI-00677</t>
  </si>
  <si>
    <t>a1O1R000006c5hbUAA</t>
  </si>
  <si>
    <t>Interventions for young key populations</t>
  </si>
  <si>
    <t>Interventions en faveur des jeunes populations clés</t>
  </si>
  <si>
    <t>Intervenciones para poblaciones jóvenes clave</t>
  </si>
  <si>
    <t>MCI-00688</t>
  </si>
  <si>
    <t>a1O1R000006c5hmUAA</t>
  </si>
  <si>
    <t>Linkages between HIV programs and RMNCAH</t>
  </si>
  <si>
    <t>Liens entre les programmes de lutte contre le VIH, et la santé reproductive maternelle, du nouveau-né, de l'enfant et de l'adolescent</t>
  </si>
  <si>
    <t>Integración de los programas de VIH y la salud reproductiva, materna, adolescente, infantil y neonatal</t>
  </si>
  <si>
    <t>MCI-00687</t>
  </si>
  <si>
    <t>a1O1R000006c5hlUAA</t>
  </si>
  <si>
    <t>National condom program management and stewardship</t>
  </si>
  <si>
    <t>Programmation et gestion du préservatif au niveau national</t>
  </si>
  <si>
    <t>Gestión de programas nacionales para preservativos</t>
  </si>
  <si>
    <t>MCI-00679</t>
  </si>
  <si>
    <t>a1O1R000006c5hdUAA</t>
  </si>
  <si>
    <t>Needle and syringe programs</t>
  </si>
  <si>
    <t>Programmes d’échange d’aiguilles et de seringues</t>
  </si>
  <si>
    <t>Programas de agujas y jeringuillas</t>
  </si>
  <si>
    <t>MCI-00680</t>
  </si>
  <si>
    <t>a1O1R000006c5heUAA</t>
  </si>
  <si>
    <t>Opioid substitution therapy and other medically assisted drug dependence treatment</t>
  </si>
  <si>
    <t>Traitement de substitution aux opiacés et autres traitements médicalement assistés contre la toxicomanie</t>
  </si>
  <si>
    <t>Tratamiento de sustitución de opiáceos y otros tratamientos de la drogodependencia que requieren atención médica</t>
  </si>
  <si>
    <t>MCI-00681</t>
  </si>
  <si>
    <t>a1O1R000006c5hfUAA</t>
  </si>
  <si>
    <t>Overdose prevention and management</t>
  </si>
  <si>
    <t>Prévention et prise en charge des overdoses</t>
  </si>
  <si>
    <t>Prevención y tratamiento de la sobredosis</t>
  </si>
  <si>
    <t>MCI-00671</t>
  </si>
  <si>
    <t>a1O1R000006c5hVUAQ</t>
  </si>
  <si>
    <t>Pre-exposure prophylaxis</t>
  </si>
  <si>
    <t>Prophylaxie préexposition</t>
  </si>
  <si>
    <t>PrEP</t>
  </si>
  <si>
    <t>MCI-00678</t>
  </si>
  <si>
    <t>a1O1R000006c5hcUAA</t>
  </si>
  <si>
    <t>Prevention and management of co-infections and co-morbidities (Prevention)</t>
  </si>
  <si>
    <t>Prévention et prise en charge des co-infections et des co-morbidités (Prévention)</t>
  </si>
  <si>
    <t>Prevención y manejo de coinfecciones y comorbilidades (Prevención)</t>
  </si>
  <si>
    <t>MCI-00674</t>
  </si>
  <si>
    <t>a1O1R000006c5hYUAQ</t>
  </si>
  <si>
    <t>Sexual and reproductive health services, including STIs</t>
  </si>
  <si>
    <t>Services de santé sexuelle et reproductive, y compris les IST</t>
  </si>
  <si>
    <t>Servicios de salud sexual y reproductiva, incluyendo las ITS</t>
  </si>
  <si>
    <t>MCI-00684</t>
  </si>
  <si>
    <t>a1O1R000006c5hiUAA</t>
  </si>
  <si>
    <t>Social protection interventions</t>
  </si>
  <si>
    <t>Mesures de protection sociale</t>
  </si>
  <si>
    <t>Intervenciones de protección social</t>
  </si>
  <si>
    <t>MCI-00686</t>
  </si>
  <si>
    <t>a1O1R000006c5hkUAA</t>
  </si>
  <si>
    <t>Voluntary Medical Male Circumcision</t>
  </si>
  <si>
    <t>Circoncision masculine médicale volontaire</t>
  </si>
  <si>
    <t>Circuncisión médica masculina voluntaria</t>
  </si>
  <si>
    <t>MCI-00689</t>
  </si>
  <si>
    <t>a1O1R000006c5hnUAA</t>
  </si>
  <si>
    <t>Prong 1: Primary prevention of HIV infection among women of childbearing age</t>
  </si>
  <si>
    <t>Volet 1 : Prévention primaire de l’infection au VIH chez les femmes en âge de procréer</t>
  </si>
  <si>
    <t>Vertiente 1: Prevención primaria de la infección por el VIH en mujeres en edad fecunda</t>
  </si>
  <si>
    <t>MCI-00690</t>
  </si>
  <si>
    <t>a1O1R000006c5hoUAA</t>
  </si>
  <si>
    <t>Prong 2: Preventing unintended pregnancies among women living with HIV</t>
  </si>
  <si>
    <t>Volet 2 : Prévention des grossesses non désirées chez les femmes vivant avec le VIH</t>
  </si>
  <si>
    <t>Vertiente 2: Prevención de embarazos no deseados en mujeres que viven con el VIH</t>
  </si>
  <si>
    <t>MCI-00691</t>
  </si>
  <si>
    <t>a1O1R000006c5hpUAA</t>
  </si>
  <si>
    <t>Prong 3: Preventing vertical HIV transmission</t>
  </si>
  <si>
    <t>Volet 3 : Prévention de la transmission verticale du VIH</t>
  </si>
  <si>
    <t>Vertiente 3: Prevención de la transmisión vertical del VIH</t>
  </si>
  <si>
    <t>MCI-00692</t>
  </si>
  <si>
    <t>a1O1R000006c5hqUAA</t>
  </si>
  <si>
    <t>Prong 4: Treatment, care and support to mothers living with HIV, their children and families</t>
  </si>
  <si>
    <t>Volet 4 : Traitement, prise en charge et soutien des mères vivant avec le VIH, de leurs enfants et de leur famille</t>
  </si>
  <si>
    <t>Vertiente 4: Tratamiento, atención y apoyo para madres que viven con el VIH, así como para sus hijos y familias</t>
  </si>
  <si>
    <t>MCI-00694</t>
  </si>
  <si>
    <t>a1O1R000006c5hsUAA</t>
  </si>
  <si>
    <t>Community-based testing</t>
  </si>
  <si>
    <t>Dépistage communautaire</t>
  </si>
  <si>
    <t>Pruebas a nivel comunitario</t>
  </si>
  <si>
    <t>MCI-00693</t>
  </si>
  <si>
    <t>a1O1R000006c5hrUAA</t>
  </si>
  <si>
    <t>Facility-based testing</t>
  </si>
  <si>
    <t>Dépistage en centre de santé</t>
  </si>
  <si>
    <t>Pruebas a nivel de establecimientos de salud</t>
  </si>
  <si>
    <t>MCI-00695</t>
  </si>
  <si>
    <t>a1O1R000006c5htUAA</t>
  </si>
  <si>
    <t>Self-testing</t>
  </si>
  <si>
    <t>Autodépistage</t>
  </si>
  <si>
    <t>Autoprueba (self testing)</t>
  </si>
  <si>
    <t>MCI-00701</t>
  </si>
  <si>
    <t>a1O1R000006c5hzUAA</t>
  </si>
  <si>
    <t>Counseling and psycho-social support</t>
  </si>
  <si>
    <t>Conseil et soutien psychosocial</t>
  </si>
  <si>
    <t>Consejería y apoyo psicosocial</t>
  </si>
  <si>
    <t>MCI-00696</t>
  </si>
  <si>
    <t>a1O1R000006c5huUAA</t>
  </si>
  <si>
    <t>Differentiated ART service delivery and HIV care</t>
  </si>
  <si>
    <t>Services différenciés de traitements antirétroviraux et prise en charge du VIH</t>
  </si>
  <si>
    <t>Prestación de servicios diferenciados de tratamiento antirretroviral y atención para el VIH</t>
  </si>
  <si>
    <t>MCI-00702</t>
  </si>
  <si>
    <t>a1O1R000006c5i0UAA</t>
  </si>
  <si>
    <t>Orphan and vulnerable children package</t>
  </si>
  <si>
    <t>Paquet de services à destination des orphelins et des enfants vulnérables</t>
  </si>
  <si>
    <t>Paquete para huérfanos y niños vulnerables</t>
  </si>
  <si>
    <t>MCI-00700</t>
  </si>
  <si>
    <t>a1O1R000006c5hyUAA</t>
  </si>
  <si>
    <t>Prevention and management of co-infections and co-morbidities (Treatment, care and support)</t>
  </si>
  <si>
    <t>Prévention et prise en charge des co-infections et des co-morbidités (Traitement, prise en charge et soutien)</t>
  </si>
  <si>
    <t>Prevención y manejo de coinfecciones y comorbilidades (Tratamiento, atención y apoyo)</t>
  </si>
  <si>
    <t>MCI-00698</t>
  </si>
  <si>
    <t>a1O1R000006c5hwUAA</t>
  </si>
  <si>
    <t>Treatment monitoring - ARV toxicity</t>
  </si>
  <si>
    <t>Suivi du traitement – Toxicité des antirétroviraux</t>
  </si>
  <si>
    <t>Seguimiento del tratamiento: toxicidad de la terapia antirretroviral</t>
  </si>
  <si>
    <t>MCI-00697</t>
  </si>
  <si>
    <t>a1O1R000006c5hvUAA</t>
  </si>
  <si>
    <t>Treatment monitoring - Drug resistance</t>
  </si>
  <si>
    <t>Suivi du traitement – Pharmacorésistance</t>
  </si>
  <si>
    <t>Seguimiento del tratamiento: farmacorresistencia</t>
  </si>
  <si>
    <t>MCI-00699</t>
  </si>
  <si>
    <t>a1O1R000006c5hxUAA</t>
  </si>
  <si>
    <t>Treatment monitoring - Viral load</t>
  </si>
  <si>
    <t>Suivi du traitement – Charge virale</t>
  </si>
  <si>
    <t>Seguimiento del tratamiento: carga viral</t>
  </si>
  <si>
    <t>MCI-00710</t>
  </si>
  <si>
    <t>a1O1R000006c5i8UAA</t>
  </si>
  <si>
    <t>Community mobilization and advocacy (HIV/TB)</t>
  </si>
  <si>
    <t>Mobilisation et sensibilisation des communautés (VIH/Tuberculose)</t>
  </si>
  <si>
    <t>Movilización y promoción comunitarias (VIH/TB)</t>
  </si>
  <si>
    <t>MCI-00706</t>
  </si>
  <si>
    <t>a1O1R000006c5i4UAA</t>
  </si>
  <si>
    <t>HIV and HIV/TB-related legal services</t>
  </si>
  <si>
    <t>Services juridiques liés au VIH et à la co-infection VIH/tuberculose</t>
  </si>
  <si>
    <t>Servicios jurídicos relacionados con el VIH y la TB/VIH</t>
  </si>
  <si>
    <t>MCI-00705</t>
  </si>
  <si>
    <t>a1O1R000006c5i3UAA</t>
  </si>
  <si>
    <t>Human rights and medical ethics related to HIV and HIV/TB for health care providers</t>
  </si>
  <si>
    <t>Droits humains et éthique médicale liée au VIH et à la co-infection VIH/tuberculose pour les prestataires de soins de santé</t>
  </si>
  <si>
    <t>Derechos humanos y ética médica en relación con el VIH y la tuberculosis y el VIH para personal sanitario</t>
  </si>
  <si>
    <t>MCI-00708</t>
  </si>
  <si>
    <t>a1O1R000006c5i6UAA</t>
  </si>
  <si>
    <t>Improving laws, regulations and polices relating to HIV and HIV/TB</t>
  </si>
  <si>
    <t>Amélioration des lois, des règlements et des politiques liés au VIH et à la co-infection VIH/tuberculose</t>
  </si>
  <si>
    <t>Mejora de leyes, reglamentos y políticas relacionadas con el VIH y la TB/VIH</t>
  </si>
  <si>
    <t>MCI-00704</t>
  </si>
  <si>
    <t>a1O1R000006c5i2UAA</t>
  </si>
  <si>
    <t>Legal Literacy (“Know Your Rights")</t>
  </si>
  <si>
    <t>Éducation juridique (« Connaissez vos droits »)</t>
  </si>
  <si>
    <t>Conocimientos jurídicos («Conoce tus derechos»)</t>
  </si>
  <si>
    <t>MCI-00709</t>
  </si>
  <si>
    <t>a1O1R000006c5i7UAA</t>
  </si>
  <si>
    <t>Reducing HIV-related gender discrimination, harmful gender norms and violence against women and girls in all their diversity</t>
  </si>
  <si>
    <t>Réduction de la discrimination fondée sur le genre, des normes de genre nocives et de la violence contre les femmes et les filles dans toute leur diversité, en lien avec le VIH</t>
  </si>
  <si>
    <t>Reducción de la discriminación de género relacionada con el VIH, las normas de género perjudiciales y la violencia contra las mujeres y las niñas en toda su diversidad</t>
  </si>
  <si>
    <t>MCI-00707</t>
  </si>
  <si>
    <t>a1O1R000006c5i5UAA</t>
  </si>
  <si>
    <t>Sensitization of law-makers and law-enforcement agents</t>
  </si>
  <si>
    <t>Sensibilisation des législateurs et des agents des forces de l’ordre</t>
  </si>
  <si>
    <t>Sensibilización de los cuerpos de seguridad y cuerpos de seguridad</t>
  </si>
  <si>
    <t>MCI-00703</t>
  </si>
  <si>
    <t>a1O1R000006c5i1UAA</t>
  </si>
  <si>
    <t>Stigma and discrimination reduction (HIV/TB)</t>
  </si>
  <si>
    <t>Réduction du rejet social et de la discrimination (VIH/Tuberculose)</t>
  </si>
  <si>
    <t>Reducción del estigma y la discriminación (VIH/TB)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</si>
  <si>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</si>
  <si>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</si>
  <si>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</si>
  <si>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</si>
  <si>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</si>
  <si>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</si>
  <si>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</si>
  <si>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</si>
  <si>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</si>
  <si>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</si>
  <si>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</si>
  <si>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</si>
  <si>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</si>
  <si>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</si>
  <si>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</si>
  <si>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</si>
  <si>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</si>
  <si>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</si>
  <si>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</si>
  <si>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</si>
  <si>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</si>
  <si>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</si>
  <si>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</si>
  <si>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</si>
  <si>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</si>
  <si>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</si>
  <si>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</si>
  <si>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</si>
  <si>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</si>
  <si>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</si>
  <si>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</si>
  <si>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</si>
  <si>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</si>
  <si>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</si>
  <si>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</si>
  <si>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</si>
  <si>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</si>
  <si>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</si>
  <si>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</si>
  <si>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</si>
  <si>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</si>
  <si>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</si>
  <si>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</si>
  <si>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</si>
  <si>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</si>
  <si>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</si>
  <si>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</si>
  <si>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</si>
  <si>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</si>
  <si>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</si>
  <si>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</si>
  <si>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</si>
  <si>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</si>
  <si>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</si>
  <si>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</si>
  <si>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</si>
  <si>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</si>
  <si>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</si>
  <si>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</si>
  <si>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</si>
  <si>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</si>
  <si>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</si>
  <si>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</si>
  <si>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</si>
  <si>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</si>
  <si>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</si>
  <si>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</si>
  <si>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</si>
  <si>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</si>
  <si>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</si>
  <si>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</si>
  <si>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</si>
  <si>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</si>
  <si>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</si>
  <si>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</si>
  <si>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</si>
  <si>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</si>
  <si>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</si>
  <si>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</si>
  <si>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</si>
  <si>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</si>
  <si>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</si>
  <si>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</si>
  <si>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</si>
  <si>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</si>
  <si>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</si>
  <si>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</si>
  <si>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</si>
  <si>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</si>
  <si>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</si>
  <si>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</si>
  <si>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</si>
  <si>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</si>
  <si>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</si>
  <si>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</si>
  <si>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</si>
  <si>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</si>
  <si>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</si>
  <si>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</si>
  <si>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</si>
  <si>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</si>
  <si>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</si>
  <si>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</si>
  <si>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</si>
  <si>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</si>
  <si>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</si>
  <si>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</si>
  <si>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</si>
  <si>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</si>
  <si>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</si>
  <si>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</si>
  <si>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</si>
  <si>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</si>
  <si>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</si>
  <si>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</si>
  <si>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</si>
  <si>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</si>
  <si>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</si>
  <si>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</si>
  <si>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</si>
  <si>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</si>
  <si>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</si>
  <si>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</si>
  <si>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</si>
  <si>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</si>
  <si>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</si>
  <si>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</si>
  <si>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</si>
  <si>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</si>
  <si>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</si>
  <si>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</si>
  <si>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</si>
  <si>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</si>
  <si>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</si>
  <si>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</si>
  <si>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</si>
  <si>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</si>
  <si>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</si>
  <si>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</si>
  <si>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</si>
  <si>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</si>
  <si>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</si>
  <si>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</si>
  <si>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</si>
  <si>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</si>
  <si>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</si>
  <si>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</si>
  <si>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</si>
  <si>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</si>
  <si>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</si>
  <si>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</si>
  <si>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</si>
  <si>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</si>
  <si>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</si>
  <si>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</si>
  <si>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</si>
  <si>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</si>
  <si>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</si>
  <si>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</si>
  <si>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</si>
  <si>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</si>
  <si>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</si>
  <si>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</si>
  <si>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</si>
  <si>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</si>
  <si>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</si>
  <si>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</si>
  <si>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</si>
  <si>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</si>
  <si>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</si>
  <si>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</si>
  <si>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</si>
  <si>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</si>
  <si>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</si>
  <si>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</si>
  <si>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</si>
  <si>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</si>
  <si>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</si>
  <si>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</si>
  <si>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</si>
  <si>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</si>
  <si>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</si>
  <si>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</si>
  <si>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</si>
  <si>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</si>
  <si>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</si>
  <si>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</si>
  <si>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</si>
  <si>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</si>
  <si>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</si>
  <si>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</si>
  <si>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</si>
  <si>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</si>
  <si>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</si>
  <si>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</si>
  <si>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</si>
  <si>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</si>
  <si>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</si>
  <si>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</si>
  <si>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</si>
  <si>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</si>
  <si>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</si>
  <si>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</si>
  <si>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</si>
  <si>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</si>
  <si>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</si>
  <si>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</si>
  <si>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</si>
  <si>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</si>
  <si>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</si>
  <si>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</si>
  <si>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</si>
  <si>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</si>
  <si>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</si>
  <si>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</si>
  <si>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</si>
  <si>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</si>
  <si>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</si>
  <si>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</si>
  <si>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</si>
  <si>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</si>
  <si>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</si>
  <si>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</si>
  <si>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</si>
  <si>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</si>
  <si>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</si>
  <si>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</si>
  <si>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</si>
  <si>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</si>
  <si>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</si>
  <si>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</si>
  <si>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</si>
  <si>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</si>
  <si>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</si>
  <si>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</si>
  <si>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</si>
  <si>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</si>
  <si>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</si>
  <si>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</si>
  <si>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</si>
  <si>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</si>
  <si>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</si>
  <si>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AR-07312</t>
  </si>
  <si>
    <t>Ministry of Health and Public Hygiene of the Republic of Côte d'Ivoire - PNLT</t>
  </si>
  <si>
    <t>0013600000xoEKpAAM</t>
  </si>
  <si>
    <t>a121R00000MSZhcQAH</t>
  </si>
  <si>
    <t>AR-07313</t>
  </si>
  <si>
    <t>Alliance Nationale Contre Le Sida en Cote D'Ivoire</t>
  </si>
  <si>
    <t>0013600000xoEFVAA2</t>
  </si>
  <si>
    <t>a121R00000MSZhdQAH</t>
  </si>
  <si>
    <t>AR-07755</t>
  </si>
  <si>
    <t>Programme National de Lutte contre le SIDA de la République de Côte d'Ivoire</t>
  </si>
  <si>
    <t>0013600000xoEGpAAM</t>
  </si>
  <si>
    <t>a121R00000MSjPMQA1</t>
  </si>
  <si>
    <t>AR-07756</t>
  </si>
  <si>
    <t>a121R00000MSjPNQA1</t>
  </si>
  <si>
    <t>AR-01091</t>
  </si>
  <si>
    <t>Save the Children Federation, Inc.</t>
  </si>
  <si>
    <t>0013600000xoEKAAA2</t>
  </si>
  <si>
    <t>a1236000007WBdSAAW</t>
  </si>
  <si>
    <t>AR-01331</t>
  </si>
  <si>
    <t>a1236000007WBhKAAW</t>
  </si>
  <si>
    <t>AR-01328</t>
  </si>
  <si>
    <t>Ministry of Health and Public Hygiene of the Republic of Côte d'Ivoire - PNLP</t>
  </si>
  <si>
    <t>0013600000xoEKZAA2</t>
  </si>
  <si>
    <t>a1236000007WBhHAAW</t>
  </si>
  <si>
    <t>AR-01330</t>
  </si>
  <si>
    <t>a1236000007WBhJAAW</t>
  </si>
  <si>
    <t>AR-01329</t>
  </si>
  <si>
    <t>a1236000007WBhIAAW</t>
  </si>
  <si>
    <t>AR-01332</t>
  </si>
  <si>
    <t>a1236000007WBhLAAW</t>
  </si>
  <si>
    <t>AR-01333</t>
  </si>
  <si>
    <t>Caritas Côte d'Ivoire</t>
  </si>
  <si>
    <t>0013600000xoEEiAAM</t>
  </si>
  <si>
    <t>a1236000007WBhMAAW</t>
  </si>
  <si>
    <t>AR-01326</t>
  </si>
  <si>
    <t>CARE International</t>
  </si>
  <si>
    <t>0013600000xoEFYAA2</t>
  </si>
  <si>
    <t>a1236000007WBhFAAW</t>
  </si>
  <si>
    <t>AR-01327</t>
  </si>
  <si>
    <t>Programme National de Lutte contre le Paludisme</t>
  </si>
  <si>
    <t>0013600000xoEGlAAM</t>
  </si>
  <si>
    <t>a1236000007WBhGAAW</t>
  </si>
  <si>
    <t>AR-03438</t>
  </si>
  <si>
    <t>a1236000007wEVGAA2</t>
  </si>
  <si>
    <t>AR-03439</t>
  </si>
  <si>
    <t>a1236000007wEVHAA2</t>
  </si>
  <si>
    <t>AR-04396</t>
  </si>
  <si>
    <t>a123600000B8fMQAAZ</t>
  </si>
  <si>
    <t>AR-04027</t>
  </si>
  <si>
    <t>a1236000009c4GHAAY</t>
  </si>
  <si>
    <t>AR-04034</t>
  </si>
  <si>
    <t>a1236000009c4GqAAI</t>
  </si>
  <si>
    <t>AR-04047</t>
  </si>
  <si>
    <t>a1236000009c4HdAAI</t>
  </si>
  <si>
    <t>AR-04029</t>
  </si>
  <si>
    <t>a1236000009c4GRAAY</t>
  </si>
  <si>
    <t>AR-04049</t>
  </si>
  <si>
    <t>a1236000009c4HsAAI</t>
  </si>
  <si>
    <t>AR-04111</t>
  </si>
  <si>
    <t>a1236000009cf5oAAA</t>
  </si>
  <si>
    <t>AR-04397</t>
  </si>
  <si>
    <t>Ministry of Health and Public Hygiene of the Republic of Côte d'Ivoire - PNLS</t>
  </si>
  <si>
    <t>0013600000xoEDKAA2</t>
  </si>
  <si>
    <t>a123600000B8fMpAAJ</t>
  </si>
  <si>
    <t>AR-04652</t>
  </si>
  <si>
    <t>a123600000D3Ax9AAF</t>
  </si>
  <si>
    <t>ID-253150</t>
  </si>
  <si>
    <t>II-28530</t>
  </si>
  <si>
    <t>a1G3p000003GJ3eEAG</t>
  </si>
  <si>
    <t>ID-253151</t>
  </si>
  <si>
    <t>a1G3p000003GJ3fEAG</t>
  </si>
  <si>
    <t>ID-253152</t>
  </si>
  <si>
    <t>a1G3p000003GJ3gEAG</t>
  </si>
  <si>
    <t>ID-253153</t>
  </si>
  <si>
    <t>a1G3p000003GJ3hEAG</t>
  </si>
  <si>
    <t>ID-253154</t>
  </si>
  <si>
    <t>a1G3p000003GJ3iEAG</t>
  </si>
  <si>
    <t>ID-253155</t>
  </si>
  <si>
    <t>a1G3p000003GJ3jEAG</t>
  </si>
  <si>
    <t>ID-253156</t>
  </si>
  <si>
    <t>a1G3p000003GJ3kEAG</t>
  </si>
  <si>
    <t>ID-253157</t>
  </si>
  <si>
    <t>a1G3p000003GJ3lEAG</t>
  </si>
  <si>
    <t>ID-253158</t>
  </si>
  <si>
    <t>a1G3p000003GJ3mEAG</t>
  </si>
  <si>
    <t>ID-253159</t>
  </si>
  <si>
    <t>a1G3p000003GJ3nEAG</t>
  </si>
  <si>
    <t>ID-253160</t>
  </si>
  <si>
    <t>II-28531</t>
  </si>
  <si>
    <t>a1G3p000003GJ3oEAG</t>
  </si>
  <si>
    <t>ID-253161</t>
  </si>
  <si>
    <t>a1G3p000003GJ3pEAG</t>
  </si>
  <si>
    <t>ID-253162</t>
  </si>
  <si>
    <t>a1G3p000003GJ3qEAG</t>
  </si>
  <si>
    <t>ID-253163</t>
  </si>
  <si>
    <t>a1G3p000003GJ3rEAG</t>
  </si>
  <si>
    <t>ID-253164</t>
  </si>
  <si>
    <t>a1G3p000003GJ3sEAG</t>
  </si>
  <si>
    <t>ID-253165</t>
  </si>
  <si>
    <t>a1G3p000003GJ3tEAG</t>
  </si>
  <si>
    <t>ID-253166</t>
  </si>
  <si>
    <t>a1G3p000003GJ3uEAG</t>
  </si>
  <si>
    <t>ID-253167</t>
  </si>
  <si>
    <t>a1G3p000003GJ3vEAG</t>
  </si>
  <si>
    <t>ID-253168</t>
  </si>
  <si>
    <t>a1G3p000003GJ3wEAG</t>
  </si>
  <si>
    <t>ID-253169</t>
  </si>
  <si>
    <t>a1G3p000003GJ3xEAG</t>
  </si>
  <si>
    <t>ID-253170</t>
  </si>
  <si>
    <t>II-28532</t>
  </si>
  <si>
    <t>a1G3p000003GJ3yEAG</t>
  </si>
  <si>
    <t>ID-253171</t>
  </si>
  <si>
    <t>a1G3p000003GJ3zEAG</t>
  </si>
  <si>
    <t>ID-253172</t>
  </si>
  <si>
    <t>a1G3p000003GJ40EAG</t>
  </si>
  <si>
    <t>ID-253173</t>
  </si>
  <si>
    <t>a1G3p000003GJ41EAG</t>
  </si>
  <si>
    <t>ID-253174</t>
  </si>
  <si>
    <t>a1G3p000003GJ42EAG</t>
  </si>
  <si>
    <t>ID-253175</t>
  </si>
  <si>
    <t>a1G3p000003GJ43EAG</t>
  </si>
  <si>
    <t>ID-253176</t>
  </si>
  <si>
    <t>a1G3p000003GJ44EAG</t>
  </si>
  <si>
    <t>ID-253177</t>
  </si>
  <si>
    <t>a1G3p000003GJ45EAG</t>
  </si>
  <si>
    <t>ID-253178</t>
  </si>
  <si>
    <t>a1G3p000003GJ46EAG</t>
  </si>
  <si>
    <t>ID-253179</t>
  </si>
  <si>
    <t>a1G3p000003GJ47EAG</t>
  </si>
  <si>
    <t>ID-253180</t>
  </si>
  <si>
    <t>II-28533</t>
  </si>
  <si>
    <t>a1G3p000003GJ48EAG</t>
  </si>
  <si>
    <t>ID-253181</t>
  </si>
  <si>
    <t>a1G3p000003GJ49EAG</t>
  </si>
  <si>
    <t>ID-253182</t>
  </si>
  <si>
    <t>a1G3p000003GJ4AEAW</t>
  </si>
  <si>
    <t>ID-253183</t>
  </si>
  <si>
    <t>a1G3p000003GJ4BEAW</t>
  </si>
  <si>
    <t>ID-253184</t>
  </si>
  <si>
    <t>a1G3p000003GJ4CEAW</t>
  </si>
  <si>
    <t>ID-253185</t>
  </si>
  <si>
    <t>a1G3p000003GJ4DEAW</t>
  </si>
  <si>
    <t>ID-253186</t>
  </si>
  <si>
    <t>a1G3p000003GJ4EEAW</t>
  </si>
  <si>
    <t>ID-253187</t>
  </si>
  <si>
    <t>a1G3p000003GJ4FEAW</t>
  </si>
  <si>
    <t>ID-253188</t>
  </si>
  <si>
    <t>a1G3p000003GJ4GEAW</t>
  </si>
  <si>
    <t>ID-253189</t>
  </si>
  <si>
    <t>a1G3p000003GJ4HEAW</t>
  </si>
  <si>
    <t>ID-253190</t>
  </si>
  <si>
    <t>II-28534</t>
  </si>
  <si>
    <t>a1G3p000003GJ4IEAW</t>
  </si>
  <si>
    <t>ID-253191</t>
  </si>
  <si>
    <t>a1G3p000003GJ4JEAW</t>
  </si>
  <si>
    <t>ID-253192</t>
  </si>
  <si>
    <t>a1G3p000003GJ4KEAW</t>
  </si>
  <si>
    <t>ID-253193</t>
  </si>
  <si>
    <t>a1G3p000003GJ4LEAW</t>
  </si>
  <si>
    <t>ID-253194</t>
  </si>
  <si>
    <t>a1G3p000003GJ4MEAW</t>
  </si>
  <si>
    <t>ID-253195</t>
  </si>
  <si>
    <t>a1G3p000003GJ4NEAW</t>
  </si>
  <si>
    <t>ID-253196</t>
  </si>
  <si>
    <t>a1G3p000003GJ4OEAW</t>
  </si>
  <si>
    <t>ID-253197</t>
  </si>
  <si>
    <t>a1G3p000003GJ4PEAW</t>
  </si>
  <si>
    <t>ID-253198</t>
  </si>
  <si>
    <t>a1G3p000003GJ4QEAW</t>
  </si>
  <si>
    <t>ID-253199</t>
  </si>
  <si>
    <t>a1G3p000003GJ4REAW</t>
  </si>
  <si>
    <t>ID-253200</t>
  </si>
  <si>
    <t>II-28535</t>
  </si>
  <si>
    <t>a1G3p000003GJ4SEAW</t>
  </si>
  <si>
    <t>ID-253201</t>
  </si>
  <si>
    <t>a1G3p000003GJ4TEAW</t>
  </si>
  <si>
    <t>ID-253202</t>
  </si>
  <si>
    <t>a1G3p000003GJ4UEAW</t>
  </si>
  <si>
    <t>ID-253203</t>
  </si>
  <si>
    <t>a1G3p000003GJ4VEAW</t>
  </si>
  <si>
    <t>ID-253204</t>
  </si>
  <si>
    <t>a1G3p000003GJ4WEAW</t>
  </si>
  <si>
    <t>ID-253205</t>
  </si>
  <si>
    <t>a1G3p000003GJ4XEAW</t>
  </si>
  <si>
    <t>ID-253206</t>
  </si>
  <si>
    <t>a1G3p000003GJ4YEAW</t>
  </si>
  <si>
    <t>ID-253207</t>
  </si>
  <si>
    <t>a1G3p000003GJ4ZEAW</t>
  </si>
  <si>
    <t>ID-253208</t>
  </si>
  <si>
    <t>a1G3p000003GJ4aEAG</t>
  </si>
  <si>
    <t>ID-253209</t>
  </si>
  <si>
    <t>a1G3p000003GJ4bEAG</t>
  </si>
  <si>
    <t>ID-253210</t>
  </si>
  <si>
    <t>II-28536</t>
  </si>
  <si>
    <t>a1G3p000003GJ4cEAG</t>
  </si>
  <si>
    <t>ID-253211</t>
  </si>
  <si>
    <t>a1G3p000003GJ4dEAG</t>
  </si>
  <si>
    <t>ID-253212</t>
  </si>
  <si>
    <t>a1G3p000003GJ4eEAG</t>
  </si>
  <si>
    <t>ID-253213</t>
  </si>
  <si>
    <t>a1G3p000003GJ4fEAG</t>
  </si>
  <si>
    <t>ID-253214</t>
  </si>
  <si>
    <t>a1G3p000003GJ4gEAG</t>
  </si>
  <si>
    <t>ID-253215</t>
  </si>
  <si>
    <t>a1G3p000003GJ4hEAG</t>
  </si>
  <si>
    <t>ID-253216</t>
  </si>
  <si>
    <t>a1G3p000003GJ4iEAG</t>
  </si>
  <si>
    <t>ID-253217</t>
  </si>
  <si>
    <t>a1G3p000003GJ4jEAG</t>
  </si>
  <si>
    <t>ID-253218</t>
  </si>
  <si>
    <t>a1G3p000003GJ4kEAG</t>
  </si>
  <si>
    <t>ID-253219</t>
  </si>
  <si>
    <t>a1G3p000003GJ4lEAG</t>
  </si>
  <si>
    <t>ID-253220</t>
  </si>
  <si>
    <t>II-28537</t>
  </si>
  <si>
    <t>a1G3p000003GJ4mEAG</t>
  </si>
  <si>
    <t>ID-253221</t>
  </si>
  <si>
    <t>a1G3p000003GJ4nEAG</t>
  </si>
  <si>
    <t>ID-253222</t>
  </si>
  <si>
    <t>a1G3p000003GJ4oEAG</t>
  </si>
  <si>
    <t>ID-253223</t>
  </si>
  <si>
    <t>a1G3p000003GJ4pEAG</t>
  </si>
  <si>
    <t>ID-253224</t>
  </si>
  <si>
    <t>a1G3p000003GJ4qEAG</t>
  </si>
  <si>
    <t>ID-253225</t>
  </si>
  <si>
    <t>a1G3p000003GJ4rEAG</t>
  </si>
  <si>
    <t>ID-253226</t>
  </si>
  <si>
    <t>a1G3p000003GJ4sEAG</t>
  </si>
  <si>
    <t>ID-253227</t>
  </si>
  <si>
    <t>a1G3p000003GJ4tEAG</t>
  </si>
  <si>
    <t>ID-253228</t>
  </si>
  <si>
    <t>a1G3p000003GJ4uEAG</t>
  </si>
  <si>
    <t>ID-253229</t>
  </si>
  <si>
    <t>a1G3p000003GJ4vEAG</t>
  </si>
  <si>
    <t>ID-253230</t>
  </si>
  <si>
    <t>II-28538</t>
  </si>
  <si>
    <t>a1G3p000003GJ4wEAG</t>
  </si>
  <si>
    <t>ID-253231</t>
  </si>
  <si>
    <t>a1G3p000003GJ4xEAG</t>
  </si>
  <si>
    <t>ID-253232</t>
  </si>
  <si>
    <t>a1G3p000003GJ4yEAG</t>
  </si>
  <si>
    <t>ID-253233</t>
  </si>
  <si>
    <t>a1G3p000003GJ4zEAG</t>
  </si>
  <si>
    <t>ID-253234</t>
  </si>
  <si>
    <t>a1G3p000003GJ50EAG</t>
  </si>
  <si>
    <t>ID-253235</t>
  </si>
  <si>
    <t>a1G3p000003GJ51EAG</t>
  </si>
  <si>
    <t>ID-253236</t>
  </si>
  <si>
    <t>a1G3p000003GJ52EAG</t>
  </si>
  <si>
    <t>ID-253237</t>
  </si>
  <si>
    <t>a1G3p000003GJ53EAG</t>
  </si>
  <si>
    <t>ID-253238</t>
  </si>
  <si>
    <t>a1G3p000003GJ54EAG</t>
  </si>
  <si>
    <t>ID-253239</t>
  </si>
  <si>
    <t>a1G3p000003GJ55EAG</t>
  </si>
  <si>
    <t>ID-253240</t>
  </si>
  <si>
    <t>II-28539</t>
  </si>
  <si>
    <t>a1G3p000003GJ56EAG</t>
  </si>
  <si>
    <t>ID-253241</t>
  </si>
  <si>
    <t>a1G3p000003GJ57EAG</t>
  </si>
  <si>
    <t>ID-253242</t>
  </si>
  <si>
    <t>a1G3p000003GJ58EAG</t>
  </si>
  <si>
    <t>ID-253243</t>
  </si>
  <si>
    <t>a1G3p000003GJ59EAG</t>
  </si>
  <si>
    <t>ID-253244</t>
  </si>
  <si>
    <t>a1G3p000003GJ5AEAW</t>
  </si>
  <si>
    <t>ID-253245</t>
  </si>
  <si>
    <t>a1G3p000003GJ5BEAW</t>
  </si>
  <si>
    <t>ID-253246</t>
  </si>
  <si>
    <t>a1G3p000003GJ5CEAW</t>
  </si>
  <si>
    <t>ID-253247</t>
  </si>
  <si>
    <t>a1G3p000003GJ5DEAW</t>
  </si>
  <si>
    <t>ID-253248</t>
  </si>
  <si>
    <t>a1G3p000003GJ5EEAW</t>
  </si>
  <si>
    <t>ID-253249</t>
  </si>
  <si>
    <t>a1G3p000003GJ5FEAW</t>
  </si>
  <si>
    <t>ID-253250</t>
  </si>
  <si>
    <t>II-28540</t>
  </si>
  <si>
    <t>a1G3p000003GJ5GEAW</t>
  </si>
  <si>
    <t>ID-253251</t>
  </si>
  <si>
    <t>a1G3p000003GJ5HEAW</t>
  </si>
  <si>
    <t>ID-253252</t>
  </si>
  <si>
    <t>a1G3p000003GJ5IEAW</t>
  </si>
  <si>
    <t>ID-253253</t>
  </si>
  <si>
    <t>a1G3p000003GJ5JEAW</t>
  </si>
  <si>
    <t>ID-253254</t>
  </si>
  <si>
    <t>a1G3p000003GJ5KEAW</t>
  </si>
  <si>
    <t>ID-253255</t>
  </si>
  <si>
    <t>a1G3p000003GJ5LEAW</t>
  </si>
  <si>
    <t>ID-253256</t>
  </si>
  <si>
    <t>a1G3p000003GJ5MEAW</t>
  </si>
  <si>
    <t>ID-253257</t>
  </si>
  <si>
    <t>a1G3p000003GJ5NEAW</t>
  </si>
  <si>
    <t>ID-253258</t>
  </si>
  <si>
    <t>a1G3p000003GJ5OEAW</t>
  </si>
  <si>
    <t>ID-253259</t>
  </si>
  <si>
    <t>a1G3p000003GJ5PEAW</t>
  </si>
  <si>
    <t>ID-253260</t>
  </si>
  <si>
    <t>II-28541</t>
  </si>
  <si>
    <t>a1G3p000003GJ5QEAW</t>
  </si>
  <si>
    <t>ID-253261</t>
  </si>
  <si>
    <t>a1G3p000003GJ5REAW</t>
  </si>
  <si>
    <t>ID-253262</t>
  </si>
  <si>
    <t>a1G3p000003GJ5SEAW</t>
  </si>
  <si>
    <t>ID-253263</t>
  </si>
  <si>
    <t>a1G3p000003GJ5TEAW</t>
  </si>
  <si>
    <t>ID-253264</t>
  </si>
  <si>
    <t>a1G3p000003GJ5UEAW</t>
  </si>
  <si>
    <t>ID-253265</t>
  </si>
  <si>
    <t>a1G3p000003GJ5VEAW</t>
  </si>
  <si>
    <t>ID-253266</t>
  </si>
  <si>
    <t>a1G3p000003GJ5WEAW</t>
  </si>
  <si>
    <t>ID-253267</t>
  </si>
  <si>
    <t>a1G3p000003GJ5XEAW</t>
  </si>
  <si>
    <t>ID-253268</t>
  </si>
  <si>
    <t>a1G3p000003GJ5YEAW</t>
  </si>
  <si>
    <t>ID-253269</t>
  </si>
  <si>
    <t>a1G3p000003GJ5ZEAW</t>
  </si>
  <si>
    <t>ID-253270</t>
  </si>
  <si>
    <t>II-28542</t>
  </si>
  <si>
    <t>a1G3p000003GJ5aEAG</t>
  </si>
  <si>
    <t>ID-253271</t>
  </si>
  <si>
    <t>a1G3p000003GJ5bEAG</t>
  </si>
  <si>
    <t>ID-253272</t>
  </si>
  <si>
    <t>a1G3p000003GJ5cEAG</t>
  </si>
  <si>
    <t>ID-253273</t>
  </si>
  <si>
    <t>a1G3p000003GJ5dEAG</t>
  </si>
  <si>
    <t>ID-253274</t>
  </si>
  <si>
    <t>a1G3p000003GJ5eEAG</t>
  </si>
  <si>
    <t>ID-253275</t>
  </si>
  <si>
    <t>a1G3p000003GJ5fEAG</t>
  </si>
  <si>
    <t>ID-253276</t>
  </si>
  <si>
    <t>a1G3p000003GJ5gEAG</t>
  </si>
  <si>
    <t>ID-253277</t>
  </si>
  <si>
    <t>a1G3p000003GJ5hEAG</t>
  </si>
  <si>
    <t>ID-253278</t>
  </si>
  <si>
    <t>a1G3p000003GJ5iEAG</t>
  </si>
  <si>
    <t>ID-253279</t>
  </si>
  <si>
    <t>a1G3p000003GJ5jEAG</t>
  </si>
  <si>
    <t>ID-253280</t>
  </si>
  <si>
    <t>II-28543</t>
  </si>
  <si>
    <t>a1G3p000003GJ5kEAG</t>
  </si>
  <si>
    <t>ID-253281</t>
  </si>
  <si>
    <t>a1G3p000003GJ5lEAG</t>
  </si>
  <si>
    <t>ID-253282</t>
  </si>
  <si>
    <t>a1G3p000003GJ5mEAG</t>
  </si>
  <si>
    <t>ID-253283</t>
  </si>
  <si>
    <t>a1G3p000003GJ5nEAG</t>
  </si>
  <si>
    <t>ID-253284</t>
  </si>
  <si>
    <t>a1G3p000003GJ5oEAG</t>
  </si>
  <si>
    <t>ID-253285</t>
  </si>
  <si>
    <t>a1G3p000003GJ5pEAG</t>
  </si>
  <si>
    <t>ID-253286</t>
  </si>
  <si>
    <t>a1G3p000003GJ5qEAG</t>
  </si>
  <si>
    <t>ID-253287</t>
  </si>
  <si>
    <t>a1G3p000003GJ5rEAG</t>
  </si>
  <si>
    <t>ID-253288</t>
  </si>
  <si>
    <t>a1G3p000003GJ5sEAG</t>
  </si>
  <si>
    <t>ID-253289</t>
  </si>
  <si>
    <t>a1G3p000003GJ5tEAG</t>
  </si>
  <si>
    <t>ID-253290</t>
  </si>
  <si>
    <t>II-28544</t>
  </si>
  <si>
    <t>a1G3p000003GJ5uEAG</t>
  </si>
  <si>
    <t>ID-253291</t>
  </si>
  <si>
    <t>a1G3p000003GJ5vEAG</t>
  </si>
  <si>
    <t>ID-253292</t>
  </si>
  <si>
    <t>a1G3p000003GJ5wEAG</t>
  </si>
  <si>
    <t>ID-253293</t>
  </si>
  <si>
    <t>a1G3p000003GJ5xEAG</t>
  </si>
  <si>
    <t>ID-253294</t>
  </si>
  <si>
    <t>a1G3p000003GJ5yEAG</t>
  </si>
  <si>
    <t>ID-253295</t>
  </si>
  <si>
    <t>a1G3p000003GJ5zEAG</t>
  </si>
  <si>
    <t>ID-253296</t>
  </si>
  <si>
    <t>a1G3p000003GJ60EAG</t>
  </si>
  <si>
    <t>ID-253297</t>
  </si>
  <si>
    <t>a1G3p000003GJ61EAG</t>
  </si>
  <si>
    <t>ID-253298</t>
  </si>
  <si>
    <t>a1G3p000003GJ62EAG</t>
  </si>
  <si>
    <t>ID-253299</t>
  </si>
  <si>
    <t>a1G3p000003GJ63EAG</t>
  </si>
  <si>
    <t>ODN-250636</t>
  </si>
  <si>
    <t>OI-27751</t>
  </si>
  <si>
    <t>a1V3p000004fwtWEAQ</t>
  </si>
  <si>
    <t>ODN-250637</t>
  </si>
  <si>
    <t>a1V3p000004fwtXEAQ</t>
  </si>
  <si>
    <t>ODN-250638</t>
  </si>
  <si>
    <t>a1V3p000004fwtYEAQ</t>
  </si>
  <si>
    <t>ODN-250639</t>
  </si>
  <si>
    <t>a1V3p000004fwtZEAQ</t>
  </si>
  <si>
    <t>ODN-250640</t>
  </si>
  <si>
    <t>a1V3p000004fwtaEAA</t>
  </si>
  <si>
    <t>ODN-250641</t>
  </si>
  <si>
    <t>a1V3p000004fwtbEAA</t>
  </si>
  <si>
    <t>ODN-250642</t>
  </si>
  <si>
    <t>a1V3p000004fwtcEAA</t>
  </si>
  <si>
    <t>ODN-250643</t>
  </si>
  <si>
    <t>a1V3p000004fwtdEAA</t>
  </si>
  <si>
    <t>ODN-250644</t>
  </si>
  <si>
    <t>a1V3p000004fwteEAA</t>
  </si>
  <si>
    <t>ODN-250645</t>
  </si>
  <si>
    <t>a1V3p000004fwtfEAA</t>
  </si>
  <si>
    <t>ODN-250646</t>
  </si>
  <si>
    <t>OI-27752</t>
  </si>
  <si>
    <t>a1V3p000004fwtgEAA</t>
  </si>
  <si>
    <t>ODN-250647</t>
  </si>
  <si>
    <t>a1V3p000004fwthEAA</t>
  </si>
  <si>
    <t>ODN-250648</t>
  </si>
  <si>
    <t>a1V3p000004fwtiEAA</t>
  </si>
  <si>
    <t>ODN-250649</t>
  </si>
  <si>
    <t>a1V3p000004fwtjEAA</t>
  </si>
  <si>
    <t>ODN-250650</t>
  </si>
  <si>
    <t>a1V3p000004fwtkEAA</t>
  </si>
  <si>
    <t>ODN-250651</t>
  </si>
  <si>
    <t>a1V3p000004fwtlEAA</t>
  </si>
  <si>
    <t>ODN-250652</t>
  </si>
  <si>
    <t>a1V3p000004fwtmEAA</t>
  </si>
  <si>
    <t>ODN-250653</t>
  </si>
  <si>
    <t>a1V3p000004fwtnEAA</t>
  </si>
  <si>
    <t>ODN-250654</t>
  </si>
  <si>
    <t>a1V3p000004fwtoEAA</t>
  </si>
  <si>
    <t>ODN-250655</t>
  </si>
  <si>
    <t>a1V3p000004fwtpEAA</t>
  </si>
  <si>
    <t>ODN-250656</t>
  </si>
  <si>
    <t>OI-27753</t>
  </si>
  <si>
    <t>a1V3p000004fwtqEAA</t>
  </si>
  <si>
    <t>ODN-250657</t>
  </si>
  <si>
    <t>a1V3p000004fwtrEAA</t>
  </si>
  <si>
    <t>ODN-250658</t>
  </si>
  <si>
    <t>a1V3p000004fwtsEAA</t>
  </si>
  <si>
    <t>ODN-250659</t>
  </si>
  <si>
    <t>a1V3p000004fwttEAA</t>
  </si>
  <si>
    <t>ODN-250660</t>
  </si>
  <si>
    <t>a1V3p000004fwtuEAA</t>
  </si>
  <si>
    <t>ODN-250661</t>
  </si>
  <si>
    <t>a1V3p000004fwtvEAA</t>
  </si>
  <si>
    <t>ODN-250662</t>
  </si>
  <si>
    <t>a1V3p000004fwtwEAA</t>
  </si>
  <si>
    <t>ODN-250663</t>
  </si>
  <si>
    <t>a1V3p000004fwtxEAA</t>
  </si>
  <si>
    <t>ODN-250664</t>
  </si>
  <si>
    <t>a1V3p000004fwtyEAA</t>
  </si>
  <si>
    <t>ODN-250665</t>
  </si>
  <si>
    <t>a1V3p000004fwtzEAA</t>
  </si>
  <si>
    <t>ODN-250666</t>
  </si>
  <si>
    <t>OI-27754</t>
  </si>
  <si>
    <t>a1V3p000004fwu0EAA</t>
  </si>
  <si>
    <t>ODN-250667</t>
  </si>
  <si>
    <t>a1V3p000004fwu1EAA</t>
  </si>
  <si>
    <t>ODN-250668</t>
  </si>
  <si>
    <t>a1V3p000004fwu2EAA</t>
  </si>
  <si>
    <t>ODN-250669</t>
  </si>
  <si>
    <t>a1V3p000004fwu3EAA</t>
  </si>
  <si>
    <t>ODN-250670</t>
  </si>
  <si>
    <t>a1V3p000004fwu4EAA</t>
  </si>
  <si>
    <t>ODN-250671</t>
  </si>
  <si>
    <t>a1V3p000004fwu5EAA</t>
  </si>
  <si>
    <t>ODN-250672</t>
  </si>
  <si>
    <t>a1V3p000004fwu6EAA</t>
  </si>
  <si>
    <t>ODN-250673</t>
  </si>
  <si>
    <t>a1V3p000004fwu7EAA</t>
  </si>
  <si>
    <t>ODN-250674</t>
  </si>
  <si>
    <t>a1V3p000004fwu8EAA</t>
  </si>
  <si>
    <t>ODN-250675</t>
  </si>
  <si>
    <t>a1V3p000004fwu9EAA</t>
  </si>
  <si>
    <t>ODN-250676</t>
  </si>
  <si>
    <t>OI-27755</t>
  </si>
  <si>
    <t>a1V3p000004fwuAEAQ</t>
  </si>
  <si>
    <t>ODN-250677</t>
  </si>
  <si>
    <t>a1V3p000004fwuBEAQ</t>
  </si>
  <si>
    <t>ODN-250678</t>
  </si>
  <si>
    <t>a1V3p000004fwuCEAQ</t>
  </si>
  <si>
    <t>ODN-250679</t>
  </si>
  <si>
    <t>a1V3p000004fwuDEAQ</t>
  </si>
  <si>
    <t>ODN-250680</t>
  </si>
  <si>
    <t>a1V3p000004fwuEEAQ</t>
  </si>
  <si>
    <t>ODN-250681</t>
  </si>
  <si>
    <t>a1V3p000004fwuFEAQ</t>
  </si>
  <si>
    <t>ODN-250682</t>
  </si>
  <si>
    <t>a1V3p000004fwuGEAQ</t>
  </si>
  <si>
    <t>ODN-250683</t>
  </si>
  <si>
    <t>a1V3p000004fwuHEAQ</t>
  </si>
  <si>
    <t>ODN-250684</t>
  </si>
  <si>
    <t>a1V3p000004fwuIEAQ</t>
  </si>
  <si>
    <t>ODN-250685</t>
  </si>
  <si>
    <t>a1V3p000004fwuJEAQ</t>
  </si>
  <si>
    <t>ODN-250686</t>
  </si>
  <si>
    <t>OI-27756</t>
  </si>
  <si>
    <t>a1V3p000004fwuKEAQ</t>
  </si>
  <si>
    <t>ODN-250687</t>
  </si>
  <si>
    <t>a1V3p000004fwuLEAQ</t>
  </si>
  <si>
    <t>ODN-250688</t>
  </si>
  <si>
    <t>a1V3p000004fwuMEAQ</t>
  </si>
  <si>
    <t>ODN-250689</t>
  </si>
  <si>
    <t>a1V3p000004fwuNEAQ</t>
  </si>
  <si>
    <t>ODN-250690</t>
  </si>
  <si>
    <t>a1V3p000004fwuOEAQ</t>
  </si>
  <si>
    <t>ODN-250691</t>
  </si>
  <si>
    <t>a1V3p000004fwuPEAQ</t>
  </si>
  <si>
    <t>ODN-250692</t>
  </si>
  <si>
    <t>a1V3p000004fwuQEAQ</t>
  </si>
  <si>
    <t>ODN-250693</t>
  </si>
  <si>
    <t>a1V3p000004fwuREAQ</t>
  </si>
  <si>
    <t>ODN-250694</t>
  </si>
  <si>
    <t>a1V3p000004fwuSEAQ</t>
  </si>
  <si>
    <t>ODN-250695</t>
  </si>
  <si>
    <t>a1V3p000004fwuTEAQ</t>
  </si>
  <si>
    <t>ODN-250696</t>
  </si>
  <si>
    <t>OI-27757</t>
  </si>
  <si>
    <t>a1V3p000004fwuUEAQ</t>
  </si>
  <si>
    <t>ODN-250697</t>
  </si>
  <si>
    <t>a1V3p000004fwuVEAQ</t>
  </si>
  <si>
    <t>ODN-250698</t>
  </si>
  <si>
    <t>a1V3p000004fwuWEAQ</t>
  </si>
  <si>
    <t>ODN-250699</t>
  </si>
  <si>
    <t>a1V3p000004fwuXEAQ</t>
  </si>
  <si>
    <t>ODN-250700</t>
  </si>
  <si>
    <t>a1V3p000004fwuYEAQ</t>
  </si>
  <si>
    <t>ODN-250701</t>
  </si>
  <si>
    <t>a1V3p000004fwuZEAQ</t>
  </si>
  <si>
    <t>ODN-250702</t>
  </si>
  <si>
    <t>a1V3p000004fwuaEAA</t>
  </si>
  <si>
    <t>ODN-250703</t>
  </si>
  <si>
    <t>a1V3p000004fwubEAA</t>
  </si>
  <si>
    <t>ODN-250704</t>
  </si>
  <si>
    <t>a1V3p000004fwucEAA</t>
  </si>
  <si>
    <t>ODN-250705</t>
  </si>
  <si>
    <t>a1V3p000004fwudEAA</t>
  </si>
  <si>
    <t>ODN-250706</t>
  </si>
  <si>
    <t>OI-27758</t>
  </si>
  <si>
    <t>a1V3p000004fwueEAA</t>
  </si>
  <si>
    <t>ODN-250707</t>
  </si>
  <si>
    <t>a1V3p000004fwufEAA</t>
  </si>
  <si>
    <t>ODN-250708</t>
  </si>
  <si>
    <t>a1V3p000004fwugEAA</t>
  </si>
  <si>
    <t>ODN-250709</t>
  </si>
  <si>
    <t>a1V3p000004fwuhEAA</t>
  </si>
  <si>
    <t>ODN-250710</t>
  </si>
  <si>
    <t>a1V3p000004fwuiEAA</t>
  </si>
  <si>
    <t>ODN-250711</t>
  </si>
  <si>
    <t>a1V3p000004fwujEAA</t>
  </si>
  <si>
    <t>ODN-250712</t>
  </si>
  <si>
    <t>a1V3p000004fwukEAA</t>
  </si>
  <si>
    <t>ODN-250713</t>
  </si>
  <si>
    <t>a1V3p000004fwulEAA</t>
  </si>
  <si>
    <t>ODN-250714</t>
  </si>
  <si>
    <t>a1V3p000004fwumEAA</t>
  </si>
  <si>
    <t>ODN-250715</t>
  </si>
  <si>
    <t>a1V3p000004fwunEAA</t>
  </si>
  <si>
    <t>ODN-250716</t>
  </si>
  <si>
    <t>OI-27759</t>
  </si>
  <si>
    <t>a1V3p000004fwuoEAA</t>
  </si>
  <si>
    <t>ODN-250717</t>
  </si>
  <si>
    <t>a1V3p000004fwupEAA</t>
  </si>
  <si>
    <t>ODN-250718</t>
  </si>
  <si>
    <t>a1V3p000004fwuqEAA</t>
  </si>
  <si>
    <t>ODN-250719</t>
  </si>
  <si>
    <t>a1V3p000004fwurEAA</t>
  </si>
  <si>
    <t>ODN-250720</t>
  </si>
  <si>
    <t>a1V3p000004fwusEAA</t>
  </si>
  <si>
    <t>ODN-250721</t>
  </si>
  <si>
    <t>a1V3p000004fwutEAA</t>
  </si>
  <si>
    <t>ODN-250722</t>
  </si>
  <si>
    <t>a1V3p000004fwuuEAA</t>
  </si>
  <si>
    <t>ODN-250723</t>
  </si>
  <si>
    <t>a1V3p000004fwuvEAA</t>
  </si>
  <si>
    <t>ODN-250724</t>
  </si>
  <si>
    <t>a1V3p000004fwuwEAA</t>
  </si>
  <si>
    <t>ODN-250725</t>
  </si>
  <si>
    <t>a1V3p000004fwuxEAA</t>
  </si>
  <si>
    <t>ODN-250726</t>
  </si>
  <si>
    <t>OI-27760</t>
  </si>
  <si>
    <t>a1V3p000004fwuyEAA</t>
  </si>
  <si>
    <t>ODN-250727</t>
  </si>
  <si>
    <t>a1V3p000004fwuzEAA</t>
  </si>
  <si>
    <t>ODN-250728</t>
  </si>
  <si>
    <t>a1V3p000004fwv0EAA</t>
  </si>
  <si>
    <t>ODN-250729</t>
  </si>
  <si>
    <t>a1V3p000004fwv1EAA</t>
  </si>
  <si>
    <t>ODN-250730</t>
  </si>
  <si>
    <t>a1V3p000004fwv2EAA</t>
  </si>
  <si>
    <t>ODN-250731</t>
  </si>
  <si>
    <t>a1V3p000004fwv3EAA</t>
  </si>
  <si>
    <t>ODN-250732</t>
  </si>
  <si>
    <t>a1V3p000004fwv4EAA</t>
  </si>
  <si>
    <t>ODN-250733</t>
  </si>
  <si>
    <t>a1V3p000004fwv5EAA</t>
  </si>
  <si>
    <t>ODN-250734</t>
  </si>
  <si>
    <t>a1V3p000004fwv6EAA</t>
  </si>
  <si>
    <t>ODN-250735</t>
  </si>
  <si>
    <t>a1V3p000004fwv7EAA</t>
  </si>
  <si>
    <t>ODN-250736</t>
  </si>
  <si>
    <t>OI-27761</t>
  </si>
  <si>
    <t>a1V3p000004fwv8EAA</t>
  </si>
  <si>
    <t>ODN-250737</t>
  </si>
  <si>
    <t>a1V3p000004fwv9EAA</t>
  </si>
  <si>
    <t>ODN-250738</t>
  </si>
  <si>
    <t>a1V3p000004fwvAEAQ</t>
  </si>
  <si>
    <t>ODN-250739</t>
  </si>
  <si>
    <t>a1V3p000004fwvBEAQ</t>
  </si>
  <si>
    <t>ODN-250740</t>
  </si>
  <si>
    <t>a1V3p000004fwvCEAQ</t>
  </si>
  <si>
    <t>ODN-250741</t>
  </si>
  <si>
    <t>a1V3p000004fwvDEAQ</t>
  </si>
  <si>
    <t>ODN-250742</t>
  </si>
  <si>
    <t>a1V3p000004fwvEEAQ</t>
  </si>
  <si>
    <t>ODN-250743</t>
  </si>
  <si>
    <t>a1V3p000004fwvFEAQ</t>
  </si>
  <si>
    <t>ODN-250744</t>
  </si>
  <si>
    <t>a1V3p000004fwvGEAQ</t>
  </si>
  <si>
    <t>ODN-250745</t>
  </si>
  <si>
    <t>a1V3p000004fwvHEAQ</t>
  </si>
  <si>
    <t>ODN-250746</t>
  </si>
  <si>
    <t>OI-27762</t>
  </si>
  <si>
    <t>a1V3p000004fwvIEAQ</t>
  </si>
  <si>
    <t>ODN-250747</t>
  </si>
  <si>
    <t>a1V3p000004fwvJEAQ</t>
  </si>
  <si>
    <t>ODN-250748</t>
  </si>
  <si>
    <t>a1V3p000004fwvKEAQ</t>
  </si>
  <si>
    <t>ODN-250749</t>
  </si>
  <si>
    <t>a1V3p000004fwvLEAQ</t>
  </si>
  <si>
    <t>ODN-250750</t>
  </si>
  <si>
    <t>a1V3p000004fwvMEAQ</t>
  </si>
  <si>
    <t>ODN-250751</t>
  </si>
  <si>
    <t>a1V3p000004fwvNEAQ</t>
  </si>
  <si>
    <t>ODN-250752</t>
  </si>
  <si>
    <t>a1V3p000004fwvOEAQ</t>
  </si>
  <si>
    <t>ODN-250753</t>
  </si>
  <si>
    <t>a1V3p000004fwvPEAQ</t>
  </si>
  <si>
    <t>ODN-250754</t>
  </si>
  <si>
    <t>a1V3p000004fwvQEAQ</t>
  </si>
  <si>
    <t>ODN-250755</t>
  </si>
  <si>
    <t>a1V3p000004fwvREAQ</t>
  </si>
  <si>
    <t>ODN-250756</t>
  </si>
  <si>
    <t>OI-27763</t>
  </si>
  <si>
    <t>a1V3p000004fwvSEAQ</t>
  </si>
  <si>
    <t>ODN-250757</t>
  </si>
  <si>
    <t>a1V3p000004fwvTEAQ</t>
  </si>
  <si>
    <t>ODN-250758</t>
  </si>
  <si>
    <t>a1V3p000004fwvUEAQ</t>
  </si>
  <si>
    <t>ODN-250759</t>
  </si>
  <si>
    <t>a1V3p000004fwvVEAQ</t>
  </si>
  <si>
    <t>ODN-250760</t>
  </si>
  <si>
    <t>a1V3p000004fwvWEAQ</t>
  </si>
  <si>
    <t>ODN-250761</t>
  </si>
  <si>
    <t>a1V3p000004fwvXEAQ</t>
  </si>
  <si>
    <t>ODN-250762</t>
  </si>
  <si>
    <t>a1V3p000004fwvYEAQ</t>
  </si>
  <si>
    <t>ODN-250763</t>
  </si>
  <si>
    <t>a1V3p000004fwvZEAQ</t>
  </si>
  <si>
    <t>ODN-250764</t>
  </si>
  <si>
    <t>a1V3p000004fwvaEAA</t>
  </si>
  <si>
    <t>ODN-250765</t>
  </si>
  <si>
    <t>a1V3p000004fwvbEAA</t>
  </si>
  <si>
    <t>ODN-250766</t>
  </si>
  <si>
    <t>OI-27764</t>
  </si>
  <si>
    <t>a1V3p000004fwvcEAA</t>
  </si>
  <si>
    <t>ODN-250767</t>
  </si>
  <si>
    <t>a1V3p000004fwvdEAA</t>
  </si>
  <si>
    <t>ODN-250768</t>
  </si>
  <si>
    <t>a1V3p000004fwveEAA</t>
  </si>
  <si>
    <t>ODN-250769</t>
  </si>
  <si>
    <t>a1V3p000004fwvfEAA</t>
  </si>
  <si>
    <t>ODN-250770</t>
  </si>
  <si>
    <t>a1V3p000004fwvgEAA</t>
  </si>
  <si>
    <t>ODN-250771</t>
  </si>
  <si>
    <t>a1V3p000004fwvhEAA</t>
  </si>
  <si>
    <t>ODN-250772</t>
  </si>
  <si>
    <t>a1V3p000004fwviEAA</t>
  </si>
  <si>
    <t>ODN-250773</t>
  </si>
  <si>
    <t>a1V3p000004fwvjEAA</t>
  </si>
  <si>
    <t>ODN-250774</t>
  </si>
  <si>
    <t>a1V3p000004fwvkEAA</t>
  </si>
  <si>
    <t>ODN-250775</t>
  </si>
  <si>
    <t>a1V3p000004fwvlEAA</t>
  </si>
  <si>
    <t>ODN-250776</t>
  </si>
  <si>
    <t>OI-27765</t>
  </si>
  <si>
    <t>a1V3p000004fwvmEAA</t>
  </si>
  <si>
    <t>ODN-250777</t>
  </si>
  <si>
    <t>a1V3p000004fwvnEAA</t>
  </si>
  <si>
    <t>ODN-250778</t>
  </si>
  <si>
    <t>a1V3p000004fwvoEAA</t>
  </si>
  <si>
    <t>ODN-250779</t>
  </si>
  <si>
    <t>a1V3p000004fwvpEAA</t>
  </si>
  <si>
    <t>ODN-250780</t>
  </si>
  <si>
    <t>a1V3p000004fwvqEAA</t>
  </si>
  <si>
    <t>ODN-250781</t>
  </si>
  <si>
    <t>a1V3p000004fwvrEAA</t>
  </si>
  <si>
    <t>ODN-250782</t>
  </si>
  <si>
    <t>a1V3p000004fwvsEAA</t>
  </si>
  <si>
    <t>ODN-250783</t>
  </si>
  <si>
    <t>a1V3p000004fwvtEAA</t>
  </si>
  <si>
    <t>ODN-250784</t>
  </si>
  <si>
    <t>a1V3p000004fwvuEAA</t>
  </si>
  <si>
    <t>ODN-250785</t>
  </si>
  <si>
    <t>a1V3p000004fwvvEAA</t>
  </si>
  <si>
    <t>CD-565409</t>
  </si>
  <si>
    <t>CI-56490</t>
  </si>
  <si>
    <t>a163p000002zQZNAA2</t>
  </si>
  <si>
    <t>CD-565410</t>
  </si>
  <si>
    <t>a163p000002zQZOAA2</t>
  </si>
  <si>
    <t>CD-565411</t>
  </si>
  <si>
    <t>a163p000002zQZPAA2</t>
  </si>
  <si>
    <t>CD-565412</t>
  </si>
  <si>
    <t>a163p000002zQZQAA2</t>
  </si>
  <si>
    <t>CD-565413</t>
  </si>
  <si>
    <t>a163p000002zQZRAA2</t>
  </si>
  <si>
    <t>CD-565414</t>
  </si>
  <si>
    <t>a163p000002zQZSAA2</t>
  </si>
  <si>
    <t>CD-565415</t>
  </si>
  <si>
    <t>a163p000002zQZTAA2</t>
  </si>
  <si>
    <t>CD-565416</t>
  </si>
  <si>
    <t>a163p000002zQZUAA2</t>
  </si>
  <si>
    <t>CD-565417</t>
  </si>
  <si>
    <t>a163p000002zQZVAA2</t>
  </si>
  <si>
    <t>CD-565418</t>
  </si>
  <si>
    <t>a163p000002zQZWAA2</t>
  </si>
  <si>
    <t>CD-565419</t>
  </si>
  <si>
    <t>a163p000002zQZXAA2</t>
  </si>
  <si>
    <t>CD-565420</t>
  </si>
  <si>
    <t>a163p000002zQZYAA2</t>
  </si>
  <si>
    <t>CD-565421</t>
  </si>
  <si>
    <t>a163p000002zQZZAA2</t>
  </si>
  <si>
    <t>CD-565422</t>
  </si>
  <si>
    <t>a163p000002zQZaAAM</t>
  </si>
  <si>
    <t>CD-565423</t>
  </si>
  <si>
    <t>a163p000002zQZbAAM</t>
  </si>
  <si>
    <t>CD-565424</t>
  </si>
  <si>
    <t>a163p000002zQZcAAM</t>
  </si>
  <si>
    <t>CD-565425</t>
  </si>
  <si>
    <t>a163p000002zQZdAAM</t>
  </si>
  <si>
    <t>CD-565426</t>
  </si>
  <si>
    <t>a163p000002zQZeAAM</t>
  </si>
  <si>
    <t>CD-565427</t>
  </si>
  <si>
    <t>a163p000002zQZfAAM</t>
  </si>
  <si>
    <t>CD-565428</t>
  </si>
  <si>
    <t>a163p000002zQZgAAM</t>
  </si>
  <si>
    <t>CD-565429</t>
  </si>
  <si>
    <t>CI-56491</t>
  </si>
  <si>
    <t>a163p000002zQZhAAM</t>
  </si>
  <si>
    <t>CD-565430</t>
  </si>
  <si>
    <t>a163p000002zQZiAAM</t>
  </si>
  <si>
    <t>CD-565431</t>
  </si>
  <si>
    <t>a163p000002zQZjAAM</t>
  </si>
  <si>
    <t>CD-565432</t>
  </si>
  <si>
    <t>a163p000002zQZkAAM</t>
  </si>
  <si>
    <t>CD-565433</t>
  </si>
  <si>
    <t>a163p000002zQZlAAM</t>
  </si>
  <si>
    <t>CD-565434</t>
  </si>
  <si>
    <t>a163p000002zQZmAAM</t>
  </si>
  <si>
    <t>CD-565435</t>
  </si>
  <si>
    <t>a163p000002zQZnAAM</t>
  </si>
  <si>
    <t>CD-565436</t>
  </si>
  <si>
    <t>a163p000002zQZoAAM</t>
  </si>
  <si>
    <t>CD-565437</t>
  </si>
  <si>
    <t>a163p000002zQZpAAM</t>
  </si>
  <si>
    <t>CD-565438</t>
  </si>
  <si>
    <t>a163p000002zQZqAAM</t>
  </si>
  <si>
    <t>CD-565439</t>
  </si>
  <si>
    <t>a163p000002zQZrAAM</t>
  </si>
  <si>
    <t>CD-565440</t>
  </si>
  <si>
    <t>a163p000002zQZsAAM</t>
  </si>
  <si>
    <t>CD-565441</t>
  </si>
  <si>
    <t>a163p000002zQZtAAM</t>
  </si>
  <si>
    <t>CD-565442</t>
  </si>
  <si>
    <t>a163p000002zQZuAAM</t>
  </si>
  <si>
    <t>CD-565443</t>
  </si>
  <si>
    <t>a163p000002zQZvAAM</t>
  </si>
  <si>
    <t>CD-565444</t>
  </si>
  <si>
    <t>a163p000002zQZwAAM</t>
  </si>
  <si>
    <t>CD-565445</t>
  </si>
  <si>
    <t>a163p000002zQZxAAM</t>
  </si>
  <si>
    <t>CD-565446</t>
  </si>
  <si>
    <t>a163p000002zQZyAAM</t>
  </si>
  <si>
    <t>CD-565447</t>
  </si>
  <si>
    <t>a163p000002zQZzAAM</t>
  </si>
  <si>
    <t>CD-565448</t>
  </si>
  <si>
    <t>a163p000002zQa0AAE</t>
  </si>
  <si>
    <t>CD-565449</t>
  </si>
  <si>
    <t>CI-56492</t>
  </si>
  <si>
    <t>a163p000002zQa1AAE</t>
  </si>
  <si>
    <t>CD-565450</t>
  </si>
  <si>
    <t>a163p000002zQa2AAE</t>
  </si>
  <si>
    <t>CD-565451</t>
  </si>
  <si>
    <t>a163p000002zQa3AAE</t>
  </si>
  <si>
    <t>CD-565452</t>
  </si>
  <si>
    <t>a163p000002zQa4AAE</t>
  </si>
  <si>
    <t>CD-565453</t>
  </si>
  <si>
    <t>a163p000002zQa5AAE</t>
  </si>
  <si>
    <t>CD-565454</t>
  </si>
  <si>
    <t>a163p000002zQa6AAE</t>
  </si>
  <si>
    <t>CD-565455</t>
  </si>
  <si>
    <t>a163p000002zQa7AAE</t>
  </si>
  <si>
    <t>CD-565456</t>
  </si>
  <si>
    <t>a163p000002zQa8AAE</t>
  </si>
  <si>
    <t>CD-565457</t>
  </si>
  <si>
    <t>a163p000002zQa9AAE</t>
  </si>
  <si>
    <t>CD-565458</t>
  </si>
  <si>
    <t>a163p000002zQaAAAU</t>
  </si>
  <si>
    <t>CD-565459</t>
  </si>
  <si>
    <t>a163p000002zQaBAAU</t>
  </si>
  <si>
    <t>CD-565460</t>
  </si>
  <si>
    <t>a163p000002zQaCAAU</t>
  </si>
  <si>
    <t>CD-565461</t>
  </si>
  <si>
    <t>a163p000002zQaDAAU</t>
  </si>
  <si>
    <t>CD-565462</t>
  </si>
  <si>
    <t>a163p000002zQaEAAU</t>
  </si>
  <si>
    <t>CD-565463</t>
  </si>
  <si>
    <t>a163p000002zQaFAAU</t>
  </si>
  <si>
    <t>CD-565464</t>
  </si>
  <si>
    <t>a163p000002zQaGAAU</t>
  </si>
  <si>
    <t>CD-565465</t>
  </si>
  <si>
    <t>a163p000002zQaHAAU</t>
  </si>
  <si>
    <t>CD-565466</t>
  </si>
  <si>
    <t>a163p000002zQaIAAU</t>
  </si>
  <si>
    <t>CD-565467</t>
  </si>
  <si>
    <t>a163p000002zQaJAAU</t>
  </si>
  <si>
    <t>CD-565468</t>
  </si>
  <si>
    <t>a163p000002zQaKAAU</t>
  </si>
  <si>
    <t>CD-565469</t>
  </si>
  <si>
    <t>CI-56493</t>
  </si>
  <si>
    <t>a163p000002zQaLAAU</t>
  </si>
  <si>
    <t>CD-565470</t>
  </si>
  <si>
    <t>a163p000002zQaMAAU</t>
  </si>
  <si>
    <t>CD-565471</t>
  </si>
  <si>
    <t>a163p000002zQaNAAU</t>
  </si>
  <si>
    <t>CD-565472</t>
  </si>
  <si>
    <t>a163p000002zQaOAAU</t>
  </si>
  <si>
    <t>CD-565473</t>
  </si>
  <si>
    <t>a163p000002zQaPAAU</t>
  </si>
  <si>
    <t>CD-565474</t>
  </si>
  <si>
    <t>a163p000002zQaQAAU</t>
  </si>
  <si>
    <t>CD-565475</t>
  </si>
  <si>
    <t>a163p000002zQaRAAU</t>
  </si>
  <si>
    <t>CD-565476</t>
  </si>
  <si>
    <t>a163p000002zQaSAAU</t>
  </si>
  <si>
    <t>CD-565477</t>
  </si>
  <si>
    <t>a163p000002zQaTAAU</t>
  </si>
  <si>
    <t>CD-565478</t>
  </si>
  <si>
    <t>a163p000002zQaUAAU</t>
  </si>
  <si>
    <t>CD-565479</t>
  </si>
  <si>
    <t>a163p000002zQaVAAU</t>
  </si>
  <si>
    <t>CD-565480</t>
  </si>
  <si>
    <t>a163p000002zQaWAAU</t>
  </si>
  <si>
    <t>CD-565481</t>
  </si>
  <si>
    <t>a163p000002zQaXAAU</t>
  </si>
  <si>
    <t>CD-565482</t>
  </si>
  <si>
    <t>a163p000002zQaYAAU</t>
  </si>
  <si>
    <t>CD-565483</t>
  </si>
  <si>
    <t>a163p000002zQaZAAU</t>
  </si>
  <si>
    <t>CD-565484</t>
  </si>
  <si>
    <t>a163p000002zQaaAAE</t>
  </si>
  <si>
    <t>CD-565485</t>
  </si>
  <si>
    <t>a163p000002zQabAAE</t>
  </si>
  <si>
    <t>CD-565486</t>
  </si>
  <si>
    <t>a163p000002zQacAAE</t>
  </si>
  <si>
    <t>CD-565487</t>
  </si>
  <si>
    <t>a163p000002zQadAAE</t>
  </si>
  <si>
    <t>CD-565488</t>
  </si>
  <si>
    <t>a163p000002zQaeAAE</t>
  </si>
  <si>
    <t>CD-565489</t>
  </si>
  <si>
    <t>CI-56494</t>
  </si>
  <si>
    <t>a163p000002zQafAAE</t>
  </si>
  <si>
    <t>CD-565490</t>
  </si>
  <si>
    <t>a163p000002zQagAAE</t>
  </si>
  <si>
    <t>CD-565491</t>
  </si>
  <si>
    <t>a163p000002zQahAAE</t>
  </si>
  <si>
    <t>CD-565492</t>
  </si>
  <si>
    <t>a163p000002zQaiAAE</t>
  </si>
  <si>
    <t>CD-565493</t>
  </si>
  <si>
    <t>a163p000002zQajAAE</t>
  </si>
  <si>
    <t>CD-565494</t>
  </si>
  <si>
    <t>a163p000002zQakAAE</t>
  </si>
  <si>
    <t>CD-565495</t>
  </si>
  <si>
    <t>a163p000002zQalAAE</t>
  </si>
  <si>
    <t>CD-565496</t>
  </si>
  <si>
    <t>a163p000002zQamAAE</t>
  </si>
  <si>
    <t>CD-565497</t>
  </si>
  <si>
    <t>a163p000002zQanAAE</t>
  </si>
  <si>
    <t>CD-565498</t>
  </si>
  <si>
    <t>a163p000002zQaoAAE</t>
  </si>
  <si>
    <t>CD-565499</t>
  </si>
  <si>
    <t>a163p000002zQapAAE</t>
  </si>
  <si>
    <t>CD-565500</t>
  </si>
  <si>
    <t>a163p000002zQaqAAE</t>
  </si>
  <si>
    <t>CD-565501</t>
  </si>
  <si>
    <t>a163p000002zQarAAE</t>
  </si>
  <si>
    <t>CD-565502</t>
  </si>
  <si>
    <t>a163p000002zQasAAE</t>
  </si>
  <si>
    <t>CD-565503</t>
  </si>
  <si>
    <t>a163p000002zQatAAE</t>
  </si>
  <si>
    <t>CD-565504</t>
  </si>
  <si>
    <t>a163p000002zQauAAE</t>
  </si>
  <si>
    <t>CD-565505</t>
  </si>
  <si>
    <t>a163p000002zQavAAE</t>
  </si>
  <si>
    <t>CD-565506</t>
  </si>
  <si>
    <t>a163p000002zQawAAE</t>
  </si>
  <si>
    <t>CD-565507</t>
  </si>
  <si>
    <t>a163p000002zQaxAAE</t>
  </si>
  <si>
    <t>CD-565508</t>
  </si>
  <si>
    <t>a163p000002zQayAAE</t>
  </si>
  <si>
    <t>CD-565509</t>
  </si>
  <si>
    <t>CI-56495</t>
  </si>
  <si>
    <t>a163p000002zQazAAE</t>
  </si>
  <si>
    <t>CD-565510</t>
  </si>
  <si>
    <t>a163p000002zQb0AAE</t>
  </si>
  <si>
    <t>CD-565511</t>
  </si>
  <si>
    <t>a163p000002zQb1AAE</t>
  </si>
  <si>
    <t>CD-565512</t>
  </si>
  <si>
    <t>a163p000002zQb2AAE</t>
  </si>
  <si>
    <t>CD-565513</t>
  </si>
  <si>
    <t>a163p000002zQb3AAE</t>
  </si>
  <si>
    <t>CD-565514</t>
  </si>
  <si>
    <t>a163p000002zQb4AAE</t>
  </si>
  <si>
    <t>CD-565515</t>
  </si>
  <si>
    <t>a163p000002zQb5AAE</t>
  </si>
  <si>
    <t>CD-565516</t>
  </si>
  <si>
    <t>a163p000002zQb6AAE</t>
  </si>
  <si>
    <t>CD-565517</t>
  </si>
  <si>
    <t>a163p000002zQb7AAE</t>
  </si>
  <si>
    <t>CD-565518</t>
  </si>
  <si>
    <t>a163p000002zQb8AAE</t>
  </si>
  <si>
    <t>CD-565519</t>
  </si>
  <si>
    <t>a163p000002zQb9AAE</t>
  </si>
  <si>
    <t>CD-565520</t>
  </si>
  <si>
    <t>a163p000002zQbAAAU</t>
  </si>
  <si>
    <t>CD-565521</t>
  </si>
  <si>
    <t>a163p000002zQbBAAU</t>
  </si>
  <si>
    <t>CD-565522</t>
  </si>
  <si>
    <t>a163p000002zQbCAAU</t>
  </si>
  <si>
    <t>CD-565523</t>
  </si>
  <si>
    <t>a163p000002zQbDAAU</t>
  </si>
  <si>
    <t>CD-565524</t>
  </si>
  <si>
    <t>a163p000002zQbEAAU</t>
  </si>
  <si>
    <t>CD-565525</t>
  </si>
  <si>
    <t>a163p000002zQbFAAU</t>
  </si>
  <si>
    <t>CD-565526</t>
  </si>
  <si>
    <t>a163p000002zQbGAAU</t>
  </si>
  <si>
    <t>CD-565527</t>
  </si>
  <si>
    <t>a163p000002zQbHAAU</t>
  </si>
  <si>
    <t>CD-565528</t>
  </si>
  <si>
    <t>a163p000002zQbIAAU</t>
  </si>
  <si>
    <t>CD-565529</t>
  </si>
  <si>
    <t>CI-56496</t>
  </si>
  <si>
    <t>a163p000002zQbJAAU</t>
  </si>
  <si>
    <t>CD-565530</t>
  </si>
  <si>
    <t>a163p000002zQbKAAU</t>
  </si>
  <si>
    <t>CD-565531</t>
  </si>
  <si>
    <t>a163p000002zQbLAAU</t>
  </si>
  <si>
    <t>CD-565532</t>
  </si>
  <si>
    <t>a163p000002zQbMAAU</t>
  </si>
  <si>
    <t>CD-565533</t>
  </si>
  <si>
    <t>a163p000002zQbNAAU</t>
  </si>
  <si>
    <t>CD-565534</t>
  </si>
  <si>
    <t>a163p000002zQbOAAU</t>
  </si>
  <si>
    <t>CD-565535</t>
  </si>
  <si>
    <t>a163p000002zQbPAAU</t>
  </si>
  <si>
    <t>CD-565536</t>
  </si>
  <si>
    <t>a163p000002zQbQAAU</t>
  </si>
  <si>
    <t>CD-565537</t>
  </si>
  <si>
    <t>a163p000002zQbRAAU</t>
  </si>
  <si>
    <t>CD-565538</t>
  </si>
  <si>
    <t>a163p000002zQbSAAU</t>
  </si>
  <si>
    <t>CD-565539</t>
  </si>
  <si>
    <t>a163p000002zQbTAAU</t>
  </si>
  <si>
    <t>CD-565540</t>
  </si>
  <si>
    <t>a163p000002zQbUAAU</t>
  </si>
  <si>
    <t>CD-565541</t>
  </si>
  <si>
    <t>a163p000002zQbVAAU</t>
  </si>
  <si>
    <t>CD-565542</t>
  </si>
  <si>
    <t>a163p000002zQbWAAU</t>
  </si>
  <si>
    <t>CD-565543</t>
  </si>
  <si>
    <t>a163p000002zQbXAAU</t>
  </si>
  <si>
    <t>CD-565544</t>
  </si>
  <si>
    <t>a163p000002zQbYAAU</t>
  </si>
  <si>
    <t>CD-565545</t>
  </si>
  <si>
    <t>a163p000002zQbZAAU</t>
  </si>
  <si>
    <t>CD-565546</t>
  </si>
  <si>
    <t>a163p000002zQbaAAE</t>
  </si>
  <si>
    <t>CD-565547</t>
  </si>
  <si>
    <t>a163p000002zQbbAAE</t>
  </si>
  <si>
    <t>CD-565548</t>
  </si>
  <si>
    <t>a163p000002zQbcAAE</t>
  </si>
  <si>
    <t>CD-565549</t>
  </si>
  <si>
    <t>CI-56497</t>
  </si>
  <si>
    <t>a163p000002zQbdAAE</t>
  </si>
  <si>
    <t>CD-565550</t>
  </si>
  <si>
    <t>a163p000002zQbeAAE</t>
  </si>
  <si>
    <t>CD-565551</t>
  </si>
  <si>
    <t>a163p000002zQbfAAE</t>
  </si>
  <si>
    <t>CD-565552</t>
  </si>
  <si>
    <t>a163p000002zQbgAAE</t>
  </si>
  <si>
    <t>CD-565553</t>
  </si>
  <si>
    <t>a163p000002zQbhAAE</t>
  </si>
  <si>
    <t>CD-565554</t>
  </si>
  <si>
    <t>a163p000002zQbiAAE</t>
  </si>
  <si>
    <t>CD-565555</t>
  </si>
  <si>
    <t>a163p000002zQbjAAE</t>
  </si>
  <si>
    <t>CD-565556</t>
  </si>
  <si>
    <t>a163p000002zQbkAAE</t>
  </si>
  <si>
    <t>CD-565557</t>
  </si>
  <si>
    <t>a163p000002zQblAAE</t>
  </si>
  <si>
    <t>CD-565558</t>
  </si>
  <si>
    <t>a163p000002zQbmAAE</t>
  </si>
  <si>
    <t>CD-565559</t>
  </si>
  <si>
    <t>a163p000002zQbnAAE</t>
  </si>
  <si>
    <t>CD-565560</t>
  </si>
  <si>
    <t>a163p000002zQboAAE</t>
  </si>
  <si>
    <t>CD-565561</t>
  </si>
  <si>
    <t>a163p000002zQbpAAE</t>
  </si>
  <si>
    <t>CD-565562</t>
  </si>
  <si>
    <t>a163p000002zQbqAAE</t>
  </si>
  <si>
    <t>CD-565563</t>
  </si>
  <si>
    <t>a163p000002zQbrAAE</t>
  </si>
  <si>
    <t>CD-565564</t>
  </si>
  <si>
    <t>a163p000002zQbsAAE</t>
  </si>
  <si>
    <t>CD-565565</t>
  </si>
  <si>
    <t>a163p000002zQbtAAE</t>
  </si>
  <si>
    <t>CD-565566</t>
  </si>
  <si>
    <t>a163p000002zQbuAAE</t>
  </si>
  <si>
    <t>CD-565567</t>
  </si>
  <si>
    <t>a163p000002zQbvAAE</t>
  </si>
  <si>
    <t>CD-565568</t>
  </si>
  <si>
    <t>a163p000002zQbwAAE</t>
  </si>
  <si>
    <t>CD-565569</t>
  </si>
  <si>
    <t>CI-56498</t>
  </si>
  <si>
    <t>a163p000002zQbxAAE</t>
  </si>
  <si>
    <t>CD-565570</t>
  </si>
  <si>
    <t>a163p000002zQbyAAE</t>
  </si>
  <si>
    <t>CD-565571</t>
  </si>
  <si>
    <t>a163p000002zQbzAAE</t>
  </si>
  <si>
    <t>CD-565572</t>
  </si>
  <si>
    <t>a163p000002zQc0AAE</t>
  </si>
  <si>
    <t>CD-565573</t>
  </si>
  <si>
    <t>a163p000002zQc1AAE</t>
  </si>
  <si>
    <t>CD-565574</t>
  </si>
  <si>
    <t>a163p000002zQc2AAE</t>
  </si>
  <si>
    <t>CD-565575</t>
  </si>
  <si>
    <t>a163p000002zQc3AAE</t>
  </si>
  <si>
    <t>CD-565576</t>
  </si>
  <si>
    <t>a163p000002zQc4AAE</t>
  </si>
  <si>
    <t>CD-565577</t>
  </si>
  <si>
    <t>a163p000002zQc5AAE</t>
  </si>
  <si>
    <t>CD-565578</t>
  </si>
  <si>
    <t>a163p000002zQc6AAE</t>
  </si>
  <si>
    <t>CD-565579</t>
  </si>
  <si>
    <t>a163p000002zQc7AAE</t>
  </si>
  <si>
    <t>CD-565580</t>
  </si>
  <si>
    <t>a163p000002zQc8AAE</t>
  </si>
  <si>
    <t>CD-565581</t>
  </si>
  <si>
    <t>a163p000002zQc9AAE</t>
  </si>
  <si>
    <t>CD-565582</t>
  </si>
  <si>
    <t>a163p000002zQcAAAU</t>
  </si>
  <si>
    <t>CD-565583</t>
  </si>
  <si>
    <t>a163p000002zQcBAAU</t>
  </si>
  <si>
    <t>CD-565584</t>
  </si>
  <si>
    <t>a163p000002zQcCAAU</t>
  </si>
  <si>
    <t>CD-565585</t>
  </si>
  <si>
    <t>a163p000002zQcDAAU</t>
  </si>
  <si>
    <t>CD-565586</t>
  </si>
  <si>
    <t>a163p000002zQcEAAU</t>
  </si>
  <si>
    <t>CD-565587</t>
  </si>
  <si>
    <t>a163p000002zQcFAAU</t>
  </si>
  <si>
    <t>CD-565588</t>
  </si>
  <si>
    <t>a163p000002zQcGAAU</t>
  </si>
  <si>
    <t>CD-565589</t>
  </si>
  <si>
    <t>CI-56499</t>
  </si>
  <si>
    <t>a163p000002zQcHAAU</t>
  </si>
  <si>
    <t>CD-565590</t>
  </si>
  <si>
    <t>a163p000002zQcIAAU</t>
  </si>
  <si>
    <t>CD-565591</t>
  </si>
  <si>
    <t>a163p000002zQcJAAU</t>
  </si>
  <si>
    <t>CD-565592</t>
  </si>
  <si>
    <t>a163p000002zQcKAAU</t>
  </si>
  <si>
    <t>CD-565593</t>
  </si>
  <si>
    <t>a163p000002zQcLAAU</t>
  </si>
  <si>
    <t>CD-565594</t>
  </si>
  <si>
    <t>a163p000002zQcMAAU</t>
  </si>
  <si>
    <t>CD-565595</t>
  </si>
  <si>
    <t>a163p000002zQcNAAU</t>
  </si>
  <si>
    <t>CD-565596</t>
  </si>
  <si>
    <t>a163p000002zQcOAAU</t>
  </si>
  <si>
    <t>CD-565597</t>
  </si>
  <si>
    <t>a163p000002zQcPAAU</t>
  </si>
  <si>
    <t>CD-565598</t>
  </si>
  <si>
    <t>a163p000002zQcQAAU</t>
  </si>
  <si>
    <t>CD-565599</t>
  </si>
  <si>
    <t>a163p000002zQcRAAU</t>
  </si>
  <si>
    <t>CD-565600</t>
  </si>
  <si>
    <t>a163p000002zQcSAAU</t>
  </si>
  <si>
    <t>CD-565601</t>
  </si>
  <si>
    <t>a163p000002zQcTAAU</t>
  </si>
  <si>
    <t>CD-565602</t>
  </si>
  <si>
    <t>a163p000002zQcUAAU</t>
  </si>
  <si>
    <t>CD-565603</t>
  </si>
  <si>
    <t>a163p000002zQcVAAU</t>
  </si>
  <si>
    <t>CD-565604</t>
  </si>
  <si>
    <t>a163p000002zQcWAAU</t>
  </si>
  <si>
    <t>CD-565605</t>
  </si>
  <si>
    <t>a163p000002zQcXAAU</t>
  </si>
  <si>
    <t>CD-565606</t>
  </si>
  <si>
    <t>a163p000002zQcYAAU</t>
  </si>
  <si>
    <t>CD-565607</t>
  </si>
  <si>
    <t>a163p000002zQcZAAU</t>
  </si>
  <si>
    <t>CD-565608</t>
  </si>
  <si>
    <t>a163p000002zQcaAAE</t>
  </si>
  <si>
    <t>CD-565609</t>
  </si>
  <si>
    <t>CI-56500</t>
  </si>
  <si>
    <t>a163p000002zQcbAAE</t>
  </si>
  <si>
    <t>CD-565610</t>
  </si>
  <si>
    <t>a163p000002zQccAAE</t>
  </si>
  <si>
    <t>CD-565611</t>
  </si>
  <si>
    <t>a163p000002zQcdAAE</t>
  </si>
  <si>
    <t>CD-565612</t>
  </si>
  <si>
    <t>a163p000002zQceAAE</t>
  </si>
  <si>
    <t>CD-565613</t>
  </si>
  <si>
    <t>a163p000002zQcfAAE</t>
  </si>
  <si>
    <t>CD-565614</t>
  </si>
  <si>
    <t>a163p000002zQcgAAE</t>
  </si>
  <si>
    <t>CD-565615</t>
  </si>
  <si>
    <t>a163p000002zQchAAE</t>
  </si>
  <si>
    <t>CD-565616</t>
  </si>
  <si>
    <t>a163p000002zQciAAE</t>
  </si>
  <si>
    <t>CD-565617</t>
  </si>
  <si>
    <t>a163p000002zQcjAAE</t>
  </si>
  <si>
    <t>CD-565618</t>
  </si>
  <si>
    <t>a163p000002zQckAAE</t>
  </si>
  <si>
    <t>CD-565619</t>
  </si>
  <si>
    <t>a163p000002zQclAAE</t>
  </si>
  <si>
    <t>CD-565620</t>
  </si>
  <si>
    <t>a163p000002zQcmAAE</t>
  </si>
  <si>
    <t>CD-565621</t>
  </si>
  <si>
    <t>a163p000002zQcnAAE</t>
  </si>
  <si>
    <t>CD-565622</t>
  </si>
  <si>
    <t>a163p000002zQcoAAE</t>
  </si>
  <si>
    <t>CD-565623</t>
  </si>
  <si>
    <t>a163p000002zQcpAAE</t>
  </si>
  <si>
    <t>CD-565624</t>
  </si>
  <si>
    <t>a163p000002zQcqAAE</t>
  </si>
  <si>
    <t>CD-565625</t>
  </si>
  <si>
    <t>a163p000002zQcrAAE</t>
  </si>
  <si>
    <t>CD-565626</t>
  </si>
  <si>
    <t>a163p000002zQcsAAE</t>
  </si>
  <si>
    <t>CD-565627</t>
  </si>
  <si>
    <t>a163p000002zQctAAE</t>
  </si>
  <si>
    <t>CD-565628</t>
  </si>
  <si>
    <t>a163p000002zQcuAAE</t>
  </si>
  <si>
    <t>CD-565629</t>
  </si>
  <si>
    <t>CI-56501</t>
  </si>
  <si>
    <t>a163p000002zQcvAAE</t>
  </si>
  <si>
    <t>CD-565630</t>
  </si>
  <si>
    <t>a163p000002zQcwAAE</t>
  </si>
  <si>
    <t>CD-565631</t>
  </si>
  <si>
    <t>a163p000002zQcxAAE</t>
  </si>
  <si>
    <t>CD-565632</t>
  </si>
  <si>
    <t>a163p000002zQcyAAE</t>
  </si>
  <si>
    <t>CD-565633</t>
  </si>
  <si>
    <t>a163p000002zQczAAE</t>
  </si>
  <si>
    <t>CD-565634</t>
  </si>
  <si>
    <t>a163p000002zQd0AAE</t>
  </si>
  <si>
    <t>CD-565635</t>
  </si>
  <si>
    <t>a163p000002zQd1AAE</t>
  </si>
  <si>
    <t>CD-565636</t>
  </si>
  <si>
    <t>a163p000002zQd2AAE</t>
  </si>
  <si>
    <t>CD-565637</t>
  </si>
  <si>
    <t>a163p000002zQd3AAE</t>
  </si>
  <si>
    <t>CD-565638</t>
  </si>
  <si>
    <t>a163p000002zQd4AAE</t>
  </si>
  <si>
    <t>CD-565639</t>
  </si>
  <si>
    <t>a163p000002zQd5AAE</t>
  </si>
  <si>
    <t>CD-565640</t>
  </si>
  <si>
    <t>a163p000002zQd6AAE</t>
  </si>
  <si>
    <t>CD-565641</t>
  </si>
  <si>
    <t>a163p000002zQd7AAE</t>
  </si>
  <si>
    <t>CD-565642</t>
  </si>
  <si>
    <t>a163p000002zQd8AAE</t>
  </si>
  <si>
    <t>CD-565643</t>
  </si>
  <si>
    <t>a163p000002zQd9AAE</t>
  </si>
  <si>
    <t>CD-565644</t>
  </si>
  <si>
    <t>a163p000002zQdAAAU</t>
  </si>
  <si>
    <t>CD-565645</t>
  </si>
  <si>
    <t>a163p000002zQdBAAU</t>
  </si>
  <si>
    <t>CD-565646</t>
  </si>
  <si>
    <t>a163p000002zQdCAAU</t>
  </si>
  <si>
    <t>CD-565647</t>
  </si>
  <si>
    <t>a163p000002zQdDAAU</t>
  </si>
  <si>
    <t>CD-565648</t>
  </si>
  <si>
    <t>a163p000002zQdEAAU</t>
  </si>
  <si>
    <t>CD-565649</t>
  </si>
  <si>
    <t>CI-56502</t>
  </si>
  <si>
    <t>a163p000002zQdFAAU</t>
  </si>
  <si>
    <t>CD-565650</t>
  </si>
  <si>
    <t>a163p000002zQdGAAU</t>
  </si>
  <si>
    <t>CD-565651</t>
  </si>
  <si>
    <t>a163p000002zQdHAAU</t>
  </si>
  <si>
    <t>CD-565652</t>
  </si>
  <si>
    <t>a163p000002zQdIAAU</t>
  </si>
  <si>
    <t>CD-565653</t>
  </si>
  <si>
    <t>a163p000002zQdJAAU</t>
  </si>
  <si>
    <t>CD-565654</t>
  </si>
  <si>
    <t>a163p000002zQdKAAU</t>
  </si>
  <si>
    <t>CD-565655</t>
  </si>
  <si>
    <t>a163p000002zQdLAAU</t>
  </si>
  <si>
    <t>CD-565656</t>
  </si>
  <si>
    <t>a163p000002zQdMAAU</t>
  </si>
  <si>
    <t>CD-565657</t>
  </si>
  <si>
    <t>a163p000002zQdNAAU</t>
  </si>
  <si>
    <t>CD-565658</t>
  </si>
  <si>
    <t>a163p000002zQdOAAU</t>
  </si>
  <si>
    <t>CD-565659</t>
  </si>
  <si>
    <t>a163p000002zQdPAAU</t>
  </si>
  <si>
    <t>CD-565660</t>
  </si>
  <si>
    <t>a163p000002zQdQAAU</t>
  </si>
  <si>
    <t>CD-565661</t>
  </si>
  <si>
    <t>a163p000002zQdRAAU</t>
  </si>
  <si>
    <t>CD-565662</t>
  </si>
  <si>
    <t>a163p000002zQdSAAU</t>
  </si>
  <si>
    <t>CD-565663</t>
  </si>
  <si>
    <t>a163p000002zQdTAAU</t>
  </si>
  <si>
    <t>CD-565664</t>
  </si>
  <si>
    <t>a163p000002zQdUAAU</t>
  </si>
  <si>
    <t>CD-565665</t>
  </si>
  <si>
    <t>a163p000002zQdVAAU</t>
  </si>
  <si>
    <t>CD-565666</t>
  </si>
  <si>
    <t>a163p000002zQdWAAU</t>
  </si>
  <si>
    <t>CD-565667</t>
  </si>
  <si>
    <t>a163p000002zQdXAAU</t>
  </si>
  <si>
    <t>CD-565668</t>
  </si>
  <si>
    <t>a163p000002zQdYAAU</t>
  </si>
  <si>
    <t>CD-565669</t>
  </si>
  <si>
    <t>CI-56503</t>
  </si>
  <si>
    <t>a163p000002zQdZAAU</t>
  </si>
  <si>
    <t>CD-565670</t>
  </si>
  <si>
    <t>a163p000002zQdaAAE</t>
  </si>
  <si>
    <t>CD-565671</t>
  </si>
  <si>
    <t>a163p000002zQdbAAE</t>
  </si>
  <si>
    <t>CD-565672</t>
  </si>
  <si>
    <t>a163p000002zQdcAAE</t>
  </si>
  <si>
    <t>CD-565673</t>
  </si>
  <si>
    <t>a163p000002zQddAAE</t>
  </si>
  <si>
    <t>CD-565674</t>
  </si>
  <si>
    <t>a163p000002zQdeAAE</t>
  </si>
  <si>
    <t>CD-565675</t>
  </si>
  <si>
    <t>a163p000002zQdfAAE</t>
  </si>
  <si>
    <t>CD-565676</t>
  </si>
  <si>
    <t>a163p000002zQdgAAE</t>
  </si>
  <si>
    <t>CD-565677</t>
  </si>
  <si>
    <t>a163p000002zQdhAAE</t>
  </si>
  <si>
    <t>CD-565678</t>
  </si>
  <si>
    <t>a163p000002zQdiAAE</t>
  </si>
  <si>
    <t>CD-565679</t>
  </si>
  <si>
    <t>a163p000002zQdjAAE</t>
  </si>
  <si>
    <t>CD-565680</t>
  </si>
  <si>
    <t>a163p000002zQdkAAE</t>
  </si>
  <si>
    <t>CD-565681</t>
  </si>
  <si>
    <t>a163p000002zQdlAAE</t>
  </si>
  <si>
    <t>CD-565682</t>
  </si>
  <si>
    <t>a163p000002zQdmAAE</t>
  </si>
  <si>
    <t>CD-565683</t>
  </si>
  <si>
    <t>a163p000002zQdnAAE</t>
  </si>
  <si>
    <t>CD-565684</t>
  </si>
  <si>
    <t>a163p000002zQdoAAE</t>
  </si>
  <si>
    <t>CD-565685</t>
  </si>
  <si>
    <t>a163p000002zQdpAAE</t>
  </si>
  <si>
    <t>CD-565686</t>
  </si>
  <si>
    <t>a163p000002zQdqAAE</t>
  </si>
  <si>
    <t>CD-565687</t>
  </si>
  <si>
    <t>a163p000002zQdrAAE</t>
  </si>
  <si>
    <t>CD-565688</t>
  </si>
  <si>
    <t>a163p000002zQdsAAE</t>
  </si>
  <si>
    <t>CD-565689</t>
  </si>
  <si>
    <t>CI-56504</t>
  </si>
  <si>
    <t>a163p000002zQdtAAE</t>
  </si>
  <si>
    <t>CD-565690</t>
  </si>
  <si>
    <t>a163p000002zQduAAE</t>
  </si>
  <si>
    <t>CD-565691</t>
  </si>
  <si>
    <t>a163p000002zQdvAAE</t>
  </si>
  <si>
    <t>CD-565692</t>
  </si>
  <si>
    <t>a163p000002zQdwAAE</t>
  </si>
  <si>
    <t>CD-565693</t>
  </si>
  <si>
    <t>a163p000002zQdxAAE</t>
  </si>
  <si>
    <t>CD-565694</t>
  </si>
  <si>
    <t>a163p000002zQdyAAE</t>
  </si>
  <si>
    <t>CD-565695</t>
  </si>
  <si>
    <t>a163p000002zQdzAAE</t>
  </si>
  <si>
    <t>CD-565696</t>
  </si>
  <si>
    <t>a163p000002zQe0AAE</t>
  </si>
  <si>
    <t>CD-565697</t>
  </si>
  <si>
    <t>a163p000002zQe1AAE</t>
  </si>
  <si>
    <t>CD-565698</t>
  </si>
  <si>
    <t>a163p000002zQe2AAE</t>
  </si>
  <si>
    <t>CD-565699</t>
  </si>
  <si>
    <t>a163p000002zQe3AAE</t>
  </si>
  <si>
    <t>CD-565700</t>
  </si>
  <si>
    <t>a163p000002zQe4AAE</t>
  </si>
  <si>
    <t>CD-565701</t>
  </si>
  <si>
    <t>a163p000002zQe5AAE</t>
  </si>
  <si>
    <t>CD-565702</t>
  </si>
  <si>
    <t>a163p000002zQe6AAE</t>
  </si>
  <si>
    <t>CD-565703</t>
  </si>
  <si>
    <t>a163p000002zQe7AAE</t>
  </si>
  <si>
    <t>CD-565704</t>
  </si>
  <si>
    <t>a163p000002zQe8AAE</t>
  </si>
  <si>
    <t>CD-565705</t>
  </si>
  <si>
    <t>a163p000002zQe9AAE</t>
  </si>
  <si>
    <t>CD-565706</t>
  </si>
  <si>
    <t>a163p000002zQeAAAU</t>
  </si>
  <si>
    <t>CD-565707</t>
  </si>
  <si>
    <t>a163p000002zQeBAAU</t>
  </si>
  <si>
    <t>CD-565708</t>
  </si>
  <si>
    <t>a163p000002zQeCAAU</t>
  </si>
  <si>
    <t>CD-565709</t>
  </si>
  <si>
    <t>CI-56505</t>
  </si>
  <si>
    <t>a163p000002zQeDAAU</t>
  </si>
  <si>
    <t>CD-565710</t>
  </si>
  <si>
    <t>a163p000002zQeEAAU</t>
  </si>
  <si>
    <t>CD-565711</t>
  </si>
  <si>
    <t>a163p000002zQeFAAU</t>
  </si>
  <si>
    <t>CD-565712</t>
  </si>
  <si>
    <t>a163p000002zQeGAAU</t>
  </si>
  <si>
    <t>CD-565713</t>
  </si>
  <si>
    <t>a163p000002zQeHAAU</t>
  </si>
  <si>
    <t>CD-565714</t>
  </si>
  <si>
    <t>a163p000002zQeIAAU</t>
  </si>
  <si>
    <t>CD-565715</t>
  </si>
  <si>
    <t>a163p000002zQeJAAU</t>
  </si>
  <si>
    <t>CD-565716</t>
  </si>
  <si>
    <t>a163p000002zQeKAAU</t>
  </si>
  <si>
    <t>CD-565717</t>
  </si>
  <si>
    <t>a163p000002zQeLAAU</t>
  </si>
  <si>
    <t>CD-565718</t>
  </si>
  <si>
    <t>a163p000002zQeMAAU</t>
  </si>
  <si>
    <t>CD-565719</t>
  </si>
  <si>
    <t>a163p000002zQeNAAU</t>
  </si>
  <si>
    <t>CD-565720</t>
  </si>
  <si>
    <t>a163p000002zQeOAAU</t>
  </si>
  <si>
    <t>CD-565721</t>
  </si>
  <si>
    <t>a163p000002zQePAAU</t>
  </si>
  <si>
    <t>CD-565722</t>
  </si>
  <si>
    <t>a163p000002zQeQAAU</t>
  </si>
  <si>
    <t>CD-565723</t>
  </si>
  <si>
    <t>a163p000002zQeRAAU</t>
  </si>
  <si>
    <t>CD-565724</t>
  </si>
  <si>
    <t>a163p000002zQeSAAU</t>
  </si>
  <si>
    <t>CD-565725</t>
  </si>
  <si>
    <t>a163p000002zQeTAAU</t>
  </si>
  <si>
    <t>CD-565726</t>
  </si>
  <si>
    <t>a163p000002zQeUAAU</t>
  </si>
  <si>
    <t>CD-565727</t>
  </si>
  <si>
    <t>a163p000002zQeVAAU</t>
  </si>
  <si>
    <t>CD-565728</t>
  </si>
  <si>
    <t>a163p000002zQeWAAU</t>
  </si>
  <si>
    <t>CD-565729</t>
  </si>
  <si>
    <t>CI-56506</t>
  </si>
  <si>
    <t>a163p000002zQeXAAU</t>
  </si>
  <si>
    <t>CD-565730</t>
  </si>
  <si>
    <t>a163p000002zQeYAAU</t>
  </si>
  <si>
    <t>CD-565731</t>
  </si>
  <si>
    <t>a163p000002zQeZAAU</t>
  </si>
  <si>
    <t>CD-565732</t>
  </si>
  <si>
    <t>a163p000002zQeaAAE</t>
  </si>
  <si>
    <t>CD-565733</t>
  </si>
  <si>
    <t>a163p000002zQebAAE</t>
  </si>
  <si>
    <t>CD-565734</t>
  </si>
  <si>
    <t>a163p000002zQecAAE</t>
  </si>
  <si>
    <t>CD-565735</t>
  </si>
  <si>
    <t>a163p000002zQedAAE</t>
  </si>
  <si>
    <t>CD-565736</t>
  </si>
  <si>
    <t>a163p000002zQeeAAE</t>
  </si>
  <si>
    <t>CD-565737</t>
  </si>
  <si>
    <t>a163p000002zQefAAE</t>
  </si>
  <si>
    <t>CD-565738</t>
  </si>
  <si>
    <t>a163p000002zQegAAE</t>
  </si>
  <si>
    <t>CD-565739</t>
  </si>
  <si>
    <t>a163p000002zQehAAE</t>
  </si>
  <si>
    <t>CD-565740</t>
  </si>
  <si>
    <t>a163p000002zQeiAAE</t>
  </si>
  <si>
    <t>CD-565741</t>
  </si>
  <si>
    <t>a163p000002zQejAAE</t>
  </si>
  <si>
    <t>CD-565742</t>
  </si>
  <si>
    <t>a163p000002zQekAAE</t>
  </si>
  <si>
    <t>CD-565743</t>
  </si>
  <si>
    <t>a163p000002zQelAAE</t>
  </si>
  <si>
    <t>CD-565744</t>
  </si>
  <si>
    <t>a163p000002zQemAAE</t>
  </si>
  <si>
    <t>CD-565745</t>
  </si>
  <si>
    <t>a163p000002zQenAAE</t>
  </si>
  <si>
    <t>CD-565746</t>
  </si>
  <si>
    <t>a163p000002zQeoAAE</t>
  </si>
  <si>
    <t>CD-565747</t>
  </si>
  <si>
    <t>a163p000002zQepAAE</t>
  </si>
  <si>
    <t>CD-565748</t>
  </si>
  <si>
    <t>a163p000002zQeqAAE</t>
  </si>
  <si>
    <t>CD-565749</t>
  </si>
  <si>
    <t>CI-56507</t>
  </si>
  <si>
    <t>a163p000002zQerAAE</t>
  </si>
  <si>
    <t>CD-565750</t>
  </si>
  <si>
    <t>a163p000002zQesAAE</t>
  </si>
  <si>
    <t>CD-565751</t>
  </si>
  <si>
    <t>a163p000002zQetAAE</t>
  </si>
  <si>
    <t>CD-565752</t>
  </si>
  <si>
    <t>a163p000002zQeuAAE</t>
  </si>
  <si>
    <t>CD-565753</t>
  </si>
  <si>
    <t>a163p000002zQevAAE</t>
  </si>
  <si>
    <t>CD-565754</t>
  </si>
  <si>
    <t>a163p000002zQewAAE</t>
  </si>
  <si>
    <t>CD-565755</t>
  </si>
  <si>
    <t>a163p000002zQexAAE</t>
  </si>
  <si>
    <t>CD-565756</t>
  </si>
  <si>
    <t>a163p000002zQeyAAE</t>
  </si>
  <si>
    <t>CD-565757</t>
  </si>
  <si>
    <t>a163p000002zQezAAE</t>
  </si>
  <si>
    <t>CD-565758</t>
  </si>
  <si>
    <t>a163p000002zQf0AAE</t>
  </si>
  <si>
    <t>CD-565759</t>
  </si>
  <si>
    <t>a163p000002zQf1AAE</t>
  </si>
  <si>
    <t>CD-565760</t>
  </si>
  <si>
    <t>a163p000002zQf2AAE</t>
  </si>
  <si>
    <t>CD-565761</t>
  </si>
  <si>
    <t>a163p000002zQf3AAE</t>
  </si>
  <si>
    <t>CD-565762</t>
  </si>
  <si>
    <t>a163p000002zQf4AAE</t>
  </si>
  <si>
    <t>CD-565763</t>
  </si>
  <si>
    <t>a163p000002zQf5AAE</t>
  </si>
  <si>
    <t>CD-565764</t>
  </si>
  <si>
    <t>a163p000002zQf6AAE</t>
  </si>
  <si>
    <t>CD-565765</t>
  </si>
  <si>
    <t>a163p000002zQf7AAE</t>
  </si>
  <si>
    <t>CD-565766</t>
  </si>
  <si>
    <t>a163p000002zQf8AAE</t>
  </si>
  <si>
    <t>CD-565767</t>
  </si>
  <si>
    <t>a163p000002zQf9AAE</t>
  </si>
  <si>
    <t>CD-565768</t>
  </si>
  <si>
    <t>a163p000002zQfAAAU</t>
  </si>
  <si>
    <t>CD-565769</t>
  </si>
  <si>
    <t>CI-56508</t>
  </si>
  <si>
    <t>a163p000002zQfBAAU</t>
  </si>
  <si>
    <t>CD-565770</t>
  </si>
  <si>
    <t>a163p000002zQfCAAU</t>
  </si>
  <si>
    <t>CD-565771</t>
  </si>
  <si>
    <t>a163p000002zQfDAAU</t>
  </si>
  <si>
    <t>CD-565772</t>
  </si>
  <si>
    <t>a163p000002zQfEAAU</t>
  </si>
  <si>
    <t>CD-565773</t>
  </si>
  <si>
    <t>a163p000002zQfFAAU</t>
  </si>
  <si>
    <t>CD-565774</t>
  </si>
  <si>
    <t>a163p000002zQfGAAU</t>
  </si>
  <si>
    <t>CD-565775</t>
  </si>
  <si>
    <t>a163p000002zQfHAAU</t>
  </si>
  <si>
    <t>CD-565776</t>
  </si>
  <si>
    <t>a163p000002zQfIAAU</t>
  </si>
  <si>
    <t>CD-565777</t>
  </si>
  <si>
    <t>a163p000002zQfJAAU</t>
  </si>
  <si>
    <t>CD-565778</t>
  </si>
  <si>
    <t>a163p000002zQfKAAU</t>
  </si>
  <si>
    <t>CD-565779</t>
  </si>
  <si>
    <t>a163p000002zQfLAAU</t>
  </si>
  <si>
    <t>CD-565780</t>
  </si>
  <si>
    <t>a163p000002zQfMAAU</t>
  </si>
  <si>
    <t>CD-565781</t>
  </si>
  <si>
    <t>a163p000002zQfNAAU</t>
  </si>
  <si>
    <t>CD-565782</t>
  </si>
  <si>
    <t>a163p000002zQfOAAU</t>
  </si>
  <si>
    <t>CD-565783</t>
  </si>
  <si>
    <t>a163p000002zQfPAAU</t>
  </si>
  <si>
    <t>CD-565784</t>
  </si>
  <si>
    <t>a163p000002zQfQAAU</t>
  </si>
  <si>
    <t>CD-565785</t>
  </si>
  <si>
    <t>a163p000002zQfRAAU</t>
  </si>
  <si>
    <t>CD-565786</t>
  </si>
  <si>
    <t>a163p000002zQfSAAU</t>
  </si>
  <si>
    <t>CD-565787</t>
  </si>
  <si>
    <t>a163p000002zQfTAAU</t>
  </si>
  <si>
    <t>CD-565788</t>
  </si>
  <si>
    <t>a163p000002zQfUAAU</t>
  </si>
  <si>
    <t>CD-565789</t>
  </si>
  <si>
    <t>CI-56509</t>
  </si>
  <si>
    <t>a163p000002zQfVAAU</t>
  </si>
  <si>
    <t>CD-565790</t>
  </si>
  <si>
    <t>a163p000002zQfWAAU</t>
  </si>
  <si>
    <t>CD-565791</t>
  </si>
  <si>
    <t>a163p000002zQfXAAU</t>
  </si>
  <si>
    <t>CD-565792</t>
  </si>
  <si>
    <t>a163p000002zQfYAAU</t>
  </si>
  <si>
    <t>CD-565793</t>
  </si>
  <si>
    <t>a163p000002zQfZAAU</t>
  </si>
  <si>
    <t>CD-565794</t>
  </si>
  <si>
    <t>a163p000002zQfaAAE</t>
  </si>
  <si>
    <t>CD-565795</t>
  </si>
  <si>
    <t>a163p000002zQfbAAE</t>
  </si>
  <si>
    <t>CD-565796</t>
  </si>
  <si>
    <t>a163p000002zQfcAAE</t>
  </si>
  <si>
    <t>CD-565797</t>
  </si>
  <si>
    <t>a163p000002zQfdAAE</t>
  </si>
  <si>
    <t>CD-565798</t>
  </si>
  <si>
    <t>a163p000002zQfeAAE</t>
  </si>
  <si>
    <t>CD-565799</t>
  </si>
  <si>
    <t>a163p000002zQffAAE</t>
  </si>
  <si>
    <t>CD-565800</t>
  </si>
  <si>
    <t>a163p000002zQfgAAE</t>
  </si>
  <si>
    <t>CD-565801</t>
  </si>
  <si>
    <t>a163p000002zQfhAAE</t>
  </si>
  <si>
    <t>CD-565802</t>
  </si>
  <si>
    <t>a163p000002zQfiAAE</t>
  </si>
  <si>
    <t>CD-565803</t>
  </si>
  <si>
    <t>a163p000002zQfjAAE</t>
  </si>
  <si>
    <t>CD-565804</t>
  </si>
  <si>
    <t>a163p000002zQfkAAE</t>
  </si>
  <si>
    <t>CD-565805</t>
  </si>
  <si>
    <t>a163p000002zQflAAE</t>
  </si>
  <si>
    <t>CD-565806</t>
  </si>
  <si>
    <t>a163p000002zQfmAAE</t>
  </si>
  <si>
    <t>CD-565807</t>
  </si>
  <si>
    <t>a163p000002zQfnAAE</t>
  </si>
  <si>
    <t>CD-565808</t>
  </si>
  <si>
    <t>a163p000002zQfoAAE</t>
  </si>
  <si>
    <t>CD-565809</t>
  </si>
  <si>
    <t>CI-56510</t>
  </si>
  <si>
    <t>a163p000002zQfpAAE</t>
  </si>
  <si>
    <t>CD-565810</t>
  </si>
  <si>
    <t>a163p000002zQfqAAE</t>
  </si>
  <si>
    <t>CD-565811</t>
  </si>
  <si>
    <t>a163p000002zQfrAAE</t>
  </si>
  <si>
    <t>CD-565812</t>
  </si>
  <si>
    <t>a163p000002zQfsAAE</t>
  </si>
  <si>
    <t>CD-565813</t>
  </si>
  <si>
    <t>a163p000002zQftAAE</t>
  </si>
  <si>
    <t>CD-565814</t>
  </si>
  <si>
    <t>a163p000002zQfuAAE</t>
  </si>
  <si>
    <t>CD-565815</t>
  </si>
  <si>
    <t>a163p000002zQfvAAE</t>
  </si>
  <si>
    <t>CD-565816</t>
  </si>
  <si>
    <t>a163p000002zQfwAAE</t>
  </si>
  <si>
    <t>CD-565817</t>
  </si>
  <si>
    <t>a163p000002zQfxAAE</t>
  </si>
  <si>
    <t>CD-565818</t>
  </si>
  <si>
    <t>a163p000002zQfyAAE</t>
  </si>
  <si>
    <t>CD-565819</t>
  </si>
  <si>
    <t>a163p000002zQfzAAE</t>
  </si>
  <si>
    <t>CD-565820</t>
  </si>
  <si>
    <t>a163p000002zQg0AAE</t>
  </si>
  <si>
    <t>CD-565821</t>
  </si>
  <si>
    <t>a163p000002zQg1AAE</t>
  </si>
  <si>
    <t>CD-565822</t>
  </si>
  <si>
    <t>a163p000002zQg2AAE</t>
  </si>
  <si>
    <t>CD-565823</t>
  </si>
  <si>
    <t>a163p000002zQg3AAE</t>
  </si>
  <si>
    <t>CD-565824</t>
  </si>
  <si>
    <t>a163p000002zQg4AAE</t>
  </si>
  <si>
    <t>CD-565825</t>
  </si>
  <si>
    <t>a163p000002zQg5AAE</t>
  </si>
  <si>
    <t>CD-565826</t>
  </si>
  <si>
    <t>a163p000002zQg6AAE</t>
  </si>
  <si>
    <t>CD-565827</t>
  </si>
  <si>
    <t>a163p000002zQg7AAE</t>
  </si>
  <si>
    <t>CD-565828</t>
  </si>
  <si>
    <t>a163p000002zQg8AAE</t>
  </si>
  <si>
    <t>CD-565829</t>
  </si>
  <si>
    <t>CI-56511</t>
  </si>
  <si>
    <t>a163p000002zQg9AAE</t>
  </si>
  <si>
    <t>CD-565830</t>
  </si>
  <si>
    <t>a163p000002zQgAAAU</t>
  </si>
  <si>
    <t>CD-565831</t>
  </si>
  <si>
    <t>a163p000002zQgBAAU</t>
  </si>
  <si>
    <t>CD-565832</t>
  </si>
  <si>
    <t>a163p000002zQgCAAU</t>
  </si>
  <si>
    <t>CD-565833</t>
  </si>
  <si>
    <t>a163p000002zQgDAAU</t>
  </si>
  <si>
    <t>CD-565834</t>
  </si>
  <si>
    <t>a163p000002zQgEAAU</t>
  </si>
  <si>
    <t>CD-565835</t>
  </si>
  <si>
    <t>a163p000002zQgFAAU</t>
  </si>
  <si>
    <t>CD-565836</t>
  </si>
  <si>
    <t>a163p000002zQgGAAU</t>
  </si>
  <si>
    <t>CD-565837</t>
  </si>
  <si>
    <t>a163p000002zQgHAAU</t>
  </si>
  <si>
    <t>CD-565838</t>
  </si>
  <si>
    <t>a163p000002zQgIAAU</t>
  </si>
  <si>
    <t>CD-565839</t>
  </si>
  <si>
    <t>a163p000002zQgJAAU</t>
  </si>
  <si>
    <t>CD-565840</t>
  </si>
  <si>
    <t>a163p000002zQgKAAU</t>
  </si>
  <si>
    <t>CD-565841</t>
  </si>
  <si>
    <t>a163p000002zQgLAAU</t>
  </si>
  <si>
    <t>CD-565842</t>
  </si>
  <si>
    <t>a163p000002zQgMAAU</t>
  </si>
  <si>
    <t>CD-565843</t>
  </si>
  <si>
    <t>a163p000002zQgNAAU</t>
  </si>
  <si>
    <t>CD-565844</t>
  </si>
  <si>
    <t>a163p000002zQgOAAU</t>
  </si>
  <si>
    <t>CD-565845</t>
  </si>
  <si>
    <t>a163p000002zQgPAAU</t>
  </si>
  <si>
    <t>CD-565846</t>
  </si>
  <si>
    <t>a163p000002zQgQAAU</t>
  </si>
  <si>
    <t>CD-565847</t>
  </si>
  <si>
    <t>a163p000002zQgRAAU</t>
  </si>
  <si>
    <t>CD-565848</t>
  </si>
  <si>
    <t>a163p000002zQgSAAU</t>
  </si>
  <si>
    <t>CD-565849</t>
  </si>
  <si>
    <t>CI-56512</t>
  </si>
  <si>
    <t>a163p000002zQgTAAU</t>
  </si>
  <si>
    <t>CD-565850</t>
  </si>
  <si>
    <t>a163p000002zQgUAAU</t>
  </si>
  <si>
    <t>CD-565851</t>
  </si>
  <si>
    <t>a163p000002zQgVAAU</t>
  </si>
  <si>
    <t>CD-565852</t>
  </si>
  <si>
    <t>a163p000002zQgWAAU</t>
  </si>
  <si>
    <t>CD-565853</t>
  </si>
  <si>
    <t>a163p000002zQgXAAU</t>
  </si>
  <si>
    <t>CD-565854</t>
  </si>
  <si>
    <t>a163p000002zQgYAAU</t>
  </si>
  <si>
    <t>CD-565855</t>
  </si>
  <si>
    <t>a163p000002zQgZAAU</t>
  </si>
  <si>
    <t>CD-565856</t>
  </si>
  <si>
    <t>a163p000002zQgaAAE</t>
  </si>
  <si>
    <t>CD-565857</t>
  </si>
  <si>
    <t>a163p000002zQgbAAE</t>
  </si>
  <si>
    <t>CD-565858</t>
  </si>
  <si>
    <t>a163p000002zQgcAAE</t>
  </si>
  <si>
    <t>CD-565859</t>
  </si>
  <si>
    <t>a163p000002zQgdAAE</t>
  </si>
  <si>
    <t>CD-565860</t>
  </si>
  <si>
    <t>a163p000002zQgeAAE</t>
  </si>
  <si>
    <t>CD-565861</t>
  </si>
  <si>
    <t>a163p000002zQgfAAE</t>
  </si>
  <si>
    <t>CD-565862</t>
  </si>
  <si>
    <t>a163p000002zQggAAE</t>
  </si>
  <si>
    <t>CD-565863</t>
  </si>
  <si>
    <t>a163p000002zQghAAE</t>
  </si>
  <si>
    <t>CD-565864</t>
  </si>
  <si>
    <t>a163p000002zQgiAAE</t>
  </si>
  <si>
    <t>CD-565865</t>
  </si>
  <si>
    <t>a163p000002zQgjAAE</t>
  </si>
  <si>
    <t>CD-565866</t>
  </si>
  <si>
    <t>a163p000002zQgkAAE</t>
  </si>
  <si>
    <t>CD-565867</t>
  </si>
  <si>
    <t>a163p000002zQglAAE</t>
  </si>
  <si>
    <t>CD-565868</t>
  </si>
  <si>
    <t>a163p000002zQgmAAE</t>
  </si>
  <si>
    <t>CD-565869</t>
  </si>
  <si>
    <t>CI-56513</t>
  </si>
  <si>
    <t>a163p000002zQgnAAE</t>
  </si>
  <si>
    <t>CD-565870</t>
  </si>
  <si>
    <t>a163p000002zQgoAAE</t>
  </si>
  <si>
    <t>CD-565871</t>
  </si>
  <si>
    <t>a163p000002zQgpAAE</t>
  </si>
  <si>
    <t>CD-565872</t>
  </si>
  <si>
    <t>a163p000002zQgqAAE</t>
  </si>
  <si>
    <t>CD-565873</t>
  </si>
  <si>
    <t>a163p000002zQgrAAE</t>
  </si>
  <si>
    <t>CD-565874</t>
  </si>
  <si>
    <t>a163p000002zQgsAAE</t>
  </si>
  <si>
    <t>CD-565875</t>
  </si>
  <si>
    <t>a163p000002zQgtAAE</t>
  </si>
  <si>
    <t>CD-565876</t>
  </si>
  <si>
    <t>a163p000002zQguAAE</t>
  </si>
  <si>
    <t>CD-565877</t>
  </si>
  <si>
    <t>a163p000002zQgvAAE</t>
  </si>
  <si>
    <t>CD-565878</t>
  </si>
  <si>
    <t>a163p000002zQgwAAE</t>
  </si>
  <si>
    <t>CD-565879</t>
  </si>
  <si>
    <t>a163p000002zQgxAAE</t>
  </si>
  <si>
    <t>CD-565880</t>
  </si>
  <si>
    <t>a163p000002zQgyAAE</t>
  </si>
  <si>
    <t>CD-565881</t>
  </si>
  <si>
    <t>a163p000002zQgzAAE</t>
  </si>
  <si>
    <t>CD-565882</t>
  </si>
  <si>
    <t>a163p000002zQh0AAE</t>
  </si>
  <si>
    <t>CD-565883</t>
  </si>
  <si>
    <t>a163p000002zQh1AAE</t>
  </si>
  <si>
    <t>CD-565884</t>
  </si>
  <si>
    <t>a163p000002zQh2AAE</t>
  </si>
  <si>
    <t>CD-565885</t>
  </si>
  <si>
    <t>a163p000002zQh3AAE</t>
  </si>
  <si>
    <t>CD-565886</t>
  </si>
  <si>
    <t>a163p000002zQh4AAE</t>
  </si>
  <si>
    <t>CD-565887</t>
  </si>
  <si>
    <t>a163p000002zQh5AAE</t>
  </si>
  <si>
    <t>CD-565888</t>
  </si>
  <si>
    <t>a163p000002zQh6AAE</t>
  </si>
  <si>
    <t>CD-565889</t>
  </si>
  <si>
    <t>CI-56514</t>
  </si>
  <si>
    <t>a163p000002zQh7AAE</t>
  </si>
  <si>
    <t>CD-565890</t>
  </si>
  <si>
    <t>a163p000002zQh8AAE</t>
  </si>
  <si>
    <t>CD-565891</t>
  </si>
  <si>
    <t>a163p000002zQh9AAE</t>
  </si>
  <si>
    <t>CD-565892</t>
  </si>
  <si>
    <t>a163p000002zQhAAAU</t>
  </si>
  <si>
    <t>CD-565893</t>
  </si>
  <si>
    <t>a163p000002zQhBAAU</t>
  </si>
  <si>
    <t>CD-565894</t>
  </si>
  <si>
    <t>a163p000002zQhCAAU</t>
  </si>
  <si>
    <t>CD-565895</t>
  </si>
  <si>
    <t>a163p000002zQhDAAU</t>
  </si>
  <si>
    <t>CD-565896</t>
  </si>
  <si>
    <t>a163p000002zQhEAAU</t>
  </si>
  <si>
    <t>CD-565897</t>
  </si>
  <si>
    <t>a163p000002zQhFAAU</t>
  </si>
  <si>
    <t>CD-565898</t>
  </si>
  <si>
    <t>a163p000002zQhGAAU</t>
  </si>
  <si>
    <t>CD-565899</t>
  </si>
  <si>
    <t>a163p000002zQhHAAU</t>
  </si>
  <si>
    <t>CD-565900</t>
  </si>
  <si>
    <t>a163p000002zQhIAAU</t>
  </si>
  <si>
    <t>CD-565901</t>
  </si>
  <si>
    <t>a163p000002zQhJAAU</t>
  </si>
  <si>
    <t>CD-565902</t>
  </si>
  <si>
    <t>a163p000002zQhKAAU</t>
  </si>
  <si>
    <t>CD-565903</t>
  </si>
  <si>
    <t>a163p000002zQhLAAU</t>
  </si>
  <si>
    <t>CD-565904</t>
  </si>
  <si>
    <t>a163p000002zQhMAAU</t>
  </si>
  <si>
    <t>CD-565905</t>
  </si>
  <si>
    <t>a163p000002zQhNAAU</t>
  </si>
  <si>
    <t>CD-565906</t>
  </si>
  <si>
    <t>a163p000002zQhOAAU</t>
  </si>
  <si>
    <t>CD-565907</t>
  </si>
  <si>
    <t>a163p000002zQhPAAU</t>
  </si>
  <si>
    <t>CD-565908</t>
  </si>
  <si>
    <t>a163p000002zQhQAAU</t>
  </si>
  <si>
    <t>CD-565909</t>
  </si>
  <si>
    <t>CI-56515</t>
  </si>
  <si>
    <t>a163p000002zQhRAAU</t>
  </si>
  <si>
    <t>CD-565910</t>
  </si>
  <si>
    <t>a163p000002zQhSAAU</t>
  </si>
  <si>
    <t>CD-565911</t>
  </si>
  <si>
    <t>a163p000002zQhTAAU</t>
  </si>
  <si>
    <t>CD-565912</t>
  </si>
  <si>
    <t>a163p000002zQhUAAU</t>
  </si>
  <si>
    <t>CD-565913</t>
  </si>
  <si>
    <t>a163p000002zQhVAAU</t>
  </si>
  <si>
    <t>CD-565914</t>
  </si>
  <si>
    <t>a163p000002zQhWAAU</t>
  </si>
  <si>
    <t>CD-565915</t>
  </si>
  <si>
    <t>a163p000002zQhXAAU</t>
  </si>
  <si>
    <t>CD-565916</t>
  </si>
  <si>
    <t>a163p000002zQhYAAU</t>
  </si>
  <si>
    <t>CD-565917</t>
  </si>
  <si>
    <t>a163p000002zQhZAAU</t>
  </si>
  <si>
    <t>CD-565918</t>
  </si>
  <si>
    <t>a163p000002zQhaAAE</t>
  </si>
  <si>
    <t>CD-565919</t>
  </si>
  <si>
    <t>a163p000002zQhbAAE</t>
  </si>
  <si>
    <t>CD-565920</t>
  </si>
  <si>
    <t>a163p000002zQhcAAE</t>
  </si>
  <si>
    <t>CD-565921</t>
  </si>
  <si>
    <t>a163p000002zQhdAAE</t>
  </si>
  <si>
    <t>CD-565922</t>
  </si>
  <si>
    <t>a163p000002zQheAAE</t>
  </si>
  <si>
    <t>CD-565923</t>
  </si>
  <si>
    <t>a163p000002zQhfAAE</t>
  </si>
  <si>
    <t>CD-565924</t>
  </si>
  <si>
    <t>a163p000002zQhgAAE</t>
  </si>
  <si>
    <t>CD-565925</t>
  </si>
  <si>
    <t>a163p000002zQhhAAE</t>
  </si>
  <si>
    <t>CD-565926</t>
  </si>
  <si>
    <t>a163p000002zQhiAAE</t>
  </si>
  <si>
    <t>CD-565927</t>
  </si>
  <si>
    <t>a163p000002zQhjAAE</t>
  </si>
  <si>
    <t>CD-565928</t>
  </si>
  <si>
    <t>a163p000002zQhkAAE</t>
  </si>
  <si>
    <t>CD-565929</t>
  </si>
  <si>
    <t>CI-56516</t>
  </si>
  <si>
    <t>a163p000002zQhlAAE</t>
  </si>
  <si>
    <t>CD-565930</t>
  </si>
  <si>
    <t>a163p000002zQhmAAE</t>
  </si>
  <si>
    <t>CD-565931</t>
  </si>
  <si>
    <t>a163p000002zQhnAAE</t>
  </si>
  <si>
    <t>CD-565932</t>
  </si>
  <si>
    <t>a163p000002zQhoAAE</t>
  </si>
  <si>
    <t>CD-565933</t>
  </si>
  <si>
    <t>a163p000002zQhpAAE</t>
  </si>
  <si>
    <t>CD-565934</t>
  </si>
  <si>
    <t>a163p000002zQhqAAE</t>
  </si>
  <si>
    <t>CD-565935</t>
  </si>
  <si>
    <t>a163p000002zQhrAAE</t>
  </si>
  <si>
    <t>CD-565936</t>
  </si>
  <si>
    <t>a163p000002zQhsAAE</t>
  </si>
  <si>
    <t>CD-565937</t>
  </si>
  <si>
    <t>a163p000002zQhtAAE</t>
  </si>
  <si>
    <t>CD-565938</t>
  </si>
  <si>
    <t>a163p000002zQhuAAE</t>
  </si>
  <si>
    <t>CD-565939</t>
  </si>
  <si>
    <t>a163p000002zQhvAAE</t>
  </si>
  <si>
    <t>CD-565940</t>
  </si>
  <si>
    <t>a163p000002zQhwAAE</t>
  </si>
  <si>
    <t>CD-565941</t>
  </si>
  <si>
    <t>a163p000002zQhxAAE</t>
  </si>
  <si>
    <t>CD-565942</t>
  </si>
  <si>
    <t>a163p000002zQhyAAE</t>
  </si>
  <si>
    <t>CD-565943</t>
  </si>
  <si>
    <t>a163p000002zQhzAAE</t>
  </si>
  <si>
    <t>CD-565944</t>
  </si>
  <si>
    <t>a163p000002zQi0AAE</t>
  </si>
  <si>
    <t>CD-565945</t>
  </si>
  <si>
    <t>a163p000002zQi1AAE</t>
  </si>
  <si>
    <t>CD-565946</t>
  </si>
  <si>
    <t>a163p000002zQi2AAE</t>
  </si>
  <si>
    <t>CD-565947</t>
  </si>
  <si>
    <t>a163p000002zQi3AAE</t>
  </si>
  <si>
    <t>CD-565948</t>
  </si>
  <si>
    <t>a163p000002zQi4AAE</t>
  </si>
  <si>
    <t>CD-565949</t>
  </si>
  <si>
    <t>CI-56517</t>
  </si>
  <si>
    <t>a163p000002zQi5AAE</t>
  </si>
  <si>
    <t>CD-565950</t>
  </si>
  <si>
    <t>a163p000002zQi6AAE</t>
  </si>
  <si>
    <t>CD-565951</t>
  </si>
  <si>
    <t>a163p000002zQi7AAE</t>
  </si>
  <si>
    <t>CD-565952</t>
  </si>
  <si>
    <t>a163p000002zQi8AAE</t>
  </si>
  <si>
    <t>CD-565953</t>
  </si>
  <si>
    <t>a163p000002zQi9AAE</t>
  </si>
  <si>
    <t>CD-565954</t>
  </si>
  <si>
    <t>a163p000002zQiAAAU</t>
  </si>
  <si>
    <t>CD-565955</t>
  </si>
  <si>
    <t>a163p000002zQiBAAU</t>
  </si>
  <si>
    <t>CD-565956</t>
  </si>
  <si>
    <t>a163p000002zQiCAAU</t>
  </si>
  <si>
    <t>CD-565957</t>
  </si>
  <si>
    <t>a163p000002zQiDAAU</t>
  </si>
  <si>
    <t>CD-565958</t>
  </si>
  <si>
    <t>a163p000002zQiEAAU</t>
  </si>
  <si>
    <t>CD-565959</t>
  </si>
  <si>
    <t>a163p000002zQiFAAU</t>
  </si>
  <si>
    <t>CD-565960</t>
  </si>
  <si>
    <t>a163p000002zQiGAAU</t>
  </si>
  <si>
    <t>CD-565961</t>
  </si>
  <si>
    <t>a163p000002zQiHAAU</t>
  </si>
  <si>
    <t>CD-565962</t>
  </si>
  <si>
    <t>a163p000002zQiIAAU</t>
  </si>
  <si>
    <t>CD-565963</t>
  </si>
  <si>
    <t>a163p000002zQiJAAU</t>
  </si>
  <si>
    <t>CD-565964</t>
  </si>
  <si>
    <t>a163p000002zQiKAAU</t>
  </si>
  <si>
    <t>CD-565965</t>
  </si>
  <si>
    <t>a163p000002zQiLAAU</t>
  </si>
  <si>
    <t>CD-565966</t>
  </si>
  <si>
    <t>a163p000002zQiMAAU</t>
  </si>
  <si>
    <t>CD-565967</t>
  </si>
  <si>
    <t>a163p000002zQiNAAU</t>
  </si>
  <si>
    <t>CD-565968</t>
  </si>
  <si>
    <t>a163p000002zQiOAAU</t>
  </si>
  <si>
    <t>CD-565969</t>
  </si>
  <si>
    <t>CI-56518</t>
  </si>
  <si>
    <t>a163p000002zQiPAAU</t>
  </si>
  <si>
    <t>CD-565970</t>
  </si>
  <si>
    <t>a163p000002zQiQAAU</t>
  </si>
  <si>
    <t>CD-565971</t>
  </si>
  <si>
    <t>a163p000002zQiRAAU</t>
  </si>
  <si>
    <t>CD-565972</t>
  </si>
  <si>
    <t>a163p000002zQiSAAU</t>
  </si>
  <si>
    <t>CD-565973</t>
  </si>
  <si>
    <t>a163p000002zQiTAAU</t>
  </si>
  <si>
    <t>CD-565974</t>
  </si>
  <si>
    <t>a163p000002zQiUAAU</t>
  </si>
  <si>
    <t>CD-565975</t>
  </si>
  <si>
    <t>a163p000002zQiVAAU</t>
  </si>
  <si>
    <t>CD-565976</t>
  </si>
  <si>
    <t>a163p000002zQiWAAU</t>
  </si>
  <si>
    <t>CD-565977</t>
  </si>
  <si>
    <t>a163p000002zQiXAAU</t>
  </si>
  <si>
    <t>CD-565978</t>
  </si>
  <si>
    <t>a163p000002zQiYAAU</t>
  </si>
  <si>
    <t>CD-565979</t>
  </si>
  <si>
    <t>a163p000002zQiZAAU</t>
  </si>
  <si>
    <t>CD-565980</t>
  </si>
  <si>
    <t>a163p000002zQiaAAE</t>
  </si>
  <si>
    <t>CD-565981</t>
  </si>
  <si>
    <t>a163p000002zQibAAE</t>
  </si>
  <si>
    <t>CD-565982</t>
  </si>
  <si>
    <t>a163p000002zQicAAE</t>
  </si>
  <si>
    <t>CD-565983</t>
  </si>
  <si>
    <t>a163p000002zQidAAE</t>
  </si>
  <si>
    <t>CD-565984</t>
  </si>
  <si>
    <t>a163p000002zQieAAE</t>
  </si>
  <si>
    <t>CD-565985</t>
  </si>
  <si>
    <t>a163p000002zQifAAE</t>
  </si>
  <si>
    <t>CD-565986</t>
  </si>
  <si>
    <t>a163p000002zQigAAE</t>
  </si>
  <si>
    <t>CD-565987</t>
  </si>
  <si>
    <t>a163p000002zQihAAE</t>
  </si>
  <si>
    <t>CD-565988</t>
  </si>
  <si>
    <t>a163p000002zQiiAAE</t>
  </si>
  <si>
    <t>CD-565989</t>
  </si>
  <si>
    <t>CI-56519</t>
  </si>
  <si>
    <t>a163p000002zQijAAE</t>
  </si>
  <si>
    <t>CD-565990</t>
  </si>
  <si>
    <t>a163p000002zQikAAE</t>
  </si>
  <si>
    <t>CD-565991</t>
  </si>
  <si>
    <t>a163p000002zQilAAE</t>
  </si>
  <si>
    <t>CD-565992</t>
  </si>
  <si>
    <t>a163p000002zQimAAE</t>
  </si>
  <si>
    <t>CD-565993</t>
  </si>
  <si>
    <t>a163p000002zQinAAE</t>
  </si>
  <si>
    <t>CD-565994</t>
  </si>
  <si>
    <t>a163p000002zQioAAE</t>
  </si>
  <si>
    <t>CD-565995</t>
  </si>
  <si>
    <t>a163p000002zQipAAE</t>
  </si>
  <si>
    <t>CD-565996</t>
  </si>
  <si>
    <t>a163p000002zQiqAAE</t>
  </si>
  <si>
    <t>CD-565997</t>
  </si>
  <si>
    <t>a163p000002zQirAAE</t>
  </si>
  <si>
    <t>CD-565998</t>
  </si>
  <si>
    <t>a163p000002zQisAAE</t>
  </si>
  <si>
    <t>CD-565999</t>
  </si>
  <si>
    <t>a163p000002zQitAAE</t>
  </si>
  <si>
    <t>CD-566000</t>
  </si>
  <si>
    <t>a163p000002zQiuAAE</t>
  </si>
  <si>
    <t>CD-566001</t>
  </si>
  <si>
    <t>a163p000002zQivAAE</t>
  </si>
  <si>
    <t>CD-566002</t>
  </si>
  <si>
    <t>a163p000002zQiwAAE</t>
  </si>
  <si>
    <t>CD-566003</t>
  </si>
  <si>
    <t>a163p000002zQixAAE</t>
  </si>
  <si>
    <t>CD-566004</t>
  </si>
  <si>
    <t>a163p000002zQiyAAE</t>
  </si>
  <si>
    <t>CD-566005</t>
  </si>
  <si>
    <t>a163p000002zQizAAE</t>
  </si>
  <si>
    <t>CD-566006</t>
  </si>
  <si>
    <t>a163p000002zQj0AAE</t>
  </si>
  <si>
    <t>CD-566007</t>
  </si>
  <si>
    <t>a163p000002zQj1AAE</t>
  </si>
  <si>
    <t>CD-566008</t>
  </si>
  <si>
    <t>a163p000002zQj2AAE</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</si>
  <si>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</si>
  <si>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</si>
  <si>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</si>
  <si>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</si>
  <si>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</si>
  <si>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</si>
  <si>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</si>
  <si>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</si>
  <si>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</si>
  <si>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</si>
  <si>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</si>
  <si>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</si>
  <si>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</si>
  <si>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</si>
  <si>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</si>
  <si>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</si>
  <si>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</si>
  <si>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</si>
  <si>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</si>
  <si>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</si>
  <si>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</si>
  <si>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</si>
  <si>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</si>
  <si>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</si>
  <si>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</si>
  <si>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</si>
  <si>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</si>
  <si>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</si>
  <si>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</si>
  <si>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</si>
  <si>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</si>
  <si>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</si>
  <si>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</si>
  <si>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</si>
  <si>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</si>
  <si>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</si>
  <si>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</si>
  <si>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</si>
  <si>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</si>
  <si>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</si>
  <si>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</si>
  <si>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</si>
  <si>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</si>
  <si>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</si>
  <si>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</si>
  <si>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</si>
  <si>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</si>
  <si>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</si>
  <si>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</si>
  <si>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</si>
  <si>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</si>
  <si>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</si>
  <si>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</si>
  <si>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</si>
  <si>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</si>
  <si>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</si>
  <si>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</si>
  <si>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</si>
  <si>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</si>
  <si>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</si>
  <si>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</si>
  <si>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</si>
  <si>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AR-07593</t>
  </si>
  <si>
    <t>United Nations Development Programme</t>
  </si>
  <si>
    <t>0013600000xoEIwAAM</t>
  </si>
  <si>
    <t>AR-01028</t>
  </si>
  <si>
    <t>AR-01029</t>
  </si>
  <si>
    <t>AR-01030</t>
  </si>
  <si>
    <t>AR-01618</t>
  </si>
  <si>
    <t>0013600000xoEGGAA2</t>
  </si>
  <si>
    <t>AR-01027</t>
  </si>
  <si>
    <t>AR-04177</t>
  </si>
  <si>
    <t>AR-08389</t>
  </si>
  <si>
    <t>AR-08148</t>
  </si>
  <si>
    <t>0013600000xoEJ2AAM</t>
  </si>
  <si>
    <t>AR-01617</t>
  </si>
  <si>
    <t>AR-01620</t>
  </si>
  <si>
    <t>Republican Center of Tuberculosis Control - Tajikistan</t>
  </si>
  <si>
    <t>0013600000xoEKeAAM</t>
  </si>
  <si>
    <t>AR-01164</t>
  </si>
  <si>
    <t>AR-01212</t>
  </si>
  <si>
    <t>AR-01619</t>
  </si>
  <si>
    <t>AR-02643</t>
  </si>
  <si>
    <t>AR-02645</t>
  </si>
  <si>
    <t>AR-03114</t>
  </si>
  <si>
    <t>AR-03420</t>
  </si>
  <si>
    <t>AR-03421</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</si>
  <si>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</si>
  <si>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</si>
  <si>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</si>
  <si>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</si>
  <si>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</si>
  <si>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</si>
  <si>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</si>
  <si>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</si>
  <si>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</si>
  <si>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</si>
  <si>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</si>
  <si>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</si>
  <si>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</si>
  <si>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</si>
  <si>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</si>
  <si>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</si>
  <si>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</si>
  <si>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</si>
  <si>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</si>
  <si>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</si>
  <si>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</si>
  <si>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</si>
  <si>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</si>
  <si>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</si>
  <si>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AR-07674</t>
  </si>
  <si>
    <t>Ministry of Health of Mongolia</t>
  </si>
  <si>
    <t>0013600000xoEIFAA2</t>
  </si>
  <si>
    <t>AR-07675</t>
  </si>
  <si>
    <t>AR-01493</t>
  </si>
  <si>
    <t>AR-01494</t>
  </si>
  <si>
    <t>AR-03429</t>
  </si>
  <si>
    <t>AR-04069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</si>
  <si>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</si>
  <si>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</si>
  <si>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</si>
  <si>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</si>
  <si>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</si>
  <si>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</si>
  <si>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</si>
  <si>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</si>
  <si>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</si>
  <si>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</si>
  <si>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</si>
  <si>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</si>
  <si>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</si>
  <si>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</si>
  <si>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</si>
  <si>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</si>
  <si>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</si>
  <si>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AR-07782</t>
  </si>
  <si>
    <t>Ministry of Health of the Democratic Republic of Timor-Leste</t>
  </si>
  <si>
    <t>0013600000xoEIeAAM</t>
  </si>
  <si>
    <t>AR-01621</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</si>
  <si>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</si>
  <si>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</si>
  <si>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</si>
  <si>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</si>
  <si>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</si>
  <si>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</si>
  <si>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</si>
  <si>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</si>
  <si>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</si>
  <si>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</si>
  <si>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</si>
  <si>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</si>
  <si>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</si>
  <si>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</si>
  <si>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</si>
  <si>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</si>
  <si>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</si>
  <si>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</si>
  <si>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</si>
  <si>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</si>
  <si>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</si>
  <si>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</si>
  <si>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</si>
  <si>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</si>
  <si>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</si>
  <si>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</si>
  <si>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</si>
  <si>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</si>
  <si>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</si>
  <si>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</si>
  <si>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</si>
  <si>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</si>
  <si>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</si>
  <si>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</si>
  <si>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</si>
  <si>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</si>
  <si>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</si>
  <si>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</si>
  <si>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</si>
  <si>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</si>
  <si>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</si>
  <si>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</si>
  <si>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</si>
  <si>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</si>
  <si>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</si>
  <si>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</si>
  <si>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</si>
  <si>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</si>
  <si>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</si>
  <si>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</si>
  <si>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</si>
  <si>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</si>
  <si>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</si>
  <si>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</si>
  <si>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</si>
  <si>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</si>
  <si>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</si>
  <si>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</si>
  <si>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</si>
  <si>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</si>
  <si>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</si>
  <si>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</si>
  <si>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</si>
  <si>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</si>
  <si>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</si>
  <si>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</si>
  <si>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</si>
  <si>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</si>
  <si>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</si>
  <si>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</si>
  <si>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</si>
  <si>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</si>
  <si>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</si>
  <si>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</si>
  <si>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</si>
  <si>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</si>
  <si>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</si>
  <si>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</si>
  <si>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</si>
  <si>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</si>
  <si>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</si>
  <si>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</si>
  <si>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</si>
  <si>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</si>
  <si>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</si>
  <si>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</si>
  <si>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</si>
  <si>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</si>
  <si>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</si>
  <si>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</si>
  <si>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</si>
  <si>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</si>
  <si>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</si>
  <si>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</si>
  <si>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</si>
  <si>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</si>
  <si>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</si>
  <si>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</si>
  <si>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</si>
  <si>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</si>
  <si>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</si>
  <si>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</si>
  <si>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</si>
  <si>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</si>
  <si>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</si>
  <si>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</si>
  <si>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</si>
  <si>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</si>
  <si>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</si>
  <si>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</si>
  <si>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</si>
  <si>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</si>
  <si>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</si>
  <si>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</si>
  <si>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</si>
  <si>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</si>
  <si>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</si>
  <si>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AR-08030</t>
  </si>
  <si>
    <t>0013600000xoEJAAA2</t>
  </si>
  <si>
    <t>AR-00999</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</si>
  <si>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</si>
  <si>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</si>
  <si>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</si>
  <si>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</si>
  <si>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</si>
  <si>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</si>
  <si>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</si>
  <si>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</si>
  <si>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</si>
  <si>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</si>
  <si>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</si>
  <si>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</si>
  <si>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</si>
  <si>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</si>
  <si>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</si>
  <si>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</si>
  <si>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</si>
  <si>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</si>
  <si>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</si>
  <si>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</si>
  <si>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</si>
  <si>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</si>
  <si>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</si>
  <si>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</si>
  <si>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</si>
  <si>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</si>
  <si>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</si>
  <si>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</si>
  <si>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</si>
  <si>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</si>
  <si>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</si>
  <si>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</si>
  <si>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</si>
  <si>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</si>
  <si>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</si>
  <si>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</si>
  <si>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</si>
  <si>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</si>
  <si>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</si>
  <si>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</si>
  <si>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</si>
  <si>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</si>
  <si>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</si>
  <si>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AR-07611</t>
  </si>
  <si>
    <t>AR-01133</t>
  </si>
  <si>
    <t>AR-01135</t>
  </si>
  <si>
    <t>AR-01136</t>
  </si>
  <si>
    <t>World Vision Somalia</t>
  </si>
  <si>
    <t>0013600000xoEIgAAM</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</si>
  <si>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</si>
  <si>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</si>
  <si>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</si>
  <si>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</si>
  <si>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</si>
  <si>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</si>
  <si>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</si>
  <si>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</si>
  <si>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</si>
  <si>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</si>
  <si>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</si>
  <si>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</si>
  <si>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</si>
  <si>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</si>
  <si>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</si>
  <si>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</si>
  <si>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</si>
  <si>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</si>
  <si>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</si>
  <si>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</si>
  <si>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</si>
  <si>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</si>
  <si>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</si>
  <si>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</si>
  <si>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</si>
  <si>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</si>
  <si>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</si>
  <si>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</si>
  <si>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</si>
  <si>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</si>
  <si>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</si>
  <si>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</si>
  <si>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</si>
  <si>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</si>
  <si>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</si>
  <si>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</si>
  <si>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</si>
  <si>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</si>
  <si>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</si>
  <si>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</si>
  <si>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</si>
  <si>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</si>
  <si>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</si>
  <si>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</si>
  <si>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</si>
  <si>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</si>
  <si>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AR-08012</t>
  </si>
  <si>
    <t>Programme National contre la Tuberculose de la République du Bénin</t>
  </si>
  <si>
    <t>0013600000xoEF9AAM</t>
  </si>
  <si>
    <t>AR-01295</t>
  </si>
  <si>
    <t>Programme santé de lutte contre le Sida</t>
  </si>
  <si>
    <t>0013600000xoEGoAAM</t>
  </si>
  <si>
    <t>AR-01294</t>
  </si>
  <si>
    <t>Africare</t>
  </si>
  <si>
    <t>0013600000xoEFKAA2</t>
  </si>
  <si>
    <t>AR-00952</t>
  </si>
  <si>
    <t>Catholic Relief Services - United States Conference of Catholic Bishops</t>
  </si>
  <si>
    <t>0013600000xoEG6AAM</t>
  </si>
  <si>
    <t>AR-01298</t>
  </si>
  <si>
    <t>AR-00953</t>
  </si>
  <si>
    <t>Plan International, Inc.</t>
  </si>
  <si>
    <t>0013600000xoEHAAA2</t>
  </si>
  <si>
    <t>AR-01297</t>
  </si>
  <si>
    <t>Health System Performance Program</t>
  </si>
  <si>
    <t>0013600000xoEJNAA2</t>
  </si>
  <si>
    <t>AR-01296</t>
  </si>
  <si>
    <t>Programme National de Lutte contre le Paludisme de la République du Bénin</t>
  </si>
  <si>
    <t>0013600000xoEKkAAM</t>
  </si>
  <si>
    <t>AR-04030</t>
  </si>
  <si>
    <t>AR-04244</t>
  </si>
  <si>
    <t>AR-04050</t>
  </si>
  <si>
    <t>AR-04243</t>
  </si>
  <si>
    <t>AR-06638</t>
  </si>
  <si>
    <t>AR-06639</t>
  </si>
  <si>
    <t>0013600000zN6z8AAC</t>
  </si>
  <si>
    <t>a123p000005UjbKAAS</t>
  </si>
  <si>
    <t>Funding Request Place Holder</t>
  </si>
  <si>
    <t>AR-08332</t>
  </si>
  <si>
    <t>a123p000005UjbLAAS</t>
  </si>
  <si>
    <t>AR-08333</t>
  </si>
  <si>
    <t>a123p000005UjbMAAS</t>
  </si>
  <si>
    <t>AR-08334</t>
  </si>
  <si>
    <t>a123p000005UjbNAAS</t>
  </si>
  <si>
    <t>AR-08335</t>
  </si>
  <si>
    <t>a123p000005UjbOAAS</t>
  </si>
  <si>
    <t>AR-08336</t>
  </si>
  <si>
    <t>a123p000005UjbPAAS</t>
  </si>
  <si>
    <t>AR-08337</t>
  </si>
  <si>
    <t>a123p000005UjbQAAS</t>
  </si>
  <si>
    <t>AR-08338</t>
  </si>
  <si>
    <t>a123p000005UjbRAAS</t>
  </si>
  <si>
    <t>AR-08339</t>
  </si>
  <si>
    <t>a123p000005UjbSAAS</t>
  </si>
  <si>
    <t>AR-08340</t>
  </si>
  <si>
    <t>a3z1R0000007SGDQA2</t>
  </si>
  <si>
    <t>a3z1R0000007SGEQA2</t>
  </si>
  <si>
    <t>a3z1R0000007SGFQA2</t>
  </si>
  <si>
    <t>a3z1R0000007SGGQA2</t>
  </si>
  <si>
    <t>a3z1R0000007SGHQA2</t>
  </si>
  <si>
    <t>a3z1R0000007SGIQA2</t>
  </si>
  <si>
    <t>a3z1R0000007SGJQA2</t>
  </si>
  <si>
    <t>a3z1R0000007SGKQA2</t>
  </si>
  <si>
    <t>a3z1R0000007SGLQA2</t>
  </si>
  <si>
    <t>a3z1R0000007SGPQA2</t>
  </si>
  <si>
    <t>a3z1R0000007SGZQA2</t>
  </si>
  <si>
    <t>a3z1R0000007SGaQAM</t>
  </si>
  <si>
    <t>a3z1R0000007SGbQAM</t>
  </si>
  <si>
    <t>a3z1R0000007SGcQAM</t>
  </si>
  <si>
    <t>a3z1R0000007SGdQAM</t>
  </si>
  <si>
    <t>a3z1R0000007SGeQAM</t>
  </si>
  <si>
    <t>a3z1R0000007SGfQAM</t>
  </si>
  <si>
    <t>a3z1R0000007SGgQAM</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</si>
  <si>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</si>
  <si>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</si>
  <si>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</si>
  <si>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</si>
  <si>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</si>
  <si>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</si>
  <si>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</si>
  <si>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</si>
  <si>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</si>
  <si>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</si>
  <si>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</si>
  <si>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</si>
  <si>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</si>
  <si>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a3z1R0000007SHAQA2</t>
  </si>
  <si>
    <t>a3z1R0000007SHBQA2</t>
  </si>
  <si>
    <t>a3z1R0000007SHCQA2</t>
  </si>
  <si>
    <t>a3z1R0000007SHDQA2</t>
  </si>
  <si>
    <t>a3z1R0000007SHEQA2</t>
  </si>
  <si>
    <t>a3z1R0000007SHFQA2</t>
  </si>
  <si>
    <t>a3z1R0000007SHSQA2</t>
  </si>
  <si>
    <t>a3z1R0000007SHTQA2</t>
  </si>
  <si>
    <t>a3z1R0000007SHUQA2</t>
  </si>
  <si>
    <t>a3z1R0000007SHVQA2</t>
  </si>
  <si>
    <t>a3z1R0000007SHWQA2</t>
  </si>
  <si>
    <t>a3z1R0000007SHXQA2</t>
  </si>
  <si>
    <t>IOR-00002</t>
  </si>
  <si>
    <t>a3z360000009C3FAAU</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</si>
  <si>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</si>
  <si>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</si>
  <si>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</si>
  <si>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IOR-00003</t>
  </si>
  <si>
    <t>a3z360000009C3GAAU</t>
  </si>
  <si>
    <t>HIV O-2: Percentage of women and men aged 15-49 who have had sexual intercourse with more than one partner in the past 12 months</t>
  </si>
  <si>
    <t>HIV O-2: Pourcentage de femmes et d'hommes âgés de 15 à 49 ans ayant eu plus d'un partenaire sexuel au cours des 12 derniers mois</t>
  </si>
  <si>
    <t>HIV O-2: Porcentaje de mujeres y hombres de entre 15 y 49 años que han tenido más de una pareja sexual en los últimos 12 meses</t>
  </si>
  <si>
    <t>IOR-00004</t>
  </si>
  <si>
    <t>a3z360000009C3HAAU</t>
  </si>
  <si>
    <t>HIV O-3: Percentage of women and men aged 15-49 who had more than one partner in the past 12 months who used a condom during their last sexual intercourse</t>
  </si>
  <si>
    <t>HIV O-3: Pourcentage de femmes et d'hommes âgés de 15 à 49 ans ayant eu plus d'un partenaire sexuel au cours des 12 derniers mois et ayant déclaré avoir utilisé un préservatif lors de leur dernier rapport sexuel</t>
  </si>
  <si>
    <t>HIV O-3: Porcentaje de mujeres y hombres de entre 15 y 49 años que han tenido más de una pareja sexual en los últimos 12 meses y dicen haber utilizado preservativo en su última relación sexual</t>
  </si>
  <si>
    <t>IOR-00005</t>
  </si>
  <si>
    <t>a3z360000009C3IAAU</t>
  </si>
  <si>
    <t>HIV O-4a(M): Percentage of men reporting the use of a condom the last time they had anal sex with a male partner</t>
  </si>
  <si>
    <t>HIV O-4a(M): Pourcentage d'hommes ayant déclaré avoir utilisé un préservatif lors de leur dernier rapport anal avec un partenaire de sexe masculin</t>
  </si>
  <si>
    <t>HIV O-4a(M): Porcentaje de hombres que afirman haber utilizado preservativo en su última relación de sexo anal con otro hombre</t>
  </si>
  <si>
    <t>IOR-00006</t>
  </si>
  <si>
    <t>a3z360000009C3JAAU</t>
  </si>
  <si>
    <t>HIV O-4b: Percentage of transgender people who sell sex reporting the use of a condom with their most recent client</t>
  </si>
  <si>
    <t>HIV O-4b: Pourcentage de transgenres qui pratiquent des rapports sexuels rémunérés ayant déclaré avoir utilisé un préservatif avec leur dernier client</t>
  </si>
  <si>
    <t>HIV O-4b: porcentaje de personas transgénero que comercian con sexo que dicen haber utilizado preservativo con su último cliente</t>
  </si>
  <si>
    <t>IOR-00007</t>
  </si>
  <si>
    <t>a3z360000009C3KAAU</t>
  </si>
  <si>
    <t>HIV O-5(M): Percentage of sex workers reporting the use of a condom with their most recent client</t>
  </si>
  <si>
    <t>HIV O-5(M): Pourcentage de professionnels du sexe ayant déclaré avoir utilisé un préservatif avec leur dernier client</t>
  </si>
  <si>
    <t>HIV O-5(M): Porcentaje de trabajadores del sexo que reportan haber utilizado preservativo con su último cliente</t>
  </si>
  <si>
    <t>IOR-00008</t>
  </si>
  <si>
    <t>a3z360000009C3LAAU</t>
  </si>
  <si>
    <t>HIV O-6(M): Percentage of people who inject drugs reporting the use of sterile injecting equipment the last time they injected</t>
  </si>
  <si>
    <t>HIV O-6(M): Pourcentage de consommateurs de drogues injectables ayant déclaré avoir utilisé du matériel d'injection stérile lors de leur dernière prise de drogue</t>
  </si>
  <si>
    <t>HIV O-6(M): Porcentaje de personas que consumen drogas inyectables que reportan haber utilizado materiales de inyección estériles la última vez que se inyectaron</t>
  </si>
  <si>
    <t>IOR-00009</t>
  </si>
  <si>
    <t>a3z360000009C3MAAU</t>
  </si>
  <si>
    <t>HIV O-7: Percentage of other vulnerable populations who report the use of a condom at last sexual intercourse</t>
  </si>
  <si>
    <t>HIV O-7: Pourcentage d'autres populations vulnérables ayant déclaré avoir utilisé un préservatif lors du dernier rapport sexuel</t>
  </si>
  <si>
    <t>HIV O-7: Porcentaje de otras poblaciones vulnerables que dicen haber utilizado preservativo en su última relación sexual</t>
  </si>
  <si>
    <t>IOR-00000</t>
  </si>
  <si>
    <t>a3z360000009C3NAAU</t>
  </si>
  <si>
    <t>HIV O-8: Current school attendance rate among orphans compared to non-orphans</t>
  </si>
  <si>
    <t>HIV O-8: Taux actuel de fréquentation scolaire chez les enfants orphelins et non orphelins</t>
  </si>
  <si>
    <t>HIV O-8: Tasa de asistencia escolar actual entre huérfanos y no huérfanos</t>
  </si>
  <si>
    <t>IOR-00022</t>
  </si>
  <si>
    <t>a3z360000009C3OAAU</t>
  </si>
  <si>
    <t>HSS O-1: Percentage of women attending antenatal care</t>
  </si>
  <si>
    <t>HSS O-1: Pourcentage de femmes bénéficiant de soins prénatals</t>
  </si>
  <si>
    <t>HSS O-1: Porcentaje de mujeres que asisten a los servicios de atención prenatal</t>
  </si>
  <si>
    <t>IOR-00023</t>
  </si>
  <si>
    <t>a3z360000009C3PAAU</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</si>
  <si>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</si>
  <si>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</si>
  <si>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</si>
  <si>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</si>
  <si>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a3z360000009C3QAAU</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</si>
  <si>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</si>
  <si>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</si>
  <si>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</si>
  <si>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</si>
  <si>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a3z360000009C3RAAU</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</si>
  <si>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</si>
  <si>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</si>
  <si>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</si>
  <si>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</si>
  <si>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a3z360000009C3SAAU</t>
  </si>
  <si>
    <t>HSS O-4: General service readiness score for health facilities</t>
  </si>
  <si>
    <t>HSS O-4: Note de préparation du service général pour les établissements de santé</t>
  </si>
  <si>
    <t>HSS O-4: Puntuación de la prontitud de servicios generales en los centros de salud</t>
  </si>
  <si>
    <t>IOR-00065</t>
  </si>
  <si>
    <t>a3z360000009C3TAAU</t>
  </si>
  <si>
    <t>HIV O-10: Percentage of women and men with non-regular partner in the past 12 months who report the use of a condom during their last intercourse</t>
  </si>
  <si>
    <t>HIV O-10: Pourcentage de femmes et d'hommes ayant eu un partenaire non-régulier au cours des 12 derniers mois  qui rapportent l'usage d'un préservatif durant leur dernier rapport sexuel</t>
  </si>
  <si>
    <t>HIV O-10: Porcentaje de mujeres y hombres con parejas casuales en los últimos 12 meses, que reportan el uso de preservativo durante su última relación sexual</t>
  </si>
  <si>
    <t>IOR-00066</t>
  </si>
  <si>
    <t>a3z360000009C3UAAU</t>
  </si>
  <si>
    <t>HIV O-4.1b(M): Percentage of transgender people reporting the use of a condom the last time they had sex with a partner</t>
  </si>
  <si>
    <t>HIV O-4.1b(M): Pourcentage de personnes transgenres qui rapportent l'utilisation de préservatif  lors de leur dernier rapport sexuel</t>
  </si>
  <si>
    <t>HIV O-4.1b(M): Porcentaje de personas transgénero que reportan uso de condón la última vez que sostuvieron relaciones sexuales con una pareja</t>
  </si>
  <si>
    <t>IOR-00067</t>
  </si>
  <si>
    <t>a3z360000009C3VAAU</t>
  </si>
  <si>
    <t>HIV O-9: Percentage of people who inject drugs reporting condom use at the last sexual intercourse</t>
  </si>
  <si>
    <t>HIV O-9: Pourcentage de consommateurs de drogues injectables qui rapportent l'utilisation de préservatif lors de leur dernier rapport sexuel</t>
  </si>
  <si>
    <t>HIV O-9: Porcentaje de personas que consumen drogas inyectables que reportan uso del preservativo en su ultima relación sexual</t>
  </si>
  <si>
    <t>IOR-00068</t>
  </si>
  <si>
    <t>a3z360000009C3WAAU</t>
  </si>
  <si>
    <t>HIV O-11: Percentage of (estimated) people living with HIV who have been tested HIV-positive</t>
  </si>
  <si>
    <t>HIV O-11: Pourcentage de personnes (estimées)  vivant avec le VIH  qui ont été dépistées positives au VIH</t>
  </si>
  <si>
    <t>HIV O-11: Porcentaje de personas que viven con el VIH (estimadas) con prueba de VIH positiva</t>
  </si>
  <si>
    <t>IOR-00069</t>
  </si>
  <si>
    <t>a3z360000009C3XAAU</t>
  </si>
  <si>
    <t>HIV O-12: Percentage of people living with HIV and on ART who are virologically suppressed (among all those currently on treatment who received a VL measurement regardless of when they started ART)</t>
  </si>
  <si>
    <t>HIV O-12: Pourcentage de personnes vivant avec le VIH sous ARV qui ont une charge virale indétectable (parmi tous ceux actuellement sous traitement qui font l'objet de mesure de la charge virale independamment de quand ils ont commencé le traitement ARV)</t>
  </si>
  <si>
    <t>HIV O-12: Porcentaje de personas que viven con VIH que están en TARV y tienen carga viral suprimida (entre todas las PVVIH en TARV que tienen una medición de carga viral independientemente de cuándo iniciaron TARV)</t>
  </si>
  <si>
    <t>IOR-00070</t>
  </si>
  <si>
    <t>a3z360000009C3YAAU</t>
  </si>
  <si>
    <t>HIV O-13: Proportion of ever-married or partnered women aged 15-49 who experienced physical or sexual violence from a male intimate partner in the past 12 months</t>
  </si>
  <si>
    <t>HIV O-13: Proportion de femmes qui  ont été/sont mariées ou en concubinage agées de 15-49 ans ayant subit des violences physiques ou sexuelles de la part d'un partenaire masculin intime lors des 12 derniers mois</t>
  </si>
  <si>
    <t>HIV O-13: Porcentaje de mujeres de 15-49 años, casadas o que viven en pareja, que han sufrido violencia física o sexual por una pareja masculina en los últimos 12 meses</t>
  </si>
  <si>
    <t>IOR-00071</t>
  </si>
  <si>
    <t>a3z360000009C3ZAAU</t>
  </si>
  <si>
    <t>HIV O-14: Percentage of women and men aged 15–49 who report discriminatory attitudes towards people living with HIV</t>
  </si>
  <si>
    <t>HIV O-14: Pourcentage de femmes et d'hommes agés de 15-49 ans rapportant des attitudes discriminatoires envers les personnes vivant avec le VIH</t>
  </si>
  <si>
    <t>HIV O-14: Porcentaje de mujeres y hombres de 15-49 años que reportan actitudes discriminatorias hacia las personas que viven con el VIH</t>
  </si>
  <si>
    <t>IOR-00072</t>
  </si>
  <si>
    <t>a3z360000009C3aAAE</t>
  </si>
  <si>
    <t>HIV O-15: Percent of people living with HIV who experienced recent discrimination at health care facilities</t>
  </si>
  <si>
    <t>HIV O-15: Pourcentage de personnes vivant avec le VIH rapportant avoir récemment subi une discrimination dans les services de santé</t>
  </si>
  <si>
    <t>HIV O-15: Porcentaje de personas que viven con el VIH que reportan haber experimentado discriminación en los servicios de salud</t>
  </si>
  <si>
    <t>a3z360000009C44AAE</t>
  </si>
  <si>
    <t>a3z360000009C45AAE</t>
  </si>
  <si>
    <t>a3z360000009C46AAE</t>
  </si>
  <si>
    <t>a3z360000009C47AAE</t>
  </si>
  <si>
    <t>a3z360000009C48AAE</t>
  </si>
  <si>
    <t>MCI-01233</t>
  </si>
  <si>
    <t>a1O3p000003O9XDEA0</t>
  </si>
  <si>
    <t>a3z3p000002zSTXAA2</t>
  </si>
  <si>
    <t>COVID-19</t>
  </si>
  <si>
    <t>a3z3p000002zSTIAA2</t>
  </si>
  <si>
    <t>MCI-00000</t>
  </si>
  <si>
    <t>a1O36000001EGFAEA4</t>
  </si>
  <si>
    <t>a3z360000009C1UAAU</t>
  </si>
  <si>
    <t>Prevention programs for general population</t>
  </si>
  <si>
    <t>Programmes de prévention destinés à la population générale</t>
  </si>
  <si>
    <t>Programas de prevención para la población general</t>
  </si>
  <si>
    <t>MCI-00001</t>
  </si>
  <si>
    <t>a1O36000001EGFBEA4</t>
  </si>
  <si>
    <t>a3z360000009C1VAAU</t>
  </si>
  <si>
    <t>Prevention programs for MSM and TGs</t>
  </si>
  <si>
    <t>Prévention - HSM et transgenres</t>
  </si>
  <si>
    <t>Prevención - Hombres que tienen relaciones sexuales con hombres y personas transgénero</t>
  </si>
  <si>
    <t>MCI-00002</t>
  </si>
  <si>
    <t>a1O36000001EGFCEA4</t>
  </si>
  <si>
    <t>a3z360000009C1WAAU</t>
  </si>
  <si>
    <t>Comprehensive prevention programs for sex workers and their clients</t>
  </si>
  <si>
    <t>Programmes de prévention complets destinés aux professionnels du sexe et à leurs clients</t>
  </si>
  <si>
    <t>Programas de prevención integral para trabajadores del sexo y sus clientes</t>
  </si>
  <si>
    <t>MCI-00003</t>
  </si>
  <si>
    <t>a1O36000001EGFDEA4</t>
  </si>
  <si>
    <t>a3z360000009C1XAAU</t>
  </si>
  <si>
    <t>Comprehensive prevention programs for people who inject drugs (PWID) and their partners</t>
  </si>
  <si>
    <t>Programmes de prévention complets destinés aux consommateurs de drogues injectables et à leurs partenaires</t>
  </si>
  <si>
    <t>Programas de prevención integral para personas que consumen drogas inyectables y sus parejas</t>
  </si>
  <si>
    <t>MCI-00004</t>
  </si>
  <si>
    <t>a1O36000001EGFEEA4</t>
  </si>
  <si>
    <t>a3z360000009C1YAAU</t>
  </si>
  <si>
    <t>Prevention programs for other vulnerable populations</t>
  </si>
  <si>
    <t>Programmes de prévention destinés aux autres populations vulnérables</t>
  </si>
  <si>
    <t>Programas de prevención para otras poblaciones vulnerables</t>
  </si>
  <si>
    <t>MCI-00005</t>
  </si>
  <si>
    <t>a1O36000001EGFFEA4</t>
  </si>
  <si>
    <t>a3z360000009C1ZAAU</t>
  </si>
  <si>
    <t>Prevention programs for adolescents and youth, in and out of school</t>
  </si>
  <si>
    <t>Programmes de prévention destinés aux adolescents et aux jeunes, scolarisés ou non</t>
  </si>
  <si>
    <t>Programas de prevención para adolescentes y jóvenes, dentro y fuera de los centros educativos</t>
  </si>
  <si>
    <t>MCI-00006</t>
  </si>
  <si>
    <t>a1O36000001EGFGEA4</t>
  </si>
  <si>
    <t>a3z360000009C1aAAE</t>
  </si>
  <si>
    <t>Prévention de la transmission de la mère à l'enfant (PTME)</t>
  </si>
  <si>
    <t>MCI-00007</t>
  </si>
  <si>
    <t>a1O36000001EGFHEA4</t>
  </si>
  <si>
    <t>a3z360000009C1bAAE</t>
  </si>
  <si>
    <t>MCI-00009</t>
  </si>
  <si>
    <t>a1O36000001EGFJEA4</t>
  </si>
  <si>
    <t>a3z360000009C1cAAE</t>
  </si>
  <si>
    <t>MCI-00014</t>
  </si>
  <si>
    <t>a1O36000001EGFOEA4</t>
  </si>
  <si>
    <t>a3z360000009C1dAAE</t>
  </si>
  <si>
    <t>Systèmes de santé résilients et pérennes : prestation de services intégrés et amélioration de la qualité</t>
  </si>
  <si>
    <t>SSRS: Prestación de servicios integrados y mejora de la calidad</t>
  </si>
  <si>
    <t>MCI-00015</t>
  </si>
  <si>
    <t>a1O36000001EGFPEA4</t>
  </si>
  <si>
    <t>a3z360000009C1eAAE</t>
  </si>
  <si>
    <t>RSSH: Human resources for health (HRH), including community health workers</t>
  </si>
  <si>
    <t>Systèmes de santé résilients et pérennes : ressources humaines pour la santé, y compris agents de santé communautaires</t>
  </si>
  <si>
    <t>SSRS: Recursos humanos para la salud, incluidos trabajadores de salud comunitarios</t>
  </si>
  <si>
    <t>MCI-00016</t>
  </si>
  <si>
    <t>a1O36000001EGFQEA4</t>
  </si>
  <si>
    <t>a3z360000009C1fAAE</t>
  </si>
  <si>
    <t>RSSH: Procurement and supply chain management systems</t>
  </si>
  <si>
    <t>Systèmes de santé résilients et pérennes : systèmes de gestion des achats et de la chaîne d'approvisionnement</t>
  </si>
  <si>
    <t>SSRS: Sistemas de gestión de la cadena de adquisiciones y suministros</t>
  </si>
  <si>
    <t>MCI-00017</t>
  </si>
  <si>
    <t>a1O36000001EGFREA4</t>
  </si>
  <si>
    <t>a3z360000009C1gAAE</t>
  </si>
  <si>
    <t>HSS - Policy and governance</t>
  </si>
  <si>
    <t>RSS - Politique et gouvernance</t>
  </si>
  <si>
    <t>FSS - Políticas y gobernanza</t>
  </si>
  <si>
    <t>MCI-00018</t>
  </si>
  <si>
    <t>a1O36000001EGFSEA4</t>
  </si>
  <si>
    <t>a3z360000009C1hAAE</t>
  </si>
  <si>
    <t>HSS - Healthcare financing</t>
  </si>
  <si>
    <t>RSS - Financement des soins de santé</t>
  </si>
  <si>
    <t>FSS - Financiamiento de la atención sanitaria</t>
  </si>
  <si>
    <t>MCI-00019</t>
  </si>
  <si>
    <t>a1O36000001EGFTEA4</t>
  </si>
  <si>
    <t>a3z360000009C1iAAE</t>
  </si>
  <si>
    <t>Systèmes de santé résilients et pérennes : système de gestion financière</t>
  </si>
  <si>
    <t>SSRS:  Sistemas de gestión financiera</t>
  </si>
  <si>
    <t>MCI-00020</t>
  </si>
  <si>
    <t>a1O36000001EGFUEA4</t>
  </si>
  <si>
    <t>a3z360000009C1jAAE</t>
  </si>
  <si>
    <t>Removing legal barriers to access</t>
  </si>
  <si>
    <t>Suppression des obstacles juridiques à l'accès aux services</t>
  </si>
  <si>
    <t>Eliminación de las barreras legales de acceso</t>
  </si>
  <si>
    <t>MCI-00021</t>
  </si>
  <si>
    <t>a1O36000001EGFVEA4</t>
  </si>
  <si>
    <t>a3z360000009C1kAAE</t>
  </si>
  <si>
    <t>RSSH: Community responses and systems</t>
  </si>
  <si>
    <t>Systèmes de santé résilients et pérennes : ripostes et systèmes communautaires</t>
  </si>
  <si>
    <t>SSRS:  Respuestas y sistemas comunitarios</t>
  </si>
  <si>
    <t>MCI-00022</t>
  </si>
  <si>
    <t>a1O36000001EGFWEA4</t>
  </si>
  <si>
    <t>a3z360000009C1lAAE</t>
  </si>
  <si>
    <t>Systèmes de santé résilients et pérennes : système de gestion de l'information sanitaire et suivi et évaluation</t>
  </si>
  <si>
    <t>SSRS: Sistemas de información en salud y monitoreo y evaluación</t>
  </si>
  <si>
    <t>MCI-00023</t>
  </si>
  <si>
    <t>a1O36000001EGFXEA4</t>
  </si>
  <si>
    <t>a3z360000009C1mAAE</t>
  </si>
  <si>
    <t>MCI-00024</t>
  </si>
  <si>
    <t>a1O36000001EGFYEA4</t>
  </si>
  <si>
    <t>a3z360000009C1nAAE</t>
  </si>
  <si>
    <t>MCI-00071</t>
  </si>
  <si>
    <t>a1O36000001EGGJEA4</t>
  </si>
  <si>
    <t>a3z360000009C1oAAE</t>
  </si>
  <si>
    <t>Other module</t>
  </si>
  <si>
    <t>Autre module</t>
  </si>
  <si>
    <t>Otro módulo</t>
  </si>
  <si>
    <t>MCI-00531</t>
  </si>
  <si>
    <t>a1O36000001qZ7sEAE</t>
  </si>
  <si>
    <t>a3z360000009C1pAAE</t>
  </si>
  <si>
    <t>Comprehensive prevention programs for TGs</t>
  </si>
  <si>
    <t>Programmes de prévention complets destinés aux personnes transgenres</t>
  </si>
  <si>
    <t>Programas de prevención integral para personas transgénero</t>
  </si>
  <si>
    <t>MCI-00532</t>
  </si>
  <si>
    <t>a1O36000001qZ7tEAE</t>
  </si>
  <si>
    <t>a3z360000009C1qAAE</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</si>
  <si>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</si>
  <si>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</si>
  <si>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</si>
  <si>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MCI-00533</t>
  </si>
  <si>
    <t>a1O36000001qZ7uEAE</t>
  </si>
  <si>
    <t>a3z360000009C1rAAE</t>
  </si>
  <si>
    <t>HIV Testing Services</t>
  </si>
  <si>
    <t>Services de dépistage du VIH</t>
  </si>
  <si>
    <t>Servicios de diagnóstico de VIH</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</si>
  <si>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</si>
  <si>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</si>
  <si>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</si>
  <si>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</si>
  <si>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</si>
  <si>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</si>
  <si>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</si>
  <si>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</si>
  <si>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</si>
  <si>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</si>
  <si>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MCI-00534</t>
  </si>
  <si>
    <t>a1O36000001qZ7vEAE</t>
  </si>
  <si>
    <t>a3z360000009C49AAE</t>
  </si>
  <si>
    <t>Comprehensive prevention programs for MSM</t>
  </si>
  <si>
    <t>Programmes de prévention complets destinés aux hommes ayant des rapports sexuels avec des hommes (HSH)</t>
  </si>
  <si>
    <t>Programas de prevención integral para hombres que tienen relaciones sexuales con hombres</t>
  </si>
  <si>
    <t>MCI-00535</t>
  </si>
  <si>
    <t>a1O36000001qZ7wEAE</t>
  </si>
  <si>
    <t>a3z360000009C4AAAU</t>
  </si>
  <si>
    <t>Programs to reduce human rights-related barriers to HIV services</t>
  </si>
  <si>
    <t>Programmes visant à réduire les obstacles liés aux droits humains qui entravent l’accès aux services VIH</t>
  </si>
  <si>
    <t>Programas para reducir las barreras relacionadas a los derechos humanos para acceder a los servicios de VIH</t>
  </si>
  <si>
    <t>MCI-00536</t>
  </si>
  <si>
    <t>a1O36000001qZ7xEAE</t>
  </si>
  <si>
    <t>a3z360000009C4BAAU</t>
  </si>
  <si>
    <t>RSSH: National health strategies</t>
  </si>
  <si>
    <t>Systèmes de santé résilients et pérennes  : stratégies nationales de santé</t>
  </si>
  <si>
    <t>SSRS: Estrategias nacionales de salud</t>
  </si>
  <si>
    <t>a3z360000009C4EAAU</t>
  </si>
  <si>
    <t>a3p1R0000018qtDQAQ</t>
  </si>
  <si>
    <t>a1O1R000006c5kmUAA</t>
  </si>
  <si>
    <t>MCI-00874</t>
  </si>
  <si>
    <t>Men in high prevalence settings</t>
  </si>
  <si>
    <t>Hommes dans des contextes à forte prévalence</t>
  </si>
  <si>
    <t>Hombres en entornos de alta prevalencia</t>
  </si>
  <si>
    <t>a1O1R000006c5jpUAA</t>
  </si>
  <si>
    <t>MCI-00815</t>
  </si>
  <si>
    <t>Men who have sex with men</t>
  </si>
  <si>
    <t>Hommes ayant des rapports sexuels avec des hommes</t>
  </si>
  <si>
    <t>a1O1R000006c5jyUAA</t>
  </si>
  <si>
    <t>MCI-00824</t>
  </si>
  <si>
    <t>Sex workers and their clients</t>
  </si>
  <si>
    <t>Professionnels du sexe et leurs clients</t>
  </si>
  <si>
    <t>Trabajadores sexuales y sus clientes</t>
  </si>
  <si>
    <t>a1O1R000006c5k7UAA</t>
  </si>
  <si>
    <t>MCI-00833</t>
  </si>
  <si>
    <t>Transgender people</t>
  </si>
  <si>
    <t>Personnes transgenres</t>
  </si>
  <si>
    <t>Personas transgénero</t>
  </si>
  <si>
    <t>a1O1R000006c5kJUAQ</t>
  </si>
  <si>
    <t>MCI-00845</t>
  </si>
  <si>
    <t>People who inject drugs and their partners</t>
  </si>
  <si>
    <t>Personnes qui s’injectent des drogues et leurs partenaires</t>
  </si>
  <si>
    <t>Consumidores de drogas inyectables y sus parejas</t>
  </si>
  <si>
    <t>a1O1R000006c5kRUAQ</t>
  </si>
  <si>
    <t>MCI-00853</t>
  </si>
  <si>
    <t>People in prisons and other closed settings</t>
  </si>
  <si>
    <t>Personnes en détention ou se trouvant dans d’autres lieux fermés</t>
  </si>
  <si>
    <t>Personas privadas de libertad en centros penitenciarios y otros lugares de reclusión</t>
  </si>
  <si>
    <t>a1O1R000006c5kZUAQ</t>
  </si>
  <si>
    <t>MCI-00861</t>
  </si>
  <si>
    <t>Other vulnerable populations</t>
  </si>
  <si>
    <t>Autres populations vulnérables</t>
  </si>
  <si>
    <t>Otras poblaciones vulnerables</t>
  </si>
  <si>
    <t>a1O1R000006c5kcUAA</t>
  </si>
  <si>
    <t>MCI-00864</t>
  </si>
  <si>
    <t>Adolescent girls and young women in high prevalence settings</t>
  </si>
  <si>
    <t>Adolescentes et jeunes femmes dans des contextes à forte prévalence</t>
  </si>
  <si>
    <t>Niñas adolescentes y mujeres jóvenes en entornos de alta prevalencia</t>
  </si>
  <si>
    <t>a1O1R000006c5knUAA</t>
  </si>
  <si>
    <t>MCI-00875</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</si>
  <si>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</si>
  <si>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</si>
  <si>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</si>
  <si>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</si>
  <si>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</si>
  <si>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</si>
  <si>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</si>
  <si>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</si>
  <si>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</si>
  <si>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</si>
  <si>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</si>
  <si>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</si>
  <si>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a1O1R000006c5koUAA</t>
  </si>
  <si>
    <t>MCI-00876</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</si>
  <si>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</si>
  <si>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</si>
  <si>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</si>
  <si>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</si>
  <si>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</si>
  <si>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</si>
  <si>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</si>
  <si>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</si>
  <si>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</si>
  <si>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</si>
  <si>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</si>
  <si>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</si>
  <si>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</si>
  <si>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</si>
  <si>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a1O1R000006c5jsUAA</t>
  </si>
  <si>
    <t>MCI-00818</t>
  </si>
  <si>
    <t>a1O1R000006c5k1UAA</t>
  </si>
  <si>
    <t>MCI-00827</t>
  </si>
  <si>
    <t>a1O1R000006c5kAUAQ</t>
  </si>
  <si>
    <t>MCI-00836</t>
  </si>
  <si>
    <t>a1O1R000006c5kMUAQ</t>
  </si>
  <si>
    <t>MCI-00848</t>
  </si>
  <si>
    <t>a1O1R000006c5kUUAQ</t>
  </si>
  <si>
    <t>MCI-00856</t>
  </si>
  <si>
    <t>a1O1R000006c5kpUAA</t>
  </si>
  <si>
    <t>MCI-00877</t>
  </si>
  <si>
    <t>a1O1R000006c5jtUAA</t>
  </si>
  <si>
    <t>MCI-00819</t>
  </si>
  <si>
    <t>a1O1R000006c5k2UAA</t>
  </si>
  <si>
    <t>MCI-00828</t>
  </si>
  <si>
    <t>a1O1R000006c5kBUAQ</t>
  </si>
  <si>
    <t>MCI-00837</t>
  </si>
  <si>
    <t>a1O1R000006c5kNUAQ</t>
  </si>
  <si>
    <t>MCI-00849</t>
  </si>
  <si>
    <t>a1O1R000006c5kbUAA</t>
  </si>
  <si>
    <t>MCI-00863</t>
  </si>
  <si>
    <t>a1O1R000006c5kgUAA</t>
  </si>
  <si>
    <t>MCI-00868</t>
  </si>
  <si>
    <t>a1O1R000006c5kVUAQ</t>
  </si>
  <si>
    <t>MCI-00857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</si>
  <si>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</si>
  <si>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</si>
  <si>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</si>
  <si>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</si>
  <si>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</si>
  <si>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</si>
  <si>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</si>
  <si>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</si>
  <si>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</si>
  <si>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</si>
  <si>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</si>
  <si>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</si>
  <si>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</si>
  <si>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</si>
  <si>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</si>
  <si>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</si>
  <si>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</si>
  <si>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</si>
  <si>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</si>
  <si>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</si>
  <si>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</si>
  <si>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</si>
  <si>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</si>
  <si>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</si>
  <si>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</si>
  <si>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</si>
  <si>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</si>
  <si>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</si>
  <si>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</si>
  <si>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</si>
  <si>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</si>
  <si>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</si>
  <si>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</si>
  <si>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</si>
  <si>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</si>
  <si>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</si>
  <si>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</si>
  <si>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</si>
  <si>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</si>
  <si>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</si>
  <si>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</si>
  <si>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</si>
  <si>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</si>
  <si>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</si>
  <si>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</si>
  <si>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</si>
  <si>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</si>
  <si>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</si>
  <si>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</si>
  <si>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</si>
  <si>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</si>
  <si>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</si>
  <si>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</si>
  <si>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</si>
  <si>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</si>
  <si>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MCI-00878</t>
  </si>
  <si>
    <t>Non-specified population groups</t>
  </si>
  <si>
    <t>Groupes de population non spécifiés</t>
  </si>
  <si>
    <t>Grupos de población no específicos</t>
  </si>
  <si>
    <t>a1O1R000006c5krUAA</t>
  </si>
  <si>
    <t>MCI-00879</t>
  </si>
  <si>
    <t>a1O1R000006c5ksUAA</t>
  </si>
  <si>
    <t>MCI-00880</t>
  </si>
  <si>
    <t>a1O1R000006c5ktUAA</t>
  </si>
  <si>
    <t>MCI-00881</t>
  </si>
  <si>
    <t>a1O1R000006c5kuUAA</t>
  </si>
  <si>
    <t>MCI-00882</t>
  </si>
  <si>
    <t>a1O1R000006c5kvUAA</t>
  </si>
  <si>
    <t>MCI-00883</t>
  </si>
  <si>
    <t>a1O1R000006c5kzUAA</t>
  </si>
  <si>
    <t>MCI-00887</t>
  </si>
  <si>
    <t>a1O1R000006c5kwUAA</t>
  </si>
  <si>
    <t>MCI-00884</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</si>
  <si>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</si>
  <si>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</si>
  <si>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</si>
  <si>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</si>
  <si>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</si>
  <si>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</si>
  <si>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</si>
  <si>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</si>
  <si>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</si>
  <si>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</si>
  <si>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</si>
  <si>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</si>
  <si>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</si>
  <si>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MCI-00910</t>
  </si>
  <si>
    <t>Partners of people living with HIV</t>
  </si>
  <si>
    <t>Partenaires de personnes vivant avec le VIH</t>
  </si>
  <si>
    <t>Parejas de personas que viven con el VIH</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</si>
  <si>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</si>
  <si>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</si>
  <si>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</si>
  <si>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</si>
  <si>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</si>
  <si>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</si>
  <si>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</si>
  <si>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</si>
  <si>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</si>
  <si>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</si>
  <si>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</si>
  <si>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</si>
  <si>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</si>
  <si>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</si>
  <si>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</si>
  <si>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</si>
  <si>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</si>
  <si>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</si>
  <si>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</si>
  <si>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</si>
  <si>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</si>
  <si>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</si>
  <si>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</si>
  <si>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</si>
  <si>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</si>
  <si>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</si>
  <si>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</si>
  <si>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</si>
  <si>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</si>
  <si>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</si>
  <si>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</si>
  <si>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</si>
  <si>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</si>
  <si>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</si>
  <si>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</si>
  <si>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</si>
  <si>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</si>
  <si>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</si>
  <si>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</si>
  <si>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</si>
  <si>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a1O1R000006c5lPUAQ</t>
  </si>
  <si>
    <t>MCI-00913</t>
  </si>
  <si>
    <t>All people living with HIV</t>
  </si>
  <si>
    <t>Toutes les personnes vivant avec le VIH</t>
  </si>
  <si>
    <t>Todas las personas que viven con el VIH</t>
  </si>
  <si>
    <t>a1O1R000006c5lWUAQ</t>
  </si>
  <si>
    <t>MCI-00920</t>
  </si>
  <si>
    <t>Adults living with HIV (15 and above)</t>
  </si>
  <si>
    <t>Adultes vivant avec le VIH (15 ans et plus)</t>
  </si>
  <si>
    <t>Personas adultas que viven con el VIH (15 años o más)</t>
  </si>
  <si>
    <t>a1O1R000006c5lcUAA</t>
  </si>
  <si>
    <t>MCI-00926</t>
  </si>
  <si>
    <t>Children living with HIV (under 15)</t>
  </si>
  <si>
    <t>Enfants vivant avec le VIH (moins de 15 ans)</t>
  </si>
  <si>
    <t>Niños y niñas que viven con el VIH (menores de 15 años)</t>
  </si>
  <si>
    <t>a1O1R000006c5lQUAQ</t>
  </si>
  <si>
    <t>MCI-00914</t>
  </si>
  <si>
    <t>a1O1R000006c5lXUAQ</t>
  </si>
  <si>
    <t>MCI-00921</t>
  </si>
  <si>
    <t>a1O1R000006c5ldUAA</t>
  </si>
  <si>
    <t>MCI-00927</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</si>
  <si>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</si>
  <si>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</si>
  <si>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</si>
  <si>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</si>
  <si>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</si>
  <si>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</si>
  <si>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</si>
  <si>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</si>
  <si>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</si>
  <si>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</si>
  <si>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</si>
  <si>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</si>
  <si>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</si>
  <si>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</si>
  <si>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</si>
  <si>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</si>
  <si>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</si>
  <si>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</si>
  <si>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a1O1R000006c5lbUAA</t>
  </si>
  <si>
    <t>MCI-00925</t>
  </si>
  <si>
    <t>a1O1R000006c5lUUAQ</t>
  </si>
  <si>
    <t>MCI-00918</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</si>
  <si>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</si>
  <si>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</si>
  <si>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</si>
  <si>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</si>
  <si>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</si>
  <si>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</si>
  <si>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</si>
  <si>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</si>
  <si>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</si>
  <si>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</si>
  <si>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</si>
  <si>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</si>
  <si>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</si>
  <si>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</si>
  <si>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</si>
  <si>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</si>
  <si>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</si>
  <si>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</si>
  <si>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</si>
  <si>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</si>
  <si>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</si>
  <si>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</si>
  <si>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</si>
  <si>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</si>
  <si>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</si>
  <si>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</si>
  <si>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</si>
  <si>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</si>
  <si>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</si>
  <si>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</si>
  <si>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</si>
  <si>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</si>
  <si>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</si>
  <si>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</si>
  <si>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</si>
  <si>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</si>
  <si>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</si>
  <si>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</si>
  <si>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</si>
  <si>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</si>
  <si>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</si>
  <si>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</si>
  <si>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</si>
  <si>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</si>
  <si>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</si>
  <si>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</si>
  <si>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</si>
  <si>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</si>
  <si>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</si>
  <si>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</si>
  <si>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</si>
  <si>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</si>
  <si>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</si>
  <si>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</si>
  <si>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</si>
  <si>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</si>
  <si>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</si>
  <si>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</si>
  <si>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</si>
  <si>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</si>
  <si>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</si>
  <si>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</si>
  <si>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</si>
  <si>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</si>
  <si>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</si>
  <si>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</si>
  <si>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</si>
  <si>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</si>
  <si>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</si>
  <si>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</si>
  <si>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</si>
  <si>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</si>
  <si>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</si>
  <si>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</si>
  <si>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</si>
  <si>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</si>
  <si>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</si>
  <si>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</si>
  <si>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</si>
  <si>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</si>
  <si>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</si>
  <si>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</si>
  <si>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</si>
  <si>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</si>
  <si>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</si>
  <si>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</si>
  <si>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</si>
  <si>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</si>
  <si>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</si>
  <si>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</si>
  <si>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</si>
  <si>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</si>
  <si>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</si>
  <si>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</si>
  <si>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</si>
  <si>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</si>
  <si>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</si>
  <si>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</si>
  <si>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</si>
  <si>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</si>
  <si>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</si>
  <si>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</si>
  <si>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</si>
  <si>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</si>
  <si>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</si>
  <si>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</si>
  <si>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</si>
  <si>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</si>
  <si>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</si>
  <si>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</si>
  <si>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</si>
  <si>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</si>
  <si>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</si>
  <si>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</si>
  <si>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</si>
  <si>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</si>
  <si>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</si>
  <si>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</si>
  <si>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</si>
  <si>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</si>
  <si>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</si>
  <si>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</si>
  <si>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</si>
  <si>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</si>
  <si>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</si>
  <si>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</si>
  <si>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</si>
  <si>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</si>
  <si>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</si>
  <si>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</si>
  <si>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</si>
  <si>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</si>
  <si>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</si>
  <si>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</si>
  <si>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</si>
  <si>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</si>
  <si>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</si>
  <si>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</si>
  <si>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</si>
  <si>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</si>
  <si>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</si>
  <si>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</si>
  <si>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</si>
  <si>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</si>
  <si>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</si>
  <si>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</si>
  <si>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</si>
  <si>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</si>
  <si>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</si>
  <si>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</si>
  <si>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</si>
  <si>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</si>
  <si>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</si>
  <si>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</si>
  <si>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</si>
  <si>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</si>
  <si>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</si>
  <si>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</si>
  <si>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</si>
  <si>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</si>
  <si>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</si>
  <si>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</si>
  <si>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</si>
  <si>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</si>
  <si>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</si>
  <si>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</si>
  <si>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</si>
  <si>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</si>
  <si>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</si>
  <si>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</si>
  <si>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</si>
  <si>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</si>
  <si>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</si>
  <si>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</si>
  <si>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</si>
  <si>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</si>
  <si>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</si>
  <si>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</si>
  <si>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</si>
  <si>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</si>
  <si>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</si>
  <si>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</si>
  <si>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</si>
  <si>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</si>
  <si>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</si>
  <si>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</si>
  <si>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</si>
  <si>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</si>
  <si>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</si>
  <si>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</si>
  <si>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</si>
  <si>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</si>
  <si>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</si>
  <si>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</si>
  <si>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</si>
  <si>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</si>
  <si>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</si>
  <si>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</si>
  <si>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</si>
  <si>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</si>
  <si>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</si>
  <si>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</si>
  <si>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</si>
  <si>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</si>
  <si>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</si>
  <si>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</si>
  <si>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</si>
  <si>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</si>
  <si>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</si>
  <si>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</si>
  <si>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</si>
  <si>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</si>
  <si>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</si>
  <si>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</si>
  <si>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</si>
  <si>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</si>
  <si>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</si>
  <si>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</si>
  <si>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</si>
  <si>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</si>
  <si>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</si>
  <si>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</si>
  <si>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</si>
  <si>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</si>
  <si>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</si>
  <si>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</si>
  <si>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</si>
  <si>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</si>
  <si>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</si>
  <si>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</si>
  <si>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</si>
  <si>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</si>
  <si>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</si>
  <si>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</si>
  <si>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a1I3p00000JOgmwEAD</t>
  </si>
  <si>
    <t>a1I3p00000JOgmxEAD</t>
  </si>
  <si>
    <t>a1I3p00000JOgmyEAD</t>
  </si>
  <si>
    <t>a1I3p00000JOgmzEAD</t>
  </si>
  <si>
    <t>a1I3p00000JOgn0EAD</t>
  </si>
  <si>
    <t>a1I3p00000JOgn1EAD</t>
  </si>
  <si>
    <t>a1I3p00000JOgn2EAD</t>
  </si>
  <si>
    <t>a1I3p00000JOgn3EAD</t>
  </si>
  <si>
    <t>a1I3p00000JOgn4EAD</t>
  </si>
  <si>
    <t>a1I3p00000JOgn5EAD</t>
  </si>
  <si>
    <t>a1I3p00000JOgn6EAD</t>
  </si>
  <si>
    <t>a1I3p00000JOgn7EAD</t>
  </si>
  <si>
    <t>a1I3p00000JOgn8EAD</t>
  </si>
  <si>
    <t>a1I3p00000JOgn9EAD</t>
  </si>
  <si>
    <t>a1I3p00000JOgnAEAT</t>
  </si>
  <si>
    <t>a1H3p000002KtDzEAK</t>
  </si>
  <si>
    <t>a1H3p000002KtEEEA0</t>
  </si>
  <si>
    <t>a1H3p000002KtETEA0</t>
  </si>
  <si>
    <t>a1H3p000002KtEiEAK</t>
  </si>
  <si>
    <t>a1H3p000002KtExEAK</t>
  </si>
  <si>
    <t>a1H3p000002KtFCEA0</t>
  </si>
  <si>
    <t>a1H3p000002KtE0EAK</t>
  </si>
  <si>
    <t>a1H3p000002KtEFEA0</t>
  </si>
  <si>
    <t>a1H3p000002KtEUEA0</t>
  </si>
  <si>
    <t>a1H3p000002KtEjEAK</t>
  </si>
  <si>
    <t>a1H3p000002KtEyEAK</t>
  </si>
  <si>
    <t>a1H3p000002KtFDEA0</t>
  </si>
  <si>
    <t>a1H3p000002KtE1EAK</t>
  </si>
  <si>
    <t>a1H3p000002KtEGEA0</t>
  </si>
  <si>
    <t>a1H3p000002KtEVEA0</t>
  </si>
  <si>
    <t>a1H3p000002KtEkEAK</t>
  </si>
  <si>
    <t>a1H3p000002KtEzEAK</t>
  </si>
  <si>
    <t>a1H3p000002KtFEEA0</t>
  </si>
  <si>
    <t>a1H3p000002KtE2EAK</t>
  </si>
  <si>
    <t>a1H3p000002KtEHEA0</t>
  </si>
  <si>
    <t>a1H3p000002KtEWEA0</t>
  </si>
  <si>
    <t>a1H3p000002KtElEAK</t>
  </si>
  <si>
    <t>a1H3p000002KtF0EAK</t>
  </si>
  <si>
    <t>a1H3p000002KtFFEA0</t>
  </si>
  <si>
    <t>a1H3p000002KtE3EAK</t>
  </si>
  <si>
    <t>a1H3p000002KtEIEA0</t>
  </si>
  <si>
    <t>a1H3p000002KtEXEA0</t>
  </si>
  <si>
    <t>a1H3p000002KtEmEAK</t>
  </si>
  <si>
    <t>a1H3p000002KtF1EAK</t>
  </si>
  <si>
    <t>a1H3p000002KtFGEA0</t>
  </si>
  <si>
    <t>a1H3p000002KtE4EAK</t>
  </si>
  <si>
    <t>a1H3p000002KtEJEA0</t>
  </si>
  <si>
    <t>a1H3p000002KtEYEA0</t>
  </si>
  <si>
    <t>a1H3p000002KtEnEAK</t>
  </si>
  <si>
    <t>a1H3p000002KtF2EAK</t>
  </si>
  <si>
    <t>a1H3p000002KtFHEA0</t>
  </si>
  <si>
    <t>a1H3p000002KtE5EAK</t>
  </si>
  <si>
    <t>a1H3p000002KtEKEA0</t>
  </si>
  <si>
    <t>a1H3p000002KtEZEA0</t>
  </si>
  <si>
    <t>a1H3p000002KtEoEAK</t>
  </si>
  <si>
    <t>a1H3p000002KtF3EAK</t>
  </si>
  <si>
    <t>a1H3p000002KtFIEA0</t>
  </si>
  <si>
    <t>a1H3p000002KtE6EAK</t>
  </si>
  <si>
    <t>a1H3p000002KtELEA0</t>
  </si>
  <si>
    <t>a1H3p000002KtEaEAK</t>
  </si>
  <si>
    <t>a1H3p000002KtEpEAK</t>
  </si>
  <si>
    <t>a1H3p000002KtF4EAK</t>
  </si>
  <si>
    <t>a1H3p000002KtFJEA0</t>
  </si>
  <si>
    <t>a1H3p000002KtE7EAK</t>
  </si>
  <si>
    <t>a1H3p000002KtEMEA0</t>
  </si>
  <si>
    <t>a1H3p000002KtEbEAK</t>
  </si>
  <si>
    <t>a1H3p000002KtEqEAK</t>
  </si>
  <si>
    <t>a1H3p000002KtF5EAK</t>
  </si>
  <si>
    <t>a1H3p000002KtFKEA0</t>
  </si>
  <si>
    <t>a1H3p000002KtE8EAK</t>
  </si>
  <si>
    <t>a1H3p000002KtENEA0</t>
  </si>
  <si>
    <t>a1H3p000002KtEcEAK</t>
  </si>
  <si>
    <t>a1H3p000002KtErEAK</t>
  </si>
  <si>
    <t>a1H3p000002KtF6EAK</t>
  </si>
  <si>
    <t>a1H3p000002KtFLEA0</t>
  </si>
  <si>
    <t>a1H3p000002KtE9EAK</t>
  </si>
  <si>
    <t>a1H3p000002KtEOEA0</t>
  </si>
  <si>
    <t>a1H3p000002KtEdEAK</t>
  </si>
  <si>
    <t>a1H3p000002KtEsEAK</t>
  </si>
  <si>
    <t>a1H3p000002KtF7EAK</t>
  </si>
  <si>
    <t>a1H3p000002KtFMEA0</t>
  </si>
  <si>
    <t>a1H3p000002KtEAEA0</t>
  </si>
  <si>
    <t>a1H3p000002KtEPEA0</t>
  </si>
  <si>
    <t>a1H3p000002KtEeEAK</t>
  </si>
  <si>
    <t>a1H3p000002KtEtEAK</t>
  </si>
  <si>
    <t>a1H3p000002KtF8EAK</t>
  </si>
  <si>
    <t>a1H3p000002KtFNEA0</t>
  </si>
  <si>
    <t>a1H3p000002KtEBEA0</t>
  </si>
  <si>
    <t>a1H3p000002KtEQEA0</t>
  </si>
  <si>
    <t>a1H3p000002KtEfEAK</t>
  </si>
  <si>
    <t>a1H3p000002KtEuEAK</t>
  </si>
  <si>
    <t>a1H3p000002KtF9EAK</t>
  </si>
  <si>
    <t>a1H3p000002KtFOEA0</t>
  </si>
  <si>
    <t>a1H3p000002KtECEA0</t>
  </si>
  <si>
    <t>a1H3p000002KtEREA0</t>
  </si>
  <si>
    <t>a1H3p000002KtEgEAK</t>
  </si>
  <si>
    <t>a1H3p000002KtEvEAK</t>
  </si>
  <si>
    <t>a1H3p000002KtFAEA0</t>
  </si>
  <si>
    <t>a1H3p000002KtFPEA0</t>
  </si>
  <si>
    <t>a1H3p000002KtEDEA0</t>
  </si>
  <si>
    <t>a1H3p000002KtESEA0</t>
  </si>
  <si>
    <t>a1H3p000002KtEhEAK</t>
  </si>
  <si>
    <t>a1H3p000002KtEwEAK</t>
  </si>
  <si>
    <t>a1H3p000002KtFBEA0</t>
  </si>
  <si>
    <t>a1H3p000002KtFQEA0</t>
  </si>
  <si>
    <t>a1X3p000004GfqbEAC</t>
  </si>
  <si>
    <t>a1X3p000004GfqcEAC</t>
  </si>
  <si>
    <t>a1X3p000004GfqdEAC</t>
  </si>
  <si>
    <t>a1X3p000004GfqeEAC</t>
  </si>
  <si>
    <t>a1X3p000004GfqfEAC</t>
  </si>
  <si>
    <t>a1X3p000004GfqgEAC</t>
  </si>
  <si>
    <t>a1X3p000004GfqhEAC</t>
  </si>
  <si>
    <t>a1X3p000004GfqiEAC</t>
  </si>
  <si>
    <t>a1X3p000004GfqjEAC</t>
  </si>
  <si>
    <t>a1X3p000004GfqkEAC</t>
  </si>
  <si>
    <t>a1X3p000004GfqlEAC</t>
  </si>
  <si>
    <t>a1X3p000004GfqmEAC</t>
  </si>
  <si>
    <t>a1X3p000004GfqnEAC</t>
  </si>
  <si>
    <t>a1X3p000004GfqoEAC</t>
  </si>
  <si>
    <t>a1X3p000004GfqpEAC</t>
  </si>
  <si>
    <t>a1W3p000004PcKBEA0</t>
  </si>
  <si>
    <t>a1W3p000004PcKQEA0</t>
  </si>
  <si>
    <t>a1W3p000004PcKfEAK</t>
  </si>
  <si>
    <t>a1W3p000004PcKuEAK</t>
  </si>
  <si>
    <t>a1W3p000004PcL9EAK</t>
  </si>
  <si>
    <t>a1W3p000004PcLOEA0</t>
  </si>
  <si>
    <t>a1W3p000004PcKCEA0</t>
  </si>
  <si>
    <t>a1W3p000004PcKREA0</t>
  </si>
  <si>
    <t>a1W3p000004PcKgEAK</t>
  </si>
  <si>
    <t>a1W3p000004PcKvEAK</t>
  </si>
  <si>
    <t>a1W3p000004PcLAEA0</t>
  </si>
  <si>
    <t>a1W3p000004PcLPEA0</t>
  </si>
  <si>
    <t>a1W3p000004PcKDEA0</t>
  </si>
  <si>
    <t>a1W3p000004PcKSEA0</t>
  </si>
  <si>
    <t>a1W3p000004PcKhEAK</t>
  </si>
  <si>
    <t>a1W3p000004PcKwEAK</t>
  </si>
  <si>
    <t>a1W3p000004PcLBEA0</t>
  </si>
  <si>
    <t>a1W3p000004PcLQEA0</t>
  </si>
  <si>
    <t>a1W3p000004PcKEEA0</t>
  </si>
  <si>
    <t>a1W3p000004PcKTEA0</t>
  </si>
  <si>
    <t>a1W3p000004PcKiEAK</t>
  </si>
  <si>
    <t>a1W3p000004PcKxEAK</t>
  </si>
  <si>
    <t>a1W3p000004PcLCEA0</t>
  </si>
  <si>
    <t>a1W3p000004PcLREA0</t>
  </si>
  <si>
    <t>a1W3p000004PcKFEA0</t>
  </si>
  <si>
    <t>a1W3p000004PcKUEA0</t>
  </si>
  <si>
    <t>a1W3p000004PcKjEAK</t>
  </si>
  <si>
    <t>a1W3p000004PcKyEAK</t>
  </si>
  <si>
    <t>a1W3p000004PcLDEA0</t>
  </si>
  <si>
    <t>a1W3p000004PcLSEA0</t>
  </si>
  <si>
    <t>a1W3p000004PcKGEA0</t>
  </si>
  <si>
    <t>a1W3p000004PcKVEA0</t>
  </si>
  <si>
    <t>a1W3p000004PcKkEAK</t>
  </si>
  <si>
    <t>a1W3p000004PcKzEAK</t>
  </si>
  <si>
    <t>a1W3p000004PcLEEA0</t>
  </si>
  <si>
    <t>a1W3p000004PcLTEA0</t>
  </si>
  <si>
    <t>a1W3p000004PcKHEA0</t>
  </si>
  <si>
    <t>a1W3p000004PcKWEA0</t>
  </si>
  <si>
    <t>a1W3p000004PcKlEAK</t>
  </si>
  <si>
    <t>a1W3p000004PcL0EAK</t>
  </si>
  <si>
    <t>a1W3p000004PcLFEA0</t>
  </si>
  <si>
    <t>a1W3p000004PcLUEA0</t>
  </si>
  <si>
    <t>a1W3p000004PcKIEA0</t>
  </si>
  <si>
    <t>a1W3p000004PcKXEA0</t>
  </si>
  <si>
    <t>a1W3p000004PcKmEAK</t>
  </si>
  <si>
    <t>a1W3p000004PcL1EAK</t>
  </si>
  <si>
    <t>a1W3p000004PcLGEA0</t>
  </si>
  <si>
    <t>a1W3p000004PcLVEA0</t>
  </si>
  <si>
    <t>a1W3p000004PcKJEA0</t>
  </si>
  <si>
    <t>a1W3p000004PcKYEA0</t>
  </si>
  <si>
    <t>a1W3p000004PcKnEAK</t>
  </si>
  <si>
    <t>a1W3p000004PcL2EAK</t>
  </si>
  <si>
    <t>a1W3p000004PcLHEA0</t>
  </si>
  <si>
    <t>a1W3p000004PcLWEA0</t>
  </si>
  <si>
    <t>a1W3p000004PcKKEA0</t>
  </si>
  <si>
    <t>a1W3p000004PcKZEA0</t>
  </si>
  <si>
    <t>a1W3p000004PcKoEAK</t>
  </si>
  <si>
    <t>a1W3p000004PcL3EAK</t>
  </si>
  <si>
    <t>a1W3p000004PcLIEA0</t>
  </si>
  <si>
    <t>a1W3p000004PcLXEA0</t>
  </si>
  <si>
    <t>a1W3p000004PcKLEA0</t>
  </si>
  <si>
    <t>a1W3p000004PcKaEAK</t>
  </si>
  <si>
    <t>a1W3p000004PcKpEAK</t>
  </si>
  <si>
    <t>a1W3p000004PcL4EAK</t>
  </si>
  <si>
    <t>a1W3p000004PcLJEA0</t>
  </si>
  <si>
    <t>a1W3p000004PcLYEA0</t>
  </si>
  <si>
    <t>a1W3p000004PcKMEA0</t>
  </si>
  <si>
    <t>a1W3p000004PcKbEAK</t>
  </si>
  <si>
    <t>a1W3p000004PcKqEAK</t>
  </si>
  <si>
    <t>a1W3p000004PcL5EAK</t>
  </si>
  <si>
    <t>a1W3p000004PcLKEA0</t>
  </si>
  <si>
    <t>a1W3p000004PcLZEA0</t>
  </si>
  <si>
    <t>a1W3p000004PcKNEA0</t>
  </si>
  <si>
    <t>a1W3p000004PcKcEAK</t>
  </si>
  <si>
    <t>a1W3p000004PcKrEAK</t>
  </si>
  <si>
    <t>a1W3p000004PcL6EAK</t>
  </si>
  <si>
    <t>a1W3p000004PcLLEA0</t>
  </si>
  <si>
    <t>a1W3p000004PcLaEAK</t>
  </si>
  <si>
    <t>a1W3p000004PcKOEA0</t>
  </si>
  <si>
    <t>a1W3p000004PcKdEAK</t>
  </si>
  <si>
    <t>a1W3p000004PcKsEAK</t>
  </si>
  <si>
    <t>a1W3p000004PcL7EAK</t>
  </si>
  <si>
    <t>a1W3p000004PcLMEA0</t>
  </si>
  <si>
    <t>a1W3p000004PcLbEAK</t>
  </si>
  <si>
    <t>a1W3p000004PcKPEA0</t>
  </si>
  <si>
    <t>a1W3p000004PcKeEAK</t>
  </si>
  <si>
    <t>a1W3p000004PcKtEAK</t>
  </si>
  <si>
    <t>a1W3p000004PcL8EAK</t>
  </si>
  <si>
    <t>a1W3p000004PcLNEA0</t>
  </si>
  <si>
    <t>a1W3p000004PcLcEAK</t>
  </si>
  <si>
    <t>a183p000003Sl2WAAS</t>
  </si>
  <si>
    <t>a183p000003Sl2XAAS</t>
  </si>
  <si>
    <t>a183p000003Sl2YAAS</t>
  </si>
  <si>
    <t>a183p000003Sl2ZAAS</t>
  </si>
  <si>
    <t>a183p000003Sl2aAAC</t>
  </si>
  <si>
    <t>a183p000003Sl2bAAC</t>
  </si>
  <si>
    <t>a183p000003Sl2cAAC</t>
  </si>
  <si>
    <t>a183p000003Sl2dAAC</t>
  </si>
  <si>
    <t>a183p000003Sl2eAAC</t>
  </si>
  <si>
    <t>a183p000003Sl2fAAC</t>
  </si>
  <si>
    <t>a183p000003Sl2gAAC</t>
  </si>
  <si>
    <t>a183p000003Sl2hAAC</t>
  </si>
  <si>
    <t>a183p000003Sl2iAAC</t>
  </si>
  <si>
    <t>a183p000003Sl2jAAC</t>
  </si>
  <si>
    <t>a183p000003Sl2kAAC</t>
  </si>
  <si>
    <t>a183p000003Sl2lAAC</t>
  </si>
  <si>
    <t>a183p000003Sl2mAAC</t>
  </si>
  <si>
    <t>a183p000003Sl2nAAC</t>
  </si>
  <si>
    <t>a183p000003Sl2oAAC</t>
  </si>
  <si>
    <t>a183p000003Sl2pAAC</t>
  </si>
  <si>
    <t>a183p000003Sl2qAAC</t>
  </si>
  <si>
    <t>a183p000003Sl2rAAC</t>
  </si>
  <si>
    <t>a183p000003Sl2sAAC</t>
  </si>
  <si>
    <t>a183p000003Sl2tAAC</t>
  </si>
  <si>
    <t>a183p000003Sl2uAAC</t>
  </si>
  <si>
    <t>a183p000003Sl2vAAC</t>
  </si>
  <si>
    <t>a183p000003Sl2wAAC</t>
  </si>
  <si>
    <t>a183p000003Sl2xAAC</t>
  </si>
  <si>
    <t>a183p000003Sl2yAAC</t>
  </si>
  <si>
    <t>a183p000003Sl2zAAC</t>
  </si>
  <si>
    <t>a173p000006iLZvAAM</t>
  </si>
  <si>
    <t>a173p000006iLaPAAU</t>
  </si>
  <si>
    <t>a173p000006iLatAAE</t>
  </si>
  <si>
    <t>a173p000006iLbNAAU</t>
  </si>
  <si>
    <t>a173p000006iLbrAAE</t>
  </si>
  <si>
    <t>a173p000006iLcLAAU</t>
  </si>
  <si>
    <t>a173p000006iLZwAAM</t>
  </si>
  <si>
    <t>a173p000006iLaQAAU</t>
  </si>
  <si>
    <t>a173p000006iLauAAE</t>
  </si>
  <si>
    <t>a173p000006iLbOAAU</t>
  </si>
  <si>
    <t>a173p000006iLbsAAE</t>
  </si>
  <si>
    <t>a173p000006iLcMAAU</t>
  </si>
  <si>
    <t>a173p000006iLZxAAM</t>
  </si>
  <si>
    <t>a173p000006iLaRAAU</t>
  </si>
  <si>
    <t>a173p000006iLavAAE</t>
  </si>
  <si>
    <t>a173p000006iLbPAAU</t>
  </si>
  <si>
    <t>a173p000006iLbtAAE</t>
  </si>
  <si>
    <t>a173p000006iLcNAAU</t>
  </si>
  <si>
    <t>a173p000006iLZyAAM</t>
  </si>
  <si>
    <t>a173p000006iLaSAAU</t>
  </si>
  <si>
    <t>a173p000006iLawAAE</t>
  </si>
  <si>
    <t>a173p000006iLbQAAU</t>
  </si>
  <si>
    <t>a173p000006iLbuAAE</t>
  </si>
  <si>
    <t>a173p000006iLcOAAU</t>
  </si>
  <si>
    <t>a173p000006iLZzAAM</t>
  </si>
  <si>
    <t>a173p000006iLaTAAU</t>
  </si>
  <si>
    <t>a173p000006iLaxAAE</t>
  </si>
  <si>
    <t>a173p000006iLbRAAU</t>
  </si>
  <si>
    <t>a173p000006iLbvAAE</t>
  </si>
  <si>
    <t>a173p000006iLcPAAU</t>
  </si>
  <si>
    <t>a173p000006iLa0AAE</t>
  </si>
  <si>
    <t>a173p000006iLaUAAU</t>
  </si>
  <si>
    <t>a173p000006iLayAAE</t>
  </si>
  <si>
    <t>a173p000006iLbSAAU</t>
  </si>
  <si>
    <t>a173p000006iLbwAAE</t>
  </si>
  <si>
    <t>a173p000006iLcQAAU</t>
  </si>
  <si>
    <t>a173p000006iLa1AAE</t>
  </si>
  <si>
    <t>a173p000006iLaVAAU</t>
  </si>
  <si>
    <t>a173p000006iLazAAE</t>
  </si>
  <si>
    <t>a173p000006iLbTAAU</t>
  </si>
  <si>
    <t>a173p000006iLbxAAE</t>
  </si>
  <si>
    <t>a173p000006iLcRAAU</t>
  </si>
  <si>
    <t>a173p000006iLa2AAE</t>
  </si>
  <si>
    <t>a173p000006iLaWAAU</t>
  </si>
  <si>
    <t>a173p000006iLb0AAE</t>
  </si>
  <si>
    <t>a173p000006iLbUAAU</t>
  </si>
  <si>
    <t>a173p000006iLbyAAE</t>
  </si>
  <si>
    <t>a173p000006iLcSAAU</t>
  </si>
  <si>
    <t>a173p000006iLa3AAE</t>
  </si>
  <si>
    <t>a173p000006iLaXAAU</t>
  </si>
  <si>
    <t>a173p000006iLb1AAE</t>
  </si>
  <si>
    <t>a173p000006iLbVAAU</t>
  </si>
  <si>
    <t>a173p000006iLbzAAE</t>
  </si>
  <si>
    <t>a173p000006iLcTAAU</t>
  </si>
  <si>
    <t>a173p000006iLa4AAE</t>
  </si>
  <si>
    <t>a173p000006iLaYAAU</t>
  </si>
  <si>
    <t>a173p000006iLb2AAE</t>
  </si>
  <si>
    <t>a173p000006iLbWAAU</t>
  </si>
  <si>
    <t>a173p000006iLc0AAE</t>
  </si>
  <si>
    <t>a173p000006iLcUAAU</t>
  </si>
  <si>
    <t>a173p000006iLa5AAE</t>
  </si>
  <si>
    <t>a173p000006iLaZAAU</t>
  </si>
  <si>
    <t>a173p000006iLb3AAE</t>
  </si>
  <si>
    <t>a173p000006iLbXAAU</t>
  </si>
  <si>
    <t>a173p000006iLc1AAE</t>
  </si>
  <si>
    <t>a173p000006iLcVAAU</t>
  </si>
  <si>
    <t>a173p000006iLa6AAE</t>
  </si>
  <si>
    <t>a173p000006iLaaAAE</t>
  </si>
  <si>
    <t>a173p000006iLb4AAE</t>
  </si>
  <si>
    <t>a173p000006iLbYAAU</t>
  </si>
  <si>
    <t>a173p000006iLc2AAE</t>
  </si>
  <si>
    <t>a173p000006iLcWAAU</t>
  </si>
  <si>
    <t>a173p000006iLa7AAE</t>
  </si>
  <si>
    <t>a173p000006iLabAAE</t>
  </si>
  <si>
    <t>a173p000006iLb5AAE</t>
  </si>
  <si>
    <t>a173p000006iLbZAAU</t>
  </si>
  <si>
    <t>a173p000006iLc3AAE</t>
  </si>
  <si>
    <t>a173p000006iLcXAAU</t>
  </si>
  <si>
    <t>a173p000006iLa8AAE</t>
  </si>
  <si>
    <t>a173p000006iLacAAE</t>
  </si>
  <si>
    <t>a173p000006iLb6AAE</t>
  </si>
  <si>
    <t>a173p000006iLbaAAE</t>
  </si>
  <si>
    <t>a173p000006iLc4AAE</t>
  </si>
  <si>
    <t>a173p000006iLcYAAU</t>
  </si>
  <si>
    <t>a173p000006iLa9AAE</t>
  </si>
  <si>
    <t>a173p000006iLadAAE</t>
  </si>
  <si>
    <t>a173p000006iLb7AAE</t>
  </si>
  <si>
    <t>a173p000006iLbbAAE</t>
  </si>
  <si>
    <t>a173p000006iLc5AAE</t>
  </si>
  <si>
    <t>a173p000006iLcZAAU</t>
  </si>
  <si>
    <t>a173p000006iLaAAAU</t>
  </si>
  <si>
    <t>a173p000006iLaeAAE</t>
  </si>
  <si>
    <t>a173p000006iLb8AAE</t>
  </si>
  <si>
    <t>a173p000006iLbcAAE</t>
  </si>
  <si>
    <t>a173p000006iLc6AAE</t>
  </si>
  <si>
    <t>a173p000006iLcaAAE</t>
  </si>
  <si>
    <t>a173p000006iLaBAAU</t>
  </si>
  <si>
    <t>a173p000006iLafAAE</t>
  </si>
  <si>
    <t>a173p000006iLb9AAE</t>
  </si>
  <si>
    <t>a173p000006iLbdAAE</t>
  </si>
  <si>
    <t>a173p000006iLc7AAE</t>
  </si>
  <si>
    <t>a173p000006iLcbAAE</t>
  </si>
  <si>
    <t>a173p000006iLaCAAU</t>
  </si>
  <si>
    <t>a173p000006iLagAAE</t>
  </si>
  <si>
    <t>a173p000006iLbAAAU</t>
  </si>
  <si>
    <t>a173p000006iLbeAAE</t>
  </si>
  <si>
    <t>a173p000006iLc8AAE</t>
  </si>
  <si>
    <t>a173p000006iLccAAE</t>
  </si>
  <si>
    <t>a173p000006iLaDAAU</t>
  </si>
  <si>
    <t>a173p000006iLahAAE</t>
  </si>
  <si>
    <t>a173p000006iLbBAAU</t>
  </si>
  <si>
    <t>a173p000006iLbfAAE</t>
  </si>
  <si>
    <t>a173p000006iLc9AAE</t>
  </si>
  <si>
    <t>a173p000006iLcdAAE</t>
  </si>
  <si>
    <t>a173p000006iLaEAAU</t>
  </si>
  <si>
    <t>a173p000006iLaiAAE</t>
  </si>
  <si>
    <t>a173p000006iLbCAAU</t>
  </si>
  <si>
    <t>a173p000006iLbgAAE</t>
  </si>
  <si>
    <t>a173p000006iLcAAAU</t>
  </si>
  <si>
    <t>a173p000006iLceAAE</t>
  </si>
  <si>
    <t>a173p000006iLaFAAU</t>
  </si>
  <si>
    <t>a173p000006iLajAAE</t>
  </si>
  <si>
    <t>a173p000006iLbDAAU</t>
  </si>
  <si>
    <t>a173p000006iLbhAAE</t>
  </si>
  <si>
    <t>a173p000006iLcBAAU</t>
  </si>
  <si>
    <t>a173p000006iLcfAAE</t>
  </si>
  <si>
    <t>a173p000006iLaGAAU</t>
  </si>
  <si>
    <t>a173p000006iLakAAE</t>
  </si>
  <si>
    <t>a173p000006iLbEAAU</t>
  </si>
  <si>
    <t>a173p000006iLbiAAE</t>
  </si>
  <si>
    <t>a173p000006iLcCAAU</t>
  </si>
  <si>
    <t>a173p000006iLcgAAE</t>
  </si>
  <si>
    <t>a173p000006iLaHAAU</t>
  </si>
  <si>
    <t>a173p000006iLalAAE</t>
  </si>
  <si>
    <t>a173p000006iLbFAAU</t>
  </si>
  <si>
    <t>a173p000006iLbjAAE</t>
  </si>
  <si>
    <t>a173p000006iLcDAAU</t>
  </si>
  <si>
    <t>a173p000006iLchAAE</t>
  </si>
  <si>
    <t>a173p000006iLaIAAU</t>
  </si>
  <si>
    <t>a173p000006iLamAAE</t>
  </si>
  <si>
    <t>a173p000006iLbGAAU</t>
  </si>
  <si>
    <t>a173p000006iLbkAAE</t>
  </si>
  <si>
    <t>a173p000006iLcEAAU</t>
  </si>
  <si>
    <t>a173p000006iLciAAE</t>
  </si>
  <si>
    <t>a173p000006iLaJAAU</t>
  </si>
  <si>
    <t>a173p000006iLanAAE</t>
  </si>
  <si>
    <t>a173p000006iLbHAAU</t>
  </si>
  <si>
    <t>a173p000006iLblAAE</t>
  </si>
  <si>
    <t>a173p000006iLcFAAU</t>
  </si>
  <si>
    <t>a173p000006iLcjAAE</t>
  </si>
  <si>
    <t>a173p000006iLaKAAU</t>
  </si>
  <si>
    <t>a173p000006iLaoAAE</t>
  </si>
  <si>
    <t>a173p000006iLbIAAU</t>
  </si>
  <si>
    <t>a173p000006iLbmAAE</t>
  </si>
  <si>
    <t>a173p000006iLcGAAU</t>
  </si>
  <si>
    <t>a173p000006iLckAAE</t>
  </si>
  <si>
    <t>a173p000006iLaLAAU</t>
  </si>
  <si>
    <t>a173p000006iLapAAE</t>
  </si>
  <si>
    <t>a173p000006iLbJAAU</t>
  </si>
  <si>
    <t>a173p000006iLbnAAE</t>
  </si>
  <si>
    <t>a173p000006iLcHAAU</t>
  </si>
  <si>
    <t>a173p000006iLclAAE</t>
  </si>
  <si>
    <t>a173p000006iLaMAAU</t>
  </si>
  <si>
    <t>a173p000006iLaqAAE</t>
  </si>
  <si>
    <t>a173p000006iLbKAAU</t>
  </si>
  <si>
    <t>a173p000006iLboAAE</t>
  </si>
  <si>
    <t>a173p000006iLcIAAU</t>
  </si>
  <si>
    <t>a173p000006iLcmAAE</t>
  </si>
  <si>
    <t>a173p000006iLaNAAU</t>
  </si>
  <si>
    <t>a173p000006iLarAAE</t>
  </si>
  <si>
    <t>a173p000006iLbLAAU</t>
  </si>
  <si>
    <t>a173p000006iLbpAAE</t>
  </si>
  <si>
    <t>a173p000006iLcJAAU</t>
  </si>
  <si>
    <t>a173p000006iLcnAAE</t>
  </si>
  <si>
    <t>a173p000006iLaOAAU</t>
  </si>
  <si>
    <t>a173p000006iLasAAE</t>
  </si>
  <si>
    <t>a173p000006iLbMAAU</t>
  </si>
  <si>
    <t>a173p000006iLbqAAE</t>
  </si>
  <si>
    <t>a173p000006iLcKAAU</t>
  </si>
  <si>
    <t>a173p000006iLcoAAE</t>
  </si>
  <si>
    <t>a1N3p00000497VGEAY</t>
  </si>
  <si>
    <t>KAM-134780</t>
  </si>
  <si>
    <t>a1N3p00000497VHEAY</t>
  </si>
  <si>
    <t>KAM-134781</t>
  </si>
  <si>
    <t>a1N3p00000497VIEAY</t>
  </si>
  <si>
    <t>KAM-134782</t>
  </si>
  <si>
    <t>a1N3p00000497VJEAY</t>
  </si>
  <si>
    <t>KAM-134783</t>
  </si>
  <si>
    <t>a1N3p00000497VKEAY</t>
  </si>
  <si>
    <t>KAM-134784</t>
  </si>
  <si>
    <t>a1N3p00000497VLEAY</t>
  </si>
  <si>
    <t>KAM-134785</t>
  </si>
  <si>
    <t>a1N3p00000497VMEAY</t>
  </si>
  <si>
    <t>KAM-134786</t>
  </si>
  <si>
    <t>a1N3p00000497VNEAY</t>
  </si>
  <si>
    <t>KAM-134787</t>
  </si>
  <si>
    <t>a1N3p00000497VOEAY</t>
  </si>
  <si>
    <t>KAM-134788</t>
  </si>
  <si>
    <t>a1N3p00000497VPEAY</t>
  </si>
  <si>
    <t>KAM-134789</t>
  </si>
  <si>
    <t>a1N3p00000497VQEAY</t>
  </si>
  <si>
    <t>KAM-134790</t>
  </si>
  <si>
    <t>a1N3p00000497VREAY</t>
  </si>
  <si>
    <t>KAM-134791</t>
  </si>
  <si>
    <t>a1N3p00000497VSEAY</t>
  </si>
  <si>
    <t>KAM-134792</t>
  </si>
  <si>
    <t>a1N3p00000497VTEAY</t>
  </si>
  <si>
    <t>KAM-134793</t>
  </si>
  <si>
    <t>a1N3p00000497VUEAY</t>
  </si>
  <si>
    <t>KAM-134794</t>
  </si>
  <si>
    <t>a1N3p00000497VVEAY</t>
  </si>
  <si>
    <t>KAM-134795</t>
  </si>
  <si>
    <t>a1N3p00000497VWEAY</t>
  </si>
  <si>
    <t>KAM-134796</t>
  </si>
  <si>
    <t>a1N3p00000497VXEAY</t>
  </si>
  <si>
    <t>KAM-134797</t>
  </si>
  <si>
    <t>a1N3p00000497VYEAY</t>
  </si>
  <si>
    <t>KAM-134798</t>
  </si>
  <si>
    <t>a1N3p00000497VZEAY</t>
  </si>
  <si>
    <t>KAM-134799</t>
  </si>
  <si>
    <t>a1N3p00000497VaEAI</t>
  </si>
  <si>
    <t>KAM-134800</t>
  </si>
  <si>
    <t>a1N3p00000497VbEAI</t>
  </si>
  <si>
    <t>KAM-134801</t>
  </si>
  <si>
    <t>a1N3p00000497VcEAI</t>
  </si>
  <si>
    <t>KAM-134802</t>
  </si>
  <si>
    <t>a1N3p00000497VdEAI</t>
  </si>
  <si>
    <t>KAM-134803</t>
  </si>
  <si>
    <t>a1N3p00000497VeEAI</t>
  </si>
  <si>
    <t>KAM-134804</t>
  </si>
  <si>
    <t>a1N3p00000497VfEAI</t>
  </si>
  <si>
    <t>KAM-134805</t>
  </si>
  <si>
    <t>a1N3p00000497VgEAI</t>
  </si>
  <si>
    <t>KAM-134806</t>
  </si>
  <si>
    <t>a1N3p00000497VhEAI</t>
  </si>
  <si>
    <t>KAM-134807</t>
  </si>
  <si>
    <t>a1N3p00000497ViEAI</t>
  </si>
  <si>
    <t>KAM-134808</t>
  </si>
  <si>
    <t>a1N3p00000497VjEAI</t>
  </si>
  <si>
    <t>KAM-134809</t>
  </si>
  <si>
    <t>a1N3p00000497VkEAI</t>
  </si>
  <si>
    <t>KAM-134810</t>
  </si>
  <si>
    <t>a1N3p00000497VlEAI</t>
  </si>
  <si>
    <t>KAM-134811</t>
  </si>
  <si>
    <t>a1N3p00000497VmEAI</t>
  </si>
  <si>
    <t>KAM-134812</t>
  </si>
  <si>
    <t>a1N3p00000497VnEAI</t>
  </si>
  <si>
    <t>KAM-134813</t>
  </si>
  <si>
    <t>a1N3p00000497VoEAI</t>
  </si>
  <si>
    <t>KAM-134814</t>
  </si>
  <si>
    <t>a1N3p00000497VpEAI</t>
  </si>
  <si>
    <t>KAM-134815</t>
  </si>
  <si>
    <t>a1N3p00000497VqEAI</t>
  </si>
  <si>
    <t>KAM-134816</t>
  </si>
  <si>
    <t>a1N3p00000497VrEAI</t>
  </si>
  <si>
    <t>KAM-134817</t>
  </si>
  <si>
    <t>a1N3p00000497VsEAI</t>
  </si>
  <si>
    <t>KAM-134818</t>
  </si>
  <si>
    <t>a1N3p00000497VtEAI</t>
  </si>
  <si>
    <t>KAM-134819</t>
  </si>
  <si>
    <t>a1N3p00000497VuEAI</t>
  </si>
  <si>
    <t>KAM-134820</t>
  </si>
  <si>
    <t>a1N3p00000497VvEAI</t>
  </si>
  <si>
    <t>KAM-134821</t>
  </si>
  <si>
    <t>a1N3p00000497VwEAI</t>
  </si>
  <si>
    <t>KAM-134822</t>
  </si>
  <si>
    <t>a1N3p00000497VxEAI</t>
  </si>
  <si>
    <t>KAM-134823</t>
  </si>
  <si>
    <t>a1N3p00000497VyEAI</t>
  </si>
  <si>
    <t>KAM-134824</t>
  </si>
  <si>
    <t>a1N3p00000497VzEAI</t>
  </si>
  <si>
    <t>KAM-134825</t>
  </si>
  <si>
    <t>a1N3p00000497W0EAI</t>
  </si>
  <si>
    <t>KAM-134826</t>
  </si>
  <si>
    <t>a1N3p00000497W1EAI</t>
  </si>
  <si>
    <t>KAM-134827</t>
  </si>
  <si>
    <t>a1N3p00000497W2EAI</t>
  </si>
  <si>
    <t>KAM-134828</t>
  </si>
  <si>
    <t>a1N3p00000497W3EAI</t>
  </si>
  <si>
    <t>KAM-134829</t>
  </si>
  <si>
    <t>a1N3p00000497W4EAI</t>
  </si>
  <si>
    <t>KAM-134830</t>
  </si>
  <si>
    <t>a1N3p00000497W5EAI</t>
  </si>
  <si>
    <t>KAM-134831</t>
  </si>
  <si>
    <t>a1N3p00000497W6EAI</t>
  </si>
  <si>
    <t>KAM-134832</t>
  </si>
  <si>
    <t>a1N3p00000497W7EAI</t>
  </si>
  <si>
    <t>KAM-134833</t>
  </si>
  <si>
    <t>a1N3p00000497W8EAI</t>
  </si>
  <si>
    <t>KAM-134834</t>
  </si>
  <si>
    <t>a1N3p00000497W9EAI</t>
  </si>
  <si>
    <t>KAM-134835</t>
  </si>
  <si>
    <t>a1N3p00000497WAEAY</t>
  </si>
  <si>
    <t>KAM-134836</t>
  </si>
  <si>
    <t>a1N3p00000497WBEAY</t>
  </si>
  <si>
    <t>KAM-134837</t>
  </si>
  <si>
    <t>a1N3p00000497WCEAY</t>
  </si>
  <si>
    <t>KAM-134838</t>
  </si>
  <si>
    <t>a1N3p00000497WDEAY</t>
  </si>
  <si>
    <t>KAM-134839</t>
  </si>
  <si>
    <t>a1N3p00000497WEEAY</t>
  </si>
  <si>
    <t>KAM-134840</t>
  </si>
  <si>
    <t>a1N3p00000497WFEAY</t>
  </si>
  <si>
    <t>KAM-134841</t>
  </si>
  <si>
    <t>a1N3p00000497WGEAY</t>
  </si>
  <si>
    <t>KAM-134842</t>
  </si>
  <si>
    <t>a1N3p00000497WHEAY</t>
  </si>
  <si>
    <t>KAM-134843</t>
  </si>
  <si>
    <t>a1N3p00000497WIEAY</t>
  </si>
  <si>
    <t>KAM-134844</t>
  </si>
  <si>
    <t>a1N3p00000497WJEAY</t>
  </si>
  <si>
    <t>KAM-134845</t>
  </si>
  <si>
    <t>a1N3p00000497WKEAY</t>
  </si>
  <si>
    <t>KAM-134846</t>
  </si>
  <si>
    <t>a1N3p00000497WLEAY</t>
  </si>
  <si>
    <t>KAM-134847</t>
  </si>
  <si>
    <t>a1N3p00000497WMEAY</t>
  </si>
  <si>
    <t>KAM-134848</t>
  </si>
  <si>
    <t>a1N3p00000497WNEAY</t>
  </si>
  <si>
    <t>KAM-134849</t>
  </si>
  <si>
    <t>a1N3p00000497WOEAY</t>
  </si>
  <si>
    <t>KAM-134850</t>
  </si>
  <si>
    <t>a1N3p00000497WPEAY</t>
  </si>
  <si>
    <t>KAM-134851</t>
  </si>
  <si>
    <t>a1N3p00000497WQEAY</t>
  </si>
  <si>
    <t>KAM-134852</t>
  </si>
  <si>
    <t>a1N3p00000497WREAY</t>
  </si>
  <si>
    <t>KAM-134853</t>
  </si>
  <si>
    <t>a1N3p00000497WSEAY</t>
  </si>
  <si>
    <t>KAM-134854</t>
  </si>
  <si>
    <t>a1N3p00000497WTEAY</t>
  </si>
  <si>
    <t>KAM-134855</t>
  </si>
  <si>
    <t>a1N3p00000497WUEAY</t>
  </si>
  <si>
    <t>KAM-134856</t>
  </si>
  <si>
    <t>a1N3p00000497WVEAY</t>
  </si>
  <si>
    <t>KAM-134857</t>
  </si>
  <si>
    <t>a1N3p00000497WWEAY</t>
  </si>
  <si>
    <t>KAM-134858</t>
  </si>
  <si>
    <t>a1N3p00000497WXEAY</t>
  </si>
  <si>
    <t>KAM-134859</t>
  </si>
  <si>
    <t>a1b3p000003dxZnAAI</t>
  </si>
  <si>
    <t>a1b3p000003dxb5AAA</t>
  </si>
  <si>
    <t>a1b3p000003dxcNAAQ</t>
  </si>
  <si>
    <t>a1b3p000003dxdfAAA</t>
  </si>
  <si>
    <t>a1b3p000003dxexAAA</t>
  </si>
  <si>
    <t>a1b3p000003dxgFAAQ</t>
  </si>
  <si>
    <t>a1b3p000003dxZoAAI</t>
  </si>
  <si>
    <t>a1b3p000003dxb6AAA</t>
  </si>
  <si>
    <t>a1b3p000003dxcOAAQ</t>
  </si>
  <si>
    <t>a1b3p000003dxdgAAA</t>
  </si>
  <si>
    <t>a1b3p000003dxeyAAA</t>
  </si>
  <si>
    <t>a1b3p000003dxgGAAQ</t>
  </si>
  <si>
    <t>a1b3p000003dxZpAAI</t>
  </si>
  <si>
    <t>a1b3p000003dxb7AAA</t>
  </si>
  <si>
    <t>a1b3p000003dxcPAAQ</t>
  </si>
  <si>
    <t>a1b3p000003dxdhAAA</t>
  </si>
  <si>
    <t>a1b3p000003dxezAAA</t>
  </si>
  <si>
    <t>a1b3p000003dxgHAAQ</t>
  </si>
  <si>
    <t>a1b3p000003dxZqAAI</t>
  </si>
  <si>
    <t>a1b3p000003dxb8AAA</t>
  </si>
  <si>
    <t>a1b3p000003dxcQAAQ</t>
  </si>
  <si>
    <t>a1b3p000003dxdiAAA</t>
  </si>
  <si>
    <t>a1b3p000003dxf0AAA</t>
  </si>
  <si>
    <t>a1b3p000003dxgIAAQ</t>
  </si>
  <si>
    <t>a1b3p000003dxZrAAI</t>
  </si>
  <si>
    <t>a1b3p000003dxb9AAA</t>
  </si>
  <si>
    <t>a1b3p000003dxcRAAQ</t>
  </si>
  <si>
    <t>a1b3p000003dxdjAAA</t>
  </si>
  <si>
    <t>a1b3p000003dxf1AAA</t>
  </si>
  <si>
    <t>a1b3p000003dxgJAAQ</t>
  </si>
  <si>
    <t>a1b3p000003dxZsAAI</t>
  </si>
  <si>
    <t>a1b3p000003dxbAAAQ</t>
  </si>
  <si>
    <t>a1b3p000003dxcSAAQ</t>
  </si>
  <si>
    <t>a1b3p000003dxdkAAA</t>
  </si>
  <si>
    <t>a1b3p000003dxf2AAA</t>
  </si>
  <si>
    <t>a1b3p000003dxgKAAQ</t>
  </si>
  <si>
    <t>a1b3p000003dxZtAAI</t>
  </si>
  <si>
    <t>a1b3p000003dxbBAAQ</t>
  </si>
  <si>
    <t>a1b3p000003dxcTAAQ</t>
  </si>
  <si>
    <t>a1b3p000003dxdlAAA</t>
  </si>
  <si>
    <t>a1b3p000003dxf3AAA</t>
  </si>
  <si>
    <t>a1b3p000003dxgLAAQ</t>
  </si>
  <si>
    <t>a1b3p000003dxZuAAI</t>
  </si>
  <si>
    <t>a1b3p000003dxbCAAQ</t>
  </si>
  <si>
    <t>a1b3p000003dxcUAAQ</t>
  </si>
  <si>
    <t>a1b3p000003dxdmAAA</t>
  </si>
  <si>
    <t>a1b3p000003dxf4AAA</t>
  </si>
  <si>
    <t>a1b3p000003dxgMAAQ</t>
  </si>
  <si>
    <t>a1b3p000003dxZvAAI</t>
  </si>
  <si>
    <t>a1b3p000003dxbDAAQ</t>
  </si>
  <si>
    <t>a1b3p000003dxcVAAQ</t>
  </si>
  <si>
    <t>a1b3p000003dxdnAAA</t>
  </si>
  <si>
    <t>a1b3p000003dxf5AAA</t>
  </si>
  <si>
    <t>a1b3p000003dxgNAAQ</t>
  </si>
  <si>
    <t>a1b3p000003dxZwAAI</t>
  </si>
  <si>
    <t>a1b3p000003dxbEAAQ</t>
  </si>
  <si>
    <t>a1b3p000003dxcWAAQ</t>
  </si>
  <si>
    <t>a1b3p000003dxdoAAA</t>
  </si>
  <si>
    <t>a1b3p000003dxf6AAA</t>
  </si>
  <si>
    <t>a1b3p000003dxgOAAQ</t>
  </si>
  <si>
    <t>a1b3p000003dxZxAAI</t>
  </si>
  <si>
    <t>a1b3p000003dxbFAAQ</t>
  </si>
  <si>
    <t>a1b3p000003dxcXAAQ</t>
  </si>
  <si>
    <t>a1b3p000003dxdpAAA</t>
  </si>
  <si>
    <t>a1b3p000003dxf7AAA</t>
  </si>
  <si>
    <t>a1b3p000003dxgPAAQ</t>
  </si>
  <si>
    <t>a1b3p000003dxZyAAI</t>
  </si>
  <si>
    <t>a1b3p000003dxbGAAQ</t>
  </si>
  <si>
    <t>a1b3p000003dxcYAAQ</t>
  </si>
  <si>
    <t>a1b3p000003dxdqAAA</t>
  </si>
  <si>
    <t>a1b3p000003dxf8AAA</t>
  </si>
  <si>
    <t>a1b3p000003dxgQAAQ</t>
  </si>
  <si>
    <t>a1b3p000003dxZzAAI</t>
  </si>
  <si>
    <t>a1b3p000003dxbHAAQ</t>
  </si>
  <si>
    <t>a1b3p000003dxcZAAQ</t>
  </si>
  <si>
    <t>a1b3p000003dxdrAAA</t>
  </si>
  <si>
    <t>a1b3p000003dxf9AAA</t>
  </si>
  <si>
    <t>a1b3p000003dxgRAAQ</t>
  </si>
  <si>
    <t>a1b3p000003dxa0AAA</t>
  </si>
  <si>
    <t>a1b3p000003dxbIAAQ</t>
  </si>
  <si>
    <t>a1b3p000003dxcaAAA</t>
  </si>
  <si>
    <t>a1b3p000003dxdsAAA</t>
  </si>
  <si>
    <t>a1b3p000003dxfAAAQ</t>
  </si>
  <si>
    <t>a1b3p000003dxgSAAQ</t>
  </si>
  <si>
    <t>a1b3p000003dxa1AAA</t>
  </si>
  <si>
    <t>a1b3p000003dxbJAAQ</t>
  </si>
  <si>
    <t>a1b3p000003dxcbAAA</t>
  </si>
  <si>
    <t>a1b3p000003dxdtAAA</t>
  </si>
  <si>
    <t>a1b3p000003dxfBAAQ</t>
  </si>
  <si>
    <t>a1b3p000003dxgTAAQ</t>
  </si>
  <si>
    <t>a1b3p000003dxa2AAA</t>
  </si>
  <si>
    <t>a1b3p000003dxbKAAQ</t>
  </si>
  <si>
    <t>a1b3p000003dxccAAA</t>
  </si>
  <si>
    <t>a1b3p000003dxduAAA</t>
  </si>
  <si>
    <t>a1b3p000003dxfCAAQ</t>
  </si>
  <si>
    <t>a1b3p000003dxgUAAQ</t>
  </si>
  <si>
    <t>a1b3p000003dxa3AAA</t>
  </si>
  <si>
    <t>a1b3p000003dxbLAAQ</t>
  </si>
  <si>
    <t>a1b3p000003dxcdAAA</t>
  </si>
  <si>
    <t>a1b3p000003dxdvAAA</t>
  </si>
  <si>
    <t>a1b3p000003dxfDAAQ</t>
  </si>
  <si>
    <t>a1b3p000003dxgVAAQ</t>
  </si>
  <si>
    <t>a1b3p000003dxa4AAA</t>
  </si>
  <si>
    <t>a1b3p000003dxbMAAQ</t>
  </si>
  <si>
    <t>a1b3p000003dxceAAA</t>
  </si>
  <si>
    <t>a1b3p000003dxdwAAA</t>
  </si>
  <si>
    <t>a1b3p000003dxfEAAQ</t>
  </si>
  <si>
    <t>a1b3p000003dxgWAAQ</t>
  </si>
  <si>
    <t>a1b3p000003dxa5AAA</t>
  </si>
  <si>
    <t>a1b3p000003dxbNAAQ</t>
  </si>
  <si>
    <t>a1b3p000003dxcfAAA</t>
  </si>
  <si>
    <t>a1b3p000003dxdxAAA</t>
  </si>
  <si>
    <t>a1b3p000003dxfFAAQ</t>
  </si>
  <si>
    <t>a1b3p000003dxgXAAQ</t>
  </si>
  <si>
    <t>a1b3p000003dxa6AAA</t>
  </si>
  <si>
    <t>a1b3p000003dxbOAAQ</t>
  </si>
  <si>
    <t>a1b3p000003dxcgAAA</t>
  </si>
  <si>
    <t>a1b3p000003dxdyAAA</t>
  </si>
  <si>
    <t>a1b3p000003dxfGAAQ</t>
  </si>
  <si>
    <t>a1b3p000003dxgYAAQ</t>
  </si>
  <si>
    <t>a1b3p000003dxa7AAA</t>
  </si>
  <si>
    <t>a1b3p000003dxbPAAQ</t>
  </si>
  <si>
    <t>a1b3p000003dxchAAA</t>
  </si>
  <si>
    <t>a1b3p000003dxdzAAA</t>
  </si>
  <si>
    <t>a1b3p000003dxfHAAQ</t>
  </si>
  <si>
    <t>a1b3p000003dxgZAAQ</t>
  </si>
  <si>
    <t>a1b3p000003dxa8AAA</t>
  </si>
  <si>
    <t>a1b3p000003dxbQAAQ</t>
  </si>
  <si>
    <t>a1b3p000003dxciAAA</t>
  </si>
  <si>
    <t>a1b3p000003dxe0AAA</t>
  </si>
  <si>
    <t>a1b3p000003dxfIAAQ</t>
  </si>
  <si>
    <t>a1b3p000003dxgaAAA</t>
  </si>
  <si>
    <t>a1b3p000003dxa9AAA</t>
  </si>
  <si>
    <t>a1b3p000003dxbRAAQ</t>
  </si>
  <si>
    <t>a1b3p000003dxcjAAA</t>
  </si>
  <si>
    <t>a1b3p000003dxe1AAA</t>
  </si>
  <si>
    <t>a1b3p000003dxfJAAQ</t>
  </si>
  <si>
    <t>a1b3p000003dxgbAAA</t>
  </si>
  <si>
    <t>a1b3p000003dxaAAAQ</t>
  </si>
  <si>
    <t>a1b3p000003dxbSAAQ</t>
  </si>
  <si>
    <t>a1b3p000003dxckAAA</t>
  </si>
  <si>
    <t>a1b3p000003dxe2AAA</t>
  </si>
  <si>
    <t>a1b3p000003dxfKAAQ</t>
  </si>
  <si>
    <t>a1b3p000003dxgcAAA</t>
  </si>
  <si>
    <t>a1b3p000003dxaBAAQ</t>
  </si>
  <si>
    <t>a1b3p000003dxbTAAQ</t>
  </si>
  <si>
    <t>a1b3p000003dxclAAA</t>
  </si>
  <si>
    <t>a1b3p000003dxe3AAA</t>
  </si>
  <si>
    <t>a1b3p000003dxfLAAQ</t>
  </si>
  <si>
    <t>a1b3p000003dxgdAAA</t>
  </si>
  <si>
    <t>a1b3p000003dxaCAAQ</t>
  </si>
  <si>
    <t>a1b3p000003dxbUAAQ</t>
  </si>
  <si>
    <t>a1b3p000003dxcmAAA</t>
  </si>
  <si>
    <t>a1b3p000003dxe4AAA</t>
  </si>
  <si>
    <t>a1b3p000003dxfMAAQ</t>
  </si>
  <si>
    <t>a1b3p000003dxgeAAA</t>
  </si>
  <si>
    <t>a1b3p000003dxaDAAQ</t>
  </si>
  <si>
    <t>a1b3p000003dxbVAAQ</t>
  </si>
  <si>
    <t>a1b3p000003dxcnAAA</t>
  </si>
  <si>
    <t>a1b3p000003dxe5AAA</t>
  </si>
  <si>
    <t>a1b3p000003dxfNAAQ</t>
  </si>
  <si>
    <t>a1b3p000003dxgfAAA</t>
  </si>
  <si>
    <t>a1b3p000003dxaEAAQ</t>
  </si>
  <si>
    <t>a1b3p000003dxbWAAQ</t>
  </si>
  <si>
    <t>a1b3p000003dxcoAAA</t>
  </si>
  <si>
    <t>a1b3p000003dxe6AAA</t>
  </si>
  <si>
    <t>a1b3p000003dxfOAAQ</t>
  </si>
  <si>
    <t>a1b3p000003dxggAAA</t>
  </si>
  <si>
    <t>a1b3p000003dxaFAAQ</t>
  </si>
  <si>
    <t>a1b3p000003dxbXAAQ</t>
  </si>
  <si>
    <t>a1b3p000003dxcpAAA</t>
  </si>
  <si>
    <t>a1b3p000003dxe7AAA</t>
  </si>
  <si>
    <t>a1b3p000003dxfPAAQ</t>
  </si>
  <si>
    <t>a1b3p000003dxghAAA</t>
  </si>
  <si>
    <t>a1b3p000003dxaGAAQ</t>
  </si>
  <si>
    <t>a1b3p000003dxbYAAQ</t>
  </si>
  <si>
    <t>a1b3p000003dxcqAAA</t>
  </si>
  <si>
    <t>a1b3p000003dxe8AAA</t>
  </si>
  <si>
    <t>a1b3p000003dxfQAAQ</t>
  </si>
  <si>
    <t>a1b3p000003dxgiAAA</t>
  </si>
  <si>
    <t>a1b3p000003dxaHAAQ</t>
  </si>
  <si>
    <t>a1b3p000003dxbZAAQ</t>
  </si>
  <si>
    <t>a1b3p000003dxcrAAA</t>
  </si>
  <si>
    <t>a1b3p000003dxe9AAA</t>
  </si>
  <si>
    <t>a1b3p000003dxfRAAQ</t>
  </si>
  <si>
    <t>a1b3p000003dxgjAAA</t>
  </si>
  <si>
    <t>a1b3p000003dxaIAAQ</t>
  </si>
  <si>
    <t>a1b3p000003dxbaAAA</t>
  </si>
  <si>
    <t>a1b3p000003dxcsAAA</t>
  </si>
  <si>
    <t>a1b3p000003dxeAAAQ</t>
  </si>
  <si>
    <t>a1b3p000003dxfSAAQ</t>
  </si>
  <si>
    <t>a1b3p000003dxgkAAA</t>
  </si>
  <si>
    <t>a1b3p000003dxaJAAQ</t>
  </si>
  <si>
    <t>a1b3p000003dxbbAAA</t>
  </si>
  <si>
    <t>a1b3p000003dxctAAA</t>
  </si>
  <si>
    <t>a1b3p000003dxeBAAQ</t>
  </si>
  <si>
    <t>a1b3p000003dxfTAAQ</t>
  </si>
  <si>
    <t>a1b3p000003dxglAAA</t>
  </si>
  <si>
    <t>a1b3p000003dxaKAAQ</t>
  </si>
  <si>
    <t>a1b3p000003dxbcAAA</t>
  </si>
  <si>
    <t>a1b3p000003dxcuAAA</t>
  </si>
  <si>
    <t>a1b3p000003dxeCAAQ</t>
  </si>
  <si>
    <t>a1b3p000003dxfUAAQ</t>
  </si>
  <si>
    <t>a1b3p000003dxgmAAA</t>
  </si>
  <si>
    <t>a1b3p000003dxaLAAQ</t>
  </si>
  <si>
    <t>a1b3p000003dxbdAAA</t>
  </si>
  <si>
    <t>a1b3p000003dxcvAAA</t>
  </si>
  <si>
    <t>a1b3p000003dxeDAAQ</t>
  </si>
  <si>
    <t>a1b3p000003dxfVAAQ</t>
  </si>
  <si>
    <t>a1b3p000003dxgnAAA</t>
  </si>
  <si>
    <t>a1b3p000003dxaMAAQ</t>
  </si>
  <si>
    <t>a1b3p000003dxbeAAA</t>
  </si>
  <si>
    <t>a1b3p000003dxcwAAA</t>
  </si>
  <si>
    <t>a1b3p000003dxeEAAQ</t>
  </si>
  <si>
    <t>a1b3p000003dxfWAAQ</t>
  </si>
  <si>
    <t>a1b3p000003dxgoAAA</t>
  </si>
  <si>
    <t>a1b3p000003dxaNAAQ</t>
  </si>
  <si>
    <t>a1b3p000003dxbfAAA</t>
  </si>
  <si>
    <t>a1b3p000003dxcxAAA</t>
  </si>
  <si>
    <t>a1b3p000003dxeFAAQ</t>
  </si>
  <si>
    <t>a1b3p000003dxfXAAQ</t>
  </si>
  <si>
    <t>a1b3p000003dxgpAAA</t>
  </si>
  <si>
    <t>a1b3p000003dxaOAAQ</t>
  </si>
  <si>
    <t>a1b3p000003dxbgAAA</t>
  </si>
  <si>
    <t>a1b3p000003dxcyAAA</t>
  </si>
  <si>
    <t>a1b3p000003dxeGAAQ</t>
  </si>
  <si>
    <t>a1b3p000003dxfYAAQ</t>
  </si>
  <si>
    <t>a1b3p000003dxgqAAA</t>
  </si>
  <si>
    <t>a1b3p000003dxaPAAQ</t>
  </si>
  <si>
    <t>a1b3p000003dxbhAAA</t>
  </si>
  <si>
    <t>a1b3p000003dxczAAA</t>
  </si>
  <si>
    <t>a1b3p000003dxeHAAQ</t>
  </si>
  <si>
    <t>a1b3p000003dxfZAAQ</t>
  </si>
  <si>
    <t>a1b3p000003dxgrAAA</t>
  </si>
  <si>
    <t>a1b3p000003dxaQAAQ</t>
  </si>
  <si>
    <t>a1b3p000003dxbiAAA</t>
  </si>
  <si>
    <t>a1b3p000003dxd0AAA</t>
  </si>
  <si>
    <t>a1b3p000003dxeIAAQ</t>
  </si>
  <si>
    <t>a1b3p000003dxfaAAA</t>
  </si>
  <si>
    <t>a1b3p000003dxgsAAA</t>
  </si>
  <si>
    <t>a1b3p000003dxaRAAQ</t>
  </si>
  <si>
    <t>a1b3p000003dxbjAAA</t>
  </si>
  <si>
    <t>a1b3p000003dxd1AAA</t>
  </si>
  <si>
    <t>a1b3p000003dxeJAAQ</t>
  </si>
  <si>
    <t>a1b3p000003dxfbAAA</t>
  </si>
  <si>
    <t>a1b3p000003dxgtAAA</t>
  </si>
  <si>
    <t>a1b3p000003dxaSAAQ</t>
  </si>
  <si>
    <t>a1b3p000003dxbkAAA</t>
  </si>
  <si>
    <t>a1b3p000003dxd2AAA</t>
  </si>
  <si>
    <t>a1b3p000003dxeKAAQ</t>
  </si>
  <si>
    <t>a1b3p000003dxfcAAA</t>
  </si>
  <si>
    <t>a1b3p000003dxguAAA</t>
  </si>
  <si>
    <t>a1b3p000003dxaTAAQ</t>
  </si>
  <si>
    <t>a1b3p000003dxblAAA</t>
  </si>
  <si>
    <t>a1b3p000003dxd3AAA</t>
  </si>
  <si>
    <t>a1b3p000003dxeLAAQ</t>
  </si>
  <si>
    <t>a1b3p000003dxfdAAA</t>
  </si>
  <si>
    <t>a1b3p000003dxgvAAA</t>
  </si>
  <si>
    <t>a1b3p000003dxaUAAQ</t>
  </si>
  <si>
    <t>a1b3p000003dxbmAAA</t>
  </si>
  <si>
    <t>a1b3p000003dxd4AAA</t>
  </si>
  <si>
    <t>a1b3p000003dxeMAAQ</t>
  </si>
  <si>
    <t>a1b3p000003dxfeAAA</t>
  </si>
  <si>
    <t>a1b3p000003dxgwAAA</t>
  </si>
  <si>
    <t>a1b3p000003dxaVAAQ</t>
  </si>
  <si>
    <t>a1b3p000003dxbnAAA</t>
  </si>
  <si>
    <t>a1b3p000003dxd5AAA</t>
  </si>
  <si>
    <t>a1b3p000003dxeNAAQ</t>
  </si>
  <si>
    <t>a1b3p000003dxffAAA</t>
  </si>
  <si>
    <t>a1b3p000003dxgxAAA</t>
  </si>
  <si>
    <t>a1b3p000003dxaWAAQ</t>
  </si>
  <si>
    <t>a1b3p000003dxboAAA</t>
  </si>
  <si>
    <t>a1b3p000003dxd6AAA</t>
  </si>
  <si>
    <t>a1b3p000003dxeOAAQ</t>
  </si>
  <si>
    <t>a1b3p000003dxfgAAA</t>
  </si>
  <si>
    <t>a1b3p000003dxgyAAA</t>
  </si>
  <si>
    <t>a1b3p000003dxaXAAQ</t>
  </si>
  <si>
    <t>a1b3p000003dxbpAAA</t>
  </si>
  <si>
    <t>a1b3p000003dxd7AAA</t>
  </si>
  <si>
    <t>a1b3p000003dxePAAQ</t>
  </si>
  <si>
    <t>a1b3p000003dxfhAAA</t>
  </si>
  <si>
    <t>a1b3p000003dxgzAAA</t>
  </si>
  <si>
    <t>a1b3p000003dxaYAAQ</t>
  </si>
  <si>
    <t>a1b3p000003dxbqAAA</t>
  </si>
  <si>
    <t>a1b3p000003dxd8AAA</t>
  </si>
  <si>
    <t>a1b3p000003dxeQAAQ</t>
  </si>
  <si>
    <t>a1b3p000003dxfiAAA</t>
  </si>
  <si>
    <t>a1b3p000003dxh0AAA</t>
  </si>
  <si>
    <t>a1b3p000003dxaZAAQ</t>
  </si>
  <si>
    <t>a1b3p000003dxbrAAA</t>
  </si>
  <si>
    <t>a1b3p000003dxd9AAA</t>
  </si>
  <si>
    <t>a1b3p000003dxeRAAQ</t>
  </si>
  <si>
    <t>a1b3p000003dxfjAAA</t>
  </si>
  <si>
    <t>a1b3p000003dxh1AAA</t>
  </si>
  <si>
    <t>a1b3p000003dxaaAAA</t>
  </si>
  <si>
    <t>a1b3p000003dxbsAAA</t>
  </si>
  <si>
    <t>a1b3p000003dxdAAAQ</t>
  </si>
  <si>
    <t>a1b3p000003dxeSAAQ</t>
  </si>
  <si>
    <t>a1b3p000003dxfkAAA</t>
  </si>
  <si>
    <t>a1b3p000003dxh2AAA</t>
  </si>
  <si>
    <t>a1b3p000003dxabAAA</t>
  </si>
  <si>
    <t>a1b3p000003dxbtAAA</t>
  </si>
  <si>
    <t>a1b3p000003dxdBAAQ</t>
  </si>
  <si>
    <t>a1b3p000003dxeTAAQ</t>
  </si>
  <si>
    <t>a1b3p000003dxflAAA</t>
  </si>
  <si>
    <t>a1b3p000003dxh3AAA</t>
  </si>
  <si>
    <t>a1b3p000003dxacAAA</t>
  </si>
  <si>
    <t>a1b3p000003dxbuAAA</t>
  </si>
  <si>
    <t>a1b3p000003dxdCAAQ</t>
  </si>
  <si>
    <t>a1b3p000003dxeUAAQ</t>
  </si>
  <si>
    <t>a1b3p000003dxfmAAA</t>
  </si>
  <si>
    <t>a1b3p000003dxh4AAA</t>
  </si>
  <si>
    <t>a1b3p000003dxadAAA</t>
  </si>
  <si>
    <t>a1b3p000003dxbvAAA</t>
  </si>
  <si>
    <t>a1b3p000003dxdDAAQ</t>
  </si>
  <si>
    <t>a1b3p000003dxeVAAQ</t>
  </si>
  <si>
    <t>a1b3p000003dxfnAAA</t>
  </si>
  <si>
    <t>a1b3p000003dxh5AAA</t>
  </si>
  <si>
    <t>a1b3p000003dxaeAAA</t>
  </si>
  <si>
    <t>a1b3p000003dxbwAAA</t>
  </si>
  <si>
    <t>a1b3p000003dxdEAAQ</t>
  </si>
  <si>
    <t>a1b3p000003dxeWAAQ</t>
  </si>
  <si>
    <t>a1b3p000003dxfoAAA</t>
  </si>
  <si>
    <t>a1b3p000003dxh6AAA</t>
  </si>
  <si>
    <t>a1b3p000003dxafAAA</t>
  </si>
  <si>
    <t>a1b3p000003dxbxAAA</t>
  </si>
  <si>
    <t>a1b3p000003dxdFAAQ</t>
  </si>
  <si>
    <t>a1b3p000003dxeXAAQ</t>
  </si>
  <si>
    <t>a1b3p000003dxfpAAA</t>
  </si>
  <si>
    <t>a1b3p000003dxh7AAA</t>
  </si>
  <si>
    <t>a1b3p000003dxagAAA</t>
  </si>
  <si>
    <t>a1b3p000003dxbyAAA</t>
  </si>
  <si>
    <t>a1b3p000003dxdGAAQ</t>
  </si>
  <si>
    <t>a1b3p000003dxeYAAQ</t>
  </si>
  <si>
    <t>a1b3p000003dxfqAAA</t>
  </si>
  <si>
    <t>a1b3p000003dxh8AAA</t>
  </si>
  <si>
    <t>a1b3p000003dxahAAA</t>
  </si>
  <si>
    <t>a1b3p000003dxbzAAA</t>
  </si>
  <si>
    <t>a1b3p000003dxdHAAQ</t>
  </si>
  <si>
    <t>a1b3p000003dxeZAAQ</t>
  </si>
  <si>
    <t>a1b3p000003dxfrAAA</t>
  </si>
  <si>
    <t>a1b3p000003dxh9AAA</t>
  </si>
  <si>
    <t>a1b3p000003dxaiAAA</t>
  </si>
  <si>
    <t>a1b3p000003dxc0AAA</t>
  </si>
  <si>
    <t>a1b3p000003dxdIAAQ</t>
  </si>
  <si>
    <t>a1b3p000003dxeaAAA</t>
  </si>
  <si>
    <t>a1b3p000003dxfsAAA</t>
  </si>
  <si>
    <t>a1b3p000003dxhAAAQ</t>
  </si>
  <si>
    <t>a1b3p000003dxajAAA</t>
  </si>
  <si>
    <t>a1b3p000003dxc1AAA</t>
  </si>
  <si>
    <t>a1b3p000003dxdJAAQ</t>
  </si>
  <si>
    <t>a1b3p000003dxebAAA</t>
  </si>
  <si>
    <t>a1b3p000003dxftAAA</t>
  </si>
  <si>
    <t>a1b3p000003dxhBAAQ</t>
  </si>
  <si>
    <t>a1b3p000003dxakAAA</t>
  </si>
  <si>
    <t>a1b3p000003dxc2AAA</t>
  </si>
  <si>
    <t>a1b3p000003dxdKAAQ</t>
  </si>
  <si>
    <t>a1b3p000003dxecAAA</t>
  </si>
  <si>
    <t>a1b3p000003dxfuAAA</t>
  </si>
  <si>
    <t>a1b3p000003dxhCAAQ</t>
  </si>
  <si>
    <t>a1b3p000003dxalAAA</t>
  </si>
  <si>
    <t>a1b3p000003dxc3AAA</t>
  </si>
  <si>
    <t>a1b3p000003dxdLAAQ</t>
  </si>
  <si>
    <t>a1b3p000003dxedAAA</t>
  </si>
  <si>
    <t>a1b3p000003dxfvAAA</t>
  </si>
  <si>
    <t>a1b3p000003dxhDAAQ</t>
  </si>
  <si>
    <t>a1b3p000003dxamAAA</t>
  </si>
  <si>
    <t>a1b3p000003dxc4AAA</t>
  </si>
  <si>
    <t>a1b3p000003dxdMAAQ</t>
  </si>
  <si>
    <t>a1b3p000003dxeeAAA</t>
  </si>
  <si>
    <t>a1b3p000003dxfwAAA</t>
  </si>
  <si>
    <t>a1b3p000003dxhEAAQ</t>
  </si>
  <si>
    <t>a1b3p000003dxanAAA</t>
  </si>
  <si>
    <t>a1b3p000003dxc5AAA</t>
  </si>
  <si>
    <t>a1b3p000003dxdNAAQ</t>
  </si>
  <si>
    <t>a1b3p000003dxefAAA</t>
  </si>
  <si>
    <t>a1b3p000003dxfxAAA</t>
  </si>
  <si>
    <t>a1b3p000003dxhFAAQ</t>
  </si>
  <si>
    <t>a1b3p000003dxaoAAA</t>
  </si>
  <si>
    <t>a1b3p000003dxc6AAA</t>
  </si>
  <si>
    <t>a1b3p000003dxdOAAQ</t>
  </si>
  <si>
    <t>a1b3p000003dxegAAA</t>
  </si>
  <si>
    <t>a1b3p000003dxfyAAA</t>
  </si>
  <si>
    <t>a1b3p000003dxhGAAQ</t>
  </si>
  <si>
    <t>a1b3p000003dxapAAA</t>
  </si>
  <si>
    <t>a1b3p000003dxc7AAA</t>
  </si>
  <si>
    <t>a1b3p000003dxdPAAQ</t>
  </si>
  <si>
    <t>a1b3p000003dxehAAA</t>
  </si>
  <si>
    <t>a1b3p000003dxfzAAA</t>
  </si>
  <si>
    <t>a1b3p000003dxhHAAQ</t>
  </si>
  <si>
    <t>a1b3p000003dxaqAAA</t>
  </si>
  <si>
    <t>a1b3p000003dxc8AAA</t>
  </si>
  <si>
    <t>a1b3p000003dxdQAAQ</t>
  </si>
  <si>
    <t>a1b3p000003dxeiAAA</t>
  </si>
  <si>
    <t>a1b3p000003dxg0AAA</t>
  </si>
  <si>
    <t>a1b3p000003dxhIAAQ</t>
  </si>
  <si>
    <t>a1b3p000003dxarAAA</t>
  </si>
  <si>
    <t>a1b3p000003dxc9AAA</t>
  </si>
  <si>
    <t>a1b3p000003dxdRAAQ</t>
  </si>
  <si>
    <t>a1b3p000003dxejAAA</t>
  </si>
  <si>
    <t>a1b3p000003dxg1AAA</t>
  </si>
  <si>
    <t>a1b3p000003dxhJAAQ</t>
  </si>
  <si>
    <t>a1b3p000003dxasAAA</t>
  </si>
  <si>
    <t>a1b3p000003dxcAAAQ</t>
  </si>
  <si>
    <t>a1b3p000003dxdSAAQ</t>
  </si>
  <si>
    <t>a1b3p000003dxekAAA</t>
  </si>
  <si>
    <t>a1b3p000003dxg2AAA</t>
  </si>
  <si>
    <t>a1b3p000003dxhKAAQ</t>
  </si>
  <si>
    <t>a1b3p000003dxatAAA</t>
  </si>
  <si>
    <t>a1b3p000003dxcBAAQ</t>
  </si>
  <si>
    <t>a1b3p000003dxdTAAQ</t>
  </si>
  <si>
    <t>a1b3p000003dxelAAA</t>
  </si>
  <si>
    <t>a1b3p000003dxg3AAA</t>
  </si>
  <si>
    <t>a1b3p000003dxhLAAQ</t>
  </si>
  <si>
    <t>a1b3p000003dxauAAA</t>
  </si>
  <si>
    <t>a1b3p000003dxcCAAQ</t>
  </si>
  <si>
    <t>a1b3p000003dxdUAAQ</t>
  </si>
  <si>
    <t>a1b3p000003dxemAAA</t>
  </si>
  <si>
    <t>a1b3p000003dxg4AAA</t>
  </si>
  <si>
    <t>a1b3p000003dxhMAAQ</t>
  </si>
  <si>
    <t>a1b3p000003dxavAAA</t>
  </si>
  <si>
    <t>a1b3p000003dxcDAAQ</t>
  </si>
  <si>
    <t>a1b3p000003dxdVAAQ</t>
  </si>
  <si>
    <t>a1b3p000003dxenAAA</t>
  </si>
  <si>
    <t>a1b3p000003dxg5AAA</t>
  </si>
  <si>
    <t>a1b3p000003dxhNAAQ</t>
  </si>
  <si>
    <t>a1b3p000003dxawAAA</t>
  </si>
  <si>
    <t>a1b3p000003dxcEAAQ</t>
  </si>
  <si>
    <t>a1b3p000003dxdWAAQ</t>
  </si>
  <si>
    <t>a1b3p000003dxeoAAA</t>
  </si>
  <si>
    <t>a1b3p000003dxg6AAA</t>
  </si>
  <si>
    <t>a1b3p000003dxhOAAQ</t>
  </si>
  <si>
    <t>a1b3p000003dxaxAAA</t>
  </si>
  <si>
    <t>a1b3p000003dxcFAAQ</t>
  </si>
  <si>
    <t>a1b3p000003dxdXAAQ</t>
  </si>
  <si>
    <t>a1b3p000003dxepAAA</t>
  </si>
  <si>
    <t>a1b3p000003dxg7AAA</t>
  </si>
  <si>
    <t>a1b3p000003dxhPAAQ</t>
  </si>
  <si>
    <t>a1b3p000003dxayAAA</t>
  </si>
  <si>
    <t>a1b3p000003dxcGAAQ</t>
  </si>
  <si>
    <t>a1b3p000003dxdYAAQ</t>
  </si>
  <si>
    <t>a1b3p000003dxeqAAA</t>
  </si>
  <si>
    <t>a1b3p000003dxg8AAA</t>
  </si>
  <si>
    <t>a1b3p000003dxhQAAQ</t>
  </si>
  <si>
    <t>a1b3p000003dxazAAA</t>
  </si>
  <si>
    <t>a1b3p000003dxcHAAQ</t>
  </si>
  <si>
    <t>a1b3p000003dxdZAAQ</t>
  </si>
  <si>
    <t>a1b3p000003dxerAAA</t>
  </si>
  <si>
    <t>a1b3p000003dxg9AAA</t>
  </si>
  <si>
    <t>a1b3p000003dxhRAAQ</t>
  </si>
  <si>
    <t>a1b3p000003dxb0AAA</t>
  </si>
  <si>
    <t>a1b3p000003dxcIAAQ</t>
  </si>
  <si>
    <t>a1b3p000003dxdaAAA</t>
  </si>
  <si>
    <t>a1b3p000003dxesAAA</t>
  </si>
  <si>
    <t>a1b3p000003dxgAAAQ</t>
  </si>
  <si>
    <t>a1b3p000003dxhSAAQ</t>
  </si>
  <si>
    <t>a1b3p000003dxb1AAA</t>
  </si>
  <si>
    <t>a1b3p000003dxcJAAQ</t>
  </si>
  <si>
    <t>a1b3p000003dxdbAAA</t>
  </si>
  <si>
    <t>a1b3p000003dxetAAA</t>
  </si>
  <si>
    <t>a1b3p000003dxgBAAQ</t>
  </si>
  <si>
    <t>a1b3p000003dxhTAAQ</t>
  </si>
  <si>
    <t>a1b3p000003dxb2AAA</t>
  </si>
  <si>
    <t>a1b3p000003dxcKAAQ</t>
  </si>
  <si>
    <t>a1b3p000003dxdcAAA</t>
  </si>
  <si>
    <t>a1b3p000003dxeuAAA</t>
  </si>
  <si>
    <t>a1b3p000003dxgCAAQ</t>
  </si>
  <si>
    <t>a1b3p000003dxhUAAQ</t>
  </si>
  <si>
    <t>a1b3p000003dxb3AAA</t>
  </si>
  <si>
    <t>a1b3p000003dxcLAAQ</t>
  </si>
  <si>
    <t>a1b3p000003dxddAAA</t>
  </si>
  <si>
    <t>a1b3p000003dxevAAA</t>
  </si>
  <si>
    <t>a1b3p000003dxgDAAQ</t>
  </si>
  <si>
    <t>a1b3p000003dxhVAAQ</t>
  </si>
  <si>
    <t>a1b3p000003dxb4AAA</t>
  </si>
  <si>
    <t>a1b3p000003dxcMAAQ</t>
  </si>
  <si>
    <t>a1b3p000003dxdeAAA</t>
  </si>
  <si>
    <t>a1b3p000003dxewAAA</t>
  </si>
  <si>
    <t>a1b3p000003dxgEAAQ</t>
  </si>
  <si>
    <t>a1b3p000003dxhWAAQ</t>
  </si>
  <si>
    <t>Cible N#
Cible D#</t>
  </si>
  <si>
    <t>Indicateur personnalisé</t>
  </si>
  <si>
    <t>Indicateur personnalisé (EN)</t>
  </si>
  <si>
    <t>Référence Source (EN)</t>
  </si>
  <si>
    <t>Commentaires (EN)</t>
  </si>
  <si>
    <t>Intensifier et améliorer la qualité des interventions en vue de l'atteinte des 95-95-95 d'ici 2025 / Accelerate and improve the quality of interventions to achieve the 95-95-95 by 2025</t>
  </si>
  <si>
    <t>En 2025, les nouvelles infections à VIH sont réduites de 70% / In 2025, new HIV infections are reduced by 70%</t>
  </si>
  <si>
    <t>En 2025, la mortalité liée au VIH est réduite de 50% / In 2025, HIV-related mortality is reduced by 50%</t>
  </si>
  <si>
    <t xml:space="preserve">La réduction de la stigmatisation et de la discrimination et le respect des droits humains renforcent l'ensemble des interventions de prévention et de prise en charge du VIH/sida / Reduced stigma and discrimination, and respect for human rights reinforce all HIV / AIDS prevention and care interventions </t>
  </si>
  <si>
    <t>La gouvernance de la réponse au VIH/sida et aux IST est renforcée à tous les niveaux pour en assurer l’accélération, l'efficience, la redevabilité et la durabilité / The governance of the HIV / AIDS response and STIs is strengthened at all levels to ensure acceleration, efficiency, accountability and sustainability</t>
  </si>
  <si>
    <t>Spectrum 2020</t>
  </si>
  <si>
    <t xml:space="preserve">Les données sont extraites du site de l'OMS (www.who.int/tb/data)
Profil pays OMS </t>
  </si>
  <si>
    <t xml:space="preserve">Les cibles du PSN 2021-2025 des nouvelles infections sont 9 166 en 2021, 7670 en 2022 et 6174 en 2023. 
Les données seront collectées à partir de spectrum 
Le rapportage se fera en 2022 et 2023 pour les cibles de 2021 et 2022. </t>
  </si>
  <si>
    <t xml:space="preserve">Les cibles du PSN 2021-2025 des décès dûs au sida sont 9849 en 2021, 9352 en 2022 et 8973 en 2023. 
Le rapportage se fera en 2022 et 2023 pour les cibles de 2021 et 2022. 
Les données seront collectées à partir de spectrum  </t>
  </si>
  <si>
    <t xml:space="preserve">Les cibles du PSN du taux de transmissiondu VIH de la mère à l'enfant y compris la période d'allaitement sont de 6,05% en 2021, 5,04% en 2022 et 4,02% en 2023. 
Le rapportage se fera en 2022 et 2023 pour les cibles de 2021 et 2022. 
Les données seront collectées à partir de spectrum  </t>
  </si>
  <si>
    <t xml:space="preserve">Les données de base donne 10 décès pour 100 000 habitants soit 2 500 décès pour 24 867 843. Selon le PSN 2021-2025, il faut réduire de 50% la mortalité liée au VIH. Les projections donnent 8 décès pour 2021, 8 décès pour 2022 et 7 décès en 2023 pour 100 000 habitants
Le rapportage se fera en 2022 et 2023 pour les cibles de 2021 et 2022. 
Les données seront renseignées à partir du profil pays de l'OMS . 
</t>
  </si>
  <si>
    <t>Data are extracted from the WHO website (www.who.int/tb/data)
WHO country profile</t>
  </si>
  <si>
    <t>The 2021-2025 NSP targets for new infections are 9,166 in 2021, 7,670 in 2022 and 6,174 in 2023.
Data will be collected from spectrum.
Reporting will be done in 2022 and 2023 for the targets of 2021 and 2022.</t>
  </si>
  <si>
    <t>The 2021-2025 NSP targets of AIDS deaths are 9,849 in 2021, 9,352 in 2022 and 8,973 in 2023.
Reporting will be done in 2022 and 2023 for the targets of 2021 and 2022.
Data will be collected from spectrum.</t>
  </si>
  <si>
    <t>The NSP targets for the mother-to-child HIV transmission rate including breastfeeding period are 6.05% in 2021, 5.04% in 2022 and 4.02% in 2023.
Reporting will be done in 2022 and 2023 for the targets of 2021 and 2022.
Data will be collected from spectrum.</t>
  </si>
  <si>
    <t>The basic data gives 10 deaths per 100,000 inhabitants, ie 2,500 deaths for 24,867,843. According to the 2021-2025 NSP, HIV-related mortality must be reduced by 50%. 8 deaths are projected in 2021, 8 deaths in 2022 and 7 deaths in 2023 per 100,000 inhabitants.
Reporting will be done in 2022 and 2023 for the targets of 2021 and 2022.
Data will be populated from the WHO country profile.</t>
  </si>
  <si>
    <t xml:space="preserve">HIV O-15-Other1: Pourcentage de personnes vivant avec le VIH déclarant avoir été victimes de discrimination liée au VIH </t>
  </si>
  <si>
    <t>Cartographie programmatique chez les HSH à Abidjan utilisant la méthode PLACE</t>
  </si>
  <si>
    <t>Données de routine PNLS</t>
  </si>
  <si>
    <t>Rapport d'Etude Index Stigma 2016</t>
  </si>
  <si>
    <t>Selon le rapport de la modélisation, l'utilisation du préservatif en 2025 est projeté à 90%. Selon cette base et en se basant des données historiques, le PSN 2021-2025, cible à 75% le pourcentage d’hommes qui indiquent avoir utilisé un préservatif lors de leur dernier rapport anal avec un partenaire occasionel
Une enquête IBBS sera réalisé en 2022 pour renseigner l'indicateur en 2023</t>
  </si>
  <si>
    <t>Selon le rapport de la modélisation, l'utilisation du préservatif en 2025 est projeté à 90%. Selon cette base et en se basant des données historiques, le PSN 2021-2025, cible à 86% le pourcentage de professionnels du sexe qui indiquent avoir utilisé un préservatif avec leur dernier client
Une enquête IBBS sera réalisé en 2022 pour renseigner l'indicateur en 2023</t>
  </si>
  <si>
    <t>Selon le PSN les cibles de personnes qui doivent avoir une charge virale indétectable sont de 78,3% en 2021, 82% en 2022 et 85, 7% en 2023. 
Numérateur: Nombre de PVVIH sous ARV ayant une suppression virale indétectable 
Dénominateur: Nombre de PVVIH sous ARV (file active)</t>
  </si>
  <si>
    <t>Selon le rapport d'étude Index Sigma de 2016, ce sont 40,4% de personnes vivant avec le VIH qui ont déclaré avoir été victimes de discrimination liée au VIH.  
Selon le PSN, il faut réduire de 70% les nouvelles infections d'ici 2025. Partant de ces données de base nous comptons réduire la stigmation de 70% d'ici 2025, ce qui correspond une cible de 12,1% en 2025. Par interpollation linéaire on une baisse de 3% par an de 2016 à 2025.  
L'indicateur sera renseigné à partir des études d'index stigma prévu en 2020 et en 2023. 
N=Nombre de personnes vivant avec le VIH déclarant avoir exercé un recours judiciaire à la suite de la violation de leurs droits
D=Nombre de personnes vivant avec le VIH déclarant une violation de leurs droits</t>
  </si>
  <si>
    <t>HIV O-15-Other1: Percentage of people living with HIV who report being victims of HIV-related discrimination</t>
  </si>
  <si>
    <t>Programmatic mapping among MSM in Abidjan using the PLACE method</t>
  </si>
  <si>
    <t>PNLS routine data</t>
  </si>
  <si>
    <t>Report 2016 Index Stigmat Study</t>
  </si>
  <si>
    <t>According to the modeling report, the use of condoms in 2025 is projected to 90%. According to this and based on historical data, the 2021-2025 NSP targets 75% of men who indicate having used a condom during their last anal intercourse with an occasional partner.
An IBBS survey will be carried out in 2022 to inform the indicator in 2023.</t>
  </si>
  <si>
    <t>According to the modeling report, the use of condoms in 2025 is projected to 90%. According to this and based on historical data, the 2021-2025 HSP targets 86% of sex workers who report having used a condom with their last client.
An IBBS survey will be carried out in 2022 to inform the indicator in 2023.</t>
  </si>
  <si>
    <t>According to the NSP, the % of people who must have an undetectable viral load are 78.3% in 2021, 82% in 2022 and 85.7% in 2023.
Numerator: Number of PLHIV on ARVs with undetectable viral suppression;
Denominator: Number of PLHIV on ARV (active file).</t>
  </si>
  <si>
    <t>Percentage of people living with HIV who say they have taken legal action for violating their rights
N = Number of people living with HIV who declared that they had taken legal action following the violation of their rights
D = Number of people living with HIV reporting a violation of their rights</t>
  </si>
  <si>
    <t>Pourcentrage de districts sanitaires qui ont transmis à temps ( Completude est ≥ 95% et la     Promptitude ≥ 85%.) leurs rapports dans les délais selon les directives nationales</t>
  </si>
  <si>
    <t>KP-1d (M) Other 1 : Pourcentage de consommateur de drogues (y compris les injecteurs) ayant bénéficié de programme préventif de lutte contre le VIH (Paquet de services définis)</t>
  </si>
  <si>
    <t xml:space="preserve">Pourcentage de HSH dépistés positifs admis dans des services de soins durant la période de rapportage </t>
  </si>
  <si>
    <t xml:space="preserve">Pourcentage de professionnelles de sexe dépistées positives admises dans des services de soins durant la période de rapportage </t>
  </si>
  <si>
    <t xml:space="preserve">Pourcentage de UD dépistés positifs (y compris les UDI) admis dans des services de soins durant la période de rapportage </t>
  </si>
  <si>
    <t>Pourcentage de PVVIH et population clés bénéfciant d'assistance juridique et/ou judiciaire</t>
  </si>
  <si>
    <t xml:space="preserve">Pourcentage des Hommes âgés de 25 ans et plus dépistés pour le VIH et ayant reçu le résultat du test chaque année </t>
  </si>
  <si>
    <t xml:space="preserve">Données de routine PNLS </t>
  </si>
  <si>
    <t>Rapport annuel PNLT 2018</t>
  </si>
  <si>
    <t xml:space="preserve">Données de routine DIIS </t>
  </si>
  <si>
    <t>Alliance CI Routine data (Rapport annuel)</t>
  </si>
  <si>
    <t>Alliance Côte d'Ivoire Routine data (Rapport annuel)</t>
  </si>
  <si>
    <t>Alliance CI Routine data (Base de données)</t>
  </si>
  <si>
    <t>geographic Subnational, 100% of national program target</t>
  </si>
  <si>
    <t xml:space="preserve">Le taux de positivité projeté à partir des données de routine. Il est estimé à 1,4% (2021), 1,1% (2022) et 0,9% (2023).
Population à dépister est estimée à partir de la population totale. En fonction des données de routine et des stratégies qui seront mises en place, ce taux est fixé à 8,5% pour l'année 2020. De 2021 à 2023, le nombre de personnes à dépister à été identifier en rapportant la population totale sur les taux de positivité projeté. Ce qui donne 2 157 104 (2021), 1 939 428 (2022) et 1 765 568 (2023). 
Le nombre de nouvelles personnes dépistées séropositives est obtenu en faisant le rapport de nombre de clients dépisté pour le VIH sur les taux de positivité par an. Cela donne 30 199 (2021), 21 334 (2022) et 15 890 (2023). 
Le nombre de personnes à mettre sous traitement est estmé en considérant qu'on aura une déperdition de 5% en 2021, 4% en 2022 et 3% en 2023 du nombre de personnes dépistées séropositives. Cela donne 28 689 (2021), 20 480 (2022) et 15 413 (2023). 
Numerateur: Nombre de personnes nouvellement dépistées séropositives au VIH et mises sous ARV
Denominateur: Nombre de personnes nouvellement dépistées séropositives au VIH
Désagrégation par sexe et tranches d'âge
L'indicateur est cumulatif annullement. </t>
  </si>
  <si>
    <t>Selon les données de routine, la population carcérale augmente en moyenne 2500 détenus par an.  La taille de population a été projeté à 48 327 en 2021, 50 827 en 2022 et 53 327 en 2023. Il s'agit des nouveaux et des anciens detenus. Les nouveaux detenus représentent 60% de la population totale au cours de la période. 
Les cibles du PSN du dépistage en prison sont de  66% en 2021, 72% en 2022 et 78% en 2023 de la population totale en prison. 
Numérateur: Nombre de détenus dépistés au cours de la période 
Dénominateur: Population carcérale au cours de la période 
L'indicateur sera désagrégé par anciens + nouveaux detenus et nouveaux detenus   par sexe
L'indicateur est cumulatif annuellement</t>
  </si>
  <si>
    <t>Selon les cibles du PSN, le pourcentage de femmes enceintes qui connaissent leur statut sérologique à l'égard du VIH est estimé à 96% en 2021, 97% en 2022 et 98% en 2023
'Numérateur: Nombre de femmes enceintes dépistées pour le VIH et qui reçoivent le résultat du test + nombre de femmes enceintes reçu en CPN1 et se connaissant séropostives au VIH. Il est estimé à 1 034 792 en 2021,  1 052 368 en 2022 et  1 070 084 en 2023
Dénominateur: Nombre de grossesses attendues
Il est estimé à 1 077 908 en 2021,  1 084 915 en 2022 et  1 091 922 en 2023</t>
  </si>
  <si>
    <t>Selon les cibles du PSN, de couverture de mise sous traitement des femmes enceintes séropostives sont de  85% (14743/17345) en 2021, 87% (14438/16595) en 2022 et 90% (14244/15827) en 2023
 Numérateur: Nombre de femmes enceintes séropostives mises sous ARV
Cela donne 14 743 en 2021, 14 438 en 2022 et 14 244 en 2023
Dénominateur: Nombre total de femmes enceintes VIH+ estimé pour la période (Spectrum)
Les estimations spectrum sont de 17 345 en 2021, 16 595 en 2022 et 15 827 en 2023</t>
  </si>
  <si>
    <t>L'indicateur qui est renseigné avec les outils nationaux est  le pourcentage d'enfants nés de mères séropositives au VIH dépistés précocement (avant 2 mois)
Selon le PSN 2021-2025, 95% d'enfants nés de mère séropositives doivent bénéficier du dépistage précoce en 2025. En tenant compte de la donnée de base de 2019 (53%), les pourcentages d'enfants à dépister ont été interpolés. Ce qui donne 67% en 2021, 74% en 2022 et 81% en 2023. 
Numérateur: Nombre d'enfants nés de mère séropositives bénéficiant d’un dépistage précoce et qui reçoivent le résultat selon les directives nationales (2 mois)
Dénominateur:  Nombre estimé de femmes enceintes séropositives</t>
  </si>
  <si>
    <t>Selon les cibles du PSN 2021-2025, les pourcentages de personnes à mettre sous ARV sont de 72,3% en 2021, 76,9% en 2022 et 81,5% en 2023
Le numérateur est calculé en faisant la différence de la file active de l'année N et la file active de l'année N-1. Cette différence est divisée par 2. A cela on ajoute la file active de N-1
Numérateur: Nombre de personnes mises sous ARV selon les directives nationales (file active)
Dénominateur: Nombre estimé de personnes vivant avec le VIH (spectrum)</t>
  </si>
  <si>
    <t>Selon les cibles du PSN 20121-2025, les pourcentages de personnes adultes à mettre sous ARV sont de 73% en 2021, 78% en 2022 et 82% en 2023
Numérateur: Nombre de personnes adultes mises sous ARV selon les directives nationales (file active)
Dénominateur: Nombre estimé de personnes adultes vivant avec le VIH (spectrum)</t>
  </si>
  <si>
    <t xml:space="preserve">Selon les cibles du PSN 20121-2025, les pourcentages d'enfants moins de 15 ans à mettre sous ARV sont de 55,7% en 2021, 65,5% en 2022 et 75,3% en 2023
Numérateur: Nombre d'enfants de moins de 15 ans mises sous ARV selon les directives nationales (file active)
Dénominateur: Nombre estimé d'enfants de moins de 15 ans  vivant avec le VIH (spectrum)
</t>
  </si>
  <si>
    <t xml:space="preserve">Cet indicateur sera rapporté au niveau national. 
Selon spectrum, le nombre de PVVIH estimé est de 428 827. 
Selon le PSN, les couvertures de mises sous ARV sont de 72,3% en 2021, 76,9% en 2022 et 81,5% en 2023. En appliquant ces pourcentages aux PVVIH estimées, on obtient le nombre de personnes à mettre dans les soins qui est notre dénominateur. 
Partant des données de routine de 2019, selon PSN 2021-2025, ce sont 83% (2021), 88% (2022) et 92% (2023) de ceux qui sont dans les soins qui vont bénéficier de la recherche active de la tuberculose. 
'Numerateur: Nombre de personnes qui ont bénéficié de la recherche active de TB à la dernière visite 
Denominateur: Nombre total d'adultes et enfants qui ont reçu les soins dans l'établissement au cours du mois 
(Prendre le dernier mois de la période de rapportage pour le numérateur et le dénominateur)
</t>
  </si>
  <si>
    <t>Cet indicateur est rapporté par le Programme National de Lutte contre la Tuberculose (PNLT)
100% des patients doivent être testés pour le VIH. 
A ce jour, les formulaires du PNLT ne permettent pas d'avoir une désagrégation de cet indicateur selon l'âge et le sexe. Par contre la désagragation selon le résultat du test VIH sera disponible.</t>
  </si>
  <si>
    <t>L'indicateur sera renseigné à partir de DHIS2
Numérateur: Nombre de districts sanitaires qui ont transmis leur rapport à temps et complet selon les directives 
Dénominateur: Nombre de districts sanitaires</t>
  </si>
  <si>
    <t>Le résultat de 2019 pour Alliance Côte d'Ivoire indique que 4.153 HSH ont bénéficié d'au moins trois services de prévention par les pairs, sur un total estimé de 5.862 HSH, soit une couverture de 70,85% sur 683 lieux de rencontre. Ces données couvrent 17 districts de santé en 2019.
Pour le NFM3, Alliance Côte d'Ivoire couvre 24 districts avec au moins 200 HSH estimés. Le nombre total estimé des HSH est de 9062 en 2021, de 9297 en 2022 et de 9539 en 2023. La méthodologie d’estimation de la taille des HSH a été faite sur la base de la Note technique d'estimation de taille (voir rapport):
Ainsi dans ce rapport, les HSH représentent 0,53% des hommes âgés de 15 à 49 ans. Cette proportion a été appliquée à la taille de la population des hommes âgés de 15 à 49 ans dans chaque district et région afin d’estimer le nombre de HSH. 
Selon les projections du tableau des gaps programmatiques, les projections du pays sont de 60% en 2021, 70% en 2022 et 80% en 2023.
Compte tenu de la donnée de base au 31 décembre 2019 pour une couverture de 71%, l'objectif de la subvention NFM3 volet communautaire sera maintenu à 80% jusqu'en 2023. 
Alliance Côte d'Ivoire prévoit comme cible un objectif de 80% afin de s'aligner au tableau : 
2021 : 7250 = (9062*80%);
2022 : 7438 = (9297*80%); 
2023 : 7631 = (9539*80%).
Les pairs navigateurs réaliseront les activités de prévention combinée.
Dans le cadre de NFM 3, Alliance Côte d'Ivoire proposera un paquet de service minimum de prévention combinée :
1- Communication pour le changement social de comportement (CSC), 
2- Promotion et distribution de préservatifs et de gels lubrifiants à base d'eau, 
3- Conseil et dépistage classic avec rendu de résultat,
4- Auto-dépistage
5- Diagnostic et traitement des IST, 
6- La PreP
7- Lutte contre les violations des Droits Humains et de violence basée sur le genre (VBG), 
8- Soins et soutien aux HSH VIH positifs, 
9- Lutte contre la stigmatisation et la discrimination.
Dans le cadre du NFM3, chaque HSH bénéficiera d'au moins trois (3) services parmi les neuf (9) avant d'être comptabilisé comme ayant bénéficié d'un programme de prévention de lutte contre le sida (paquet defini de service).
Numérateur : nombre de HSH ayant bénéficié de programmes de prévention du VIH paquet de services définis durant la période
Dénominateur : nombre de HSH évalués sur les lieux de rencontre durant la période
Ventilé par : groupe d'âge - [15-19]; [20-24]; [25-34]; [35-49]; [50 ans et plus].
Outil de rapportage de l'indicateur au niveau d'Alliance Côte d'Ivoire:
- Pour le numérateur, il aura deux (2) outils: la base de données (l'onglet sur les activités de prévention) et le rapport narratif.
- Pour le dénominateur, il y aura la base de données (évaluation de la taille).</t>
  </si>
  <si>
    <t>Au termes de la subvention NFM2, le nombre estimé de TS dans les 17 districts de santé est de 9.491 sur un total de 1546 sites prostitutionnels. En 2019, 8.521 TS ont bénéficié d'au moins trois services de prévention par les pairs, soit une couverture de 90% (8521/9491).
Pour le NFM3, Alliance Côte d'Ivoire couvre 33 districts avec une taille estimée comprise entre 250 et 900 TS. Le nombre total estimé des TS est de 15275 en 2021, de 15672 en 2022 et de 16080 en 2023.
La méthodologie d’estimation de la taille des TS a été faite sur la base de la Note technique d'estimation de taille (voir rapport):
Ainsi dans ce rapport, les TS représentent 0,78% des femmes âgées de 15 à 49 ans. Cette proportion a été appliquée à la taille de la population des femmes âgées de 15 à 49 ans dans chaque district et région afin d’estimer le nombre de TS. 
Selon les projections du tableau des gaps programmatiques, les projections du pays sont de 83% en 2021, 86% en 2022 et 89% en 2023. 
Compte tenu de la donnée de référence au 31 décembre 2019 pour une couverture de 90%, l'objectif de la subvention NFM3 volet communautaire sera maintenu à 95% jusqu'en 2023.
Alliance Côte d'Ivoire se fixe les objectifs suivants pour le NFM3:
2021 : 14511 = (15275*95%)
2022 : 14889 = (15672*95%)
2023 : 15276 = (16080*95%)
Les pairs navigateurs réaliseront les activités de prévention combinée.
Dans le cadre de NFM 3, Alliance Côte d'Ivoire proposera un paquet de service minimum de prévention combinée :
1- Communication pour le changement social de comportement (CSC), 
2- Promotion et distribution de préservatifs et de gels lubrifiants à base d'eau, 
3- Conseil et dépistage classic avec rendu de résultat,
4- Auto-dépistage
5- Diagnostic et traitement des IST, 
6- La PreP
7- Lutte contre les violations des Droits Humains et de violence basée sur le genre (VBG), 
8- Soins et soutien aux TS VIH positives, 
9- Lutte contre la stigmatisation et la discrimination.
Dans le cadre du NFM3, chaque TS bénéficiera d'au moins trois (3) services parmi les neuf (9) avant d'être comptabilisée comme ayant bénéficié d'un programme de prévention de lutte contre le sida (paquet defini de service).
Numérateur : nombre de TS ayant bénéficié de programmes de prévention du VIH paquet de services définis durant la période
Dénominateur : nombre de TS évaluées sur les lieux de rencontre durant la période
Ventilé par : groupe d'âge - [15-19]; [20-24]; [25-34]; [35-49]; [50 ans et plus].
Outil de rapportage de l'indicateur au niveau d'Alliance Côte d'Ivoire:
- Pour le numérateur, il aura deux (2) outils: la base de données (l'onglet sur les activités de prévention) et le rapport narratif.
- Pour le dénominateur, il y aura la base de données (évaluation de la taille).</t>
  </si>
  <si>
    <t>Cet indicateur fait référence aux usagers qui consomment les drogues injectables notamment :
 - Heroïne (en language local : Pao) (en poudre pour fumer ou en injection), 
 - Cocaïne crack  (le Yô en language local) (fumée ou injectée)
 - Cocaïne (en language local : Free base)
 - TRAMADOL injectable (forme comprimée et injectable).
 - Toutes autres drogues consommées à la fois par voie orale, inhalée, ou injectée.
La méthodologie d’estimation de la taille des HSH a été faite sur la base de la Note technique d'estimation de taille (voir rapport) ;
Ainsi dans ce rapport, les UD représentent 0,24% de la population des hommes et des femmes âgés de 15 à 49 ans. Cette proportion a été appliquée à la taille de la population âgée de 15 à 49 ans dans chaque district et région afin d’estimer le nombre de UD.
Les données de base au 31 décembre 2019 indique une couverture à 56% (4587/8167) dans les fumoirs du grand Abidjan. 
En tenant compte de cette couverture (56%), l'objectif de la subvention NFM3 volet communautaire sera d’augmenter la couverture à au moins 80% des interventions en direction des usagers de drogue dans le grand Abidjan.
Selon les projections du tableau des gaps programmatiques, les projections du pays sont de 11% en 2021, 21% en 2022 et 31% en 2023.
En tenant compte de la donnée de base ramenée à 56%, Alliance Côte d'Ivoire prévoit comme objectif 60% en 2021, 70% en 2022 et 80% en 2023. 
2021: 8604*60% = 5162
2022: 8827*70% = 6179
2023: 9057*80% = 7246
N : Nombre de UD (y compris UDI qui s'injectent des drogues) ayant bénéficié de programmes de prévention du VIH paquet de services définis durant la période
D : Nombre d’UD (y compris UDI) évalués sur les sites de consommation durant la période
Ventilé par : groupes d'âge - [15-19] ; [20-24]; [25-34]; [35-49]; [50 ans et plus] et par sexe (Masculin, Feminin)
Outil de rapportage de l'indicateur au niveau d'Alliance Côte d'Ivoire:
- Pour le numérateur, il aura deux (2) outils: la base de données (l'onglet sur les activités de prévention) et le rapport narratif.
- Pour le dénominateur, il y aura la base de données (évaluation de la taille).</t>
  </si>
  <si>
    <t>Le résultat de 2019 pour Alliance Côte d'Ivoire indique que 168.847 adolescentes et jeunes filles ont bénéficié d'au moins trois services de prévention par les pairs, sur un total estimé de 370.249 adolescentes et jeunes filles, soit une couverture de 45,6% dans 28 districts.
Pour le NFM3, Alliance Côte d’Ivoire couvre 50 districts sanitaires avec une population estimée par année de :
2021 :	         1 252 214 
2022 :	         1 284 772 
2023 :	         1 318 176 
La méthodologie d’estimation de la taille des adolescentes et jeunes filles âgées de 15 à 24 ans a été faite sur la base des données de l’Institut National de la Statistique (INS) selon les projections des données du Recensement Général de la Population et de l’Habitat de 2014, soit un taux d’accroissement démographique de 2,6%. A cette population, nous avons appliqué le taux de vulnérabilité selon le rapport d’UNICEF (rapport synthèse analyse de la vulnérabilité) qui indique 48,7% des adolescentes et jeunes femmes vulnérables (toute chose étant égale par ailleurs).
Ainsi, les tailles des adolescentes et jeunes femmes pouvant bénéficier de programmes préventifs de lutte contre le VIH (paquet de services définis) se définissent comme suite :
2021 :	         1 252 214*48,7% = 609 828
2022 :	         1 284 772*48,7% = 625 684
2023 :	         1 318 176*48,7% = 641 952
En tenant compte de la couverture (45,6%) au 31 décembre 2019 (données de base), les projections d’Alliance Côte d‘Ivoire sont de 50% en 2021, 50% en 2022 et 50% en 2023.
Alliance Côte d'Ivoire prévoit comme cible : 
2021 :	609 828*50% = 	304 914 
2022 :	625 684*50% =	312 842 
2023 :	641 952*50% =	320 976 
Dans le cadre de la mise en œuvre du NFM 3, Alliance Côte d’Ivoire proposera un paquet de service minimum de prévention combinée à chaque session :
1- Communication pour le changement social de comportement (CSC), 
2- Promotion et distribution de préservatifs
3- Conseil et dépistage classic avec rendu de résultat,
4- Diagnostic et traitement des IST, 
5- Lutte contre les violations des Droits Humains et de violence basée sur le genre (VBG), 
6- Soins et soutien aux Adolescentes et jeunes femmes vih positives, 
7- Planning familial et santé sexuelle et reproductive santé,
8- L'approche READY. 
Chaque adolescente et jeune femme bénéficiera d’au moins trois (3) services parmis les huit (8) cités ci-dessus avant d'être comptabilisée comme ayant bénéficié d'un programme de prévention de lutte contre le sida (paquet defini de service).
L'approche READY est un regroupement de plusieurs services donc, une adolescente et jeune femme ayant seulement bénéficié de l'approche READY sera comptabilisée. L'approche READY sera mise en oeuvre dans 30 districts parmis les 50.
Outils: Base de données et rapport narratif.
Numérateur : nombre d’adolescentes et jeunes femmes ayant bénéficié de programmes de prévention du VIH paquet de services définis durant la période
Dénominateur : nombre d’adolescentes et jeunes femmes estimées durant la période
Ventilé par : groupe d'âge - [15-19]; [20-24]</t>
  </si>
  <si>
    <t>Les données de routine d'Alliance Côte d'Ivoire au 31 décembre 2019 indique un taux de positivité global de 4% chez les HSH bénéficiant de programmes de prévention paquets définis de service.
Les données de routine d'Alliance Côte d'Ivoire indique un taux d'enrôlement de 100% dans les soins.
Les projections sur les trois années 2021, 2022 et 2023 s'aligneront sur les données de populations estimées des HSH dans les zones d'Alliance Côte d'Ivoire respectivement 6266, 6429 et 6596.
Le taux de dépistage des données de routine d'Alliance Côte d'Ivoire au 31 décembre est de 88,9% (4153/4693). 
Dans le cadre du NFM3, Alliance Côte d'Ivoire maintiendra le taux de dépistage à 90%.
2021: 6525 = (9062*80%)*90%
2022: 6694 = (9297*80%)*90%
2023: 6868 = (9539*80%)*90%
Nous allons maintenir le taux de positivité de 4% chez les HSH pour l'année 2021, 2022 et 2023. Ainsi, les HSH dépistés positifs attendus sont:
2021: 261 = (6525*4%)
2022: 268 = (6694*4%)
2023: 275 = (6868*4%)
En tenant compte de la couverture (100%) au 31 décembre 2019 (données de base), les projections d’Alliance Côte d‘Ivoire seront maintenues à 100% jusqu'en 2023.
Alliance Côte d'Ivoire prévoit comme cible : 
2021: 261 = (261*100%)
2022: 268 = (268*100%)
2023: 275 = (275*100%)
N: Nombre de HSH nouvellement dépistés positifs au VIH au cours de la période de rapportage et admis dans des services de soins.
D: Nombre de HSH nouvellement dépistés positifs au cours de la période de rapportage    
Ventilé par : groupe d'âge - [15-19]; [20-24]; [25-34]; [35-49]; [50 ans et plus]</t>
  </si>
  <si>
    <t>Les données de routine d'Alliance Côte d'Ivoire au 31 décembre 2019 indique un taux de positivité global de 5% chez les TS bénéficiant de programmes de prévention paquets définis de service.
Les données de routine d'Alliance Côte d'Ivoire indique un taux d'enrôlement de 99,27% dans les soins.
Les projections sur les trois années 2021, 2022 et 2023 s'aligneront sur les données de populations estimées des TS dans les zones d'Alliance Côte d'Ivoire respectivement 15275, 15672 et 16080.
Le taux de dépistage des données de routine d'Alliance Côte d'Ivoire au 31 décembre est de 90% (8521/9491). 
Dans le cadre du NFM3, Alliance Côte d'Ivoire maintiendra le taux de dépistage à 90%.
2021 : 13060 = (15275*95%)*90%
2022 : 13400 = (15672*95%)*90%
2023 : 13748 = (16080*95%)*90%
Nous allons maintenir le taux de positivité de 5% chez les TS pour l'année 2021, 2022 et 2023. Ainsi, les TS dépistées positives attendues sont:
2021: 653 = (13060*5%)
2022: 670 = (13400*5%)
2023: 687 = (13748*5%)
En tenant compte de la couverture (99,27%) au 31 décembre 2019 (données de base), les projections d’Alliance Côte d‘Ivoire seront maintenues à 100% jusqu'en 2023.
Alliance Côte d'Ivoire prévoit comme cible : 
2021: 653 = (653*100%)
2022: 670 = (670*100%)
2023: 687 = (687*100%)
N: Nombre de TS nouvellement dépistées positives au VIH au cours de la période de rapportage et admis dans les soins
D: Nombre de TS nouvellement dépistées positives au cours de la période de rapportage    
Ventilé par : groupe d'âge - [15-19]; [20-24]; [25-34]; [35-49]; [50 ans et plus]</t>
  </si>
  <si>
    <t>Les données de routine d’Alliance Côte d’Ivoire au 31 décembre 2019 indique un taux de positivité global de 1,6% chez les UD bénéficiant de programmes de prévention paquet définis de service.
Les données de routine d’Alliance Côte d’Ivoire indique un taux d’enrôlement dans les soins de 98,65%.
Les projections sur les trois (3) années 2021, 2022 et 2023 s’aligneront sur les données estimées des UD dans le grand Abidjan. 
2021: 8604
2022: 8827
2023: 9057.
Le taux de dépistage des données de routine d'Alliance Côte d'Ivoire au 31 décembre est de 100% (4587/4587). 
2021: 8604 = (8604*100%)
2022: 8827 = (8827*100%)
2023: 9057.= (9057*100%)
Nous allons maintenir le taux de positivité de 1,6% chez les UD pour les trois années (2021, 2022 et 2023).
Ainsi, les UD dépistés positifs attendus sont:
2021: 138 = (8604*1,6%)
2022: 141 = (8827*1,6%)
2023: 145 = (9057*1,6%)
En tenant compte de la couverture (98,65%) au 31 décembre 2019 (données de base), les projections d’Alliance Côte d‘Ivoire seront maintenues à 100% jusqu'en 2023.
Alliance Côte d'Ivoire prévoit comme cible : 
2021: 138 = (138*100%)
2022: 141 = (141*100%)
2023: 145 = (145*100%)
N: Nombre de UD nouvellement dépistés positifs au VIH au cours de la période de rapportage et admis dans les soins
D: Nombre de UD nouvellement dépistés positifs au cours de la période de rapportage    
Ventilé par : groupe d'âge - [15-19]; [20-24]; [25-34]; [35-49]; [50 ans et plus] et plus] et par sexe (Masculin, Féminin)</t>
  </si>
  <si>
    <t>Selon les données de routine d'Alliance Côte d'Ivoire 2019, 197 cas présumés de violence ou de violation des droits humains ont été rapportés sur les 39 districts pour une population estimée de 9 millions d’habitants, soit 0,002%. 
Pour le NFM3, Alliance Côte d’Ivoire couvre 86 districts sanitaires avec une population estimée par année de :
2021 :                      27 183 326   
2022 :                      27 890 093   
2023 :                       28 615 235   
La méthodologie d’estimation de la taille des cas présumés de violence ou de violation des droits humains a été faite en appliquant le taux de 0,002% à la population estimée.
2021 : 27 183 326*0,002% =  576   
2022 : 27 890 093*0,002% =  591   
2023 : 28 615 235*0,002% =  607   
Au niveau des cas présumés de violence ou de violation des droits humains, selon les données de routine 2019, on note que 82% (161/197) ont été validés (NB : Un cas validé est un cas présumé de violence ou de violation des droits humains en lien de causalité entre le dommage subi et la stigmatisation et la discrimination). 
Cette proportion issue de nos données de routine (2019) a permis d’estimer l’effectif des cas validés d’année en année. Soit :
2021 :  576*82% = 473 
2022 :  591*82% = 485 
2023 :  607*82% = 497 
Relativement à la couverture de 23,6% des cas notifiés (38/161) au 31 décembre 2019 (données de base), les projections dans les 86 districts pour le compte du NFM3 d’Alliance Côte d‘Ivoire concernant les PVVIH et population clés bénéficiant d'assistance juridique et judiciaire seront maintenues à 23,6% des cas notifiés chaque année (de 2021 à 2023).
Ainsi, les cibles ci-dessous ont été obtenues : 
             2021 : 	                 473*23,6% =  112 
             2022 : 	                 485*23,6% =  114 
             2023 : 	                 497*23,6% =  117 
N : nombre de PVVIH et population clés bénéficiant d'assistance juridique et judiciaire
D : Nombre de cas validés (Les cas validés sont définis comme tout cas présumé en lien de causalité entre le dommage subi et la stigmation et la discrimination).</t>
  </si>
  <si>
    <t>Le résultat de 2019 pour Alliance Côte d'Ivoire indique que 64.820 hommes de 25 ans et plus ont été dépistés pour le VIH et ont reçu le résultat sur un total estimé de 307.147 Hommes de 25 ans et plus, soit une couverture de 21,1% dans les 28 districts.
L’analyse des gaps programmatiques dans les 50 districts couverts par le NFM3 a montré qu’il y a 17 districts avec un gap au 1er 90 supérieur à 30%.
Par ailleurs selon l'analyse des gaps pour le 1er 90 en 2019, 26% des PVVIH Hommes adultes ne connaissent pas leur statut sérologique.
Ainsi, ce taux a été appliqué à la population estimée des hommes de 25 ans et plus au niveau des 17 districts (Données de population, projection INS) afin de déterminer la base des hommes de 25 ans et plus à toucher pour le dépistage.
Ce qui donne :
2021 : 232 792 = (895 355*26%)
2022 : 238 845 = (918 634*26%)
2023 : 245 055 = (942 519*26%)
Selon les projections du PSN 2021-2015 (Cadre de performance), les projections du pays sont de 15% en 2021, 19% en 2022 et 23% en 2023.
Au regard des données de routine, notre couverture au 31 décembre 2019 (données de base), chez les hommes de 25 ans et plus est de 21,1% (64.820/307.147). 
En tenant compte des deux (2) stratégies qui seront devéloppées (les Campagnes multi-maladies dans les entreprises et les activités de proximité couplée au dépistage) en direction des hommes de 25 ans et plus, les projections d’Alliance Côte d‘Ivoire seront maintenues à 30% de 2021 à 2023. 
Pour déterminer les hommes de 25 ans et plus conseillés et dépistés pour le VIH ayant reçu le résultat du test, Alliance Côte d'Ivoire prévoit comme cible : 
2021 : 69 838 (232 792*30%)
2022 : 71 653 (238 845*30%)
2023 : 73 516 (245 055*30%)
Outils : La base de données et le rapport narratif
N : Nombre d’Hommes de 25 ans et plus dépistés pour le VIH et ayant reçu le résultat du test chaque année
D : Nombre d'Hommes de 25 ans et plus estimés (projection INS de chaque année)
Désagrégation :  tranche d'âge [25-34] ans et [35-49] ans et [50 ans et plus[</t>
  </si>
  <si>
    <t>Percentage of health districts that submitted their reports on time (Completeness ≥ 95% and Promptitude ≥ 85%.) according to national guidelines</t>
  </si>
  <si>
    <t>KP-1d (M) Other 1: Percentage of drug users (including injectors) who have benefited from preventive HIV programs (Package of defined services)</t>
  </si>
  <si>
    <t>Percentage of MSM screened positive admitted to care services during the reporting period</t>
  </si>
  <si>
    <t>Percentage of positive sex workers admitted to care services during the reporting period</t>
  </si>
  <si>
    <t>Percentage of DUs screened positive (including IDUs) admitted to care services during the reporting period</t>
  </si>
  <si>
    <t>Percentage of PLHIV and key population receiving legal and judicial assistance</t>
  </si>
  <si>
    <t>Percentage of men aged 25 and over screened for HIV who received the test result each year</t>
  </si>
  <si>
    <t>PNLT 2018 annual report</t>
  </si>
  <si>
    <t>DIIS routine data</t>
  </si>
  <si>
    <t>Alliance CI Routine data (Annual report)</t>
  </si>
  <si>
    <t>The projected positivity rate from routine data is estimated at 1.4% (2021), 1.1% (2022) and 0.9% (2023).
Population to be screened is estimated from the total population. Depending on the routine data and the strategies that will be implemented, this rate is set at 8.5% in 2020. From 2021 to 2023, the number of people to be screened is given by the total population over the projected positivity rate. This gives 2,157,104 (2021), 1,939,428 (2022) and 1,765,568 (2023).
The number of new people screened for HIV is obtained by reporting the number of clients screened for HIV over positivity rates per year. This gives 30,199 (2021), 21,334 (2022) and 15,890 (2023).
The number of people to be put on treatment is considering a loss of 5% in 2021, 4% in 2022 and 3% in 2023 of the number of people tested HIV positive. This gives 28,689 (2021), 20,480 (2022) and 15,413 (2023).
Numerator: Number of people newly tested HIV positive and started on ARVs
Denominator: Number of people newly tested HIV positive
Disaggregation by sex and age groups
The indicator is cumulative annually.</t>
  </si>
  <si>
    <t>According to routine data, the prison population increases by on average 2,500 prisoners per year. The population size was projected at 48,327 in 2021, 50,827 in 2022 and 53,327 in 2023. These are new and former inmates. New detainees represent 60% of the total population during the period.
The NSP targets for prison screening are 66% in 2021, 72% in 2022 and 78% in 2023 of the total prison population.
Numerator: Number of inmates screened during the period
Denominator: Prison population during the period
The indicator will be disaggregated by old + new prisoners and new prisoners by sex
The indicator is cumulative annually</t>
  </si>
  <si>
    <t>According to the NSP targets, the percentage of pregnant women who know their HIV status is estimated to be 96% in 2021, 97% in 2022 and 98% in 2023
Numerator: Number of pregnant women screened for HIV who receive the test result + number of pregnant women received in CPN1 and who know they are HIV positive. It is estimated at 1,034,792 in 2021, 1,052,368 in 2022 and 1,070,084 in 2023
Denominator: Number of expected pregnancies
It is estimated at 1,077,908 in 2021, 1,084,915 in 2022 and 1,091,922 in 2023.</t>
  </si>
  <si>
    <t>According to the NSP targets, treatment coverage for HIV-positive pregnant women is 85% (14,743/17,345) in 2021, 87% (14,438/16,595) in 2022 and 90% (14,244/15,827) in 2023.
Numerator: Number of HIV-positive pregnant women on ARVs
This gives 14,743 in 2021, 14,438 in 2022 and 14,244 in 2023.
Denominator: Total number of HIV + pregnant women estimated for the period (Spectrum).
Spectrum estimates are 17,345 in 2021, 16,595 in 2022 and 15,827 in 2023.</t>
  </si>
  <si>
    <t>The indicator that is populated with the data from the national databases is the percentage of children born to HIV-positive mothers screened early (before 2 months).
According to the 2021-2025 NSP, 95% of children born to HIV-positive mothers must benefit from early detection in 2025. Taking into account the basic data for 2019 (53%), the percentages of children to be screened are 67% in 2021, 74% in 2022 and 81% in 2023.
Numerator: Number of children born to HIV positive mothers receiving early detection and who receive the result according to national guidelines (2 months).
Denominator: Estimated number of pregnant women with HIV.</t>
  </si>
  <si>
    <t>According to the targets of the 2021-2025 NSP, the percentages of people to be put on ARVs are 72.3% in 2021, 76.9% in 2022 and 81.5% in 2023
The numerator is calculated by making the difference between the active file for year N and the active file for year N-1. This difference is divided by 2. To this we add the active file of N-1.
Numerator: Number of people on ARVs according to national guidelines (active file).
Denominator: Estimated number of people living with HIV (spectrum).</t>
  </si>
  <si>
    <t>According to the targets of the 2021-2025 NSP, the percentages of adults to be put on ARVs are 73% in 2021, 78% in 2022 and 82% in 2023
Numerator: Number of adults put on ARVs according to national guidelines (active file).
Denominator: Estimated number of adults living with HIV (spectrum).</t>
  </si>
  <si>
    <t>According to the targets of the 2021-2025 NSP, the percentages of children under 15 years of age on ART are 55.7% in 2021, 65.5% in 2022 and 75.3% in 2023
Numerator: Number of children under 15 years of age on ARVs according to national guidelines (active file).
Denominator: Estimated number of children under 15 living with HIV (spectrum).</t>
  </si>
  <si>
    <t>This indicator will be reported at the national level.
According to spectrum, the estimated number of PLWHIV is 428,827.
According to the HSP, ARV coverage is 72.3% in 2021, 76.9% in 2022 and 81.5% in 2023. By applying these percentages to the estimated PLWHA, we obtain the number of people to be put in the care which is our denominator.
Based on routine data from 2019, according to 2021-2025 NSP, 83% (2021), 88% (2022) and 92% (2023) of those in care will benefit from active tuberculosis research .
Numerator: Number of people who benefited from active TB research at the last visit.
Denominator: Total number of adults and children who received care in the facility during the month.
(Take the last month of the reporting period for the numerator and denominator).</t>
  </si>
  <si>
    <t>This indicator is reported by the National Tuberculosis Control Program (PNLT)
100% of patients should be tested for HIV.
To date, the PNLT forms do not allow disaggregation of this indicator by age and sex. However, the disintegration from the result of the HIV test will be available.</t>
  </si>
  <si>
    <t>The indicator will be populated from DHIS2
Numerator: Number of health districts that submitted their reports on time and in full as directed
Denominator: Number of health districts</t>
  </si>
  <si>
    <t>The 2019 results for Alliance Côte d'Ivoire indicate that 4,153 MSM have benefited from at least three peer prevention services, out of an estimated total of 5,862 MSM, representing 70.85% coverage in 683 meeting places. These data cover 17 health districts in 2019.
For NFM3, Alliance Côte d'Ivoire will cover 24 districts with at least 200 MSM estimated. The total estimated number of MSM is 9,062 in 2021, 9,297 in 2022 and 9,539 in 2023. The methodology for estimating the size of MSM population was made on the basis of the Technical Note for Size Estimation (see report ):
In this report, MSM represent 0.53% of men aged 15 to 49 years. This proportion was applied to the size of the population of men aged 15 to 49 in each district and region to estimate the number of MSM.
According to the projections in the table of program gaps, the country's projections are 60% in 2021, 70% in 2022 and 80% in 2023.
Given the basic data as of December 31, 2019 for coverage of 71%, the NFM3 objective for the community component will be maintained at 80% until 2023.
Alliance Côte d'Ivoire plans to target 80% in order to align with the below table:
2021: 7250 = (9062 * 80%);
2022: 7438 = (9297 * 80%);
2023: 7631 = (9539 * 80%).
The peer navigators will carry out the combined prevention activities.
As part of NFM 3, Alliance Côte d'Ivoire will offer a minimum combined prevention service package:
1- Communication for social behavior change (CSC),
2- Promotion and distribution of condoms and lubricating gels based on water,
3- Classic advice and screening with result reporting,
4- Self-screening
5- Diagnosis and treatment of STIs,
6- PreP
7- Fight against human rights violations and gender-based violence (GBV),
8- Care and support for HIV positive MSM,
9- Fight against stigma and discrimination.
Under the NFM3, each MSM will benefit from at least three (3) of the nine (9) services before being counted as having benefited from an AIDS prevention program (defined service package).
Numerator: number of MSM who have benefited from HIV prevention programs service package defined during the period
Denominator: number of MSM assessed at meeting places during the period
Breakdown by: age group - [15-19]; [20-24]; [25-34]; [35-49]; [50 and over].
Reporting tool for the indicator at Alliance Côte d'Ivoire level:
- For the numerator, it will have two (2) tools: the database (the tab on prevention activities) and the narrative report.
- For the denominator, there will be the database (size assessment).</t>
  </si>
  <si>
    <t>Under the NFM2, the estimated number of SW in the 17 health districts is 9,491 out of a total of 1,546 prostitution sites. In 2019, 8,521 SW benefited from at least three peer prevention services, i.e. 90% coverage (8521/9491).
For NFM3, Alliance Côte d'Ivoire will cover 33 districts with an estimated size between 250 and 900 SW. The total estimated number of SW is 15,275 in 2021, 15,672 in 2022 and 16,080 in 2023.
The methodology for estimating the size of the SW was made on the basis of the Technical Note for Size Estimation (see report):
In this report, SW represent 0.78% of women aged 15 to 49. This proportion was applied to the size of the population of women aged 15 to 49 in each district and region to estimate the number of SWs.
According to the projections in the table of program gaps, the country projections are 83% in 2021, 86% in 2022 and 89% in 2023.
Given the baseline data as of December 31, 2019 for 90% coverage, the NFM3 objective for the community component will be maintained at 95% until 2023.
Alliance Côte d'Ivoire has set the following objectives for NFM3:
2021: 14511 = (15275 * 95%)
2022: 14889 = (15672 * 95%)
2023: 15276 = (16080 * 95%)
The peer navigators will carry out the combined prevention activities.
As part of NFM 3, Alliance Côte d'Ivoire will offer a minimum combined prevention service package:
1- Communication for social behavior change (CSC),
2- Promotion and distribution of condoms and lubricating gels based on water,
3- Classic advice and screening with result reporting,
4- Self-screening
5- Diagnosis and treatment of STIs,
6- PreP
7- Fight against human rights violations and gender-based violence (GBV),
8- Care and support for HIV positive TS,
9- Fight against stigma and discrimination.
Under the NFM3, each SW will benefit from at least three (3) of the nine (9) services before being counted as having benefited from an AIDS prevention program (defined service package).
Numerator: number of SWs who benefited from HIV prevention programs package of services defined during the period
Denominator: number of SWs assessed at meeting places during the period
Breakdown by: age group - [15-19]; [20-24]; [25-34]; [35-49]; [50 and over].
Reporting tool for the indicator at Alliance Côte d'Ivoire level:
- For the numerator, it will have two (2) tools: the database (the tab on prevention activities) and the narrative report.
- For the denominator, there will be the database (size assessment).</t>
  </si>
  <si>
    <t>This indicator refers to users who use injection drugs, in particular:
 - Heroin (in local language: Pao) (powder for smoking or injection),
 - Cocaine crack (Yô in local language) (smoke or injected)
 - Cocaine (in local language: Free base)
 - TRAMADOL injectable (compressed and injectable form).
 - All other drugs consumed at the same time orally, inhaled, or injected.
The methodology for estimating the size of MSM was done on the basis of the Technical Note for Size Estimation (see report);
In this report, DUs represent 0.24% of the population of men and women aged 15 to 49. This proportion was applied to the size of the population aged 15 to 49 in each district and region in order to estimate the number of DUs.
The basic data as of December 31, 2019 indicates a 56% coverage (4587/8167) in the smokehouses of greater Abidjan.
Taking into account this coverage (56%), the objective of the NFM3 community component will be to increase coverage to at least 80% of interventions directed at drug users in greater Abidjan.
According to the projections in the table of programmatic gaps, the country projections are 11% in 2021, 21% in 2022 and 31% in 2023.
Taking into account the basic data reduced to 56%, Alliance Côte d'Ivoire plans to target 60% in 2021, 70% in 2022 and 80% in 2023.
2021: 8604 * 60% = 5162
2022: 8827 * 70% = 6179
2023: 9057 * 80% = 7246
N: Number of IDUs (including IDUs who inject drugs) having benefited from HIV prevention programs service package defined during the period
D: Number of DUs (including IDU) assessed on consumption sites during the period
Breakdown by: age groups - [15-19]; [20-24]; [25-34]; [35-49]; [50 years and over] and by sex (Male, Female)
Reporting tool for the indicator at Alliance Côte d'Ivoire level:
- For the numerator, it will have two (2) tools: the database (the tab on prevention activities) and the narrative report.
- For the denominator, there will be the database (size assessment).</t>
  </si>
  <si>
    <t>The 2019 result for Alliance Côte d'Ivoire indicates that 168,847 adolescent girls and young women benefited from at least three peer prevention services, out of an estimated total of 370,249 adolescent girls and young women, representing 45.6% coverage in 28 districts.
For NFM3, Alliance Côte d´Ivoire will cover 50 health districts with an estimated population per year of:
2021: 1,252,214
2022: 1 284 772
2023: 1 318 176
The methodology for estimating the size of adolescent girls and young women aged 15 to 24 was made on the basis of data from the National Institute of Statistics (NIS) according to projections from data from the 2014 General Population and Habitat Census, representing a population growth rate of 2.6%. To this population, we applied the vulnerability rate according to the UNICEF report (vulnerability analysis summary report) which indicates 48.7% of adolescent girls and young vulnerable women (all things being equal).
Thus, the sizes of adolescent girls and young women who can benefit from preventive HIV programs (defined service package) are defined as follows:
2021: 1,252,214 * 48.7% = 609,828
2022: 1,284,772 * 48.7% = 625,684
2023: 1,318,176 * 48.7% = 641,952
Taking into account the coverage (45.6%) as of December 31, 2019 (basic data), the projections for Alliance Côte d‘Ivoire are 50% in 2021, 50% in 2022 and 50% in 2023.
Alliance Côte d'Ivoire plans to target:
2021: 609,828 * 50% = 304,914
2022: 625,684 * 50% = 312,842
2023: 641,952 * 50% = 320,976
As part of the implementation of NFM 3, Alliance Côte d´Ivoire will offer a minimum prevention service package combined at each session:
1- Communication for social behavior change (CSC),
2- Promotion and distribution of condoms
3- Classic advice and screening with result reporting,
4- Diagnosis and treatment of STIs,
5- Fight against human rights violations and gender-based violence (GBV),
6- Care and support for Adolescents and young women who are HIV positive,
7- Family planning and sexual and reproductive health,
8- The READY approach.
Each adolescent and young woman will benefit from at least three (3) services among the eight (8) mentioned above before being counted as having benefited from an AIDS prevention program (defined service package) ..
The READY approach is a grouping of several services therefore, a teenager and young woman who has only benefited from the READY approach will be counted. The READY approach will be implemented in 30 districts among the 50.
Tools: Database and narrative report.
Numerator: number of adolescent girls and young women who have benefited from HIV prevention programs package of services defined during the period
Denominator: number of adolescent girls and young women estimated during the period
Breakdown by: age group - [15-19]; [20-24]</t>
  </si>
  <si>
    <t xml:space="preserve">The routine data from Alliance Côte d'Ivoire as of December 31, 2019 indicate an overall positivity rate of 4% in MSM benefiting from defined package service prevention programs.
Routine data from Alliance Côte d'Ivoire indicate a 100% enrollment rate in care.
The projections for the three years: 2021, 2022 and 2023, will be aligned with data on estimated MSM populations in the areas covered by Alliance Côte d'Ivoire: 6266, 6429 and 6596 respectively.
The screening rate for routine data from Alliance Côte d'Ivoire as of December 31 was 88.9% (4153/4693).
Under the NFM3, Alliance Côte d'Ivoire will maintain the screening rate at 90%.
2021: 6525 = (9062 * 80%) * 90%
2022: 6694 = (9297 * 80%) * 90%
2023: 6868 = (9539 * 80%) * 90%
We will maintain the positivity rate of 4% among MSM for the year 2021, 2022 and 2023. Thus, the expected positive MSMs are:
2021: 261 = (6525 * 4%)
2022: 268 = (6694 * 4%)
2023: 275 = (6868 * 4%)
Taking into account the coverage (100%) as of December 31, 2019 (basic data), the projections of Alliance Côte d‘Ivoire will be maintained at 100% until 2023.
Alliance Côte d'Ivoire plans to target:
2021: 261 = (261 * 100%)
2022: 268 = (268 * 100%)
2023: 275 = (275 * 100%)
N: Number of MSM newly tested positive for HIV during the reporting period and admitted to care services.
D: Number of MSM newly screened positive during the reporting period
Breakdown by: age group - [15-19]; [20-24]; [25-34]; [35-49]; [50 and over] </t>
  </si>
  <si>
    <t>Routine data from Alliance Côte d'Ivoire as of December 31, 2019 indicate an overall positivity rate of 5% in SWs benefiting from defined service package prevention programs.
Routine data from Alliance Côte d'Ivoire indicate a 99.27% enrollment rate in care.
The projections for the three years: 2021, 2022 and 2023, will be aligned with the estimated SW populations in the areas covered by Alliance Côte d'Ivoire: 15275, 15672 and 16080 respectively.
The screening rate for routine data from Alliance Côte d'Ivoire as of December 31 is 90% (8521/9491).
Under the NFM3, Alliance Côte d'Ivoire will maintain the screening rate at 90%.
2021: 13060 = (15275 * 95%) * 90%
2022: 13400 = (15672 * 95%) * 90%
2023: 13748 = (16080 * 95%) * 90%
We will maintain the positivity rate of 5% in the SWs for the year 2021, 2022 and 2023. Thus, the expected positive screened SWs are:
2021: 653 = (13060 * 5%)
2022: 670 = (13400 * 5%)
2023: 687 = (13748 * 5%)
Taking into account the coverage (99.27%) as of December 31, 2019 (basic data), the projections of Alliance Côte d‘Ivoire will be maintained at 100% until 2023.
Alliance Côte d'Ivoire plans to target:
2021: 653 = (653 * 100%)
2022: 670 = (670 * 100%)
2023: 687 = (687 * 100%)
N: Number of SWs newly tested positive for HIV during the reporting period and admitted to care
D: Number of SWs newly detected positive during the reporting period
Breakdown by: age group - [15-19]; [20-24]; [25-34]; [35-49]; [50 and over]</t>
  </si>
  <si>
    <t>Routine data from Alliance Côte d'Ivoire as of December 31, 2019 indicate an overall positivity rate of 1.6% among DUs benefiting from defined package service prevention programs.
Routine data from Alliance Côte d'Ivoire show a 98.65% enrollment rate in care.
Projections for the three (3) years 2021, 2022 and 2023 will align with the estimated DU data for Greater Abidjan.
2021: 8604
2022: 8827
2023: 9057.
The screening rate for routine data from Alliance Côte d'Ivoire as of December 31 is 100% (4587/4587).
2021: 8604 = (8604 * 100%)
2022: 8827 = (8827 * 100%)
2023: 9057. = (9057 * 100%)
We will maintain the positivity rate of 1.6% in DUs for the three years (2021, 2022 and 2023).
Thus, the expected positive DUs are:
2021: 138 = (8604 * 1.6%)
2022: 141 = (8827 * 1.6%)
2023: 145 = (9057 * 1.6%)
Taking into account the coverage (98.65%) as of December 31, 2019 (basic data), the projections of Alliance Côte d‘Ivoire will be maintained at 100% until 2023.
Alliance Côte d'Ivoire plans to target:
2021: 138 = (138 * 100%)
2022: 141 = (141 * 100%)
2023: 145 = (145 * 100%)
N: Number of DUs newly tested positive for HIV during the reporting period and admitted to care
D: Number of DUs newly screened positive during the reporting period
Breakdown by: age group - [15-19]; [20-24]; [25-34]; [35-49]; [50 and over] and over] and by gender (Male, Female)</t>
  </si>
  <si>
    <t>According to routine data from Alliance Côte d'Ivoire 2019, 197 suspected cases of violence or human rights violation have been reported in the 39 districts for an estimated population of 9 million, or 0.002%.
For NFM3, Alliance Côte d´Ivoire covers 86 health districts with an estimated population per year of:
2021: 27 183 326
2022: 27 890 093
2023: 28 615 235
The methodology for estimating the size of suspected cases of violence or human rights violation was made by applying the rate of 0.002% to the estimated population.
2021: 27,183,326 * 0.002% = 576
2022: 27 890 093 * 0.002% = 591
2023: 28,615,235 * 0.002% = 607
In terms of suspected cases of violence or human rights violation, according to routine data 2019, we note that 82% (161/197) have been validated (NB: A validated case is a suspected case of violence or violation of human rights in causation between the damage suffered and stigma and discrimination).
This outcome from our routine data (2019) made it possible to estimate the number of validated cases from year to year:
2021: 576 * 82% = 473
2022: 591 * 82% = 485
2023: 607 * 82% = 497
Relative to the coverage of 23.6% of the cases notified (38/161) as of December 31, 2019 (basic data), the projections in the 86 districts on behalf of the NFM3 of Alliance Côte d'Ivoire concerning PLHIV and key population benefiting from legal and judicial assistance will be maintained at 23.6% of cases notified each year (from 2021 to 2023).
Thus, the following targets were obtained:
2021: 473 * 23.6% = 112
2022: 485 * 23.6% = 114
2023: 497 * 23.6% = 117
N: number of PLHIV and key population members receiving legal and judicial assistance
D: Number of validated cases (Validated cases are defined as any case presumed to have a causal link between the damage suffered and stigma and discrimination).</t>
  </si>
  <si>
    <t xml:space="preserve">The 2019 results for Alliance Côte d'Ivoire indicate that 64,820 men aged 25 and over were screened for HIV and received the test results out of  the estimated total of 307,147 Men aged 25 and over, i.e. coverage of 21.1 % in the 28 districts.
Analysis of the programmatic gaps in the 50 districts which will be covered in NFM3 showed that there are 17 districts with a gap in the 1st 90 greater than 30%.
Furthermore, according to the gap analysis for the 1st 90 in 2019, 26% of PLWHIV adult men do not know their HIV status.
Thus, this rate was applied to the estimated population of men aged 25 and over at the level of the 17 districts (Population data, NIS projection) in order to determine the number of men aged 25 and over to be screened.
This gives :
2021: 232,792 = (895,355 * 26%)
2022: 238,845 = (918,634 * 26%)
2023: 245,055 = (942,519 * 26%)
According to the 2021-2015 NSP projections (Performance framework), the country's projections are 15% in 2021, 19% in 2022 and 23% in 2023.
In terms of routine data, our coverage as of December 31, 2019 (basic data), for men 25 years and over is 21.1% (64,820 / 307,147).
Taking into account the two (2) strategies that will be developed (Multi-disease campaigns in companies and local activities coupled with screening) targeting men aged 25 and over, Alliance Côte d'Ivoire's projections will be maintained at 30% from 2021 to 2023.
To determine the men aged 25 and over counseled and screened for HIV who received the test result, Alliance Côte d'Ivoire plans as a target:
2021: 69,838 (232,792 * 30%)
2022: 71 653 (238 845 * 30%)
2023: 73,516 (245,055 * 30%)
Tools: Database and narrative report
N: Number of men aged 25 and over screened for HIV who received the test result each year
D: Estimated number of men aged 25 and over (NIS projection for each year)
Disaggregation: age group [25-34] years and [35-49] years and [50 years and over </t>
  </si>
  <si>
    <t>To be added during grant making</t>
  </si>
  <si>
    <t>A ajouter lors du grant making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</si>
</sst>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_);_(* \(#,##0.0\);_(@_)"/>
    <numFmt numFmtId="165" formatCode="dd\.mm\.yyyy"/>
    <numFmt numFmtId="166" formatCode="_(* #,##0.00_);_(* \(#,##0.00\);_(@_)"/>
    <numFmt numFmtId="167" formatCode="_(* #,##0_);_(* \(#,##0\);_(@_)"/>
    <numFmt numFmtId="168" formatCode="#,##0.00%"/>
    <numFmt numFmtId="169" formatCode="#\'##0.00"/>
    <numFmt numFmtId="170" formatCode="[$-809]dd\ mmm\ yyyy;@"/>
    <numFmt numFmtId="171" formatCode="0.000000"/>
    <numFmt numFmtId="172" formatCode="_(* #,##0.0000_);_(* \(#,##0.0000\);_(@_)"/>
  </numFmts>
  <fonts count="74" x14ac:knownFonts="1">
    <font>
      <sz val="12"/>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0"/>
      <name val="Arial"/>
      <family val="2"/>
      <charset val="238"/>
    </font>
    <font>
      <sz val="12"/>
      <color theme="1"/>
      <name val="Calibri"/>
      <family val="2"/>
      <charset val="238"/>
      <scheme val="minor"/>
    </font>
    <font>
      <sz val="11"/>
      <name val="Calibri"/>
      <family val="2"/>
    </font>
    <font>
      <b/>
      <sz val="11"/>
      <name val="Calibri"/>
      <family val="2"/>
    </font>
    <font>
      <sz val="11"/>
      <name val="Calibri"/>
      <family val="2"/>
      <scheme val="minor"/>
    </font>
    <font>
      <u/>
      <sz val="11"/>
      <color rgb="FF000000"/>
      <name val="Calibri"/>
      <family val="2"/>
    </font>
    <font>
      <u/>
      <sz val="11"/>
      <color theme="10"/>
      <name val="Calibri"/>
      <family val="2"/>
      <scheme val="minor"/>
    </font>
    <font>
      <b/>
      <sz val="11"/>
      <name val="Calibri"/>
      <family val="2"/>
      <scheme val="minor"/>
    </font>
    <font>
      <sz val="11"/>
      <color rgb="FFFF0000"/>
      <name val="Calibri"/>
      <family val="2"/>
      <charset val="238"/>
      <scheme val="minor"/>
    </font>
    <font>
      <sz val="11"/>
      <color rgb="FFFF0000"/>
      <name val="Calibri"/>
      <family val="2"/>
      <scheme val="minor"/>
    </font>
    <font>
      <u/>
      <sz val="11"/>
      <color theme="4" tint="-0.249977111117893"/>
      <name val="Calibri"/>
      <family val="2"/>
      <scheme val="minor"/>
    </font>
    <font>
      <sz val="7"/>
      <color rgb="FF000000"/>
      <name val="Calibri"/>
      <family val="2"/>
      <scheme val="minor"/>
    </font>
    <font>
      <sz val="11"/>
      <name val="Symbol"/>
      <family val="1"/>
      <charset val="2"/>
    </font>
    <font>
      <sz val="7"/>
      <name val="Times New Roman"/>
      <family val="1"/>
    </font>
    <font>
      <sz val="22"/>
      <color theme="1"/>
      <name val="Calibri"/>
      <family val="2"/>
      <scheme val="minor"/>
    </font>
    <font>
      <sz val="14"/>
      <color theme="0"/>
      <name val="Arial"/>
      <family val="2"/>
    </font>
    <font>
      <b/>
      <sz val="12"/>
      <color rgb="FFFF0000"/>
      <name val="Calibri"/>
      <family val="2"/>
      <scheme val="minor"/>
    </font>
    <font>
      <sz val="12"/>
      <color theme="1"/>
      <name val="Calibri"/>
      <family val="2"/>
    </font>
  </fonts>
  <fills count="2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rgb="FFD9E2F3"/>
        <bgColor indexed="64"/>
      </patternFill>
    </fill>
    <fill>
      <patternFill patternType="solid">
        <fgColor theme="0"/>
        <bgColor theme="0"/>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9" tint="0.79998168889431442"/>
        <bgColor indexed="64"/>
      </patternFill>
    </fill>
  </fills>
  <borders count="120">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right/>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thin">
        <color theme="4" tint="-0.24994659260841701"/>
      </left>
      <right/>
      <top style="thin">
        <color theme="4" tint="-0.24994659260841701"/>
      </top>
      <bottom/>
      <diagonal/>
    </border>
    <border>
      <left style="medium">
        <color theme="4" tint="-0.24994659260841701"/>
      </left>
      <right style="hair">
        <color rgb="FF00B0F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rgb="FFFFFFFF"/>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hair">
        <color rgb="FF00B0F0"/>
      </left>
      <right/>
      <top style="medium">
        <color theme="4" tint="-0.24994659260841701"/>
      </top>
      <bottom style="thin">
        <color theme="4" tint="-0.24994659260841701"/>
      </bottom>
      <diagonal/>
    </border>
    <border>
      <left/>
      <right style="hair">
        <color rgb="FF00B0F0"/>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indexed="64"/>
      </right>
      <top/>
      <bottom/>
      <diagonal/>
    </border>
    <border>
      <left style="medium">
        <color auto="1"/>
      </left>
      <right/>
      <top/>
      <bottom style="medium">
        <color theme="4" tint="-0.24994659260841701"/>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medium">
        <color theme="4" tint="-0.24994659260841701"/>
      </left>
      <right/>
      <top/>
      <bottom style="thin">
        <color indexed="64"/>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indexed="64"/>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medium">
        <color auto="1"/>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right style="thin">
        <color theme="4" tint="-0.24994659260841701"/>
      </right>
      <top style="medium">
        <color theme="4" tint="-0.24994659260841701"/>
      </top>
      <bottom/>
      <diagonal/>
    </border>
    <border>
      <left/>
      <right style="hair">
        <color theme="8"/>
      </right>
      <top/>
      <bottom/>
      <diagonal/>
    </border>
    <border>
      <left style="hair">
        <color auto="1"/>
      </left>
      <right style="hair">
        <color indexed="64"/>
      </right>
      <top style="hair">
        <color auto="1"/>
      </top>
      <bottom style="hair">
        <color indexed="64"/>
      </bottom>
      <diagonal/>
    </border>
    <border>
      <left style="thin">
        <color indexed="64"/>
      </left>
      <right style="thin">
        <color indexed="64"/>
      </right>
      <top/>
      <bottom/>
      <diagonal/>
    </border>
  </borders>
  <cellStyleXfs count="12">
    <xf numFmtId="0" fontId="0" fillId="0" borderId="0"/>
    <xf numFmtId="0" fontId="9" fillId="0" borderId="0" applyNumberFormat="0" applyFill="0" applyBorder="0" applyAlignment="0" applyProtection="0"/>
    <xf numFmtId="0" fontId="10" fillId="0" borderId="0"/>
    <xf numFmtId="0" fontId="8" fillId="0" borderId="0"/>
    <xf numFmtId="0" fontId="39" fillId="0" borderId="0"/>
    <xf numFmtId="0" fontId="9" fillId="0" borderId="0" applyNumberFormat="0" applyFill="0" applyBorder="0" applyAlignment="0" applyProtection="0"/>
    <xf numFmtId="0" fontId="7" fillId="0" borderId="0"/>
    <xf numFmtId="0" fontId="6" fillId="0" borderId="0"/>
    <xf numFmtId="0" fontId="6" fillId="0" borderId="0"/>
    <xf numFmtId="0" fontId="5" fillId="0" borderId="0"/>
    <xf numFmtId="0" fontId="2" fillId="0" borderId="0"/>
    <xf numFmtId="0" fontId="6" fillId="0" borderId="0"/>
  </cellStyleXfs>
  <cellXfs count="826">
    <xf numFmtId="0" fontId="0" fillId="0" borderId="0" xfId="0"/>
    <xf numFmtId="0" fontId="10" fillId="0" borderId="0" xfId="2"/>
    <xf numFmtId="0" fontId="11" fillId="0" borderId="0" xfId="2" applyFont="1"/>
    <xf numFmtId="0" fontId="12" fillId="2" borderId="0" xfId="0" applyFont="1" applyFill="1" applyProtection="1"/>
    <xf numFmtId="0" fontId="13" fillId="0" borderId="0" xfId="0" applyFont="1" applyProtection="1"/>
    <xf numFmtId="0" fontId="0" fillId="0" borderId="0" xfId="0" applyFont="1" applyProtection="1"/>
    <xf numFmtId="0" fontId="11" fillId="0" borderId="0" xfId="2" applyFont="1"/>
    <xf numFmtId="0" fontId="12" fillId="0" borderId="0" xfId="0" applyFont="1" applyProtection="1"/>
    <xf numFmtId="0" fontId="10" fillId="0" borderId="0" xfId="2" quotePrefix="1" applyAlignment="1">
      <alignment horizontal="left"/>
    </xf>
    <xf numFmtId="0" fontId="10" fillId="0" borderId="0" xfId="2"/>
    <xf numFmtId="0" fontId="0" fillId="0" borderId="0" xfId="0" applyFont="1" applyAlignment="1" applyProtection="1">
      <alignment vertical="center"/>
    </xf>
    <xf numFmtId="0" fontId="0" fillId="0" borderId="0" xfId="0" applyFont="1" applyFill="1" applyAlignment="1" applyProtection="1">
      <alignment vertical="center"/>
    </xf>
    <xf numFmtId="0" fontId="12" fillId="0" borderId="0" xfId="0" applyFont="1" applyAlignment="1" applyProtection="1">
      <alignment vertical="center"/>
    </xf>
    <xf numFmtId="0" fontId="9" fillId="6" borderId="3" xfId="1" applyFont="1" applyFill="1" applyBorder="1" applyAlignment="1" applyProtection="1">
      <alignment horizontal="center" vertical="center"/>
    </xf>
    <xf numFmtId="0" fontId="9" fillId="6" borderId="2" xfId="1" applyFont="1" applyFill="1" applyBorder="1" applyAlignment="1" applyProtection="1">
      <alignment horizontal="center" vertical="center"/>
    </xf>
    <xf numFmtId="0" fontId="9" fillId="6" borderId="4" xfId="1"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0" xfId="0" applyFont="1" applyFill="1" applyBorder="1" applyProtection="1"/>
    <xf numFmtId="0" fontId="0" fillId="2" borderId="0" xfId="0" applyFont="1" applyFill="1" applyProtection="1"/>
    <xf numFmtId="0" fontId="0" fillId="0" borderId="17" xfId="0" applyFont="1" applyBorder="1" applyProtection="1"/>
    <xf numFmtId="0" fontId="0" fillId="0" borderId="8" xfId="0" applyFont="1" applyBorder="1" applyProtection="1"/>
    <xf numFmtId="0" fontId="0" fillId="0" borderId="13" xfId="0" applyFont="1" applyBorder="1" applyProtection="1"/>
    <xf numFmtId="0" fontId="0" fillId="0" borderId="0" xfId="0" applyFont="1" applyBorder="1" applyProtection="1"/>
    <xf numFmtId="0" fontId="0" fillId="0" borderId="16" xfId="0" applyFont="1" applyBorder="1" applyProtection="1"/>
    <xf numFmtId="17" fontId="0" fillId="0" borderId="0" xfId="0" applyNumberFormat="1" applyFont="1" applyProtection="1"/>
    <xf numFmtId="0" fontId="0" fillId="0" borderId="14" xfId="0" applyFont="1" applyBorder="1" applyProtection="1"/>
    <xf numFmtId="0" fontId="0" fillId="0" borderId="15" xfId="0" applyFont="1" applyBorder="1" applyProtection="1"/>
    <xf numFmtId="0" fontId="9" fillId="0" borderId="0" xfId="1" quotePrefix="1" applyFont="1" applyProtection="1"/>
    <xf numFmtId="0" fontId="0" fillId="0" borderId="0" xfId="0" applyFont="1" applyFill="1" applyProtection="1"/>
    <xf numFmtId="17" fontId="9" fillId="0" borderId="0" xfId="1" quotePrefix="1" applyNumberFormat="1" applyFont="1" applyFill="1" applyBorder="1" applyAlignment="1" applyProtection="1">
      <alignment horizontal="center" vertical="center"/>
    </xf>
    <xf numFmtId="17" fontId="9" fillId="2" borderId="0" xfId="1" quotePrefix="1" applyNumberFormat="1" applyFont="1" applyFill="1" applyBorder="1" applyAlignment="1" applyProtection="1">
      <alignment horizontal="center" vertical="center"/>
    </xf>
    <xf numFmtId="0" fontId="14" fillId="4" borderId="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2" borderId="0" xfId="0" applyNumberFormat="1"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0" fontId="14" fillId="6" borderId="7" xfId="0" applyFont="1" applyFill="1" applyBorder="1" applyAlignment="1" applyProtection="1">
      <alignment horizontal="center" vertical="center"/>
    </xf>
    <xf numFmtId="0" fontId="14" fillId="6" borderId="17" xfId="0" applyFont="1" applyFill="1" applyBorder="1" applyAlignment="1" applyProtection="1">
      <alignment horizontal="center" vertical="center"/>
    </xf>
    <xf numFmtId="0" fontId="14" fillId="6" borderId="14" xfId="0" applyFont="1" applyFill="1" applyBorder="1" applyAlignment="1" applyProtection="1">
      <alignment horizontal="center" vertical="center"/>
    </xf>
    <xf numFmtId="0" fontId="14" fillId="6" borderId="15" xfId="0" applyFont="1" applyFill="1" applyBorder="1" applyAlignment="1" applyProtection="1">
      <alignment horizontal="center" vertical="center"/>
    </xf>
    <xf numFmtId="17" fontId="9" fillId="2" borderId="7" xfId="1" quotePrefix="1" applyNumberFormat="1" applyFont="1" applyFill="1" applyBorder="1" applyAlignment="1" applyProtection="1">
      <alignment horizontal="center" vertical="center"/>
    </xf>
    <xf numFmtId="17" fontId="9" fillId="2" borderId="17" xfId="1" quotePrefix="1" applyNumberFormat="1" applyFont="1" applyFill="1" applyBorder="1" applyAlignment="1" applyProtection="1">
      <alignment horizontal="center" vertical="center"/>
    </xf>
    <xf numFmtId="17" fontId="9" fillId="2" borderId="8" xfId="1" quotePrefix="1" applyNumberFormat="1" applyFont="1" applyFill="1" applyBorder="1" applyAlignment="1" applyProtection="1">
      <alignment horizontal="center" vertical="center"/>
    </xf>
    <xf numFmtId="17" fontId="9" fillId="2" borderId="13" xfId="1" quotePrefix="1" applyNumberFormat="1" applyFont="1" applyFill="1" applyBorder="1" applyAlignment="1" applyProtection="1">
      <alignment horizontal="center" vertical="center"/>
    </xf>
    <xf numFmtId="0" fontId="14" fillId="2" borderId="0" xfId="0" applyFont="1" applyFill="1" applyBorder="1" applyAlignment="1" applyProtection="1">
      <alignment vertical="center"/>
    </xf>
    <xf numFmtId="17" fontId="15" fillId="2" borderId="0" xfId="0" applyNumberFormat="1" applyFont="1" applyFill="1" applyBorder="1" applyAlignment="1" applyProtection="1">
      <alignment vertical="center"/>
    </xf>
    <xf numFmtId="15" fontId="0" fillId="2" borderId="1"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17" fontId="15" fillId="0" borderId="13" xfId="0" applyNumberFormat="1" applyFont="1" applyFill="1" applyBorder="1" applyAlignment="1" applyProtection="1">
      <alignment horizontal="center" vertical="center"/>
    </xf>
    <xf numFmtId="17" fontId="15" fillId="0" borderId="0" xfId="0" applyNumberFormat="1" applyFont="1" applyFill="1" applyBorder="1" applyAlignment="1" applyProtection="1">
      <alignment vertical="center"/>
    </xf>
    <xf numFmtId="0" fontId="0" fillId="2" borderId="14" xfId="0" applyFont="1" applyFill="1" applyBorder="1" applyAlignment="1" applyProtection="1"/>
    <xf numFmtId="0" fontId="0" fillId="2" borderId="15" xfId="0" applyFont="1" applyFill="1" applyBorder="1" applyAlignment="1" applyProtection="1"/>
    <xf numFmtId="0" fontId="0" fillId="2" borderId="16" xfId="0" applyFont="1" applyFill="1" applyBorder="1" applyAlignment="1" applyProtection="1"/>
    <xf numFmtId="0" fontId="0" fillId="0" borderId="0" xfId="0" applyFont="1" applyFill="1" applyAlignment="1" applyProtection="1">
      <alignment horizontal="center" vertical="center" wrapText="1"/>
    </xf>
    <xf numFmtId="0" fontId="0" fillId="2" borderId="0" xfId="0" applyFont="1" applyFill="1" applyBorder="1" applyAlignment="1" applyProtection="1"/>
    <xf numFmtId="0" fontId="14" fillId="2" borderId="0" xfId="0" applyFont="1" applyFill="1" applyAlignment="1" applyProtection="1"/>
    <xf numFmtId="0" fontId="0" fillId="0" borderId="0" xfId="0" applyFont="1" applyFill="1" applyBorder="1" applyProtection="1"/>
    <xf numFmtId="0" fontId="0" fillId="2"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4" fillId="2" borderId="17" xfId="0" applyFont="1" applyFill="1" applyBorder="1" applyAlignment="1" applyProtection="1">
      <alignment vertical="center"/>
    </xf>
    <xf numFmtId="0" fontId="0" fillId="0" borderId="19" xfId="0" applyFont="1" applyBorder="1" applyProtection="1"/>
    <xf numFmtId="0" fontId="0" fillId="0" borderId="20" xfId="0" applyFont="1" applyBorder="1" applyProtection="1"/>
    <xf numFmtId="0" fontId="0" fillId="0" borderId="15" xfId="0" applyFont="1" applyFill="1" applyBorder="1" applyProtection="1"/>
    <xf numFmtId="0" fontId="16" fillId="0" borderId="0"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0" fillId="0" borderId="0" xfId="0" applyFont="1" applyProtection="1">
      <protection locked="0"/>
    </xf>
    <xf numFmtId="15" fontId="13" fillId="0" borderId="0" xfId="0" applyNumberFormat="1" applyFont="1" applyFill="1" applyBorder="1" applyAlignment="1" applyProtection="1">
      <alignment horizontal="center" vertical="center" wrapText="1"/>
    </xf>
    <xf numFmtId="17" fontId="14" fillId="0" borderId="0" xfId="0" applyNumberFormat="1" applyFont="1" applyFill="1" applyBorder="1" applyAlignment="1" applyProtection="1">
      <alignment horizontal="center" vertical="center" wrapText="1"/>
    </xf>
    <xf numFmtId="17" fontId="15" fillId="2" borderId="0" xfId="0" applyNumberFormat="1" applyFont="1" applyFill="1" applyBorder="1" applyAlignment="1" applyProtection="1">
      <alignment horizontal="center" vertical="center" wrapText="1"/>
    </xf>
    <xf numFmtId="17" fontId="15" fillId="2" borderId="0" xfId="0" applyNumberFormat="1" applyFont="1" applyFill="1" applyBorder="1" applyAlignment="1" applyProtection="1">
      <alignment vertical="center" wrapText="1"/>
    </xf>
    <xf numFmtId="17" fontId="15" fillId="2" borderId="0" xfId="0" quotePrefix="1" applyNumberFormat="1" applyFont="1" applyFill="1" applyBorder="1" applyAlignment="1" applyProtection="1">
      <alignment vertical="center" wrapText="1"/>
    </xf>
    <xf numFmtId="0" fontId="12" fillId="2" borderId="0" xfId="0" applyFont="1" applyFill="1" applyBorder="1" applyAlignment="1" applyProtection="1">
      <alignment horizontal="left" vertical="center" wrapText="1"/>
    </xf>
    <xf numFmtId="0" fontId="12" fillId="2" borderId="0" xfId="0" applyFont="1" applyFill="1" applyBorder="1" applyAlignment="1" applyProtection="1">
      <alignment wrapText="1"/>
    </xf>
    <xf numFmtId="0" fontId="0" fillId="2" borderId="0" xfId="0" applyFont="1" applyFill="1" applyBorder="1" applyAlignment="1" applyProtection="1">
      <alignment horizontal="left" vertical="center" wrapText="1"/>
    </xf>
    <xf numFmtId="0" fontId="14" fillId="0" borderId="0"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5" fillId="0" borderId="0" xfId="0" applyFont="1" applyFill="1" applyBorder="1" applyAlignment="1" applyProtection="1">
      <alignment horizontal="center" vertical="center"/>
    </xf>
    <xf numFmtId="17" fontId="15"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wrapText="1"/>
    </xf>
    <xf numFmtId="0" fontId="12" fillId="0" borderId="13" xfId="0" applyFont="1" applyFill="1" applyBorder="1" applyAlignment="1" applyProtection="1">
      <alignment horizontal="left" wrapText="1"/>
    </xf>
    <xf numFmtId="17" fontId="14" fillId="4" borderId="23" xfId="0" applyNumberFormat="1" applyFont="1" applyFill="1" applyBorder="1" applyAlignment="1" applyProtection="1">
      <alignment horizontal="center" vertical="center" wrapText="1"/>
    </xf>
    <xf numFmtId="0" fontId="9" fillId="6" borderId="3" xfId="1" applyFill="1" applyBorder="1" applyAlignment="1" applyProtection="1">
      <alignment horizontal="center" vertical="center"/>
    </xf>
    <xf numFmtId="0" fontId="14" fillId="4" borderId="23"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12"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3" xfId="0" applyNumberFormat="1" applyFont="1" applyBorder="1" applyProtection="1"/>
    <xf numFmtId="17" fontId="0" fillId="0" borderId="15" xfId="0" applyNumberFormat="1" applyFont="1" applyBorder="1" applyProtection="1"/>
    <xf numFmtId="0" fontId="0" fillId="0" borderId="16" xfId="0" applyFont="1" applyFill="1" applyBorder="1" applyProtection="1"/>
    <xf numFmtId="0" fontId="20" fillId="0" borderId="0" xfId="0" applyFont="1" applyProtection="1"/>
    <xf numFmtId="0" fontId="13" fillId="0" borderId="0" xfId="0" quotePrefix="1" applyFont="1" applyFill="1" applyBorder="1" applyAlignment="1" applyProtection="1">
      <alignment horizontal="left" vertical="center" wrapText="1"/>
    </xf>
    <xf numFmtId="0" fontId="16" fillId="0" borderId="0" xfId="0" applyFont="1" applyFill="1" applyBorder="1" applyAlignment="1" applyProtection="1">
      <alignment horizontal="center" vertical="center"/>
    </xf>
    <xf numFmtId="14" fontId="0" fillId="0" borderId="0" xfId="0" applyNumberFormat="1" applyFont="1" applyProtection="1"/>
    <xf numFmtId="15" fontId="13" fillId="2" borderId="0" xfId="0" applyNumberFormat="1" applyFont="1" applyFill="1" applyBorder="1" applyAlignment="1" applyProtection="1">
      <alignment horizontal="center" vertical="center" wrapText="1"/>
    </xf>
    <xf numFmtId="15" fontId="13" fillId="2" borderId="0" xfId="0" applyNumberFormat="1"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18" fillId="0" borderId="0" xfId="0" applyFont="1" applyProtection="1"/>
    <xf numFmtId="0" fontId="0" fillId="6" borderId="22" xfId="0" applyFont="1" applyFill="1" applyBorder="1" applyProtection="1"/>
    <xf numFmtId="0" fontId="0" fillId="0" borderId="22" xfId="0" applyFont="1" applyBorder="1" applyProtection="1"/>
    <xf numFmtId="0" fontId="0" fillId="6" borderId="10" xfId="0" quotePrefix="1" applyFont="1" applyFill="1" applyBorder="1" applyAlignment="1" applyProtection="1">
      <alignment horizontal="center" vertical="center" wrapText="1"/>
      <protection hidden="1"/>
    </xf>
    <xf numFmtId="0" fontId="0" fillId="6" borderId="9" xfId="0" applyFont="1" applyFill="1" applyBorder="1" applyAlignment="1" applyProtection="1">
      <alignment horizontal="center" vertical="center" wrapText="1"/>
      <protection hidden="1"/>
    </xf>
    <xf numFmtId="0" fontId="13" fillId="0" borderId="0" xfId="0" applyFont="1"/>
    <xf numFmtId="0" fontId="0" fillId="0" borderId="20" xfId="0" applyFont="1" applyBorder="1" applyProtection="1">
      <protection locked="0"/>
    </xf>
    <xf numFmtId="15" fontId="0" fillId="6" borderId="10" xfId="0" applyNumberFormat="1" applyFont="1" applyFill="1" applyBorder="1" applyAlignment="1" applyProtection="1">
      <alignment horizontal="center" vertical="center"/>
    </xf>
    <xf numFmtId="15" fontId="0" fillId="6" borderId="11" xfId="0" applyNumberFormat="1" applyFont="1" applyFill="1" applyBorder="1" applyAlignment="1" applyProtection="1">
      <alignment horizontal="center" vertical="center"/>
    </xf>
    <xf numFmtId="0" fontId="14" fillId="4" borderId="13"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13" fillId="0" borderId="0" xfId="0" applyFont="1" applyAlignment="1" applyProtection="1">
      <alignment wrapText="1"/>
    </xf>
    <xf numFmtId="0" fontId="13" fillId="0" borderId="0" xfId="0" applyFont="1" applyFill="1" applyAlignment="1" applyProtection="1">
      <alignment wrapText="1"/>
    </xf>
    <xf numFmtId="11" fontId="0" fillId="0" borderId="0" xfId="0" applyNumberFormat="1"/>
    <xf numFmtId="0" fontId="18" fillId="0" borderId="17" xfId="0" applyFont="1" applyFill="1" applyBorder="1" applyProtection="1"/>
    <xf numFmtId="0" fontId="13" fillId="0" borderId="17" xfId="0" applyFont="1" applyFill="1" applyBorder="1" applyProtection="1"/>
    <xf numFmtId="0" fontId="13" fillId="0" borderId="17" xfId="0" applyFont="1" applyBorder="1" applyProtection="1"/>
    <xf numFmtId="0" fontId="13" fillId="0" borderId="8" xfId="0" applyFont="1" applyBorder="1" applyProtection="1"/>
    <xf numFmtId="0" fontId="8" fillId="0" borderId="21" xfId="3" applyBorder="1"/>
    <xf numFmtId="0" fontId="8" fillId="0" borderId="21" xfId="3" applyBorder="1" applyAlignment="1">
      <alignment wrapText="1"/>
    </xf>
    <xf numFmtId="0" fontId="8" fillId="0" borderId="21" xfId="3" applyBorder="1" applyAlignment="1">
      <alignment horizontal="center" vertical="center"/>
    </xf>
    <xf numFmtId="14" fontId="8" fillId="0" borderId="21" xfId="3" applyNumberFormat="1" applyBorder="1" applyAlignment="1">
      <alignment horizontal="center" vertical="center"/>
    </xf>
    <xf numFmtId="14" fontId="8" fillId="0" borderId="21" xfId="3" applyNumberFormat="1" applyBorder="1"/>
    <xf numFmtId="0" fontId="7" fillId="0" borderId="21" xfId="3" applyFont="1" applyBorder="1" applyAlignment="1">
      <alignment wrapText="1"/>
    </xf>
    <xf numFmtId="0" fontId="20" fillId="2" borderId="0" xfId="0" applyFont="1" applyFill="1" applyProtection="1"/>
    <xf numFmtId="17" fontId="38" fillId="0" borderId="21" xfId="0" applyNumberFormat="1" applyFont="1" applyFill="1" applyBorder="1" applyAlignment="1" applyProtection="1">
      <alignment horizontal="center" vertical="center" wrapText="1"/>
    </xf>
    <xf numFmtId="17" fontId="38" fillId="0" borderId="0" xfId="0" applyNumberFormat="1" applyFont="1" applyFill="1" applyBorder="1" applyAlignment="1" applyProtection="1">
      <alignment horizontal="center" vertical="center" wrapText="1"/>
    </xf>
    <xf numFmtId="14" fontId="0" fillId="0" borderId="0" xfId="0" applyNumberFormat="1"/>
    <xf numFmtId="49" fontId="0" fillId="0" borderId="0" xfId="0" applyNumberFormat="1"/>
    <xf numFmtId="0" fontId="0" fillId="0" borderId="0" xfId="0" applyFont="1" applyFill="1" applyAlignment="1" applyProtection="1">
      <alignment horizontal="center" wrapText="1"/>
    </xf>
    <xf numFmtId="0" fontId="14" fillId="4" borderId="23" xfId="0" applyFont="1" applyFill="1" applyBorder="1" applyAlignment="1" applyProtection="1">
      <alignment horizontal="center" vertical="center" wrapText="1"/>
    </xf>
    <xf numFmtId="49" fontId="0" fillId="6" borderId="23" xfId="0" applyNumberFormat="1" applyFont="1" applyFill="1" applyBorder="1" applyAlignment="1" applyProtection="1">
      <alignment horizontal="center" vertical="center"/>
    </xf>
    <xf numFmtId="0" fontId="16" fillId="2" borderId="23" xfId="0" applyFont="1" applyFill="1" applyBorder="1" applyAlignment="1" applyProtection="1">
      <alignment vertical="center"/>
    </xf>
    <xf numFmtId="0" fontId="0" fillId="0" borderId="23" xfId="0" applyFont="1" applyBorder="1" applyProtection="1"/>
    <xf numFmtId="0" fontId="13" fillId="0" borderId="23" xfId="0" applyFont="1" applyBorder="1" applyProtection="1"/>
    <xf numFmtId="15" fontId="0" fillId="6" borderId="23" xfId="0" applyNumberFormat="1" applyFont="1" applyFill="1" applyBorder="1" applyAlignment="1" applyProtection="1">
      <alignment horizontal="center" vertical="center"/>
    </xf>
    <xf numFmtId="0" fontId="0" fillId="0" borderId="23" xfId="0" applyNumberFormat="1" applyFont="1" applyBorder="1" applyAlignment="1" applyProtection="1">
      <alignment horizontal="center" vertical="center"/>
    </xf>
    <xf numFmtId="15" fontId="0" fillId="0" borderId="23" xfId="0" applyNumberFormat="1" applyFont="1" applyFill="1" applyBorder="1" applyAlignment="1" applyProtection="1">
      <alignment horizontal="center" vertical="center"/>
      <protection locked="0"/>
    </xf>
    <xf numFmtId="0" fontId="0" fillId="0" borderId="23" xfId="0" applyNumberFormat="1" applyFont="1" applyFill="1" applyBorder="1" applyAlignment="1" applyProtection="1">
      <alignment horizontal="center" vertical="center"/>
      <protection locked="0"/>
    </xf>
    <xf numFmtId="165" fontId="13" fillId="0" borderId="23" xfId="0" applyNumberFormat="1" applyFont="1" applyBorder="1" applyProtection="1"/>
    <xf numFmtId="15" fontId="13" fillId="0" borderId="23" xfId="0" applyNumberFormat="1" applyFont="1" applyBorder="1" applyProtection="1"/>
    <xf numFmtId="0" fontId="10" fillId="0" borderId="23" xfId="2" applyFill="1" applyBorder="1"/>
    <xf numFmtId="49" fontId="10" fillId="0" borderId="23" xfId="2" applyNumberFormat="1" applyFill="1" applyBorder="1"/>
    <xf numFmtId="49" fontId="10" fillId="0" borderId="23" xfId="2" quotePrefix="1" applyNumberFormat="1" applyFill="1" applyBorder="1"/>
    <xf numFmtId="0" fontId="10" fillId="0" borderId="23" xfId="2" quotePrefix="1" applyFill="1" applyBorder="1" applyAlignment="1">
      <alignment horizontal="left"/>
    </xf>
    <xf numFmtId="0" fontId="10" fillId="0" borderId="23" xfId="2" applyNumberFormat="1" applyFont="1" applyBorder="1" applyAlignment="1"/>
    <xf numFmtId="0" fontId="10" fillId="0" borderId="23" xfId="2" quotePrefix="1" applyFill="1" applyBorder="1"/>
    <xf numFmtId="166" fontId="10" fillId="0" borderId="23" xfId="2" applyNumberFormat="1" applyFill="1" applyBorder="1"/>
    <xf numFmtId="167" fontId="10" fillId="0" borderId="23" xfId="2" applyNumberFormat="1" applyFill="1" applyBorder="1"/>
    <xf numFmtId="164" fontId="10" fillId="0" borderId="23" xfId="2" applyNumberFormat="1" applyFill="1" applyBorder="1"/>
    <xf numFmtId="0" fontId="0" fillId="6" borderId="61" xfId="0" applyNumberFormat="1" applyFont="1" applyFill="1" applyBorder="1" applyAlignment="1" applyProtection="1">
      <alignment vertical="center" wrapText="1"/>
    </xf>
    <xf numFmtId="0" fontId="0" fillId="0" borderId="62" xfId="0" applyBorder="1"/>
    <xf numFmtId="0" fontId="0" fillId="0" borderId="0" xfId="0" applyBorder="1"/>
    <xf numFmtId="0" fontId="0" fillId="0" borderId="63" xfId="0" applyBorder="1"/>
    <xf numFmtId="0" fontId="0" fillId="0" borderId="65" xfId="0" applyBorder="1"/>
    <xf numFmtId="0" fontId="0" fillId="0" borderId="66" xfId="0" applyBorder="1"/>
    <xf numFmtId="0" fontId="0" fillId="0" borderId="67" xfId="0" applyBorder="1"/>
    <xf numFmtId="0" fontId="0" fillId="0" borderId="64" xfId="0" applyBorder="1"/>
    <xf numFmtId="0" fontId="0" fillId="0" borderId="0" xfId="0" applyAlignment="1">
      <alignment wrapText="1"/>
    </xf>
    <xf numFmtId="2" fontId="0" fillId="0" borderId="0" xfId="0" applyNumberFormat="1"/>
    <xf numFmtId="0" fontId="0" fillId="0" borderId="0" xfId="0" applyNumberFormat="1"/>
    <xf numFmtId="49" fontId="20" fillId="0" borderId="0" xfId="0" applyNumberFormat="1" applyFont="1" applyProtection="1"/>
    <xf numFmtId="0" fontId="0" fillId="17" borderId="21" xfId="0" applyFill="1" applyBorder="1" applyAlignment="1"/>
    <xf numFmtId="0" fontId="0" fillId="17" borderId="21" xfId="0" applyFill="1" applyBorder="1"/>
    <xf numFmtId="0" fontId="0" fillId="17" borderId="21" xfId="0" applyFill="1" applyBorder="1" applyAlignment="1"/>
    <xf numFmtId="49" fontId="0" fillId="6" borderId="73" xfId="0" applyNumberFormat="1" applyFont="1" applyFill="1" applyBorder="1" applyAlignment="1" applyProtection="1">
      <alignment horizontal="center" vertical="center"/>
    </xf>
    <xf numFmtId="49" fontId="0" fillId="2" borderId="72" xfId="0" applyNumberFormat="1" applyFont="1" applyFill="1" applyBorder="1" applyAlignment="1" applyProtection="1">
      <alignment horizontal="center" vertical="center"/>
    </xf>
    <xf numFmtId="0" fontId="0" fillId="17" borderId="21" xfId="0" applyFill="1" applyBorder="1" applyAlignment="1"/>
    <xf numFmtId="0" fontId="0" fillId="2" borderId="0" xfId="0" applyFill="1" applyBorder="1" applyAlignment="1">
      <alignment horizontal="center"/>
    </xf>
    <xf numFmtId="0" fontId="9" fillId="6" borderId="6" xfId="1" applyFill="1" applyBorder="1" applyAlignment="1" applyProtection="1">
      <alignment horizontal="center" vertical="center"/>
    </xf>
    <xf numFmtId="0" fontId="0" fillId="0" borderId="0" xfId="0" applyAlignment="1"/>
    <xf numFmtId="0" fontId="14" fillId="6" borderId="6" xfId="0" applyFont="1" applyFill="1" applyBorder="1" applyAlignment="1" applyProtection="1">
      <alignment vertical="center"/>
    </xf>
    <xf numFmtId="0" fontId="0" fillId="0" borderId="0" xfId="0"/>
    <xf numFmtId="0" fontId="9" fillId="6" borderId="3" xfId="1" applyFill="1" applyBorder="1" applyAlignment="1" applyProtection="1">
      <alignment horizontal="center" vertical="center"/>
    </xf>
    <xf numFmtId="0" fontId="0" fillId="6" borderId="21" xfId="4" applyNumberFormat="1" applyFont="1" applyFill="1" applyBorder="1" applyAlignment="1" applyProtection="1">
      <alignment horizontal="center" vertical="center" wrapText="1"/>
      <protection locked="0" hidden="1"/>
    </xf>
    <xf numFmtId="0" fontId="52" fillId="0" borderId="0" xfId="2" applyFont="1"/>
    <xf numFmtId="0" fontId="14" fillId="4" borderId="77" xfId="0" applyFont="1" applyFill="1" applyBorder="1" applyAlignment="1" applyProtection="1">
      <alignment horizontal="center" vertical="center" wrapText="1"/>
    </xf>
    <xf numFmtId="0" fontId="14" fillId="4" borderId="12" xfId="0" applyFont="1" applyFill="1" applyBorder="1" applyAlignment="1" applyProtection="1">
      <alignment horizontal="center" vertical="center" wrapText="1"/>
    </xf>
    <xf numFmtId="0" fontId="14" fillId="4" borderId="78" xfId="0" quotePrefix="1" applyFont="1" applyFill="1" applyBorder="1" applyAlignment="1" applyProtection="1">
      <alignment horizontal="center" vertical="center" wrapText="1"/>
    </xf>
    <xf numFmtId="1" fontId="0" fillId="6" borderId="0" xfId="0" applyNumberFormat="1" applyFont="1" applyFill="1" applyBorder="1" applyAlignment="1" applyProtection="1">
      <alignment horizontal="center" vertical="center"/>
    </xf>
    <xf numFmtId="49" fontId="0" fillId="6" borderId="0" xfId="0" applyNumberFormat="1" applyFont="1" applyFill="1" applyBorder="1" applyAlignment="1" applyProtection="1">
      <alignment horizontal="center" vertical="center"/>
    </xf>
    <xf numFmtId="49" fontId="7" fillId="6" borderId="0" xfId="0" applyNumberFormat="1" applyFont="1" applyFill="1" applyBorder="1" applyAlignment="1" applyProtection="1">
      <alignment horizontal="left" vertical="center" wrapText="1"/>
    </xf>
    <xf numFmtId="0" fontId="0" fillId="0" borderId="79" xfId="0" applyFont="1" applyBorder="1" applyProtection="1"/>
    <xf numFmtId="49" fontId="10" fillId="0" borderId="0" xfId="2" applyNumberFormat="1"/>
    <xf numFmtId="0" fontId="0" fillId="17" borderId="21" xfId="0" applyFill="1" applyBorder="1" applyAlignment="1"/>
    <xf numFmtId="0" fontId="0" fillId="2" borderId="0" xfId="0" applyFill="1"/>
    <xf numFmtId="0" fontId="0" fillId="2" borderId="0" xfId="0" applyFill="1" applyAlignment="1">
      <alignment shrinkToFit="1"/>
    </xf>
    <xf numFmtId="0" fontId="0" fillId="0" borderId="0" xfId="0" applyProtection="1">
      <protection hidden="1"/>
    </xf>
    <xf numFmtId="0" fontId="0" fillId="0" borderId="0" xfId="0"/>
    <xf numFmtId="0" fontId="0" fillId="0" borderId="0" xfId="0" applyBorder="1"/>
    <xf numFmtId="4" fontId="0" fillId="2" borderId="21" xfId="0" applyNumberFormat="1" applyFill="1" applyBorder="1" applyAlignment="1" applyProtection="1">
      <alignment horizontal="center" vertical="center"/>
      <protection locked="0"/>
    </xf>
    <xf numFmtId="4" fontId="12" fillId="0" borderId="21" xfId="0" applyNumberFormat="1" applyFont="1" applyFill="1" applyBorder="1" applyAlignment="1" applyProtection="1">
      <alignment horizontal="center" vertical="center" wrapText="1"/>
      <protection locked="0"/>
    </xf>
    <xf numFmtId="4" fontId="0" fillId="0" borderId="21" xfId="0" applyNumberFormat="1" applyFont="1" applyBorder="1" applyAlignment="1" applyProtection="1">
      <alignment horizontal="center" vertical="center"/>
      <protection locked="0"/>
    </xf>
    <xf numFmtId="0" fontId="53" fillId="0" borderId="0" xfId="0" applyFont="1"/>
    <xf numFmtId="3" fontId="0" fillId="0" borderId="21" xfId="0" applyNumberFormat="1" applyBorder="1" applyAlignment="1" applyProtection="1">
      <alignment horizontal="center" vertical="center"/>
      <protection locked="0"/>
    </xf>
    <xf numFmtId="0" fontId="0" fillId="0" borderId="21" xfId="0" applyBorder="1" applyAlignment="1" applyProtection="1">
      <alignment horizontal="center" vertical="center" wrapText="1"/>
      <protection locked="0"/>
    </xf>
    <xf numFmtId="0" fontId="0" fillId="0" borderId="21" xfId="0" applyBorder="1" applyAlignment="1" applyProtection="1">
      <alignment horizontal="left" vertical="center" wrapText="1"/>
      <protection locked="0"/>
    </xf>
    <xf numFmtId="0" fontId="0" fillId="0" borderId="21" xfId="0" applyBorder="1" applyAlignment="1" applyProtection="1">
      <alignment horizontal="left" vertical="center"/>
      <protection locked="0"/>
    </xf>
    <xf numFmtId="4" fontId="0" fillId="2" borderId="21" xfId="0" applyNumberFormat="1" applyFill="1" applyBorder="1" applyAlignment="1" applyProtection="1">
      <alignment horizontal="center" vertical="center" shrinkToFit="1"/>
      <protection locked="0"/>
    </xf>
    <xf numFmtId="0" fontId="13" fillId="0" borderId="65" xfId="0" applyFont="1" applyBorder="1"/>
    <xf numFmtId="0" fontId="0" fillId="0" borderId="0" xfId="0"/>
    <xf numFmtId="0" fontId="13" fillId="0" borderId="0" xfId="0" applyFont="1"/>
    <xf numFmtId="0" fontId="0" fillId="0" borderId="0" xfId="0" applyAlignment="1"/>
    <xf numFmtId="0" fontId="53" fillId="0" borderId="0" xfId="0" applyFont="1"/>
    <xf numFmtId="1" fontId="0" fillId="0" borderId="0" xfId="0" applyNumberFormat="1"/>
    <xf numFmtId="0" fontId="0" fillId="0" borderId="0" xfId="0"/>
    <xf numFmtId="0" fontId="13" fillId="0" borderId="66" xfId="0" applyFont="1" applyBorder="1"/>
    <xf numFmtId="0" fontId="13" fillId="0" borderId="0" xfId="0" applyFont="1" applyProtection="1">
      <protection hidden="1"/>
    </xf>
    <xf numFmtId="15" fontId="0" fillId="2" borderId="10" xfId="0" applyNumberFormat="1" applyFont="1" applyFill="1" applyBorder="1" applyAlignment="1" applyProtection="1">
      <alignment horizontal="center" vertical="center"/>
      <protection locked="0"/>
    </xf>
    <xf numFmtId="0" fontId="0" fillId="0" borderId="0" xfId="0" applyAlignment="1">
      <alignment horizontal="center"/>
    </xf>
    <xf numFmtId="0" fontId="13" fillId="2" borderId="0" xfId="0" applyFont="1" applyFill="1"/>
    <xf numFmtId="0" fontId="13" fillId="2" borderId="0" xfId="0" applyFont="1" applyFill="1" applyProtection="1"/>
    <xf numFmtId="0" fontId="18" fillId="2" borderId="0" xfId="0" applyFont="1" applyFill="1" applyProtection="1">
      <protection hidden="1"/>
    </xf>
    <xf numFmtId="15" fontId="30" fillId="6" borderId="21" xfId="0" applyNumberFormat="1" applyFont="1" applyFill="1" applyBorder="1" applyAlignment="1" applyProtection="1">
      <alignment horizontal="center" vertical="center" wrapText="1"/>
      <protection hidden="1"/>
    </xf>
    <xf numFmtId="0" fontId="13" fillId="2" borderId="0" xfId="0" applyFont="1" applyFill="1" applyProtection="1">
      <protection hidden="1"/>
    </xf>
    <xf numFmtId="15" fontId="22" fillId="2" borderId="0" xfId="0" applyNumberFormat="1" applyFont="1" applyFill="1" applyBorder="1" applyAlignment="1" applyProtection="1">
      <alignment horizontal="center" vertical="center" wrapText="1"/>
      <protection hidden="1"/>
    </xf>
    <xf numFmtId="0" fontId="0" fillId="17" borderId="21" xfId="0" applyFill="1" applyBorder="1" applyAlignment="1">
      <alignment horizontal="center"/>
    </xf>
    <xf numFmtId="0" fontId="0" fillId="0" borderId="0" xfId="0" applyFont="1" applyFill="1" applyAlignment="1" applyProtection="1">
      <alignment horizontal="center" wrapText="1"/>
    </xf>
    <xf numFmtId="0" fontId="55" fillId="23" borderId="21" xfId="0" applyFont="1" applyFill="1" applyBorder="1" applyAlignment="1" applyProtection="1">
      <alignment horizontal="left" vertical="top" wrapText="1"/>
    </xf>
    <xf numFmtId="0" fontId="55" fillId="0" borderId="0" xfId="0" applyFont="1"/>
    <xf numFmtId="0" fontId="55" fillId="0" borderId="0" xfId="0" applyNumberFormat="1" applyFont="1" applyProtection="1"/>
    <xf numFmtId="0" fontId="14" fillId="6" borderId="6" xfId="0" applyFont="1" applyFill="1" applyBorder="1" applyAlignment="1" applyProtection="1">
      <alignment vertical="center"/>
      <protection hidden="1"/>
    </xf>
    <xf numFmtId="0" fontId="14" fillId="2" borderId="15" xfId="0" applyNumberFormat="1" applyFont="1" applyFill="1" applyBorder="1" applyAlignment="1" applyProtection="1">
      <alignment vertical="center"/>
    </xf>
    <xf numFmtId="0" fontId="0" fillId="0" borderId="0" xfId="0"/>
    <xf numFmtId="0" fontId="0" fillId="0" borderId="0" xfId="0"/>
    <xf numFmtId="0" fontId="55" fillId="23" borderId="21" xfId="0" applyFont="1" applyFill="1" applyBorder="1" applyAlignment="1" applyProtection="1">
      <alignment horizontal="left" vertical="top" wrapText="1"/>
      <protection locked="0"/>
    </xf>
    <xf numFmtId="0" fontId="0" fillId="0" borderId="0" xfId="0"/>
    <xf numFmtId="0" fontId="14" fillId="4" borderId="4" xfId="0" applyFont="1" applyFill="1" applyBorder="1" applyAlignment="1" applyProtection="1">
      <alignment horizontal="center" vertical="center"/>
    </xf>
    <xf numFmtId="0" fontId="0" fillId="0" borderId="0" xfId="0"/>
    <xf numFmtId="0" fontId="15" fillId="4" borderId="21" xfId="0" applyFont="1" applyFill="1" applyBorder="1" applyAlignment="1" applyProtection="1">
      <alignment horizontal="center" vertical="center" wrapText="1"/>
    </xf>
    <xf numFmtId="0" fontId="24" fillId="9" borderId="44" xfId="0" applyNumberFormat="1" applyFont="1" applyFill="1" applyBorder="1" applyAlignment="1" applyProtection="1">
      <alignment horizontal="center" vertical="center" wrapText="1"/>
      <protection hidden="1"/>
    </xf>
    <xf numFmtId="0" fontId="25" fillId="9" borderId="43" xfId="0" applyNumberFormat="1" applyFont="1" applyFill="1" applyBorder="1" applyAlignment="1" applyProtection="1">
      <alignment horizontal="center" vertical="center" wrapText="1"/>
      <protection hidden="1"/>
    </xf>
    <xf numFmtId="0" fontId="24" fillId="9" borderId="43" xfId="0" applyNumberFormat="1" applyFont="1" applyFill="1" applyBorder="1" applyAlignment="1" applyProtection="1">
      <alignment horizontal="center" vertical="center" wrapText="1"/>
      <protection hidden="1"/>
    </xf>
    <xf numFmtId="0" fontId="24" fillId="13" borderId="43" xfId="0" applyNumberFormat="1" applyFont="1" applyFill="1" applyBorder="1" applyAlignment="1" applyProtection="1">
      <alignment horizontal="center" vertical="center" wrapText="1"/>
      <protection hidden="1"/>
    </xf>
    <xf numFmtId="0" fontId="24" fillId="9" borderId="108" xfId="0" applyNumberFormat="1" applyFont="1" applyFill="1" applyBorder="1" applyAlignment="1" applyProtection="1">
      <alignment horizontal="center" vertical="center" wrapText="1"/>
      <protection hidden="1"/>
    </xf>
    <xf numFmtId="0" fontId="24" fillId="9" borderId="109" xfId="0" applyNumberFormat="1" applyFont="1" applyFill="1" applyBorder="1" applyAlignment="1" applyProtection="1">
      <alignment horizontal="center" vertical="center" wrapText="1"/>
      <protection hidden="1"/>
    </xf>
    <xf numFmtId="0" fontId="24" fillId="14" borderId="49" xfId="0" applyNumberFormat="1" applyFont="1" applyFill="1" applyBorder="1" applyAlignment="1" applyProtection="1">
      <alignment horizontal="center" vertical="center" wrapText="1"/>
      <protection hidden="1"/>
    </xf>
    <xf numFmtId="0" fontId="24" fillId="14" borderId="12" xfId="0" applyNumberFormat="1" applyFont="1" applyFill="1" applyBorder="1" applyAlignment="1" applyProtection="1">
      <alignment horizontal="center" vertical="center" wrapText="1"/>
      <protection hidden="1"/>
    </xf>
    <xf numFmtId="0" fontId="24" fillId="14" borderId="12" xfId="0" quotePrefix="1" applyNumberFormat="1" applyFont="1" applyFill="1" applyBorder="1" applyAlignment="1" applyProtection="1">
      <alignment horizontal="center" vertical="center" wrapText="1"/>
      <protection hidden="1"/>
    </xf>
    <xf numFmtId="0" fontId="24" fillId="14" borderId="80" xfId="0" applyNumberFormat="1" applyFont="1" applyFill="1" applyBorder="1" applyAlignment="1" applyProtection="1">
      <alignment vertical="center" wrapText="1"/>
      <protection hidden="1"/>
    </xf>
    <xf numFmtId="171" fontId="56" fillId="2" borderId="0" xfId="0" applyNumberFormat="1" applyFont="1" applyFill="1" applyBorder="1" applyAlignment="1" applyProtection="1">
      <alignment horizontal="right" vertical="center"/>
    </xf>
    <xf numFmtId="0" fontId="15" fillId="4" borderId="21" xfId="0" applyNumberFormat="1" applyFont="1" applyFill="1" applyBorder="1" applyAlignment="1" applyProtection="1">
      <alignment horizontal="center" vertical="center" wrapText="1"/>
      <protection hidden="1"/>
    </xf>
    <xf numFmtId="0" fontId="15" fillId="4" borderId="55" xfId="0" applyNumberFormat="1" applyFont="1" applyFill="1" applyBorder="1" applyAlignment="1" applyProtection="1">
      <alignment horizontal="center" vertical="center" wrapText="1"/>
      <protection hidden="1"/>
    </xf>
    <xf numFmtId="0" fontId="15" fillId="4" borderId="21" xfId="0" applyFont="1" applyFill="1" applyBorder="1" applyAlignment="1" applyProtection="1">
      <alignment horizontal="center" vertical="center" wrapText="1"/>
      <protection hidden="1"/>
    </xf>
    <xf numFmtId="0" fontId="0" fillId="17" borderId="50" xfId="0" applyFill="1" applyBorder="1"/>
    <xf numFmtId="0" fontId="0" fillId="0" borderId="0" xfId="0" applyBorder="1" applyAlignment="1">
      <alignment horizontal="center" vertical="center"/>
    </xf>
    <xf numFmtId="0" fontId="6" fillId="0" borderId="75" xfId="0" applyFont="1" applyBorder="1" applyAlignment="1">
      <alignment wrapText="1"/>
    </xf>
    <xf numFmtId="0" fontId="46" fillId="0" borderId="75" xfId="0" applyFont="1" applyBorder="1" applyAlignment="1">
      <alignment horizontal="left" vertical="center" indent="1"/>
    </xf>
    <xf numFmtId="0" fontId="6" fillId="0" borderId="74" xfId="0" applyFont="1" applyBorder="1"/>
    <xf numFmtId="0" fontId="43" fillId="0" borderId="75" xfId="0" applyFont="1" applyBorder="1" applyAlignment="1">
      <alignment horizontal="left" vertical="center" indent="1"/>
    </xf>
    <xf numFmtId="0" fontId="43" fillId="0" borderId="76" xfId="0" applyFont="1" applyBorder="1" applyAlignment="1">
      <alignment horizontal="left" vertical="center" indent="1"/>
    </xf>
    <xf numFmtId="0" fontId="6" fillId="0" borderId="74" xfId="0" applyFont="1" applyBorder="1" applyAlignment="1">
      <alignment wrapText="1"/>
    </xf>
    <xf numFmtId="0" fontId="46" fillId="0" borderId="75" xfId="0" applyFont="1" applyBorder="1" applyAlignment="1">
      <alignment horizontal="left" vertical="center" wrapText="1" indent="2"/>
    </xf>
    <xf numFmtId="0" fontId="43" fillId="0" borderId="75" xfId="0" applyFont="1" applyBorder="1" applyAlignment="1">
      <alignment horizontal="left" vertical="center" wrapText="1" indent="2"/>
    </xf>
    <xf numFmtId="0" fontId="43" fillId="0" borderId="75" xfId="0" applyFont="1" applyBorder="1" applyAlignment="1">
      <alignment horizontal="left" vertical="center" indent="2"/>
    </xf>
    <xf numFmtId="0" fontId="60" fillId="0" borderId="75" xfId="0" applyFont="1" applyBorder="1" applyAlignment="1">
      <alignment horizontal="left" vertical="center" wrapText="1" indent="1"/>
    </xf>
    <xf numFmtId="0" fontId="6" fillId="0" borderId="75" xfId="0" applyFont="1" applyBorder="1"/>
    <xf numFmtId="0" fontId="46" fillId="0" borderId="76" xfId="0" applyFont="1" applyBorder="1" applyAlignment="1">
      <alignment horizontal="left" vertical="center" indent="1"/>
    </xf>
    <xf numFmtId="0" fontId="6" fillId="0" borderId="0" xfId="0" applyFont="1"/>
    <xf numFmtId="0" fontId="46" fillId="0" borderId="75" xfId="0" applyFont="1" applyBorder="1" applyAlignment="1">
      <alignment horizontal="left" vertical="center" wrapText="1" indent="1"/>
    </xf>
    <xf numFmtId="0" fontId="46" fillId="0" borderId="74" xfId="0" applyFont="1" applyBorder="1" applyAlignment="1">
      <alignment horizontal="left" vertical="center" indent="1"/>
    </xf>
    <xf numFmtId="0" fontId="44" fillId="0" borderId="76" xfId="0" applyFont="1" applyBorder="1" applyAlignment="1">
      <alignment horizontal="left" vertical="center" indent="1"/>
    </xf>
    <xf numFmtId="0" fontId="5" fillId="0" borderId="0" xfId="9"/>
    <xf numFmtId="0" fontId="5" fillId="0" borderId="0" xfId="9" quotePrefix="1" applyAlignment="1">
      <alignment wrapText="1"/>
    </xf>
    <xf numFmtId="0" fontId="5" fillId="0" borderId="0" xfId="9" applyAlignment="1">
      <alignment wrapText="1"/>
    </xf>
    <xf numFmtId="0" fontId="5" fillId="0" borderId="0" xfId="9" quotePrefix="1"/>
    <xf numFmtId="0" fontId="5" fillId="26" borderId="0" xfId="9" applyFill="1"/>
    <xf numFmtId="0" fontId="57" fillId="0" borderId="0" xfId="9" applyFont="1"/>
    <xf numFmtId="0" fontId="64" fillId="0" borderId="0" xfId="9" applyFont="1"/>
    <xf numFmtId="0" fontId="5" fillId="0" borderId="0" xfId="9" applyFill="1"/>
    <xf numFmtId="0" fontId="64" fillId="0" borderId="0" xfId="9" applyFont="1" applyAlignment="1">
      <alignment wrapText="1"/>
    </xf>
    <xf numFmtId="0" fontId="64" fillId="0" borderId="0" xfId="9" quotePrefix="1" applyFont="1"/>
    <xf numFmtId="0" fontId="6" fillId="0" borderId="0" xfId="9" applyFont="1"/>
    <xf numFmtId="0" fontId="64" fillId="0" borderId="0" xfId="9" applyFont="1" applyAlignment="1"/>
    <xf numFmtId="0" fontId="64" fillId="26" borderId="0" xfId="9" applyFont="1" applyFill="1"/>
    <xf numFmtId="0" fontId="4" fillId="0" borderId="0" xfId="9" applyFont="1"/>
    <xf numFmtId="0" fontId="3" fillId="26" borderId="0" xfId="9" applyFont="1" applyFill="1"/>
    <xf numFmtId="0" fontId="25" fillId="9" borderId="0" xfId="0" applyNumberFormat="1" applyFont="1" applyFill="1" applyBorder="1" applyAlignment="1" applyProtection="1">
      <alignment horizontal="center" vertical="center" wrapText="1"/>
      <protection hidden="1"/>
    </xf>
    <xf numFmtId="0" fontId="24" fillId="14" borderId="0" xfId="0" applyNumberFormat="1" applyFont="1" applyFill="1" applyBorder="1" applyAlignment="1" applyProtection="1">
      <alignment horizontal="center" vertical="center" wrapText="1"/>
      <protection hidden="1"/>
    </xf>
    <xf numFmtId="0" fontId="6" fillId="0" borderId="0" xfId="11"/>
    <xf numFmtId="0" fontId="6" fillId="0" borderId="0" xfId="11" applyAlignment="1">
      <alignment vertical="top"/>
    </xf>
    <xf numFmtId="0" fontId="6" fillId="0" borderId="0" xfId="11" applyAlignment="1">
      <alignment wrapText="1"/>
    </xf>
    <xf numFmtId="0" fontId="40" fillId="0" borderId="74" xfId="11" applyFont="1" applyBorder="1" applyAlignment="1">
      <alignment vertical="center" wrapText="1"/>
    </xf>
    <xf numFmtId="0" fontId="44" fillId="0" borderId="16" xfId="11" applyFont="1" applyBorder="1" applyAlignment="1">
      <alignment horizontal="left" vertical="center" wrapText="1" indent="1"/>
    </xf>
    <xf numFmtId="0" fontId="44" fillId="0" borderId="13" xfId="11" applyFont="1" applyBorder="1" applyAlignment="1">
      <alignment horizontal="left" vertical="center" wrapText="1" indent="1"/>
    </xf>
    <xf numFmtId="0" fontId="47" fillId="0" borderId="13" xfId="11" applyFont="1" applyBorder="1" applyAlignment="1">
      <alignment vertical="center" wrapText="1"/>
    </xf>
    <xf numFmtId="0" fontId="43" fillId="0" borderId="16" xfId="11" applyFont="1" applyBorder="1" applyAlignment="1">
      <alignment horizontal="left" vertical="center" wrapText="1" indent="1"/>
    </xf>
    <xf numFmtId="0" fontId="43" fillId="0" borderId="13" xfId="11" applyFont="1" applyBorder="1" applyAlignment="1">
      <alignment horizontal="left" vertical="center" wrapText="1" indent="1"/>
    </xf>
    <xf numFmtId="0" fontId="43" fillId="0" borderId="76" xfId="11" applyFont="1" applyBorder="1" applyAlignment="1">
      <alignment horizontal="left" vertical="center" wrapText="1" indent="1"/>
    </xf>
    <xf numFmtId="0" fontId="47" fillId="0" borderId="13" xfId="11" applyFont="1" applyBorder="1" applyAlignment="1">
      <alignment horizontal="left" vertical="center" wrapText="1"/>
    </xf>
    <xf numFmtId="0" fontId="44" fillId="0" borderId="74" xfId="11" applyFont="1" applyBorder="1" applyAlignment="1">
      <alignment horizontal="left" vertical="center" wrapText="1" indent="1"/>
    </xf>
    <xf numFmtId="0" fontId="48" fillId="0" borderId="13" xfId="11" applyFont="1" applyBorder="1" applyAlignment="1">
      <alignment vertical="center" wrapText="1"/>
    </xf>
    <xf numFmtId="0" fontId="46" fillId="0" borderId="13" xfId="11" applyFont="1" applyBorder="1" applyAlignment="1">
      <alignment vertical="center" wrapText="1"/>
    </xf>
    <xf numFmtId="0" fontId="59" fillId="0" borderId="13" xfId="11" applyFont="1" applyBorder="1" applyAlignment="1">
      <alignment vertical="center" wrapText="1"/>
    </xf>
    <xf numFmtId="0" fontId="48" fillId="0" borderId="16" xfId="11" applyFont="1" applyBorder="1" applyAlignment="1">
      <alignment vertical="center" wrapText="1"/>
    </xf>
    <xf numFmtId="0" fontId="46" fillId="0" borderId="74" xfId="11" applyFont="1" applyBorder="1" applyAlignment="1">
      <alignment vertical="center" wrapText="1"/>
    </xf>
    <xf numFmtId="0" fontId="40" fillId="0" borderId="16" xfId="11" applyFont="1" applyBorder="1" applyAlignment="1">
      <alignment vertical="center" wrapText="1"/>
    </xf>
    <xf numFmtId="0" fontId="46" fillId="0" borderId="75" xfId="11" applyFont="1" applyBorder="1" applyAlignment="1">
      <alignment vertical="center" wrapText="1"/>
    </xf>
    <xf numFmtId="0" fontId="46" fillId="0" borderId="76" xfId="11" applyFont="1" applyBorder="1" applyAlignment="1">
      <alignment vertical="center" wrapText="1"/>
    </xf>
    <xf numFmtId="0" fontId="46" fillId="0" borderId="74" xfId="0" applyFont="1" applyBorder="1" applyAlignment="1">
      <alignment horizontal="left" vertical="center" wrapText="1" indent="1"/>
    </xf>
    <xf numFmtId="0" fontId="58" fillId="0" borderId="13" xfId="11" applyFont="1" applyBorder="1" applyAlignment="1">
      <alignment vertical="center" wrapText="1"/>
    </xf>
    <xf numFmtId="0" fontId="40" fillId="2" borderId="76" xfId="11" applyFont="1" applyFill="1" applyBorder="1" applyAlignment="1">
      <alignment vertical="center" wrapText="1"/>
    </xf>
    <xf numFmtId="0" fontId="58" fillId="2" borderId="6" xfId="11" applyFont="1" applyFill="1" applyBorder="1" applyAlignment="1">
      <alignment vertical="center" wrapText="1"/>
    </xf>
    <xf numFmtId="0" fontId="48" fillId="0" borderId="76" xfId="11" applyFont="1" applyBorder="1" applyAlignment="1">
      <alignment vertical="center" wrapText="1"/>
    </xf>
    <xf numFmtId="0" fontId="6" fillId="0" borderId="13" xfId="11" applyFont="1" applyBorder="1" applyAlignment="1">
      <alignment vertical="center" wrapText="1"/>
    </xf>
    <xf numFmtId="0" fontId="6" fillId="0" borderId="74" xfId="11" applyFont="1" applyBorder="1" applyAlignment="1">
      <alignment vertical="center" wrapText="1"/>
    </xf>
    <xf numFmtId="0" fontId="58" fillId="0" borderId="16" xfId="11" applyFont="1" applyBorder="1" applyAlignment="1">
      <alignment vertical="center" wrapText="1"/>
    </xf>
    <xf numFmtId="0" fontId="40" fillId="0" borderId="75" xfId="11" applyFont="1" applyBorder="1" applyAlignment="1">
      <alignment vertical="center" wrapText="1"/>
    </xf>
    <xf numFmtId="0" fontId="40" fillId="0" borderId="0" xfId="11" applyFont="1" applyAlignment="1">
      <alignment vertical="center"/>
    </xf>
    <xf numFmtId="0" fontId="46" fillId="0" borderId="13" xfId="11" applyFont="1" applyBorder="1" applyAlignment="1">
      <alignment horizontal="left" vertical="center" wrapText="1"/>
    </xf>
    <xf numFmtId="0" fontId="43" fillId="0" borderId="75" xfId="0" applyFont="1" applyBorder="1" applyAlignment="1">
      <alignment horizontal="left" vertical="center" wrapText="1" indent="1"/>
    </xf>
    <xf numFmtId="0" fontId="58" fillId="0" borderId="6" xfId="11" applyFont="1" applyBorder="1" applyAlignment="1">
      <alignment vertical="center" wrapText="1"/>
    </xf>
    <xf numFmtId="0" fontId="6" fillId="0" borderId="76" xfId="11" applyFont="1" applyBorder="1" applyAlignment="1">
      <alignment vertical="center" wrapText="1"/>
    </xf>
    <xf numFmtId="0" fontId="40" fillId="0" borderId="76" xfId="11" applyFont="1" applyBorder="1" applyAlignment="1">
      <alignment vertical="center" wrapText="1"/>
    </xf>
    <xf numFmtId="0" fontId="6" fillId="0" borderId="6" xfId="11" applyFont="1" applyBorder="1" applyAlignment="1">
      <alignment vertical="center" wrapText="1"/>
    </xf>
    <xf numFmtId="0" fontId="6" fillId="0" borderId="75" xfId="11" applyFont="1" applyBorder="1" applyAlignment="1">
      <alignment vertical="center" wrapText="1"/>
    </xf>
    <xf numFmtId="0" fontId="46" fillId="0" borderId="16" xfId="11" applyFont="1" applyBorder="1" applyAlignment="1">
      <alignment vertical="center" wrapText="1"/>
    </xf>
    <xf numFmtId="0" fontId="46" fillId="0" borderId="0" xfId="0" applyFont="1" applyAlignment="1">
      <alignment horizontal="left" vertical="center" indent="4"/>
    </xf>
    <xf numFmtId="0" fontId="58" fillId="0" borderId="74" xfId="11" applyFont="1" applyBorder="1" applyAlignment="1">
      <alignment vertical="center" wrapText="1"/>
    </xf>
    <xf numFmtId="0" fontId="44" fillId="0" borderId="75" xfId="0" applyFont="1" applyBorder="1" applyAlignment="1">
      <alignment horizontal="left" vertical="center" indent="1"/>
    </xf>
    <xf numFmtId="0" fontId="68" fillId="0" borderId="75" xfId="0" applyFont="1" applyBorder="1" applyAlignment="1">
      <alignment horizontal="left" vertical="center" wrapText="1" indent="1"/>
    </xf>
    <xf numFmtId="0" fontId="44" fillId="0" borderId="75" xfId="0" applyFont="1" applyBorder="1" applyAlignment="1">
      <alignment horizontal="left" vertical="center" wrapText="1" indent="1"/>
    </xf>
    <xf numFmtId="0" fontId="46" fillId="0" borderId="75" xfId="0" applyFont="1" applyBorder="1" applyAlignment="1">
      <alignment horizontal="left" vertical="center" indent="2"/>
    </xf>
    <xf numFmtId="0" fontId="46" fillId="0" borderId="0" xfId="0" applyFont="1" applyAlignment="1">
      <alignment horizontal="left" vertical="center" wrapText="1" indent="4"/>
    </xf>
    <xf numFmtId="0" fontId="14" fillId="4" borderId="4" xfId="0" applyFont="1" applyFill="1" applyBorder="1" applyAlignment="1" applyProtection="1">
      <alignment horizontal="center" vertical="center" wrapText="1"/>
    </xf>
    <xf numFmtId="0" fontId="0" fillId="0" borderId="0" xfId="0" applyAlignment="1">
      <alignment horizont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wrapText="1"/>
    </xf>
    <xf numFmtId="0" fontId="0" fillId="2" borderId="0" xfId="0" applyFill="1" applyBorder="1" applyAlignment="1" applyProtection="1">
      <alignment horizontal="center" vertical="center" wrapText="1"/>
    </xf>
    <xf numFmtId="4" fontId="0" fillId="2" borderId="0" xfId="0" applyNumberFormat="1" applyFill="1" applyBorder="1" applyAlignment="1" applyProtection="1">
      <alignment horizontal="center" vertical="center"/>
      <protection locked="0"/>
    </xf>
    <xf numFmtId="10" fontId="0" fillId="2" borderId="0" xfId="0" applyNumberForma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0" xfId="0" applyFill="1" applyBorder="1" applyAlignment="1" applyProtection="1">
      <alignment horizontal="center" vertical="center" wrapText="1"/>
      <protection locked="0"/>
    </xf>
    <xf numFmtId="0" fontId="0" fillId="2" borderId="0" xfId="0" applyFill="1" applyBorder="1" applyAlignment="1" applyProtection="1">
      <alignment horizontal="left" vertical="center" wrapText="1"/>
      <protection locked="0"/>
    </xf>
    <xf numFmtId="0" fontId="0" fillId="27" borderId="0" xfId="0" applyFill="1"/>
    <xf numFmtId="0" fontId="0" fillId="0" borderId="66" xfId="0" applyFill="1" applyBorder="1"/>
    <xf numFmtId="49" fontId="0" fillId="0" borderId="0" xfId="0" quotePrefix="1" applyNumberFormat="1" applyFont="1" applyFill="1" applyBorder="1" applyAlignment="1" applyProtection="1">
      <alignment horizontal="left" vertical="center" wrapText="1"/>
      <protection locked="0"/>
    </xf>
    <xf numFmtId="0" fontId="0" fillId="0" borderId="22" xfId="0" applyBorder="1" applyAlignment="1" applyProtection="1">
      <alignment vertical="center" wrapText="1"/>
      <protection locked="0"/>
    </xf>
    <xf numFmtId="0" fontId="0" fillId="0" borderId="0" xfId="0" applyAlignment="1">
      <alignment horizontal="center"/>
    </xf>
    <xf numFmtId="0" fontId="0" fillId="0" borderId="22" xfId="0" applyBorder="1" applyAlignment="1" applyProtection="1">
      <alignment vertical="center" wrapText="1"/>
      <protection locked="0"/>
    </xf>
    <xf numFmtId="0" fontId="71" fillId="2" borderId="0" xfId="0" applyFont="1" applyFill="1" applyBorder="1" applyAlignment="1" applyProtection="1">
      <alignment horizontal="center" vertical="center"/>
      <protection hidden="1"/>
    </xf>
    <xf numFmtId="49" fontId="13" fillId="0" borderId="0" xfId="0" quotePrefix="1"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xf>
    <xf numFmtId="0" fontId="6" fillId="0" borderId="13" xfId="11" applyBorder="1" applyAlignment="1">
      <alignment vertical="center" wrapText="1"/>
    </xf>
    <xf numFmtId="0" fontId="6" fillId="0" borderId="74" xfId="11" applyBorder="1" applyAlignment="1">
      <alignment vertical="center" wrapText="1"/>
    </xf>
    <xf numFmtId="0" fontId="6" fillId="0" borderId="76" xfId="11" applyBorder="1" applyAlignment="1">
      <alignment vertical="center" wrapText="1"/>
    </xf>
    <xf numFmtId="0" fontId="6" fillId="0" borderId="6" xfId="11" applyBorder="1" applyAlignment="1">
      <alignment vertical="center" wrapText="1"/>
    </xf>
    <xf numFmtId="0" fontId="6" fillId="0" borderId="75" xfId="11" applyBorder="1" applyAlignment="1">
      <alignment vertical="center" wrapText="1"/>
    </xf>
    <xf numFmtId="0" fontId="40" fillId="0" borderId="76" xfId="11" applyFont="1" applyBorder="1" applyAlignment="1">
      <alignment vertical="center" wrapText="1"/>
    </xf>
    <xf numFmtId="0" fontId="40" fillId="0" borderId="74" xfId="11" applyFont="1" applyBorder="1" applyAlignment="1">
      <alignment vertical="center" wrapText="1"/>
    </xf>
    <xf numFmtId="0" fontId="40" fillId="0" borderId="75" xfId="11" applyFont="1" applyBorder="1" applyAlignment="1">
      <alignment vertical="center" wrapText="1"/>
    </xf>
    <xf numFmtId="0" fontId="40" fillId="0" borderId="1" xfId="11" applyFont="1" applyBorder="1" applyAlignment="1">
      <alignment vertical="center" wrapText="1"/>
    </xf>
    <xf numFmtId="0" fontId="40" fillId="0" borderId="0" xfId="11" applyFont="1" applyAlignment="1">
      <alignment vertical="center" wrapText="1"/>
    </xf>
    <xf numFmtId="0" fontId="0" fillId="0" borderId="0" xfId="0" applyAlignment="1">
      <alignment horizontal="center"/>
    </xf>
    <xf numFmtId="0" fontId="0" fillId="0" borderId="22" xfId="0" applyBorder="1" applyAlignment="1" applyProtection="1">
      <alignment vertical="center" wrapText="1"/>
      <protection locked="0"/>
    </xf>
    <xf numFmtId="2" fontId="0" fillId="0" borderId="0" xfId="0" applyNumberFormat="1" applyAlignment="1"/>
    <xf numFmtId="0" fontId="26" fillId="14" borderId="0" xfId="0" applyNumberFormat="1" applyFont="1" applyFill="1" applyBorder="1" applyAlignment="1" applyProtection="1">
      <alignment horizontal="center" vertical="center" wrapText="1"/>
      <protection hidden="1"/>
    </xf>
    <xf numFmtId="0" fontId="25" fillId="9" borderId="0" xfId="0" applyFont="1" applyFill="1" applyBorder="1" applyAlignment="1" applyProtection="1">
      <alignment horizontal="center" vertical="center" wrapText="1"/>
      <protection hidden="1"/>
    </xf>
    <xf numFmtId="0" fontId="33" fillId="3" borderId="0" xfId="0" applyFont="1" applyFill="1" applyBorder="1" applyAlignment="1" applyProtection="1">
      <alignment horizontal="center" vertical="center"/>
      <protection hidden="1"/>
    </xf>
    <xf numFmtId="0" fontId="25" fillId="21" borderId="0" xfId="0" applyFont="1" applyFill="1" applyBorder="1" applyAlignment="1" applyProtection="1">
      <alignment horizontal="center" vertical="center" wrapText="1"/>
      <protection hidden="1"/>
    </xf>
    <xf numFmtId="0" fontId="12" fillId="0" borderId="0" xfId="0" applyFont="1" applyProtection="1">
      <protection hidden="1"/>
    </xf>
    <xf numFmtId="0" fontId="18" fillId="0" borderId="0" xfId="0" applyFont="1" applyProtection="1">
      <protection hidden="1"/>
    </xf>
    <xf numFmtId="0" fontId="12" fillId="2" borderId="0" xfId="0" applyFont="1" applyFill="1" applyProtection="1">
      <protection hidden="1"/>
    </xf>
    <xf numFmtId="0" fontId="27" fillId="6" borderId="38" xfId="0" applyNumberFormat="1" applyFont="1" applyFill="1" applyBorder="1" applyAlignment="1" applyProtection="1">
      <alignment horizontal="left" vertical="center" wrapText="1"/>
      <protection hidden="1"/>
    </xf>
    <xf numFmtId="0" fontId="27" fillId="6" borderId="0" xfId="0" applyNumberFormat="1" applyFont="1" applyFill="1" applyBorder="1" applyAlignment="1" applyProtection="1">
      <alignment horizontal="left" vertical="center" wrapText="1"/>
      <protection hidden="1"/>
    </xf>
    <xf numFmtId="0" fontId="26" fillId="14" borderId="0" xfId="0" applyFont="1" applyFill="1" applyBorder="1" applyAlignment="1" applyProtection="1">
      <alignment horizontal="center" vertical="center" wrapText="1"/>
      <protection hidden="1"/>
    </xf>
    <xf numFmtId="49" fontId="18" fillId="8" borderId="29" xfId="0" applyNumberFormat="1" applyFont="1" applyFill="1" applyBorder="1" applyProtection="1">
      <protection hidden="1"/>
    </xf>
    <xf numFmtId="49" fontId="18" fillId="8" borderId="30" xfId="0" applyNumberFormat="1" applyFont="1" applyFill="1" applyBorder="1" applyProtection="1">
      <protection hidden="1"/>
    </xf>
    <xf numFmtId="49" fontId="24" fillId="7" borderId="34" xfId="0" applyNumberFormat="1" applyFont="1" applyFill="1" applyBorder="1" applyAlignment="1" applyProtection="1">
      <alignment vertical="center" wrapText="1"/>
      <protection hidden="1"/>
    </xf>
    <xf numFmtId="0" fontId="24" fillId="22" borderId="31" xfId="0" applyNumberFormat="1" applyFont="1" applyFill="1" applyBorder="1" applyAlignment="1" applyProtection="1">
      <alignment horizontal="center" vertical="center" wrapText="1"/>
      <protection hidden="1"/>
    </xf>
    <xf numFmtId="0" fontId="24" fillId="22" borderId="0" xfId="0" applyNumberFormat="1" applyFont="1" applyFill="1" applyBorder="1" applyAlignment="1" applyProtection="1">
      <alignment horizontal="center" vertical="center" wrapText="1"/>
      <protection hidden="1"/>
    </xf>
    <xf numFmtId="0" fontId="24" fillId="9" borderId="24" xfId="0" applyNumberFormat="1" applyFont="1" applyFill="1" applyBorder="1" applyAlignment="1" applyProtection="1">
      <alignment horizontal="center" vertical="center" wrapText="1"/>
      <protection hidden="1"/>
    </xf>
    <xf numFmtId="0" fontId="24" fillId="9" borderId="39" xfId="0" applyNumberFormat="1" applyFont="1" applyFill="1" applyBorder="1" applyAlignment="1" applyProtection="1">
      <alignment horizontal="center" vertical="center" wrapText="1"/>
      <protection hidden="1"/>
    </xf>
    <xf numFmtId="0" fontId="24" fillId="9" borderId="0" xfId="0" applyNumberFormat="1" applyFont="1" applyFill="1" applyBorder="1" applyAlignment="1" applyProtection="1">
      <alignment horizontal="center" vertical="center" wrapText="1"/>
      <protection hidden="1"/>
    </xf>
    <xf numFmtId="2" fontId="31" fillId="11" borderId="27" xfId="0" applyNumberFormat="1" applyFont="1" applyFill="1" applyBorder="1" applyAlignment="1" applyProtection="1">
      <alignment horizontal="center" vertical="center" wrapText="1"/>
      <protection hidden="1"/>
    </xf>
    <xf numFmtId="49" fontId="31" fillId="11" borderId="27" xfId="0" applyNumberFormat="1" applyFont="1" applyFill="1" applyBorder="1" applyAlignment="1" applyProtection="1">
      <alignment horizontal="center" vertical="center" wrapText="1"/>
      <protection hidden="1"/>
    </xf>
    <xf numFmtId="49" fontId="31" fillId="11" borderId="27" xfId="0" applyNumberFormat="1" applyFont="1" applyFill="1" applyBorder="1" applyAlignment="1" applyProtection="1">
      <alignment vertical="center" wrapText="1"/>
      <protection hidden="1"/>
    </xf>
    <xf numFmtId="0" fontId="31" fillId="11" borderId="27" xfId="0" applyNumberFormat="1" applyFont="1" applyFill="1" applyBorder="1" applyAlignment="1" applyProtection="1">
      <alignment horizontal="center" vertical="center" wrapText="1"/>
      <protection hidden="1"/>
    </xf>
    <xf numFmtId="0" fontId="31" fillId="11" borderId="0" xfId="0" applyNumberFormat="1" applyFont="1" applyFill="1" applyBorder="1" applyAlignment="1" applyProtection="1">
      <alignment horizontal="center" vertical="center" wrapText="1"/>
      <protection hidden="1"/>
    </xf>
    <xf numFmtId="0" fontId="35" fillId="0" borderId="0" xfId="0" applyFont="1" applyProtection="1">
      <protection hidden="1"/>
    </xf>
    <xf numFmtId="0" fontId="23" fillId="0" borderId="0" xfId="0" applyFont="1" applyProtection="1">
      <protection hidden="1"/>
    </xf>
    <xf numFmtId="49" fontId="31" fillId="2" borderId="0" xfId="0" applyNumberFormat="1" applyFont="1" applyFill="1" applyBorder="1" applyAlignment="1" applyProtection="1">
      <alignment horizontal="center" vertical="center" wrapText="1"/>
      <protection hidden="1"/>
    </xf>
    <xf numFmtId="49" fontId="18" fillId="2" borderId="0" xfId="0" applyNumberFormat="1" applyFont="1" applyFill="1" applyProtection="1">
      <protection hidden="1"/>
    </xf>
    <xf numFmtId="49" fontId="18" fillId="2" borderId="0" xfId="0" applyNumberFormat="1" applyFont="1" applyFill="1" applyAlignment="1" applyProtection="1">
      <alignment wrapText="1"/>
      <protection hidden="1"/>
    </xf>
    <xf numFmtId="49" fontId="27" fillId="6" borderId="38" xfId="0" applyNumberFormat="1" applyFont="1" applyFill="1" applyBorder="1" applyAlignment="1" applyProtection="1">
      <alignment horizontal="left" vertical="center" wrapText="1"/>
      <protection hidden="1"/>
    </xf>
    <xf numFmtId="0" fontId="27" fillId="6" borderId="0" xfId="0" applyNumberFormat="1" applyFont="1" applyFill="1" applyBorder="1" applyAlignment="1" applyProtection="1">
      <alignment vertical="center" wrapText="1"/>
      <protection hidden="1"/>
    </xf>
    <xf numFmtId="0" fontId="24" fillId="9" borderId="48" xfId="0" applyNumberFormat="1" applyFont="1" applyFill="1" applyBorder="1" applyAlignment="1" applyProtection="1">
      <alignment horizontal="center" vertical="center" wrapText="1"/>
      <protection hidden="1"/>
    </xf>
    <xf numFmtId="0" fontId="31" fillId="10" borderId="25" xfId="0" applyNumberFormat="1" applyFont="1" applyFill="1" applyBorder="1" applyAlignment="1" applyProtection="1">
      <alignment horizontal="center" vertical="center" wrapText="1"/>
      <protection hidden="1"/>
    </xf>
    <xf numFmtId="0" fontId="31" fillId="10" borderId="25" xfId="0" applyNumberFormat="1" applyFont="1" applyFill="1" applyBorder="1" applyAlignment="1" applyProtection="1">
      <alignment vertical="center" wrapText="1"/>
      <protection hidden="1"/>
    </xf>
    <xf numFmtId="0" fontId="31" fillId="11" borderId="33" xfId="0" applyNumberFormat="1" applyFont="1" applyFill="1" applyBorder="1" applyAlignment="1" applyProtection="1">
      <alignment horizontal="center" vertical="center" wrapText="1"/>
      <protection hidden="1"/>
    </xf>
    <xf numFmtId="0" fontId="31" fillId="10" borderId="0" xfId="0" applyNumberFormat="1" applyFont="1" applyFill="1" applyBorder="1" applyAlignment="1" applyProtection="1">
      <alignment horizontal="center" vertical="center" wrapText="1"/>
      <protection hidden="1"/>
    </xf>
    <xf numFmtId="0" fontId="0" fillId="2" borderId="0" xfId="0" applyFont="1" applyFill="1" applyProtection="1">
      <protection hidden="1"/>
    </xf>
    <xf numFmtId="49" fontId="18" fillId="8" borderId="0" xfId="0" applyNumberFormat="1" applyFont="1" applyFill="1" applyBorder="1" applyAlignment="1" applyProtection="1">
      <protection hidden="1"/>
    </xf>
    <xf numFmtId="0" fontId="24" fillId="22" borderId="31" xfId="0" applyNumberFormat="1" applyFont="1" applyFill="1" applyBorder="1" applyAlignment="1" applyProtection="1">
      <alignment vertical="center" wrapText="1"/>
      <protection hidden="1"/>
    </xf>
    <xf numFmtId="0" fontId="24" fillId="22" borderId="0" xfId="0" applyNumberFormat="1" applyFont="1" applyFill="1" applyBorder="1" applyAlignment="1" applyProtection="1">
      <alignment vertical="center" wrapText="1"/>
      <protection hidden="1"/>
    </xf>
    <xf numFmtId="15" fontId="24" fillId="2" borderId="0" xfId="0" applyNumberFormat="1" applyFont="1" applyFill="1" applyBorder="1" applyAlignment="1" applyProtection="1">
      <alignment horizontal="center" vertical="center"/>
      <protection hidden="1"/>
    </xf>
    <xf numFmtId="0" fontId="18" fillId="2" borderId="0" xfId="0" applyFont="1" applyFill="1" applyBorder="1" applyAlignment="1" applyProtection="1">
      <protection hidden="1"/>
    </xf>
    <xf numFmtId="0" fontId="37" fillId="2" borderId="0" xfId="0" applyFont="1" applyFill="1" applyBorder="1" applyAlignment="1" applyProtection="1">
      <alignment horizontal="center" vertical="center"/>
      <protection hidden="1"/>
    </xf>
    <xf numFmtId="49" fontId="18" fillId="8" borderId="47" xfId="0" applyNumberFormat="1" applyFont="1" applyFill="1" applyBorder="1" applyAlignment="1" applyProtection="1">
      <protection hidden="1"/>
    </xf>
    <xf numFmtId="49" fontId="18" fillId="8" borderId="46" xfId="0" applyNumberFormat="1" applyFont="1" applyFill="1" applyBorder="1" applyAlignment="1" applyProtection="1">
      <protection hidden="1"/>
    </xf>
    <xf numFmtId="0" fontId="31" fillId="2" borderId="32" xfId="0" applyNumberFormat="1" applyFont="1" applyFill="1" applyBorder="1" applyAlignment="1" applyProtection="1">
      <alignment vertical="center" wrapText="1"/>
      <protection hidden="1"/>
    </xf>
    <xf numFmtId="0" fontId="31" fillId="2" borderId="32" xfId="0" applyNumberFormat="1" applyFont="1" applyFill="1" applyBorder="1" applyAlignment="1" applyProtection="1">
      <alignment horizontal="center" vertical="center" wrapText="1"/>
      <protection hidden="1"/>
    </xf>
    <xf numFmtId="0" fontId="31" fillId="2" borderId="26" xfId="0" applyNumberFormat="1" applyFont="1" applyFill="1" applyBorder="1" applyAlignment="1" applyProtection="1">
      <alignment horizontal="center" vertical="center" wrapText="1"/>
      <protection hidden="1"/>
    </xf>
    <xf numFmtId="0" fontId="31" fillId="15" borderId="27" xfId="0" applyNumberFormat="1" applyFont="1" applyFill="1" applyBorder="1" applyAlignment="1" applyProtection="1">
      <alignment vertical="center" wrapText="1"/>
      <protection hidden="1"/>
    </xf>
    <xf numFmtId="0" fontId="31" fillId="15" borderId="27" xfId="0" applyNumberFormat="1" applyFont="1" applyFill="1" applyBorder="1" applyAlignment="1" applyProtection="1">
      <alignment horizontal="center" vertical="center" wrapText="1"/>
      <protection hidden="1"/>
    </xf>
    <xf numFmtId="0" fontId="12" fillId="2" borderId="0" xfId="0" applyFont="1" applyFill="1" applyAlignment="1" applyProtection="1">
      <alignment wrapText="1"/>
      <protection hidden="1"/>
    </xf>
    <xf numFmtId="0" fontId="12" fillId="0" borderId="0" xfId="0" applyFont="1" applyAlignment="1" applyProtection="1">
      <alignment wrapText="1"/>
      <protection hidden="1"/>
    </xf>
    <xf numFmtId="0" fontId="18" fillId="0" borderId="0" xfId="0" applyFont="1" applyAlignment="1" applyProtection="1">
      <alignment wrapText="1"/>
      <protection hidden="1"/>
    </xf>
    <xf numFmtId="0" fontId="31" fillId="2" borderId="0" xfId="0" applyNumberFormat="1" applyFont="1" applyFill="1" applyBorder="1" applyAlignment="1" applyProtection="1">
      <alignment horizontal="center" vertical="center" wrapText="1"/>
      <protection hidden="1"/>
    </xf>
    <xf numFmtId="49" fontId="31" fillId="12" borderId="32" xfId="0" applyNumberFormat="1" applyFont="1" applyFill="1" applyBorder="1" applyAlignment="1" applyProtection="1">
      <alignment horizontal="center" vertical="center" wrapText="1"/>
      <protection hidden="1"/>
    </xf>
    <xf numFmtId="0" fontId="31" fillId="12" borderId="32" xfId="0" applyNumberFormat="1" applyFont="1" applyFill="1" applyBorder="1" applyAlignment="1" applyProtection="1">
      <alignment vertical="center" wrapText="1"/>
      <protection hidden="1"/>
    </xf>
    <xf numFmtId="0" fontId="31" fillId="12" borderId="32" xfId="0" applyNumberFormat="1" applyFont="1" applyFill="1" applyBorder="1" applyAlignment="1" applyProtection="1">
      <alignment horizontal="center" vertical="center" wrapText="1"/>
      <protection hidden="1"/>
    </xf>
    <xf numFmtId="49" fontId="31" fillId="12" borderId="0" xfId="0" applyNumberFormat="1" applyFont="1" applyFill="1" applyBorder="1" applyAlignment="1" applyProtection="1">
      <alignment horizontal="center" vertical="center" wrapText="1"/>
      <protection hidden="1"/>
    </xf>
    <xf numFmtId="49" fontId="0" fillId="16" borderId="0" xfId="0" applyNumberFormat="1" applyFill="1" applyBorder="1" applyAlignment="1" applyProtection="1">
      <alignment horizontal="center"/>
      <protection hidden="1"/>
    </xf>
    <xf numFmtId="49" fontId="18" fillId="0" borderId="0" xfId="0" applyNumberFormat="1" applyFont="1" applyProtection="1">
      <protection hidden="1"/>
    </xf>
    <xf numFmtId="49" fontId="32" fillId="8" borderId="47" xfId="0" applyNumberFormat="1" applyFont="1" applyFill="1" applyBorder="1" applyAlignment="1" applyProtection="1">
      <protection hidden="1"/>
    </xf>
    <xf numFmtId="49" fontId="32" fillId="8" borderId="46" xfId="0" applyNumberFormat="1" applyFont="1" applyFill="1" applyBorder="1" applyAlignment="1" applyProtection="1">
      <protection hidden="1"/>
    </xf>
    <xf numFmtId="49" fontId="24" fillId="7" borderId="47" xfId="0" applyNumberFormat="1" applyFont="1" applyFill="1" applyBorder="1" applyAlignment="1" applyProtection="1">
      <alignment vertical="center"/>
      <protection hidden="1"/>
    </xf>
    <xf numFmtId="49" fontId="24" fillId="7" borderId="46" xfId="0" applyNumberFormat="1" applyFont="1" applyFill="1" applyBorder="1" applyAlignment="1" applyProtection="1">
      <alignment vertical="center"/>
      <protection hidden="1"/>
    </xf>
    <xf numFmtId="49" fontId="24" fillId="7" borderId="0" xfId="0" applyNumberFormat="1" applyFont="1" applyFill="1" applyBorder="1" applyAlignment="1" applyProtection="1">
      <alignment vertical="center"/>
      <protection hidden="1"/>
    </xf>
    <xf numFmtId="0" fontId="31" fillId="2" borderId="33" xfId="0" applyNumberFormat="1" applyFont="1" applyFill="1" applyBorder="1" applyAlignment="1" applyProtection="1">
      <alignment vertical="center" wrapText="1"/>
      <protection hidden="1"/>
    </xf>
    <xf numFmtId="0" fontId="0" fillId="0" borderId="0" xfId="0" applyNumberFormat="1" applyBorder="1" applyAlignment="1" applyProtection="1">
      <alignment horizontal="center"/>
      <protection hidden="1"/>
    </xf>
    <xf numFmtId="49" fontId="0" fillId="0" borderId="0" xfId="0" applyNumberFormat="1" applyBorder="1" applyAlignment="1" applyProtection="1">
      <alignment horizontal="center"/>
      <protection hidden="1"/>
    </xf>
    <xf numFmtId="0" fontId="31" fillId="12" borderId="27" xfId="0" applyNumberFormat="1" applyFont="1" applyFill="1" applyBorder="1" applyAlignment="1" applyProtection="1">
      <alignment horizontal="left" vertical="center" wrapText="1"/>
      <protection hidden="1"/>
    </xf>
    <xf numFmtId="49" fontId="31" fillId="19" borderId="0" xfId="0" applyNumberFormat="1" applyFont="1" applyFill="1" applyBorder="1" applyAlignment="1" applyProtection="1">
      <alignment horizontal="center" vertical="center"/>
      <protection hidden="1"/>
    </xf>
    <xf numFmtId="49" fontId="31" fillId="2" borderId="0" xfId="0" applyNumberFormat="1" applyFont="1" applyFill="1" applyBorder="1" applyAlignment="1" applyProtection="1">
      <alignment horizontal="center" vertical="center"/>
      <protection hidden="1"/>
    </xf>
    <xf numFmtId="0" fontId="0" fillId="0" borderId="0" xfId="0" applyFont="1" applyFill="1" applyAlignment="1" applyProtection="1">
      <alignment horizontal="center" vertical="center" wrapText="1"/>
    </xf>
    <xf numFmtId="167" fontId="0" fillId="2" borderId="11" xfId="0" applyNumberFormat="1" applyFont="1" applyFill="1" applyBorder="1" applyAlignment="1" applyProtection="1">
      <alignment horizontal="center" vertical="center"/>
      <protection locked="0" hidden="1"/>
    </xf>
    <xf numFmtId="167" fontId="13" fillId="0" borderId="0" xfId="0" applyNumberFormat="1" applyFont="1" applyProtection="1"/>
    <xf numFmtId="0" fontId="15" fillId="4" borderId="23" xfId="0" applyFont="1" applyFill="1" applyBorder="1" applyAlignment="1" applyProtection="1">
      <alignment horizontal="center" vertical="center"/>
    </xf>
    <xf numFmtId="17" fontId="15" fillId="4" borderId="23" xfId="0" applyNumberFormat="1" applyFont="1" applyFill="1" applyBorder="1" applyAlignment="1" applyProtection="1">
      <alignment horizontal="center" vertical="center"/>
    </xf>
    <xf numFmtId="17" fontId="16" fillId="0" borderId="23" xfId="0" applyNumberFormat="1" applyFont="1" applyFill="1" applyBorder="1" applyAlignment="1" applyProtection="1">
      <alignment horizontal="center" vertical="center"/>
    </xf>
    <xf numFmtId="49" fontId="0" fillId="2" borderId="23" xfId="0" applyNumberFormat="1" applyFont="1" applyFill="1" applyBorder="1" applyAlignment="1" applyProtection="1">
      <alignment horizontal="left" vertical="center" wrapText="1"/>
      <protection locked="0"/>
    </xf>
    <xf numFmtId="0" fontId="13" fillId="0" borderId="23" xfId="0" applyFont="1" applyFill="1" applyBorder="1" applyAlignment="1" applyProtection="1">
      <alignment horizontal="left" wrapText="1"/>
    </xf>
    <xf numFmtId="0" fontId="20" fillId="25" borderId="23" xfId="0" applyFont="1" applyFill="1" applyBorder="1" applyProtection="1"/>
    <xf numFmtId="0" fontId="21" fillId="25" borderId="23"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23" xfId="0" applyFont="1" applyFill="1" applyBorder="1" applyAlignment="1" applyProtection="1">
      <alignment horizontal="center" vertical="center" wrapText="1"/>
    </xf>
    <xf numFmtId="49" fontId="20" fillId="25" borderId="23" xfId="0" quotePrefix="1" applyNumberFormat="1" applyFont="1" applyFill="1" applyBorder="1" applyAlignment="1" applyProtection="1">
      <alignment horizontal="left" wrapText="1"/>
    </xf>
    <xf numFmtId="0" fontId="0" fillId="2" borderId="23" xfId="0" quotePrefix="1" applyFont="1" applyFill="1" applyBorder="1" applyAlignment="1" applyProtection="1">
      <alignment horizontal="left" vertical="center" wrapText="1"/>
      <protection locked="0"/>
    </xf>
    <xf numFmtId="0" fontId="13" fillId="0" borderId="23" xfId="0" quotePrefix="1" applyFont="1" applyFill="1" applyBorder="1" applyAlignment="1" applyProtection="1">
      <alignment horizontal="left" wrapText="1"/>
    </xf>
    <xf numFmtId="0" fontId="13" fillId="0" borderId="23" xfId="0" quotePrefix="1" applyFont="1" applyFill="1" applyBorder="1" applyAlignment="1" applyProtection="1">
      <alignment horizontal="center" wrapText="1"/>
    </xf>
    <xf numFmtId="0" fontId="15" fillId="4" borderId="23" xfId="0" applyFont="1" applyFill="1" applyBorder="1" applyAlignment="1">
      <alignment horizontal="center" vertical="center"/>
    </xf>
    <xf numFmtId="0" fontId="19" fillId="4" borderId="23" xfId="0" applyFont="1" applyFill="1" applyBorder="1" applyAlignment="1">
      <alignment horizontal="center" vertical="center"/>
    </xf>
    <xf numFmtId="0" fontId="15" fillId="4" borderId="23" xfId="0" applyFont="1" applyFill="1" applyBorder="1" applyAlignment="1">
      <alignment horizontal="center" vertical="center" wrapText="1"/>
    </xf>
    <xf numFmtId="17" fontId="16" fillId="2" borderId="23" xfId="0" applyNumberFormat="1" applyFont="1" applyFill="1" applyBorder="1" applyAlignment="1">
      <alignment vertical="center"/>
    </xf>
    <xf numFmtId="17" fontId="72" fillId="2" borderId="23" xfId="0" applyNumberFormat="1" applyFont="1" applyFill="1" applyBorder="1" applyAlignment="1">
      <alignment horizontal="center" vertical="center" wrapText="1"/>
    </xf>
    <xf numFmtId="17" fontId="72" fillId="2" borderId="23" xfId="0" applyNumberFormat="1" applyFont="1" applyFill="1" applyBorder="1" applyAlignment="1" applyProtection="1">
      <alignment vertical="center"/>
    </xf>
    <xf numFmtId="0" fontId="18" fillId="0" borderId="23" xfId="0" applyFont="1" applyBorder="1" applyProtection="1"/>
    <xf numFmtId="0" fontId="18" fillId="24" borderId="23" xfId="0" applyFont="1" applyFill="1" applyBorder="1" applyProtection="1"/>
    <xf numFmtId="49" fontId="13" fillId="2" borderId="23" xfId="0" applyNumberFormat="1" applyFont="1" applyFill="1" applyBorder="1" applyAlignment="1" applyProtection="1">
      <alignment horizontal="center" vertical="center"/>
    </xf>
    <xf numFmtId="0" fontId="12" fillId="2" borderId="23" xfId="0" applyFont="1" applyFill="1" applyBorder="1" applyAlignment="1" applyProtection="1">
      <alignment horizontal="left" vertical="center" wrapText="1"/>
      <protection locked="0"/>
    </xf>
    <xf numFmtId="49" fontId="12" fillId="2" borderId="23" xfId="0" applyNumberFormat="1" applyFont="1" applyFill="1" applyBorder="1" applyAlignment="1">
      <alignment horizontal="left" vertical="center" wrapText="1"/>
    </xf>
    <xf numFmtId="0" fontId="12" fillId="2" borderId="23" xfId="0" applyFont="1" applyFill="1" applyBorder="1" applyAlignment="1">
      <alignment horizontal="left" vertical="center" wrapText="1"/>
    </xf>
    <xf numFmtId="49" fontId="12" fillId="2" borderId="23" xfId="0" applyNumberFormat="1" applyFont="1" applyFill="1" applyBorder="1" applyAlignment="1" applyProtection="1">
      <alignment horizontal="left" vertical="center" wrapText="1"/>
      <protection locked="0"/>
    </xf>
    <xf numFmtId="49" fontId="13" fillId="2" borderId="23" xfId="0" applyNumberFormat="1"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23" xfId="0" applyFont="1" applyFill="1" applyBorder="1"/>
    <xf numFmtId="0" fontId="18" fillId="2" borderId="23" xfId="0" applyFont="1" applyFill="1" applyBorder="1"/>
    <xf numFmtId="0" fontId="18" fillId="2" borderId="23" xfId="0" applyFont="1" applyFill="1" applyBorder="1" applyProtection="1"/>
    <xf numFmtId="49" fontId="18" fillId="0" borderId="23" xfId="0" applyNumberFormat="1" applyFont="1" applyBorder="1" applyProtection="1"/>
    <xf numFmtId="0" fontId="10" fillId="0" borderId="23" xfId="2" applyFont="1" applyFill="1" applyBorder="1"/>
    <xf numFmtId="0" fontId="10" fillId="0" borderId="23" xfId="2" applyNumberFormat="1" applyFill="1" applyBorder="1"/>
    <xf numFmtId="0" fontId="10" fillId="0" borderId="117" xfId="2" applyFill="1" applyBorder="1"/>
    <xf numFmtId="0" fontId="10" fillId="0" borderId="118" xfId="2" quotePrefix="1" applyFill="1" applyBorder="1" applyAlignment="1">
      <alignment horizontal="left"/>
    </xf>
    <xf numFmtId="0" fontId="10" fillId="0" borderId="118" xfId="2" applyFill="1" applyBorder="1"/>
    <xf numFmtId="49" fontId="10" fillId="0" borderId="118" xfId="2" applyNumberFormat="1" applyFill="1" applyBorder="1"/>
    <xf numFmtId="0" fontId="10" fillId="0" borderId="118" xfId="2" applyNumberFormat="1" applyFill="1" applyBorder="1"/>
    <xf numFmtId="49" fontId="10" fillId="0" borderId="118" xfId="2" quotePrefix="1" applyNumberFormat="1" applyFill="1" applyBorder="1"/>
    <xf numFmtId="172" fontId="10" fillId="0" borderId="23" xfId="2" applyNumberFormat="1" applyFill="1" applyBorder="1"/>
    <xf numFmtId="0" fontId="0" fillId="4" borderId="23" xfId="0" quotePrefix="1" applyFont="1" applyFill="1" applyBorder="1" applyAlignment="1" applyProtection="1">
      <alignment horizontal="center" vertical="center" wrapText="1"/>
    </xf>
    <xf numFmtId="17" fontId="0" fillId="4" borderId="23" xfId="0" applyNumberFormat="1" applyFont="1" applyFill="1" applyBorder="1" applyAlignment="1" applyProtection="1">
      <alignment horizontal="center" vertical="center" wrapText="1"/>
    </xf>
    <xf numFmtId="0" fontId="13" fillId="0" borderId="23" xfId="0" applyFont="1" applyBorder="1" applyAlignment="1" applyProtection="1">
      <alignment wrapText="1"/>
    </xf>
    <xf numFmtId="0" fontId="0" fillId="0" borderId="23" xfId="0" applyFont="1" applyBorder="1" applyAlignment="1" applyProtection="1">
      <alignment horizontal="center" vertical="center"/>
    </xf>
    <xf numFmtId="49" fontId="0" fillId="0" borderId="23" xfId="0" applyNumberFormat="1" applyFont="1" applyBorder="1" applyAlignment="1" applyProtection="1">
      <alignment horizontal="left" vertical="center" wrapText="1"/>
      <protection locked="0"/>
    </xf>
    <xf numFmtId="17" fontId="0" fillId="0" borderId="23" xfId="0" applyNumberFormat="1" applyFont="1" applyBorder="1" applyAlignment="1" applyProtection="1">
      <alignment horizontal="center" vertical="center"/>
    </xf>
    <xf numFmtId="17" fontId="0" fillId="0" borderId="23" xfId="0" applyNumberFormat="1" applyFont="1" applyBorder="1" applyProtection="1"/>
    <xf numFmtId="17" fontId="13" fillId="0" borderId="23" xfId="0" applyNumberFormat="1" applyFont="1" applyBorder="1" applyAlignment="1" applyProtection="1">
      <alignment vertical="center"/>
    </xf>
    <xf numFmtId="49" fontId="13" fillId="0" borderId="23" xfId="0" applyNumberFormat="1" applyFont="1" applyBorder="1" applyAlignment="1" applyProtection="1">
      <alignment vertical="center"/>
    </xf>
    <xf numFmtId="0" fontId="13" fillId="0" borderId="23" xfId="0" applyNumberFormat="1" applyFont="1" applyBorder="1" applyAlignment="1" applyProtection="1">
      <alignment vertical="center"/>
    </xf>
    <xf numFmtId="17" fontId="13" fillId="0" borderId="23" xfId="0" applyNumberFormat="1" applyFont="1" applyBorder="1" applyProtection="1"/>
    <xf numFmtId="0" fontId="0" fillId="20" borderId="0" xfId="0" applyFill="1" applyAlignment="1" applyProtection="1">
      <protection locked="0"/>
    </xf>
    <xf numFmtId="0" fontId="0" fillId="0" borderId="0" xfId="0" applyProtection="1">
      <protection locked="0"/>
    </xf>
    <xf numFmtId="0" fontId="0" fillId="0" borderId="23" xfId="0" applyFill="1" applyBorder="1" applyProtection="1">
      <protection locked="0"/>
    </xf>
    <xf numFmtId="0" fontId="0" fillId="0" borderId="23" xfId="0" applyFill="1" applyBorder="1" applyAlignment="1" applyProtection="1">
      <alignment wrapText="1"/>
      <protection locked="0"/>
    </xf>
    <xf numFmtId="2" fontId="0" fillId="0" borderId="0" xfId="0" applyNumberFormat="1" applyProtection="1">
      <protection locked="0"/>
    </xf>
    <xf numFmtId="166" fontId="0" fillId="0" borderId="23" xfId="0" applyNumberFormat="1" applyFill="1" applyBorder="1" applyProtection="1">
      <protection locked="0"/>
    </xf>
    <xf numFmtId="2" fontId="0" fillId="0" borderId="23" xfId="0" applyNumberFormat="1" applyFill="1" applyBorder="1" applyProtection="1">
      <protection locked="0"/>
    </xf>
    <xf numFmtId="172" fontId="0" fillId="0" borderId="23" xfId="0" applyNumberFormat="1" applyFill="1" applyBorder="1" applyProtection="1">
      <protection locked="0"/>
    </xf>
    <xf numFmtId="49" fontId="0" fillId="0" borderId="23" xfId="0" applyNumberFormat="1" applyFill="1" applyBorder="1" applyProtection="1">
      <protection locked="0"/>
    </xf>
    <xf numFmtId="49" fontId="0" fillId="0" borderId="23" xfId="0" applyNumberFormat="1" applyFill="1" applyBorder="1" applyAlignment="1" applyProtection="1">
      <alignment wrapText="1"/>
      <protection locked="0"/>
    </xf>
    <xf numFmtId="0" fontId="0" fillId="0" borderId="0" xfId="0" applyNumberFormat="1" applyProtection="1">
      <protection locked="0"/>
    </xf>
    <xf numFmtId="0" fontId="0" fillId="0" borderId="0" xfId="0" applyAlignment="1" applyProtection="1">
      <alignment wrapText="1"/>
      <protection locked="0"/>
    </xf>
    <xf numFmtId="0" fontId="0" fillId="20" borderId="0" xfId="0" applyFill="1" applyProtection="1">
      <protection locked="0"/>
    </xf>
    <xf numFmtId="0" fontId="54" fillId="0" borderId="0" xfId="0" applyFont="1" applyProtection="1">
      <protection locked="0"/>
    </xf>
    <xf numFmtId="0" fontId="0" fillId="0" borderId="0" xfId="0" quotePrefix="1" applyProtection="1">
      <protection locked="0"/>
    </xf>
    <xf numFmtId="0" fontId="0" fillId="0" borderId="23" xfId="0" applyFill="1" applyBorder="1" applyProtection="1"/>
    <xf numFmtId="1" fontId="0" fillId="0" borderId="23" xfId="0" applyNumberFormat="1" applyFill="1" applyBorder="1" applyProtection="1">
      <protection locked="0"/>
    </xf>
    <xf numFmtId="167" fontId="0" fillId="0" borderId="23" xfId="0" applyNumberFormat="1" applyFill="1" applyBorder="1" applyProtection="1">
      <protection locked="0"/>
    </xf>
    <xf numFmtId="169" fontId="0" fillId="0" borderId="23" xfId="0" applyNumberFormat="1" applyFill="1" applyBorder="1" applyProtection="1">
      <protection locked="0"/>
    </xf>
    <xf numFmtId="14" fontId="0" fillId="0" borderId="23" xfId="0" applyNumberFormat="1" applyFill="1" applyBorder="1" applyProtection="1">
      <protection locked="0"/>
    </xf>
    <xf numFmtId="0" fontId="0" fillId="0" borderId="23" xfId="0" quotePrefix="1" applyFill="1" applyBorder="1" applyProtection="1">
      <protection locked="0"/>
    </xf>
    <xf numFmtId="167" fontId="0" fillId="0" borderId="23" xfId="0" quotePrefix="1" applyNumberFormat="1" applyFill="1" applyBorder="1" applyProtection="1">
      <protection locked="0"/>
    </xf>
    <xf numFmtId="0" fontId="0" fillId="0" borderId="23" xfId="0" quotePrefix="1" applyFill="1" applyBorder="1" applyProtection="1"/>
    <xf numFmtId="0" fontId="0" fillId="0" borderId="23" xfId="0" quotePrefix="1" applyNumberFormat="1" applyFill="1" applyBorder="1" applyProtection="1">
      <protection locked="0"/>
    </xf>
    <xf numFmtId="0" fontId="0" fillId="0" borderId="23" xfId="0" quotePrefix="1" applyNumberFormat="1" applyFill="1" applyBorder="1" applyProtection="1"/>
    <xf numFmtId="49" fontId="0" fillId="0" borderId="23" xfId="0" quotePrefix="1" applyNumberFormat="1" applyFill="1" applyBorder="1" applyProtection="1">
      <protection locked="0"/>
    </xf>
    <xf numFmtId="49" fontId="0" fillId="2" borderId="23" xfId="0" applyNumberFormat="1" applyFont="1" applyFill="1" applyBorder="1" applyAlignment="1" applyProtection="1">
      <alignment horizontal="left" vertical="top" wrapText="1"/>
      <protection locked="0"/>
    </xf>
    <xf numFmtId="3" fontId="0" fillId="0" borderId="21" xfId="0" applyNumberFormat="1" applyFill="1" applyBorder="1" applyAlignment="1" applyProtection="1">
      <alignment horizontal="center" vertical="center"/>
      <protection locked="0"/>
    </xf>
    <xf numFmtId="0" fontId="43" fillId="0" borderId="2" xfId="11" applyFont="1" applyBorder="1" applyAlignment="1">
      <alignment horizontal="left" vertical="center" wrapText="1"/>
    </xf>
    <xf numFmtId="0" fontId="43" fillId="0" borderId="3" xfId="11" applyFont="1" applyBorder="1" applyAlignment="1">
      <alignment horizontal="left" vertical="center" wrapText="1"/>
    </xf>
    <xf numFmtId="0" fontId="43" fillId="0" borderId="2" xfId="11" applyFont="1" applyBorder="1" applyAlignment="1">
      <alignment horizontal="left" vertical="top" wrapText="1"/>
    </xf>
    <xf numFmtId="0" fontId="43" fillId="0" borderId="3" xfId="11" applyFont="1" applyBorder="1" applyAlignment="1">
      <alignment horizontal="left" vertical="top" wrapText="1"/>
    </xf>
    <xf numFmtId="0" fontId="60" fillId="0" borderId="2" xfId="1" applyFont="1" applyBorder="1" applyAlignment="1">
      <alignment horizontal="left" vertical="center" wrapText="1"/>
    </xf>
    <xf numFmtId="0" fontId="62" fillId="0" borderId="3" xfId="1" applyFont="1" applyBorder="1" applyAlignment="1">
      <alignment horizontal="left" vertical="center" wrapText="1"/>
    </xf>
    <xf numFmtId="0" fontId="40" fillId="0" borderId="0" xfId="11" applyFont="1" applyAlignment="1">
      <alignment horizontal="center" vertical="center"/>
    </xf>
    <xf numFmtId="0" fontId="40" fillId="16" borderId="4" xfId="11" applyFont="1" applyFill="1" applyBorder="1" applyAlignment="1">
      <alignment vertical="center" wrapText="1"/>
    </xf>
    <xf numFmtId="0" fontId="40" fillId="16" borderId="3" xfId="11" applyFont="1" applyFill="1" applyBorder="1" applyAlignment="1">
      <alignment vertical="center" wrapText="1"/>
    </xf>
    <xf numFmtId="0" fontId="43" fillId="0" borderId="4" xfId="11" applyFont="1" applyBorder="1" applyAlignment="1">
      <alignment horizontal="left" vertical="center" wrapText="1"/>
    </xf>
    <xf numFmtId="0" fontId="60" fillId="0" borderId="4" xfId="1" applyFont="1" applyBorder="1" applyAlignment="1">
      <alignment horizontal="left" vertical="center" wrapText="1"/>
    </xf>
    <xf numFmtId="0" fontId="43" fillId="0" borderId="14" xfId="11" applyFont="1" applyBorder="1" applyAlignment="1">
      <alignment horizontal="left" vertical="top" wrapText="1"/>
    </xf>
    <xf numFmtId="0" fontId="43" fillId="0" borderId="16" xfId="11" applyFont="1" applyBorder="1" applyAlignment="1">
      <alignment horizontal="left" vertical="top" wrapText="1"/>
    </xf>
    <xf numFmtId="0" fontId="43" fillId="0" borderId="4" xfId="11" applyFont="1" applyBorder="1" applyAlignment="1">
      <alignment horizontal="left" vertical="top" wrapText="1"/>
    </xf>
    <xf numFmtId="0" fontId="9" fillId="3" borderId="4" xfId="1" applyFill="1" applyBorder="1" applyAlignment="1">
      <alignment vertical="center" wrapText="1"/>
    </xf>
    <xf numFmtId="0" fontId="9" fillId="3" borderId="3" xfId="1" applyFill="1" applyBorder="1" applyAlignment="1">
      <alignment vertical="center" wrapText="1"/>
    </xf>
    <xf numFmtId="0" fontId="43" fillId="0" borderId="7" xfId="11" applyFont="1" applyBorder="1" applyAlignment="1">
      <alignment horizontal="left" vertical="top" wrapText="1"/>
    </xf>
    <xf numFmtId="0" fontId="43" fillId="0" borderId="8" xfId="11" applyFont="1" applyBorder="1" applyAlignment="1">
      <alignment horizontal="left" vertical="top" wrapText="1"/>
    </xf>
    <xf numFmtId="0" fontId="43" fillId="0" borderId="1" xfId="11" applyFont="1" applyBorder="1" applyAlignment="1">
      <alignment horizontal="left" vertical="top" wrapText="1"/>
    </xf>
    <xf numFmtId="0" fontId="43" fillId="0" borderId="13" xfId="11" applyFont="1" applyBorder="1" applyAlignment="1">
      <alignment horizontal="left" vertical="top" wrapText="1"/>
    </xf>
    <xf numFmtId="0" fontId="46" fillId="18" borderId="4" xfId="11" applyFont="1" applyFill="1" applyBorder="1" applyAlignment="1">
      <alignment vertical="center" wrapText="1"/>
    </xf>
    <xf numFmtId="0" fontId="46" fillId="18" borderId="3" xfId="11" applyFont="1" applyFill="1" applyBorder="1" applyAlignment="1">
      <alignment vertical="center" wrapText="1"/>
    </xf>
    <xf numFmtId="0" fontId="40" fillId="0" borderId="76" xfId="11" applyFont="1" applyBorder="1" applyAlignment="1">
      <alignment vertical="center" wrapText="1"/>
    </xf>
    <xf numFmtId="0" fontId="40" fillId="0" borderId="74" xfId="11" applyFont="1" applyBorder="1" applyAlignment="1">
      <alignment vertical="center" wrapText="1"/>
    </xf>
    <xf numFmtId="0" fontId="40" fillId="0" borderId="75" xfId="11" applyFont="1" applyBorder="1" applyAlignment="1">
      <alignment vertical="center" wrapText="1"/>
    </xf>
    <xf numFmtId="0" fontId="40" fillId="0" borderId="76" xfId="11" applyFont="1" applyBorder="1" applyAlignment="1">
      <alignment horizontal="left" vertical="center" wrapText="1"/>
    </xf>
    <xf numFmtId="0" fontId="40" fillId="0" borderId="75" xfId="11" applyFont="1" applyBorder="1" applyAlignment="1">
      <alignment horizontal="left" vertical="center" wrapText="1"/>
    </xf>
    <xf numFmtId="0" fontId="40" fillId="0" borderId="74" xfId="11" applyFont="1" applyBorder="1" applyAlignment="1">
      <alignment horizontal="left" vertical="center" wrapText="1"/>
    </xf>
    <xf numFmtId="0" fontId="48" fillId="18" borderId="4" xfId="11" applyFont="1" applyFill="1" applyBorder="1" applyAlignment="1">
      <alignment vertical="center" wrapText="1"/>
    </xf>
    <xf numFmtId="0" fontId="48" fillId="18" borderId="3" xfId="11" applyFont="1" applyFill="1" applyBorder="1" applyAlignment="1">
      <alignment vertical="center" wrapText="1"/>
    </xf>
    <xf numFmtId="0" fontId="40" fillId="0" borderId="76" xfId="11" applyFont="1" applyBorder="1" applyAlignment="1">
      <alignment horizontal="left" wrapText="1"/>
    </xf>
    <xf numFmtId="0" fontId="40" fillId="0" borderId="75" xfId="11" applyFont="1" applyBorder="1" applyAlignment="1">
      <alignment horizontal="left" wrapText="1"/>
    </xf>
    <xf numFmtId="0" fontId="40" fillId="0" borderId="74" xfId="11" applyFont="1" applyBorder="1" applyAlignment="1">
      <alignment horizontal="left" wrapText="1"/>
    </xf>
    <xf numFmtId="0" fontId="49" fillId="0" borderId="76" xfId="11" applyFont="1" applyBorder="1" applyAlignment="1">
      <alignment vertical="center" wrapText="1"/>
    </xf>
    <xf numFmtId="0" fontId="49" fillId="0" borderId="75" xfId="11" applyFont="1" applyBorder="1" applyAlignment="1">
      <alignment vertical="center" wrapText="1"/>
    </xf>
    <xf numFmtId="0" fontId="49" fillId="0" borderId="74" xfId="11" applyFont="1" applyBorder="1" applyAlignment="1">
      <alignment vertical="center" wrapText="1"/>
    </xf>
    <xf numFmtId="0" fontId="40" fillId="18" borderId="4" xfId="11" applyFont="1" applyFill="1" applyBorder="1" applyAlignment="1">
      <alignment vertical="center" wrapText="1"/>
    </xf>
    <xf numFmtId="0" fontId="40" fillId="18" borderId="3" xfId="11" applyFont="1" applyFill="1" applyBorder="1" applyAlignment="1">
      <alignment vertical="center" wrapText="1"/>
    </xf>
    <xf numFmtId="0" fontId="40" fillId="0" borderId="8" xfId="11" applyFont="1" applyBorder="1" applyAlignment="1">
      <alignment horizontal="left" vertical="center" wrapText="1"/>
    </xf>
    <xf numFmtId="0" fontId="40" fillId="0" borderId="13" xfId="11" applyFont="1" applyBorder="1" applyAlignment="1">
      <alignment horizontal="left" vertical="center" wrapText="1"/>
    </xf>
    <xf numFmtId="0" fontId="40" fillId="0" borderId="16" xfId="11" applyFont="1" applyBorder="1" applyAlignment="1">
      <alignment horizontal="left" vertical="center" wrapText="1"/>
    </xf>
    <xf numFmtId="0" fontId="51" fillId="18" borderId="14" xfId="11" applyFont="1" applyFill="1" applyBorder="1" applyAlignment="1">
      <alignment vertical="center" wrapText="1"/>
    </xf>
    <xf numFmtId="0" fontId="51" fillId="18" borderId="16" xfId="11" applyFont="1" applyFill="1" applyBorder="1" applyAlignment="1">
      <alignment vertical="center" wrapText="1"/>
    </xf>
    <xf numFmtId="0" fontId="0" fillId="0" borderId="0" xfId="0" applyFont="1" applyFill="1" applyAlignment="1" applyProtection="1">
      <alignment horizontal="center" vertical="center" wrapText="1"/>
    </xf>
    <xf numFmtId="0" fontId="14" fillId="4" borderId="4" xfId="0" applyFont="1" applyFill="1" applyBorder="1" applyAlignment="1" applyProtection="1">
      <alignment horizontal="center" vertical="center"/>
    </xf>
    <xf numFmtId="0" fontId="14" fillId="4" borderId="2" xfId="0" applyFont="1" applyFill="1" applyBorder="1" applyAlignment="1" applyProtection="1">
      <alignment horizontal="center" vertical="center"/>
    </xf>
    <xf numFmtId="0" fontId="14" fillId="4" borderId="5" xfId="0" applyFont="1" applyFill="1" applyBorder="1" applyAlignment="1" applyProtection="1">
      <alignment horizontal="center" vertical="center"/>
    </xf>
    <xf numFmtId="0" fontId="14" fillId="4" borderId="18"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4" borderId="17" xfId="0" applyFont="1" applyFill="1" applyBorder="1" applyAlignment="1" applyProtection="1">
      <alignment horizontal="center" vertical="center"/>
    </xf>
    <xf numFmtId="0" fontId="14" fillId="4" borderId="8" xfId="0" applyFont="1" applyFill="1" applyBorder="1" applyAlignment="1" applyProtection="1">
      <alignment horizontal="center" vertical="center"/>
    </xf>
    <xf numFmtId="0" fontId="14" fillId="4" borderId="14"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6"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4" fillId="3" borderId="4"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14" fillId="6" borderId="6"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0" fillId="0" borderId="0" xfId="0" applyAlignment="1">
      <alignment horizontal="center"/>
    </xf>
    <xf numFmtId="168" fontId="12" fillId="0" borderId="55" xfId="0" applyNumberFormat="1" applyFont="1" applyFill="1" applyBorder="1" applyAlignment="1" applyProtection="1">
      <alignment horizontal="center" vertical="center" wrapText="1"/>
      <protection locked="0"/>
    </xf>
    <xf numFmtId="168" fontId="12" fillId="0" borderId="22" xfId="0" applyNumberFormat="1" applyFont="1" applyFill="1" applyBorder="1" applyAlignment="1" applyProtection="1">
      <alignment horizontal="center" vertical="center" wrapText="1"/>
      <protection locked="0"/>
    </xf>
    <xf numFmtId="170" fontId="12" fillId="0" borderId="55" xfId="0" applyNumberFormat="1" applyFont="1" applyFill="1" applyBorder="1" applyAlignment="1" applyProtection="1">
      <alignment horizontal="center" vertical="center" wrapText="1"/>
      <protection locked="0"/>
    </xf>
    <xf numFmtId="170" fontId="12" fillId="0" borderId="22" xfId="0" applyNumberFormat="1" applyFont="1" applyFill="1" applyBorder="1" applyAlignment="1" applyProtection="1">
      <alignment horizontal="center" vertical="center" wrapText="1"/>
      <protection locked="0"/>
    </xf>
    <xf numFmtId="0" fontId="12" fillId="0" borderId="55" xfId="0" applyNumberFormat="1" applyFont="1" applyFill="1" applyBorder="1" applyAlignment="1" applyProtection="1">
      <alignment horizontal="left" vertical="center" wrapText="1"/>
      <protection locked="0"/>
    </xf>
    <xf numFmtId="0" fontId="12" fillId="0" borderId="22" xfId="0" applyNumberFormat="1" applyFont="1" applyFill="1" applyBorder="1" applyAlignment="1" applyProtection="1">
      <alignment horizontal="left" vertical="center" wrapText="1"/>
      <protection locked="0"/>
    </xf>
    <xf numFmtId="0" fontId="12" fillId="0" borderId="55" xfId="0" applyNumberFormat="1"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0" fillId="6" borderId="55" xfId="0" applyNumberFormat="1" applyFont="1" applyFill="1" applyBorder="1" applyAlignment="1" applyProtection="1">
      <alignment horizontal="center" vertical="center" wrapText="1"/>
      <protection locked="0"/>
    </xf>
    <xf numFmtId="0" fontId="0" fillId="6" borderId="22" xfId="0" applyNumberFormat="1" applyFont="1" applyFill="1" applyBorder="1" applyAlignment="1" applyProtection="1">
      <alignment horizontal="center" vertical="center" wrapText="1"/>
      <protection locked="0"/>
    </xf>
    <xf numFmtId="168" fontId="12" fillId="0" borderId="59" xfId="0" applyNumberFormat="1" applyFont="1" applyFill="1" applyBorder="1" applyAlignment="1" applyProtection="1">
      <alignment horizontal="center" vertical="center" wrapText="1"/>
      <protection locked="0"/>
    </xf>
    <xf numFmtId="0" fontId="0" fillId="6" borderId="56" xfId="0" applyNumberFormat="1" applyFont="1" applyFill="1" applyBorder="1" applyAlignment="1" applyProtection="1">
      <alignment horizontal="center" vertical="center" wrapText="1"/>
      <protection hidden="1"/>
    </xf>
    <xf numFmtId="0" fontId="0" fillId="6" borderId="57" xfId="0" applyNumberFormat="1" applyFont="1" applyFill="1" applyBorder="1" applyAlignment="1" applyProtection="1">
      <alignment horizontal="center" vertical="center" wrapText="1"/>
      <protection hidden="1"/>
    </xf>
    <xf numFmtId="0" fontId="12" fillId="2" borderId="55" xfId="0" applyNumberFormat="1" applyFont="1" applyFill="1" applyBorder="1" applyAlignment="1" applyProtection="1">
      <alignment horizontal="center" vertical="center" wrapText="1"/>
      <protection locked="0" hidden="1"/>
    </xf>
    <xf numFmtId="0" fontId="12" fillId="2" borderId="22" xfId="0" applyNumberFormat="1" applyFont="1" applyFill="1" applyBorder="1" applyAlignment="1" applyProtection="1">
      <alignment horizontal="center" vertical="center" wrapText="1"/>
      <protection locked="0" hidden="1"/>
    </xf>
    <xf numFmtId="0" fontId="12" fillId="2" borderId="55" xfId="0" applyNumberFormat="1" applyFont="1" applyFill="1" applyBorder="1" applyAlignment="1" applyProtection="1">
      <alignment horizontal="left" vertical="center" wrapText="1"/>
      <protection locked="0" hidden="1"/>
    </xf>
    <xf numFmtId="0" fontId="12" fillId="2" borderId="22" xfId="0" applyNumberFormat="1" applyFont="1" applyFill="1" applyBorder="1" applyAlignment="1" applyProtection="1">
      <alignment horizontal="left" vertical="center" wrapText="1"/>
      <protection locked="0" hidden="1"/>
    </xf>
    <xf numFmtId="0" fontId="12" fillId="0" borderId="55" xfId="0" quotePrefix="1" applyNumberFormat="1" applyFont="1" applyFill="1" applyBorder="1" applyAlignment="1" applyProtection="1">
      <alignment horizontal="left" vertical="center" wrapText="1"/>
      <protection locked="0"/>
    </xf>
    <xf numFmtId="0" fontId="17" fillId="4" borderId="1" xfId="0" applyFont="1" applyFill="1" applyBorder="1" applyAlignment="1" applyProtection="1">
      <alignment horizontal="center" vertical="center"/>
      <protection hidden="1"/>
    </xf>
    <xf numFmtId="0" fontId="17" fillId="4" borderId="0" xfId="0" applyFont="1" applyFill="1" applyBorder="1" applyAlignment="1" applyProtection="1">
      <alignment horizontal="center" vertical="center"/>
      <protection hidden="1"/>
    </xf>
    <xf numFmtId="0" fontId="17" fillId="4" borderId="70" xfId="0" applyFont="1" applyFill="1" applyBorder="1" applyAlignment="1" applyProtection="1">
      <alignment horizontal="center" vertical="center"/>
      <protection hidden="1"/>
    </xf>
    <xf numFmtId="0" fontId="17" fillId="4" borderId="71" xfId="0" applyFont="1" applyFill="1" applyBorder="1" applyAlignment="1" applyProtection="1">
      <alignment horizontal="center" vertical="center"/>
      <protection hidden="1"/>
    </xf>
    <xf numFmtId="0" fontId="0" fillId="6" borderId="53" xfId="0" applyNumberFormat="1" applyFont="1" applyFill="1" applyBorder="1" applyAlignment="1" applyProtection="1">
      <alignment horizontal="center" vertical="center" wrapText="1"/>
    </xf>
    <xf numFmtId="0" fontId="0" fillId="6" borderId="54" xfId="0" applyNumberFormat="1" applyFont="1" applyFill="1" applyBorder="1" applyAlignment="1" applyProtection="1">
      <alignment horizontal="center" vertical="center" wrapText="1"/>
    </xf>
    <xf numFmtId="0" fontId="0" fillId="6" borderId="60" xfId="0" applyNumberFormat="1" applyFont="1" applyFill="1" applyBorder="1" applyAlignment="1" applyProtection="1">
      <alignment horizontal="center" vertical="center" wrapText="1"/>
    </xf>
    <xf numFmtId="0" fontId="0" fillId="6" borderId="113" xfId="0" applyNumberFormat="1" applyFont="1" applyFill="1" applyBorder="1" applyAlignment="1" applyProtection="1">
      <alignment horizontal="center" vertical="center" wrapText="1"/>
    </xf>
    <xf numFmtId="0" fontId="0" fillId="6" borderId="114" xfId="0" applyNumberFormat="1" applyFont="1" applyFill="1" applyBorder="1" applyAlignment="1" applyProtection="1">
      <alignment horizontal="center" vertical="center" wrapText="1"/>
    </xf>
    <xf numFmtId="0" fontId="0" fillId="6" borderId="115" xfId="0" applyNumberFormat="1" applyFont="1" applyFill="1" applyBorder="1" applyAlignment="1" applyProtection="1">
      <alignment horizontal="center" vertical="center" wrapText="1"/>
    </xf>
    <xf numFmtId="0" fontId="53" fillId="16" borderId="0" xfId="0" applyFont="1" applyFill="1" applyAlignment="1">
      <alignment horizontal="center"/>
    </xf>
    <xf numFmtId="170" fontId="0" fillId="0" borderId="55" xfId="0" applyNumberFormat="1" applyFont="1" applyBorder="1" applyAlignment="1" applyProtection="1">
      <alignment horizontal="center" vertical="center"/>
      <protection locked="0"/>
    </xf>
    <xf numFmtId="170" fontId="0" fillId="0" borderId="22" xfId="0" applyNumberFormat="1" applyFont="1" applyBorder="1" applyAlignment="1" applyProtection="1">
      <alignment horizontal="center" vertical="center"/>
      <protection locked="0"/>
    </xf>
    <xf numFmtId="0" fontId="0" fillId="0" borderId="58" xfId="0" applyFont="1" applyBorder="1" applyAlignment="1" applyProtection="1">
      <alignment horizontal="center" vertical="center"/>
      <protection locked="0"/>
    </xf>
    <xf numFmtId="0" fontId="0" fillId="0" borderId="68" xfId="0" applyFont="1" applyBorder="1" applyAlignment="1" applyProtection="1">
      <alignment horizontal="center" vertical="center"/>
      <protection locked="0"/>
    </xf>
    <xf numFmtId="0" fontId="0" fillId="0" borderId="55" xfId="0" applyFont="1" applyBorder="1" applyAlignment="1" applyProtection="1">
      <alignment horizontal="left" vertical="center" wrapText="1"/>
      <protection locked="0"/>
    </xf>
    <xf numFmtId="0" fontId="0" fillId="0" borderId="22"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6" borderId="56" xfId="0" applyNumberFormat="1" applyFont="1" applyFill="1" applyBorder="1" applyAlignment="1" applyProtection="1">
      <alignment horizontal="center" vertical="center" wrapText="1"/>
    </xf>
    <xf numFmtId="0" fontId="0" fillId="6" borderId="57" xfId="0" applyNumberFormat="1" applyFont="1" applyFill="1" applyBorder="1" applyAlignment="1" applyProtection="1">
      <alignment horizontal="center" vertical="center" wrapText="1"/>
    </xf>
    <xf numFmtId="0" fontId="0" fillId="0" borderId="59"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5" borderId="55" xfId="4" applyFont="1" applyFill="1" applyBorder="1" applyAlignment="1" applyProtection="1">
      <alignment horizontal="center" vertical="center" wrapText="1"/>
      <protection hidden="1"/>
    </xf>
    <xf numFmtId="0" fontId="0" fillId="5" borderId="22" xfId="4" applyFont="1" applyFill="1" applyBorder="1" applyAlignment="1" applyProtection="1">
      <alignment horizontal="center" vertical="center" wrapText="1"/>
      <protection hidden="1"/>
    </xf>
    <xf numFmtId="0" fontId="0" fillId="0" borderId="55"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168" fontId="0" fillId="0" borderId="59" xfId="0" applyNumberFormat="1" applyFont="1" applyBorder="1" applyAlignment="1" applyProtection="1">
      <alignment horizontal="center" vertical="center"/>
      <protection locked="0"/>
    </xf>
    <xf numFmtId="168" fontId="0" fillId="0" borderId="60" xfId="0" applyNumberFormat="1" applyFont="1" applyBorder="1" applyAlignment="1" applyProtection="1">
      <alignment horizontal="center" vertical="center"/>
      <protection locked="0"/>
    </xf>
    <xf numFmtId="0" fontId="0" fillId="0" borderId="55" xfId="0" applyFont="1" applyBorder="1" applyAlignment="1" applyProtection="1">
      <alignment horizontal="left" vertical="top" wrapText="1"/>
      <protection locked="0" hidden="1"/>
    </xf>
    <xf numFmtId="0" fontId="0" fillId="0" borderId="22" xfId="0" applyFont="1" applyBorder="1" applyAlignment="1" applyProtection="1">
      <alignment horizontal="left" vertical="top" wrapText="1"/>
      <protection locked="0" hidden="1"/>
    </xf>
    <xf numFmtId="0" fontId="73" fillId="0" borderId="55" xfId="0" applyFont="1" applyBorder="1" applyAlignment="1" applyProtection="1">
      <alignment horizontal="left" vertical="top"/>
      <protection locked="0" hidden="1"/>
    </xf>
    <xf numFmtId="0" fontId="73" fillId="0" borderId="22" xfId="0" applyFont="1" applyBorder="1" applyAlignment="1" applyProtection="1">
      <alignment horizontal="left" vertical="top"/>
      <protection locked="0" hidden="1"/>
    </xf>
    <xf numFmtId="0" fontId="73" fillId="0" borderId="55" xfId="0" applyFont="1" applyBorder="1" applyAlignment="1" applyProtection="1">
      <alignment horizontal="left" vertical="top" wrapText="1"/>
      <protection locked="0" hidden="1"/>
    </xf>
    <xf numFmtId="0" fontId="0" fillId="0" borderId="55" xfId="0" applyBorder="1" applyAlignment="1" applyProtection="1">
      <alignment horizontal="left" vertical="top"/>
      <protection locked="0" hidden="1"/>
    </xf>
    <xf numFmtId="0" fontId="0" fillId="0" borderId="22" xfId="0" applyBorder="1" applyAlignment="1" applyProtection="1">
      <alignment horizontal="left" vertical="top"/>
      <protection locked="0" hidden="1"/>
    </xf>
    <xf numFmtId="0" fontId="0" fillId="0" borderId="55" xfId="0" applyBorder="1" applyAlignment="1" applyProtection="1">
      <alignment horizontal="left" vertical="top" wrapText="1"/>
      <protection locked="0" hidden="1"/>
    </xf>
    <xf numFmtId="0" fontId="0" fillId="0" borderId="22" xfId="0" applyBorder="1" applyAlignment="1" applyProtection="1">
      <alignment horizontal="left" vertical="top" wrapText="1"/>
      <protection locked="0" hidden="1"/>
    </xf>
    <xf numFmtId="0" fontId="17" fillId="4" borderId="7" xfId="0" applyFont="1" applyFill="1" applyBorder="1" applyAlignment="1" applyProtection="1">
      <alignment horizontal="center" vertical="center"/>
    </xf>
    <xf numFmtId="0" fontId="17" fillId="4" borderId="17" xfId="0" applyFont="1" applyFill="1" applyBorder="1" applyAlignment="1" applyProtection="1">
      <alignment horizontal="center" vertical="center"/>
    </xf>
    <xf numFmtId="0" fontId="17" fillId="4" borderId="8" xfId="0" applyFont="1" applyFill="1" applyBorder="1" applyAlignment="1" applyProtection="1">
      <alignment horizontal="center" vertical="center"/>
    </xf>
    <xf numFmtId="0" fontId="17" fillId="4" borderId="14" xfId="0" applyFont="1" applyFill="1" applyBorder="1" applyAlignment="1" applyProtection="1">
      <alignment horizontal="center" vertical="center"/>
    </xf>
    <xf numFmtId="0" fontId="17" fillId="4" borderId="15" xfId="0" applyFont="1" applyFill="1" applyBorder="1" applyAlignment="1" applyProtection="1">
      <alignment horizontal="center" vertical="center"/>
    </xf>
    <xf numFmtId="0" fontId="17" fillId="4" borderId="16" xfId="0" applyFont="1" applyFill="1" applyBorder="1" applyAlignment="1" applyProtection="1">
      <alignment horizontal="center" vertical="center"/>
    </xf>
    <xf numFmtId="0" fontId="0" fillId="17" borderId="21" xfId="0" applyFill="1" applyBorder="1" applyAlignment="1"/>
    <xf numFmtId="0" fontId="12" fillId="0" borderId="119" xfId="0" applyFont="1" applyBorder="1" applyAlignment="1" applyProtection="1">
      <alignment horizontal="left" vertical="top" wrapText="1"/>
      <protection locked="0"/>
    </xf>
    <xf numFmtId="0" fontId="12" fillId="0" borderId="22" xfId="0" applyFont="1" applyBorder="1" applyAlignment="1" applyProtection="1">
      <alignment horizontal="left" vertical="top" wrapText="1"/>
      <protection locked="0"/>
    </xf>
    <xf numFmtId="0" fontId="0" fillId="0" borderId="55"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55" xfId="0"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55"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168" fontId="0" fillId="0" borderId="55" xfId="0" applyNumberFormat="1" applyBorder="1" applyAlignment="1" applyProtection="1">
      <alignment horizontal="center" vertical="center"/>
      <protection locked="0"/>
    </xf>
    <xf numFmtId="168" fontId="0" fillId="0" borderId="22" xfId="0" applyNumberFormat="1" applyBorder="1" applyAlignment="1" applyProtection="1">
      <alignment horizontal="center" vertical="center"/>
      <protection locked="0"/>
    </xf>
    <xf numFmtId="0" fontId="0" fillId="6" borderId="56" xfId="0" applyNumberFormat="1" applyFont="1" applyFill="1" applyBorder="1" applyAlignment="1" applyProtection="1">
      <alignment horizontal="center" vertical="center" wrapText="1"/>
      <protection locked="0"/>
    </xf>
    <xf numFmtId="0" fontId="0" fillId="6" borderId="57" xfId="0" applyNumberFormat="1" applyFont="1" applyFill="1" applyBorder="1" applyAlignment="1" applyProtection="1">
      <alignment horizontal="center" vertical="center" wrapText="1"/>
      <protection locked="0"/>
    </xf>
    <xf numFmtId="0" fontId="39" fillId="5" borderId="55" xfId="4" applyFont="1" applyFill="1" applyBorder="1" applyAlignment="1" applyProtection="1">
      <alignment horizontal="center" vertical="center" wrapText="1"/>
      <protection hidden="1"/>
    </xf>
    <xf numFmtId="0" fontId="39" fillId="5" borderId="22" xfId="4" applyFont="1" applyFill="1" applyBorder="1" applyAlignment="1" applyProtection="1">
      <alignment horizontal="center" vertical="center" wrapText="1"/>
      <protection hidden="1"/>
    </xf>
    <xf numFmtId="0" fontId="0" fillId="0" borderId="55" xfId="0"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2" borderId="55" xfId="0" applyFill="1" applyBorder="1" applyAlignment="1" applyProtection="1">
      <alignment horizontal="left" vertical="center" wrapText="1"/>
      <protection locked="0"/>
    </xf>
    <xf numFmtId="0" fontId="0" fillId="2" borderId="22" xfId="0" applyFill="1" applyBorder="1" applyAlignment="1" applyProtection="1">
      <alignment horizontal="left" vertical="center" wrapText="1"/>
      <protection locked="0"/>
    </xf>
    <xf numFmtId="0" fontId="0" fillId="0" borderId="119" xfId="0" applyBorder="1" applyAlignment="1" applyProtection="1">
      <alignment horizontal="left" vertical="top" wrapText="1"/>
      <protection locked="0"/>
    </xf>
    <xf numFmtId="0" fontId="0" fillId="2" borderId="55" xfId="0" applyFill="1" applyBorder="1" applyAlignment="1" applyProtection="1">
      <alignment horizontal="left" vertical="top" wrapText="1"/>
      <protection locked="0"/>
    </xf>
    <xf numFmtId="0" fontId="0" fillId="2" borderId="22" xfId="0" applyFill="1" applyBorder="1" applyAlignment="1" applyProtection="1">
      <alignment horizontal="left" vertical="top" wrapText="1"/>
      <protection locked="0"/>
    </xf>
    <xf numFmtId="0" fontId="0" fillId="0" borderId="55" xfId="0" applyFill="1" applyBorder="1" applyAlignment="1" applyProtection="1">
      <alignment horizontal="left" vertical="center" wrapText="1"/>
      <protection locked="0"/>
    </xf>
    <xf numFmtId="0" fontId="0" fillId="0" borderId="22" xfId="0" applyFill="1" applyBorder="1" applyAlignment="1" applyProtection="1">
      <alignment horizontal="left" vertical="center" wrapText="1"/>
      <protection locked="0"/>
    </xf>
    <xf numFmtId="0" fontId="41" fillId="4" borderId="0" xfId="0" applyFont="1" applyFill="1" applyBorder="1" applyAlignment="1" applyProtection="1">
      <alignment horizontal="center" vertical="center" wrapText="1"/>
    </xf>
    <xf numFmtId="0" fontId="42" fillId="4" borderId="0" xfId="0" applyFont="1" applyFill="1" applyAlignment="1">
      <alignment horizontal="center" vertical="center"/>
    </xf>
    <xf numFmtId="0" fontId="0" fillId="0" borderId="0" xfId="0" applyBorder="1" applyAlignment="1">
      <alignment horizontal="center"/>
    </xf>
    <xf numFmtId="0" fontId="40" fillId="17" borderId="21" xfId="0" applyFont="1" applyFill="1" applyBorder="1" applyAlignment="1">
      <alignment horizontal="center" vertical="center"/>
    </xf>
    <xf numFmtId="0" fontId="40" fillId="17" borderId="50" xfId="0" applyFont="1" applyFill="1" applyBorder="1" applyAlignment="1">
      <alignment horizontal="center" vertical="center"/>
    </xf>
    <xf numFmtId="0" fontId="40" fillId="17" borderId="51" xfId="0" applyFont="1" applyFill="1" applyBorder="1" applyAlignment="1">
      <alignment horizontal="center" vertical="center"/>
    </xf>
    <xf numFmtId="0" fontId="40" fillId="17" borderId="69" xfId="0" applyFont="1" applyFill="1" applyBorder="1" applyAlignment="1">
      <alignment horizontal="center" vertical="center"/>
    </xf>
    <xf numFmtId="0" fontId="12" fillId="0" borderId="55" xfId="0" applyFont="1" applyBorder="1" applyAlignment="1" applyProtection="1">
      <alignment horizontal="left" vertical="top" wrapText="1"/>
      <protection locked="0"/>
    </xf>
    <xf numFmtId="0" fontId="0" fillId="2" borderId="55" xfId="0" applyFill="1" applyBorder="1" applyAlignment="1" applyProtection="1">
      <alignment horizontal="left" vertical="center" wrapText="1"/>
    </xf>
    <xf numFmtId="0" fontId="0" fillId="2" borderId="22" xfId="0" applyFill="1" applyBorder="1" applyAlignment="1" applyProtection="1">
      <alignment horizontal="left" vertical="center" wrapText="1"/>
    </xf>
    <xf numFmtId="10" fontId="0" fillId="2" borderId="55" xfId="0" applyNumberFormat="1" applyFill="1" applyBorder="1" applyAlignment="1" applyProtection="1">
      <alignment horizontal="center" vertical="center"/>
      <protection locked="0"/>
    </xf>
    <xf numFmtId="10" fontId="0" fillId="2" borderId="22" xfId="0" applyNumberFormat="1" applyFill="1"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55" xfId="0" applyFill="1" applyBorder="1" applyAlignment="1" applyProtection="1">
      <alignment horizontal="center" vertical="center" wrapText="1"/>
      <protection locked="0"/>
    </xf>
    <xf numFmtId="0" fontId="0" fillId="2" borderId="22" xfId="0" applyFill="1" applyBorder="1" applyAlignment="1" applyProtection="1">
      <alignment horizontal="center" vertical="center" wrapText="1"/>
      <protection locked="0"/>
    </xf>
    <xf numFmtId="0" fontId="0" fillId="2" borderId="55" xfId="0" applyFill="1" applyBorder="1" applyAlignment="1" applyProtection="1">
      <alignment horizontal="center" vertical="center"/>
    </xf>
    <xf numFmtId="0" fontId="0" fillId="2" borderId="22" xfId="0" applyFill="1" applyBorder="1" applyAlignment="1" applyProtection="1">
      <alignment horizontal="center" vertical="center"/>
    </xf>
    <xf numFmtId="0" fontId="0" fillId="2" borderId="55" xfId="0" applyFill="1" applyBorder="1" applyAlignment="1" applyProtection="1">
      <alignment horizontal="center" vertical="center" wrapText="1"/>
    </xf>
    <xf numFmtId="0" fontId="0" fillId="2" borderId="22" xfId="0" applyFill="1" applyBorder="1" applyAlignment="1" applyProtection="1">
      <alignment horizontal="center" vertical="center" wrapText="1"/>
    </xf>
    <xf numFmtId="0" fontId="0" fillId="2" borderId="83" xfId="0" applyFill="1" applyBorder="1" applyAlignment="1">
      <alignment horizontal="center"/>
    </xf>
    <xf numFmtId="0" fontId="17" fillId="4" borderId="17" xfId="0" quotePrefix="1" applyFont="1" applyFill="1" applyBorder="1" applyAlignment="1" applyProtection="1">
      <alignment horizontal="center" vertical="center"/>
    </xf>
    <xf numFmtId="0" fontId="17" fillId="4" borderId="0" xfId="0" quotePrefix="1" applyFont="1" applyFill="1" applyBorder="1" applyAlignment="1" applyProtection="1">
      <alignment horizontal="center" vertical="center"/>
    </xf>
    <xf numFmtId="0" fontId="15" fillId="4" borderId="50" xfId="0" applyFont="1" applyFill="1" applyBorder="1" applyAlignment="1" applyProtection="1">
      <alignment horizontal="center" vertical="center"/>
    </xf>
    <xf numFmtId="0" fontId="15" fillId="4" borderId="51" xfId="0" applyFont="1" applyFill="1" applyBorder="1" applyAlignment="1" applyProtection="1">
      <alignment horizontal="center" vertical="center"/>
    </xf>
    <xf numFmtId="0" fontId="15" fillId="4" borderId="68" xfId="0" applyFont="1" applyFill="1" applyBorder="1" applyAlignment="1" applyProtection="1">
      <alignment horizontal="center" vertical="center"/>
      <protection hidden="1"/>
    </xf>
    <xf numFmtId="0" fontId="15" fillId="4" borderId="54" xfId="0" applyFont="1" applyFill="1" applyBorder="1" applyAlignment="1" applyProtection="1">
      <alignment horizontal="center" vertical="center"/>
      <protection hidden="1"/>
    </xf>
    <xf numFmtId="0" fontId="15" fillId="4" borderId="69" xfId="0" applyFont="1" applyFill="1" applyBorder="1" applyAlignment="1" applyProtection="1">
      <alignment horizontal="center" vertical="center"/>
    </xf>
    <xf numFmtId="0" fontId="17" fillId="4" borderId="21" xfId="0" applyFont="1" applyFill="1" applyBorder="1" applyAlignment="1" applyProtection="1">
      <alignment horizontal="center" vertical="center"/>
    </xf>
    <xf numFmtId="0" fontId="0" fillId="0" borderId="21" xfId="0" applyBorder="1" applyAlignment="1">
      <alignment horizontal="center" vertical="center"/>
    </xf>
    <xf numFmtId="16" fontId="40" fillId="17" borderId="50" xfId="0" applyNumberFormat="1" applyFont="1" applyFill="1" applyBorder="1" applyAlignment="1">
      <alignment horizontal="center" vertical="center"/>
    </xf>
    <xf numFmtId="16" fontId="40" fillId="17" borderId="51" xfId="0" applyNumberFormat="1" applyFont="1" applyFill="1" applyBorder="1" applyAlignment="1">
      <alignment horizontal="center" vertical="center"/>
    </xf>
    <xf numFmtId="16" fontId="40" fillId="17" borderId="69" xfId="0" applyNumberFormat="1" applyFont="1" applyFill="1" applyBorder="1" applyAlignment="1">
      <alignment horizontal="center" vertical="center"/>
    </xf>
    <xf numFmtId="15" fontId="30" fillId="16" borderId="85" xfId="0" applyNumberFormat="1" applyFont="1" applyFill="1" applyBorder="1" applyAlignment="1" applyProtection="1">
      <alignment horizontal="center" vertical="center" wrapText="1"/>
      <protection hidden="1"/>
    </xf>
    <xf numFmtId="15" fontId="30" fillId="16" borderId="69" xfId="0" applyNumberFormat="1" applyFont="1" applyFill="1" applyBorder="1" applyAlignment="1" applyProtection="1">
      <alignment horizontal="center" vertical="center" wrapText="1"/>
      <protection hidden="1"/>
    </xf>
    <xf numFmtId="0" fontId="29" fillId="9" borderId="37" xfId="0" applyFont="1" applyFill="1" applyBorder="1" applyAlignment="1" applyProtection="1">
      <alignment horizontal="center" vertical="center" wrapText="1"/>
      <protection hidden="1"/>
    </xf>
    <xf numFmtId="0" fontId="29" fillId="9" borderId="36" xfId="0" applyFont="1" applyFill="1" applyBorder="1" applyAlignment="1" applyProtection="1">
      <alignment horizontal="center" vertical="center" wrapText="1"/>
      <protection hidden="1"/>
    </xf>
    <xf numFmtId="0" fontId="29" fillId="9" borderId="86" xfId="0" applyFont="1" applyFill="1" applyBorder="1" applyAlignment="1" applyProtection="1">
      <alignment horizontal="center" vertical="center" wrapText="1"/>
      <protection hidden="1"/>
    </xf>
    <xf numFmtId="0" fontId="28" fillId="6" borderId="85" xfId="0" applyNumberFormat="1" applyFont="1" applyFill="1" applyBorder="1" applyAlignment="1" applyProtection="1">
      <alignment horizontal="center" vertical="center" wrapText="1"/>
      <protection hidden="1"/>
    </xf>
    <xf numFmtId="0" fontId="28" fillId="6" borderId="51" xfId="0" applyNumberFormat="1" applyFont="1" applyFill="1" applyBorder="1" applyAlignment="1" applyProtection="1">
      <alignment horizontal="center" vertical="center" wrapText="1"/>
      <protection hidden="1"/>
    </xf>
    <xf numFmtId="0" fontId="28" fillId="6" borderId="69" xfId="0" applyNumberFormat="1" applyFont="1" applyFill="1" applyBorder="1" applyAlignment="1" applyProtection="1">
      <alignment horizontal="center" vertical="center" wrapText="1"/>
      <protection hidden="1"/>
    </xf>
    <xf numFmtId="15" fontId="30" fillId="6" borderId="89" xfId="0" applyNumberFormat="1" applyFont="1" applyFill="1" applyBorder="1" applyAlignment="1" applyProtection="1">
      <alignment horizontal="center" vertical="center"/>
      <protection locked="0" hidden="1"/>
    </xf>
    <xf numFmtId="15" fontId="30" fillId="6" borderId="52" xfId="0" applyNumberFormat="1" applyFont="1" applyFill="1" applyBorder="1" applyAlignment="1" applyProtection="1">
      <alignment horizontal="center" vertical="center"/>
      <protection locked="0" hidden="1"/>
    </xf>
    <xf numFmtId="0" fontId="25" fillId="9" borderId="85" xfId="0" applyFont="1" applyFill="1" applyBorder="1" applyAlignment="1" applyProtection="1">
      <alignment horizontal="center" vertical="center" wrapText="1"/>
      <protection hidden="1"/>
    </xf>
    <xf numFmtId="0" fontId="25" fillId="9" borderId="51" xfId="0" applyFont="1" applyFill="1" applyBorder="1" applyAlignment="1" applyProtection="1">
      <alignment horizontal="center" vertical="center" wrapText="1"/>
      <protection hidden="1"/>
    </xf>
    <xf numFmtId="0" fontId="25" fillId="9" borderId="88" xfId="0" applyFont="1" applyFill="1" applyBorder="1" applyAlignment="1" applyProtection="1">
      <alignment horizontal="center" vertical="center" wrapText="1"/>
      <protection hidden="1"/>
    </xf>
    <xf numFmtId="0" fontId="30" fillId="6" borderId="89" xfId="0" applyNumberFormat="1" applyFont="1" applyFill="1" applyBorder="1" applyAlignment="1" applyProtection="1">
      <alignment horizontal="center" vertical="center"/>
      <protection locked="0" hidden="1"/>
    </xf>
    <xf numFmtId="0" fontId="30" fillId="6" borderId="52" xfId="0" applyNumberFormat="1" applyFont="1" applyFill="1" applyBorder="1" applyAlignment="1" applyProtection="1">
      <alignment horizontal="center" vertical="center"/>
      <protection locked="0" hidden="1"/>
    </xf>
    <xf numFmtId="0" fontId="25" fillId="9" borderId="90" xfId="0" applyFont="1" applyFill="1" applyBorder="1" applyAlignment="1" applyProtection="1">
      <alignment horizontal="center" vertical="center" wrapText="1"/>
      <protection hidden="1"/>
    </xf>
    <xf numFmtId="0" fontId="25" fillId="9" borderId="91" xfId="0" applyFont="1" applyFill="1" applyBorder="1" applyAlignment="1" applyProtection="1">
      <alignment horizontal="center" vertical="center" wrapText="1"/>
      <protection hidden="1"/>
    </xf>
    <xf numFmtId="0" fontId="25" fillId="9" borderId="92" xfId="0" applyFont="1" applyFill="1" applyBorder="1" applyAlignment="1" applyProtection="1">
      <alignment horizontal="center" vertical="center" wrapText="1"/>
      <protection hidden="1"/>
    </xf>
    <xf numFmtId="49" fontId="31" fillId="2" borderId="42" xfId="0" applyNumberFormat="1" applyFont="1" applyFill="1" applyBorder="1" applyAlignment="1" applyProtection="1">
      <alignment horizontal="center" vertical="center" wrapText="1"/>
      <protection hidden="1"/>
    </xf>
    <xf numFmtId="0" fontId="35" fillId="2" borderId="0" xfId="0" applyFont="1" applyFill="1" applyAlignment="1" applyProtection="1">
      <alignment horizontal="center"/>
      <protection hidden="1"/>
    </xf>
    <xf numFmtId="0" fontId="34" fillId="2" borderId="0" xfId="0" applyFont="1" applyFill="1" applyAlignment="1" applyProtection="1">
      <alignment horizontal="center"/>
      <protection hidden="1"/>
    </xf>
    <xf numFmtId="49" fontId="31" fillId="12" borderId="42" xfId="0" applyNumberFormat="1" applyFont="1" applyFill="1" applyBorder="1" applyAlignment="1" applyProtection="1">
      <alignment horizontal="center" vertical="center" wrapText="1"/>
      <protection hidden="1"/>
    </xf>
    <xf numFmtId="49" fontId="31" fillId="12" borderId="41" xfId="0" applyNumberFormat="1" applyFont="1" applyFill="1" applyBorder="1" applyAlignment="1" applyProtection="1">
      <alignment horizontal="center" vertical="center" wrapText="1"/>
      <protection hidden="1"/>
    </xf>
    <xf numFmtId="0" fontId="31" fillId="2" borderId="32" xfId="0" applyNumberFormat="1" applyFont="1" applyFill="1" applyBorder="1" applyAlignment="1" applyProtection="1">
      <alignment horizontal="left" vertical="center" wrapText="1"/>
      <protection hidden="1"/>
    </xf>
    <xf numFmtId="0" fontId="31" fillId="2" borderId="98" xfId="0" applyNumberFormat="1" applyFont="1" applyFill="1" applyBorder="1" applyAlignment="1" applyProtection="1">
      <alignment horizontal="left" vertical="center" wrapText="1"/>
      <protection hidden="1"/>
    </xf>
    <xf numFmtId="0" fontId="31" fillId="2" borderId="33" xfId="0" applyNumberFormat="1" applyFont="1" applyFill="1" applyBorder="1" applyAlignment="1" applyProtection="1">
      <alignment horizontal="left" vertical="center" wrapText="1"/>
      <protection hidden="1"/>
    </xf>
    <xf numFmtId="0" fontId="31" fillId="11" borderId="48" xfId="0" applyNumberFormat="1" applyFont="1" applyFill="1" applyBorder="1" applyAlignment="1" applyProtection="1">
      <alignment horizontal="left" vertical="center" wrapText="1"/>
      <protection hidden="1"/>
    </xf>
    <xf numFmtId="0" fontId="31" fillId="11" borderId="105" xfId="0" applyNumberFormat="1" applyFont="1" applyFill="1" applyBorder="1" applyAlignment="1" applyProtection="1">
      <alignment horizontal="left" vertical="center" wrapText="1"/>
      <protection hidden="1"/>
    </xf>
    <xf numFmtId="0" fontId="31" fillId="11" borderId="98" xfId="0" applyNumberFormat="1" applyFont="1" applyFill="1" applyBorder="1" applyAlignment="1" applyProtection="1">
      <alignment horizontal="left" vertical="center" wrapText="1"/>
      <protection hidden="1"/>
    </xf>
    <xf numFmtId="0" fontId="31" fillId="11" borderId="33" xfId="0" applyNumberFormat="1" applyFont="1" applyFill="1" applyBorder="1" applyAlignment="1" applyProtection="1">
      <alignment horizontal="left" vertical="center" wrapText="1"/>
      <protection hidden="1"/>
    </xf>
    <xf numFmtId="0" fontId="35" fillId="0" borderId="0" xfId="0" applyFont="1" applyAlignment="1" applyProtection="1">
      <alignment horizontal="center"/>
      <protection hidden="1"/>
    </xf>
    <xf numFmtId="49" fontId="31" fillId="10" borderId="106" xfId="0" applyNumberFormat="1" applyFont="1" applyFill="1" applyBorder="1" applyAlignment="1" applyProtection="1">
      <alignment horizontal="center" vertical="center" wrapText="1"/>
      <protection hidden="1"/>
    </xf>
    <xf numFmtId="49" fontId="31" fillId="10" borderId="107" xfId="0" applyNumberFormat="1" applyFont="1" applyFill="1" applyBorder="1" applyAlignment="1" applyProtection="1">
      <alignment horizontal="center" vertical="center" wrapText="1"/>
      <protection hidden="1"/>
    </xf>
    <xf numFmtId="0" fontId="31" fillId="10" borderId="32" xfId="0" applyNumberFormat="1" applyFont="1" applyFill="1" applyBorder="1" applyAlignment="1" applyProtection="1">
      <alignment horizontal="center" vertical="center" wrapText="1"/>
      <protection hidden="1"/>
    </xf>
    <xf numFmtId="0" fontId="31" fillId="10" borderId="98" xfId="0" applyNumberFormat="1" applyFont="1" applyFill="1" applyBorder="1" applyAlignment="1" applyProtection="1">
      <alignment horizontal="center" vertical="center" wrapText="1"/>
      <protection hidden="1"/>
    </xf>
    <xf numFmtId="0" fontId="31" fillId="10" borderId="33" xfId="0" applyNumberFormat="1" applyFont="1" applyFill="1" applyBorder="1" applyAlignment="1" applyProtection="1">
      <alignment horizontal="center" vertical="center" wrapText="1"/>
      <protection hidden="1"/>
    </xf>
    <xf numFmtId="49" fontId="31" fillId="2" borderId="32" xfId="0" applyNumberFormat="1" applyFont="1" applyFill="1" applyBorder="1" applyAlignment="1" applyProtection="1">
      <alignment horizontal="left" vertical="center" wrapText="1"/>
      <protection hidden="1"/>
    </xf>
    <xf numFmtId="49" fontId="31" fillId="2" borderId="98" xfId="0" applyNumberFormat="1" applyFont="1" applyFill="1" applyBorder="1" applyAlignment="1" applyProtection="1">
      <alignment horizontal="left" vertical="center" wrapText="1"/>
      <protection hidden="1"/>
    </xf>
    <xf numFmtId="49" fontId="31" fillId="2" borderId="33" xfId="0" applyNumberFormat="1" applyFont="1" applyFill="1" applyBorder="1" applyAlignment="1" applyProtection="1">
      <alignment horizontal="left" vertical="center" wrapText="1"/>
      <protection hidden="1"/>
    </xf>
    <xf numFmtId="49" fontId="31" fillId="16" borderId="42" xfId="0" applyNumberFormat="1" applyFont="1" applyFill="1" applyBorder="1" applyAlignment="1" applyProtection="1">
      <alignment horizontal="center" vertical="center" wrapText="1"/>
      <protection hidden="1"/>
    </xf>
    <xf numFmtId="0" fontId="27" fillId="6" borderId="85" xfId="0" applyNumberFormat="1" applyFont="1" applyFill="1" applyBorder="1" applyAlignment="1" applyProtection="1">
      <alignment vertical="center" wrapText="1"/>
      <protection hidden="1"/>
    </xf>
    <xf numFmtId="0" fontId="27" fillId="6" borderId="51" xfId="0" applyNumberFormat="1" applyFont="1" applyFill="1" applyBorder="1" applyAlignment="1" applyProtection="1">
      <alignment vertical="center" wrapText="1"/>
      <protection hidden="1"/>
    </xf>
    <xf numFmtId="0" fontId="26" fillId="14" borderId="93" xfId="0" applyNumberFormat="1" applyFont="1" applyFill="1" applyBorder="1" applyAlignment="1" applyProtection="1">
      <alignment horizontal="center" vertical="center" wrapText="1"/>
      <protection hidden="1"/>
    </xf>
    <xf numFmtId="0" fontId="26" fillId="14" borderId="0" xfId="0" applyNumberFormat="1" applyFont="1" applyFill="1" applyBorder="1" applyAlignment="1" applyProtection="1">
      <alignment horizontal="center" vertical="center" wrapText="1"/>
      <protection hidden="1"/>
    </xf>
    <xf numFmtId="0" fontId="25" fillId="9" borderId="99" xfId="0" applyNumberFormat="1" applyFont="1" applyFill="1" applyBorder="1" applyAlignment="1" applyProtection="1">
      <alignment horizontal="center" vertical="center" wrapText="1"/>
      <protection hidden="1"/>
    </xf>
    <xf numFmtId="0" fontId="25" fillId="9" borderId="0" xfId="0" applyNumberFormat="1" applyFont="1" applyFill="1" applyBorder="1" applyAlignment="1" applyProtection="1">
      <alignment horizontal="center" vertical="center" wrapText="1"/>
      <protection hidden="1"/>
    </xf>
    <xf numFmtId="0" fontId="25" fillId="9" borderId="100" xfId="0" applyNumberFormat="1" applyFont="1" applyFill="1" applyBorder="1" applyAlignment="1" applyProtection="1">
      <alignment horizontal="center" vertical="center" wrapText="1"/>
      <protection hidden="1"/>
    </xf>
    <xf numFmtId="0" fontId="24" fillId="9" borderId="101" xfId="0" applyNumberFormat="1" applyFont="1" applyFill="1" applyBorder="1" applyAlignment="1" applyProtection="1">
      <alignment horizontal="center" vertical="center" wrapText="1"/>
      <protection hidden="1"/>
    </xf>
    <xf numFmtId="0" fontId="24" fillId="9" borderId="40" xfId="0" applyNumberFormat="1" applyFont="1" applyFill="1" applyBorder="1" applyAlignment="1" applyProtection="1">
      <alignment horizontal="center" vertical="center" wrapText="1"/>
      <protection hidden="1"/>
    </xf>
    <xf numFmtId="0" fontId="24" fillId="9" borderId="102" xfId="0" applyNumberFormat="1" applyFont="1" applyFill="1" applyBorder="1" applyAlignment="1" applyProtection="1">
      <alignment horizontal="center" vertical="center" wrapText="1"/>
      <protection hidden="1"/>
    </xf>
    <xf numFmtId="0" fontId="31" fillId="10" borderId="95" xfId="0" applyNumberFormat="1" applyFont="1" applyFill="1" applyBorder="1" applyAlignment="1" applyProtection="1">
      <alignment horizontal="center" vertical="center" wrapText="1"/>
      <protection hidden="1"/>
    </xf>
    <xf numFmtId="0" fontId="31" fillId="10" borderId="96" xfId="0" applyNumberFormat="1" applyFont="1" applyFill="1" applyBorder="1" applyAlignment="1" applyProtection="1">
      <alignment horizontal="center" vertical="center" wrapText="1"/>
      <protection hidden="1"/>
    </xf>
    <xf numFmtId="0" fontId="31" fillId="10" borderId="97" xfId="0" applyNumberFormat="1" applyFont="1" applyFill="1" applyBorder="1" applyAlignment="1" applyProtection="1">
      <alignment horizontal="center" vertical="center" wrapText="1"/>
      <protection hidden="1"/>
    </xf>
    <xf numFmtId="0" fontId="31" fillId="10" borderId="103" xfId="0" applyNumberFormat="1" applyFont="1" applyFill="1" applyBorder="1" applyAlignment="1" applyProtection="1">
      <alignment horizontal="center" vertical="center" wrapText="1"/>
      <protection hidden="1"/>
    </xf>
    <xf numFmtId="0" fontId="31" fillId="10" borderId="82" xfId="0" applyNumberFormat="1" applyFont="1" applyFill="1" applyBorder="1" applyAlignment="1" applyProtection="1">
      <alignment horizontal="center" vertical="center" wrapText="1"/>
      <protection hidden="1"/>
    </xf>
    <xf numFmtId="0" fontId="31" fillId="10" borderId="104" xfId="0" applyNumberFormat="1" applyFont="1" applyFill="1" applyBorder="1" applyAlignment="1" applyProtection="1">
      <alignment horizontal="center" vertical="center" wrapText="1"/>
      <protection hidden="1"/>
    </xf>
    <xf numFmtId="49" fontId="31" fillId="11" borderId="42" xfId="0" applyNumberFormat="1" applyFont="1" applyFill="1" applyBorder="1" applyAlignment="1" applyProtection="1">
      <alignment horizontal="center" vertical="center" wrapText="1"/>
      <protection hidden="1"/>
    </xf>
    <xf numFmtId="49" fontId="31" fillId="10" borderId="26" xfId="0" applyNumberFormat="1" applyFont="1" applyFill="1" applyBorder="1" applyAlignment="1" applyProtection="1">
      <alignment horizontal="center" vertical="center" wrapText="1"/>
      <protection hidden="1"/>
    </xf>
    <xf numFmtId="0" fontId="25" fillId="9" borderId="93" xfId="0" applyFont="1" applyFill="1" applyBorder="1" applyAlignment="1" applyProtection="1">
      <alignment horizontal="center" vertical="center" wrapText="1"/>
      <protection hidden="1"/>
    </xf>
    <xf numFmtId="0" fontId="25" fillId="9" borderId="0" xfId="0" applyFont="1" applyFill="1" applyBorder="1" applyAlignment="1" applyProtection="1">
      <alignment horizontal="center" vertical="center" wrapText="1"/>
      <protection hidden="1"/>
    </xf>
    <xf numFmtId="15" fontId="30" fillId="6" borderId="85" xfId="0" applyNumberFormat="1" applyFont="1" applyFill="1" applyBorder="1" applyAlignment="1" applyProtection="1">
      <alignment horizontal="center" vertical="center" wrapText="1"/>
      <protection hidden="1"/>
    </xf>
    <xf numFmtId="15" fontId="30" fillId="6" borderId="69" xfId="0" applyNumberFormat="1" applyFont="1" applyFill="1" applyBorder="1" applyAlignment="1" applyProtection="1">
      <alignment horizontal="center" vertical="center" wrapText="1"/>
      <protection hidden="1"/>
    </xf>
    <xf numFmtId="0" fontId="27" fillId="6" borderId="85" xfId="0" applyNumberFormat="1" applyFont="1" applyFill="1" applyBorder="1" applyAlignment="1" applyProtection="1">
      <alignment horizontal="left" vertical="center" wrapText="1"/>
      <protection hidden="1"/>
    </xf>
    <xf numFmtId="0" fontId="27" fillId="6" borderId="51" xfId="0" applyNumberFormat="1" applyFont="1" applyFill="1" applyBorder="1" applyAlignment="1" applyProtection="1">
      <alignment horizontal="left" vertical="center" wrapText="1"/>
      <protection hidden="1"/>
    </xf>
    <xf numFmtId="0" fontId="27" fillId="6" borderId="69" xfId="0" applyNumberFormat="1" applyFont="1" applyFill="1" applyBorder="1" applyAlignment="1" applyProtection="1">
      <alignment horizontal="left" vertical="center" wrapText="1"/>
      <protection hidden="1"/>
    </xf>
    <xf numFmtId="0" fontId="25" fillId="9" borderId="35" xfId="0" applyFont="1" applyFill="1" applyBorder="1" applyAlignment="1" applyProtection="1">
      <alignment horizontal="center" vertical="center" wrapText="1"/>
      <protection hidden="1"/>
    </xf>
    <xf numFmtId="0" fontId="25" fillId="9" borderId="36" xfId="0" applyFont="1" applyFill="1" applyBorder="1" applyAlignment="1" applyProtection="1">
      <alignment horizontal="center" vertical="center" wrapText="1"/>
      <protection hidden="1"/>
    </xf>
    <xf numFmtId="0" fontId="33" fillId="3" borderId="84" xfId="0" applyFont="1" applyFill="1" applyBorder="1" applyAlignment="1" applyProtection="1">
      <alignment horizontal="center" vertical="center"/>
      <protection hidden="1"/>
    </xf>
    <xf numFmtId="0" fontId="33" fillId="3" borderId="40" xfId="0" applyFont="1" applyFill="1" applyBorder="1" applyAlignment="1" applyProtection="1">
      <alignment horizontal="center" vertical="center"/>
      <protection hidden="1"/>
    </xf>
    <xf numFmtId="0" fontId="25" fillId="9" borderId="37" xfId="0" applyFont="1" applyFill="1" applyBorder="1" applyAlignment="1" applyProtection="1">
      <alignment horizontal="center" vertical="center" wrapText="1"/>
      <protection hidden="1"/>
    </xf>
    <xf numFmtId="0" fontId="25" fillId="9" borderId="87" xfId="0" applyFont="1" applyFill="1" applyBorder="1" applyAlignment="1" applyProtection="1">
      <alignment horizontal="center" vertical="center" wrapText="1"/>
      <protection hidden="1"/>
    </xf>
    <xf numFmtId="49" fontId="31" fillId="11" borderId="32" xfId="0" applyNumberFormat="1" applyFont="1" applyFill="1" applyBorder="1" applyAlignment="1" applyProtection="1">
      <alignment horizontal="center" vertical="center" wrapText="1"/>
      <protection hidden="1"/>
    </xf>
    <xf numFmtId="49" fontId="31" fillId="11" borderId="98" xfId="0" applyNumberFormat="1" applyFont="1" applyFill="1" applyBorder="1" applyAlignment="1" applyProtection="1">
      <alignment horizontal="center" vertical="center" wrapText="1"/>
      <protection hidden="1"/>
    </xf>
    <xf numFmtId="49" fontId="31" fillId="11" borderId="33" xfId="0" applyNumberFormat="1" applyFont="1" applyFill="1" applyBorder="1" applyAlignment="1" applyProtection="1">
      <alignment horizontal="center" vertical="center" wrapText="1"/>
      <protection hidden="1"/>
    </xf>
    <xf numFmtId="49" fontId="31" fillId="2" borderId="32" xfId="0" applyNumberFormat="1" applyFont="1" applyFill="1" applyBorder="1" applyAlignment="1" applyProtection="1">
      <alignment horizontal="center" vertical="center" wrapText="1"/>
      <protection hidden="1"/>
    </xf>
    <xf numFmtId="49" fontId="31" fillId="2" borderId="98" xfId="0" applyNumberFormat="1" applyFont="1" applyFill="1" applyBorder="1" applyAlignment="1" applyProtection="1">
      <alignment horizontal="center" vertical="center" wrapText="1"/>
      <protection hidden="1"/>
    </xf>
    <xf numFmtId="49" fontId="31" fillId="2" borderId="33" xfId="0" applyNumberFormat="1" applyFont="1" applyFill="1" applyBorder="1" applyAlignment="1" applyProtection="1">
      <alignment horizontal="center" vertical="center" wrapText="1"/>
      <protection hidden="1"/>
    </xf>
    <xf numFmtId="49" fontId="31" fillId="11" borderId="95" xfId="0" applyNumberFormat="1" applyFont="1" applyFill="1" applyBorder="1" applyAlignment="1" applyProtection="1">
      <alignment horizontal="center" vertical="center" wrapText="1"/>
      <protection hidden="1"/>
    </xf>
    <xf numFmtId="49" fontId="31" fillId="11" borderId="96" xfId="0" applyNumberFormat="1" applyFont="1" applyFill="1" applyBorder="1" applyAlignment="1" applyProtection="1">
      <alignment horizontal="center" vertical="center" wrapText="1"/>
      <protection hidden="1"/>
    </xf>
    <xf numFmtId="49" fontId="31" fillId="11" borderId="97" xfId="0" applyNumberFormat="1" applyFont="1" applyFill="1" applyBorder="1" applyAlignment="1" applyProtection="1">
      <alignment horizontal="center" vertical="center" wrapText="1"/>
      <protection hidden="1"/>
    </xf>
    <xf numFmtId="0" fontId="26" fillId="14" borderId="93" xfId="0" applyFont="1" applyFill="1" applyBorder="1" applyAlignment="1" applyProtection="1">
      <alignment horizontal="center" vertical="center" wrapText="1"/>
      <protection hidden="1"/>
    </xf>
    <xf numFmtId="0" fontId="26" fillId="14" borderId="0" xfId="0" applyFont="1" applyFill="1" applyBorder="1" applyAlignment="1" applyProtection="1">
      <alignment horizontal="center" vertical="center" wrapText="1"/>
      <protection hidden="1"/>
    </xf>
    <xf numFmtId="0" fontId="25" fillId="9" borderId="95" xfId="0" applyNumberFormat="1" applyFont="1" applyFill="1" applyBorder="1" applyAlignment="1" applyProtection="1">
      <alignment horizontal="center" vertical="center" wrapText="1"/>
      <protection hidden="1"/>
    </xf>
    <xf numFmtId="0" fontId="25" fillId="9" borderId="96" xfId="0" applyNumberFormat="1" applyFont="1" applyFill="1" applyBorder="1" applyAlignment="1" applyProtection="1">
      <alignment horizontal="center" vertical="center" wrapText="1"/>
      <protection hidden="1"/>
    </xf>
    <xf numFmtId="0" fontId="25" fillId="9" borderId="97" xfId="0" applyNumberFormat="1" applyFont="1" applyFill="1" applyBorder="1" applyAlignment="1" applyProtection="1">
      <alignment horizontal="center" vertical="center" wrapText="1"/>
      <protection hidden="1"/>
    </xf>
    <xf numFmtId="0" fontId="24" fillId="9" borderId="95" xfId="0" applyNumberFormat="1" applyFont="1" applyFill="1" applyBorder="1" applyAlignment="1" applyProtection="1">
      <alignment horizontal="center" vertical="center" wrapText="1"/>
      <protection hidden="1"/>
    </xf>
    <xf numFmtId="0" fontId="24" fillId="9" borderId="96" xfId="0" applyNumberFormat="1" applyFont="1" applyFill="1" applyBorder="1" applyAlignment="1" applyProtection="1">
      <alignment horizontal="center" vertical="center" wrapText="1"/>
      <protection hidden="1"/>
    </xf>
    <xf numFmtId="0" fontId="24" fillId="9" borderId="97" xfId="0" applyNumberFormat="1" applyFont="1" applyFill="1" applyBorder="1" applyAlignment="1" applyProtection="1">
      <alignment horizontal="center" vertical="center" wrapText="1"/>
      <protection hidden="1"/>
    </xf>
    <xf numFmtId="0" fontId="24" fillId="9" borderId="39" xfId="0" applyNumberFormat="1" applyFont="1" applyFill="1" applyBorder="1" applyAlignment="1" applyProtection="1">
      <alignment horizontal="center" vertical="center" wrapText="1"/>
      <protection hidden="1"/>
    </xf>
    <xf numFmtId="0" fontId="24" fillId="9" borderId="30" xfId="0" applyNumberFormat="1" applyFont="1" applyFill="1" applyBorder="1" applyAlignment="1" applyProtection="1">
      <alignment horizontal="center" vertical="center" wrapText="1"/>
      <protection hidden="1"/>
    </xf>
    <xf numFmtId="0" fontId="24" fillId="9" borderId="116" xfId="0" applyNumberFormat="1" applyFont="1" applyFill="1" applyBorder="1" applyAlignment="1" applyProtection="1">
      <alignment horizontal="center" vertical="center" wrapText="1"/>
      <protection hidden="1"/>
    </xf>
    <xf numFmtId="0" fontId="25" fillId="9" borderId="94" xfId="0" applyNumberFormat="1" applyFont="1" applyFill="1" applyBorder="1" applyAlignment="1" applyProtection="1">
      <alignment horizontal="center" vertical="center" wrapText="1"/>
      <protection hidden="1"/>
    </xf>
    <xf numFmtId="0" fontId="25" fillId="9" borderId="54" xfId="0" applyNumberFormat="1" applyFont="1" applyFill="1" applyBorder="1" applyAlignment="1" applyProtection="1">
      <alignment horizontal="center" vertical="center" wrapText="1"/>
      <protection hidden="1"/>
    </xf>
    <xf numFmtId="49" fontId="26" fillId="14" borderId="93" xfId="0" applyNumberFormat="1" applyFont="1" applyFill="1" applyBorder="1" applyAlignment="1" applyProtection="1">
      <alignment horizontal="center" vertical="center" wrapText="1"/>
      <protection hidden="1"/>
    </xf>
    <xf numFmtId="49" fontId="26" fillId="14" borderId="0" xfId="0" applyNumberFormat="1" applyFont="1" applyFill="1" applyBorder="1" applyAlignment="1" applyProtection="1">
      <alignment horizontal="center" vertical="center" wrapText="1"/>
      <protection hidden="1"/>
    </xf>
    <xf numFmtId="49" fontId="24" fillId="7" borderId="47" xfId="0" applyNumberFormat="1" applyFont="1" applyFill="1" applyBorder="1" applyAlignment="1" applyProtection="1">
      <alignment horizontal="center" vertical="center"/>
      <protection hidden="1"/>
    </xf>
    <xf numFmtId="49" fontId="24" fillId="7" borderId="46" xfId="0" applyNumberFormat="1" applyFont="1" applyFill="1" applyBorder="1" applyAlignment="1" applyProtection="1">
      <alignment horizontal="center" vertical="center"/>
      <protection hidden="1"/>
    </xf>
    <xf numFmtId="49" fontId="24" fillId="7" borderId="45" xfId="0" applyNumberFormat="1" applyFont="1" applyFill="1" applyBorder="1" applyAlignment="1" applyProtection="1">
      <alignment horizontal="center" vertical="center"/>
      <protection hidden="1"/>
    </xf>
    <xf numFmtId="0" fontId="24" fillId="14" borderId="82" xfId="0" applyNumberFormat="1" applyFont="1" applyFill="1" applyBorder="1" applyAlignment="1" applyProtection="1">
      <alignment horizontal="center" vertical="center" wrapText="1"/>
      <protection hidden="1"/>
    </xf>
    <xf numFmtId="0" fontId="24" fillId="14" borderId="81" xfId="0" applyNumberFormat="1" applyFont="1" applyFill="1" applyBorder="1" applyAlignment="1" applyProtection="1">
      <alignment horizontal="center" vertical="center" wrapText="1"/>
      <protection hidden="1"/>
    </xf>
    <xf numFmtId="0" fontId="70" fillId="0" borderId="32" xfId="0" applyNumberFormat="1" applyFont="1" applyBorder="1" applyAlignment="1" applyProtection="1">
      <alignment horizontal="left"/>
      <protection hidden="1"/>
    </xf>
    <xf numFmtId="0" fontId="70" fillId="0" borderId="98" xfId="0" applyNumberFormat="1" applyFont="1" applyBorder="1" applyAlignment="1" applyProtection="1">
      <alignment horizontal="left"/>
      <protection hidden="1"/>
    </xf>
    <xf numFmtId="0" fontId="70" fillId="0" borderId="33" xfId="0" applyNumberFormat="1" applyFont="1" applyBorder="1" applyAlignment="1" applyProtection="1">
      <alignment horizontal="left"/>
      <protection hidden="1"/>
    </xf>
    <xf numFmtId="0" fontId="24" fillId="14" borderId="80" xfId="0" applyNumberFormat="1" applyFont="1" applyFill="1" applyBorder="1" applyAlignment="1" applyProtection="1">
      <alignment horizontal="center" vertical="center" wrapText="1"/>
      <protection hidden="1"/>
    </xf>
    <xf numFmtId="0" fontId="70" fillId="0" borderId="32" xfId="0" applyNumberFormat="1" applyFont="1" applyBorder="1" applyAlignment="1" applyProtection="1">
      <alignment horizontal="center"/>
      <protection hidden="1"/>
    </xf>
    <xf numFmtId="0" fontId="70" fillId="0" borderId="98" xfId="0" applyNumberFormat="1" applyFont="1" applyBorder="1" applyAlignment="1" applyProtection="1">
      <alignment horizontal="center"/>
      <protection hidden="1"/>
    </xf>
    <xf numFmtId="0" fontId="70" fillId="0" borderId="33" xfId="0" applyNumberFormat="1" applyFont="1" applyBorder="1" applyAlignment="1" applyProtection="1">
      <alignment horizontal="center"/>
      <protection hidden="1"/>
    </xf>
    <xf numFmtId="0" fontId="31" fillId="19" borderId="32" xfId="0" applyNumberFormat="1" applyFont="1" applyFill="1" applyBorder="1" applyAlignment="1" applyProtection="1">
      <alignment horizontal="center" vertical="center"/>
      <protection hidden="1"/>
    </xf>
    <xf numFmtId="0" fontId="31" fillId="19" borderId="98" xfId="0" applyNumberFormat="1" applyFont="1" applyFill="1" applyBorder="1" applyAlignment="1" applyProtection="1">
      <alignment horizontal="center" vertical="center"/>
      <protection hidden="1"/>
    </xf>
    <xf numFmtId="0" fontId="31" fillId="19" borderId="33" xfId="0" applyNumberFormat="1" applyFont="1" applyFill="1" applyBorder="1" applyAlignment="1" applyProtection="1">
      <alignment horizontal="center" vertical="center"/>
      <protection hidden="1"/>
    </xf>
    <xf numFmtId="49" fontId="31" fillId="2" borderId="106" xfId="0" applyNumberFormat="1" applyFont="1" applyFill="1" applyBorder="1" applyAlignment="1" applyProtection="1">
      <alignment horizontal="center" vertical="center" wrapText="1"/>
      <protection hidden="1"/>
    </xf>
    <xf numFmtId="49" fontId="31" fillId="2" borderId="111" xfId="0" applyNumberFormat="1" applyFont="1" applyFill="1" applyBorder="1" applyAlignment="1" applyProtection="1">
      <alignment horizontal="center" vertical="center" wrapText="1"/>
      <protection hidden="1"/>
    </xf>
    <xf numFmtId="49" fontId="31" fillId="2" borderId="107" xfId="0" applyNumberFormat="1" applyFont="1" applyFill="1" applyBorder="1" applyAlignment="1" applyProtection="1">
      <alignment horizontal="center" vertical="center" wrapText="1"/>
      <protection hidden="1"/>
    </xf>
    <xf numFmtId="0" fontId="31" fillId="2" borderId="28" xfId="0" applyNumberFormat="1" applyFont="1" applyFill="1" applyBorder="1" applyAlignment="1" applyProtection="1">
      <alignment horizontal="center" vertical="center" wrapText="1"/>
      <protection hidden="1"/>
    </xf>
    <xf numFmtId="0" fontId="31" fillId="2" borderId="112" xfId="0" applyNumberFormat="1" applyFont="1" applyFill="1" applyBorder="1" applyAlignment="1" applyProtection="1">
      <alignment horizontal="center" vertical="center" wrapText="1"/>
      <protection hidden="1"/>
    </xf>
    <xf numFmtId="0" fontId="31" fillId="2" borderId="110" xfId="0" applyNumberFormat="1" applyFont="1" applyFill="1" applyBorder="1" applyAlignment="1" applyProtection="1">
      <alignment horizontal="center" vertical="center" wrapText="1"/>
      <protection hidden="1"/>
    </xf>
    <xf numFmtId="49" fontId="31" fillId="2" borderId="28" xfId="0" applyNumberFormat="1" applyFont="1" applyFill="1" applyBorder="1" applyAlignment="1" applyProtection="1">
      <alignment horizontal="center" vertical="center" wrapText="1"/>
      <protection hidden="1"/>
    </xf>
    <xf numFmtId="49" fontId="31" fillId="2" borderId="112" xfId="0" applyNumberFormat="1" applyFont="1" applyFill="1" applyBorder="1" applyAlignment="1" applyProtection="1">
      <alignment horizontal="center" vertical="center" wrapText="1"/>
      <protection hidden="1"/>
    </xf>
    <xf numFmtId="49" fontId="31" fillId="2" borderId="110" xfId="0" applyNumberFormat="1" applyFont="1" applyFill="1" applyBorder="1" applyAlignment="1" applyProtection="1">
      <alignment horizontal="center" vertical="center" wrapText="1"/>
      <protection hidden="1"/>
    </xf>
    <xf numFmtId="0" fontId="31" fillId="2" borderId="28" xfId="0" applyNumberFormat="1" applyFont="1" applyFill="1" applyBorder="1" applyAlignment="1" applyProtection="1">
      <alignment horizontal="center" vertical="center"/>
      <protection hidden="1"/>
    </xf>
    <xf numFmtId="0" fontId="31" fillId="2" borderId="112" xfId="0" applyNumberFormat="1" applyFont="1" applyFill="1" applyBorder="1" applyAlignment="1" applyProtection="1">
      <alignment horizontal="center" vertical="center"/>
      <protection hidden="1"/>
    </xf>
    <xf numFmtId="0" fontId="31" fillId="2" borderId="110" xfId="0" applyNumberFormat="1" applyFont="1" applyFill="1" applyBorder="1" applyAlignment="1" applyProtection="1">
      <alignment horizontal="center" vertical="center"/>
      <protection hidden="1"/>
    </xf>
    <xf numFmtId="0" fontId="70" fillId="16" borderId="32" xfId="0" applyNumberFormat="1" applyFont="1" applyFill="1" applyBorder="1" applyAlignment="1" applyProtection="1">
      <alignment horizontal="left"/>
      <protection hidden="1"/>
    </xf>
    <xf numFmtId="0" fontId="70" fillId="16" borderId="98" xfId="0" applyNumberFormat="1" applyFont="1" applyFill="1" applyBorder="1" applyAlignment="1" applyProtection="1">
      <alignment horizontal="left"/>
      <protection hidden="1"/>
    </xf>
    <xf numFmtId="0" fontId="70" fillId="16" borderId="33" xfId="0" applyNumberFormat="1" applyFont="1" applyFill="1" applyBorder="1" applyAlignment="1" applyProtection="1">
      <alignment horizontal="left"/>
      <protection hidden="1"/>
    </xf>
    <xf numFmtId="49" fontId="31" fillId="2" borderId="28" xfId="0" applyNumberFormat="1" applyFont="1" applyFill="1" applyBorder="1" applyAlignment="1" applyProtection="1">
      <alignment horizontal="center" vertical="center"/>
      <protection hidden="1"/>
    </xf>
    <xf numFmtId="49" fontId="31" fillId="2" borderId="112" xfId="0" applyNumberFormat="1" applyFont="1" applyFill="1" applyBorder="1" applyAlignment="1" applyProtection="1">
      <alignment horizontal="center" vertical="center"/>
      <protection hidden="1"/>
    </xf>
    <xf numFmtId="49" fontId="31" fillId="2" borderId="110" xfId="0" applyNumberFormat="1" applyFont="1" applyFill="1" applyBorder="1" applyAlignment="1" applyProtection="1">
      <alignment horizontal="center" vertical="center"/>
      <protection hidden="1"/>
    </xf>
    <xf numFmtId="0" fontId="31" fillId="2" borderId="106" xfId="0" applyNumberFormat="1" applyFont="1" applyFill="1" applyBorder="1" applyAlignment="1" applyProtection="1">
      <alignment horizontal="center" vertical="center" wrapText="1"/>
      <protection hidden="1"/>
    </xf>
    <xf numFmtId="0" fontId="31" fillId="2" borderId="111" xfId="0" applyNumberFormat="1" applyFont="1" applyFill="1" applyBorder="1" applyAlignment="1" applyProtection="1">
      <alignment horizontal="center" vertical="center" wrapText="1"/>
      <protection hidden="1"/>
    </xf>
    <xf numFmtId="0" fontId="31" fillId="2" borderId="107" xfId="0" applyNumberFormat="1" applyFont="1" applyFill="1" applyBorder="1" applyAlignment="1" applyProtection="1">
      <alignment horizontal="center" vertical="center" wrapText="1"/>
      <protection hidden="1"/>
    </xf>
    <xf numFmtId="0" fontId="24" fillId="9" borderId="99" xfId="0" applyNumberFormat="1" applyFont="1" applyFill="1" applyBorder="1" applyAlignment="1" applyProtection="1">
      <alignment horizontal="center" vertical="center" wrapText="1"/>
      <protection hidden="1"/>
    </xf>
    <xf numFmtId="0" fontId="24" fillId="9" borderId="0" xfId="0" applyNumberFormat="1" applyFont="1" applyFill="1" applyBorder="1" applyAlignment="1" applyProtection="1">
      <alignment horizontal="center" vertical="center" wrapText="1"/>
      <protection hidden="1"/>
    </xf>
    <xf numFmtId="0" fontId="24" fillId="9" borderId="100" xfId="0" applyNumberFormat="1" applyFont="1" applyFill="1" applyBorder="1" applyAlignment="1" applyProtection="1">
      <alignment horizontal="center" vertical="center" wrapText="1"/>
      <protection hidden="1"/>
    </xf>
    <xf numFmtId="0" fontId="11" fillId="0" borderId="0" xfId="2" applyFont="1" applyAlignment="1">
      <alignment horizontal="center"/>
    </xf>
  </cellXfs>
  <cellStyles count="12">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6" xr:uid="{00000000-0005-0000-0000-000005000000}"/>
    <cellStyle name="Normal 3 2 2" xfId="8" xr:uid="{01D685F0-F3B9-4194-990B-CBE0DF84FF96}"/>
    <cellStyle name="Normal 3 2 3" xfId="11" xr:uid="{190A3FD9-549D-413C-BD54-4545CA14F384}"/>
    <cellStyle name="Normal 3 3" xfId="7" xr:uid="{A4223528-E2FF-444E-8AE6-D3EE641DA397}"/>
    <cellStyle name="Normal 4" xfId="4" xr:uid="{00000000-0005-0000-0000-000006000000}"/>
    <cellStyle name="Normal 5" xfId="9" xr:uid="{2F1F107B-BD78-414D-B861-F64A682EF902}"/>
    <cellStyle name="Normal 5 2" xfId="10" xr:uid="{9B5028AE-2334-4253-BF5C-F8467CD5B8DE}"/>
  </cellStyles>
  <dxfs count="1421">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39994506668294322"/>
      </font>
      <fill>
        <patternFill>
          <bgColor theme="4" tint="0.39994506668294322"/>
        </patternFill>
      </fill>
    </dxf>
    <dxf>
      <font>
        <color theme="4" tint="0.39994506668294322"/>
      </font>
      <fill>
        <patternFill>
          <bgColor theme="4"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dxf>
    <dxf>
      <numFmt numFmtId="30" formatCode="@"/>
    </dxf>
    <dxf>
      <numFmt numFmtId="30" formatCode="@"/>
    </dxf>
    <dxf>
      <numFmt numFmtId="30" formatCode="@"/>
    </dxf>
    <dxf>
      <numFmt numFmtId="30" formatCode="@"/>
    </dxf>
    <dxf>
      <numFmt numFmtId="0" formatCode="General"/>
    </dxf>
    <dxf>
      <numFmt numFmtId="0" formatCode="Genera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numFmt numFmtId="30" formatCode="@"/>
      <fill>
        <patternFill patternType="none">
          <fgColor indexed="64"/>
          <bgColor indexed="65"/>
        </patternFill>
      </fill>
    </dxf>
    <dxf>
      <numFmt numFmtId="30" formatCode="@"/>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8DB4E2"/>
      <color rgb="FF8EA9DB"/>
      <color rgb="FF9BC2E6"/>
      <color rgb="FFDAEEF3"/>
      <color rgb="FFDA17F3"/>
      <color rgb="FFFFFFFF"/>
      <color rgb="FF5B9BD5"/>
      <color rgb="FFDDEBF7"/>
      <color rgb="FFDAEEF7"/>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0</xdr:col>
      <xdr:colOff>0</xdr:colOff>
      <xdr:row>7</xdr:row>
      <xdr:rowOff>53340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0</xdr:row>
      <xdr:rowOff>0</xdr:rowOff>
    </xdr:from>
    <xdr:to>
      <xdr:col>1</xdr:col>
      <xdr:colOff>2151863</xdr:colOff>
      <xdr:row>2</xdr:row>
      <xdr:rowOff>55824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3799688" cy="455874"/>
        </a:xfrm>
        <a:prstGeom prst="rect">
          <a:avLst/>
        </a:prstGeom>
      </xdr:spPr>
    </xdr:pic>
    <xdr:clientData/>
  </xdr:twoCellAnchor>
  <xdr:oneCellAnchor>
    <xdr:from>
      <xdr:col>0</xdr:col>
      <xdr:colOff>647700</xdr:colOff>
      <xdr:row>7</xdr:row>
      <xdr:rowOff>53340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477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0</xdr:row>
      <xdr:rowOff>0</xdr:rowOff>
    </xdr:from>
    <xdr:ext cx="3835926" cy="460617"/>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0" y="0"/>
          <a:ext cx="3835926" cy="4606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0</xdr:row>
      <xdr:rowOff>161925</xdr:rowOff>
    </xdr:from>
    <xdr:to>
      <xdr:col>1</xdr:col>
      <xdr:colOff>2531110</xdr:colOff>
      <xdr:row>4</xdr:row>
      <xdr:rowOff>19706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834130" cy="650261"/>
        </a:xfrm>
        <a:prstGeom prst="rect">
          <a:avLst/>
        </a:prstGeom>
      </xdr:spPr>
    </xdr:pic>
    <xdr:clientData/>
  </xdr:two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47700" y="14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372782</xdr:colOff>
      <xdr:row>1</xdr:row>
      <xdr:rowOff>57337</xdr:rowOff>
    </xdr:from>
    <xdr:to>
      <xdr:col>1</xdr:col>
      <xdr:colOff>2525597</xdr:colOff>
      <xdr:row>3</xdr:row>
      <xdr:rowOff>104588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372782" y="255457"/>
          <a:ext cx="3798735" cy="443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362974</xdr:colOff>
      <xdr:row>7</xdr:row>
      <xdr:rowOff>76200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200150"/>
          <a:ext cx="8212888" cy="1409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609600</xdr:colOff>
          <xdr:row>2</xdr:row>
          <xdr:rowOff>114300</xdr:rowOff>
        </xdr:to>
        <xdr:sp macro="" textlink="">
          <xdr:nvSpPr>
            <xdr:cNvPr id="5121" name="Apttus_App" hidden="1">
              <a:extLst>
                <a:ext uri="{63B3BB69-23CF-44E3-9099-C40C66FF867C}">
                  <a14:compatExt spid="_x0000_s5121"/>
                </a:ext>
                <a:ext uri="{FF2B5EF4-FFF2-40B4-BE49-F238E27FC236}">
                  <a16:creationId xmlns:a16="http://schemas.microsoft.com/office/drawing/2014/main" id="{00000000-0008-0000-13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579120</xdr:colOff>
          <xdr:row>2</xdr:row>
          <xdr:rowOff>114300</xdr:rowOff>
        </xdr:to>
        <xdr:sp macro="" textlink="">
          <xdr:nvSpPr>
            <xdr:cNvPr id="5161" name="Apttus_AppData" hidden="1">
              <a:extLst>
                <a:ext uri="{63B3BB69-23CF-44E3-9099-C40C66FF867C}">
                  <a14:compatExt spid="_x0000_s5161"/>
                </a:ext>
                <a:ext uri="{FF2B5EF4-FFF2-40B4-BE49-F238E27FC236}">
                  <a16:creationId xmlns:a16="http://schemas.microsoft.com/office/drawing/2014/main" id="{6CC1987D-0398-4258-9B26-ED7428A921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365760</xdr:colOff>
          <xdr:row>2</xdr:row>
          <xdr:rowOff>114300</xdr:rowOff>
        </xdr:to>
        <xdr:sp macro="" textlink="">
          <xdr:nvSpPr>
            <xdr:cNvPr id="5162" name="Apttus_AppDataTracker" hidden="1">
              <a:extLst>
                <a:ext uri="{63B3BB69-23CF-44E3-9099-C40C66FF867C}">
                  <a14:compatExt spid="_x0000_s5162"/>
                </a:ext>
                <a:ext uri="{FF2B5EF4-FFF2-40B4-BE49-F238E27FC236}">
                  <a16:creationId xmlns:a16="http://schemas.microsoft.com/office/drawing/2014/main" id="{32157D39-C3F9-4DB8-8354-95769DF2BE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297180</xdr:colOff>
          <xdr:row>2</xdr:row>
          <xdr:rowOff>114300</xdr:rowOff>
        </xdr:to>
        <xdr:sp macro="" textlink="">
          <xdr:nvSpPr>
            <xdr:cNvPr id="5163" name="Apttus_DataProtection" hidden="1">
              <a:extLst>
                <a:ext uri="{63B3BB69-23CF-44E3-9099-C40C66FF867C}">
                  <a14:compatExt spid="_x0000_s5163"/>
                </a:ext>
                <a:ext uri="{FF2B5EF4-FFF2-40B4-BE49-F238E27FC236}">
                  <a16:creationId xmlns:a16="http://schemas.microsoft.com/office/drawing/2014/main" id="{40A7616E-E73F-4626-ACDA-446BB5554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Saitta\AppData\Local\Microsoft\Windows\INetCache\Content.Outlook\U24Q8SJ4\PF_Francais_instructions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ranczukr\AppData\Local\Microsoft\Windows\INetCache\Content.Outlook\8WZF18XC\Text%20for%20PF%20instructions%20tab-06Dec2019_revised%20French%2011%20dec%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nstructions_final"/>
    </sheetNames>
    <sheetDataSet>
      <sheetData sheetId="0"/>
      <sheetData sheetId="1"/>
      <sheetData sheetId="2">
        <row r="5">
          <cell r="AN5" t="str">
            <v>Funding Request</v>
          </cell>
        </row>
        <row r="26">
          <cell r="E26" t="str">
            <v>[Account (Name)]</v>
          </cell>
        </row>
        <row r="30">
          <cell r="M30" t="str">
            <v>[Account (Name)][Alternative Account]</v>
          </cell>
        </row>
        <row r="31">
          <cell r="M31" t="str">
            <v>United Nations Development Programme</v>
          </cell>
        </row>
        <row r="32">
          <cell r="M32" t="str">
            <v>New PR 1</v>
          </cell>
        </row>
        <row r="33">
          <cell r="M33"/>
        </row>
        <row r="34">
          <cell r="M34"/>
        </row>
        <row r="35">
          <cell r="M35"/>
        </row>
        <row r="36">
          <cell r="M36"/>
        </row>
        <row r="37">
          <cell r="M37"/>
        </row>
        <row r="38">
          <cell r="M38"/>
        </row>
        <row r="39">
          <cell r="M39"/>
        </row>
        <row r="101">
          <cell r="E101" t="str">
            <v>--Select--</v>
          </cell>
        </row>
        <row r="102">
          <cell r="E102" t="str">
            <v>Differentiated HIV Testing Services</v>
          </cell>
        </row>
        <row r="103">
          <cell r="E103" t="str">
            <v>PMTCT</v>
          </cell>
        </row>
        <row r="104">
          <cell r="E104" t="str">
            <v>Prevention</v>
          </cell>
        </row>
        <row r="105">
          <cell r="E105" t="str">
            <v>Program management</v>
          </cell>
        </row>
        <row r="106">
          <cell r="E106" t="str">
            <v>Payment for results</v>
          </cell>
        </row>
        <row r="107">
          <cell r="E107" t="str">
            <v>RSSH: Community systems strengthening</v>
          </cell>
        </row>
        <row r="108">
          <cell r="E108" t="str">
            <v>RSSH: Health management information systems and M&amp;E</v>
          </cell>
        </row>
        <row r="109">
          <cell r="E109" t="str">
            <v>Treatment, care and support</v>
          </cell>
        </row>
        <row r="110">
          <cell r="E110" t="str">
            <v>TB/HIV</v>
          </cell>
        </row>
        <row r="111">
          <cell r="E111" t="str">
            <v>RSSH: Human resources for health, including community health workers</v>
          </cell>
        </row>
        <row r="112">
          <cell r="E112"/>
        </row>
        <row r="113">
          <cell r="E113"/>
        </row>
        <row r="114">
          <cell r="E114"/>
        </row>
        <row r="115">
          <cell r="E115"/>
        </row>
        <row r="116">
          <cell r="E116"/>
        </row>
        <row r="123">
          <cell r="W123"/>
          <cell r="AD123"/>
        </row>
        <row r="124">
          <cell r="V124" t="str">
            <v>Men who have sex with men</v>
          </cell>
          <cell r="W124" t="str">
            <v>Community-based testing</v>
          </cell>
          <cell r="AD124" t="str">
            <v>Differentiated HIV Testing Services</v>
          </cell>
        </row>
        <row r="125">
          <cell r="V125" t="str">
            <v>Not applicable</v>
          </cell>
          <cell r="W125" t="str">
            <v>Prong 3: Preventing vertical HIV transmission</v>
          </cell>
          <cell r="AD125" t="str">
            <v>PMTCT</v>
          </cell>
        </row>
        <row r="126">
          <cell r="V126" t="str">
            <v>Adolescent girls and young women in high prevalence settings</v>
          </cell>
          <cell r="W126" t="str">
            <v>Comprehensive sexuality education</v>
          </cell>
          <cell r="AD126" t="str">
            <v>Prevention</v>
          </cell>
        </row>
        <row r="127">
          <cell r="V127" t="str">
            <v>Not applicable</v>
          </cell>
          <cell r="W127" t="str">
            <v>Coordination and management of national disease control programs</v>
          </cell>
          <cell r="AD127" t="str">
            <v>Program management</v>
          </cell>
        </row>
        <row r="128">
          <cell r="V128" t="str">
            <v>Not applicable</v>
          </cell>
          <cell r="W128" t="str">
            <v>Payment for results</v>
          </cell>
          <cell r="AD128" t="str">
            <v>Payment for results</v>
          </cell>
        </row>
        <row r="129">
          <cell r="V129" t="str">
            <v>Not applicable</v>
          </cell>
          <cell r="W129" t="str">
            <v>Community-led advocacy and research</v>
          </cell>
          <cell r="AD129" t="str">
            <v>RSSH: Community systems strengthening</v>
          </cell>
        </row>
        <row r="130">
          <cell r="V130" t="str">
            <v>Not applicable</v>
          </cell>
          <cell r="W130" t="str">
            <v>Surveys</v>
          </cell>
          <cell r="AD130" t="str">
            <v>RSSH: Health management information systems and M&amp;E</v>
          </cell>
        </row>
        <row r="131">
          <cell r="V131" t="str">
            <v>All people living with HIV</v>
          </cell>
          <cell r="W131" t="str">
            <v>Treatment monitoring - Viral load</v>
          </cell>
          <cell r="AD131" t="str">
            <v>Treatment, care and support</v>
          </cell>
        </row>
        <row r="132">
          <cell r="V132" t="str">
            <v>Not applicable</v>
          </cell>
          <cell r="W132" t="str">
            <v>Treatment (TB/HIV)</v>
          </cell>
          <cell r="AD132" t="str">
            <v>TB/HIV</v>
          </cell>
        </row>
        <row r="133">
          <cell r="V133" t="str">
            <v>Not applicable</v>
          </cell>
          <cell r="W133" t="str">
            <v>Community health workers: Remuneration and deployment</v>
          </cell>
          <cell r="AD133" t="str">
            <v>RSSH: Human resources for health, including community health workers</v>
          </cell>
        </row>
        <row r="134">
          <cell r="W134"/>
          <cell r="AD134"/>
        </row>
        <row r="135">
          <cell r="W135"/>
          <cell r="AD135"/>
        </row>
        <row r="136">
          <cell r="W136"/>
          <cell r="AD136"/>
        </row>
        <row r="137">
          <cell r="W137"/>
          <cell r="AD137"/>
        </row>
        <row r="138">
          <cell r="W138"/>
          <cell r="AD138"/>
        </row>
        <row r="139">
          <cell r="W139"/>
          <cell r="AD139"/>
        </row>
        <row r="140">
          <cell r="W140"/>
          <cell r="AD140"/>
        </row>
        <row r="141">
          <cell r="W141"/>
          <cell r="AD141"/>
        </row>
        <row r="142">
          <cell r="W142"/>
          <cell r="AD142"/>
        </row>
        <row r="143">
          <cell r="W143"/>
          <cell r="AD143"/>
        </row>
        <row r="144">
          <cell r="W144"/>
          <cell r="AD144"/>
        </row>
        <row r="145">
          <cell r="W145"/>
          <cell r="AD145"/>
        </row>
        <row r="146">
          <cell r="W146"/>
          <cell r="AD146"/>
        </row>
        <row r="147">
          <cell r="W147"/>
          <cell r="AD147"/>
        </row>
        <row r="148">
          <cell r="W148"/>
          <cell r="AD148"/>
        </row>
        <row r="149">
          <cell r="W149"/>
          <cell r="AD149"/>
        </row>
        <row r="150">
          <cell r="W150"/>
          <cell r="AD150"/>
        </row>
        <row r="151">
          <cell r="W151"/>
          <cell r="AD151"/>
        </row>
        <row r="152">
          <cell r="W152"/>
          <cell r="AD152"/>
        </row>
        <row r="153">
          <cell r="W153"/>
          <cell r="AD153"/>
        </row>
        <row r="154">
          <cell r="W154"/>
          <cell r="AD154"/>
        </row>
        <row r="155">
          <cell r="W155"/>
          <cell r="AD155"/>
        </row>
        <row r="156">
          <cell r="W156"/>
          <cell r="AD156"/>
        </row>
        <row r="157">
          <cell r="W157"/>
          <cell r="AD157"/>
        </row>
        <row r="158">
          <cell r="W158"/>
          <cell r="AD158"/>
        </row>
        <row r="159">
          <cell r="W159"/>
          <cell r="AD159"/>
        </row>
        <row r="160">
          <cell r="W160"/>
          <cell r="AD160"/>
        </row>
        <row r="161">
          <cell r="W161"/>
          <cell r="AD161"/>
        </row>
        <row r="162">
          <cell r="W162"/>
          <cell r="AD162"/>
        </row>
        <row r="163">
          <cell r="W163"/>
          <cell r="AD163"/>
        </row>
        <row r="164">
          <cell r="W164"/>
          <cell r="AD164"/>
        </row>
        <row r="165">
          <cell r="W165"/>
          <cell r="AD165"/>
        </row>
        <row r="166">
          <cell r="W166"/>
          <cell r="AD166"/>
        </row>
        <row r="167">
          <cell r="W167"/>
          <cell r="AD167"/>
        </row>
        <row r="168">
          <cell r="W168"/>
          <cell r="AD168"/>
        </row>
        <row r="169">
          <cell r="W169"/>
          <cell r="AD169"/>
        </row>
        <row r="170">
          <cell r="W170"/>
          <cell r="AD170"/>
        </row>
        <row r="171">
          <cell r="W171"/>
          <cell r="AD171"/>
        </row>
        <row r="172">
          <cell r="W172"/>
          <cell r="AD172"/>
        </row>
        <row r="173">
          <cell r="W173"/>
          <cell r="AD173"/>
        </row>
      </sheetData>
      <sheetData sheetId="3"/>
      <sheetData sheetId="4"/>
      <sheetData sheetId="5"/>
      <sheetData sheetId="6"/>
      <sheetData sheetId="7">
        <row r="31">
          <cell r="C31">
            <v>2002</v>
          </cell>
        </row>
        <row r="32">
          <cell r="C32">
            <v>2003</v>
          </cell>
        </row>
        <row r="33">
          <cell r="C33">
            <v>2004</v>
          </cell>
        </row>
        <row r="34">
          <cell r="C34">
            <v>2005</v>
          </cell>
        </row>
        <row r="35">
          <cell r="C35">
            <v>2006</v>
          </cell>
        </row>
        <row r="36">
          <cell r="C36">
            <v>2007</v>
          </cell>
        </row>
        <row r="37">
          <cell r="C37">
            <v>2008</v>
          </cell>
        </row>
        <row r="38">
          <cell r="C38">
            <v>2009</v>
          </cell>
        </row>
        <row r="39">
          <cell r="C39">
            <v>2010</v>
          </cell>
        </row>
        <row r="40">
          <cell r="C40">
            <v>2011</v>
          </cell>
        </row>
        <row r="41">
          <cell r="C41">
            <v>2012</v>
          </cell>
        </row>
        <row r="42">
          <cell r="C42">
            <v>2013</v>
          </cell>
        </row>
        <row r="43">
          <cell r="C43">
            <v>2014</v>
          </cell>
        </row>
        <row r="44">
          <cell r="C44">
            <v>2015</v>
          </cell>
        </row>
        <row r="45">
          <cell r="C45">
            <v>2016</v>
          </cell>
        </row>
        <row r="46">
          <cell r="C46">
            <v>2017</v>
          </cell>
        </row>
        <row r="47">
          <cell r="C47">
            <v>2018</v>
          </cell>
        </row>
        <row r="48">
          <cell r="C48">
            <v>2019</v>
          </cell>
        </row>
        <row r="49">
          <cell r="C49">
            <v>2020</v>
          </cell>
        </row>
        <row r="50">
          <cell r="C50">
            <v>2021</v>
          </cell>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sheetData>
      <sheetData sheetId="8"/>
      <sheetData sheetId="9"/>
      <sheetData sheetId="10"/>
      <sheetData sheetId="11">
        <row r="10">
          <cell r="AA10" t="str">
            <v>[Custom Coverage Indicator Name - EN]</v>
          </cell>
        </row>
        <row r="11">
          <cell r="AA11"/>
        </row>
        <row r="12">
          <cell r="AA12"/>
        </row>
        <row r="13">
          <cell r="AA13"/>
        </row>
        <row r="14">
          <cell r="AA14"/>
        </row>
        <row r="15">
          <cell r="AA15"/>
        </row>
        <row r="16">
          <cell r="AA16"/>
        </row>
        <row r="17">
          <cell r="AA17"/>
        </row>
        <row r="18">
          <cell r="AA18"/>
        </row>
        <row r="19">
          <cell r="AA19"/>
        </row>
        <row r="20">
          <cell r="AA20"/>
        </row>
        <row r="21">
          <cell r="AA21"/>
        </row>
        <row r="22">
          <cell r="AA22"/>
        </row>
        <row r="23">
          <cell r="AA23"/>
        </row>
        <row r="24">
          <cell r="AA24"/>
        </row>
        <row r="25">
          <cell r="AA25"/>
        </row>
        <row r="26">
          <cell r="AA26"/>
        </row>
        <row r="27">
          <cell r="AA27"/>
        </row>
        <row r="28">
          <cell r="AA28"/>
        </row>
        <row r="29">
          <cell r="AA29"/>
        </row>
        <row r="30">
          <cell r="AA30"/>
        </row>
        <row r="31">
          <cell r="AA31"/>
        </row>
        <row r="32">
          <cell r="AA32"/>
        </row>
        <row r="33">
          <cell r="AA33"/>
        </row>
        <row r="34">
          <cell r="AA34"/>
        </row>
        <row r="35">
          <cell r="AA35"/>
        </row>
        <row r="36">
          <cell r="AA36"/>
        </row>
        <row r="37">
          <cell r="AA37"/>
        </row>
        <row r="38">
          <cell r="AA38"/>
        </row>
        <row r="39">
          <cell r="AA39"/>
        </row>
        <row r="40">
          <cell r="AA40"/>
        </row>
      </sheetData>
      <sheetData sheetId="12"/>
      <sheetData sheetId="13"/>
      <sheetData sheetId="14"/>
      <sheetData sheetId="15"/>
      <sheetData sheetId="16"/>
      <sheetData sheetId="17"/>
      <sheetData sheetId="18"/>
      <sheetData sheetId="19">
        <row r="1">
          <cell r="A1" t="str">
            <v>Multicountry</v>
          </cell>
        </row>
        <row r="4">
          <cell r="I4" t="str">
            <v>--Select--</v>
          </cell>
        </row>
        <row r="5">
          <cell r="I5" t="str">
            <v>HIV I-4 Number of AIDS-related deaths per 100,000 population</v>
          </cell>
        </row>
        <row r="6">
          <cell r="I6" t="str">
            <v>HIV I-6 Estimated percentage of children newly infected with HIV from mother-to-child transmission among women living with HIV delivering in the past 12 months</v>
          </cell>
        </row>
        <row r="7">
          <cell r="I7" t="str">
            <v>HIV I-9a⁽ᴹ⁾ Percentage of men who have sex with men who are living with HIV</v>
          </cell>
        </row>
        <row r="8">
          <cell r="I8" t="str">
            <v>HIV I-9b⁽ᴹ⁾ Percentage of transgender people who are living with HIV</v>
          </cell>
        </row>
        <row r="9">
          <cell r="I9" t="str">
            <v>HIV I-10⁽ᴹ⁾ Percentage of sex workers who are living with HIV</v>
          </cell>
        </row>
        <row r="10">
          <cell r="I10" t="str">
            <v>HIV I-11⁽ᴹ⁾ Percentage of people who inject drugs who are living with HIV</v>
          </cell>
        </row>
        <row r="11">
          <cell r="I11" t="str">
            <v>HIV I-12 Percentage of other vulnerable populations (specify) who are living with HIV</v>
          </cell>
        </row>
        <row r="12">
          <cell r="I12" t="str">
            <v>TB/HIV I-1 TB/HIV mortality rate per 100,000 population</v>
          </cell>
        </row>
        <row r="13">
          <cell r="I13" t="str">
            <v>HIV I-13 Percentage of people living with HIV</v>
          </cell>
        </row>
        <row r="14">
          <cell r="I14" t="str">
            <v>HIV I-14 Number of new HIV infections per 1000 uninfected population</v>
          </cell>
        </row>
        <row r="21">
          <cell r="I21" t="str">
            <v>--Select--</v>
          </cell>
        </row>
        <row r="22">
          <cell r="I22" t="str">
            <v>HIV O-10 Percent of respondents who say they used a condom the last time they had sex with a non-marital, non-cohabiting partner, of those who have had sex with such a partner in the last 12 months</v>
          </cell>
        </row>
        <row r="23">
          <cell r="I23" t="str">
            <v>HIV O-9 Percentage of people who inject drugs reporting condom use at last sex</v>
          </cell>
        </row>
        <row r="24">
          <cell r="I24" t="str">
            <v>HIV O-12 Percentage of people living with HIV and on ART who are virologically suppressed</v>
          </cell>
        </row>
        <row r="25">
          <cell r="I25" t="str">
            <v>HIV O-13 Proportion of ever-married or partnered women aged 15-49 who experienced physical or sexual violence from a male intimate partner in the past 12 months</v>
          </cell>
        </row>
        <row r="26">
          <cell r="I26" t="str">
            <v>HIV O-14 Percentage of women and men aged 15–49 who report discriminatory attitudes towards people living with HIV</v>
          </cell>
        </row>
        <row r="27">
          <cell r="I27" t="str">
            <v>HIV O-15 Percentage of people living with HIV who report experiences of HIV-related discrimination in health-care settings</v>
          </cell>
        </row>
        <row r="28">
          <cell r="I28" t="str">
            <v>HIV O-5⁽ᴹ⁾ Percentage of sex workers reporting the use of a condom with their most recent client</v>
          </cell>
        </row>
        <row r="29">
          <cell r="I29" t="str">
            <v>HIV O-6⁽ᴹ⁾ Percentage of people who inject drugs reporting the use of sterile injecting equipment the last time they injected</v>
          </cell>
        </row>
        <row r="30">
          <cell r="I30" t="str">
            <v>HIV O-7 Percentage of other vulnerable populations who report the use of a condom at last sexual intercourse</v>
          </cell>
        </row>
        <row r="31">
          <cell r="I31" t="str">
            <v>HIV O-11⁽ᴹ⁾ Percentage of people living with HIV who know their HIV status at the end of the reporting period</v>
          </cell>
        </row>
        <row r="32">
          <cell r="I32" t="str">
            <v>HIV O-16a Percentage of men who have sex with men who avoid health care because of stigma and discrimination</v>
          </cell>
        </row>
        <row r="33">
          <cell r="I33" t="str">
            <v>HIV O-16b Percentage of transgender people who avoid health care because of stigma and discrimination</v>
          </cell>
        </row>
        <row r="34">
          <cell r="I34" t="str">
            <v>HIV O-16c Percentage of sex workers who avoid health care because of stigma and discrimination</v>
          </cell>
        </row>
        <row r="35">
          <cell r="I35" t="str">
            <v>HIV O-16d Percentage of people who inject drugs who avoid health care because of stigma and discrimination</v>
          </cell>
        </row>
        <row r="36">
          <cell r="I36" t="str">
            <v>HIV O-17 Percentage of people living with HIV reporting their rights were violated who sought legal redress</v>
          </cell>
        </row>
        <row r="37">
          <cell r="I37" t="str">
            <v>HIV O-18 Percentage of women aged 15-24 who had 2+ partners in the past 12 months</v>
          </cell>
        </row>
        <row r="38">
          <cell r="I38" t="str">
            <v>HIV O-19 Percentage of women aged 15-19 who have had a live birth or are currently pregnant</v>
          </cell>
        </row>
        <row r="39">
          <cell r="I39" t="str">
            <v>HIV O-20 Percentage of females aged 15-24 who dropped out of school in the last year</v>
          </cell>
        </row>
        <row r="40">
          <cell r="I40" t="str">
            <v>HSS O-5 Percentage of health facilities with tracer medicines for the three diseases available on the day of the visit or day of reporting</v>
          </cell>
        </row>
        <row r="41">
          <cell r="I41" t="str">
            <v>HSS O-6 Percentage of facilities providing diagnostic services on the day of the assessment</v>
          </cell>
        </row>
        <row r="42">
          <cell r="I42" t="str">
            <v>HSS O-7 National aggregate HMIS fully deployed and functional: Percentage of HMIS components in place (HIS deployment, completeness, timeliness, and integration of aggregate disease reporting for HIV, TB and malaria indicators)</v>
          </cell>
        </row>
        <row r="43">
          <cell r="I43" t="str">
            <v>HSS O-8 Active health workers per 10,000 population</v>
          </cell>
        </row>
        <row r="44">
          <cell r="I44" t="str">
            <v>HSS O-9 Percentage of antenatal clients with 1st visit before 12 weeks</v>
          </cell>
        </row>
        <row r="45">
          <cell r="I45" t="str">
            <v>HSS O-10 Proportion of population with large household expenditure on health as a share of total household expenditure or income (catastrophic spending on health)</v>
          </cell>
        </row>
        <row r="46">
          <cell r="I46" t="str">
            <v>HIV O-4a⁽ᴹ⁾ Percentage of men reporting the use of a condom the last time they had anal sex with a non regular partner</v>
          </cell>
        </row>
        <row r="47">
          <cell r="I47" t="str">
            <v>HIV O-4.1b⁽ᴹ⁾ Percentage of transgender people reporting using a condom in their last anal sex with a non-regular male partner</v>
          </cell>
        </row>
        <row r="48">
          <cell r="I48" t="str">
            <v>HIV O-21 Percentage of people living with HIV not on ART at the end of the reporting period among people living with HIV who were either on ART at the end of the last reporting period or newly initiated on ART during the reporting period</v>
          </cell>
        </row>
        <row r="49">
          <cell r="I49"/>
        </row>
        <row r="50">
          <cell r="I50"/>
        </row>
        <row r="51">
          <cell r="I51"/>
        </row>
        <row r="52">
          <cell r="I52"/>
        </row>
        <row r="53">
          <cell r="I53"/>
        </row>
        <row r="54">
          <cell r="I54"/>
        </row>
        <row r="61">
          <cell r="A61" t="str">
            <v>[Module (Name)]</v>
          </cell>
        </row>
        <row r="62">
          <cell r="A62" t="str">
            <v>MCI-01226</v>
          </cell>
        </row>
        <row r="63">
          <cell r="A63" t="str">
            <v>MCI-01226</v>
          </cell>
        </row>
        <row r="64">
          <cell r="A64" t="str">
            <v>MCI-01226</v>
          </cell>
        </row>
        <row r="65">
          <cell r="A65" t="str">
            <v>MCI-01226</v>
          </cell>
        </row>
        <row r="66">
          <cell r="A66" t="str">
            <v>MCI-01227</v>
          </cell>
        </row>
        <row r="67">
          <cell r="A67" t="str">
            <v>MCI-01227</v>
          </cell>
        </row>
        <row r="68">
          <cell r="A68" t="str">
            <v>MCI-01227</v>
          </cell>
        </row>
        <row r="69">
          <cell r="A69" t="str">
            <v>MCI-01229</v>
          </cell>
        </row>
        <row r="70">
          <cell r="A70" t="str">
            <v>MCI-01229</v>
          </cell>
        </row>
        <row r="71">
          <cell r="A71" t="str">
            <v>MCI-01229</v>
          </cell>
        </row>
        <row r="72">
          <cell r="A72" t="str">
            <v>MCI-01229</v>
          </cell>
        </row>
        <row r="73">
          <cell r="A73" t="str">
            <v>MCI-01231</v>
          </cell>
        </row>
        <row r="74">
          <cell r="A74" t="str">
            <v>MCI-01231</v>
          </cell>
        </row>
        <row r="75">
          <cell r="A75" t="str">
            <v>MCI-01231</v>
          </cell>
        </row>
        <row r="76">
          <cell r="A76" t="str">
            <v>MCI-01231</v>
          </cell>
        </row>
        <row r="77">
          <cell r="A77" t="str">
            <v>MCI-01231</v>
          </cell>
        </row>
        <row r="78">
          <cell r="A78" t="str">
            <v>MCI-01231</v>
          </cell>
        </row>
        <row r="79">
          <cell r="A79" t="str">
            <v>MCI-01231</v>
          </cell>
        </row>
        <row r="80">
          <cell r="A80" t="str">
            <v>MCI-01231</v>
          </cell>
        </row>
        <row r="81">
          <cell r="A81" t="str">
            <v>MCI-01231</v>
          </cell>
        </row>
        <row r="82">
          <cell r="A82" t="str">
            <v>MCI-01235</v>
          </cell>
        </row>
        <row r="83">
          <cell r="A83" t="str">
            <v>MCI-01235</v>
          </cell>
        </row>
        <row r="84">
          <cell r="A84" t="str">
            <v>MCI-01235</v>
          </cell>
        </row>
        <row r="85">
          <cell r="A85" t="str">
            <v>MCI-01235</v>
          </cell>
        </row>
        <row r="86">
          <cell r="A86" t="str">
            <v>MCI-01236</v>
          </cell>
        </row>
        <row r="87">
          <cell r="A87" t="str">
            <v>MCI-01236</v>
          </cell>
        </row>
        <row r="88">
          <cell r="A88" t="str">
            <v>MCI-01236</v>
          </cell>
        </row>
        <row r="89">
          <cell r="A89" t="str">
            <v>MCI-01237</v>
          </cell>
        </row>
        <row r="90">
          <cell r="A90" t="str">
            <v>MCI-01237</v>
          </cell>
        </row>
        <row r="91">
          <cell r="A91" t="str">
            <v>MCI-01237</v>
          </cell>
        </row>
        <row r="92">
          <cell r="A92" t="str">
            <v>MCI-01237</v>
          </cell>
        </row>
        <row r="93">
          <cell r="A93" t="str">
            <v>MCI-01237</v>
          </cell>
        </row>
        <row r="94">
          <cell r="A94" t="str">
            <v>MCI-01239</v>
          </cell>
        </row>
        <row r="95">
          <cell r="A95" t="str">
            <v>MCI-01240</v>
          </cell>
        </row>
        <row r="96">
          <cell r="A96" t="str">
            <v>MCI-01241</v>
          </cell>
        </row>
        <row r="97">
          <cell r="A97" t="str">
            <v>MCI-01241</v>
          </cell>
        </row>
        <row r="98">
          <cell r="A98" t="str">
            <v>MCI-01242</v>
          </cell>
        </row>
        <row r="99">
          <cell r="A99" t="str">
            <v>MCI-01242</v>
          </cell>
        </row>
        <row r="100">
          <cell r="A100" t="str">
            <v>MCI-01242</v>
          </cell>
        </row>
        <row r="101">
          <cell r="A101" t="str">
            <v>MCI-01242</v>
          </cell>
        </row>
        <row r="102">
          <cell r="A102" t="str">
            <v>MCI-01242</v>
          </cell>
        </row>
        <row r="103">
          <cell r="A103" t="str">
            <v>MCI-01243</v>
          </cell>
        </row>
        <row r="104">
          <cell r="A104" t="str">
            <v>MCI-01243</v>
          </cell>
        </row>
        <row r="105">
          <cell r="A105" t="str">
            <v>MCI-01246</v>
          </cell>
        </row>
        <row r="106">
          <cell r="A106" t="str">
            <v>MCI-01246</v>
          </cell>
        </row>
        <row r="107">
          <cell r="A107" t="str">
            <v>MCI-01246</v>
          </cell>
        </row>
        <row r="108">
          <cell r="A108" t="str">
            <v>MCI-01246</v>
          </cell>
        </row>
        <row r="109">
          <cell r="A109" t="str">
            <v>MCI-01246</v>
          </cell>
        </row>
        <row r="110">
          <cell r="A110" t="str">
            <v>MCI-01246</v>
          </cell>
        </row>
        <row r="111">
          <cell r="A111" t="str">
            <v>MCI-01246</v>
          </cell>
        </row>
        <row r="112">
          <cell r="A112" t="str">
            <v>MCI-01246</v>
          </cell>
        </row>
        <row r="113">
          <cell r="A113" t="str">
            <v>MCI-01246</v>
          </cell>
        </row>
        <row r="114">
          <cell r="A114" t="str">
            <v>MCI-01246</v>
          </cell>
        </row>
        <row r="115">
          <cell r="A115" t="str">
            <v>MCI-01246</v>
          </cell>
        </row>
        <row r="116">
          <cell r="A116" t="str">
            <v>MCI-01246</v>
          </cell>
        </row>
        <row r="117">
          <cell r="A117" t="str">
            <v>MCI-01246</v>
          </cell>
        </row>
        <row r="118">
          <cell r="A118" t="str">
            <v>MCI-01246</v>
          </cell>
        </row>
        <row r="119">
          <cell r="A119" t="str">
            <v>MCI-01246</v>
          </cell>
        </row>
        <row r="120">
          <cell r="A120" t="str">
            <v>MCI-01246</v>
          </cell>
        </row>
        <row r="121">
          <cell r="A121" t="str">
            <v>MCI-01247</v>
          </cell>
        </row>
        <row r="125">
          <cell r="J125" t="str">
            <v>--Select--</v>
          </cell>
        </row>
        <row r="126">
          <cell r="J126" t="str">
            <v>Differentiated HIV Testing Services</v>
          </cell>
        </row>
        <row r="127">
          <cell r="J127" t="str">
            <v>Payment for results</v>
          </cell>
        </row>
        <row r="128">
          <cell r="J128" t="str">
            <v>PMTCT</v>
          </cell>
        </row>
        <row r="129">
          <cell r="J129" t="str">
            <v>Prevention</v>
          </cell>
        </row>
        <row r="130">
          <cell r="J130" t="str">
            <v>Program management</v>
          </cell>
        </row>
        <row r="131">
          <cell r="J131" t="str">
            <v>Reducing human rights-related barriers to HIV/TB services</v>
          </cell>
        </row>
        <row r="132">
          <cell r="J132" t="str">
            <v>RSSH: Community systems strengthening</v>
          </cell>
        </row>
        <row r="133">
          <cell r="J133" t="str">
            <v>RSSH: Financial management systems</v>
          </cell>
        </row>
        <row r="134">
          <cell r="J134" t="str">
            <v>RSSH: Health management information systems and M&amp;E</v>
          </cell>
        </row>
        <row r="135">
          <cell r="J135" t="str">
            <v>RSSH: Health products management systems</v>
          </cell>
        </row>
        <row r="136">
          <cell r="J136" t="str">
            <v>RSSH: Health sector governance and planning</v>
          </cell>
        </row>
        <row r="137">
          <cell r="J137" t="str">
            <v>RSSH: Human resources for health, including community health workers</v>
          </cell>
        </row>
        <row r="138">
          <cell r="J138" t="str">
            <v>RSSH: Integrated service delivery and quality improvement</v>
          </cell>
        </row>
        <row r="139">
          <cell r="J139" t="str">
            <v>RSSH: Laboratory systems</v>
          </cell>
        </row>
        <row r="140">
          <cell r="J140" t="str">
            <v>TB/HIV</v>
          </cell>
        </row>
        <row r="141">
          <cell r="J141" t="str">
            <v>Treatment, care and support</v>
          </cell>
        </row>
        <row r="142">
          <cell r="J142"/>
        </row>
        <row r="143">
          <cell r="J143"/>
        </row>
        <row r="144">
          <cell r="J144"/>
        </row>
        <row r="145">
          <cell r="J145"/>
        </row>
        <row r="146">
          <cell r="J146"/>
        </row>
        <row r="147">
          <cell r="J147"/>
        </row>
        <row r="148">
          <cell r="J148"/>
        </row>
        <row r="149">
          <cell r="J149"/>
        </row>
        <row r="150">
          <cell r="J150"/>
        </row>
        <row r="151">
          <cell r="J151"/>
        </row>
        <row r="162">
          <cell r="A162" t="str">
            <v>[Module (Name)]</v>
          </cell>
        </row>
        <row r="261">
          <cell r="B261" t="str">
            <v>Cuba</v>
          </cell>
          <cell r="C261" t="str">
            <v>a1A360000013LzkEAE</v>
          </cell>
        </row>
        <row r="323">
          <cell r="A323" t="str">
            <v>[Country (Name)]</v>
          </cell>
        </row>
        <row r="332">
          <cell r="A332" t="str">
            <v>Allocation Cycle</v>
          </cell>
          <cell r="B332" t="str">
            <v>Record ID</v>
          </cell>
          <cell r="C332" t="str">
            <v>Name</v>
          </cell>
          <cell r="E332" t="str">
            <v>Module (Name)</v>
          </cell>
          <cell r="F332" t="str">
            <v>Allocation Cycle (Name)</v>
          </cell>
        </row>
        <row r="333">
          <cell r="A333" t="str">
            <v>[Allocation Cycle]</v>
          </cell>
          <cell r="B333" t="str">
            <v>[Record ID]</v>
          </cell>
          <cell r="C333" t="str">
            <v>No  Applicate</v>
          </cell>
          <cell r="D333" t="str">
            <v>MCI-01357</v>
          </cell>
          <cell r="E333" t="str">
            <v>[Module (Name)]</v>
          </cell>
          <cell r="F333" t="str">
            <v>[Allocation Cycle (Name)]</v>
          </cell>
        </row>
        <row r="511">
          <cell r="A511" t="str">
            <v>Allocation Cycle</v>
          </cell>
          <cell r="B511" t="str">
            <v>Record ID</v>
          </cell>
          <cell r="C511" t="str">
            <v>Name</v>
          </cell>
          <cell r="D511" t="str">
            <v>Allocation Cycle (Name)</v>
          </cell>
          <cell r="E511" t="str">
            <v>Name ID</v>
          </cell>
          <cell r="F511" t="str">
            <v>Module (Name)</v>
          </cell>
        </row>
        <row r="512">
          <cell r="A512" t="str">
            <v>[Allocation Cycle]</v>
          </cell>
          <cell r="B512" t="str">
            <v>[Record ID]</v>
          </cell>
          <cell r="C512" t="str">
            <v>[Name]</v>
          </cell>
          <cell r="D512" t="str">
            <v>[Allocation Cycle (Name)]</v>
          </cell>
          <cell r="E512" t="str">
            <v>[Name ID]</v>
          </cell>
          <cell r="F512" t="str">
            <v>[Module (Name)]</v>
          </cell>
        </row>
      </sheetData>
      <sheetData sheetId="20"/>
      <sheetData sheetId="21"/>
      <sheetData sheetId="22"/>
      <sheetData sheetId="23">
        <row r="2">
          <cell r="B2" t="str">
            <v>Account (Name)</v>
          </cell>
        </row>
        <row r="3">
          <cell r="B3" t="str">
            <v>[Account (Name)]</v>
          </cell>
          <cell r="C3" t="str">
            <v>[Account (Name)]</v>
          </cell>
        </row>
        <row r="4">
          <cell r="B4" t="str">
            <v>United Nations Development Programme</v>
          </cell>
          <cell r="C4" t="str">
            <v>United Nations Development Programme</v>
          </cell>
        </row>
        <row r="5">
          <cell r="B5" t="str">
            <v>United Nations Development Programme</v>
          </cell>
          <cell r="C5"/>
        </row>
        <row r="6">
          <cell r="B6" t="str">
            <v>United Nations Development Programme</v>
          </cell>
          <cell r="C6"/>
        </row>
        <row r="7">
          <cell r="B7" t="str">
            <v>United Nations Development Programme</v>
          </cell>
          <cell r="C7"/>
        </row>
        <row r="16">
          <cell r="C16" t="str">
            <v>[Account (Name)]</v>
          </cell>
        </row>
        <row r="17">
          <cell r="C17" t="str">
            <v>Project HOPE  - the People to People Health Foundation</v>
          </cell>
        </row>
        <row r="18">
          <cell r="C18" t="str">
            <v>RSE on REU “National Scientific Center of Phthisiopulmonology of the Republic of  Kazakhstan” of the Ministry of Health of the Republic of  Kazakhstan</v>
          </cell>
        </row>
        <row r="19">
          <cell r="C19" t="str">
            <v>Kazakh scientific center of dermatology and infectious diseases of the Ministry of Health of the Republic of Kazakhstan</v>
          </cell>
        </row>
        <row r="20">
          <cell r="C20" t="str">
            <v>United Nations Development Programme</v>
          </cell>
        </row>
        <row r="21">
          <cell r="C21" t="str">
            <v>Republican Center of Tuberculosis Control - Tajikistan</v>
          </cell>
        </row>
        <row r="22">
          <cell r="C22" t="str">
            <v>Republican Specialized Scientific-Practical Medical Center of Phthisiology and Pulmonology</v>
          </cell>
        </row>
        <row r="23">
          <cell r="C23" t="str">
            <v>Republican Center of State Sanitary-Epidemiological Surveillance of the Republic of Uzbekistan</v>
          </cell>
        </row>
        <row r="24">
          <cell r="C24" t="str">
            <v>Republican DOTS Centre  Ministry of Health of the Republic of Uzbekistan</v>
          </cell>
        </row>
        <row r="25">
          <cell r="C25" t="str">
            <v>Republican Center to Fight AIDS</v>
          </cell>
        </row>
        <row r="26">
          <cell r="C26" t="str">
            <v>Ministry of Health of Mongolia</v>
          </cell>
        </row>
        <row r="27">
          <cell r="C27" t="str">
            <v>Ministry of Health of the Lao People's Democratic Republic</v>
          </cell>
        </row>
        <row r="28">
          <cell r="C28" t="str">
            <v>Malaysian AIDS Council</v>
          </cell>
        </row>
        <row r="29">
          <cell r="C29" t="str">
            <v>Ministry of Health of the Democratic Republic of Timor-Leste</v>
          </cell>
        </row>
        <row r="30">
          <cell r="C30" t="str">
            <v>Ministry of Health of the Royal Government of Bhutan</v>
          </cell>
        </row>
        <row r="31">
          <cell r="C31" t="str">
            <v>Ministry of Health of the Republic of Armenia</v>
          </cell>
        </row>
        <row r="32">
          <cell r="C32" t="str">
            <v>Mission East</v>
          </cell>
        </row>
        <row r="33">
          <cell r="C33" t="str">
            <v>Ministry of Health of the Republic of Azerbaijan</v>
          </cell>
        </row>
        <row r="34">
          <cell r="C34" t="str">
            <v>Main Medical Department of the Ministry of Justice of the Republic of Azerbaijan</v>
          </cell>
        </row>
        <row r="35">
          <cell r="C35" t="str">
            <v>National Center For Disease Control and Public Health</v>
          </cell>
        </row>
        <row r="36">
          <cell r="C36" t="str">
            <v>Republican Scientific and Practical Center for Medical Technologies, Informatization, Administration and Management of Health</v>
          </cell>
        </row>
        <row r="37">
          <cell r="C37" t="str">
            <v>Public Institution - Coordination, Implementation and Monitoring Unit of the Health  System Projects</v>
          </cell>
        </row>
        <row r="38">
          <cell r="C38" t="str">
            <v>Center for Health Policies and Studies</v>
          </cell>
        </row>
        <row r="39">
          <cell r="C39" t="str">
            <v>United Nations Children's Fund</v>
          </cell>
        </row>
        <row r="40">
          <cell r="C40" t="str">
            <v>International Charitable Foundation “Alliance for Public Health”</v>
          </cell>
        </row>
        <row r="41">
          <cell r="C41" t="str">
            <v>Charitable Organization "All-Ukrainian Network of People Living with HIV/AIDS"</v>
          </cell>
        </row>
        <row r="42">
          <cell r="C42" t="str">
            <v>State Institution "Public Health Center of the Ministry of Health of Ukraine"</v>
          </cell>
        </row>
        <row r="43">
          <cell r="C43" t="str">
            <v>Oil Search Foundation</v>
          </cell>
        </row>
        <row r="44">
          <cell r="C44" t="str">
            <v>Population Services International</v>
          </cell>
        </row>
        <row r="45">
          <cell r="C45" t="str">
            <v>The Rotary Club of Port Moresby Inc.</v>
          </cell>
        </row>
        <row r="46">
          <cell r="C46" t="str">
            <v>World Vision (PNG) Trust</v>
          </cell>
        </row>
        <row r="47">
          <cell r="C47" t="str">
            <v>UNICEF Ethiopia</v>
          </cell>
        </row>
        <row r="48">
          <cell r="C48" t="str">
            <v>Federal Ministry of Health of the Federal Democratic Republic of Ethiopia</v>
          </cell>
        </row>
        <row r="49">
          <cell r="C49" t="str">
            <v>HIV/AIDS Prevention and Control Office</v>
          </cell>
        </row>
        <row r="50">
          <cell r="C50" t="str">
            <v>Amref Health Africa in Kenya</v>
          </cell>
        </row>
        <row r="51">
          <cell r="C51" t="str">
            <v>National Treasury of the Republic of Kenya</v>
          </cell>
        </row>
        <row r="52">
          <cell r="C52" t="str">
            <v>Kenya Red Cross Society</v>
          </cell>
        </row>
        <row r="53">
          <cell r="C53" t="str">
            <v>World Vision Somalia</v>
          </cell>
        </row>
        <row r="54">
          <cell r="C54" t="str">
            <v>Ministry of Finance, Planning and Economic Development of the Republic of Uganda</v>
          </cell>
        </row>
        <row r="55">
          <cell r="C55" t="str">
            <v>The AIDS Support Organisation (Uganda) Limited</v>
          </cell>
        </row>
        <row r="56">
          <cell r="C56" t="str">
            <v>Federal Ministry of Health of the Republic of Sudan</v>
          </cell>
        </row>
        <row r="57">
          <cell r="C57" t="str">
            <v>Conseil National de Lutte contre le VIH/SIDA, la Tuberculose, le Paludisme, les Hépatites, les Infections sexuellement transmissibles et les Epidémies</v>
          </cell>
        </row>
        <row r="58">
          <cell r="C58" t="str">
            <v>Programme santé de lutte contre le Sida</v>
          </cell>
        </row>
        <row r="59">
          <cell r="C59" t="str">
            <v>Africare</v>
          </cell>
        </row>
        <row r="60">
          <cell r="C60" t="str">
            <v>Catholic Relief Services - United States Conference of Catholic Bishops</v>
          </cell>
        </row>
        <row r="61">
          <cell r="C61" t="str">
            <v>Programme National contre la Tuberculose de la République du Bénin</v>
          </cell>
        </row>
        <row r="62">
          <cell r="C62" t="str">
            <v>Plan International, Inc.</v>
          </cell>
        </row>
        <row r="63">
          <cell r="C63" t="str">
            <v>Health System Performance Program</v>
          </cell>
        </row>
        <row r="64">
          <cell r="C64" t="str">
            <v>Programme National de Lutte contre le Paludisme de la République du Bénin</v>
          </cell>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row r="95">
          <cell r="C95"/>
        </row>
        <row r="96">
          <cell r="C96"/>
        </row>
        <row r="97">
          <cell r="C97"/>
        </row>
        <row r="98">
          <cell r="C98"/>
        </row>
        <row r="99">
          <cell r="C99"/>
        </row>
        <row r="100">
          <cell r="C100"/>
        </row>
        <row r="101">
          <cell r="C101"/>
        </row>
        <row r="102">
          <cell r="C102"/>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sheetData>
      <sheetData sheetId="24">
        <row r="1">
          <cell r="B1" t="str">
            <v xml:space="preserve">     </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structions"/>
      <sheetName val="Francais"/>
      <sheetName val="Espagnol"/>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Text for PF instructions tab-06"/>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10">
          <cell r="AA10" t="str">
            <v>[Custom Coverage Indicator Name - EN]</v>
          </cell>
        </row>
        <row r="11">
          <cell r="AA11" t="str">
            <v/>
          </cell>
        </row>
        <row r="12">
          <cell r="AA12" t="str">
            <v/>
          </cell>
        </row>
        <row r="13">
          <cell r="AA13" t="str">
            <v/>
          </cell>
        </row>
        <row r="14">
          <cell r="AA14" t="str">
            <v/>
          </cell>
        </row>
        <row r="15">
          <cell r="AA15" t="str">
            <v/>
          </cell>
        </row>
        <row r="16">
          <cell r="AA16" t="str">
            <v/>
          </cell>
        </row>
        <row r="17">
          <cell r="AA17" t="str">
            <v/>
          </cell>
        </row>
        <row r="18">
          <cell r="AA18" t="str">
            <v/>
          </cell>
        </row>
        <row r="19">
          <cell r="AA19" t="str">
            <v/>
          </cell>
        </row>
        <row r="20">
          <cell r="AA20" t="str">
            <v/>
          </cell>
        </row>
        <row r="21">
          <cell r="AA21" t="str">
            <v/>
          </cell>
        </row>
        <row r="22">
          <cell r="AA22" t="str">
            <v/>
          </cell>
        </row>
        <row r="23">
          <cell r="AA23" t="str">
            <v/>
          </cell>
        </row>
        <row r="24">
          <cell r="AA24" t="str">
            <v/>
          </cell>
        </row>
        <row r="25">
          <cell r="AA25" t="str">
            <v/>
          </cell>
        </row>
        <row r="26">
          <cell r="AA26" t="str">
            <v/>
          </cell>
        </row>
        <row r="27">
          <cell r="AA27" t="str">
            <v/>
          </cell>
        </row>
        <row r="28">
          <cell r="AA28" t="str">
            <v/>
          </cell>
        </row>
        <row r="29">
          <cell r="AA29" t="str">
            <v/>
          </cell>
        </row>
        <row r="30">
          <cell r="AA30" t="str">
            <v/>
          </cell>
        </row>
        <row r="31">
          <cell r="AA31" t="str">
            <v/>
          </cell>
        </row>
        <row r="32">
          <cell r="AA32" t="str">
            <v/>
          </cell>
        </row>
        <row r="33">
          <cell r="AA33" t="str">
            <v/>
          </cell>
        </row>
        <row r="34">
          <cell r="AA34" t="str">
            <v/>
          </cell>
        </row>
        <row r="35">
          <cell r="AA35" t="str">
            <v/>
          </cell>
        </row>
        <row r="36">
          <cell r="AA36" t="str">
            <v/>
          </cell>
        </row>
        <row r="37">
          <cell r="AA37" t="str">
            <v/>
          </cell>
        </row>
        <row r="38">
          <cell r="AA38" t="str">
            <v/>
          </cell>
        </row>
        <row r="39">
          <cell r="AA39" t="str">
            <v/>
          </cell>
        </row>
        <row r="40">
          <cell r="AA40" t="str">
            <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122:R149" totalsRowShown="0" headerRowCellStyle="Normal 2" dataCellStyle="Normal 2">
  <autoFilter ref="B122:R149"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dataDxfId="1397" dataCellStyle="Normal 2">
      <calculatedColumnFormula array="1">IFERROR(INDEX($C$123:$C$157, MATCH(0, COUNTIF($B$122:B122, $C$123:$C$157&amp;"") + IF($C$123:$C$157="",1,0), 0)), "")</calculatedColumnFormula>
    </tableColumn>
    <tableColumn id="2" xr3:uid="{00000000-0010-0000-0000-000002000000}" name="Module Name" dataDxfId="1396"/>
    <tableColumn id="3" xr3:uid="{00000000-0010-0000-0000-000003000000}" name="Module-Coverage-Intervention Reference (Name)" dataDxfId="1395" dataCellStyle="Normal 2"/>
    <tableColumn id="4" xr3:uid="{00000000-0010-0000-0000-000004000000}" name="Component (Name)" dataDxfId="1394" dataCellStyle="Normal 2"/>
    <tableColumn id="5" xr3:uid="{00000000-0010-0000-0000-000005000000}" name="Name used on Overview Page for display" dataDxfId="1393" dataCellStyle="Normal 2">
      <calculatedColumnFormula>CHOOSE(Translations!$C$1+1,'Reference Records'!C123,'Reference Records'!Q123,'Reference Records'!R123)</calculatedColumnFormula>
    </tableColumn>
    <tableColumn id="6" xr3:uid="{00000000-0010-0000-0000-000006000000}" name="Record ID" dataDxfId="1392" dataCellStyle="Normal 2"/>
    <tableColumn id="7" xr3:uid="{00000000-0010-0000-0000-000007000000}" name="Reference Record Id" dataDxfId="1391" dataCellStyle="Normal 2"/>
    <tableColumn id="8" xr3:uid="{00000000-0010-0000-0000-000008000000}" name="unique id" dataDxfId="1390" dataCellStyle="Normal 2">
      <calculatedColumnFormula array="1">IFERROR(INDEX($D$123:$D$157, MATCH(0, COUNTIF($I$122:I122, $D$123:$D$157&amp;"") + IF($D$123:$D$157="",1,0), 0)), "")</calculatedColumnFormula>
    </tableColumn>
    <tableColumn id="9" xr3:uid="{00000000-0010-0000-0000-000009000000}" name="unique name list" dataDxfId="1389" dataCellStyle="Normal 2">
      <calculatedColumnFormula array="1">IFERROR(IF(INDEX($F$123:$F$157,MATCH(LEFT(I123,255),LEFT($D$123:$D$157,255),0))=0,"",INDEX($F$123:$F$157,MATCH(LEFT(I123,255),LEFT($D$123:$D$157,255),0))),"")</calculatedColumnFormula>
    </tableColumn>
    <tableColumn id="10" xr3:uid="{46851E5F-1E34-4F63-86A8-B8C5C7CE82F2}" name="Allocation Cycle (Name)" dataDxfId="1388" dataCellStyle="Normal 2"/>
    <tableColumn id="11" xr3:uid="{E305E76C-CAA3-474B-AD5A-DA675220C5D4}" name="Module (Name)" dataDxfId="1387" dataCellStyle="Normal 2"/>
    <tableColumn id="12" xr3:uid="{9EFE1978-6A46-4B4A-B712-096A9ED4C55F}" name="Component Indicator Reference ID" dataDxfId="1386" dataCellStyle="Normal 2"/>
    <tableColumn id="13" xr3:uid="{A51CFB4E-147C-4FF3-AAB9-923AA1958697}" name="Column1" dataDxfId="1385" dataCellStyle="Normal 2">
      <calculatedColumnFormula>D123</calculatedColumnFormula>
    </tableColumn>
    <tableColumn id="14" xr3:uid="{BEDCCECC-2961-4172-AD95-E12A08AA739B}" name="Column2" dataDxfId="1384" dataCellStyle="Normal 2"/>
    <tableColumn id="15" xr3:uid="{60656C02-F07D-42A5-96BD-F60D8A4321ED}" name="Cumulation Type" dataDxfId="1383" dataCellStyle="Normal 2"/>
    <tableColumn id="16" xr3:uid="{5B11B1E9-9B76-407B-9161-4926B93EFA83}" name="Name - FR" dataDxfId="1382" dataCellStyle="Normal 2"/>
    <tableColumn id="17" xr3:uid="{3C91521F-F07A-4A8A-A5D0-BF540751C75F}" name="Name - ES" dataDxfId="1381" dataCellStyle="Normal 2"/>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159:N250" totalsRowShown="0" headerRowDxfId="1380" tableBorderDxfId="1379" headerRowCellStyle="Normal 2" dataCellStyle="Normal 2">
  <autoFilter ref="A159:N2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dataCellStyle="Normal 2"/>
    <tableColumn id="2" xr3:uid="{00000000-0010-0000-0100-000002000000}" name="Name ID" dataCellStyle="Normal 2"/>
    <tableColumn id="3" xr3:uid="{00000000-0010-0000-0100-000003000000}" name="translated intervetnion name" dataCellStyle="Normal 2">
      <calculatedColumnFormula>CHOOSE(Translations!$C$1+1,K160,L160,M160)</calculatedColumnFormula>
    </tableColumn>
    <tableColumn id="4" xr3:uid="{00000000-0010-0000-0100-000004000000}" name="Disaggregation Categories" dataCellStyle="Normal 2"/>
    <tableColumn id="5" xr3:uid="{00000000-0010-0000-0100-000005000000}" name="Record ID" dataDxfId="1378" dataCellStyle="Normal 2"/>
    <tableColumn id="6" xr3:uid="{00000000-0010-0000-0100-000006000000}" name="Column1" dataDxfId="1377" dataCellStyle="Normal 2">
      <calculatedColumnFormula>B160</calculatedColumnFormula>
    </tableColumn>
    <tableColumn id="7" xr3:uid="{00000000-0010-0000-0100-000007000000}" name="Column2" dataCellStyle="Normal 2">
      <calculatedColumnFormula>A160&amp;C160</calculatedColumnFormula>
    </tableColumn>
    <tableColumn id="8" xr3:uid="{00000000-0010-0000-0100-000008000000}" name="Column5" dataCellStyle="Normal 2">
      <calculatedColumnFormula>A160&amp;C160</calculatedColumnFormula>
    </tableColumn>
    <tableColumn id="9" xr3:uid="{00000000-0010-0000-0100-000009000000}" name="Column4" dataCellStyle="Normal 2">
      <calculatedColumnFormula>F160</calculatedColumnFormula>
    </tableColumn>
    <tableColumn id="10" xr3:uid="{A42C42FB-2755-4296-80CF-624A567E08DF}" name="Column3" dataCellStyle="Normal 2"/>
    <tableColumn id="11" xr3:uid="{F26C8247-4E16-4FF9-89C3-B3F6EA0A9B10}" name="Intervention" dataDxfId="1376" dataCellStyle="Normal 2"/>
    <tableColumn id="12" xr3:uid="{F7B49CC2-791E-4AB0-BA57-9D892340FF7D}" name="Name - FR" dataDxfId="1375" dataCellStyle="Normal 2"/>
    <tableColumn id="13" xr3:uid="{D7A627BC-F512-4C0A-8DC6-146DBCCB43DC}" name="Name - ES" dataDxfId="1374" dataCellStyle="Normal 2"/>
    <tableColumn id="14" xr3:uid="{735AD9F9-E9BC-48DC-8DA3-C3B8C23B833B}" name="Allocation Cycle (Name)" dataCellStyle="Normal 2"/>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60:Q119" totalsRowShown="0" headerRowDxfId="1373" tableBorderDxfId="1372" headerRowCellStyle="Normal 2" dataCellStyle="Normal 2">
  <autoFilter ref="A60:Q119"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dataCellStyle="Normal 2"/>
    <tableColumn id="2" xr3:uid="{00000000-0010-0000-0200-000002000000}" name="Name ID" dataDxfId="1371" dataCellStyle="Normal 2"/>
    <tableColumn id="3" xr3:uid="{00000000-0010-0000-0200-000003000000}" name="translated name" dataDxfId="1370" dataCellStyle="Normal 2">
      <calculatedColumnFormula>CHOOSE(Translations!$C$1+1,L61,M61,N61)</calculatedColumnFormula>
    </tableColumn>
    <tableColumn id="4" xr3:uid="{00000000-0010-0000-0200-000004000000}" name="transalted coverage categories name" dataDxfId="1369" dataCellStyle="Normal 2">
      <calculatedColumnFormula>CHOOSE(Translations!$C$1+1,O61,P61,Q61)</calculatedColumnFormula>
    </tableColumn>
    <tableColumn id="5" xr3:uid="{00000000-0010-0000-0200-000005000000}" name="Column1" dataCellStyle="Normal 2">
      <calculatedColumnFormula>LEFT(C61,255)</calculatedColumnFormula>
    </tableColumn>
    <tableColumn id="6" xr3:uid="{00000000-0010-0000-0200-000006000000}" name="Column2" dataDxfId="1368" dataCellStyle="Normal 2">
      <calculatedColumnFormula>B61</calculatedColumnFormula>
    </tableColumn>
    <tableColumn id="7" xr3:uid="{00000000-0010-0000-0200-000007000000}" name="Record ID" dataCellStyle="Normal 2"/>
    <tableColumn id="8" xr3:uid="{53920DDE-BB9C-494D-B6E5-E96919E4C678}" name="Column3" dataDxfId="1367" dataCellStyle="Normal 2"/>
    <tableColumn id="9" xr3:uid="{86FF511C-C2D0-4615-B78D-3B953F821538}" name="Allocation Cycle (Name)" dataDxfId="1366" dataCellStyle="Normal 2"/>
    <tableColumn id="10" xr3:uid="{8BD6A216-D27C-4017-A01A-DF5007BB8E8C}" name="Soft Delete" dataDxfId="1365" dataCellStyle="Normal 2"/>
    <tableColumn id="11" xr3:uid="{7BFCCAA7-AD4F-41AF-9BAF-C2C2B9833C36}" name="Cumulation Type" dataDxfId="1364" dataCellStyle="Normal 2"/>
    <tableColumn id="12" xr3:uid="{840A4BA3-60EB-429C-AF65-4940E7BC08D3}" name="Name" dataDxfId="1363" dataCellStyle="Normal 2"/>
    <tableColumn id="13" xr3:uid="{FBA3BEAA-777B-4B13-A2AB-E2BA430A4595}" name="Name - FR" dataDxfId="1362" dataCellStyle="Normal 2"/>
    <tableColumn id="14" xr3:uid="{37F816E8-02F7-4E29-82FE-CCDA13AC83FA}" name="Name - ES" dataDxfId="1361" dataCellStyle="Normal 2"/>
    <tableColumn id="15" xr3:uid="{E1BD8ECC-565E-4B4D-A7DB-2F71D0C0F030}" name="Disaggregation Categories" dataDxfId="1360" dataCellStyle="Normal 2"/>
    <tableColumn id="16" xr3:uid="{E06AB89A-BFAA-4ED3-9678-53F132E15398}" name="Disaggregation Categories FR" dataDxfId="1359" dataCellStyle="Normal 2"/>
    <tableColumn id="17" xr3:uid="{9C69A04F-1D40-4BEF-A304-C8996C2F480A}" name="Disaggregation Categories ES" dataDxfId="1358" dataCellStyle="Normal 2"/>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EB01-B64D-449F-A315-D539ED0E19B5}">
  <sheetPr codeName="Sheet25">
    <pageSetUpPr fitToPage="1"/>
  </sheetPr>
  <dimension ref="A6:B442"/>
  <sheetViews>
    <sheetView showGridLines="0" view="pageLayout" topLeftCell="A10" zoomScaleNormal="100" workbookViewId="0">
      <selection activeCell="A10" sqref="A10:B10"/>
    </sheetView>
  </sheetViews>
  <sheetFormatPr defaultColWidth="8.69921875" defaultRowHeight="15.6" x14ac:dyDescent="0.3"/>
  <cols>
    <col min="1" max="1" width="21.19921875" style="232" customWidth="1"/>
    <col min="2" max="2" width="146" style="232" customWidth="1"/>
    <col min="3" max="16384" width="8.69921875" style="232"/>
  </cols>
  <sheetData>
    <row r="6" spans="1:2" x14ac:dyDescent="0.3">
      <c r="A6" s="519" t="s">
        <v>928</v>
      </c>
      <c r="B6" s="519"/>
    </row>
    <row r="7" spans="1:2" ht="16.2" thickBot="1" x14ac:dyDescent="0.35">
      <c r="A7" s="283"/>
      <c r="B7" s="283"/>
    </row>
    <row r="8" spans="1:2" ht="16.2" thickBot="1" x14ac:dyDescent="0.35">
      <c r="A8" s="520" t="s">
        <v>929</v>
      </c>
      <c r="B8" s="521"/>
    </row>
    <row r="9" spans="1:2" ht="56.25" customHeight="1" thickBot="1" x14ac:dyDescent="0.35">
      <c r="A9" s="522" t="s">
        <v>930</v>
      </c>
      <c r="B9" s="514"/>
    </row>
    <row r="10" spans="1:2" ht="42.75" customHeight="1" thickBot="1" x14ac:dyDescent="0.35">
      <c r="A10" s="522" t="s">
        <v>931</v>
      </c>
      <c r="B10" s="514"/>
    </row>
    <row r="11" spans="1:2" ht="47.25" customHeight="1" thickBot="1" x14ac:dyDescent="0.35">
      <c r="A11" s="523" t="s">
        <v>932</v>
      </c>
      <c r="B11" s="518"/>
    </row>
    <row r="12" spans="1:2" ht="39" customHeight="1" thickBot="1" x14ac:dyDescent="0.35">
      <c r="A12" s="283"/>
      <c r="B12" s="284"/>
    </row>
    <row r="13" spans="1:2" ht="16.2" thickBot="1" x14ac:dyDescent="0.35">
      <c r="A13" s="520" t="s">
        <v>933</v>
      </c>
      <c r="B13" s="521"/>
    </row>
    <row r="14" spans="1:2" ht="57" customHeight="1" thickBot="1" x14ac:dyDescent="0.35">
      <c r="A14" s="513" t="s">
        <v>934</v>
      </c>
      <c r="B14" s="514"/>
    </row>
    <row r="15" spans="1:2" ht="60" customHeight="1" thickBot="1" x14ac:dyDescent="0.35">
      <c r="A15" s="513" t="s">
        <v>935</v>
      </c>
      <c r="B15" s="514"/>
    </row>
    <row r="16" spans="1:2" ht="50.25" customHeight="1" thickBot="1" x14ac:dyDescent="0.35">
      <c r="A16" s="513" t="s">
        <v>936</v>
      </c>
      <c r="B16" s="514"/>
    </row>
    <row r="17" spans="1:2" ht="23.25" customHeight="1" thickBot="1" x14ac:dyDescent="0.35">
      <c r="A17" s="515" t="s">
        <v>937</v>
      </c>
      <c r="B17" s="516"/>
    </row>
    <row r="18" spans="1:2" ht="72.75" customHeight="1" thickBot="1" x14ac:dyDescent="0.35">
      <c r="A18" s="517" t="s">
        <v>938</v>
      </c>
      <c r="B18" s="518"/>
    </row>
    <row r="19" spans="1:2" ht="81" customHeight="1" thickBot="1" x14ac:dyDescent="0.35">
      <c r="A19" s="513" t="s">
        <v>939</v>
      </c>
      <c r="B19" s="514"/>
    </row>
    <row r="20" spans="1:2" ht="15.6" customHeight="1" x14ac:dyDescent="0.3">
      <c r="A20" s="529" t="s">
        <v>940</v>
      </c>
      <c r="B20" s="530"/>
    </row>
    <row r="21" spans="1:2" x14ac:dyDescent="0.3">
      <c r="A21" s="531" t="s">
        <v>941</v>
      </c>
      <c r="B21" s="532"/>
    </row>
    <row r="22" spans="1:2" ht="15.6" customHeight="1" x14ac:dyDescent="0.3">
      <c r="A22" s="531" t="s">
        <v>942</v>
      </c>
      <c r="B22" s="532"/>
    </row>
    <row r="23" spans="1:2" ht="15.6" customHeight="1" x14ac:dyDescent="0.3">
      <c r="A23" s="531" t="s">
        <v>943</v>
      </c>
      <c r="B23" s="532"/>
    </row>
    <row r="24" spans="1:2" ht="15.6" customHeight="1" x14ac:dyDescent="0.3">
      <c r="A24" s="531" t="s">
        <v>944</v>
      </c>
      <c r="B24" s="532"/>
    </row>
    <row r="25" spans="1:2" ht="15.6" customHeight="1" x14ac:dyDescent="0.3">
      <c r="A25" s="531" t="s">
        <v>945</v>
      </c>
      <c r="B25" s="532"/>
    </row>
    <row r="26" spans="1:2" ht="16.2" customHeight="1" thickBot="1" x14ac:dyDescent="0.35">
      <c r="A26" s="524" t="s">
        <v>946</v>
      </c>
      <c r="B26" s="525"/>
    </row>
    <row r="27" spans="1:2" ht="16.2" customHeight="1" thickBot="1" x14ac:dyDescent="0.35">
      <c r="A27" s="526" t="s">
        <v>947</v>
      </c>
      <c r="B27" s="516"/>
    </row>
    <row r="28" spans="1:2" ht="16.2" customHeight="1" thickBot="1" x14ac:dyDescent="0.35">
      <c r="A28" s="526" t="s">
        <v>948</v>
      </c>
      <c r="B28" s="516"/>
    </row>
    <row r="29" spans="1:2" ht="16.2" thickBot="1" x14ac:dyDescent="0.35">
      <c r="A29" s="283"/>
      <c r="B29" s="284"/>
    </row>
    <row r="30" spans="1:2" ht="16.2" customHeight="1" thickBot="1" x14ac:dyDescent="0.35">
      <c r="A30" s="520" t="s">
        <v>949</v>
      </c>
      <c r="B30" s="521"/>
    </row>
    <row r="31" spans="1:2" ht="16.2" customHeight="1" thickBot="1" x14ac:dyDescent="0.35">
      <c r="A31" s="526" t="s">
        <v>950</v>
      </c>
      <c r="B31" s="516"/>
    </row>
    <row r="32" spans="1:2" ht="16.2" thickBot="1" x14ac:dyDescent="0.35">
      <c r="A32" s="283"/>
      <c r="B32" s="285"/>
    </row>
    <row r="33" spans="1:2" ht="16.2" thickBot="1" x14ac:dyDescent="0.35">
      <c r="A33" s="527" t="s">
        <v>951</v>
      </c>
      <c r="B33" s="528"/>
    </row>
    <row r="34" spans="1:2" ht="16.2" thickBot="1" x14ac:dyDescent="0.35">
      <c r="A34" s="286" t="s">
        <v>952</v>
      </c>
      <c r="B34" s="287" t="s">
        <v>953</v>
      </c>
    </row>
    <row r="35" spans="1:2" ht="15.6" customHeight="1" x14ac:dyDescent="0.3">
      <c r="A35" s="535" t="s">
        <v>954</v>
      </c>
      <c r="B35" s="288" t="s">
        <v>955</v>
      </c>
    </row>
    <row r="36" spans="1:2" x14ac:dyDescent="0.3">
      <c r="A36" s="537"/>
      <c r="B36" s="289" t="s">
        <v>956</v>
      </c>
    </row>
    <row r="37" spans="1:2" x14ac:dyDescent="0.3">
      <c r="A37" s="537"/>
      <c r="B37" s="288" t="s">
        <v>957</v>
      </c>
    </row>
    <row r="38" spans="1:2" x14ac:dyDescent="0.3">
      <c r="A38" s="537"/>
      <c r="B38" s="289" t="s">
        <v>958</v>
      </c>
    </row>
    <row r="39" spans="1:2" ht="16.2" thickBot="1" x14ac:dyDescent="0.35">
      <c r="A39" s="536"/>
      <c r="B39" s="290" t="s">
        <v>959</v>
      </c>
    </row>
    <row r="40" spans="1:2" ht="43.2" x14ac:dyDescent="0.3">
      <c r="A40" s="535" t="s">
        <v>960</v>
      </c>
      <c r="B40" s="291" t="s">
        <v>961</v>
      </c>
    </row>
    <row r="41" spans="1:2" ht="28.8" x14ac:dyDescent="0.3">
      <c r="A41" s="537"/>
      <c r="B41" s="291" t="s">
        <v>962</v>
      </c>
    </row>
    <row r="42" spans="1:2" x14ac:dyDescent="0.3">
      <c r="A42" s="537"/>
      <c r="B42" s="291" t="s">
        <v>963</v>
      </c>
    </row>
    <row r="43" spans="1:2" ht="29.4" thickBot="1" x14ac:dyDescent="0.35">
      <c r="A43" s="536"/>
      <c r="B43" s="287" t="s">
        <v>964</v>
      </c>
    </row>
    <row r="44" spans="1:2" ht="15.6" customHeight="1" x14ac:dyDescent="0.3">
      <c r="A44" s="538" t="s">
        <v>965</v>
      </c>
      <c r="B44" s="288" t="s">
        <v>966</v>
      </c>
    </row>
    <row r="45" spans="1:2" ht="15.6" customHeight="1" x14ac:dyDescent="0.3">
      <c r="A45" s="539"/>
      <c r="B45" s="291" t="s">
        <v>967</v>
      </c>
    </row>
    <row r="46" spans="1:2" ht="28.8" x14ac:dyDescent="0.3">
      <c r="A46" s="539"/>
      <c r="B46" s="288" t="s">
        <v>968</v>
      </c>
    </row>
    <row r="47" spans="1:2" x14ac:dyDescent="0.3">
      <c r="A47" s="539"/>
      <c r="B47" s="288" t="s">
        <v>969</v>
      </c>
    </row>
    <row r="48" spans="1:2" ht="29.4" thickBot="1" x14ac:dyDescent="0.35">
      <c r="A48" s="540"/>
      <c r="B48" s="287" t="s">
        <v>970</v>
      </c>
    </row>
    <row r="49" spans="1:2" ht="28.8" x14ac:dyDescent="0.3">
      <c r="A49" s="535" t="s">
        <v>971</v>
      </c>
      <c r="B49" s="288" t="s">
        <v>972</v>
      </c>
    </row>
    <row r="50" spans="1:2" x14ac:dyDescent="0.3">
      <c r="A50" s="537"/>
      <c r="B50" s="289" t="s">
        <v>956</v>
      </c>
    </row>
    <row r="51" spans="1:2" ht="28.8" x14ac:dyDescent="0.3">
      <c r="A51" s="537"/>
      <c r="B51" s="288" t="s">
        <v>973</v>
      </c>
    </row>
    <row r="52" spans="1:2" x14ac:dyDescent="0.3">
      <c r="A52" s="537"/>
      <c r="B52" s="289" t="s">
        <v>958</v>
      </c>
    </row>
    <row r="53" spans="1:2" ht="58.2" thickBot="1" x14ac:dyDescent="0.35">
      <c r="A53" s="536"/>
      <c r="B53" s="290" t="s">
        <v>974</v>
      </c>
    </row>
    <row r="54" spans="1:2" ht="28.95" customHeight="1" x14ac:dyDescent="0.3">
      <c r="A54" s="538" t="s">
        <v>975</v>
      </c>
      <c r="B54" s="292" t="s">
        <v>976</v>
      </c>
    </row>
    <row r="55" spans="1:2" ht="16.2" thickBot="1" x14ac:dyDescent="0.35">
      <c r="A55" s="540"/>
      <c r="B55" s="290" t="s">
        <v>977</v>
      </c>
    </row>
    <row r="56" spans="1:2" ht="15.6" customHeight="1" x14ac:dyDescent="0.3">
      <c r="A56" s="538" t="s">
        <v>978</v>
      </c>
      <c r="B56" s="291" t="s">
        <v>979</v>
      </c>
    </row>
    <row r="57" spans="1:2" ht="16.2" thickBot="1" x14ac:dyDescent="0.35">
      <c r="A57" s="540"/>
      <c r="B57" s="290" t="s">
        <v>980</v>
      </c>
    </row>
    <row r="58" spans="1:2" ht="16.2" thickBot="1" x14ac:dyDescent="0.35">
      <c r="A58" s="533"/>
      <c r="B58" s="534"/>
    </row>
    <row r="59" spans="1:2" ht="16.2" thickBot="1" x14ac:dyDescent="0.35">
      <c r="A59" s="286" t="s">
        <v>981</v>
      </c>
      <c r="B59" s="287" t="s">
        <v>982</v>
      </c>
    </row>
    <row r="60" spans="1:2" ht="16.2" thickBot="1" x14ac:dyDescent="0.35">
      <c r="A60" s="533"/>
      <c r="B60" s="534"/>
    </row>
    <row r="61" spans="1:2" ht="28.8" x14ac:dyDescent="0.3">
      <c r="A61" s="535" t="s">
        <v>983</v>
      </c>
      <c r="B61" s="288" t="s">
        <v>984</v>
      </c>
    </row>
    <row r="62" spans="1:2" ht="29.4" thickBot="1" x14ac:dyDescent="0.35">
      <c r="A62" s="536"/>
      <c r="B62" s="287" t="s">
        <v>985</v>
      </c>
    </row>
    <row r="63" spans="1:2" ht="16.2" thickBot="1" x14ac:dyDescent="0.35">
      <c r="A63" s="533"/>
      <c r="B63" s="534"/>
    </row>
    <row r="64" spans="1:2" x14ac:dyDescent="0.3">
      <c r="A64" s="535" t="s">
        <v>986</v>
      </c>
      <c r="B64" s="293" t="s">
        <v>956</v>
      </c>
    </row>
    <row r="65" spans="1:2" x14ac:dyDescent="0.3">
      <c r="A65" s="537"/>
      <c r="B65" s="288" t="s">
        <v>987</v>
      </c>
    </row>
    <row r="66" spans="1:2" x14ac:dyDescent="0.3">
      <c r="A66" s="537"/>
      <c r="B66" s="288" t="s">
        <v>988</v>
      </c>
    </row>
    <row r="67" spans="1:2" ht="29.4" thickBot="1" x14ac:dyDescent="0.35">
      <c r="A67" s="536"/>
      <c r="B67" s="287" t="s">
        <v>989</v>
      </c>
    </row>
    <row r="68" spans="1:2" ht="16.2" thickBot="1" x14ac:dyDescent="0.35">
      <c r="A68" s="533"/>
      <c r="B68" s="534"/>
    </row>
    <row r="69" spans="1:2" ht="28.8" x14ac:dyDescent="0.3">
      <c r="A69" s="535" t="s">
        <v>990</v>
      </c>
      <c r="B69" s="288" t="s">
        <v>991</v>
      </c>
    </row>
    <row r="70" spans="1:2" ht="28.8" x14ac:dyDescent="0.3">
      <c r="A70" s="537"/>
      <c r="B70" s="288" t="s">
        <v>992</v>
      </c>
    </row>
    <row r="71" spans="1:2" ht="72" x14ac:dyDescent="0.3">
      <c r="A71" s="537"/>
      <c r="B71" s="288" t="s">
        <v>993</v>
      </c>
    </row>
    <row r="72" spans="1:2" ht="43.8" thickBot="1" x14ac:dyDescent="0.35">
      <c r="A72" s="537"/>
      <c r="B72" s="294" t="s">
        <v>994</v>
      </c>
    </row>
    <row r="73" spans="1:2" ht="15.6" customHeight="1" x14ac:dyDescent="0.3">
      <c r="A73" s="535" t="s">
        <v>783</v>
      </c>
      <c r="B73" s="295"/>
    </row>
    <row r="74" spans="1:2" ht="28.8" x14ac:dyDescent="0.3">
      <c r="A74" s="537"/>
      <c r="B74" s="296" t="s">
        <v>995</v>
      </c>
    </row>
    <row r="75" spans="1:2" ht="16.2" thickBot="1" x14ac:dyDescent="0.35">
      <c r="A75" s="536"/>
      <c r="B75" s="287"/>
    </row>
    <row r="76" spans="1:2" x14ac:dyDescent="0.3">
      <c r="A76" s="535" t="s">
        <v>996</v>
      </c>
      <c r="B76" s="295"/>
    </row>
    <row r="77" spans="1:2" ht="28.8" x14ac:dyDescent="0.3">
      <c r="A77" s="537"/>
      <c r="B77" s="296" t="s">
        <v>997</v>
      </c>
    </row>
    <row r="78" spans="1:2" ht="16.2" thickBot="1" x14ac:dyDescent="0.35">
      <c r="A78" s="536"/>
      <c r="B78" s="287"/>
    </row>
    <row r="79" spans="1:2" x14ac:dyDescent="0.3">
      <c r="A79" s="535" t="s">
        <v>998</v>
      </c>
      <c r="B79" s="297" t="s">
        <v>958</v>
      </c>
    </row>
    <row r="80" spans="1:2" x14ac:dyDescent="0.3">
      <c r="A80" s="537"/>
      <c r="B80" s="296" t="s">
        <v>999</v>
      </c>
    </row>
    <row r="81" spans="1:2" ht="16.2" thickBot="1" x14ac:dyDescent="0.35">
      <c r="A81" s="536"/>
      <c r="B81" s="287"/>
    </row>
    <row r="82" spans="1:2" ht="15.6" customHeight="1" x14ac:dyDescent="0.3">
      <c r="A82" s="535" t="s">
        <v>1000</v>
      </c>
      <c r="B82" s="297" t="s">
        <v>958</v>
      </c>
    </row>
    <row r="83" spans="1:2" ht="28.8" x14ac:dyDescent="0.3">
      <c r="A83" s="537"/>
      <c r="B83" s="296" t="s">
        <v>1001</v>
      </c>
    </row>
    <row r="84" spans="1:2" ht="16.2" thickBot="1" x14ac:dyDescent="0.35">
      <c r="A84" s="536"/>
      <c r="B84" s="296" t="s">
        <v>1002</v>
      </c>
    </row>
    <row r="85" spans="1:2" ht="16.2" thickBot="1" x14ac:dyDescent="0.35">
      <c r="A85" s="533"/>
      <c r="B85" s="534"/>
    </row>
    <row r="86" spans="1:2" x14ac:dyDescent="0.3">
      <c r="A86" s="535" t="s">
        <v>1003</v>
      </c>
      <c r="B86" s="295"/>
    </row>
    <row r="87" spans="1:2" ht="28.8" x14ac:dyDescent="0.3">
      <c r="A87" s="537"/>
      <c r="B87" s="296" t="s">
        <v>1004</v>
      </c>
    </row>
    <row r="88" spans="1:2" ht="16.2" thickBot="1" x14ac:dyDescent="0.35">
      <c r="A88" s="536"/>
      <c r="B88" s="287"/>
    </row>
    <row r="89" spans="1:2" ht="16.2" thickBot="1" x14ac:dyDescent="0.35">
      <c r="A89" s="541"/>
      <c r="B89" s="542"/>
    </row>
    <row r="90" spans="1:2" x14ac:dyDescent="0.3">
      <c r="A90" s="535" t="s">
        <v>1005</v>
      </c>
      <c r="B90" s="295"/>
    </row>
    <row r="91" spans="1:2" ht="28.8" x14ac:dyDescent="0.3">
      <c r="A91" s="537"/>
      <c r="B91" s="296" t="s">
        <v>1006</v>
      </c>
    </row>
    <row r="92" spans="1:2" ht="16.2" thickBot="1" x14ac:dyDescent="0.35">
      <c r="A92" s="536"/>
      <c r="B92" s="298"/>
    </row>
    <row r="93" spans="1:2" ht="57.6" x14ac:dyDescent="0.3">
      <c r="A93" s="535" t="s">
        <v>1007</v>
      </c>
      <c r="B93" s="296" t="s">
        <v>1008</v>
      </c>
    </row>
    <row r="94" spans="1:2" ht="28.8" x14ac:dyDescent="0.3">
      <c r="A94" s="537"/>
      <c r="B94" s="296" t="s">
        <v>1009</v>
      </c>
    </row>
    <row r="95" spans="1:2" ht="28.8" x14ac:dyDescent="0.3">
      <c r="A95" s="537"/>
      <c r="B95" s="296" t="s">
        <v>1010</v>
      </c>
    </row>
    <row r="96" spans="1:2" ht="16.2" thickBot="1" x14ac:dyDescent="0.35">
      <c r="A96" s="536"/>
      <c r="B96" s="296" t="s">
        <v>1011</v>
      </c>
    </row>
    <row r="97" spans="1:2" ht="16.2" thickBot="1" x14ac:dyDescent="0.35">
      <c r="A97" s="541"/>
      <c r="B97" s="542"/>
    </row>
    <row r="98" spans="1:2" x14ac:dyDescent="0.3">
      <c r="A98" s="535" t="s">
        <v>1012</v>
      </c>
      <c r="B98" s="295"/>
    </row>
    <row r="99" spans="1:2" ht="28.8" x14ac:dyDescent="0.3">
      <c r="A99" s="537"/>
      <c r="B99" s="296" t="s">
        <v>1013</v>
      </c>
    </row>
    <row r="100" spans="1:2" ht="16.2" thickBot="1" x14ac:dyDescent="0.35">
      <c r="A100" s="536"/>
      <c r="B100" s="298"/>
    </row>
    <row r="101" spans="1:2" ht="28.95" customHeight="1" x14ac:dyDescent="0.3">
      <c r="A101" s="543" t="s">
        <v>1014</v>
      </c>
      <c r="B101" s="296" t="s">
        <v>1015</v>
      </c>
    </row>
    <row r="102" spans="1:2" ht="43.2" x14ac:dyDescent="0.3">
      <c r="A102" s="544"/>
      <c r="B102" s="296" t="s">
        <v>1016</v>
      </c>
    </row>
    <row r="103" spans="1:2" ht="16.2" thickBot="1" x14ac:dyDescent="0.35">
      <c r="A103" s="545"/>
      <c r="B103" s="299" t="s">
        <v>1017</v>
      </c>
    </row>
    <row r="104" spans="1:2" ht="28.8" x14ac:dyDescent="0.3">
      <c r="A104" s="535" t="s">
        <v>806</v>
      </c>
      <c r="B104" s="296" t="s">
        <v>1018</v>
      </c>
    </row>
    <row r="105" spans="1:2" ht="28.8" x14ac:dyDescent="0.3">
      <c r="A105" s="537"/>
      <c r="B105" s="296" t="s">
        <v>1019</v>
      </c>
    </row>
    <row r="106" spans="1:2" ht="29.4" thickBot="1" x14ac:dyDescent="0.35">
      <c r="A106" s="536"/>
      <c r="B106" s="299" t="s">
        <v>1020</v>
      </c>
    </row>
    <row r="107" spans="1:2" ht="16.2" thickBot="1" x14ac:dyDescent="0.35">
      <c r="A107" s="283"/>
      <c r="B107" s="283"/>
    </row>
    <row r="108" spans="1:2" ht="16.2" customHeight="1" thickBot="1" x14ac:dyDescent="0.35">
      <c r="A108" s="527" t="s">
        <v>1021</v>
      </c>
      <c r="B108" s="528"/>
    </row>
    <row r="109" spans="1:2" x14ac:dyDescent="0.3">
      <c r="A109" s="538" t="s">
        <v>773</v>
      </c>
      <c r="B109" s="296" t="s">
        <v>1022</v>
      </c>
    </row>
    <row r="110" spans="1:2" ht="29.4" thickBot="1" x14ac:dyDescent="0.35">
      <c r="A110" s="540"/>
      <c r="B110" s="299" t="s">
        <v>1023</v>
      </c>
    </row>
    <row r="111" spans="1:2" x14ac:dyDescent="0.3">
      <c r="A111" s="538" t="s">
        <v>762</v>
      </c>
      <c r="B111" s="296"/>
    </row>
    <row r="112" spans="1:2" x14ac:dyDescent="0.3">
      <c r="A112" s="539"/>
      <c r="B112" s="296" t="s">
        <v>1024</v>
      </c>
    </row>
    <row r="113" spans="1:2" ht="28.8" x14ac:dyDescent="0.3">
      <c r="A113" s="539"/>
      <c r="B113" s="296" t="s">
        <v>1025</v>
      </c>
    </row>
    <row r="114" spans="1:2" ht="43.2" x14ac:dyDescent="0.3">
      <c r="A114" s="539"/>
      <c r="B114" s="296" t="s">
        <v>1026</v>
      </c>
    </row>
    <row r="115" spans="1:2" ht="28.8" x14ac:dyDescent="0.3">
      <c r="A115" s="539"/>
      <c r="B115" s="296" t="s">
        <v>1027</v>
      </c>
    </row>
    <row r="116" spans="1:2" ht="16.2" thickBot="1" x14ac:dyDescent="0.35">
      <c r="A116" s="540"/>
      <c r="B116" s="300"/>
    </row>
    <row r="117" spans="1:2" x14ac:dyDescent="0.3">
      <c r="A117" s="535" t="s">
        <v>408</v>
      </c>
      <c r="B117" s="295"/>
    </row>
    <row r="118" spans="1:2" x14ac:dyDescent="0.3">
      <c r="A118" s="537"/>
      <c r="B118" s="296" t="s">
        <v>1028</v>
      </c>
    </row>
    <row r="119" spans="1:2" ht="28.8" x14ac:dyDescent="0.3">
      <c r="A119" s="537"/>
      <c r="B119" s="296" t="s">
        <v>1029</v>
      </c>
    </row>
    <row r="120" spans="1:2" x14ac:dyDescent="0.3">
      <c r="A120" s="537"/>
      <c r="B120" s="296"/>
    </row>
    <row r="121" spans="1:2" x14ac:dyDescent="0.3">
      <c r="A121" s="537"/>
      <c r="B121" s="289" t="s">
        <v>958</v>
      </c>
    </row>
    <row r="122" spans="1:2" x14ac:dyDescent="0.3">
      <c r="A122" s="537"/>
      <c r="B122" s="296" t="s">
        <v>1030</v>
      </c>
    </row>
    <row r="123" spans="1:2" ht="16.2" thickBot="1" x14ac:dyDescent="0.35">
      <c r="A123" s="536"/>
      <c r="B123" s="300"/>
    </row>
    <row r="124" spans="1:2" ht="15.6" customHeight="1" x14ac:dyDescent="0.3">
      <c r="A124" s="535" t="s">
        <v>1031</v>
      </c>
      <c r="B124" s="295"/>
    </row>
    <row r="125" spans="1:2" ht="28.8" x14ac:dyDescent="0.3">
      <c r="A125" s="537"/>
      <c r="B125" s="296" t="s">
        <v>1032</v>
      </c>
    </row>
    <row r="126" spans="1:2" x14ac:dyDescent="0.3">
      <c r="A126" s="537"/>
      <c r="B126" s="296" t="s">
        <v>1033</v>
      </c>
    </row>
    <row r="127" spans="1:2" ht="28.8" x14ac:dyDescent="0.3">
      <c r="A127" s="537"/>
      <c r="B127" s="296" t="s">
        <v>1034</v>
      </c>
    </row>
    <row r="128" spans="1:2" ht="16.2" thickBot="1" x14ac:dyDescent="0.35">
      <c r="A128" s="536"/>
      <c r="B128" s="300"/>
    </row>
    <row r="129" spans="1:2" x14ac:dyDescent="0.3">
      <c r="A129" s="538" t="s">
        <v>404</v>
      </c>
      <c r="B129" s="296" t="s">
        <v>1035</v>
      </c>
    </row>
    <row r="130" spans="1:2" ht="16.2" thickBot="1" x14ac:dyDescent="0.35">
      <c r="A130" s="539"/>
      <c r="B130" s="299" t="s">
        <v>1036</v>
      </c>
    </row>
    <row r="131" spans="1:2" ht="15.6" customHeight="1" x14ac:dyDescent="0.3">
      <c r="A131" s="535" t="s">
        <v>1037</v>
      </c>
      <c r="B131" s="295"/>
    </row>
    <row r="132" spans="1:2" x14ac:dyDescent="0.3">
      <c r="A132" s="537"/>
      <c r="B132" s="301" t="s">
        <v>1038</v>
      </c>
    </row>
    <row r="133" spans="1:2" ht="16.2" thickBot="1" x14ac:dyDescent="0.35">
      <c r="A133" s="536"/>
      <c r="B133" s="300"/>
    </row>
    <row r="134" spans="1:2" ht="15.6" customHeight="1" x14ac:dyDescent="0.3">
      <c r="A134" s="535" t="s">
        <v>1039</v>
      </c>
      <c r="B134" s="295"/>
    </row>
    <row r="135" spans="1:2" x14ac:dyDescent="0.3">
      <c r="A135" s="537"/>
      <c r="B135" s="301" t="s">
        <v>1040</v>
      </c>
    </row>
    <row r="136" spans="1:2" ht="28.8" x14ac:dyDescent="0.3">
      <c r="A136" s="537"/>
      <c r="B136" s="301" t="s">
        <v>1041</v>
      </c>
    </row>
    <row r="137" spans="1:2" x14ac:dyDescent="0.3">
      <c r="A137" s="537"/>
      <c r="B137" s="301" t="s">
        <v>1042</v>
      </c>
    </row>
    <row r="138" spans="1:2" ht="16.2" thickBot="1" x14ac:dyDescent="0.35">
      <c r="A138" s="536"/>
      <c r="B138" s="300"/>
    </row>
    <row r="139" spans="1:2" x14ac:dyDescent="0.3">
      <c r="A139" s="535" t="s">
        <v>1043</v>
      </c>
      <c r="B139" s="295"/>
    </row>
    <row r="140" spans="1:2" ht="28.8" x14ac:dyDescent="0.3">
      <c r="A140" s="537"/>
      <c r="B140" s="301" t="s">
        <v>1044</v>
      </c>
    </row>
    <row r="141" spans="1:2" ht="28.8" x14ac:dyDescent="0.3">
      <c r="A141" s="537"/>
      <c r="B141" s="301" t="s">
        <v>1045</v>
      </c>
    </row>
    <row r="142" spans="1:2" x14ac:dyDescent="0.3">
      <c r="A142" s="537"/>
      <c r="B142" s="301" t="s">
        <v>1046</v>
      </c>
    </row>
    <row r="143" spans="1:2" x14ac:dyDescent="0.3">
      <c r="A143" s="537"/>
      <c r="B143" s="301" t="s">
        <v>1047</v>
      </c>
    </row>
    <row r="144" spans="1:2" x14ac:dyDescent="0.3">
      <c r="A144" s="537"/>
      <c r="B144" s="301" t="s">
        <v>1048</v>
      </c>
    </row>
    <row r="145" spans="1:2" ht="15.6" customHeight="1" thickBot="1" x14ac:dyDescent="0.35">
      <c r="A145" s="536"/>
      <c r="B145" s="300"/>
    </row>
    <row r="146" spans="1:2" x14ac:dyDescent="0.3">
      <c r="A146" s="535" t="s">
        <v>1049</v>
      </c>
      <c r="B146" s="289" t="s">
        <v>956</v>
      </c>
    </row>
    <row r="147" spans="1:2" ht="43.2" x14ac:dyDescent="0.3">
      <c r="A147" s="537"/>
      <c r="B147" s="301" t="s">
        <v>1050</v>
      </c>
    </row>
    <row r="148" spans="1:2" x14ac:dyDescent="0.3">
      <c r="A148" s="537"/>
      <c r="B148" s="289" t="s">
        <v>958</v>
      </c>
    </row>
    <row r="149" spans="1:2" ht="28.8" x14ac:dyDescent="0.3">
      <c r="A149" s="537"/>
      <c r="B149" s="301" t="s">
        <v>1051</v>
      </c>
    </row>
    <row r="150" spans="1:2" ht="16.2" thickBot="1" x14ac:dyDescent="0.35">
      <c r="A150" s="536"/>
      <c r="B150" s="299" t="s">
        <v>1052</v>
      </c>
    </row>
    <row r="151" spans="1:2" x14ac:dyDescent="0.3">
      <c r="A151" s="537" t="s">
        <v>409</v>
      </c>
      <c r="B151" s="302" t="s">
        <v>1053</v>
      </c>
    </row>
    <row r="152" spans="1:2" x14ac:dyDescent="0.3">
      <c r="A152" s="537"/>
      <c r="B152" s="301" t="s">
        <v>1054</v>
      </c>
    </row>
    <row r="153" spans="1:2" ht="29.4" thickBot="1" x14ac:dyDescent="0.35">
      <c r="A153" s="536"/>
      <c r="B153" s="299" t="s">
        <v>1055</v>
      </c>
    </row>
    <row r="154" spans="1:2" ht="16.2" thickBot="1" x14ac:dyDescent="0.35">
      <c r="A154" s="549"/>
      <c r="B154" s="550"/>
    </row>
    <row r="155" spans="1:2" x14ac:dyDescent="0.3">
      <c r="A155" s="535" t="s">
        <v>1056</v>
      </c>
      <c r="B155" s="265" t="s">
        <v>1057</v>
      </c>
    </row>
    <row r="156" spans="1:2" ht="16.2" thickBot="1" x14ac:dyDescent="0.35">
      <c r="A156" s="537"/>
      <c r="B156" s="264" t="s">
        <v>1058</v>
      </c>
    </row>
    <row r="157" spans="1:2" x14ac:dyDescent="0.3">
      <c r="A157" s="535" t="s">
        <v>1059</v>
      </c>
      <c r="B157" s="295"/>
    </row>
    <row r="158" spans="1:2" ht="15.6" customHeight="1" x14ac:dyDescent="0.3">
      <c r="A158" s="537"/>
      <c r="B158" s="251" t="s">
        <v>1060</v>
      </c>
    </row>
    <row r="159" spans="1:2" x14ac:dyDescent="0.3">
      <c r="A159" s="537"/>
      <c r="B159" s="296"/>
    </row>
    <row r="160" spans="1:2" ht="28.8" x14ac:dyDescent="0.3">
      <c r="A160" s="537"/>
      <c r="B160" s="263" t="s">
        <v>1061</v>
      </c>
    </row>
    <row r="161" spans="1:2" ht="16.2" thickBot="1" x14ac:dyDescent="0.35">
      <c r="A161" s="536"/>
      <c r="B161" s="300"/>
    </row>
    <row r="162" spans="1:2" x14ac:dyDescent="0.3">
      <c r="A162" s="535" t="s">
        <v>1062</v>
      </c>
      <c r="B162" s="304" t="s">
        <v>1063</v>
      </c>
    </row>
    <row r="163" spans="1:2" ht="16.2" thickBot="1" x14ac:dyDescent="0.35">
      <c r="A163" s="537"/>
      <c r="B163" s="299" t="s">
        <v>1064</v>
      </c>
    </row>
    <row r="164" spans="1:2" x14ac:dyDescent="0.3">
      <c r="A164" s="535" t="s">
        <v>1065</v>
      </c>
      <c r="B164" s="295"/>
    </row>
    <row r="165" spans="1:2" ht="15.6" customHeight="1" x14ac:dyDescent="0.3">
      <c r="A165" s="537"/>
      <c r="B165" s="301" t="s">
        <v>1066</v>
      </c>
    </row>
    <row r="166" spans="1:2" ht="16.2" thickBot="1" x14ac:dyDescent="0.35">
      <c r="A166" s="536"/>
      <c r="B166" s="300"/>
    </row>
    <row r="167" spans="1:2" x14ac:dyDescent="0.3">
      <c r="A167" s="535" t="s">
        <v>1067</v>
      </c>
      <c r="B167" s="295"/>
    </row>
    <row r="168" spans="1:2" ht="15.6" customHeight="1" x14ac:dyDescent="0.3">
      <c r="A168" s="537"/>
      <c r="B168" s="296" t="s">
        <v>1068</v>
      </c>
    </row>
    <row r="169" spans="1:2" ht="16.2" thickBot="1" x14ac:dyDescent="0.35">
      <c r="A169" s="536"/>
      <c r="B169" s="300"/>
    </row>
    <row r="170" spans="1:2" x14ac:dyDescent="0.3">
      <c r="A170" s="535" t="s">
        <v>412</v>
      </c>
      <c r="B170" s="295"/>
    </row>
    <row r="171" spans="1:2" x14ac:dyDescent="0.3">
      <c r="A171" s="537"/>
      <c r="B171" s="296" t="s">
        <v>1069</v>
      </c>
    </row>
    <row r="172" spans="1:2" x14ac:dyDescent="0.3">
      <c r="A172" s="537"/>
      <c r="B172" s="296"/>
    </row>
    <row r="173" spans="1:2" x14ac:dyDescent="0.3">
      <c r="A173" s="537"/>
      <c r="B173" s="321" t="s">
        <v>1070</v>
      </c>
    </row>
    <row r="174" spans="1:2" x14ac:dyDescent="0.3">
      <c r="A174" s="537"/>
      <c r="B174" s="321" t="s">
        <v>1071</v>
      </c>
    </row>
    <row r="175" spans="1:2" x14ac:dyDescent="0.3">
      <c r="A175" s="537"/>
      <c r="B175" s="321" t="s">
        <v>1072</v>
      </c>
    </row>
    <row r="176" spans="1:2" x14ac:dyDescent="0.3">
      <c r="A176" s="537"/>
      <c r="B176" s="321" t="s">
        <v>1073</v>
      </c>
    </row>
    <row r="177" spans="1:2" x14ac:dyDescent="0.3">
      <c r="A177" s="537"/>
      <c r="B177" s="321" t="s">
        <v>1074</v>
      </c>
    </row>
    <row r="178" spans="1:2" x14ac:dyDescent="0.3">
      <c r="A178" s="537"/>
      <c r="B178" s="321" t="s">
        <v>1075</v>
      </c>
    </row>
    <row r="179" spans="1:2" x14ac:dyDescent="0.3">
      <c r="A179" s="537"/>
      <c r="B179" s="321" t="s">
        <v>1076</v>
      </c>
    </row>
    <row r="180" spans="1:2" x14ac:dyDescent="0.3">
      <c r="A180" s="537"/>
      <c r="B180" s="321" t="s">
        <v>1077</v>
      </c>
    </row>
    <row r="181" spans="1:2" ht="16.2" thickBot="1" x14ac:dyDescent="0.35">
      <c r="A181" s="536"/>
      <c r="B181" s="300"/>
    </row>
    <row r="182" spans="1:2" ht="16.2" thickBot="1" x14ac:dyDescent="0.35">
      <c r="A182" s="527" t="s">
        <v>1078</v>
      </c>
      <c r="B182" s="528"/>
    </row>
    <row r="183" spans="1:2" ht="16.2" customHeight="1" x14ac:dyDescent="0.3">
      <c r="A183" s="535" t="s">
        <v>773</v>
      </c>
      <c r="B183" s="304" t="s">
        <v>1079</v>
      </c>
    </row>
    <row r="184" spans="1:2" ht="29.4" thickBot="1" x14ac:dyDescent="0.35">
      <c r="A184" s="537"/>
      <c r="B184" s="322" t="s">
        <v>1080</v>
      </c>
    </row>
    <row r="185" spans="1:2" x14ac:dyDescent="0.3">
      <c r="A185" s="535" t="s">
        <v>762</v>
      </c>
      <c r="B185" s="295"/>
    </row>
    <row r="186" spans="1:2" x14ac:dyDescent="0.3">
      <c r="A186" s="537"/>
      <c r="B186" s="296" t="s">
        <v>1081</v>
      </c>
    </row>
    <row r="187" spans="1:2" ht="28.8" x14ac:dyDescent="0.3">
      <c r="A187" s="537"/>
      <c r="B187" s="296" t="s">
        <v>1082</v>
      </c>
    </row>
    <row r="188" spans="1:2" ht="43.2" x14ac:dyDescent="0.3">
      <c r="A188" s="537"/>
      <c r="B188" s="296" t="s">
        <v>1083</v>
      </c>
    </row>
    <row r="189" spans="1:2" ht="28.8" x14ac:dyDescent="0.3">
      <c r="A189" s="537"/>
      <c r="B189" s="296" t="s">
        <v>1084</v>
      </c>
    </row>
    <row r="190" spans="1:2" ht="16.2" thickBot="1" x14ac:dyDescent="0.35">
      <c r="A190" s="536"/>
      <c r="B190" s="300"/>
    </row>
    <row r="191" spans="1:2" x14ac:dyDescent="0.3">
      <c r="A191" s="535" t="s">
        <v>1085</v>
      </c>
      <c r="B191" s="295"/>
    </row>
    <row r="192" spans="1:2" x14ac:dyDescent="0.3">
      <c r="A192" s="537"/>
      <c r="B192" s="296" t="s">
        <v>1086</v>
      </c>
    </row>
    <row r="193" spans="1:2" x14ac:dyDescent="0.3">
      <c r="A193" s="537"/>
      <c r="B193" s="296"/>
    </row>
    <row r="194" spans="1:2" ht="28.8" x14ac:dyDescent="0.3">
      <c r="A194" s="537"/>
      <c r="B194" s="296" t="s">
        <v>1087</v>
      </c>
    </row>
    <row r="195" spans="1:2" x14ac:dyDescent="0.3">
      <c r="A195" s="537"/>
      <c r="B195" s="296"/>
    </row>
    <row r="196" spans="1:2" x14ac:dyDescent="0.3">
      <c r="A196" s="537"/>
      <c r="B196" s="289" t="s">
        <v>958</v>
      </c>
    </row>
    <row r="197" spans="1:2" x14ac:dyDescent="0.3">
      <c r="A197" s="537"/>
      <c r="B197" s="296" t="s">
        <v>1088</v>
      </c>
    </row>
    <row r="198" spans="1:2" ht="15.6" customHeight="1" thickBot="1" x14ac:dyDescent="0.35">
      <c r="A198" s="536"/>
      <c r="B198" s="300"/>
    </row>
    <row r="199" spans="1:2" x14ac:dyDescent="0.3">
      <c r="A199" s="535" t="s">
        <v>1031</v>
      </c>
      <c r="B199" s="295"/>
    </row>
    <row r="200" spans="1:2" ht="28.8" x14ac:dyDescent="0.3">
      <c r="A200" s="537"/>
      <c r="B200" s="296" t="s">
        <v>1089</v>
      </c>
    </row>
    <row r="201" spans="1:2" x14ac:dyDescent="0.3">
      <c r="A201" s="537"/>
      <c r="B201" s="296" t="s">
        <v>1090</v>
      </c>
    </row>
    <row r="202" spans="1:2" ht="28.8" x14ac:dyDescent="0.3">
      <c r="A202" s="537"/>
      <c r="B202" s="296" t="s">
        <v>1091</v>
      </c>
    </row>
    <row r="203" spans="1:2" ht="16.2" thickBot="1" x14ac:dyDescent="0.35">
      <c r="A203" s="536"/>
      <c r="B203" s="300"/>
    </row>
    <row r="204" spans="1:2" x14ac:dyDescent="0.3">
      <c r="A204" s="538" t="s">
        <v>404</v>
      </c>
      <c r="B204" s="308" t="s">
        <v>1092</v>
      </c>
    </row>
    <row r="205" spans="1:2" ht="15.6" customHeight="1" thickBot="1" x14ac:dyDescent="0.35">
      <c r="A205" s="540"/>
      <c r="B205" s="309" t="s">
        <v>1093</v>
      </c>
    </row>
    <row r="206" spans="1:2" x14ac:dyDescent="0.3">
      <c r="A206" s="538" t="s">
        <v>1037</v>
      </c>
      <c r="B206" s="295"/>
    </row>
    <row r="207" spans="1:2" x14ac:dyDescent="0.3">
      <c r="A207" s="539"/>
      <c r="B207" s="296" t="s">
        <v>1094</v>
      </c>
    </row>
    <row r="208" spans="1:2" ht="15.6" customHeight="1" thickBot="1" x14ac:dyDescent="0.35">
      <c r="A208" s="540"/>
      <c r="B208" s="300"/>
    </row>
    <row r="209" spans="1:2" x14ac:dyDescent="0.3">
      <c r="A209" s="535" t="s">
        <v>1039</v>
      </c>
      <c r="B209" s="295"/>
    </row>
    <row r="210" spans="1:2" x14ac:dyDescent="0.3">
      <c r="A210" s="537"/>
      <c r="B210" s="296" t="s">
        <v>1095</v>
      </c>
    </row>
    <row r="211" spans="1:2" ht="28.8" x14ac:dyDescent="0.3">
      <c r="A211" s="537"/>
      <c r="B211" s="296" t="s">
        <v>1096</v>
      </c>
    </row>
    <row r="212" spans="1:2" x14ac:dyDescent="0.3">
      <c r="A212" s="537"/>
      <c r="B212" s="296" t="s">
        <v>1097</v>
      </c>
    </row>
    <row r="213" spans="1:2" ht="16.2" thickBot="1" x14ac:dyDescent="0.35">
      <c r="A213" s="536"/>
      <c r="B213" s="298"/>
    </row>
    <row r="214" spans="1:2" x14ac:dyDescent="0.3">
      <c r="A214" s="535" t="s">
        <v>1098</v>
      </c>
      <c r="B214" s="295"/>
    </row>
    <row r="215" spans="1:2" ht="28.8" x14ac:dyDescent="0.3">
      <c r="A215" s="537"/>
      <c r="B215" s="296" t="s">
        <v>1099</v>
      </c>
    </row>
    <row r="216" spans="1:2" ht="28.8" x14ac:dyDescent="0.3">
      <c r="A216" s="537"/>
      <c r="B216" s="296" t="s">
        <v>1100</v>
      </c>
    </row>
    <row r="217" spans="1:2" x14ac:dyDescent="0.3">
      <c r="A217" s="537"/>
      <c r="B217" s="296" t="s">
        <v>1101</v>
      </c>
    </row>
    <row r="218" spans="1:2" x14ac:dyDescent="0.3">
      <c r="A218" s="537"/>
      <c r="B218" s="296" t="s">
        <v>1102</v>
      </c>
    </row>
    <row r="219" spans="1:2" x14ac:dyDescent="0.3">
      <c r="A219" s="537"/>
      <c r="B219" s="296" t="s">
        <v>1103</v>
      </c>
    </row>
    <row r="220" spans="1:2" ht="16.2" thickBot="1" x14ac:dyDescent="0.35">
      <c r="A220" s="536"/>
      <c r="B220" s="298"/>
    </row>
    <row r="221" spans="1:2" x14ac:dyDescent="0.3">
      <c r="A221" s="535" t="s">
        <v>1104</v>
      </c>
      <c r="B221" s="289" t="s">
        <v>956</v>
      </c>
    </row>
    <row r="222" spans="1:2" ht="28.8" x14ac:dyDescent="0.3">
      <c r="A222" s="537"/>
      <c r="B222" s="301" t="s">
        <v>1105</v>
      </c>
    </row>
    <row r="223" spans="1:2" x14ac:dyDescent="0.3">
      <c r="A223" s="537"/>
      <c r="B223" s="289" t="s">
        <v>1106</v>
      </c>
    </row>
    <row r="224" spans="1:2" ht="28.8" x14ac:dyDescent="0.3">
      <c r="A224" s="537"/>
      <c r="B224" s="301" t="s">
        <v>1107</v>
      </c>
    </row>
    <row r="225" spans="1:2" ht="16.2" thickBot="1" x14ac:dyDescent="0.35">
      <c r="A225" s="536"/>
      <c r="B225" s="299" t="s">
        <v>1108</v>
      </c>
    </row>
    <row r="226" spans="1:2" x14ac:dyDescent="0.3">
      <c r="A226" s="535" t="s">
        <v>409</v>
      </c>
      <c r="B226" s="295"/>
    </row>
    <row r="227" spans="1:2" ht="15.6" customHeight="1" x14ac:dyDescent="0.3">
      <c r="A227" s="537"/>
      <c r="B227" s="296" t="s">
        <v>1109</v>
      </c>
    </row>
    <row r="228" spans="1:2" x14ac:dyDescent="0.3">
      <c r="A228" s="537"/>
      <c r="B228" s="296" t="s">
        <v>1110</v>
      </c>
    </row>
    <row r="229" spans="1:2" ht="28.8" x14ac:dyDescent="0.3">
      <c r="A229" s="537"/>
      <c r="B229" s="296" t="s">
        <v>1111</v>
      </c>
    </row>
    <row r="230" spans="1:2" ht="16.2" thickBot="1" x14ac:dyDescent="0.35">
      <c r="A230" s="536"/>
      <c r="B230" s="298"/>
    </row>
    <row r="231" spans="1:2" x14ac:dyDescent="0.3">
      <c r="A231" s="535" t="s">
        <v>1056</v>
      </c>
      <c r="B231" s="304" t="s">
        <v>1112</v>
      </c>
    </row>
    <row r="232" spans="1:2" ht="15.6" customHeight="1" thickBot="1" x14ac:dyDescent="0.35">
      <c r="A232" s="537"/>
      <c r="B232" s="299" t="s">
        <v>1113</v>
      </c>
    </row>
    <row r="233" spans="1:2" x14ac:dyDescent="0.3">
      <c r="A233" s="535" t="s">
        <v>1059</v>
      </c>
      <c r="B233" s="295"/>
    </row>
    <row r="234" spans="1:2" x14ac:dyDescent="0.3">
      <c r="A234" s="537"/>
      <c r="B234" s="296" t="s">
        <v>1114</v>
      </c>
    </row>
    <row r="235" spans="1:2" x14ac:dyDescent="0.3">
      <c r="A235" s="537"/>
      <c r="B235" s="296"/>
    </row>
    <row r="236" spans="1:2" ht="28.8" x14ac:dyDescent="0.3">
      <c r="A236" s="537"/>
      <c r="B236" s="296" t="s">
        <v>1115</v>
      </c>
    </row>
    <row r="237" spans="1:2" ht="16.2" thickBot="1" x14ac:dyDescent="0.35">
      <c r="A237" s="536"/>
      <c r="B237" s="298"/>
    </row>
    <row r="238" spans="1:2" x14ac:dyDescent="0.3">
      <c r="A238" s="535" t="s">
        <v>1062</v>
      </c>
      <c r="B238" s="304" t="s">
        <v>1116</v>
      </c>
    </row>
    <row r="239" spans="1:2" ht="15.6" customHeight="1" thickBot="1" x14ac:dyDescent="0.35">
      <c r="A239" s="536"/>
      <c r="B239" s="310" t="s">
        <v>1117</v>
      </c>
    </row>
    <row r="240" spans="1:2" x14ac:dyDescent="0.3">
      <c r="A240" s="535" t="s">
        <v>1065</v>
      </c>
      <c r="B240" s="295"/>
    </row>
    <row r="241" spans="1:2" ht="28.8" x14ac:dyDescent="0.3">
      <c r="A241" s="537"/>
      <c r="B241" s="296" t="s">
        <v>1118</v>
      </c>
    </row>
    <row r="242" spans="1:2" ht="15.6" customHeight="1" thickBot="1" x14ac:dyDescent="0.35">
      <c r="A242" s="536"/>
      <c r="B242" s="298"/>
    </row>
    <row r="243" spans="1:2" x14ac:dyDescent="0.3">
      <c r="A243" s="535" t="s">
        <v>1067</v>
      </c>
      <c r="B243" s="295"/>
    </row>
    <row r="244" spans="1:2" ht="28.8" x14ac:dyDescent="0.3">
      <c r="A244" s="537"/>
      <c r="B244" s="296" t="s">
        <v>1119</v>
      </c>
    </row>
    <row r="245" spans="1:2" ht="16.2" thickBot="1" x14ac:dyDescent="0.35">
      <c r="A245" s="536"/>
      <c r="B245" s="300"/>
    </row>
    <row r="246" spans="1:2" x14ac:dyDescent="0.3">
      <c r="A246" s="551" t="s">
        <v>412</v>
      </c>
      <c r="B246" s="265" t="s">
        <v>1120</v>
      </c>
    </row>
    <row r="247" spans="1:2" x14ac:dyDescent="0.3">
      <c r="A247" s="552"/>
      <c r="B247" s="251"/>
    </row>
    <row r="248" spans="1:2" x14ac:dyDescent="0.3">
      <c r="A248" s="552"/>
      <c r="B248" s="321" t="s">
        <v>1121</v>
      </c>
    </row>
    <row r="249" spans="1:2" x14ac:dyDescent="0.3">
      <c r="A249" s="552"/>
      <c r="B249" s="321" t="s">
        <v>1071</v>
      </c>
    </row>
    <row r="250" spans="1:2" x14ac:dyDescent="0.3">
      <c r="A250" s="552"/>
      <c r="B250" s="321" t="s">
        <v>1072</v>
      </c>
    </row>
    <row r="251" spans="1:2" x14ac:dyDescent="0.3">
      <c r="A251" s="552"/>
      <c r="B251" s="321" t="s">
        <v>1073</v>
      </c>
    </row>
    <row r="252" spans="1:2" x14ac:dyDescent="0.3">
      <c r="A252" s="552"/>
      <c r="B252" s="321" t="s">
        <v>1074</v>
      </c>
    </row>
    <row r="253" spans="1:2" x14ac:dyDescent="0.3">
      <c r="A253" s="552"/>
      <c r="B253" s="321" t="s">
        <v>1075</v>
      </c>
    </row>
    <row r="254" spans="1:2" x14ac:dyDescent="0.3">
      <c r="A254" s="552"/>
      <c r="B254" s="321" t="s">
        <v>1076</v>
      </c>
    </row>
    <row r="255" spans="1:2" x14ac:dyDescent="0.3">
      <c r="A255" s="552"/>
      <c r="B255" s="262" t="s">
        <v>1122</v>
      </c>
    </row>
    <row r="256" spans="1:2" x14ac:dyDescent="0.3">
      <c r="A256" s="552"/>
      <c r="B256" s="311"/>
    </row>
    <row r="257" spans="1:2" ht="16.2" thickBot="1" x14ac:dyDescent="0.35">
      <c r="A257" s="553"/>
      <c r="B257" s="286"/>
    </row>
    <row r="258" spans="1:2" ht="16.2" customHeight="1" thickBot="1" x14ac:dyDescent="0.35">
      <c r="A258" s="312"/>
      <c r="B258" s="283"/>
    </row>
    <row r="259" spans="1:2" ht="16.2" thickBot="1" x14ac:dyDescent="0.35">
      <c r="A259" s="527" t="s">
        <v>1123</v>
      </c>
      <c r="B259" s="528"/>
    </row>
    <row r="260" spans="1:2" x14ac:dyDescent="0.3">
      <c r="A260" s="535" t="s">
        <v>1124</v>
      </c>
      <c r="B260" s="295"/>
    </row>
    <row r="261" spans="1:2" x14ac:dyDescent="0.3">
      <c r="A261" s="537"/>
      <c r="B261" s="296" t="s">
        <v>1125</v>
      </c>
    </row>
    <row r="262" spans="1:2" ht="16.2" thickBot="1" x14ac:dyDescent="0.35">
      <c r="A262" s="536"/>
      <c r="B262" s="300"/>
    </row>
    <row r="263" spans="1:2" x14ac:dyDescent="0.3">
      <c r="A263" s="535" t="s">
        <v>1007</v>
      </c>
      <c r="B263" s="295"/>
    </row>
    <row r="264" spans="1:2" x14ac:dyDescent="0.3">
      <c r="A264" s="537"/>
      <c r="B264" s="296" t="s">
        <v>1126</v>
      </c>
    </row>
    <row r="265" spans="1:2" ht="16.2" thickBot="1" x14ac:dyDescent="0.35">
      <c r="A265" s="536"/>
      <c r="B265" s="300"/>
    </row>
    <row r="266" spans="1:2" x14ac:dyDescent="0.3">
      <c r="A266" s="538" t="s">
        <v>806</v>
      </c>
      <c r="B266" s="308" t="s">
        <v>1127</v>
      </c>
    </row>
    <row r="267" spans="1:2" ht="28.8" x14ac:dyDescent="0.3">
      <c r="A267" s="539"/>
      <c r="B267" s="308" t="s">
        <v>1128</v>
      </c>
    </row>
    <row r="268" spans="1:2" ht="28.8" x14ac:dyDescent="0.3">
      <c r="A268" s="539"/>
      <c r="B268" s="308" t="s">
        <v>1129</v>
      </c>
    </row>
    <row r="269" spans="1:2" ht="29.4" thickBot="1" x14ac:dyDescent="0.35">
      <c r="A269" s="540"/>
      <c r="B269" s="309" t="s">
        <v>1130</v>
      </c>
    </row>
    <row r="270" spans="1:2" x14ac:dyDescent="0.3">
      <c r="A270" s="538" t="s">
        <v>762</v>
      </c>
      <c r="B270" s="295"/>
    </row>
    <row r="271" spans="1:2" ht="28.8" x14ac:dyDescent="0.3">
      <c r="A271" s="539"/>
      <c r="B271" s="296" t="s">
        <v>1131</v>
      </c>
    </row>
    <row r="272" spans="1:2" x14ac:dyDescent="0.3">
      <c r="A272" s="539"/>
      <c r="B272" s="296"/>
    </row>
    <row r="273" spans="1:2" ht="43.2" x14ac:dyDescent="0.3">
      <c r="A273" s="539"/>
      <c r="B273" s="296" t="s">
        <v>1132</v>
      </c>
    </row>
    <row r="274" spans="1:2" x14ac:dyDescent="0.3">
      <c r="A274" s="539"/>
      <c r="B274" s="296"/>
    </row>
    <row r="275" spans="1:2" ht="28.8" x14ac:dyDescent="0.3">
      <c r="A275" s="539"/>
      <c r="B275" s="296" t="s">
        <v>1084</v>
      </c>
    </row>
    <row r="276" spans="1:2" ht="16.2" thickBot="1" x14ac:dyDescent="0.35">
      <c r="A276" s="540"/>
      <c r="B276" s="300"/>
    </row>
    <row r="277" spans="1:2" x14ac:dyDescent="0.3">
      <c r="A277" s="535" t="s">
        <v>1085</v>
      </c>
      <c r="B277" s="296" t="s">
        <v>1133</v>
      </c>
    </row>
    <row r="278" spans="1:2" x14ac:dyDescent="0.3">
      <c r="A278" s="537"/>
      <c r="B278" s="296" t="s">
        <v>1134</v>
      </c>
    </row>
    <row r="279" spans="1:2" ht="28.8" x14ac:dyDescent="0.3">
      <c r="A279" s="537"/>
      <c r="B279" s="313" t="s">
        <v>1135</v>
      </c>
    </row>
    <row r="280" spans="1:2" x14ac:dyDescent="0.3">
      <c r="A280" s="537"/>
      <c r="B280" s="289" t="s">
        <v>1106</v>
      </c>
    </row>
    <row r="281" spans="1:2" ht="28.95" customHeight="1" thickBot="1" x14ac:dyDescent="0.35">
      <c r="A281" s="537"/>
      <c r="B281" s="299" t="s">
        <v>1136</v>
      </c>
    </row>
    <row r="282" spans="1:2" ht="28.8" x14ac:dyDescent="0.3">
      <c r="A282" s="535" t="s">
        <v>1137</v>
      </c>
      <c r="B282" s="296" t="s">
        <v>1138</v>
      </c>
    </row>
    <row r="283" spans="1:2" ht="29.4" thickBot="1" x14ac:dyDescent="0.35">
      <c r="A283" s="537"/>
      <c r="B283" s="299" t="s">
        <v>1139</v>
      </c>
    </row>
    <row r="284" spans="1:2" x14ac:dyDescent="0.3">
      <c r="A284" s="535" t="s">
        <v>1140</v>
      </c>
      <c r="B284" s="295"/>
    </row>
    <row r="285" spans="1:2" x14ac:dyDescent="0.3">
      <c r="A285" s="537"/>
      <c r="B285" s="296" t="s">
        <v>1092</v>
      </c>
    </row>
    <row r="286" spans="1:2" ht="15.6" customHeight="1" thickBot="1" x14ac:dyDescent="0.35">
      <c r="A286" s="536"/>
      <c r="B286" s="300"/>
    </row>
    <row r="287" spans="1:2" x14ac:dyDescent="0.3">
      <c r="A287" s="535" t="s">
        <v>1037</v>
      </c>
      <c r="B287" s="295"/>
    </row>
    <row r="288" spans="1:2" x14ac:dyDescent="0.3">
      <c r="A288" s="537"/>
      <c r="B288" s="296" t="s">
        <v>1141</v>
      </c>
    </row>
    <row r="289" spans="1:2" ht="15.6" customHeight="1" thickBot="1" x14ac:dyDescent="0.35">
      <c r="A289" s="536"/>
      <c r="B289" s="300"/>
    </row>
    <row r="290" spans="1:2" x14ac:dyDescent="0.3">
      <c r="A290" s="535" t="s">
        <v>1039</v>
      </c>
      <c r="B290" s="295"/>
    </row>
    <row r="291" spans="1:2" x14ac:dyDescent="0.3">
      <c r="A291" s="537"/>
      <c r="B291" s="296" t="s">
        <v>1142</v>
      </c>
    </row>
    <row r="292" spans="1:2" ht="28.8" x14ac:dyDescent="0.3">
      <c r="A292" s="537"/>
      <c r="B292" s="296" t="s">
        <v>1143</v>
      </c>
    </row>
    <row r="293" spans="1:2" x14ac:dyDescent="0.3">
      <c r="A293" s="537"/>
      <c r="B293" s="296" t="s">
        <v>1144</v>
      </c>
    </row>
    <row r="294" spans="1:2" ht="16.2" thickBot="1" x14ac:dyDescent="0.35">
      <c r="A294" s="536"/>
      <c r="B294" s="300"/>
    </row>
    <row r="295" spans="1:2" x14ac:dyDescent="0.3">
      <c r="A295" s="535" t="s">
        <v>1145</v>
      </c>
      <c r="B295" s="295"/>
    </row>
    <row r="296" spans="1:2" ht="28.8" x14ac:dyDescent="0.3">
      <c r="A296" s="537"/>
      <c r="B296" s="296" t="s">
        <v>1146</v>
      </c>
    </row>
    <row r="297" spans="1:2" ht="28.8" x14ac:dyDescent="0.3">
      <c r="A297" s="537"/>
      <c r="B297" s="296" t="s">
        <v>1147</v>
      </c>
    </row>
    <row r="298" spans="1:2" x14ac:dyDescent="0.3">
      <c r="A298" s="537"/>
      <c r="B298" s="296" t="s">
        <v>1101</v>
      </c>
    </row>
    <row r="299" spans="1:2" ht="28.8" x14ac:dyDescent="0.3">
      <c r="A299" s="537"/>
      <c r="B299" s="296" t="s">
        <v>1148</v>
      </c>
    </row>
    <row r="300" spans="1:2" x14ac:dyDescent="0.3">
      <c r="A300" s="537"/>
      <c r="B300" s="296" t="s">
        <v>1102</v>
      </c>
    </row>
    <row r="301" spans="1:2" ht="28.8" x14ac:dyDescent="0.3">
      <c r="A301" s="537"/>
      <c r="B301" s="296" t="s">
        <v>1149</v>
      </c>
    </row>
    <row r="302" spans="1:2" x14ac:dyDescent="0.3">
      <c r="A302" s="537"/>
      <c r="B302" s="296"/>
    </row>
    <row r="303" spans="1:2" ht="15.6" customHeight="1" thickBot="1" x14ac:dyDescent="0.35">
      <c r="A303" s="536"/>
      <c r="B303" s="300"/>
    </row>
    <row r="304" spans="1:2" x14ac:dyDescent="0.3">
      <c r="A304" s="546" t="s">
        <v>1150</v>
      </c>
      <c r="B304" s="295"/>
    </row>
    <row r="305" spans="1:2" x14ac:dyDescent="0.3">
      <c r="A305" s="547"/>
      <c r="B305" s="289" t="s">
        <v>1151</v>
      </c>
    </row>
    <row r="306" spans="1:2" x14ac:dyDescent="0.3">
      <c r="A306" s="547"/>
      <c r="B306" s="296" t="s">
        <v>1152</v>
      </c>
    </row>
    <row r="307" spans="1:2" ht="28.8" x14ac:dyDescent="0.3">
      <c r="A307" s="547"/>
      <c r="B307" s="296" t="s">
        <v>1153</v>
      </c>
    </row>
    <row r="308" spans="1:2" ht="15.6" customHeight="1" thickBot="1" x14ac:dyDescent="0.35">
      <c r="A308" s="548"/>
      <c r="B308" s="300"/>
    </row>
    <row r="309" spans="1:2" x14ac:dyDescent="0.3">
      <c r="A309" s="535" t="s">
        <v>1154</v>
      </c>
      <c r="B309" s="289" t="s">
        <v>1155</v>
      </c>
    </row>
    <row r="310" spans="1:2" ht="43.2" x14ac:dyDescent="0.3">
      <c r="A310" s="537"/>
      <c r="B310" s="296" t="s">
        <v>1156</v>
      </c>
    </row>
    <row r="311" spans="1:2" x14ac:dyDescent="0.3">
      <c r="A311" s="537"/>
      <c r="B311" s="296"/>
    </row>
    <row r="312" spans="1:2" x14ac:dyDescent="0.3">
      <c r="A312" s="537"/>
      <c r="B312" s="289" t="s">
        <v>1151</v>
      </c>
    </row>
    <row r="313" spans="1:2" ht="28.8" x14ac:dyDescent="0.3">
      <c r="A313" s="537"/>
      <c r="B313" s="296" t="s">
        <v>1157</v>
      </c>
    </row>
    <row r="314" spans="1:2" ht="16.2" thickBot="1" x14ac:dyDescent="0.35">
      <c r="A314" s="536"/>
      <c r="B314" s="310" t="s">
        <v>1158</v>
      </c>
    </row>
    <row r="315" spans="1:2" x14ac:dyDescent="0.3">
      <c r="A315" s="538" t="s">
        <v>1159</v>
      </c>
      <c r="B315" s="295"/>
    </row>
    <row r="316" spans="1:2" x14ac:dyDescent="0.3">
      <c r="A316" s="539"/>
      <c r="B316" s="323" t="s">
        <v>1160</v>
      </c>
    </row>
    <row r="317" spans="1:2" x14ac:dyDescent="0.3">
      <c r="A317" s="539"/>
      <c r="B317" s="323" t="s">
        <v>1161</v>
      </c>
    </row>
    <row r="318" spans="1:2" ht="28.8" x14ac:dyDescent="0.3">
      <c r="A318" s="539"/>
      <c r="B318" s="324" t="s">
        <v>1162</v>
      </c>
    </row>
    <row r="319" spans="1:2" ht="28.8" x14ac:dyDescent="0.3">
      <c r="A319" s="539"/>
      <c r="B319" s="325" t="s">
        <v>1163</v>
      </c>
    </row>
    <row r="320" spans="1:2" x14ac:dyDescent="0.3">
      <c r="A320" s="539"/>
      <c r="B320" s="326" t="s">
        <v>1164</v>
      </c>
    </row>
    <row r="321" spans="1:2" ht="28.8" x14ac:dyDescent="0.3">
      <c r="A321" s="539"/>
      <c r="B321" s="256" t="s">
        <v>1165</v>
      </c>
    </row>
    <row r="322" spans="1:2" ht="28.8" x14ac:dyDescent="0.3">
      <c r="A322" s="539"/>
      <c r="B322" s="257" t="s">
        <v>1166</v>
      </c>
    </row>
    <row r="323" spans="1:2" x14ac:dyDescent="0.3">
      <c r="A323" s="539"/>
      <c r="B323" s="296" t="s">
        <v>1167</v>
      </c>
    </row>
    <row r="324" spans="1:2" ht="16.2" thickBot="1" x14ac:dyDescent="0.35">
      <c r="A324" s="540"/>
      <c r="B324" s="298"/>
    </row>
    <row r="325" spans="1:2" ht="43.2" x14ac:dyDescent="0.3">
      <c r="A325" s="535" t="s">
        <v>838</v>
      </c>
      <c r="B325" s="304" t="s">
        <v>1168</v>
      </c>
    </row>
    <row r="326" spans="1:2" ht="15.6" customHeight="1" x14ac:dyDescent="0.3">
      <c r="A326" s="537"/>
      <c r="B326" s="296" t="s">
        <v>1169</v>
      </c>
    </row>
    <row r="327" spans="1:2" ht="43.2" x14ac:dyDescent="0.3">
      <c r="A327" s="537"/>
      <c r="B327" s="296" t="s">
        <v>1170</v>
      </c>
    </row>
    <row r="328" spans="1:2" ht="43.2" x14ac:dyDescent="0.3">
      <c r="A328" s="537"/>
      <c r="B328" s="296" t="s">
        <v>1171</v>
      </c>
    </row>
    <row r="329" spans="1:2" x14ac:dyDescent="0.3">
      <c r="A329" s="537"/>
      <c r="B329" s="304"/>
    </row>
    <row r="330" spans="1:2" ht="15.6" customHeight="1" thickBot="1" x14ac:dyDescent="0.35">
      <c r="A330" s="536"/>
      <c r="B330" s="298"/>
    </row>
    <row r="331" spans="1:2" x14ac:dyDescent="0.3">
      <c r="A331" s="538" t="s">
        <v>1172</v>
      </c>
      <c r="B331" s="304" t="s">
        <v>1173</v>
      </c>
    </row>
    <row r="332" spans="1:2" ht="28.8" x14ac:dyDescent="0.3">
      <c r="A332" s="539"/>
      <c r="B332" s="325" t="s">
        <v>1174</v>
      </c>
    </row>
    <row r="333" spans="1:2" x14ac:dyDescent="0.3">
      <c r="A333" s="539"/>
      <c r="B333" s="323" t="s">
        <v>1175</v>
      </c>
    </row>
    <row r="334" spans="1:2" x14ac:dyDescent="0.3">
      <c r="A334" s="539"/>
      <c r="B334" s="323" t="s">
        <v>1176</v>
      </c>
    </row>
    <row r="335" spans="1:2" ht="29.4" thickBot="1" x14ac:dyDescent="0.35">
      <c r="A335" s="540"/>
      <c r="B335" s="255" t="s">
        <v>1177</v>
      </c>
    </row>
    <row r="336" spans="1:2" x14ac:dyDescent="0.3">
      <c r="A336" s="538" t="s">
        <v>1062</v>
      </c>
      <c r="B336" s="265" t="s">
        <v>1178</v>
      </c>
    </row>
    <row r="337" spans="1:2" ht="15.6" customHeight="1" x14ac:dyDescent="0.3">
      <c r="A337" s="539"/>
      <c r="B337" s="323" t="s">
        <v>1179</v>
      </c>
    </row>
    <row r="338" spans="1:2" ht="16.2" thickBot="1" x14ac:dyDescent="0.35">
      <c r="A338" s="540"/>
      <c r="B338" s="252" t="s">
        <v>1180</v>
      </c>
    </row>
    <row r="339" spans="1:2" ht="29.4" thickBot="1" x14ac:dyDescent="0.35">
      <c r="A339" s="311" t="s">
        <v>1067</v>
      </c>
      <c r="B339" s="315" t="s">
        <v>1181</v>
      </c>
    </row>
    <row r="340" spans="1:2" ht="15.6" customHeight="1" x14ac:dyDescent="0.3">
      <c r="A340" s="538" t="s">
        <v>412</v>
      </c>
      <c r="B340" s="295"/>
    </row>
    <row r="341" spans="1:2" x14ac:dyDescent="0.3">
      <c r="A341" s="539"/>
      <c r="B341" s="296" t="s">
        <v>1182</v>
      </c>
    </row>
    <row r="342" spans="1:2" x14ac:dyDescent="0.3">
      <c r="A342" s="539"/>
      <c r="B342" s="321" t="s">
        <v>1183</v>
      </c>
    </row>
    <row r="343" spans="1:2" x14ac:dyDescent="0.3">
      <c r="A343" s="539"/>
      <c r="B343" s="321" t="s">
        <v>1071</v>
      </c>
    </row>
    <row r="344" spans="1:2" x14ac:dyDescent="0.3">
      <c r="A344" s="539"/>
      <c r="B344" s="321" t="s">
        <v>1072</v>
      </c>
    </row>
    <row r="345" spans="1:2" x14ac:dyDescent="0.3">
      <c r="A345" s="539"/>
      <c r="B345" s="327" t="s">
        <v>1184</v>
      </c>
    </row>
    <row r="346" spans="1:2" x14ac:dyDescent="0.3">
      <c r="A346" s="539"/>
      <c r="B346" s="321" t="s">
        <v>1185</v>
      </c>
    </row>
    <row r="347" spans="1:2" ht="28.8" x14ac:dyDescent="0.3">
      <c r="A347" s="539"/>
      <c r="B347" s="327" t="s">
        <v>1186</v>
      </c>
    </row>
    <row r="348" spans="1:2" ht="16.2" thickBot="1" x14ac:dyDescent="0.35">
      <c r="A348" s="540"/>
      <c r="B348" s="298"/>
    </row>
    <row r="349" spans="1:2" ht="16.2" thickBot="1" x14ac:dyDescent="0.35">
      <c r="A349" s="541"/>
      <c r="B349" s="542"/>
    </row>
    <row r="350" spans="1:2" ht="16.2" customHeight="1" thickBot="1" x14ac:dyDescent="0.35">
      <c r="A350" s="283"/>
      <c r="B350" s="283"/>
    </row>
    <row r="351" spans="1:2" ht="16.2" thickBot="1" x14ac:dyDescent="0.35">
      <c r="A351" s="527" t="s">
        <v>1187</v>
      </c>
      <c r="B351" s="528"/>
    </row>
    <row r="352" spans="1:2" x14ac:dyDescent="0.3">
      <c r="A352" s="538" t="s">
        <v>1124</v>
      </c>
      <c r="B352" s="316" t="s">
        <v>1188</v>
      </c>
    </row>
    <row r="353" spans="1:2" ht="16.2" thickBot="1" x14ac:dyDescent="0.35">
      <c r="A353" s="540"/>
      <c r="B353" s="309" t="s">
        <v>1189</v>
      </c>
    </row>
    <row r="354" spans="1:2" x14ac:dyDescent="0.3">
      <c r="A354" s="538" t="s">
        <v>1190</v>
      </c>
      <c r="B354" s="317"/>
    </row>
    <row r="355" spans="1:2" ht="28.8" x14ac:dyDescent="0.3">
      <c r="A355" s="539"/>
      <c r="B355" s="296" t="s">
        <v>1191</v>
      </c>
    </row>
    <row r="356" spans="1:2" ht="15.6" customHeight="1" thickBot="1" x14ac:dyDescent="0.35">
      <c r="A356" s="540"/>
      <c r="B356" s="300"/>
    </row>
    <row r="357" spans="1:2" x14ac:dyDescent="0.3">
      <c r="A357" s="535" t="s">
        <v>1192</v>
      </c>
      <c r="B357" s="295"/>
    </row>
    <row r="358" spans="1:2" x14ac:dyDescent="0.3">
      <c r="A358" s="537"/>
      <c r="B358" s="296" t="s">
        <v>1193</v>
      </c>
    </row>
    <row r="359" spans="1:2" ht="28.8" x14ac:dyDescent="0.3">
      <c r="A359" s="537"/>
      <c r="B359" s="296" t="s">
        <v>1194</v>
      </c>
    </row>
    <row r="360" spans="1:2" ht="16.2" thickBot="1" x14ac:dyDescent="0.35">
      <c r="A360" s="536"/>
      <c r="B360" s="300"/>
    </row>
    <row r="361" spans="1:2" ht="15.6" customHeight="1" thickBot="1" x14ac:dyDescent="0.35">
      <c r="A361" s="311" t="s">
        <v>404</v>
      </c>
      <c r="B361" s="318" t="s">
        <v>1195</v>
      </c>
    </row>
    <row r="362" spans="1:2" x14ac:dyDescent="0.3">
      <c r="A362" s="538" t="s">
        <v>1037</v>
      </c>
      <c r="B362" s="295"/>
    </row>
    <row r="363" spans="1:2" x14ac:dyDescent="0.3">
      <c r="A363" s="539"/>
      <c r="B363" s="296" t="s">
        <v>1196</v>
      </c>
    </row>
    <row r="364" spans="1:2" ht="15.6" customHeight="1" thickBot="1" x14ac:dyDescent="0.35">
      <c r="A364" s="540"/>
      <c r="B364" s="300"/>
    </row>
    <row r="365" spans="1:2" x14ac:dyDescent="0.3">
      <c r="A365" s="535" t="s">
        <v>1197</v>
      </c>
      <c r="B365" s="295"/>
    </row>
    <row r="366" spans="1:2" x14ac:dyDescent="0.3">
      <c r="A366" s="537"/>
      <c r="B366" s="296" t="s">
        <v>1198</v>
      </c>
    </row>
    <row r="367" spans="1:2" ht="16.2" thickBot="1" x14ac:dyDescent="0.35">
      <c r="A367" s="536"/>
      <c r="B367" s="300"/>
    </row>
    <row r="368" spans="1:2" x14ac:dyDescent="0.3">
      <c r="A368" s="551" t="s">
        <v>412</v>
      </c>
      <c r="B368" s="295"/>
    </row>
    <row r="369" spans="1:2" x14ac:dyDescent="0.3">
      <c r="A369" s="552"/>
      <c r="B369" s="301" t="s">
        <v>1199</v>
      </c>
    </row>
    <row r="370" spans="1:2" x14ac:dyDescent="0.3">
      <c r="A370" s="552"/>
      <c r="B370" s="319" t="s">
        <v>1200</v>
      </c>
    </row>
    <row r="371" spans="1:2" x14ac:dyDescent="0.3">
      <c r="A371" s="552"/>
      <c r="B371" s="319" t="s">
        <v>1201</v>
      </c>
    </row>
    <row r="372" spans="1:2" x14ac:dyDescent="0.3">
      <c r="A372" s="552"/>
      <c r="B372" s="319" t="s">
        <v>1202</v>
      </c>
    </row>
    <row r="373" spans="1:2" ht="16.2" thickBot="1" x14ac:dyDescent="0.35">
      <c r="A373" s="553"/>
      <c r="B373" s="286"/>
    </row>
    <row r="374" spans="1:2" ht="16.2" customHeight="1" thickBot="1" x14ac:dyDescent="0.35">
      <c r="A374" s="283"/>
      <c r="B374" s="283"/>
    </row>
    <row r="375" spans="1:2" ht="15.6" customHeight="1" thickBot="1" x14ac:dyDescent="0.35">
      <c r="A375" s="527" t="s">
        <v>1203</v>
      </c>
      <c r="B375" s="528"/>
    </row>
    <row r="376" spans="1:2" ht="16.2" thickBot="1" x14ac:dyDescent="0.35">
      <c r="A376" s="554" t="s">
        <v>1204</v>
      </c>
      <c r="B376" s="555"/>
    </row>
    <row r="377" spans="1:2" x14ac:dyDescent="0.3">
      <c r="A377" s="535" t="s">
        <v>884</v>
      </c>
      <c r="B377" s="295"/>
    </row>
    <row r="378" spans="1:2" ht="28.8" x14ac:dyDescent="0.3">
      <c r="A378" s="537"/>
      <c r="B378" s="304" t="s">
        <v>1205</v>
      </c>
    </row>
    <row r="379" spans="1:2" ht="28.8" x14ac:dyDescent="0.3">
      <c r="A379" s="537"/>
      <c r="B379" s="296" t="s">
        <v>1206</v>
      </c>
    </row>
    <row r="380" spans="1:2" ht="16.2" thickBot="1" x14ac:dyDescent="0.35">
      <c r="A380" s="536"/>
      <c r="B380" s="300"/>
    </row>
    <row r="381" spans="1:2" x14ac:dyDescent="0.3">
      <c r="A381" s="535" t="s">
        <v>1207</v>
      </c>
      <c r="B381" s="295"/>
    </row>
    <row r="382" spans="1:2" x14ac:dyDescent="0.3">
      <c r="A382" s="537"/>
      <c r="B382" s="296" t="s">
        <v>1208</v>
      </c>
    </row>
    <row r="383" spans="1:2" ht="16.2" thickBot="1" x14ac:dyDescent="0.35">
      <c r="A383" s="536"/>
      <c r="B383" s="300"/>
    </row>
    <row r="384" spans="1:2" ht="16.2" thickBot="1" x14ac:dyDescent="0.35">
      <c r="A384" s="554"/>
      <c r="B384" s="555"/>
    </row>
    <row r="385" spans="1:2" x14ac:dyDescent="0.3">
      <c r="A385" s="538" t="s">
        <v>1007</v>
      </c>
      <c r="B385" s="295"/>
    </row>
    <row r="386" spans="1:2" x14ac:dyDescent="0.3">
      <c r="A386" s="539"/>
      <c r="B386" s="296" t="s">
        <v>1209</v>
      </c>
    </row>
    <row r="387" spans="1:2" ht="16.2" customHeight="1" thickBot="1" x14ac:dyDescent="0.35">
      <c r="A387" s="540"/>
      <c r="B387" s="296"/>
    </row>
    <row r="388" spans="1:2" ht="15.6" customHeight="1" x14ac:dyDescent="0.3">
      <c r="A388" s="538" t="s">
        <v>806</v>
      </c>
      <c r="B388" s="302" t="s">
        <v>1210</v>
      </c>
    </row>
    <row r="389" spans="1:2" ht="28.8" x14ac:dyDescent="0.3">
      <c r="A389" s="539"/>
      <c r="B389" s="308" t="s">
        <v>1211</v>
      </c>
    </row>
    <row r="390" spans="1:2" ht="28.8" x14ac:dyDescent="0.3">
      <c r="A390" s="539"/>
      <c r="B390" s="319" t="s">
        <v>1212</v>
      </c>
    </row>
    <row r="391" spans="1:2" ht="29.4" thickBot="1" x14ac:dyDescent="0.35">
      <c r="A391" s="540"/>
      <c r="B391" s="309" t="s">
        <v>1213</v>
      </c>
    </row>
    <row r="392" spans="1:2" x14ac:dyDescent="0.3">
      <c r="A392" s="538" t="s">
        <v>414</v>
      </c>
      <c r="B392" s="308"/>
    </row>
    <row r="393" spans="1:2" ht="28.8" x14ac:dyDescent="0.3">
      <c r="A393" s="539"/>
      <c r="B393" s="308" t="s">
        <v>1214</v>
      </c>
    </row>
    <row r="394" spans="1:2" ht="16.2" thickBot="1" x14ac:dyDescent="0.35">
      <c r="A394" s="540"/>
      <c r="B394" s="309"/>
    </row>
    <row r="395" spans="1:2" x14ac:dyDescent="0.3">
      <c r="A395" s="538" t="s">
        <v>1215</v>
      </c>
      <c r="B395" s="295"/>
    </row>
    <row r="396" spans="1:2" ht="15.6" customHeight="1" x14ac:dyDescent="0.3">
      <c r="A396" s="539"/>
      <c r="B396" s="296" t="s">
        <v>1216</v>
      </c>
    </row>
    <row r="397" spans="1:2" ht="16.2" thickBot="1" x14ac:dyDescent="0.35">
      <c r="A397" s="540"/>
      <c r="B397" s="300"/>
    </row>
    <row r="398" spans="1:2" x14ac:dyDescent="0.3">
      <c r="A398" s="538" t="s">
        <v>821</v>
      </c>
      <c r="B398" s="297"/>
    </row>
    <row r="399" spans="1:2" x14ac:dyDescent="0.3">
      <c r="A399" s="539"/>
      <c r="B399" s="297" t="s">
        <v>1217</v>
      </c>
    </row>
    <row r="400" spans="1:2" ht="43.2" x14ac:dyDescent="0.3">
      <c r="A400" s="539"/>
      <c r="B400" s="304" t="s">
        <v>1218</v>
      </c>
    </row>
    <row r="401" spans="1:2" x14ac:dyDescent="0.3">
      <c r="A401" s="539"/>
      <c r="B401" s="297"/>
    </row>
    <row r="402" spans="1:2" x14ac:dyDescent="0.3">
      <c r="A402" s="539"/>
      <c r="B402" s="297" t="s">
        <v>1219</v>
      </c>
    </row>
    <row r="403" spans="1:2" ht="28.8" x14ac:dyDescent="0.3">
      <c r="A403" s="539"/>
      <c r="B403" s="304" t="s">
        <v>1220</v>
      </c>
    </row>
    <row r="404" spans="1:2" ht="16.2" thickBot="1" x14ac:dyDescent="0.35">
      <c r="A404" s="540"/>
      <c r="B404" s="300"/>
    </row>
    <row r="405" spans="1:2" x14ac:dyDescent="0.3">
      <c r="A405" s="538" t="s">
        <v>409</v>
      </c>
      <c r="B405" s="295"/>
    </row>
    <row r="406" spans="1:2" ht="16.2" customHeight="1" x14ac:dyDescent="0.3">
      <c r="A406" s="539"/>
      <c r="B406" s="304" t="s">
        <v>1221</v>
      </c>
    </row>
    <row r="407" spans="1:2" x14ac:dyDescent="0.3">
      <c r="A407" s="539"/>
      <c r="B407" s="304" t="s">
        <v>1222</v>
      </c>
    </row>
    <row r="408" spans="1:2" ht="15.6" customHeight="1" x14ac:dyDescent="0.3">
      <c r="A408" s="539"/>
      <c r="B408" s="296" t="s">
        <v>1223</v>
      </c>
    </row>
    <row r="409" spans="1:2" ht="16.2" customHeight="1" thickBot="1" x14ac:dyDescent="0.35">
      <c r="A409" s="540"/>
      <c r="B409" s="300"/>
    </row>
    <row r="410" spans="1:2" ht="16.2" thickBot="1" x14ac:dyDescent="0.35">
      <c r="A410" s="549"/>
      <c r="B410" s="550"/>
    </row>
    <row r="411" spans="1:2" x14ac:dyDescent="0.3">
      <c r="A411" s="535" t="s">
        <v>1224</v>
      </c>
      <c r="B411" s="295"/>
    </row>
    <row r="412" spans="1:2" x14ac:dyDescent="0.3">
      <c r="A412" s="537"/>
      <c r="B412" s="296" t="s">
        <v>1225</v>
      </c>
    </row>
    <row r="413" spans="1:2" x14ac:dyDescent="0.3">
      <c r="A413" s="537"/>
      <c r="B413" s="296"/>
    </row>
    <row r="414" spans="1:2" ht="28.8" x14ac:dyDescent="0.3">
      <c r="A414" s="537"/>
      <c r="B414" s="296" t="s">
        <v>1226</v>
      </c>
    </row>
    <row r="415" spans="1:2" x14ac:dyDescent="0.3">
      <c r="A415" s="537"/>
      <c r="B415" s="296"/>
    </row>
    <row r="416" spans="1:2" ht="28.8" x14ac:dyDescent="0.3">
      <c r="A416" s="537"/>
      <c r="B416" s="296" t="s">
        <v>1227</v>
      </c>
    </row>
    <row r="417" spans="1:2" x14ac:dyDescent="0.3">
      <c r="A417" s="537"/>
      <c r="B417" s="296"/>
    </row>
    <row r="418" spans="1:2" x14ac:dyDescent="0.3">
      <c r="A418" s="537"/>
      <c r="B418" s="296" t="s">
        <v>1228</v>
      </c>
    </row>
    <row r="419" spans="1:2" x14ac:dyDescent="0.3">
      <c r="A419" s="537"/>
      <c r="B419" s="296"/>
    </row>
    <row r="420" spans="1:2" x14ac:dyDescent="0.3">
      <c r="A420" s="537"/>
      <c r="B420" s="296" t="s">
        <v>1229</v>
      </c>
    </row>
    <row r="421" spans="1:2" ht="16.2" thickBot="1" x14ac:dyDescent="0.35">
      <c r="A421" s="536"/>
      <c r="B421" s="300"/>
    </row>
    <row r="422" spans="1:2" x14ac:dyDescent="0.3">
      <c r="A422" s="538" t="s">
        <v>1230</v>
      </c>
      <c r="B422" s="295"/>
    </row>
    <row r="423" spans="1:2" x14ac:dyDescent="0.3">
      <c r="A423" s="539"/>
      <c r="B423" s="289" t="s">
        <v>1106</v>
      </c>
    </row>
    <row r="424" spans="1:2" ht="28.8" x14ac:dyDescent="0.3">
      <c r="A424" s="539"/>
      <c r="B424" s="296" t="s">
        <v>1231</v>
      </c>
    </row>
    <row r="425" spans="1:2" x14ac:dyDescent="0.3">
      <c r="A425" s="539"/>
      <c r="B425" s="296"/>
    </row>
    <row r="426" spans="1:2" ht="28.8" x14ac:dyDescent="0.3">
      <c r="A426" s="539"/>
      <c r="B426" s="296" t="s">
        <v>1232</v>
      </c>
    </row>
    <row r="427" spans="1:2" x14ac:dyDescent="0.3">
      <c r="A427" s="539"/>
      <c r="B427" s="296" t="s">
        <v>1233</v>
      </c>
    </row>
    <row r="428" spans="1:2" x14ac:dyDescent="0.3">
      <c r="A428" s="539"/>
      <c r="B428" s="296" t="s">
        <v>1234</v>
      </c>
    </row>
    <row r="429" spans="1:2" x14ac:dyDescent="0.3">
      <c r="A429" s="539"/>
      <c r="B429" s="296" t="s">
        <v>1235</v>
      </c>
    </row>
    <row r="430" spans="1:2" x14ac:dyDescent="0.3">
      <c r="A430" s="539"/>
      <c r="B430" s="301" t="s">
        <v>1236</v>
      </c>
    </row>
    <row r="431" spans="1:2" ht="16.2" thickBot="1" x14ac:dyDescent="0.35">
      <c r="A431" s="540"/>
      <c r="B431" s="320"/>
    </row>
    <row r="432" spans="1:2" x14ac:dyDescent="0.3">
      <c r="A432" s="535" t="s">
        <v>412</v>
      </c>
      <c r="B432" s="295"/>
    </row>
    <row r="433" spans="1:2" x14ac:dyDescent="0.3">
      <c r="A433" s="537"/>
      <c r="B433" s="296" t="s">
        <v>1237</v>
      </c>
    </row>
    <row r="434" spans="1:2" ht="16.2" thickBot="1" x14ac:dyDescent="0.35">
      <c r="A434" s="536"/>
      <c r="B434" s="298"/>
    </row>
    <row r="442" spans="1:2" ht="15.6" customHeight="1" x14ac:dyDescent="0.3"/>
  </sheetData>
  <mergeCells count="126">
    <mergeCell ref="A422:A431"/>
    <mergeCell ref="A432:A434"/>
    <mergeCell ref="A392:A394"/>
    <mergeCell ref="A395:A397"/>
    <mergeCell ref="A398:A404"/>
    <mergeCell ref="A405:A409"/>
    <mergeCell ref="A410:B410"/>
    <mergeCell ref="A411:A421"/>
    <mergeCell ref="A354:A356"/>
    <mergeCell ref="A357:A360"/>
    <mergeCell ref="A362:A364"/>
    <mergeCell ref="A365:A367"/>
    <mergeCell ref="A368:A373"/>
    <mergeCell ref="A375:B375"/>
    <mergeCell ref="A381:A383"/>
    <mergeCell ref="A384:B384"/>
    <mergeCell ref="A385:A387"/>
    <mergeCell ref="A388:A391"/>
    <mergeCell ref="A376:B376"/>
    <mergeCell ref="A377:A380"/>
    <mergeCell ref="A139:A145"/>
    <mergeCell ref="A146:A150"/>
    <mergeCell ref="A151:A153"/>
    <mergeCell ref="A154:B154"/>
    <mergeCell ref="A155:A156"/>
    <mergeCell ref="A157:A161"/>
    <mergeCell ref="A162:A163"/>
    <mergeCell ref="A164:A166"/>
    <mergeCell ref="A290:A294"/>
    <mergeCell ref="A240:A242"/>
    <mergeCell ref="A243:A245"/>
    <mergeCell ref="A246:A257"/>
    <mergeCell ref="A259:B259"/>
    <mergeCell ref="A260:A262"/>
    <mergeCell ref="A263:A265"/>
    <mergeCell ref="A266:A269"/>
    <mergeCell ref="A270:A276"/>
    <mergeCell ref="A226:A230"/>
    <mergeCell ref="A231:A232"/>
    <mergeCell ref="A233:A237"/>
    <mergeCell ref="A238:A239"/>
    <mergeCell ref="A214:A220"/>
    <mergeCell ref="A221:A225"/>
    <mergeCell ref="A167:A169"/>
    <mergeCell ref="A340:A348"/>
    <mergeCell ref="A349:B349"/>
    <mergeCell ref="A351:B351"/>
    <mergeCell ref="A352:A353"/>
    <mergeCell ref="A331:A335"/>
    <mergeCell ref="A336:A338"/>
    <mergeCell ref="A277:A281"/>
    <mergeCell ref="A282:A283"/>
    <mergeCell ref="A284:A286"/>
    <mergeCell ref="A287:A289"/>
    <mergeCell ref="A295:A303"/>
    <mergeCell ref="A304:A308"/>
    <mergeCell ref="A309:A314"/>
    <mergeCell ref="A315:A324"/>
    <mergeCell ref="A325:A330"/>
    <mergeCell ref="A170:A181"/>
    <mergeCell ref="A182:B182"/>
    <mergeCell ref="A183:A184"/>
    <mergeCell ref="A185:A190"/>
    <mergeCell ref="A191:A198"/>
    <mergeCell ref="A199:A203"/>
    <mergeCell ref="A204:A205"/>
    <mergeCell ref="A206:A208"/>
    <mergeCell ref="A209:A213"/>
    <mergeCell ref="A124:A128"/>
    <mergeCell ref="A129:A130"/>
    <mergeCell ref="A131:A133"/>
    <mergeCell ref="A134:A138"/>
    <mergeCell ref="A101:A103"/>
    <mergeCell ref="A104:A106"/>
    <mergeCell ref="A108:B108"/>
    <mergeCell ref="A109:A110"/>
    <mergeCell ref="A111:A116"/>
    <mergeCell ref="A117:A123"/>
    <mergeCell ref="A86:A88"/>
    <mergeCell ref="A89:B89"/>
    <mergeCell ref="A90:A92"/>
    <mergeCell ref="A93:A96"/>
    <mergeCell ref="A97:B97"/>
    <mergeCell ref="A98:A100"/>
    <mergeCell ref="A69:A72"/>
    <mergeCell ref="A73:A75"/>
    <mergeCell ref="A76:A78"/>
    <mergeCell ref="A79:A81"/>
    <mergeCell ref="A82:A84"/>
    <mergeCell ref="A85:B85"/>
    <mergeCell ref="A58:B58"/>
    <mergeCell ref="A60:B60"/>
    <mergeCell ref="A61:A62"/>
    <mergeCell ref="A63:B63"/>
    <mergeCell ref="A64:A67"/>
    <mergeCell ref="A68:B68"/>
    <mergeCell ref="A35:A39"/>
    <mergeCell ref="A40:A43"/>
    <mergeCell ref="A44:A48"/>
    <mergeCell ref="A49:A53"/>
    <mergeCell ref="A54:A55"/>
    <mergeCell ref="A56:A57"/>
    <mergeCell ref="A26:B26"/>
    <mergeCell ref="A27:B27"/>
    <mergeCell ref="A28:B28"/>
    <mergeCell ref="A30:B30"/>
    <mergeCell ref="A31:B31"/>
    <mergeCell ref="A33:B33"/>
    <mergeCell ref="A20:B20"/>
    <mergeCell ref="A21:B21"/>
    <mergeCell ref="A22:B22"/>
    <mergeCell ref="A23:B23"/>
    <mergeCell ref="A24:B24"/>
    <mergeCell ref="A25:B25"/>
    <mergeCell ref="A14:B14"/>
    <mergeCell ref="A15:B15"/>
    <mergeCell ref="A16:B16"/>
    <mergeCell ref="A17:B17"/>
    <mergeCell ref="A18:B18"/>
    <mergeCell ref="A19:B19"/>
    <mergeCell ref="A6:B6"/>
    <mergeCell ref="A8:B8"/>
    <mergeCell ref="A9:B9"/>
    <mergeCell ref="A10:B10"/>
    <mergeCell ref="A11:B11"/>
    <mergeCell ref="A13:B13"/>
  </mergeCells>
  <hyperlinks>
    <hyperlink ref="A33:B33" location="SectionATab" display="Overview- Section A " xr:uid="{9E53B435-17C7-4C3B-87A1-1EA80E203886}"/>
    <hyperlink ref="A108:B108" location="SectionBTab" display="Impact Indicators – Section B" xr:uid="{A941CFB7-26EB-4FD4-939A-74927A30D389}"/>
    <hyperlink ref="A182:B182" location="SectionCTab" display="Outcome Indicators- Section C " xr:uid="{F02AF68E-2236-4D25-AB44-F2D41B9C55D9}"/>
    <hyperlink ref="A259:B259" location="SectionDTab" display="Coverage Indicators - Section D " xr:uid="{C0555D8A-1C0D-4423-8E92-FF4F20B8FB4C}"/>
    <hyperlink ref="A351:B351" location="SectionETab" display="Disaggregation (Impact, Outcome and Coverage indicators) - Section E " xr:uid="{9D3E018B-DAAC-403C-B7F9-56FD3E780380}"/>
    <hyperlink ref="A375:B375" location="SectionFTab" display="Work Plan Tracking Measures - Section F " xr:uid="{C56CC9A2-D3CC-480A-BA7E-6EF2D14319C9}"/>
    <hyperlink ref="A11:B11" r:id="rId1" display="3._x0009_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 to select from. These are derived from technical partner guidance to ensure consistent and harmonized reporting. Refer to the Modular Framework Handbook-October 2019 for full list of indicators for reporting to the Global Fund." xr:uid="{96EE6AFE-D6E6-40F3-B391-4637A8284265}"/>
    <hyperlink ref="A18:B18" r:id="rId2" display="8.      At the funding request stage: The applicants should request the Country Team for a Performance Framework template. In their request the applicants should specify the component(s) to be covered in their funding application(s). For details on the joint submissions please refer to the  Funding Request Instructions. The Global Fund Country Teams will generate and share a Performance Framework template, specific for each applicant. The applicants will use one Performance Framework template to cover the full funding request for all nominated Principal Recipients." xr:uid="{58003431-97A9-434B-8738-142523C25200}"/>
  </hyperlinks>
  <pageMargins left="0.7" right="0.7" top="0.75" bottom="0.75" header="0.3" footer="0.3"/>
  <pageSetup paperSize="9" scale="48" fitToHeight="0" orientation="portrait" r:id="rId3"/>
  <headerFooter>
    <oddFoote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A2D83-0C10-4ECE-A9E8-D1CF9DE58DFF}">
  <sheetPr codeName="Sheet24"/>
  <dimension ref="A1:D131"/>
  <sheetViews>
    <sheetView topLeftCell="C100" workbookViewId="0">
      <selection activeCell="D103" sqref="D103"/>
    </sheetView>
  </sheetViews>
  <sheetFormatPr defaultRowHeight="15.6" x14ac:dyDescent="0.3"/>
  <cols>
    <col min="1" max="1" width="67.8984375" customWidth="1"/>
    <col min="2" max="2" width="89.19921875" customWidth="1"/>
    <col min="3" max="3" width="76.69921875" customWidth="1"/>
    <col min="4" max="4" width="82.3984375" customWidth="1"/>
  </cols>
  <sheetData>
    <row r="1" spans="1:4" x14ac:dyDescent="0.3">
      <c r="A1" s="222" t="s">
        <v>304</v>
      </c>
      <c r="B1" s="223"/>
      <c r="C1" s="224">
        <f>IF(Language="English",0,IF(Language="French",1,IF(Language="Spanish",2,IF(Language="Russian",3))))</f>
        <v>1</v>
      </c>
      <c r="D1" s="223"/>
    </row>
    <row r="2" spans="1:4" s="230" customFormat="1" x14ac:dyDescent="0.3">
      <c r="A2" s="222" t="s">
        <v>388</v>
      </c>
      <c r="B2" s="229" t="s">
        <v>303</v>
      </c>
      <c r="C2" s="229" t="s">
        <v>389</v>
      </c>
      <c r="D2" s="229" t="s">
        <v>390</v>
      </c>
    </row>
    <row r="3" spans="1:4" x14ac:dyDescent="0.3">
      <c r="A3" s="232" t="str">
        <f ca="1">OFFSET($B3,0,LangOffset,1,1)</f>
        <v>Langue :</v>
      </c>
      <c r="B3" s="232" t="s">
        <v>391</v>
      </c>
      <c r="C3" s="232" t="s">
        <v>392</v>
      </c>
      <c r="D3" s="232" t="s">
        <v>392</v>
      </c>
    </row>
    <row r="4" spans="1:4" x14ac:dyDescent="0.3">
      <c r="A4" s="209" t="str">
        <f ca="1">OFFSET($B4,0,LangOffset,1,1)</f>
        <v>Cadre de performance  - Orientation générale  - Section A</v>
      </c>
      <c r="B4" s="266" t="s">
        <v>35</v>
      </c>
      <c r="C4" s="266" t="s">
        <v>766</v>
      </c>
      <c r="D4" s="266" t="s">
        <v>767</v>
      </c>
    </row>
    <row r="5" spans="1:4" x14ac:dyDescent="0.3">
      <c r="A5" s="209" t="str">
        <f t="shared" ref="A5:A65" ca="1" si="0">OFFSET($B5,0,LangOffset,1,1)</f>
        <v>Pays / Candidat</v>
      </c>
      <c r="B5" s="266" t="s">
        <v>132</v>
      </c>
      <c r="C5" s="266" t="s">
        <v>393</v>
      </c>
      <c r="D5" s="266" t="s">
        <v>394</v>
      </c>
    </row>
    <row r="6" spans="1:4" x14ac:dyDescent="0.3">
      <c r="A6" s="209" t="str">
        <f t="shared" ca="1" si="0"/>
        <v>Nom de la subvention / Nom de la demande de financement</v>
      </c>
      <c r="B6" s="266" t="s">
        <v>187</v>
      </c>
      <c r="C6" s="272" t="s">
        <v>746</v>
      </c>
      <c r="D6" s="266" t="s">
        <v>768</v>
      </c>
    </row>
    <row r="7" spans="1:4" x14ac:dyDescent="0.3">
      <c r="A7" s="209" t="str">
        <f t="shared" ca="1" si="0"/>
        <v>Date de début du programme</v>
      </c>
      <c r="B7" s="266" t="s">
        <v>133</v>
      </c>
      <c r="C7" s="266" t="s">
        <v>395</v>
      </c>
      <c r="D7" s="266" t="s">
        <v>397</v>
      </c>
    </row>
    <row r="8" spans="1:4" x14ac:dyDescent="0.3">
      <c r="A8" s="209" t="str">
        <f t="shared" ca="1" si="0"/>
        <v>Date de fin du programme</v>
      </c>
      <c r="B8" s="266" t="s">
        <v>134</v>
      </c>
      <c r="C8" s="266" t="s">
        <v>396</v>
      </c>
      <c r="D8" s="266" t="s">
        <v>398</v>
      </c>
    </row>
    <row r="9" spans="1:4" x14ac:dyDescent="0.3">
      <c r="A9" s="209" t="str">
        <f t="shared" ca="1" si="0"/>
        <v>Fréquence du rapportage programmatique</v>
      </c>
      <c r="B9" s="266" t="s">
        <v>364</v>
      </c>
      <c r="C9" s="272" t="s">
        <v>769</v>
      </c>
      <c r="D9" s="266" t="s">
        <v>770</v>
      </c>
    </row>
    <row r="10" spans="1:4" x14ac:dyDescent="0.3">
      <c r="A10" s="209" t="str">
        <f t="shared" ca="1" si="0"/>
        <v>Date de début de la période d'utilisation des allocations</v>
      </c>
      <c r="B10" s="266" t="s">
        <v>206</v>
      </c>
      <c r="C10" s="272" t="s">
        <v>733</v>
      </c>
      <c r="D10" s="266" t="s">
        <v>771</v>
      </c>
    </row>
    <row r="11" spans="1:4" x14ac:dyDescent="0.3">
      <c r="A11" s="209" t="str">
        <f t="shared" ca="1" si="0"/>
        <v>Date de fin de la période d'utilisation des allocations</v>
      </c>
      <c r="B11" s="266" t="s">
        <v>207</v>
      </c>
      <c r="C11" s="272" t="s">
        <v>730</v>
      </c>
      <c r="D11" s="266" t="s">
        <v>772</v>
      </c>
    </row>
    <row r="12" spans="1:4" x14ac:dyDescent="0.3">
      <c r="A12" s="209" t="str">
        <f t="shared" ca="1" si="0"/>
        <v>Navigation de page</v>
      </c>
      <c r="B12" s="266" t="s">
        <v>31</v>
      </c>
      <c r="C12" s="272" t="s">
        <v>602</v>
      </c>
      <c r="D12" s="266" t="s">
        <v>773</v>
      </c>
    </row>
    <row r="13" spans="1:4" x14ac:dyDescent="0.3">
      <c r="A13" s="209" t="str">
        <f t="shared" ca="1" si="0"/>
        <v>Composante</v>
      </c>
      <c r="B13" s="266" t="s">
        <v>121</v>
      </c>
      <c r="C13" s="266" t="s">
        <v>774</v>
      </c>
      <c r="D13" s="266" t="s">
        <v>399</v>
      </c>
    </row>
    <row r="14" spans="1:4" x14ac:dyDescent="0.3">
      <c r="A14" s="209" t="str">
        <f t="shared" ca="1" si="0"/>
        <v>Numéro du Récipiendaire Principal</v>
      </c>
      <c r="B14" s="266" t="s">
        <v>191</v>
      </c>
      <c r="C14" s="272" t="s">
        <v>775</v>
      </c>
      <c r="D14" s="273" t="s">
        <v>776</v>
      </c>
    </row>
    <row r="15" spans="1:4" s="174" customFormat="1" x14ac:dyDescent="0.3">
      <c r="A15" s="209" t="str">
        <f t="shared" ca="1" si="0"/>
        <v>Récipiendaire Principal</v>
      </c>
      <c r="B15" s="266" t="s">
        <v>135</v>
      </c>
      <c r="C15" s="266" t="s">
        <v>777</v>
      </c>
      <c r="D15" s="273" t="s">
        <v>778</v>
      </c>
    </row>
    <row r="16" spans="1:4" ht="28.8" x14ac:dyDescent="0.3">
      <c r="A16" s="209" t="str">
        <f t="shared" ca="1" si="0"/>
        <v>Nom du Récipiendaire Principal (Sélectionnez les PR ayant déjà bénéficié de subventions avec le Fonds mondial)</v>
      </c>
      <c r="B16" s="267" t="s">
        <v>779</v>
      </c>
      <c r="C16" s="274" t="s">
        <v>780</v>
      </c>
      <c r="D16" s="268" t="s">
        <v>781</v>
      </c>
    </row>
    <row r="17" spans="1:4" x14ac:dyDescent="0.3">
      <c r="A17" s="209" t="str">
        <f t="shared" ca="1" si="0"/>
        <v>Périodes de rapportage</v>
      </c>
      <c r="B17" s="266" t="s">
        <v>202</v>
      </c>
      <c r="C17" s="272" t="s">
        <v>721</v>
      </c>
      <c r="D17" s="266" t="s">
        <v>782</v>
      </c>
    </row>
    <row r="18" spans="1:4" x14ac:dyDescent="0.3">
      <c r="A18" s="209" t="str">
        <f t="shared" ca="1" si="0"/>
        <v>Date de début de la période</v>
      </c>
      <c r="B18" s="266" t="s">
        <v>204</v>
      </c>
      <c r="C18" s="272" t="s">
        <v>716</v>
      </c>
      <c r="D18" s="266" t="s">
        <v>783</v>
      </c>
    </row>
    <row r="19" spans="1:4" x14ac:dyDescent="0.3">
      <c r="A19" s="209" t="str">
        <f t="shared" ca="1" si="0"/>
        <v xml:space="preserve">Date de fin de la période </v>
      </c>
      <c r="B19" s="266" t="s">
        <v>205</v>
      </c>
      <c r="C19" s="272" t="s">
        <v>784</v>
      </c>
      <c r="D19" s="266" t="s">
        <v>785</v>
      </c>
    </row>
    <row r="20" spans="1:4" x14ac:dyDescent="0.3">
      <c r="A20" s="209" t="str">
        <f t="shared" ca="1" si="0"/>
        <v xml:space="preserve">Date d'échéance du PUDR </v>
      </c>
      <c r="B20" s="266" t="s">
        <v>136</v>
      </c>
      <c r="C20" s="272" t="s">
        <v>786</v>
      </c>
      <c r="D20" s="266" t="s">
        <v>787</v>
      </c>
    </row>
    <row r="21" spans="1:4" x14ac:dyDescent="0.3">
      <c r="A21" s="209" t="str">
        <f t="shared" ca="1" si="0"/>
        <v>Date de Remise du Rapport</v>
      </c>
      <c r="B21" s="266" t="s">
        <v>137</v>
      </c>
      <c r="C21" s="272" t="s">
        <v>611</v>
      </c>
      <c r="D21" s="266" t="s">
        <v>788</v>
      </c>
    </row>
    <row r="22" spans="1:4" x14ac:dyDescent="0.3">
      <c r="A22" s="209" t="str">
        <f t="shared" ca="1" si="0"/>
        <v>Buts</v>
      </c>
      <c r="B22" s="266" t="s">
        <v>13</v>
      </c>
      <c r="C22" s="266" t="s">
        <v>433</v>
      </c>
      <c r="D22" s="266" t="s">
        <v>434</v>
      </c>
    </row>
    <row r="23" spans="1:4" x14ac:dyDescent="0.3">
      <c r="A23" s="209" t="str">
        <f t="shared" ca="1" si="0"/>
        <v>Numéro du but</v>
      </c>
      <c r="B23" s="266" t="s">
        <v>12</v>
      </c>
      <c r="C23" s="272" t="s">
        <v>789</v>
      </c>
      <c r="D23" s="266" t="s">
        <v>790</v>
      </c>
    </row>
    <row r="24" spans="1:4" x14ac:dyDescent="0.3">
      <c r="A24" s="209" t="str">
        <f t="shared" ca="1" si="0"/>
        <v>Description du but</v>
      </c>
      <c r="B24" s="266" t="s">
        <v>138</v>
      </c>
      <c r="C24" s="272" t="s">
        <v>791</v>
      </c>
      <c r="D24" s="266" t="s">
        <v>435</v>
      </c>
    </row>
    <row r="25" spans="1:4" x14ac:dyDescent="0.3">
      <c r="A25" s="209" t="str">
        <f t="shared" ca="1" si="0"/>
        <v>Objectifs</v>
      </c>
      <c r="B25" s="266" t="s">
        <v>5</v>
      </c>
      <c r="C25" s="266" t="s">
        <v>436</v>
      </c>
      <c r="D25" s="266" t="s">
        <v>437</v>
      </c>
    </row>
    <row r="26" spans="1:4" x14ac:dyDescent="0.3">
      <c r="A26" s="209" t="str">
        <f t="shared" ca="1" si="0"/>
        <v xml:space="preserve">Numéro de l'objectif </v>
      </c>
      <c r="B26" s="266" t="s">
        <v>14</v>
      </c>
      <c r="C26" s="272" t="s">
        <v>792</v>
      </c>
      <c r="D26" s="266" t="s">
        <v>793</v>
      </c>
    </row>
    <row r="27" spans="1:4" x14ac:dyDescent="0.3">
      <c r="A27" s="209" t="str">
        <f t="shared" ca="1" si="0"/>
        <v>Description de l'objectif</v>
      </c>
      <c r="B27" s="266" t="s">
        <v>116</v>
      </c>
      <c r="C27" s="272" t="s">
        <v>794</v>
      </c>
      <c r="D27" s="266" t="s">
        <v>795</v>
      </c>
    </row>
    <row r="28" spans="1:4" x14ac:dyDescent="0.3">
      <c r="A28" s="209" t="str">
        <f t="shared" ca="1" si="0"/>
        <v>Modules</v>
      </c>
      <c r="B28" s="266" t="s">
        <v>16</v>
      </c>
      <c r="C28" s="266" t="s">
        <v>16</v>
      </c>
      <c r="D28" s="266" t="s">
        <v>438</v>
      </c>
    </row>
    <row r="29" spans="1:4" x14ac:dyDescent="0.3">
      <c r="A29" s="209" t="str">
        <f t="shared" ca="1" si="0"/>
        <v>Numéro du module</v>
      </c>
      <c r="B29" s="279" t="s">
        <v>17</v>
      </c>
      <c r="C29" s="272" t="s">
        <v>796</v>
      </c>
      <c r="D29" s="266" t="s">
        <v>797</v>
      </c>
    </row>
    <row r="30" spans="1:4" x14ac:dyDescent="0.3">
      <c r="A30" s="209" t="str">
        <f t="shared" ca="1" si="0"/>
        <v>Nom du module</v>
      </c>
      <c r="B30" s="266" t="s">
        <v>60</v>
      </c>
      <c r="C30" s="272" t="s">
        <v>798</v>
      </c>
      <c r="D30" s="266" t="s">
        <v>799</v>
      </c>
    </row>
    <row r="31" spans="1:4" x14ac:dyDescent="0.3">
      <c r="A31" s="209" t="str">
        <f t="shared" ca="1" si="0"/>
        <v>Requis uniquement si vous avez des mesures de suivi du plan de travail</v>
      </c>
      <c r="B31" s="266" t="s">
        <v>33</v>
      </c>
      <c r="C31" s="272" t="s">
        <v>800</v>
      </c>
      <c r="D31" s="266" t="s">
        <v>801</v>
      </c>
    </row>
    <row r="32" spans="1:4" x14ac:dyDescent="0.3">
      <c r="A32" s="209" t="str">
        <f t="shared" ca="1" si="0"/>
        <v>Numéro de l'intervention</v>
      </c>
      <c r="B32" s="266" t="s">
        <v>24</v>
      </c>
      <c r="C32" s="272" t="s">
        <v>802</v>
      </c>
      <c r="D32" s="266" t="s">
        <v>803</v>
      </c>
    </row>
    <row r="33" spans="1:4" x14ac:dyDescent="0.3">
      <c r="A33" s="209" t="str">
        <f t="shared" ca="1" si="0"/>
        <v>Intervention standard</v>
      </c>
      <c r="B33" s="266" t="s">
        <v>80</v>
      </c>
      <c r="C33" s="266" t="s">
        <v>401</v>
      </c>
      <c r="D33" s="266" t="s">
        <v>402</v>
      </c>
    </row>
    <row r="34" spans="1:4" x14ac:dyDescent="0.3">
      <c r="A34" s="209" t="str">
        <f t="shared" ca="1" si="0"/>
        <v>Intervention personnalisée (uniquement si "Autre" intervention est choisie)</v>
      </c>
      <c r="B34" s="266" t="s">
        <v>203</v>
      </c>
      <c r="C34" s="272" t="s">
        <v>804</v>
      </c>
      <c r="D34" s="266" t="s">
        <v>805</v>
      </c>
    </row>
    <row r="35" spans="1:4" x14ac:dyDescent="0.3">
      <c r="A35" s="209" t="str">
        <f t="shared" ca="1" si="0"/>
        <v>Population</v>
      </c>
      <c r="B35" s="266" t="s">
        <v>279</v>
      </c>
      <c r="C35" s="266" t="s">
        <v>279</v>
      </c>
      <c r="D35" s="266" t="s">
        <v>806</v>
      </c>
    </row>
    <row r="36" spans="1:4" x14ac:dyDescent="0.3">
      <c r="A36" s="209" t="str">
        <f t="shared" ca="1" si="0"/>
        <v>Cadre de performance - Indicateurs d'impact - Section B</v>
      </c>
      <c r="B36" s="266" t="s">
        <v>36</v>
      </c>
      <c r="C36" s="266" t="s">
        <v>807</v>
      </c>
      <c r="D36" s="266" t="s">
        <v>808</v>
      </c>
    </row>
    <row r="37" spans="1:4" x14ac:dyDescent="0.3">
      <c r="A37" s="209" t="str">
        <f t="shared" ca="1" si="0"/>
        <v xml:space="preserve">Numéro de l'indicateurs d’impact </v>
      </c>
      <c r="B37" s="266" t="s">
        <v>20</v>
      </c>
      <c r="C37" s="272" t="s">
        <v>809</v>
      </c>
      <c r="D37" s="266" t="s">
        <v>439</v>
      </c>
    </row>
    <row r="38" spans="1:4" x14ac:dyDescent="0.3">
      <c r="A38" s="209" t="str">
        <f t="shared" ca="1" si="0"/>
        <v>Indicateur standard</v>
      </c>
      <c r="B38" s="266" t="s">
        <v>61</v>
      </c>
      <c r="C38" s="266" t="s">
        <v>810</v>
      </c>
      <c r="D38" s="266" t="s">
        <v>762</v>
      </c>
    </row>
    <row r="39" spans="1:4" x14ac:dyDescent="0.3">
      <c r="A39" s="209" t="str">
        <f t="shared" ca="1" si="0"/>
        <v>Indicateur personnalisé</v>
      </c>
      <c r="B39" s="266" t="s">
        <v>10</v>
      </c>
      <c r="C39" s="266" t="s">
        <v>811</v>
      </c>
      <c r="D39" s="266" t="s">
        <v>408</v>
      </c>
    </row>
    <row r="40" spans="1:4" x14ac:dyDescent="0.3">
      <c r="A40" s="209" t="str">
        <f t="shared" ca="1" si="0"/>
        <v>Référence #N
Référence #D</v>
      </c>
      <c r="B40" s="266" t="s">
        <v>246</v>
      </c>
      <c r="C40" s="275" t="s">
        <v>812</v>
      </c>
      <c r="D40" s="269" t="s">
        <v>813</v>
      </c>
    </row>
    <row r="41" spans="1:4" x14ac:dyDescent="0.3">
      <c r="A41" s="209" t="str">
        <f t="shared" ca="1" si="0"/>
        <v>Référence %</v>
      </c>
      <c r="B41" s="266" t="s">
        <v>4</v>
      </c>
      <c r="C41" s="275" t="s">
        <v>403</v>
      </c>
      <c r="D41" s="269" t="s">
        <v>404</v>
      </c>
    </row>
    <row r="42" spans="1:4" x14ac:dyDescent="0.3">
      <c r="A42" s="209" t="str">
        <f t="shared" ca="1" si="0"/>
        <v>Référence Année</v>
      </c>
      <c r="B42" s="266" t="s">
        <v>29</v>
      </c>
      <c r="C42" s="272" t="s">
        <v>440</v>
      </c>
      <c r="D42" s="266" t="s">
        <v>441</v>
      </c>
    </row>
    <row r="43" spans="1:4" x14ac:dyDescent="0.3">
      <c r="A43" s="209" t="str">
        <f t="shared" ca="1" si="0"/>
        <v>Référence Source</v>
      </c>
      <c r="B43" s="266" t="s">
        <v>18</v>
      </c>
      <c r="C43" s="272" t="s">
        <v>442</v>
      </c>
      <c r="D43" s="266" t="s">
        <v>443</v>
      </c>
    </row>
    <row r="44" spans="1:4" x14ac:dyDescent="0.3">
      <c r="A44" s="209" t="str">
        <f t="shared" ca="1" si="0"/>
        <v>Cadre de performance  - Orientation générale - Section A</v>
      </c>
      <c r="B44" s="270" t="s">
        <v>35</v>
      </c>
      <c r="C44" s="280" t="s">
        <v>891</v>
      </c>
      <c r="D44" s="270" t="s">
        <v>767</v>
      </c>
    </row>
    <row r="45" spans="1:4" x14ac:dyDescent="0.3">
      <c r="A45" s="209" t="str">
        <f t="shared" ca="1" si="0"/>
        <v xml:space="preserve">Récipiendaires principaux </v>
      </c>
      <c r="B45" s="266" t="s">
        <v>413</v>
      </c>
      <c r="C45" s="266" t="s">
        <v>814</v>
      </c>
      <c r="D45" s="266" t="s">
        <v>400</v>
      </c>
    </row>
    <row r="46" spans="1:4" x14ac:dyDescent="0.3">
      <c r="A46" s="209" t="str">
        <f t="shared" ca="1" si="0"/>
        <v>Interventions</v>
      </c>
      <c r="B46" s="266" t="s">
        <v>32</v>
      </c>
      <c r="C46" s="266" t="s">
        <v>32</v>
      </c>
      <c r="D46" s="266" t="s">
        <v>414</v>
      </c>
    </row>
    <row r="47" spans="1:4" x14ac:dyDescent="0.3">
      <c r="A47" s="209" t="str">
        <f t="shared" ca="1" si="0"/>
        <v>Périodes de rapportage</v>
      </c>
      <c r="B47" s="266" t="s">
        <v>415</v>
      </c>
      <c r="C47" s="272" t="s">
        <v>721</v>
      </c>
      <c r="D47" s="266" t="s">
        <v>782</v>
      </c>
    </row>
    <row r="48" spans="1:4" x14ac:dyDescent="0.3">
      <c r="A48" s="209" t="str">
        <f t="shared" ca="1" si="0"/>
        <v>Instructions</v>
      </c>
      <c r="B48" s="266" t="s">
        <v>309</v>
      </c>
      <c r="C48" s="266" t="s">
        <v>309</v>
      </c>
      <c r="D48" s="266" t="s">
        <v>815</v>
      </c>
    </row>
    <row r="49" spans="1:4" x14ac:dyDescent="0.3">
      <c r="A49" s="227" t="str">
        <f t="shared" ca="1" si="0"/>
        <v>Nouveau Récipiendaire principal  (à utiliser si l'entité n'a jamais été un RP du Fonds mondial ou n'apparaît pas dans la liste déroulante de la colonne précédente)</v>
      </c>
      <c r="B49" s="266" t="s">
        <v>416</v>
      </c>
      <c r="C49" s="277" t="s">
        <v>816</v>
      </c>
      <c r="D49" s="266" t="s">
        <v>817</v>
      </c>
    </row>
    <row r="50" spans="1:4" x14ac:dyDescent="0.3">
      <c r="A50" s="227" t="str">
        <f t="shared" ca="1" si="0"/>
        <v>Requis uniquement si vous avez des mesures de suivi du plan de travail</v>
      </c>
      <c r="B50" s="266" t="s">
        <v>33</v>
      </c>
      <c r="C50" s="272" t="s">
        <v>800</v>
      </c>
      <c r="D50" s="266" t="s">
        <v>801</v>
      </c>
    </row>
    <row r="51" spans="1:4" x14ac:dyDescent="0.3">
      <c r="A51" s="227" t="str">
        <f t="shared" ca="1" si="0"/>
        <v>Désaggrégation obligatoire</v>
      </c>
      <c r="B51" s="268" t="s">
        <v>19</v>
      </c>
      <c r="C51" s="272" t="s">
        <v>818</v>
      </c>
      <c r="D51" s="266" t="s">
        <v>819</v>
      </c>
    </row>
    <row r="52" spans="1:4" x14ac:dyDescent="0.3">
      <c r="A52" s="227" t="str">
        <f t="shared" ca="1" si="0"/>
        <v xml:space="preserve">Récipiendaire principal responsable </v>
      </c>
      <c r="B52" s="266" t="s">
        <v>188</v>
      </c>
      <c r="C52" s="266" t="s">
        <v>820</v>
      </c>
      <c r="D52" s="266" t="s">
        <v>821</v>
      </c>
    </row>
    <row r="53" spans="1:4" x14ac:dyDescent="0.3">
      <c r="A53" s="227" t="str">
        <f t="shared" ca="1" si="0"/>
        <v>Pays</v>
      </c>
      <c r="B53" s="266" t="s">
        <v>11</v>
      </c>
      <c r="C53" s="266" t="s">
        <v>410</v>
      </c>
      <c r="D53" s="266" t="s">
        <v>409</v>
      </c>
    </row>
    <row r="54" spans="1:4" x14ac:dyDescent="0.3">
      <c r="A54" s="227" t="str">
        <f t="shared" ca="1" si="0"/>
        <v>Cible N#</v>
      </c>
      <c r="B54" s="266" t="s">
        <v>417</v>
      </c>
      <c r="C54" s="266" t="s">
        <v>418</v>
      </c>
      <c r="D54" s="266" t="s">
        <v>419</v>
      </c>
    </row>
    <row r="55" spans="1:4" x14ac:dyDescent="0.3">
      <c r="A55" s="227" t="str">
        <f t="shared" ca="1" si="0"/>
        <v>Cible D#</v>
      </c>
      <c r="B55" s="266" t="s">
        <v>420</v>
      </c>
      <c r="C55" s="266" t="s">
        <v>421</v>
      </c>
      <c r="D55" s="266" t="s">
        <v>422</v>
      </c>
    </row>
    <row r="56" spans="1:4" x14ac:dyDescent="0.3">
      <c r="A56" s="227" t="str">
        <f t="shared" ca="1" si="0"/>
        <v>Date de remise du rapport</v>
      </c>
      <c r="B56" s="266" t="s">
        <v>26</v>
      </c>
      <c r="C56" s="272" t="s">
        <v>423</v>
      </c>
      <c r="D56" s="266" t="s">
        <v>822</v>
      </c>
    </row>
    <row r="57" spans="1:4" x14ac:dyDescent="0.3">
      <c r="A57" s="227" t="str">
        <f t="shared" ca="1" si="0"/>
        <v>Marquer si la cible est à déterminer “TBD”</v>
      </c>
      <c r="B57" s="266" t="s">
        <v>365</v>
      </c>
      <c r="C57" s="272" t="s">
        <v>540</v>
      </c>
      <c r="D57" s="266" t="s">
        <v>823</v>
      </c>
    </row>
    <row r="58" spans="1:4" x14ac:dyDescent="0.3">
      <c r="A58" s="227" t="str">
        <f t="shared" ca="1" si="0"/>
        <v>Commentaires</v>
      </c>
      <c r="B58" s="266" t="s">
        <v>9</v>
      </c>
      <c r="C58" s="266" t="s">
        <v>411</v>
      </c>
      <c r="D58" s="266" t="s">
        <v>412</v>
      </c>
    </row>
    <row r="59" spans="1:4" x14ac:dyDescent="0.3">
      <c r="A59" s="227" t="str">
        <f t="shared" ca="1" si="0"/>
        <v>Cadre de performance - Indicateurs de résultats - Section C</v>
      </c>
      <c r="B59" s="266" t="s">
        <v>311</v>
      </c>
      <c r="C59" s="266" t="s">
        <v>824</v>
      </c>
      <c r="D59" s="266" t="s">
        <v>825</v>
      </c>
    </row>
    <row r="60" spans="1:4" x14ac:dyDescent="0.3">
      <c r="A60" s="227" t="str">
        <f t="shared" ca="1" si="0"/>
        <v xml:space="preserve">Résultats </v>
      </c>
      <c r="B60" s="266" t="s">
        <v>268</v>
      </c>
      <c r="C60" s="266" t="s">
        <v>826</v>
      </c>
      <c r="D60" s="266" t="s">
        <v>827</v>
      </c>
    </row>
    <row r="61" spans="1:4" x14ac:dyDescent="0.3">
      <c r="A61" s="227" t="str">
        <f t="shared" ca="1" si="0"/>
        <v xml:space="preserve">Indicateur </v>
      </c>
      <c r="B61" s="266" t="s">
        <v>424</v>
      </c>
      <c r="C61" s="266" t="s">
        <v>828</v>
      </c>
      <c r="D61" s="266" t="s">
        <v>829</v>
      </c>
    </row>
    <row r="62" spans="1:4" x14ac:dyDescent="0.3">
      <c r="A62" s="227" t="str">
        <f t="shared" ca="1" si="0"/>
        <v>Numéro</v>
      </c>
      <c r="B62" s="268" t="s">
        <v>257</v>
      </c>
      <c r="C62" s="266" t="s">
        <v>830</v>
      </c>
      <c r="D62" s="266" t="s">
        <v>831</v>
      </c>
    </row>
    <row r="63" spans="1:4" x14ac:dyDescent="0.3">
      <c r="A63" s="227" t="str">
        <f t="shared" ca="1" si="0"/>
        <v>Cible %</v>
      </c>
      <c r="B63" s="266" t="s">
        <v>8</v>
      </c>
      <c r="C63" s="266" t="s">
        <v>425</v>
      </c>
      <c r="D63" s="266" t="s">
        <v>426</v>
      </c>
    </row>
    <row r="64" spans="1:4" x14ac:dyDescent="0.3">
      <c r="A64" s="227" t="str">
        <f t="shared" ca="1" si="0"/>
        <v>Cadre de performance -Indicateurs de couverture - Section D</v>
      </c>
      <c r="B64" s="266" t="s">
        <v>128</v>
      </c>
      <c r="C64" s="266" t="s">
        <v>832</v>
      </c>
      <c r="D64" s="266" t="s">
        <v>833</v>
      </c>
    </row>
    <row r="65" spans="1:4" x14ac:dyDescent="0.3">
      <c r="A65" s="227" t="str">
        <f t="shared" ca="1" si="0"/>
        <v xml:space="preserve">Numéro de l'indicateur de couverture </v>
      </c>
      <c r="B65" s="266" t="s">
        <v>25</v>
      </c>
      <c r="C65" s="266" t="s">
        <v>834</v>
      </c>
      <c r="D65" s="266" t="s">
        <v>835</v>
      </c>
    </row>
    <row r="66" spans="1:4" x14ac:dyDescent="0.3">
      <c r="A66" s="227" t="str">
        <f t="shared" ref="A66:A100" ca="1" si="1">OFFSET($B66,0,LangOffset,1,1)</f>
        <v xml:space="preserve">Inclure dans les résultats du Fonds mondial </v>
      </c>
      <c r="B66" s="266" t="s">
        <v>321</v>
      </c>
      <c r="C66" s="272" t="s">
        <v>571</v>
      </c>
      <c r="D66" s="266" t="s">
        <v>836</v>
      </c>
    </row>
    <row r="67" spans="1:4" x14ac:dyDescent="0.3">
      <c r="A67" s="227" t="str">
        <f t="shared" ca="1" si="1"/>
        <v>Pays/ Portée des cibles</v>
      </c>
      <c r="B67" s="266" t="s">
        <v>366</v>
      </c>
      <c r="C67" s="272" t="s">
        <v>563</v>
      </c>
      <c r="D67" s="266" t="s">
        <v>837</v>
      </c>
    </row>
    <row r="68" spans="1:4" x14ac:dyDescent="0.3">
      <c r="A68" s="227" t="str">
        <f t="shared" ca="1" si="1"/>
        <v>Type de cumulation</v>
      </c>
      <c r="B68" s="266" t="s">
        <v>123</v>
      </c>
      <c r="C68" s="272" t="s">
        <v>555</v>
      </c>
      <c r="D68" s="266" t="s">
        <v>838</v>
      </c>
    </row>
    <row r="69" spans="1:4" x14ac:dyDescent="0.3">
      <c r="A69" s="227" t="str">
        <f t="shared" ca="1" si="1"/>
        <v>Cadre de performance - Désagrégation - Section E</v>
      </c>
      <c r="B69" s="266" t="s">
        <v>129</v>
      </c>
      <c r="C69" s="266" t="s">
        <v>839</v>
      </c>
      <c r="D69" s="266" t="s">
        <v>840</v>
      </c>
    </row>
    <row r="70" spans="1:4" x14ac:dyDescent="0.3">
      <c r="A70" s="227" t="str">
        <f t="shared" ca="1" si="1"/>
        <v>Impact</v>
      </c>
      <c r="B70" s="266" t="s">
        <v>267</v>
      </c>
      <c r="C70" s="266" t="s">
        <v>267</v>
      </c>
      <c r="D70" s="266" t="s">
        <v>841</v>
      </c>
    </row>
    <row r="71" spans="1:4" x14ac:dyDescent="0.3">
      <c r="A71" s="227" t="str">
        <f t="shared" ca="1" si="1"/>
        <v>Couverture</v>
      </c>
      <c r="B71" s="266" t="s">
        <v>30</v>
      </c>
      <c r="C71" s="266" t="s">
        <v>763</v>
      </c>
      <c r="D71" s="266" t="s">
        <v>842</v>
      </c>
    </row>
    <row r="72" spans="1:4" x14ac:dyDescent="0.3">
      <c r="A72" s="227" t="str">
        <f t="shared" ca="1" si="1"/>
        <v xml:space="preserve">Désagrégation de l'indicateur d'impact </v>
      </c>
      <c r="B72" s="266" t="s">
        <v>276</v>
      </c>
      <c r="C72" s="266" t="s">
        <v>843</v>
      </c>
      <c r="D72" s="266" t="s">
        <v>844</v>
      </c>
    </row>
    <row r="73" spans="1:4" x14ac:dyDescent="0.3">
      <c r="A73" s="227" t="str">
        <f t="shared" ca="1" si="1"/>
        <v xml:space="preserve">Nom de l'indicateur d’impact </v>
      </c>
      <c r="B73" s="266" t="s">
        <v>96</v>
      </c>
      <c r="C73" s="266" t="s">
        <v>845</v>
      </c>
      <c r="D73" s="266" t="s">
        <v>846</v>
      </c>
    </row>
    <row r="74" spans="1:4" x14ac:dyDescent="0.3">
      <c r="A74" s="227" t="str">
        <f t="shared" ca="1" si="1"/>
        <v>Catégorie</v>
      </c>
      <c r="B74" s="266" t="s">
        <v>34</v>
      </c>
      <c r="C74" s="266" t="s">
        <v>427</v>
      </c>
      <c r="D74" s="266" t="s">
        <v>428</v>
      </c>
    </row>
    <row r="75" spans="1:4" x14ac:dyDescent="0.3">
      <c r="A75" s="227" t="str">
        <f t="shared" ca="1" si="1"/>
        <v>Désagrégation</v>
      </c>
      <c r="B75" s="266" t="s">
        <v>27</v>
      </c>
      <c r="C75" s="272" t="s">
        <v>847</v>
      </c>
      <c r="D75" s="266" t="s">
        <v>848</v>
      </c>
    </row>
    <row r="76" spans="1:4" x14ac:dyDescent="0.3">
      <c r="A76" s="227" t="str">
        <f t="shared" ca="1" si="1"/>
        <v xml:space="preserve">Désagrégation de l'indicateur de résultat </v>
      </c>
      <c r="B76" s="266" t="s">
        <v>277</v>
      </c>
      <c r="C76" s="272" t="s">
        <v>849</v>
      </c>
      <c r="D76" s="266" t="s">
        <v>850</v>
      </c>
    </row>
    <row r="77" spans="1:4" x14ac:dyDescent="0.3">
      <c r="A77" s="227" t="str">
        <f t="shared" ca="1" si="1"/>
        <v>Numéro de l'indicateur de résultat</v>
      </c>
      <c r="B77" s="266" t="s">
        <v>22</v>
      </c>
      <c r="C77" s="272" t="s">
        <v>851</v>
      </c>
      <c r="D77" s="266" t="s">
        <v>852</v>
      </c>
    </row>
    <row r="78" spans="1:4" x14ac:dyDescent="0.3">
      <c r="A78" s="227" t="str">
        <f t="shared" ca="1" si="1"/>
        <v xml:space="preserve">Résultats </v>
      </c>
      <c r="B78" s="266" t="s">
        <v>268</v>
      </c>
      <c r="C78" s="272" t="s">
        <v>826</v>
      </c>
      <c r="D78" s="266" t="s">
        <v>429</v>
      </c>
    </row>
    <row r="79" spans="1:4" x14ac:dyDescent="0.3">
      <c r="A79" s="227" t="str">
        <f t="shared" ca="1" si="1"/>
        <v xml:space="preserve">Nom de l'indicateur de résultats </v>
      </c>
      <c r="B79" s="266" t="s">
        <v>97</v>
      </c>
      <c r="C79" s="272" t="s">
        <v>853</v>
      </c>
      <c r="D79" s="266" t="s">
        <v>854</v>
      </c>
    </row>
    <row r="80" spans="1:4" x14ac:dyDescent="0.3">
      <c r="A80" s="227" t="str">
        <f t="shared" ca="1" si="1"/>
        <v xml:space="preserve">Désagrégation de l'indicateur de couverture </v>
      </c>
      <c r="B80" s="266" t="s">
        <v>278</v>
      </c>
      <c r="C80" s="266" t="s">
        <v>855</v>
      </c>
      <c r="D80" s="266" t="s">
        <v>856</v>
      </c>
    </row>
    <row r="81" spans="1:4" x14ac:dyDescent="0.3">
      <c r="A81" s="227" t="str">
        <f t="shared" ca="1" si="1"/>
        <v xml:space="preserve">Numéro de l'indicateur de couverture </v>
      </c>
      <c r="B81" s="266" t="s">
        <v>25</v>
      </c>
      <c r="C81" s="276" t="s">
        <v>857</v>
      </c>
      <c r="D81" s="266" t="s">
        <v>858</v>
      </c>
    </row>
    <row r="82" spans="1:4" x14ac:dyDescent="0.3">
      <c r="A82" s="227" t="str">
        <f t="shared" ca="1" si="1"/>
        <v>Nom de l'indicateur de couverture</v>
      </c>
      <c r="B82" s="266" t="s">
        <v>98</v>
      </c>
      <c r="C82" s="276" t="s">
        <v>859</v>
      </c>
      <c r="D82" s="266" t="s">
        <v>860</v>
      </c>
    </row>
    <row r="83" spans="1:4" x14ac:dyDescent="0.3">
      <c r="A83" s="227" t="str">
        <f t="shared" ca="1" si="1"/>
        <v>Cadre de performance - MSPT - Section E</v>
      </c>
      <c r="B83" s="266" t="s">
        <v>280</v>
      </c>
      <c r="C83" s="266" t="s">
        <v>861</v>
      </c>
      <c r="D83" s="266" t="s">
        <v>862</v>
      </c>
    </row>
    <row r="84" spans="1:4" x14ac:dyDescent="0.3">
      <c r="A84" s="227" t="str">
        <f t="shared" ca="1" si="1"/>
        <v>Numéro</v>
      </c>
      <c r="B84" s="278" t="s">
        <v>281</v>
      </c>
      <c r="C84" s="278" t="s">
        <v>830</v>
      </c>
      <c r="D84" s="266" t="s">
        <v>863</v>
      </c>
    </row>
    <row r="85" spans="1:4" x14ac:dyDescent="0.3">
      <c r="A85" s="227" t="str">
        <f t="shared" ca="1" si="1"/>
        <v>Activité principale</v>
      </c>
      <c r="B85" s="266" t="s">
        <v>68</v>
      </c>
      <c r="C85" s="266" t="s">
        <v>864</v>
      </c>
      <c r="D85" s="266" t="s">
        <v>865</v>
      </c>
    </row>
    <row r="86" spans="1:4" x14ac:dyDescent="0.3">
      <c r="A86" s="227" t="str">
        <f t="shared" ca="1" si="1"/>
        <v xml:space="preserve">Repères/ Description de la cible </v>
      </c>
      <c r="B86" s="266" t="s">
        <v>108</v>
      </c>
      <c r="C86" s="272" t="s">
        <v>866</v>
      </c>
      <c r="D86" s="266" t="s">
        <v>867</v>
      </c>
    </row>
    <row r="87" spans="1:4" x14ac:dyDescent="0.3">
      <c r="A87" s="227" t="str">
        <f t="shared" ca="1" si="1"/>
        <v>Critère de réalisation</v>
      </c>
      <c r="B87" s="266" t="s">
        <v>381</v>
      </c>
      <c r="C87" s="266" t="s">
        <v>430</v>
      </c>
      <c r="D87" s="266" t="s">
        <v>868</v>
      </c>
    </row>
    <row r="88" spans="1:4" x14ac:dyDescent="0.3">
      <c r="A88" s="227" t="str">
        <f t="shared" ca="1" si="1"/>
        <v>Cadre de résultats</v>
      </c>
      <c r="B88" s="266" t="s">
        <v>130</v>
      </c>
      <c r="C88" s="266" t="s">
        <v>431</v>
      </c>
      <c r="D88" s="266" t="s">
        <v>432</v>
      </c>
    </row>
    <row r="89" spans="1:4" x14ac:dyDescent="0.3">
      <c r="A89" s="227" t="str">
        <f t="shared" ca="1" si="1"/>
        <v>Fréquence de la période de rapportage programmatique</v>
      </c>
      <c r="B89" s="266" t="s">
        <v>122</v>
      </c>
      <c r="C89" s="272" t="s">
        <v>869</v>
      </c>
      <c r="D89" s="266" t="s">
        <v>770</v>
      </c>
    </row>
    <row r="90" spans="1:4" x14ac:dyDescent="0.3">
      <c r="A90" s="227" t="str">
        <f t="shared" ca="1" si="1"/>
        <v>Indicateurs d’impact</v>
      </c>
      <c r="B90" s="266" t="s">
        <v>15</v>
      </c>
      <c r="C90" s="266" t="s">
        <v>764</v>
      </c>
      <c r="D90" s="266" t="s">
        <v>870</v>
      </c>
    </row>
    <row r="91" spans="1:4" x14ac:dyDescent="0.3">
      <c r="A91" s="227" t="str">
        <f t="shared" ca="1" si="1"/>
        <v>No.</v>
      </c>
      <c r="B91" s="266" t="s">
        <v>131</v>
      </c>
      <c r="C91" s="266" t="s">
        <v>131</v>
      </c>
      <c r="D91" s="266" t="s">
        <v>131</v>
      </c>
    </row>
    <row r="92" spans="1:4" x14ac:dyDescent="0.3">
      <c r="A92" s="227" t="str">
        <f t="shared" ca="1" si="1"/>
        <v>Indicateur d’impact personnalisé</v>
      </c>
      <c r="B92" s="266" t="s">
        <v>144</v>
      </c>
      <c r="C92" s="266" t="s">
        <v>871</v>
      </c>
      <c r="D92" s="266" t="s">
        <v>872</v>
      </c>
    </row>
    <row r="93" spans="1:4" x14ac:dyDescent="0.3">
      <c r="A93" s="227" t="str">
        <f t="shared" ca="1" si="1"/>
        <v>Valeur de référence</v>
      </c>
      <c r="B93" s="266" t="s">
        <v>28</v>
      </c>
      <c r="C93" s="272" t="s">
        <v>873</v>
      </c>
      <c r="D93" s="266" t="s">
        <v>874</v>
      </c>
    </row>
    <row r="94" spans="1:4" x14ac:dyDescent="0.3">
      <c r="A94" s="227" t="str">
        <f t="shared" ca="1" si="1"/>
        <v>Année de la référence &amp; Source</v>
      </c>
      <c r="B94" s="266" t="s">
        <v>377</v>
      </c>
      <c r="C94" s="272" t="s">
        <v>875</v>
      </c>
      <c r="D94" s="266" t="s">
        <v>876</v>
      </c>
    </row>
    <row r="95" spans="1:4" x14ac:dyDescent="0.3">
      <c r="A95" s="227" t="str">
        <f t="shared" ca="1" si="1"/>
        <v>Valeur de la cible</v>
      </c>
      <c r="B95" s="266" t="s">
        <v>378</v>
      </c>
      <c r="C95" s="266" t="s">
        <v>877</v>
      </c>
      <c r="D95" s="266" t="s">
        <v>878</v>
      </c>
    </row>
    <row r="96" spans="1:4" x14ac:dyDescent="0.3">
      <c r="A96" s="227" t="str">
        <f t="shared" ca="1" si="1"/>
        <v>Indicateurs de résultats</v>
      </c>
      <c r="B96" s="266" t="s">
        <v>21</v>
      </c>
      <c r="C96" s="266" t="s">
        <v>879</v>
      </c>
      <c r="D96" s="266" t="s">
        <v>880</v>
      </c>
    </row>
    <row r="97" spans="1:4" x14ac:dyDescent="0.3">
      <c r="A97" s="227" t="str">
        <f t="shared" ca="1" si="1"/>
        <v>Indicateurs de couverture</v>
      </c>
      <c r="B97" s="266" t="s">
        <v>23</v>
      </c>
      <c r="C97" s="266" t="s">
        <v>881</v>
      </c>
      <c r="D97" s="266" t="s">
        <v>882</v>
      </c>
    </row>
    <row r="98" spans="1:4" x14ac:dyDescent="0.3">
      <c r="A98" s="227" t="str">
        <f t="shared" ca="1" si="1"/>
        <v xml:space="preserve">Mesures de Suivi du Plan de Travail </v>
      </c>
      <c r="B98" s="266" t="s">
        <v>214</v>
      </c>
      <c r="C98" s="272" t="s">
        <v>883</v>
      </c>
      <c r="D98" s="266" t="s">
        <v>884</v>
      </c>
    </row>
    <row r="99" spans="1:4" x14ac:dyDescent="0.3">
      <c r="A99" s="227" t="str">
        <f t="shared" ca="1" si="1"/>
        <v>Repères</v>
      </c>
      <c r="B99" s="266" t="s">
        <v>380</v>
      </c>
      <c r="C99" s="272" t="s">
        <v>885</v>
      </c>
      <c r="D99" s="266" t="s">
        <v>886</v>
      </c>
    </row>
    <row r="100" spans="1:4" x14ac:dyDescent="0.3">
      <c r="A100" s="227" t="str">
        <f t="shared" ca="1" si="1"/>
        <v>Dates</v>
      </c>
      <c r="B100" s="266" t="s">
        <v>379</v>
      </c>
      <c r="C100" s="266" t="s">
        <v>379</v>
      </c>
      <c r="D100" s="266" t="s">
        <v>887</v>
      </c>
    </row>
    <row r="101" spans="1:4" x14ac:dyDescent="0.3">
      <c r="A101" s="232" t="str">
        <f ca="1">OFFSET($B101,0,LangOffset,1,1)</f>
        <v>Oui</v>
      </c>
      <c r="B101" s="266" t="s">
        <v>444</v>
      </c>
      <c r="C101" s="266" t="s">
        <v>445</v>
      </c>
      <c r="D101" s="271" t="s">
        <v>446</v>
      </c>
    </row>
    <row r="102" spans="1:4" x14ac:dyDescent="0.3">
      <c r="A102" s="232" t="str">
        <f ca="1">OFFSET($B102,0,LangOffset,1,1)</f>
        <v>Non</v>
      </c>
      <c r="B102" s="266" t="s">
        <v>281</v>
      </c>
      <c r="C102" s="266" t="s">
        <v>447</v>
      </c>
      <c r="D102" s="266" t="s">
        <v>281</v>
      </c>
    </row>
    <row r="103" spans="1:4" x14ac:dyDescent="0.3">
      <c r="A103" s="232" t="str">
        <f ca="1">OFFSET($B103,0,LangOffset,1,1)</f>
        <v>Non applicable</v>
      </c>
      <c r="B103" s="232" t="s">
        <v>372</v>
      </c>
      <c r="C103" s="232" t="s">
        <v>765</v>
      </c>
      <c r="D103" s="228" t="s">
        <v>1283</v>
      </c>
    </row>
    <row r="104" spans="1:4" x14ac:dyDescent="0.3">
      <c r="B104" s="228"/>
      <c r="C104" s="228"/>
      <c r="D104" s="228"/>
    </row>
    <row r="105" spans="1:4" x14ac:dyDescent="0.3">
      <c r="B105" s="228"/>
      <c r="C105" s="228"/>
      <c r="D105" s="228"/>
    </row>
    <row r="106" spans="1:4" x14ac:dyDescent="0.3">
      <c r="B106" s="228"/>
      <c r="C106" s="228"/>
      <c r="D106" s="228"/>
    </row>
    <row r="107" spans="1:4" x14ac:dyDescent="0.3">
      <c r="B107" s="228"/>
      <c r="C107" s="228"/>
      <c r="D107" s="228"/>
    </row>
    <row r="108" spans="1:4" x14ac:dyDescent="0.3">
      <c r="B108" s="228"/>
      <c r="C108" s="228"/>
      <c r="D108" s="228"/>
    </row>
    <row r="109" spans="1:4" x14ac:dyDescent="0.3">
      <c r="B109" s="228"/>
      <c r="C109" s="228"/>
      <c r="D109" s="228"/>
    </row>
    <row r="110" spans="1:4" x14ac:dyDescent="0.3">
      <c r="B110" s="228"/>
      <c r="C110" s="228"/>
      <c r="D110" s="228"/>
    </row>
    <row r="111" spans="1:4" x14ac:dyDescent="0.3">
      <c r="B111" s="228"/>
      <c r="C111" s="228"/>
      <c r="D111" s="228"/>
    </row>
    <row r="112" spans="1:4" x14ac:dyDescent="0.3">
      <c r="B112" s="228"/>
      <c r="C112" s="228"/>
      <c r="D112" s="228"/>
    </row>
    <row r="113" spans="2:4" x14ac:dyDescent="0.3">
      <c r="B113" s="228"/>
      <c r="C113" s="228"/>
      <c r="D113" s="228"/>
    </row>
    <row r="114" spans="2:4" x14ac:dyDescent="0.3">
      <c r="B114" s="228"/>
      <c r="C114" s="228"/>
      <c r="D114" s="228"/>
    </row>
    <row r="115" spans="2:4" x14ac:dyDescent="0.3">
      <c r="B115" s="228"/>
      <c r="C115" s="228"/>
      <c r="D115" s="228"/>
    </row>
    <row r="116" spans="2:4" x14ac:dyDescent="0.3">
      <c r="B116" s="228"/>
      <c r="C116" s="228"/>
      <c r="D116" s="228"/>
    </row>
    <row r="117" spans="2:4" x14ac:dyDescent="0.3">
      <c r="B117" s="228"/>
      <c r="C117" s="228"/>
      <c r="D117" s="228"/>
    </row>
    <row r="118" spans="2:4" x14ac:dyDescent="0.3">
      <c r="B118" s="228"/>
      <c r="C118" s="228"/>
      <c r="D118" s="228"/>
    </row>
    <row r="119" spans="2:4" x14ac:dyDescent="0.3">
      <c r="B119" s="228"/>
      <c r="C119" s="228"/>
      <c r="D119" s="228"/>
    </row>
    <row r="120" spans="2:4" x14ac:dyDescent="0.3">
      <c r="B120" s="228"/>
      <c r="C120" s="228"/>
      <c r="D120" s="228"/>
    </row>
    <row r="121" spans="2:4" x14ac:dyDescent="0.3">
      <c r="B121" s="228"/>
      <c r="C121" s="228"/>
      <c r="D121" s="228"/>
    </row>
    <row r="122" spans="2:4" x14ac:dyDescent="0.3">
      <c r="B122" s="228"/>
      <c r="C122" s="228"/>
      <c r="D122" s="228"/>
    </row>
    <row r="123" spans="2:4" x14ac:dyDescent="0.3">
      <c r="B123" s="228"/>
      <c r="C123" s="228"/>
      <c r="D123" s="228"/>
    </row>
    <row r="124" spans="2:4" x14ac:dyDescent="0.3">
      <c r="B124" s="228"/>
      <c r="C124" s="228"/>
      <c r="D124" s="228"/>
    </row>
    <row r="125" spans="2:4" x14ac:dyDescent="0.3">
      <c r="B125" s="228"/>
      <c r="C125" s="228"/>
      <c r="D125" s="228"/>
    </row>
    <row r="126" spans="2:4" x14ac:dyDescent="0.3">
      <c r="B126" s="228"/>
      <c r="C126" s="228"/>
      <c r="D126" s="228"/>
    </row>
    <row r="127" spans="2:4" x14ac:dyDescent="0.3">
      <c r="B127" s="228"/>
      <c r="C127" s="228"/>
      <c r="D127" s="228"/>
    </row>
    <row r="128" spans="2:4" x14ac:dyDescent="0.3">
      <c r="B128" s="228"/>
      <c r="C128" s="228"/>
      <c r="D128" s="228"/>
    </row>
    <row r="129" spans="2:4" x14ac:dyDescent="0.3">
      <c r="B129" s="228"/>
      <c r="C129" s="228"/>
      <c r="D129" s="228"/>
    </row>
    <row r="130" spans="2:4" x14ac:dyDescent="0.3">
      <c r="B130" s="228"/>
      <c r="C130" s="228"/>
      <c r="D130" s="228"/>
    </row>
    <row r="131" spans="2:4" x14ac:dyDescent="0.3">
      <c r="B131" s="228"/>
      <c r="C131" s="228"/>
      <c r="D131" s="22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AI100"/>
  <sheetViews>
    <sheetView showGridLines="0" tabSelected="1" topLeftCell="K1" workbookViewId="0">
      <selection activeCell="S18" sqref="S18"/>
    </sheetView>
  </sheetViews>
  <sheetFormatPr defaultRowHeight="15.6" x14ac:dyDescent="0.3"/>
  <cols>
    <col min="1" max="1" width="23.3984375" customWidth="1"/>
    <col min="2" max="3" width="30.69921875" customWidth="1"/>
    <col min="4" max="4" width="13.59765625" customWidth="1"/>
    <col min="5" max="5" width="11.19921875" customWidth="1"/>
    <col min="6" max="6" width="12.19921875" customWidth="1"/>
    <col min="7" max="7" width="15" customWidth="1"/>
    <col min="8" max="8" width="40.69921875" customWidth="1"/>
    <col min="9" max="9" width="30.69921875" customWidth="1"/>
    <col min="10" max="10" width="17.5" style="204" customWidth="1"/>
    <col min="11" max="11" width="13.5" customWidth="1"/>
    <col min="12" max="12" width="11.69921875" customWidth="1"/>
    <col min="13" max="13" width="13.09765625" customWidth="1"/>
    <col min="14" max="14" width="15.19921875" customWidth="1"/>
    <col min="15" max="15" width="13.5" customWidth="1"/>
    <col min="16" max="16" width="11.69921875" customWidth="1"/>
    <col min="17" max="17" width="12.19921875" customWidth="1"/>
    <col min="18" max="18" width="14.19921875" customWidth="1"/>
    <col min="19" max="19" width="13.5" customWidth="1"/>
    <col min="20" max="20" width="11.69921875" customWidth="1"/>
    <col min="21" max="21" width="11.09765625" customWidth="1"/>
    <col min="22" max="22" width="14.5" customWidth="1"/>
    <col min="23" max="23" width="13.5" customWidth="1"/>
    <col min="24" max="24" width="11.69921875" customWidth="1"/>
    <col min="25" max="25" width="11.19921875" customWidth="1"/>
    <col min="26" max="26" width="13.19921875" customWidth="1"/>
    <col min="27" max="27" width="50.59765625" customWidth="1"/>
    <col min="28" max="28" width="34.3984375" customWidth="1"/>
    <col min="29" max="29" width="30.59765625" customWidth="1"/>
    <col min="30" max="30" width="50.59765625" customWidth="1"/>
    <col min="31" max="31" width="16.19921875" hidden="1" customWidth="1"/>
    <col min="32" max="32" width="10.3984375" hidden="1" customWidth="1"/>
    <col min="33" max="33" width="16.69921875" hidden="1" customWidth="1"/>
    <col min="34" max="34" width="22.19921875" hidden="1" customWidth="1"/>
    <col min="35" max="35" width="11.3984375" customWidth="1"/>
    <col min="36" max="36" width="11.8984375" customWidth="1"/>
  </cols>
  <sheetData>
    <row r="1" spans="1:35" x14ac:dyDescent="0.3">
      <c r="A1" s="628" t="str">
        <f ca="1">Translations!A59</f>
        <v>Cadre de performance - Indicateurs de résultats - Section C</v>
      </c>
      <c r="B1" s="629"/>
      <c r="C1" s="629"/>
      <c r="D1" s="629"/>
      <c r="E1" s="629"/>
      <c r="F1" s="629"/>
      <c r="G1" s="629"/>
      <c r="H1" s="630"/>
    </row>
    <row r="2" spans="1:35" ht="16.2" thickBot="1" x14ac:dyDescent="0.35">
      <c r="A2" s="631"/>
      <c r="B2" s="632"/>
      <c r="C2" s="632"/>
      <c r="D2" s="632"/>
      <c r="E2" s="632"/>
      <c r="F2" s="632"/>
      <c r="G2" s="632"/>
      <c r="H2" s="633"/>
    </row>
    <row r="4" spans="1:35" ht="16.2" thickBot="1" x14ac:dyDescent="0.35">
      <c r="G4" s="205" t="s">
        <v>254</v>
      </c>
    </row>
    <row r="5" spans="1:35" ht="16.2" thickBot="1" x14ac:dyDescent="0.35">
      <c r="A5" s="175" t="str">
        <f ca="1">Translations!A12</f>
        <v>Navigation de page</v>
      </c>
      <c r="B5" s="177" t="str">
        <f ca="1">Translations!A48</f>
        <v>Instructions</v>
      </c>
    </row>
    <row r="6" spans="1:35" x14ac:dyDescent="0.3">
      <c r="A6" s="165"/>
      <c r="B6" s="165"/>
      <c r="C6" s="165"/>
      <c r="K6" s="205">
        <v>2</v>
      </c>
      <c r="O6" s="205">
        <v>3</v>
      </c>
      <c r="S6" s="205">
        <v>4</v>
      </c>
      <c r="W6" s="205">
        <v>5</v>
      </c>
    </row>
    <row r="7" spans="1:35" x14ac:dyDescent="0.3">
      <c r="A7" s="634"/>
      <c r="B7" s="634"/>
      <c r="C7" s="634"/>
      <c r="D7" s="634"/>
      <c r="E7" s="634"/>
      <c r="F7" s="634"/>
      <c r="G7" s="634"/>
      <c r="H7" s="634"/>
      <c r="I7" s="634"/>
      <c r="J7" s="634"/>
      <c r="K7" s="595">
        <f ca="1">IFERROR(IF(YEAR(INDEX('Overview - Section A'!$A$46:$A$53,MATCH(K6,'Overview - Section A'!$B$46:$B$53,0)))&lt;=YEAR('Overview - Section A'!$E$11),YEAR(INDEX('Overview - Section A'!$A$46:$A$53,MATCH($K$6,'Overview - Section A'!$B$46:$B$53,0))),""),"")</f>
        <v>2021</v>
      </c>
      <c r="L7" s="596"/>
      <c r="M7" s="596"/>
      <c r="N7" s="597"/>
      <c r="O7" s="595">
        <f ca="1">IFERROR(IF(K7+1&lt;=YEAR('Overview - Section A'!$E$11),K7+1,""),"")</f>
        <v>2022</v>
      </c>
      <c r="P7" s="596"/>
      <c r="Q7" s="596"/>
      <c r="R7" s="597"/>
      <c r="S7" s="595">
        <f ca="1">IFERROR(IF(O7+1&lt;=YEAR('Overview - Section A'!$E$11),O7+1,""),"")</f>
        <v>2023</v>
      </c>
      <c r="T7" s="596"/>
      <c r="U7" s="596"/>
      <c r="V7" s="597"/>
      <c r="W7" s="595" t="str">
        <f ca="1">IFERROR(IF(S7+1&lt;=YEAR('Overview - Section A'!$E$11),S7+1,""),"")</f>
        <v/>
      </c>
      <c r="X7" s="596"/>
      <c r="Y7" s="596"/>
      <c r="Z7" s="597"/>
      <c r="AA7" s="167"/>
      <c r="AB7" s="167"/>
      <c r="AC7" s="167"/>
      <c r="AD7" s="167"/>
    </row>
    <row r="8" spans="1:35" ht="60" customHeight="1" x14ac:dyDescent="0.3">
      <c r="A8" s="245" t="str">
        <f ca="1">Translations!A60&amp;CHAR(10)&amp;Translations!A61&amp;CHAR(10)&amp;Translations!A62</f>
        <v>Résultats 
Indicateur 
Numéro</v>
      </c>
      <c r="B8" s="245" t="str">
        <f ca="1">Translations!A38</f>
        <v>Indicateur standard</v>
      </c>
      <c r="C8" s="245" t="str">
        <f ca="1">Translations!A39</f>
        <v>Indicateur personnalisé</v>
      </c>
      <c r="D8" s="246" t="str">
        <f ca="1">Translations!A40</f>
        <v>Référence #N
Référence #D</v>
      </c>
      <c r="E8" s="245" t="str">
        <f ca="1">Translations!A41</f>
        <v>Référence %</v>
      </c>
      <c r="F8" s="245" t="str">
        <f ca="1">Translations!A42</f>
        <v>Référence Année</v>
      </c>
      <c r="G8" s="245" t="str">
        <f ca="1">Translations!A43</f>
        <v>Référence Source</v>
      </c>
      <c r="H8" s="245" t="str">
        <f ca="1">Translations!A51</f>
        <v>Désaggrégation obligatoire</v>
      </c>
      <c r="I8" s="245" t="str">
        <f ca="1">Translations!A52</f>
        <v xml:space="preserve">Récipiendaire principal responsable </v>
      </c>
      <c r="J8" s="245" t="str">
        <f ca="1">Translations!A53</f>
        <v>Pays</v>
      </c>
      <c r="K8" s="245" t="str">
        <f ca="1">Translations!$A$54&amp;CHAR(10)&amp;Translations!$A$55</f>
        <v>Cible N#
Cible D#</v>
      </c>
      <c r="L8" s="245" t="str">
        <f ca="1">Translations!$A$63</f>
        <v>Cible %</v>
      </c>
      <c r="M8" s="245" t="str">
        <f ca="1">Translations!$A$56</f>
        <v>Date de remise du rapport</v>
      </c>
      <c r="N8" s="245" t="str">
        <f ca="1">Translations!$A$57</f>
        <v>Marquer si la cible est à déterminer “TBD”</v>
      </c>
      <c r="O8" s="245" t="str">
        <f ca="1">Translations!$A$54&amp;CHAR(10)&amp;Translations!$A$55</f>
        <v>Cible N#
Cible D#</v>
      </c>
      <c r="P8" s="245" t="str">
        <f ca="1">Translations!$A$63</f>
        <v>Cible %</v>
      </c>
      <c r="Q8" s="245" t="str">
        <f ca="1">Translations!$A$56</f>
        <v>Date de remise du rapport</v>
      </c>
      <c r="R8" s="245" t="str">
        <f ca="1">Translations!$A$57</f>
        <v>Marquer si la cible est à déterminer “TBD”</v>
      </c>
      <c r="S8" s="245" t="str">
        <f ca="1">Translations!$A$54&amp;CHAR(10)&amp;Translations!$A$55</f>
        <v>Cible N#
Cible D#</v>
      </c>
      <c r="T8" s="245" t="str">
        <f ca="1">Translations!$A$63</f>
        <v>Cible %</v>
      </c>
      <c r="U8" s="245" t="str">
        <f ca="1">Translations!$A$56</f>
        <v>Date de remise du rapport</v>
      </c>
      <c r="V8" s="245" t="str">
        <f ca="1">Translations!$A$57</f>
        <v>Marquer si la cible est à déterminer “TBD”</v>
      </c>
      <c r="W8" s="245" t="str">
        <f ca="1">Translations!$A$54&amp;CHAR(10)&amp;Translations!$A$55</f>
        <v>Cible N#
Cible D#</v>
      </c>
      <c r="X8" s="245" t="str">
        <f ca="1">Translations!$A$63</f>
        <v>Cible %</v>
      </c>
      <c r="Y8" s="245" t="str">
        <f ca="1">Translations!$A$56</f>
        <v>Date de remise du rapport</v>
      </c>
      <c r="Z8" s="245" t="str">
        <f ca="1">Translations!$A$57</f>
        <v>Marquer si la cible est à déterminer “TBD”</v>
      </c>
      <c r="AA8" s="245" t="str">
        <f ca="1">Translations!$A$58</f>
        <v>Commentaires</v>
      </c>
      <c r="AB8" s="245" t="str">
        <f ca="1">Translations!A39 &amp; " (EN)"</f>
        <v>Indicateur personnalisé (EN)</v>
      </c>
      <c r="AC8" s="245" t="str">
        <f ca="1">Translations!A43 &amp; " (EN)"</f>
        <v>Référence Source (EN)</v>
      </c>
      <c r="AD8" s="245" t="str">
        <f ca="1">Translations!A58 &amp; " (EN)"</f>
        <v>Commentaires (EN)</v>
      </c>
      <c r="AG8" t="s">
        <v>1238</v>
      </c>
      <c r="AH8" t="s">
        <v>1239</v>
      </c>
    </row>
    <row r="9" spans="1:35" ht="30" customHeight="1" x14ac:dyDescent="0.3">
      <c r="A9" s="609">
        <v>1</v>
      </c>
      <c r="B9" s="606" t="s">
        <v>1805</v>
      </c>
      <c r="C9" s="606"/>
      <c r="D9" s="196"/>
      <c r="E9" s="573">
        <v>0.60199999999999998</v>
      </c>
      <c r="F9" s="611">
        <v>2017</v>
      </c>
      <c r="G9" s="608" t="s">
        <v>8032</v>
      </c>
      <c r="H9" s="613" t="str">
        <f>AE9</f>
        <v>Age</v>
      </c>
      <c r="I9" s="615" t="s">
        <v>3808</v>
      </c>
      <c r="J9" s="615" t="s">
        <v>1358</v>
      </c>
      <c r="K9" s="196"/>
      <c r="L9" s="617" t="str">
        <f ca="1">IF(OR(INDIRECT("'update Helper'!K"&amp;AG9)=0,K9&lt;&gt;0,K10&lt;&gt;0),IF(IFERROR((K9/K10),"")="","",(K9/K10)),INDIRECT("'update Helper'!K"&amp;AG9)/100)</f>
        <v/>
      </c>
      <c r="M9" s="602"/>
      <c r="N9" s="604"/>
      <c r="O9" s="196"/>
      <c r="P9" s="617" t="str">
        <f ca="1">IF(OR(INDIRECT("'update Helper'!K"&amp;AG9+1)=0,O9&lt;&gt;0,O10&lt;&gt;0),IF(IFERROR((O9/O10),"")="","",(O9/O10)),INDIRECT("'update Helper'!K"&amp;AG9+1)/100)</f>
        <v/>
      </c>
      <c r="Q9" s="602"/>
      <c r="R9" s="604"/>
      <c r="S9" s="196"/>
      <c r="T9" s="617">
        <v>0.75</v>
      </c>
      <c r="U9" s="602">
        <v>45291</v>
      </c>
      <c r="V9" s="604"/>
      <c r="W9" s="196"/>
      <c r="X9" s="617" t="str">
        <f ca="1">IF(OR(INDIRECT("'update Helper'!K"&amp;AG9+3)=0,W9&lt;&gt;0,W10&lt;&gt;0),IF(IFERROR((W9/W10),"")="","",(W9/W10)),INDIRECT("'update Helper'!K"&amp;AG9+3)/100)</f>
        <v/>
      </c>
      <c r="Y9" s="602"/>
      <c r="Z9" s="604"/>
      <c r="AA9" s="606" t="s">
        <v>8035</v>
      </c>
      <c r="AB9" s="606"/>
      <c r="AC9" s="626" t="s">
        <v>8040</v>
      </c>
      <c r="AD9" s="626" t="s">
        <v>8043</v>
      </c>
      <c r="AE9" t="str">
        <f t="array" ref="AE9">IFERROR(IF(INDEX('Reference Records'!$D$21:$D$58,MATCH(LEFT(B9,255),LEFT('Reference Records'!$C$21:$C$58,255),0))=0,"",INDEX('Reference Records'!$D$21:$D$58,MATCH(LEFT(B9,255),LEFT('Reference Records'!$C$21:$C$58,255),0))),"")</f>
        <v>Age</v>
      </c>
      <c r="AF9" t="str">
        <f>B9&amp;C9</f>
        <v>HIV O-4a⁽ᴹ⁾ Pourcentage d’hommes qui indiquent avoir utilisé un préservatif lors de leur dernier rapport anal avec un partenaire occasionel</v>
      </c>
      <c r="AG9" s="208">
        <f>ROW(Outcome_indicators_Targets__section_C)+3</f>
        <v>260</v>
      </c>
      <c r="AH9">
        <f>ROW(Outcome_indicators__section_C)+3</f>
        <v>224</v>
      </c>
      <c r="AI9" t="str">
        <f ca="1">IF(INDIRECT("'update Helper'!U"&amp;AH9)=0,"",IFERROR(VLOOKUP(INDIRECT("'update Helper'!O"&amp;AH9),'Account Role'!A$1:B$28,2,0),IFERROR(VLOOKUP(INDIRECT("'update Helper'!U"&amp;AH9),'Overview - Section A'!J$25:P$90,7,0),"")))</f>
        <v/>
      </c>
    </row>
    <row r="10" spans="1:35" ht="30" customHeight="1" x14ac:dyDescent="0.3">
      <c r="A10" s="610"/>
      <c r="B10" s="607"/>
      <c r="C10" s="607"/>
      <c r="D10" s="196"/>
      <c r="E10" s="574"/>
      <c r="F10" s="612"/>
      <c r="G10" s="607"/>
      <c r="H10" s="614"/>
      <c r="I10" s="616"/>
      <c r="J10" s="616"/>
      <c r="K10" s="196"/>
      <c r="L10" s="618"/>
      <c r="M10" s="603"/>
      <c r="N10" s="605"/>
      <c r="O10" s="196"/>
      <c r="P10" s="618"/>
      <c r="Q10" s="603"/>
      <c r="R10" s="605"/>
      <c r="S10" s="196"/>
      <c r="T10" s="618"/>
      <c r="U10" s="603"/>
      <c r="V10" s="605"/>
      <c r="W10" s="196"/>
      <c r="X10" s="618"/>
      <c r="Y10" s="603"/>
      <c r="Z10" s="605"/>
      <c r="AA10" s="607"/>
      <c r="AB10" s="607"/>
      <c r="AC10" s="627"/>
      <c r="AD10" s="625"/>
      <c r="AG10" s="208"/>
    </row>
    <row r="11" spans="1:35" s="232" customFormat="1" ht="30" customHeight="1" x14ac:dyDescent="0.3">
      <c r="A11" s="609">
        <v>2</v>
      </c>
      <c r="B11" s="606" t="s">
        <v>1821</v>
      </c>
      <c r="C11" s="606"/>
      <c r="D11" s="196"/>
      <c r="E11" s="573">
        <v>0.82</v>
      </c>
      <c r="F11" s="611">
        <v>2017</v>
      </c>
      <c r="G11" s="608" t="s">
        <v>8032</v>
      </c>
      <c r="H11" s="613" t="str">
        <f>AE11</f>
        <v>Sexe,Age</v>
      </c>
      <c r="I11" s="615" t="s">
        <v>3808</v>
      </c>
      <c r="J11" s="615" t="s">
        <v>1358</v>
      </c>
      <c r="K11" s="196"/>
      <c r="L11" s="617" t="str">
        <f t="shared" ref="L11" ca="1" si="0">IF(OR(INDIRECT("'update Helper'!K"&amp;AG11)=0,K11&lt;&gt;0,K12&lt;&gt;0),IF(IFERROR((K11/K12),"")="","",(K11/K12)),INDIRECT("'update Helper'!K"&amp;AG11)/100)</f>
        <v/>
      </c>
      <c r="M11" s="602"/>
      <c r="N11" s="604"/>
      <c r="O11" s="196"/>
      <c r="P11" s="617" t="str">
        <f t="shared" ref="P11" ca="1" si="1">IF(OR(INDIRECT("'update Helper'!K"&amp;AG11+1)=0,O11&lt;&gt;0,O12&lt;&gt;0),IF(IFERROR((O11/O12),"")="","",(O11/O12)),INDIRECT("'update Helper'!K"&amp;AG11+1)/100)</f>
        <v/>
      </c>
      <c r="Q11" s="602"/>
      <c r="R11" s="604"/>
      <c r="S11" s="196"/>
      <c r="T11" s="617">
        <v>0.86</v>
      </c>
      <c r="U11" s="602">
        <v>45291</v>
      </c>
      <c r="V11" s="604"/>
      <c r="W11" s="196"/>
      <c r="X11" s="617" t="str">
        <f t="shared" ref="X11" ca="1" si="2">IF(OR(INDIRECT("'update Helper'!K"&amp;AG11+3)=0,W11&lt;&gt;0,W12&lt;&gt;0),IF(IFERROR((W11/W12),"")="","",(W11/W12)),INDIRECT("'update Helper'!K"&amp;AG11+3)/100)</f>
        <v/>
      </c>
      <c r="Y11" s="602"/>
      <c r="Z11" s="604"/>
      <c r="AA11" s="606" t="s">
        <v>8036</v>
      </c>
      <c r="AB11" s="606"/>
      <c r="AC11" s="626" t="s">
        <v>8040</v>
      </c>
      <c r="AD11" s="626" t="s">
        <v>8044</v>
      </c>
      <c r="AE11" s="232" t="str">
        <f t="array" ref="AE11">IFERROR(IF(INDEX('Reference Records'!$D$21:$D$58,MATCH(LEFT(B11,255),LEFT('Reference Records'!$C$21:$C$58,255),0))=0,"",INDEX('Reference Records'!$D$21:$D$58,MATCH(LEFT(B11,255),LEFT('Reference Records'!$C$21:$C$58,255),0))),"")</f>
        <v>Sexe,Age</v>
      </c>
      <c r="AF11" s="232" t="str">
        <f>B11&amp;C11</f>
        <v>HIV O-5⁽ᴹ⁾ Pourcentage de professionnels du sexe qui indiquent avoir utilisé un préservatif avec leur dernier client</v>
      </c>
      <c r="AG11" s="208">
        <f ca="1">AG9+'update Helper'!$X$2</f>
        <v>266</v>
      </c>
      <c r="AH11" s="232">
        <f>AH9+1</f>
        <v>225</v>
      </c>
      <c r="AI11" s="232" t="str">
        <f ca="1">IF(INDIRECT("'update Helper'!U"&amp;AH11)=0,"",IFERROR(VLOOKUP(INDIRECT("'update Helper'!O"&amp;AH11),'Account Role'!A$1:B$28,2,0),IFERROR(VLOOKUP(INDIRECT("'update Helper'!U"&amp;AH11),'Overview - Section A'!J$25:P$90,7,0),"")))</f>
        <v/>
      </c>
    </row>
    <row r="12" spans="1:35" s="232" customFormat="1" ht="30" customHeight="1" x14ac:dyDescent="0.3">
      <c r="A12" s="610"/>
      <c r="B12" s="607"/>
      <c r="C12" s="607"/>
      <c r="D12" s="196"/>
      <c r="E12" s="574"/>
      <c r="F12" s="612"/>
      <c r="G12" s="607"/>
      <c r="H12" s="614"/>
      <c r="I12" s="616"/>
      <c r="J12" s="616"/>
      <c r="K12" s="196"/>
      <c r="L12" s="618"/>
      <c r="M12" s="603"/>
      <c r="N12" s="605"/>
      <c r="O12" s="196"/>
      <c r="P12" s="618"/>
      <c r="Q12" s="603"/>
      <c r="R12" s="605"/>
      <c r="S12" s="196"/>
      <c r="T12" s="618"/>
      <c r="U12" s="603"/>
      <c r="V12" s="605"/>
      <c r="W12" s="196"/>
      <c r="X12" s="618"/>
      <c r="Y12" s="603"/>
      <c r="Z12" s="605"/>
      <c r="AA12" s="607"/>
      <c r="AB12" s="607"/>
      <c r="AC12" s="627"/>
      <c r="AD12" s="625"/>
      <c r="AG12" s="208"/>
    </row>
    <row r="13" spans="1:35" s="232" customFormat="1" ht="30" customHeight="1" x14ac:dyDescent="0.3">
      <c r="A13" s="609">
        <v>3</v>
      </c>
      <c r="B13" s="606" t="s">
        <v>1873</v>
      </c>
      <c r="C13" s="606"/>
      <c r="D13" s="196">
        <v>191364</v>
      </c>
      <c r="E13" s="573">
        <f t="shared" ref="E13" ca="1" si="3">IF(OR(INDIRECT("'update Helper'!D"&amp;AH13)=0,D13&lt;&gt;0,D14&lt;&gt;0),IF(IFERROR((D13/D14),"")="","",(D13/D14)),INDIRECT("'update Helper'!D"&amp;AH13)/100)</f>
        <v>0.71103349620079137</v>
      </c>
      <c r="F13" s="611">
        <v>2019</v>
      </c>
      <c r="G13" s="608" t="s">
        <v>8033</v>
      </c>
      <c r="H13" s="613" t="str">
        <f>AE13</f>
        <v>Sexe</v>
      </c>
      <c r="I13" s="615" t="s">
        <v>3808</v>
      </c>
      <c r="J13" s="615" t="s">
        <v>1358</v>
      </c>
      <c r="K13" s="196"/>
      <c r="L13" s="617">
        <v>0.78300000000000003</v>
      </c>
      <c r="M13" s="602">
        <v>44561</v>
      </c>
      <c r="N13" s="604"/>
      <c r="O13" s="196"/>
      <c r="P13" s="617">
        <v>0.82</v>
      </c>
      <c r="Q13" s="602">
        <v>44926</v>
      </c>
      <c r="R13" s="604"/>
      <c r="S13" s="196"/>
      <c r="T13" s="617">
        <v>0.85599999999999998</v>
      </c>
      <c r="U13" s="602">
        <v>45291</v>
      </c>
      <c r="V13" s="604"/>
      <c r="W13" s="196"/>
      <c r="X13" s="617" t="str">
        <f t="shared" ref="X13" ca="1" si="4">IF(OR(INDIRECT("'update Helper'!K"&amp;AG13+3)=0,W13&lt;&gt;0,W14&lt;&gt;0),IF(IFERROR((W13/W14),"")="","",(W13/W14)),INDIRECT("'update Helper'!K"&amp;AG13+3)/100)</f>
        <v/>
      </c>
      <c r="Y13" s="602"/>
      <c r="Z13" s="604"/>
      <c r="AA13" s="606" t="s">
        <v>8037</v>
      </c>
      <c r="AB13" s="606"/>
      <c r="AC13" s="624" t="s">
        <v>8041</v>
      </c>
      <c r="AD13" s="626" t="s">
        <v>8045</v>
      </c>
      <c r="AE13" s="232" t="str">
        <f t="array" ref="AE13">IFERROR(IF(INDEX('Reference Records'!$D$21:$D$58,MATCH(LEFT(B13,255),LEFT('Reference Records'!$C$21:$C$58,255),0))=0,"",INDEX('Reference Records'!$D$21:$D$58,MATCH(LEFT(B13,255),LEFT('Reference Records'!$C$21:$C$58,255),0))),"")</f>
        <v>Sexe</v>
      </c>
      <c r="AF13" s="232" t="str">
        <f>B13&amp;C13</f>
        <v>HIV O-12 Pourcentage de personnes vivant avec le VIH sous traitement antirétroviral qui ont une charge virale indétectable</v>
      </c>
      <c r="AG13" s="208">
        <f ca="1">AG11+'update Helper'!$X$2</f>
        <v>272</v>
      </c>
      <c r="AH13" s="232">
        <f t="shared" ref="AH13" si="5">AH11+1</f>
        <v>226</v>
      </c>
      <c r="AI13" s="232" t="str">
        <f ca="1">IF(INDIRECT("'update Helper'!U"&amp;AH13)=0,"",IFERROR(VLOOKUP(INDIRECT("'update Helper'!O"&amp;AH13),'Account Role'!A$1:B$28,2,0),IFERROR(VLOOKUP(INDIRECT("'update Helper'!U"&amp;AH13),'Overview - Section A'!J$25:P$90,7,0),"")))</f>
        <v/>
      </c>
    </row>
    <row r="14" spans="1:35" s="232" customFormat="1" ht="30" customHeight="1" x14ac:dyDescent="0.3">
      <c r="A14" s="610"/>
      <c r="B14" s="607"/>
      <c r="C14" s="607"/>
      <c r="D14" s="196">
        <v>269135</v>
      </c>
      <c r="E14" s="574"/>
      <c r="F14" s="612"/>
      <c r="G14" s="607"/>
      <c r="H14" s="614"/>
      <c r="I14" s="616"/>
      <c r="J14" s="616"/>
      <c r="K14" s="196"/>
      <c r="L14" s="618"/>
      <c r="M14" s="603"/>
      <c r="N14" s="605"/>
      <c r="O14" s="196"/>
      <c r="P14" s="618"/>
      <c r="Q14" s="603"/>
      <c r="R14" s="605"/>
      <c r="S14" s="196"/>
      <c r="T14" s="618"/>
      <c r="U14" s="603"/>
      <c r="V14" s="605"/>
      <c r="W14" s="196"/>
      <c r="X14" s="618"/>
      <c r="Y14" s="603"/>
      <c r="Z14" s="605"/>
      <c r="AA14" s="607"/>
      <c r="AB14" s="607"/>
      <c r="AC14" s="625"/>
      <c r="AD14" s="625"/>
      <c r="AG14" s="208"/>
    </row>
    <row r="15" spans="1:35" s="232" customFormat="1" ht="30" customHeight="1" x14ac:dyDescent="0.3">
      <c r="A15" s="609">
        <v>4</v>
      </c>
      <c r="B15" s="606"/>
      <c r="C15" s="606" t="s">
        <v>8031</v>
      </c>
      <c r="D15" s="196">
        <v>535</v>
      </c>
      <c r="E15" s="573">
        <f t="shared" ref="E15" ca="1" si="6">IF(OR(INDIRECT("'update Helper'!D"&amp;AH15)=0,D15&lt;&gt;0,D16&lt;&gt;0),IF(IFERROR((D15/D16),"")="","",(D15/D16)),INDIRECT("'update Helper'!D"&amp;AH15)/100)</f>
        <v>0.40438397581254726</v>
      </c>
      <c r="F15" s="611">
        <v>2016</v>
      </c>
      <c r="G15" s="608" t="s">
        <v>8034</v>
      </c>
      <c r="H15" s="613" t="str">
        <f>AE15</f>
        <v/>
      </c>
      <c r="I15" s="615" t="s">
        <v>3804</v>
      </c>
      <c r="J15" s="615" t="s">
        <v>1358</v>
      </c>
      <c r="K15" s="196"/>
      <c r="L15" s="617">
        <v>0.25</v>
      </c>
      <c r="M15" s="602">
        <v>44377</v>
      </c>
      <c r="N15" s="604"/>
      <c r="O15" s="196"/>
      <c r="P15" s="617" t="str">
        <f t="shared" ref="P15" ca="1" si="7">IF(OR(INDIRECT("'update Helper'!K"&amp;AG15+1)=0,O15&lt;&gt;0,O16&lt;&gt;0),IF(IFERROR((O15/O16),"")="","",(O15/O16)),INDIRECT("'update Helper'!K"&amp;AG15+1)/100)</f>
        <v/>
      </c>
      <c r="Q15" s="602"/>
      <c r="R15" s="604"/>
      <c r="S15" s="196"/>
      <c r="T15" s="617">
        <v>0.18</v>
      </c>
      <c r="U15" s="602">
        <v>45291</v>
      </c>
      <c r="V15" s="604"/>
      <c r="W15" s="196"/>
      <c r="X15" s="617" t="str">
        <f t="shared" ref="X15" ca="1" si="8">IF(OR(INDIRECT("'update Helper'!K"&amp;AG15+3)=0,W15&lt;&gt;0,W16&lt;&gt;0),IF(IFERROR((W15/W16),"")="","",(W15/W16)),INDIRECT("'update Helper'!K"&amp;AG15+3)/100)</f>
        <v/>
      </c>
      <c r="Y15" s="602"/>
      <c r="Z15" s="604"/>
      <c r="AA15" s="606" t="s">
        <v>8038</v>
      </c>
      <c r="AB15" s="619" t="s">
        <v>8039</v>
      </c>
      <c r="AC15" s="621" t="s">
        <v>8042</v>
      </c>
      <c r="AD15" s="623" t="s">
        <v>8046</v>
      </c>
      <c r="AE15" s="232" t="str">
        <f t="array" ref="AE15">IFERROR(IF(INDEX('Reference Records'!$D$21:$D$58,MATCH(LEFT(B15,255),LEFT('Reference Records'!$C$21:$C$58,255),0))=0,"",INDEX('Reference Records'!$D$21:$D$58,MATCH(LEFT(B15,255),LEFT('Reference Records'!$C$21:$C$58,255),0))),"")</f>
        <v/>
      </c>
      <c r="AF15" s="232" t="str">
        <f>B15&amp;C15</f>
        <v xml:space="preserve">HIV O-15-Other1: Pourcentage de personnes vivant avec le VIH déclarant avoir été victimes de discrimination liée au VIH </v>
      </c>
      <c r="AG15" s="208">
        <f ca="1">AG13+'update Helper'!$X$2</f>
        <v>278</v>
      </c>
      <c r="AH15" s="232">
        <f t="shared" ref="AH15" si="9">AH13+1</f>
        <v>227</v>
      </c>
      <c r="AI15" s="232" t="str">
        <f ca="1">IF(INDIRECT("'update Helper'!U"&amp;AH15)=0,"",IFERROR(VLOOKUP(INDIRECT("'update Helper'!O"&amp;AH15),'Account Role'!A$1:B$28,2,0),IFERROR(VLOOKUP(INDIRECT("'update Helper'!U"&amp;AH15),'Overview - Section A'!J$25:P$90,7,0),"")))</f>
        <v/>
      </c>
    </row>
    <row r="16" spans="1:35" s="232" customFormat="1" ht="30" customHeight="1" x14ac:dyDescent="0.3">
      <c r="A16" s="610"/>
      <c r="B16" s="607"/>
      <c r="C16" s="607"/>
      <c r="D16" s="196">
        <v>1323</v>
      </c>
      <c r="E16" s="574"/>
      <c r="F16" s="612"/>
      <c r="G16" s="607"/>
      <c r="H16" s="614"/>
      <c r="I16" s="616"/>
      <c r="J16" s="616"/>
      <c r="K16" s="196"/>
      <c r="L16" s="618"/>
      <c r="M16" s="603"/>
      <c r="N16" s="605"/>
      <c r="O16" s="196"/>
      <c r="P16" s="618"/>
      <c r="Q16" s="603"/>
      <c r="R16" s="605"/>
      <c r="S16" s="196"/>
      <c r="T16" s="618"/>
      <c r="U16" s="603"/>
      <c r="V16" s="605"/>
      <c r="W16" s="196"/>
      <c r="X16" s="618"/>
      <c r="Y16" s="603"/>
      <c r="Z16" s="605"/>
      <c r="AA16" s="607"/>
      <c r="AB16" s="620"/>
      <c r="AC16" s="622"/>
      <c r="AD16" s="622"/>
      <c r="AG16" s="208"/>
    </row>
    <row r="17" spans="1:35" s="232" customFormat="1" ht="30" customHeight="1" x14ac:dyDescent="0.3">
      <c r="A17" s="609">
        <v>5</v>
      </c>
      <c r="B17" s="606"/>
      <c r="C17" s="606"/>
      <c r="D17" s="196"/>
      <c r="E17" s="573" t="str">
        <f t="shared" ref="E17" ca="1" si="10">IF(OR(INDIRECT("'update Helper'!D"&amp;AH17)=0,D17&lt;&gt;0,D18&lt;&gt;0),IF(IFERROR((D17/D18),"")="","",(D17/D18)),INDIRECT("'update Helper'!D"&amp;AH17)/100)</f>
        <v/>
      </c>
      <c r="F17" s="611"/>
      <c r="G17" s="608"/>
      <c r="H17" s="613" t="str">
        <f>AE17</f>
        <v/>
      </c>
      <c r="I17" s="615"/>
      <c r="J17" s="615"/>
      <c r="K17" s="196"/>
      <c r="L17" s="617" t="str">
        <f t="shared" ref="L17" ca="1" si="11">IF(OR(INDIRECT("'update Helper'!K"&amp;AG17)=0,K17&lt;&gt;0,K18&lt;&gt;0),IF(IFERROR((K17/K18),"")="","",(K17/K18)),INDIRECT("'update Helper'!K"&amp;AG17)/100)</f>
        <v/>
      </c>
      <c r="M17" s="602"/>
      <c r="N17" s="604"/>
      <c r="O17" s="196"/>
      <c r="P17" s="617" t="str">
        <f t="shared" ref="P17" ca="1" si="12">IF(OR(INDIRECT("'update Helper'!K"&amp;AG17+1)=0,O17&lt;&gt;0,O18&lt;&gt;0),IF(IFERROR((O17/O18),"")="","",(O17/O18)),INDIRECT("'update Helper'!K"&amp;AG17+1)/100)</f>
        <v/>
      </c>
      <c r="Q17" s="602"/>
      <c r="R17" s="604"/>
      <c r="S17" s="196"/>
      <c r="T17" s="617" t="str">
        <f t="shared" ref="T17" ca="1" si="13">IF(OR(INDIRECT("'update Helper'!K"&amp;AG17+2)=0,S17&lt;&gt;0,S18&lt;&gt;0),IF(IFERROR((S17/S18),"")="","",(S17/S18)),INDIRECT("'update Helper'!K"&amp;AG17+2)/100)</f>
        <v/>
      </c>
      <c r="U17" s="602"/>
      <c r="V17" s="604"/>
      <c r="W17" s="196"/>
      <c r="X17" s="617" t="str">
        <f t="shared" ref="X17" ca="1" si="14">IF(OR(INDIRECT("'update Helper'!K"&amp;AG17+3)=0,W17&lt;&gt;0,W18&lt;&gt;0),IF(IFERROR((W17/W18),"")="","",(W17/W18)),INDIRECT("'update Helper'!K"&amp;AG17+3)/100)</f>
        <v/>
      </c>
      <c r="Y17" s="602"/>
      <c r="Z17" s="604"/>
      <c r="AA17" s="606"/>
      <c r="AB17" s="606"/>
      <c r="AC17" s="608"/>
      <c r="AD17" s="606"/>
      <c r="AE17" s="232" t="str">
        <f t="array" ref="AE17">IFERROR(IF(INDEX('Reference Records'!$D$21:$D$58,MATCH(LEFT(B17,255),LEFT('Reference Records'!$C$21:$C$58,255),0))=0,"",INDEX('Reference Records'!$D$21:$D$58,MATCH(LEFT(B17,255),LEFT('Reference Records'!$C$21:$C$58,255),0))),"")</f>
        <v/>
      </c>
      <c r="AF17" s="232" t="str">
        <f>B17&amp;C17</f>
        <v/>
      </c>
      <c r="AG17" s="208">
        <f ca="1">AG15+'update Helper'!$X$2</f>
        <v>284</v>
      </c>
      <c r="AH17" s="232">
        <f t="shared" ref="AH17" si="15">AH15+1</f>
        <v>228</v>
      </c>
      <c r="AI17" s="232" t="str">
        <f ca="1">IF(INDIRECT("'update Helper'!U"&amp;AH17)=0,"",IFERROR(VLOOKUP(INDIRECT("'update Helper'!O"&amp;AH17),'Account Role'!A$1:B$28,2,0),IFERROR(VLOOKUP(INDIRECT("'update Helper'!U"&amp;AH17),'Overview - Section A'!J$25:P$90,7,0),"")))</f>
        <v/>
      </c>
    </row>
    <row r="18" spans="1:35" s="232" customFormat="1" ht="30" customHeight="1" x14ac:dyDescent="0.3">
      <c r="A18" s="610"/>
      <c r="B18" s="607"/>
      <c r="C18" s="607"/>
      <c r="D18" s="196"/>
      <c r="E18" s="574"/>
      <c r="F18" s="612"/>
      <c r="G18" s="607"/>
      <c r="H18" s="614"/>
      <c r="I18" s="616"/>
      <c r="J18" s="616"/>
      <c r="K18" s="196"/>
      <c r="L18" s="618"/>
      <c r="M18" s="603"/>
      <c r="N18" s="605"/>
      <c r="O18" s="196"/>
      <c r="P18" s="618"/>
      <c r="Q18" s="603"/>
      <c r="R18" s="605"/>
      <c r="S18" s="196"/>
      <c r="T18" s="618"/>
      <c r="U18" s="603"/>
      <c r="V18" s="605"/>
      <c r="W18" s="196"/>
      <c r="X18" s="618"/>
      <c r="Y18" s="603"/>
      <c r="Z18" s="605"/>
      <c r="AA18" s="607"/>
      <c r="AB18" s="607"/>
      <c r="AC18" s="607"/>
      <c r="AD18" s="607"/>
      <c r="AG18" s="208"/>
    </row>
    <row r="19" spans="1:35" s="232" customFormat="1" ht="30" customHeight="1" x14ac:dyDescent="0.3">
      <c r="A19" s="609">
        <v>6</v>
      </c>
      <c r="B19" s="606"/>
      <c r="C19" s="606"/>
      <c r="D19" s="196"/>
      <c r="E19" s="573" t="str">
        <f t="shared" ref="E19" ca="1" si="16">IF(OR(INDIRECT("'update Helper'!D"&amp;AH19)=0,D19&lt;&gt;0,D20&lt;&gt;0),IF(IFERROR((D19/D20),"")="","",(D19/D20)),INDIRECT("'update Helper'!D"&amp;AH19)/100)</f>
        <v/>
      </c>
      <c r="F19" s="611"/>
      <c r="G19" s="608"/>
      <c r="H19" s="613" t="str">
        <f>AE19</f>
        <v/>
      </c>
      <c r="I19" s="615"/>
      <c r="J19" s="615"/>
      <c r="K19" s="196"/>
      <c r="L19" s="617" t="str">
        <f t="shared" ref="L19" ca="1" si="17">IF(OR(INDIRECT("'update Helper'!K"&amp;AG19)=0,K19&lt;&gt;0,K20&lt;&gt;0),IF(IFERROR((K19/K20),"")="","",(K19/K20)),INDIRECT("'update Helper'!K"&amp;AG19)/100)</f>
        <v/>
      </c>
      <c r="M19" s="602"/>
      <c r="N19" s="604"/>
      <c r="O19" s="196"/>
      <c r="P19" s="617" t="str">
        <f t="shared" ref="P19" ca="1" si="18">IF(OR(INDIRECT("'update Helper'!K"&amp;AG19+1)=0,O19&lt;&gt;0,O20&lt;&gt;0),IF(IFERROR((O19/O20),"")="","",(O19/O20)),INDIRECT("'update Helper'!K"&amp;AG19+1)/100)</f>
        <v/>
      </c>
      <c r="Q19" s="602"/>
      <c r="R19" s="604"/>
      <c r="S19" s="196"/>
      <c r="T19" s="617" t="str">
        <f t="shared" ref="T19" ca="1" si="19">IF(OR(INDIRECT("'update Helper'!K"&amp;AG19+2)=0,S19&lt;&gt;0,S20&lt;&gt;0),IF(IFERROR((S19/S20),"")="","",(S19/S20)),INDIRECT("'update Helper'!K"&amp;AG19+2)/100)</f>
        <v/>
      </c>
      <c r="U19" s="602"/>
      <c r="V19" s="604"/>
      <c r="W19" s="196"/>
      <c r="X19" s="617" t="str">
        <f t="shared" ref="X19" ca="1" si="20">IF(OR(INDIRECT("'update Helper'!K"&amp;AG19+3)=0,W19&lt;&gt;0,W20&lt;&gt;0),IF(IFERROR((W19/W20),"")="","",(W19/W20)),INDIRECT("'update Helper'!K"&amp;AG19+3)/100)</f>
        <v/>
      </c>
      <c r="Y19" s="602"/>
      <c r="Z19" s="604"/>
      <c r="AA19" s="606"/>
      <c r="AB19" s="606"/>
      <c r="AC19" s="608"/>
      <c r="AD19" s="606"/>
      <c r="AE19" s="232" t="str">
        <f t="array" ref="AE19">IFERROR(IF(INDEX('Reference Records'!$D$21:$D$58,MATCH(LEFT(B19,255),LEFT('Reference Records'!$C$21:$C$58,255),0))=0,"",INDEX('Reference Records'!$D$21:$D$58,MATCH(LEFT(B19,255),LEFT('Reference Records'!$C$21:$C$58,255),0))),"")</f>
        <v/>
      </c>
      <c r="AF19" s="232" t="str">
        <f>B19&amp;C19</f>
        <v/>
      </c>
      <c r="AG19" s="208">
        <f ca="1">AG17+'update Helper'!$X$2</f>
        <v>290</v>
      </c>
      <c r="AH19" s="232">
        <f t="shared" ref="AH19" si="21">AH17+1</f>
        <v>229</v>
      </c>
      <c r="AI19" s="232" t="str">
        <f ca="1">IF(INDIRECT("'update Helper'!U"&amp;AH19)=0,"",IFERROR(VLOOKUP(INDIRECT("'update Helper'!O"&amp;AH19),'Account Role'!A$1:B$28,2,0),IFERROR(VLOOKUP(INDIRECT("'update Helper'!U"&amp;AH19),'Overview - Section A'!J$25:P$90,7,0),"")))</f>
        <v/>
      </c>
    </row>
    <row r="20" spans="1:35" s="232" customFormat="1" ht="30" customHeight="1" x14ac:dyDescent="0.3">
      <c r="A20" s="610"/>
      <c r="B20" s="607"/>
      <c r="C20" s="607"/>
      <c r="D20" s="196"/>
      <c r="E20" s="574"/>
      <c r="F20" s="612"/>
      <c r="G20" s="607"/>
      <c r="H20" s="614"/>
      <c r="I20" s="616"/>
      <c r="J20" s="616"/>
      <c r="K20" s="196"/>
      <c r="L20" s="618"/>
      <c r="M20" s="603"/>
      <c r="N20" s="605"/>
      <c r="O20" s="196"/>
      <c r="P20" s="618"/>
      <c r="Q20" s="603"/>
      <c r="R20" s="605"/>
      <c r="S20" s="196"/>
      <c r="T20" s="618"/>
      <c r="U20" s="603"/>
      <c r="V20" s="605"/>
      <c r="W20" s="196"/>
      <c r="X20" s="618"/>
      <c r="Y20" s="603"/>
      <c r="Z20" s="605"/>
      <c r="AA20" s="607"/>
      <c r="AB20" s="607"/>
      <c r="AC20" s="607"/>
      <c r="AD20" s="607"/>
      <c r="AG20" s="208"/>
    </row>
    <row r="21" spans="1:35" s="232" customFormat="1" ht="30" customHeight="1" x14ac:dyDescent="0.3">
      <c r="A21" s="609">
        <v>7</v>
      </c>
      <c r="B21" s="606"/>
      <c r="C21" s="606"/>
      <c r="D21" s="196"/>
      <c r="E21" s="573" t="str">
        <f t="shared" ref="E21" ca="1" si="22">IF(OR(INDIRECT("'update Helper'!D"&amp;AH21)=0,D21&lt;&gt;0,D22&lt;&gt;0),IF(IFERROR((D21/D22),"")="","",(D21/D22)),INDIRECT("'update Helper'!D"&amp;AH21)/100)</f>
        <v/>
      </c>
      <c r="F21" s="611"/>
      <c r="G21" s="608"/>
      <c r="H21" s="613" t="str">
        <f>AE21</f>
        <v/>
      </c>
      <c r="I21" s="615"/>
      <c r="J21" s="615"/>
      <c r="K21" s="196"/>
      <c r="L21" s="617" t="str">
        <f t="shared" ref="L21" ca="1" si="23">IF(OR(INDIRECT("'update Helper'!K"&amp;AG21)=0,K21&lt;&gt;0,K22&lt;&gt;0),IF(IFERROR((K21/K22),"")="","",(K21/K22)),INDIRECT("'update Helper'!K"&amp;AG21)/100)</f>
        <v/>
      </c>
      <c r="M21" s="602"/>
      <c r="N21" s="604"/>
      <c r="O21" s="196"/>
      <c r="P21" s="617" t="str">
        <f t="shared" ref="P21" ca="1" si="24">IF(OR(INDIRECT("'update Helper'!K"&amp;AG21+1)=0,O21&lt;&gt;0,O22&lt;&gt;0),IF(IFERROR((O21/O22),"")="","",(O21/O22)),INDIRECT("'update Helper'!K"&amp;AG21+1)/100)</f>
        <v/>
      </c>
      <c r="Q21" s="602"/>
      <c r="R21" s="604"/>
      <c r="S21" s="196"/>
      <c r="T21" s="617" t="str">
        <f t="shared" ref="T21" ca="1" si="25">IF(OR(INDIRECT("'update Helper'!K"&amp;AG21+2)=0,S21&lt;&gt;0,S22&lt;&gt;0),IF(IFERROR((S21/S22),"")="","",(S21/S22)),INDIRECT("'update Helper'!K"&amp;AG21+2)/100)</f>
        <v/>
      </c>
      <c r="U21" s="602"/>
      <c r="V21" s="604"/>
      <c r="W21" s="196"/>
      <c r="X21" s="617" t="str">
        <f t="shared" ref="X21" ca="1" si="26">IF(OR(INDIRECT("'update Helper'!K"&amp;AG21+3)=0,W21&lt;&gt;0,W22&lt;&gt;0),IF(IFERROR((W21/W22),"")="","",(W21/W22)),INDIRECT("'update Helper'!K"&amp;AG21+3)/100)</f>
        <v/>
      </c>
      <c r="Y21" s="602"/>
      <c r="Z21" s="604"/>
      <c r="AA21" s="606"/>
      <c r="AB21" s="606"/>
      <c r="AC21" s="608"/>
      <c r="AD21" s="606"/>
      <c r="AE21" s="232" t="str">
        <f t="array" ref="AE21">IFERROR(IF(INDEX('Reference Records'!$D$21:$D$58,MATCH(LEFT(B21,255),LEFT('Reference Records'!$C$21:$C$58,255),0))=0,"",INDEX('Reference Records'!$D$21:$D$58,MATCH(LEFT(B21,255),LEFT('Reference Records'!$C$21:$C$58,255),0))),"")</f>
        <v/>
      </c>
      <c r="AF21" s="232" t="str">
        <f>B21&amp;C21</f>
        <v/>
      </c>
      <c r="AG21" s="208">
        <f ca="1">AG19+'update Helper'!$X$2</f>
        <v>296</v>
      </c>
      <c r="AH21" s="232">
        <f t="shared" ref="AH21" si="27">AH19+1</f>
        <v>230</v>
      </c>
      <c r="AI21" s="232" t="str">
        <f ca="1">IF(INDIRECT("'update Helper'!U"&amp;AH21)=0,"",IFERROR(VLOOKUP(INDIRECT("'update Helper'!O"&amp;AH21),'Account Role'!A$1:B$28,2,0),IFERROR(VLOOKUP(INDIRECT("'update Helper'!U"&amp;AH21),'Overview - Section A'!J$25:P$90,7,0),"")))</f>
        <v/>
      </c>
    </row>
    <row r="22" spans="1:35" s="232" customFormat="1" ht="30" customHeight="1" x14ac:dyDescent="0.3">
      <c r="A22" s="610"/>
      <c r="B22" s="607"/>
      <c r="C22" s="607"/>
      <c r="D22" s="196"/>
      <c r="E22" s="574"/>
      <c r="F22" s="612"/>
      <c r="G22" s="607"/>
      <c r="H22" s="614"/>
      <c r="I22" s="616"/>
      <c r="J22" s="616"/>
      <c r="K22" s="196"/>
      <c r="L22" s="618"/>
      <c r="M22" s="603"/>
      <c r="N22" s="605"/>
      <c r="O22" s="196"/>
      <c r="P22" s="618"/>
      <c r="Q22" s="603"/>
      <c r="R22" s="605"/>
      <c r="S22" s="196"/>
      <c r="T22" s="618"/>
      <c r="U22" s="603"/>
      <c r="V22" s="605"/>
      <c r="W22" s="196"/>
      <c r="X22" s="618"/>
      <c r="Y22" s="603"/>
      <c r="Z22" s="605"/>
      <c r="AA22" s="607"/>
      <c r="AB22" s="607"/>
      <c r="AC22" s="607"/>
      <c r="AD22" s="607"/>
      <c r="AG22" s="208"/>
    </row>
    <row r="23" spans="1:35" s="232" customFormat="1" ht="30" customHeight="1" x14ac:dyDescent="0.3">
      <c r="A23" s="609">
        <v>8</v>
      </c>
      <c r="B23" s="606"/>
      <c r="C23" s="606"/>
      <c r="D23" s="196"/>
      <c r="E23" s="573" t="str">
        <f t="shared" ref="E23" ca="1" si="28">IF(OR(INDIRECT("'update Helper'!D"&amp;AH23)=0,D23&lt;&gt;0,D24&lt;&gt;0),IF(IFERROR((D23/D24),"")="","",(D23/D24)),INDIRECT("'update Helper'!D"&amp;AH23)/100)</f>
        <v/>
      </c>
      <c r="F23" s="611"/>
      <c r="G23" s="608"/>
      <c r="H23" s="613" t="str">
        <f>AE23</f>
        <v/>
      </c>
      <c r="I23" s="615"/>
      <c r="J23" s="615"/>
      <c r="K23" s="196"/>
      <c r="L23" s="617" t="str">
        <f t="shared" ref="L23" ca="1" si="29">IF(OR(INDIRECT("'update Helper'!K"&amp;AG23)=0,K23&lt;&gt;0,K24&lt;&gt;0),IF(IFERROR((K23/K24),"")="","",(K23/K24)),INDIRECT("'update Helper'!K"&amp;AG23)/100)</f>
        <v/>
      </c>
      <c r="M23" s="602"/>
      <c r="N23" s="604"/>
      <c r="O23" s="196"/>
      <c r="P23" s="617" t="str">
        <f t="shared" ref="P23" ca="1" si="30">IF(OR(INDIRECT("'update Helper'!K"&amp;AG23+1)=0,O23&lt;&gt;0,O24&lt;&gt;0),IF(IFERROR((O23/O24),"")="","",(O23/O24)),INDIRECT("'update Helper'!K"&amp;AG23+1)/100)</f>
        <v/>
      </c>
      <c r="Q23" s="602"/>
      <c r="R23" s="604"/>
      <c r="S23" s="196"/>
      <c r="T23" s="617" t="str">
        <f t="shared" ref="T23" ca="1" si="31">IF(OR(INDIRECT("'update Helper'!K"&amp;AG23+2)=0,S23&lt;&gt;0,S24&lt;&gt;0),IF(IFERROR((S23/S24),"")="","",(S23/S24)),INDIRECT("'update Helper'!K"&amp;AG23+2)/100)</f>
        <v/>
      </c>
      <c r="U23" s="602"/>
      <c r="V23" s="604"/>
      <c r="W23" s="196"/>
      <c r="X23" s="617" t="str">
        <f t="shared" ref="X23" ca="1" si="32">IF(OR(INDIRECT("'update Helper'!K"&amp;AG23+3)=0,W23&lt;&gt;0,W24&lt;&gt;0),IF(IFERROR((W23/W24),"")="","",(W23/W24)),INDIRECT("'update Helper'!K"&amp;AG23+3)/100)</f>
        <v/>
      </c>
      <c r="Y23" s="602"/>
      <c r="Z23" s="604"/>
      <c r="AA23" s="606"/>
      <c r="AB23" s="606"/>
      <c r="AC23" s="608"/>
      <c r="AD23" s="606"/>
      <c r="AE23" s="232" t="str">
        <f t="array" ref="AE23">IFERROR(IF(INDEX('Reference Records'!$D$21:$D$58,MATCH(LEFT(B23,255),LEFT('Reference Records'!$C$21:$C$58,255),0))=0,"",INDEX('Reference Records'!$D$21:$D$58,MATCH(LEFT(B23,255),LEFT('Reference Records'!$C$21:$C$58,255),0))),"")</f>
        <v/>
      </c>
      <c r="AF23" s="232" t="str">
        <f>B23&amp;C23</f>
        <v/>
      </c>
      <c r="AG23" s="208">
        <f ca="1">AG21+'update Helper'!$X$2</f>
        <v>302</v>
      </c>
      <c r="AH23" s="232">
        <f t="shared" ref="AH23" si="33">AH21+1</f>
        <v>231</v>
      </c>
      <c r="AI23" s="232" t="str">
        <f ca="1">IF(INDIRECT("'update Helper'!U"&amp;AH23)=0,"",IFERROR(VLOOKUP(INDIRECT("'update Helper'!O"&amp;AH23),'Account Role'!A$1:B$28,2,0),IFERROR(VLOOKUP(INDIRECT("'update Helper'!U"&amp;AH23),'Overview - Section A'!J$25:P$90,7,0),"")))</f>
        <v/>
      </c>
    </row>
    <row r="24" spans="1:35" s="232" customFormat="1" ht="30" customHeight="1" x14ac:dyDescent="0.3">
      <c r="A24" s="610"/>
      <c r="B24" s="607"/>
      <c r="C24" s="607"/>
      <c r="D24" s="196"/>
      <c r="E24" s="574"/>
      <c r="F24" s="612"/>
      <c r="G24" s="607"/>
      <c r="H24" s="614"/>
      <c r="I24" s="616"/>
      <c r="J24" s="616"/>
      <c r="K24" s="196"/>
      <c r="L24" s="618"/>
      <c r="M24" s="603"/>
      <c r="N24" s="605"/>
      <c r="O24" s="196"/>
      <c r="P24" s="618"/>
      <c r="Q24" s="603"/>
      <c r="R24" s="605"/>
      <c r="S24" s="196"/>
      <c r="T24" s="618"/>
      <c r="U24" s="603"/>
      <c r="V24" s="605"/>
      <c r="W24" s="196"/>
      <c r="X24" s="618"/>
      <c r="Y24" s="603"/>
      <c r="Z24" s="605"/>
      <c r="AA24" s="607"/>
      <c r="AB24" s="607"/>
      <c r="AC24" s="607"/>
      <c r="AD24" s="607"/>
      <c r="AG24" s="208"/>
    </row>
    <row r="25" spans="1:35" s="232" customFormat="1" ht="30" customHeight="1" x14ac:dyDescent="0.3">
      <c r="A25" s="609">
        <v>9</v>
      </c>
      <c r="B25" s="606"/>
      <c r="C25" s="606"/>
      <c r="D25" s="196"/>
      <c r="E25" s="573" t="str">
        <f t="shared" ref="E25" ca="1" si="34">IF(OR(INDIRECT("'update Helper'!D"&amp;AH25)=0,D25&lt;&gt;0,D26&lt;&gt;0),IF(IFERROR((D25/D26),"")="","",(D25/D26)),INDIRECT("'update Helper'!D"&amp;AH25)/100)</f>
        <v/>
      </c>
      <c r="F25" s="611"/>
      <c r="G25" s="608"/>
      <c r="H25" s="613" t="str">
        <f>AE25</f>
        <v/>
      </c>
      <c r="I25" s="615"/>
      <c r="J25" s="615"/>
      <c r="K25" s="196"/>
      <c r="L25" s="617" t="str">
        <f t="shared" ref="L25" ca="1" si="35">IF(OR(INDIRECT("'update Helper'!K"&amp;AG25)=0,K25&lt;&gt;0,K26&lt;&gt;0),IF(IFERROR((K25/K26),"")="","",(K25/K26)),INDIRECT("'update Helper'!K"&amp;AG25)/100)</f>
        <v/>
      </c>
      <c r="M25" s="602"/>
      <c r="N25" s="604"/>
      <c r="O25" s="196"/>
      <c r="P25" s="617" t="str">
        <f t="shared" ref="P25" ca="1" si="36">IF(OR(INDIRECT("'update Helper'!K"&amp;AG25+1)=0,O25&lt;&gt;0,O26&lt;&gt;0),IF(IFERROR((O25/O26),"")="","",(O25/O26)),INDIRECT("'update Helper'!K"&amp;AG25+1)/100)</f>
        <v/>
      </c>
      <c r="Q25" s="602"/>
      <c r="R25" s="604"/>
      <c r="S25" s="196"/>
      <c r="T25" s="617" t="str">
        <f t="shared" ref="T25" ca="1" si="37">IF(OR(INDIRECT("'update Helper'!K"&amp;AG25+2)=0,S25&lt;&gt;0,S26&lt;&gt;0),IF(IFERROR((S25/S26),"")="","",(S25/S26)),INDIRECT("'update Helper'!K"&amp;AG25+2)/100)</f>
        <v/>
      </c>
      <c r="U25" s="602"/>
      <c r="V25" s="604"/>
      <c r="W25" s="196"/>
      <c r="X25" s="617" t="str">
        <f t="shared" ref="X25" ca="1" si="38">IF(OR(INDIRECT("'update Helper'!K"&amp;AG25+3)=0,W25&lt;&gt;0,W26&lt;&gt;0),IF(IFERROR((W25/W26),"")="","",(W25/W26)),INDIRECT("'update Helper'!K"&amp;AG25+3)/100)</f>
        <v/>
      </c>
      <c r="Y25" s="602"/>
      <c r="Z25" s="604"/>
      <c r="AA25" s="606"/>
      <c r="AB25" s="606"/>
      <c r="AC25" s="608"/>
      <c r="AD25" s="606"/>
      <c r="AE25" s="232" t="str">
        <f t="array" ref="AE25">IFERROR(IF(INDEX('Reference Records'!$D$21:$D$58,MATCH(LEFT(B25,255),LEFT('Reference Records'!$C$21:$C$58,255),0))=0,"",INDEX('Reference Records'!$D$21:$D$58,MATCH(LEFT(B25,255),LEFT('Reference Records'!$C$21:$C$58,255),0))),"")</f>
        <v/>
      </c>
      <c r="AF25" s="232" t="str">
        <f>B25&amp;C25</f>
        <v/>
      </c>
      <c r="AG25" s="208">
        <f ca="1">AG23+'update Helper'!$X$2</f>
        <v>308</v>
      </c>
      <c r="AH25" s="232">
        <f t="shared" ref="AH25" si="39">AH23+1</f>
        <v>232</v>
      </c>
      <c r="AI25" s="232" t="str">
        <f ca="1">IF(INDIRECT("'update Helper'!U"&amp;AH25)=0,"",IFERROR(VLOOKUP(INDIRECT("'update Helper'!O"&amp;AH25),'Account Role'!A$1:B$28,2,0),IFERROR(VLOOKUP(INDIRECT("'update Helper'!U"&amp;AH25),'Overview - Section A'!J$25:P$90,7,0),"")))</f>
        <v/>
      </c>
    </row>
    <row r="26" spans="1:35" s="232" customFormat="1" ht="30" customHeight="1" x14ac:dyDescent="0.3">
      <c r="A26" s="610"/>
      <c r="B26" s="607"/>
      <c r="C26" s="607"/>
      <c r="D26" s="196"/>
      <c r="E26" s="574"/>
      <c r="F26" s="612"/>
      <c r="G26" s="607"/>
      <c r="H26" s="614"/>
      <c r="I26" s="616"/>
      <c r="J26" s="616"/>
      <c r="K26" s="196"/>
      <c r="L26" s="618"/>
      <c r="M26" s="603"/>
      <c r="N26" s="605"/>
      <c r="O26" s="196"/>
      <c r="P26" s="618"/>
      <c r="Q26" s="603"/>
      <c r="R26" s="605"/>
      <c r="S26" s="196"/>
      <c r="T26" s="618"/>
      <c r="U26" s="603"/>
      <c r="V26" s="605"/>
      <c r="W26" s="196"/>
      <c r="X26" s="618"/>
      <c r="Y26" s="603"/>
      <c r="Z26" s="605"/>
      <c r="AA26" s="607"/>
      <c r="AB26" s="607"/>
      <c r="AC26" s="607"/>
      <c r="AD26" s="607"/>
      <c r="AG26" s="208"/>
    </row>
    <row r="27" spans="1:35" s="232" customFormat="1" ht="30" customHeight="1" x14ac:dyDescent="0.3">
      <c r="A27" s="609">
        <v>10</v>
      </c>
      <c r="B27" s="606"/>
      <c r="C27" s="606"/>
      <c r="D27" s="196"/>
      <c r="E27" s="573" t="str">
        <f t="shared" ref="E27" ca="1" si="40">IF(OR(INDIRECT("'update Helper'!D"&amp;AH27)=0,D27&lt;&gt;0,D28&lt;&gt;0),IF(IFERROR((D27/D28),"")="","",(D27/D28)),INDIRECT("'update Helper'!D"&amp;AH27)/100)</f>
        <v/>
      </c>
      <c r="F27" s="611"/>
      <c r="G27" s="608"/>
      <c r="H27" s="613" t="str">
        <f>AE27</f>
        <v/>
      </c>
      <c r="I27" s="615"/>
      <c r="J27" s="615"/>
      <c r="K27" s="196"/>
      <c r="L27" s="617" t="str">
        <f t="shared" ref="L27" ca="1" si="41">IF(OR(INDIRECT("'update Helper'!K"&amp;AG27)=0,K27&lt;&gt;0,K28&lt;&gt;0),IF(IFERROR((K27/K28),"")="","",(K27/K28)),INDIRECT("'update Helper'!K"&amp;AG27)/100)</f>
        <v/>
      </c>
      <c r="M27" s="602"/>
      <c r="N27" s="604"/>
      <c r="O27" s="196"/>
      <c r="P27" s="617" t="str">
        <f t="shared" ref="P27" ca="1" si="42">IF(OR(INDIRECT("'update Helper'!K"&amp;AG27+1)=0,O27&lt;&gt;0,O28&lt;&gt;0),IF(IFERROR((O27/O28),"")="","",(O27/O28)),INDIRECT("'update Helper'!K"&amp;AG27+1)/100)</f>
        <v/>
      </c>
      <c r="Q27" s="602"/>
      <c r="R27" s="604"/>
      <c r="S27" s="196"/>
      <c r="T27" s="617" t="str">
        <f t="shared" ref="T27" ca="1" si="43">IF(OR(INDIRECT("'update Helper'!K"&amp;AG27+2)=0,S27&lt;&gt;0,S28&lt;&gt;0),IF(IFERROR((S27/S28),"")="","",(S27/S28)),INDIRECT("'update Helper'!K"&amp;AG27+2)/100)</f>
        <v/>
      </c>
      <c r="U27" s="602"/>
      <c r="V27" s="604"/>
      <c r="W27" s="196"/>
      <c r="X27" s="617" t="str">
        <f t="shared" ref="X27" ca="1" si="44">IF(OR(INDIRECT("'update Helper'!K"&amp;AG27+3)=0,W27&lt;&gt;0,W28&lt;&gt;0),IF(IFERROR((W27/W28),"")="","",(W27/W28)),INDIRECT("'update Helper'!K"&amp;AG27+3)/100)</f>
        <v/>
      </c>
      <c r="Y27" s="602"/>
      <c r="Z27" s="604"/>
      <c r="AA27" s="606"/>
      <c r="AB27" s="606"/>
      <c r="AC27" s="608"/>
      <c r="AD27" s="606"/>
      <c r="AE27" s="232" t="str">
        <f t="array" ref="AE27">IFERROR(IF(INDEX('Reference Records'!$D$21:$D$58,MATCH(LEFT(B27,255),LEFT('Reference Records'!$C$21:$C$58,255),0))=0,"",INDEX('Reference Records'!$D$21:$D$58,MATCH(LEFT(B27,255),LEFT('Reference Records'!$C$21:$C$58,255),0))),"")</f>
        <v/>
      </c>
      <c r="AF27" s="232" t="str">
        <f>B27&amp;C27</f>
        <v/>
      </c>
      <c r="AG27" s="208">
        <f ca="1">AG25+'update Helper'!$X$2</f>
        <v>314</v>
      </c>
      <c r="AH27" s="232">
        <f t="shared" ref="AH27" si="45">AH25+1</f>
        <v>233</v>
      </c>
      <c r="AI27" s="232" t="str">
        <f ca="1">IF(INDIRECT("'update Helper'!U"&amp;AH27)=0,"",IFERROR(VLOOKUP(INDIRECT("'update Helper'!O"&amp;AH27),'Account Role'!A$1:B$28,2,0),IFERROR(VLOOKUP(INDIRECT("'update Helper'!U"&amp;AH27),'Overview - Section A'!J$25:P$90,7,0),"")))</f>
        <v/>
      </c>
    </row>
    <row r="28" spans="1:35" s="232" customFormat="1" ht="30" customHeight="1" x14ac:dyDescent="0.3">
      <c r="A28" s="610"/>
      <c r="B28" s="607"/>
      <c r="C28" s="607"/>
      <c r="D28" s="196"/>
      <c r="E28" s="574"/>
      <c r="F28" s="612"/>
      <c r="G28" s="607"/>
      <c r="H28" s="614"/>
      <c r="I28" s="616"/>
      <c r="J28" s="616"/>
      <c r="K28" s="196"/>
      <c r="L28" s="618"/>
      <c r="M28" s="603"/>
      <c r="N28" s="605"/>
      <c r="O28" s="196"/>
      <c r="P28" s="618"/>
      <c r="Q28" s="603"/>
      <c r="R28" s="605"/>
      <c r="S28" s="196"/>
      <c r="T28" s="618"/>
      <c r="U28" s="603"/>
      <c r="V28" s="605"/>
      <c r="W28" s="196"/>
      <c r="X28" s="618"/>
      <c r="Y28" s="603"/>
      <c r="Z28" s="605"/>
      <c r="AA28" s="607"/>
      <c r="AB28" s="607"/>
      <c r="AC28" s="607"/>
      <c r="AD28" s="607"/>
      <c r="AG28" s="208"/>
    </row>
    <row r="29" spans="1:35" s="232" customFormat="1" ht="30" customHeight="1" x14ac:dyDescent="0.3">
      <c r="A29" s="609">
        <v>11</v>
      </c>
      <c r="B29" s="606"/>
      <c r="C29" s="606"/>
      <c r="D29" s="196"/>
      <c r="E29" s="573" t="str">
        <f t="shared" ref="E29" ca="1" si="46">IF(OR(INDIRECT("'update Helper'!D"&amp;AH29)=0,D29&lt;&gt;0,D30&lt;&gt;0),IF(IFERROR((D29/D30),"")="","",(D29/D30)),INDIRECT("'update Helper'!D"&amp;AH29)/100)</f>
        <v/>
      </c>
      <c r="F29" s="611"/>
      <c r="G29" s="608"/>
      <c r="H29" s="613" t="str">
        <f>AE29</f>
        <v/>
      </c>
      <c r="I29" s="615"/>
      <c r="J29" s="615"/>
      <c r="K29" s="196"/>
      <c r="L29" s="617" t="str">
        <f t="shared" ref="L29" ca="1" si="47">IF(OR(INDIRECT("'update Helper'!K"&amp;AG29)=0,K29&lt;&gt;0,K30&lt;&gt;0),IF(IFERROR((K29/K30),"")="","",(K29/K30)),INDIRECT("'update Helper'!K"&amp;AG29)/100)</f>
        <v/>
      </c>
      <c r="M29" s="602"/>
      <c r="N29" s="604"/>
      <c r="O29" s="196"/>
      <c r="P29" s="617" t="str">
        <f t="shared" ref="P29" ca="1" si="48">IF(OR(INDIRECT("'update Helper'!K"&amp;AG29+1)=0,O29&lt;&gt;0,O30&lt;&gt;0),IF(IFERROR((O29/O30),"")="","",(O29/O30)),INDIRECT("'update Helper'!K"&amp;AG29+1)/100)</f>
        <v/>
      </c>
      <c r="Q29" s="602"/>
      <c r="R29" s="604"/>
      <c r="S29" s="196"/>
      <c r="T29" s="617" t="str">
        <f t="shared" ref="T29" ca="1" si="49">IF(OR(INDIRECT("'update Helper'!K"&amp;AG29+2)=0,S29&lt;&gt;0,S30&lt;&gt;0),IF(IFERROR((S29/S30),"")="","",(S29/S30)),INDIRECT("'update Helper'!K"&amp;AG29+2)/100)</f>
        <v/>
      </c>
      <c r="U29" s="602"/>
      <c r="V29" s="604"/>
      <c r="W29" s="196"/>
      <c r="X29" s="617" t="str">
        <f t="shared" ref="X29" ca="1" si="50">IF(OR(INDIRECT("'update Helper'!K"&amp;AG29+3)=0,W29&lt;&gt;0,W30&lt;&gt;0),IF(IFERROR((W29/W30),"")="","",(W29/W30)),INDIRECT("'update Helper'!K"&amp;AG29+3)/100)</f>
        <v/>
      </c>
      <c r="Y29" s="602"/>
      <c r="Z29" s="604"/>
      <c r="AA29" s="606"/>
      <c r="AB29" s="606"/>
      <c r="AC29" s="608"/>
      <c r="AD29" s="606"/>
      <c r="AE29" s="232" t="str">
        <f t="array" ref="AE29">IFERROR(IF(INDEX('Reference Records'!$D$21:$D$58,MATCH(LEFT(B29,255),LEFT('Reference Records'!$C$21:$C$58,255),0))=0,"",INDEX('Reference Records'!$D$21:$D$58,MATCH(LEFT(B29,255),LEFT('Reference Records'!$C$21:$C$58,255),0))),"")</f>
        <v/>
      </c>
      <c r="AF29" s="232" t="str">
        <f>B29&amp;C29</f>
        <v/>
      </c>
      <c r="AG29" s="208">
        <f ca="1">AG27+'update Helper'!$X$2</f>
        <v>320</v>
      </c>
      <c r="AH29" s="232">
        <f t="shared" ref="AH29" si="51">AH27+1</f>
        <v>234</v>
      </c>
      <c r="AI29" s="232" t="str">
        <f ca="1">IF(INDIRECT("'update Helper'!U"&amp;AH29)=0,"",IFERROR(VLOOKUP(INDIRECT("'update Helper'!O"&amp;AH29),'Account Role'!A$1:B$28,2,0),IFERROR(VLOOKUP(INDIRECT("'update Helper'!U"&amp;AH29),'Overview - Section A'!J$25:P$90,7,0),"")))</f>
        <v/>
      </c>
    </row>
    <row r="30" spans="1:35" s="232" customFormat="1" ht="30" customHeight="1" x14ac:dyDescent="0.3">
      <c r="A30" s="610"/>
      <c r="B30" s="607"/>
      <c r="C30" s="607"/>
      <c r="D30" s="196"/>
      <c r="E30" s="574"/>
      <c r="F30" s="612"/>
      <c r="G30" s="607"/>
      <c r="H30" s="614"/>
      <c r="I30" s="616"/>
      <c r="J30" s="616"/>
      <c r="K30" s="196"/>
      <c r="L30" s="618"/>
      <c r="M30" s="603"/>
      <c r="N30" s="605"/>
      <c r="O30" s="196"/>
      <c r="P30" s="618"/>
      <c r="Q30" s="603"/>
      <c r="R30" s="605"/>
      <c r="S30" s="196"/>
      <c r="T30" s="618"/>
      <c r="U30" s="603"/>
      <c r="V30" s="605"/>
      <c r="W30" s="196"/>
      <c r="X30" s="618"/>
      <c r="Y30" s="603"/>
      <c r="Z30" s="605"/>
      <c r="AA30" s="607"/>
      <c r="AB30" s="607"/>
      <c r="AC30" s="607"/>
      <c r="AD30" s="607"/>
      <c r="AG30" s="208"/>
    </row>
    <row r="31" spans="1:35" s="232" customFormat="1" ht="30" customHeight="1" x14ac:dyDescent="0.3">
      <c r="A31" s="609">
        <v>12</v>
      </c>
      <c r="B31" s="606"/>
      <c r="C31" s="606"/>
      <c r="D31" s="196"/>
      <c r="E31" s="573" t="str">
        <f t="shared" ref="E31" ca="1" si="52">IF(OR(INDIRECT("'update Helper'!D"&amp;AH31)=0,D31&lt;&gt;0,D32&lt;&gt;0),IF(IFERROR((D31/D32),"")="","",(D31/D32)),INDIRECT("'update Helper'!D"&amp;AH31)/100)</f>
        <v/>
      </c>
      <c r="F31" s="611"/>
      <c r="G31" s="608"/>
      <c r="H31" s="613" t="str">
        <f>AE31</f>
        <v/>
      </c>
      <c r="I31" s="615"/>
      <c r="J31" s="615"/>
      <c r="K31" s="196"/>
      <c r="L31" s="617" t="str">
        <f t="shared" ref="L31" ca="1" si="53">IF(OR(INDIRECT("'update Helper'!K"&amp;AG31)=0,K31&lt;&gt;0,K32&lt;&gt;0),IF(IFERROR((K31/K32),"")="","",(K31/K32)),INDIRECT("'update Helper'!K"&amp;AG31)/100)</f>
        <v/>
      </c>
      <c r="M31" s="602"/>
      <c r="N31" s="604"/>
      <c r="O31" s="196"/>
      <c r="P31" s="617" t="str">
        <f t="shared" ref="P31" ca="1" si="54">IF(OR(INDIRECT("'update Helper'!K"&amp;AG31+1)=0,O31&lt;&gt;0,O32&lt;&gt;0),IF(IFERROR((O31/O32),"")="","",(O31/O32)),INDIRECT("'update Helper'!K"&amp;AG31+1)/100)</f>
        <v/>
      </c>
      <c r="Q31" s="602"/>
      <c r="R31" s="604"/>
      <c r="S31" s="196"/>
      <c r="T31" s="617" t="str">
        <f t="shared" ref="T31" ca="1" si="55">IF(OR(INDIRECT("'update Helper'!K"&amp;AG31+2)=0,S31&lt;&gt;0,S32&lt;&gt;0),IF(IFERROR((S31/S32),"")="","",(S31/S32)),INDIRECT("'update Helper'!K"&amp;AG31+2)/100)</f>
        <v/>
      </c>
      <c r="U31" s="602"/>
      <c r="V31" s="604"/>
      <c r="W31" s="196"/>
      <c r="X31" s="617" t="str">
        <f t="shared" ref="X31" ca="1" si="56">IF(OR(INDIRECT("'update Helper'!K"&amp;AG31+3)=0,W31&lt;&gt;0,W32&lt;&gt;0),IF(IFERROR((W31/W32),"")="","",(W31/W32)),INDIRECT("'update Helper'!K"&amp;AG31+3)/100)</f>
        <v/>
      </c>
      <c r="Y31" s="602"/>
      <c r="Z31" s="604"/>
      <c r="AA31" s="606"/>
      <c r="AB31" s="606"/>
      <c r="AC31" s="608"/>
      <c r="AD31" s="606"/>
      <c r="AE31" s="232" t="str">
        <f t="array" ref="AE31">IFERROR(IF(INDEX('Reference Records'!$D$21:$D$58,MATCH(LEFT(B31,255),LEFT('Reference Records'!$C$21:$C$58,255),0))=0,"",INDEX('Reference Records'!$D$21:$D$58,MATCH(LEFT(B31,255),LEFT('Reference Records'!$C$21:$C$58,255),0))),"")</f>
        <v/>
      </c>
      <c r="AF31" s="232" t="str">
        <f>B31&amp;C31</f>
        <v/>
      </c>
      <c r="AG31" s="208">
        <f ca="1">AG29+'update Helper'!$X$2</f>
        <v>326</v>
      </c>
      <c r="AH31" s="232">
        <f t="shared" ref="AH31" si="57">AH29+1</f>
        <v>235</v>
      </c>
      <c r="AI31" s="232" t="str">
        <f ca="1">IF(INDIRECT("'update Helper'!U"&amp;AH31)=0,"",IFERROR(VLOOKUP(INDIRECT("'update Helper'!O"&amp;AH31),'Account Role'!A$1:B$28,2,0),IFERROR(VLOOKUP(INDIRECT("'update Helper'!U"&amp;AH31),'Overview - Section A'!J$25:P$90,7,0),"")))</f>
        <v/>
      </c>
    </row>
    <row r="32" spans="1:35" s="232" customFormat="1" ht="30" customHeight="1" x14ac:dyDescent="0.3">
      <c r="A32" s="610"/>
      <c r="B32" s="607"/>
      <c r="C32" s="607"/>
      <c r="D32" s="196"/>
      <c r="E32" s="574"/>
      <c r="F32" s="612"/>
      <c r="G32" s="607"/>
      <c r="H32" s="614"/>
      <c r="I32" s="616"/>
      <c r="J32" s="616"/>
      <c r="K32" s="196"/>
      <c r="L32" s="618"/>
      <c r="M32" s="603"/>
      <c r="N32" s="605"/>
      <c r="O32" s="196"/>
      <c r="P32" s="618"/>
      <c r="Q32" s="603"/>
      <c r="R32" s="605"/>
      <c r="S32" s="196"/>
      <c r="T32" s="618"/>
      <c r="U32" s="603"/>
      <c r="V32" s="605"/>
      <c r="W32" s="196"/>
      <c r="X32" s="618"/>
      <c r="Y32" s="603"/>
      <c r="Z32" s="605"/>
      <c r="AA32" s="607"/>
      <c r="AB32" s="607"/>
      <c r="AC32" s="607"/>
      <c r="AD32" s="607"/>
      <c r="AG32" s="208"/>
    </row>
    <row r="33" spans="1:35" s="232" customFormat="1" ht="30" customHeight="1" x14ac:dyDescent="0.3">
      <c r="A33" s="609">
        <v>13</v>
      </c>
      <c r="B33" s="606"/>
      <c r="C33" s="606"/>
      <c r="D33" s="196"/>
      <c r="E33" s="573" t="str">
        <f t="shared" ref="E33" ca="1" si="58">IF(OR(INDIRECT("'update Helper'!D"&amp;AH33)=0,D33&lt;&gt;0,D34&lt;&gt;0),IF(IFERROR((D33/D34),"")="","",(D33/D34)),INDIRECT("'update Helper'!D"&amp;AH33)/100)</f>
        <v/>
      </c>
      <c r="F33" s="611"/>
      <c r="G33" s="608"/>
      <c r="H33" s="613" t="str">
        <f>AE33</f>
        <v/>
      </c>
      <c r="I33" s="615"/>
      <c r="J33" s="615"/>
      <c r="K33" s="196"/>
      <c r="L33" s="617" t="str">
        <f t="shared" ref="L33" ca="1" si="59">IF(OR(INDIRECT("'update Helper'!K"&amp;AG33)=0,K33&lt;&gt;0,K34&lt;&gt;0),IF(IFERROR((K33/K34),"")="","",(K33/K34)),INDIRECT("'update Helper'!K"&amp;AG33)/100)</f>
        <v/>
      </c>
      <c r="M33" s="602"/>
      <c r="N33" s="604"/>
      <c r="O33" s="196"/>
      <c r="P33" s="617" t="str">
        <f t="shared" ref="P33" ca="1" si="60">IF(OR(INDIRECT("'update Helper'!K"&amp;AG33+1)=0,O33&lt;&gt;0,O34&lt;&gt;0),IF(IFERROR((O33/O34),"")="","",(O33/O34)),INDIRECT("'update Helper'!K"&amp;AG33+1)/100)</f>
        <v/>
      </c>
      <c r="Q33" s="602"/>
      <c r="R33" s="604"/>
      <c r="S33" s="196"/>
      <c r="T33" s="617" t="str">
        <f t="shared" ref="T33" ca="1" si="61">IF(OR(INDIRECT("'update Helper'!K"&amp;AG33+2)=0,S33&lt;&gt;0,S34&lt;&gt;0),IF(IFERROR((S33/S34),"")="","",(S33/S34)),INDIRECT("'update Helper'!K"&amp;AG33+2)/100)</f>
        <v/>
      </c>
      <c r="U33" s="602"/>
      <c r="V33" s="604"/>
      <c r="W33" s="196"/>
      <c r="X33" s="617" t="str">
        <f t="shared" ref="X33" ca="1" si="62">IF(OR(INDIRECT("'update Helper'!K"&amp;AG33+3)=0,W33&lt;&gt;0,W34&lt;&gt;0),IF(IFERROR((W33/W34),"")="","",(W33/W34)),INDIRECT("'update Helper'!K"&amp;AG33+3)/100)</f>
        <v/>
      </c>
      <c r="Y33" s="602"/>
      <c r="Z33" s="604"/>
      <c r="AA33" s="606"/>
      <c r="AB33" s="606"/>
      <c r="AC33" s="608"/>
      <c r="AD33" s="606"/>
      <c r="AE33" s="232" t="str">
        <f t="array" ref="AE33">IFERROR(IF(INDEX('Reference Records'!$D$21:$D$58,MATCH(LEFT(B33,255),LEFT('Reference Records'!$C$21:$C$58,255),0))=0,"",INDEX('Reference Records'!$D$21:$D$58,MATCH(LEFT(B33,255),LEFT('Reference Records'!$C$21:$C$58,255),0))),"")</f>
        <v/>
      </c>
      <c r="AF33" s="232" t="str">
        <f>B33&amp;C33</f>
        <v/>
      </c>
      <c r="AG33" s="208">
        <f ca="1">AG31+'update Helper'!$X$2</f>
        <v>332</v>
      </c>
      <c r="AH33" s="232">
        <f t="shared" ref="AH33" si="63">AH31+1</f>
        <v>236</v>
      </c>
      <c r="AI33" s="232" t="str">
        <f ca="1">IF(INDIRECT("'update Helper'!U"&amp;AH33)=0,"",IFERROR(VLOOKUP(INDIRECT("'update Helper'!O"&amp;AH33),'Account Role'!A$1:B$28,2,0),IFERROR(VLOOKUP(INDIRECT("'update Helper'!U"&amp;AH33),'Overview - Section A'!J$25:P$90,7,0),"")))</f>
        <v/>
      </c>
    </row>
    <row r="34" spans="1:35" s="232" customFormat="1" ht="30" customHeight="1" x14ac:dyDescent="0.3">
      <c r="A34" s="610"/>
      <c r="B34" s="607"/>
      <c r="C34" s="607"/>
      <c r="D34" s="196"/>
      <c r="E34" s="574"/>
      <c r="F34" s="612"/>
      <c r="G34" s="607"/>
      <c r="H34" s="614"/>
      <c r="I34" s="616"/>
      <c r="J34" s="616"/>
      <c r="K34" s="196"/>
      <c r="L34" s="618"/>
      <c r="M34" s="603"/>
      <c r="N34" s="605"/>
      <c r="O34" s="196"/>
      <c r="P34" s="618"/>
      <c r="Q34" s="603"/>
      <c r="R34" s="605"/>
      <c r="S34" s="196"/>
      <c r="T34" s="618"/>
      <c r="U34" s="603"/>
      <c r="V34" s="605"/>
      <c r="W34" s="196"/>
      <c r="X34" s="618"/>
      <c r="Y34" s="603"/>
      <c r="Z34" s="605"/>
      <c r="AA34" s="607"/>
      <c r="AB34" s="607"/>
      <c r="AC34" s="607"/>
      <c r="AD34" s="607"/>
      <c r="AG34" s="208"/>
    </row>
    <row r="35" spans="1:35" s="232" customFormat="1" ht="30" customHeight="1" x14ac:dyDescent="0.3">
      <c r="A35" s="609">
        <v>14</v>
      </c>
      <c r="B35" s="606"/>
      <c r="C35" s="606"/>
      <c r="D35" s="196"/>
      <c r="E35" s="573" t="str">
        <f t="shared" ref="E35" ca="1" si="64">IF(OR(INDIRECT("'update Helper'!D"&amp;AH35)=0,D35&lt;&gt;0,D36&lt;&gt;0),IF(IFERROR((D35/D36),"")="","",(D35/D36)),INDIRECT("'update Helper'!D"&amp;AH35)/100)</f>
        <v/>
      </c>
      <c r="F35" s="611"/>
      <c r="G35" s="608"/>
      <c r="H35" s="613" t="str">
        <f>AE35</f>
        <v/>
      </c>
      <c r="I35" s="615"/>
      <c r="J35" s="615"/>
      <c r="K35" s="196"/>
      <c r="L35" s="617" t="str">
        <f t="shared" ref="L35" ca="1" si="65">IF(OR(INDIRECT("'update Helper'!K"&amp;AG35)=0,K35&lt;&gt;0,K36&lt;&gt;0),IF(IFERROR((K35/K36),"")="","",(K35/K36)),INDIRECT("'update Helper'!K"&amp;AG35)/100)</f>
        <v/>
      </c>
      <c r="M35" s="602"/>
      <c r="N35" s="604"/>
      <c r="O35" s="196"/>
      <c r="P35" s="617" t="str">
        <f t="shared" ref="P35" ca="1" si="66">IF(OR(INDIRECT("'update Helper'!K"&amp;AG35+1)=0,O35&lt;&gt;0,O36&lt;&gt;0),IF(IFERROR((O35/O36),"")="","",(O35/O36)),INDIRECT("'update Helper'!K"&amp;AG35+1)/100)</f>
        <v/>
      </c>
      <c r="Q35" s="602"/>
      <c r="R35" s="604"/>
      <c r="S35" s="196"/>
      <c r="T35" s="617" t="str">
        <f t="shared" ref="T35" ca="1" si="67">IF(OR(INDIRECT("'update Helper'!K"&amp;AG35+2)=0,S35&lt;&gt;0,S36&lt;&gt;0),IF(IFERROR((S35/S36),"")="","",(S35/S36)),INDIRECT("'update Helper'!K"&amp;AG35+2)/100)</f>
        <v/>
      </c>
      <c r="U35" s="602"/>
      <c r="V35" s="604"/>
      <c r="W35" s="196"/>
      <c r="X35" s="617" t="str">
        <f t="shared" ref="X35" ca="1" si="68">IF(OR(INDIRECT("'update Helper'!K"&amp;AG35+3)=0,W35&lt;&gt;0,W36&lt;&gt;0),IF(IFERROR((W35/W36),"")="","",(W35/W36)),INDIRECT("'update Helper'!K"&amp;AG35+3)/100)</f>
        <v/>
      </c>
      <c r="Y35" s="602"/>
      <c r="Z35" s="604"/>
      <c r="AA35" s="606"/>
      <c r="AB35" s="606"/>
      <c r="AC35" s="608"/>
      <c r="AD35" s="606"/>
      <c r="AE35" s="232" t="str">
        <f t="array" ref="AE35">IFERROR(IF(INDEX('Reference Records'!$D$21:$D$58,MATCH(LEFT(B35,255),LEFT('Reference Records'!$C$21:$C$58,255),0))=0,"",INDEX('Reference Records'!$D$21:$D$58,MATCH(LEFT(B35,255),LEFT('Reference Records'!$C$21:$C$58,255),0))),"")</f>
        <v/>
      </c>
      <c r="AF35" s="232" t="str">
        <f>B35&amp;C35</f>
        <v/>
      </c>
      <c r="AG35" s="208">
        <f ca="1">AG33+'update Helper'!$X$2</f>
        <v>338</v>
      </c>
      <c r="AH35" s="232">
        <f t="shared" ref="AH35" si="69">AH33+1</f>
        <v>237</v>
      </c>
      <c r="AI35" s="232" t="str">
        <f ca="1">IF(INDIRECT("'update Helper'!U"&amp;AH35)=0,"",IFERROR(VLOOKUP(INDIRECT("'update Helper'!O"&amp;AH35),'Account Role'!A$1:B$28,2,0),IFERROR(VLOOKUP(INDIRECT("'update Helper'!U"&amp;AH35),'Overview - Section A'!J$25:P$90,7,0),"")))</f>
        <v/>
      </c>
    </row>
    <row r="36" spans="1:35" s="232" customFormat="1" ht="30" customHeight="1" x14ac:dyDescent="0.3">
      <c r="A36" s="610"/>
      <c r="B36" s="607"/>
      <c r="C36" s="607"/>
      <c r="D36" s="196"/>
      <c r="E36" s="574"/>
      <c r="F36" s="612"/>
      <c r="G36" s="607"/>
      <c r="H36" s="614"/>
      <c r="I36" s="616"/>
      <c r="J36" s="616"/>
      <c r="K36" s="196"/>
      <c r="L36" s="618"/>
      <c r="M36" s="603"/>
      <c r="N36" s="605"/>
      <c r="O36" s="196"/>
      <c r="P36" s="618"/>
      <c r="Q36" s="603"/>
      <c r="R36" s="605"/>
      <c r="S36" s="196"/>
      <c r="T36" s="618"/>
      <c r="U36" s="603"/>
      <c r="V36" s="605"/>
      <c r="W36" s="196"/>
      <c r="X36" s="618"/>
      <c r="Y36" s="603"/>
      <c r="Z36" s="605"/>
      <c r="AA36" s="607"/>
      <c r="AB36" s="607"/>
      <c r="AC36" s="607"/>
      <c r="AD36" s="607"/>
      <c r="AG36" s="208"/>
    </row>
    <row r="37" spans="1:35" s="232" customFormat="1" ht="30" customHeight="1" x14ac:dyDescent="0.3">
      <c r="A37" s="609">
        <v>15</v>
      </c>
      <c r="B37" s="606"/>
      <c r="C37" s="606"/>
      <c r="D37" s="196"/>
      <c r="E37" s="573" t="str">
        <f t="shared" ref="E37" ca="1" si="70">IF(OR(INDIRECT("'update Helper'!D"&amp;AH37)=0,D37&lt;&gt;0,D38&lt;&gt;0),IF(IFERROR((D37/D38),"")="","",(D37/D38)),INDIRECT("'update Helper'!D"&amp;AH37)/100)</f>
        <v/>
      </c>
      <c r="F37" s="611"/>
      <c r="G37" s="608"/>
      <c r="H37" s="613" t="str">
        <f>AE37</f>
        <v/>
      </c>
      <c r="I37" s="615"/>
      <c r="J37" s="615"/>
      <c r="K37" s="196"/>
      <c r="L37" s="617" t="str">
        <f t="shared" ref="L37" ca="1" si="71">IF(OR(INDIRECT("'update Helper'!K"&amp;AG37)=0,K37&lt;&gt;0,K38&lt;&gt;0),IF(IFERROR((K37/K38),"")="","",(K37/K38)),INDIRECT("'update Helper'!K"&amp;AG37)/100)</f>
        <v/>
      </c>
      <c r="M37" s="602"/>
      <c r="N37" s="604"/>
      <c r="O37" s="196"/>
      <c r="P37" s="617" t="str">
        <f t="shared" ref="P37" ca="1" si="72">IF(OR(INDIRECT("'update Helper'!K"&amp;AG37+1)=0,O37&lt;&gt;0,O38&lt;&gt;0),IF(IFERROR((O37/O38),"")="","",(O37/O38)),INDIRECT("'update Helper'!K"&amp;AG37+1)/100)</f>
        <v/>
      </c>
      <c r="Q37" s="602"/>
      <c r="R37" s="604"/>
      <c r="S37" s="196"/>
      <c r="T37" s="617" t="str">
        <f t="shared" ref="T37" ca="1" si="73">IF(OR(INDIRECT("'update Helper'!K"&amp;AG37+2)=0,S37&lt;&gt;0,S38&lt;&gt;0),IF(IFERROR((S37/S38),"")="","",(S37/S38)),INDIRECT("'update Helper'!K"&amp;AG37+2)/100)</f>
        <v/>
      </c>
      <c r="U37" s="602"/>
      <c r="V37" s="604"/>
      <c r="W37" s="196"/>
      <c r="X37" s="617" t="str">
        <f t="shared" ref="X37" ca="1" si="74">IF(OR(INDIRECT("'update Helper'!K"&amp;AG37+3)=0,W37&lt;&gt;0,W38&lt;&gt;0),IF(IFERROR((W37/W38),"")="","",(W37/W38)),INDIRECT("'update Helper'!K"&amp;AG37+3)/100)</f>
        <v/>
      </c>
      <c r="Y37" s="602"/>
      <c r="Z37" s="604"/>
      <c r="AA37" s="606"/>
      <c r="AB37" s="606"/>
      <c r="AC37" s="608"/>
      <c r="AD37" s="606"/>
      <c r="AE37" s="232" t="str">
        <f t="array" ref="AE37">IFERROR(IF(INDEX('Reference Records'!$D$21:$D$58,MATCH(LEFT(B37,255),LEFT('Reference Records'!$C$21:$C$58,255),0))=0,"",INDEX('Reference Records'!$D$21:$D$58,MATCH(LEFT(B37,255),LEFT('Reference Records'!$C$21:$C$58,255),0))),"")</f>
        <v/>
      </c>
      <c r="AF37" s="232" t="str">
        <f>B37&amp;C37</f>
        <v/>
      </c>
      <c r="AG37" s="208">
        <f ca="1">AG35+'update Helper'!$X$2</f>
        <v>344</v>
      </c>
      <c r="AH37" s="232">
        <f t="shared" ref="AH37" si="75">AH35+1</f>
        <v>238</v>
      </c>
      <c r="AI37" s="232" t="str">
        <f ca="1">IF(INDIRECT("'update Helper'!U"&amp;AH37)=0,"",IFERROR(VLOOKUP(INDIRECT("'update Helper'!O"&amp;AH37),'Account Role'!A$1:B$28,2,0),IFERROR(VLOOKUP(INDIRECT("'update Helper'!U"&amp;AH37),'Overview - Section A'!J$25:P$90,7,0),"")))</f>
        <v/>
      </c>
    </row>
    <row r="38" spans="1:35" s="232" customFormat="1" ht="30" customHeight="1" x14ac:dyDescent="0.3">
      <c r="A38" s="610"/>
      <c r="B38" s="607"/>
      <c r="C38" s="607"/>
      <c r="D38" s="196"/>
      <c r="E38" s="574"/>
      <c r="F38" s="612"/>
      <c r="G38" s="607"/>
      <c r="H38" s="614"/>
      <c r="I38" s="616"/>
      <c r="J38" s="616"/>
      <c r="K38" s="196"/>
      <c r="L38" s="618"/>
      <c r="M38" s="603"/>
      <c r="N38" s="605"/>
      <c r="O38" s="196"/>
      <c r="P38" s="618"/>
      <c r="Q38" s="603"/>
      <c r="R38" s="605"/>
      <c r="S38" s="196"/>
      <c r="T38" s="618"/>
      <c r="U38" s="603"/>
      <c r="V38" s="605"/>
      <c r="W38" s="196"/>
      <c r="X38" s="618"/>
      <c r="Y38" s="603"/>
      <c r="Z38" s="605"/>
      <c r="AA38" s="607"/>
      <c r="AB38" s="607"/>
      <c r="AC38" s="607"/>
      <c r="AD38" s="607"/>
      <c r="AG38" s="208"/>
    </row>
    <row r="39" spans="1:35" ht="30" customHeight="1" x14ac:dyDescent="0.3"/>
    <row r="40" spans="1:35" ht="30" customHeight="1" x14ac:dyDescent="0.3"/>
    <row r="41" spans="1:35" ht="30" customHeight="1" x14ac:dyDescent="0.3"/>
    <row r="42" spans="1:35" ht="30" customHeight="1" x14ac:dyDescent="0.3"/>
    <row r="43" spans="1:35" ht="30" customHeight="1" x14ac:dyDescent="0.3"/>
    <row r="44" spans="1:35" ht="30" customHeight="1" x14ac:dyDescent="0.3"/>
    <row r="45" spans="1:35" ht="30" customHeight="1" x14ac:dyDescent="0.3"/>
    <row r="46" spans="1:35" ht="30" customHeight="1" x14ac:dyDescent="0.3"/>
    <row r="47" spans="1:35" ht="30" customHeight="1" x14ac:dyDescent="0.3"/>
    <row r="48" spans="1:35" ht="30" customHeight="1" x14ac:dyDescent="0.3"/>
    <row r="49" ht="30" customHeight="1" x14ac:dyDescent="0.3"/>
    <row r="50" ht="30" customHeight="1" x14ac:dyDescent="0.3"/>
    <row r="51" ht="30" customHeight="1" x14ac:dyDescent="0.3"/>
    <row r="52" ht="30" customHeight="1" x14ac:dyDescent="0.3"/>
    <row r="53" ht="30" customHeight="1" x14ac:dyDescent="0.3"/>
    <row r="54" ht="30" customHeight="1" x14ac:dyDescent="0.3"/>
    <row r="55" ht="30" customHeight="1" x14ac:dyDescent="0.3"/>
    <row r="56" ht="30" customHeight="1" x14ac:dyDescent="0.3"/>
    <row r="57" ht="30" customHeight="1" x14ac:dyDescent="0.3"/>
    <row r="58" ht="30" customHeight="1" x14ac:dyDescent="0.3"/>
    <row r="59" ht="30" customHeight="1" x14ac:dyDescent="0.3"/>
    <row r="60" ht="30" customHeight="1" x14ac:dyDescent="0.3"/>
    <row r="61" ht="30" customHeight="1" x14ac:dyDescent="0.3"/>
    <row r="62" ht="30" customHeight="1" x14ac:dyDescent="0.3"/>
    <row r="63" ht="30" customHeight="1" x14ac:dyDescent="0.3"/>
    <row r="64" ht="30" customHeight="1" x14ac:dyDescent="0.3"/>
    <row r="65" ht="30" customHeight="1" x14ac:dyDescent="0.3"/>
    <row r="66" ht="30" customHeight="1" x14ac:dyDescent="0.3"/>
    <row r="67" ht="30" customHeight="1" x14ac:dyDescent="0.3"/>
    <row r="68" ht="30" customHeight="1" x14ac:dyDescent="0.3"/>
    <row r="69" ht="30" customHeight="1" x14ac:dyDescent="0.3"/>
    <row r="70" ht="30" customHeight="1" x14ac:dyDescent="0.3"/>
    <row r="71" ht="30" customHeight="1" x14ac:dyDescent="0.3"/>
    <row r="72" ht="30" customHeight="1" x14ac:dyDescent="0.3"/>
    <row r="73" ht="30" customHeight="1" x14ac:dyDescent="0.3"/>
    <row r="74" ht="30" customHeight="1" x14ac:dyDescent="0.3"/>
    <row r="75" ht="30" customHeight="1" x14ac:dyDescent="0.3"/>
    <row r="76" ht="30" customHeight="1" x14ac:dyDescent="0.3"/>
    <row r="77" ht="30" customHeight="1" x14ac:dyDescent="0.3"/>
    <row r="78" ht="30" customHeight="1" x14ac:dyDescent="0.3"/>
    <row r="79" ht="30" customHeight="1" x14ac:dyDescent="0.3"/>
    <row r="80" ht="30" customHeight="1" x14ac:dyDescent="0.3"/>
    <row r="81" ht="30" customHeight="1" x14ac:dyDescent="0.3"/>
    <row r="82" ht="30" customHeight="1" x14ac:dyDescent="0.3"/>
    <row r="83" ht="30" customHeight="1" x14ac:dyDescent="0.3"/>
    <row r="84" ht="30" customHeight="1" x14ac:dyDescent="0.3"/>
    <row r="85" ht="30" customHeight="1" x14ac:dyDescent="0.3"/>
    <row r="86" ht="30" customHeight="1" x14ac:dyDescent="0.3"/>
    <row r="87" ht="30" customHeight="1" x14ac:dyDescent="0.3"/>
    <row r="88" ht="30" customHeight="1" x14ac:dyDescent="0.3"/>
    <row r="89" ht="30" customHeight="1" x14ac:dyDescent="0.3"/>
    <row r="90" ht="30" customHeight="1" x14ac:dyDescent="0.3"/>
    <row r="91" ht="30" customHeight="1" x14ac:dyDescent="0.3"/>
    <row r="92" ht="30" customHeight="1" x14ac:dyDescent="0.3"/>
    <row r="93" ht="30" customHeight="1" x14ac:dyDescent="0.3"/>
    <row r="94" ht="30" customHeight="1" x14ac:dyDescent="0.3"/>
    <row r="95" ht="30" customHeight="1" x14ac:dyDescent="0.3"/>
    <row r="96" ht="30" customHeight="1" x14ac:dyDescent="0.3"/>
    <row r="97" ht="30" customHeight="1" x14ac:dyDescent="0.3"/>
    <row r="98" ht="30" customHeight="1" x14ac:dyDescent="0.3"/>
    <row r="99" ht="30" customHeight="1" x14ac:dyDescent="0.3"/>
    <row r="100" ht="30" customHeight="1" x14ac:dyDescent="0.3"/>
  </sheetData>
  <sheetProtection password="FB8C" sheet="1" objects="1" scenarios="1" formatCells="0" formatColumns="0" formatRows="0"/>
  <mergeCells count="381">
    <mergeCell ref="A1:H2"/>
    <mergeCell ref="A7:J7"/>
    <mergeCell ref="K7:N7"/>
    <mergeCell ref="O7:R7"/>
    <mergeCell ref="S7:V7"/>
    <mergeCell ref="E9:E10"/>
    <mergeCell ref="C9:C10"/>
    <mergeCell ref="H9:H10"/>
    <mergeCell ref="B9:B10"/>
    <mergeCell ref="L9:L10"/>
    <mergeCell ref="R9:R10"/>
    <mergeCell ref="P9:P10"/>
    <mergeCell ref="Q9:Q10"/>
    <mergeCell ref="I9:I10"/>
    <mergeCell ref="F9:F10"/>
    <mergeCell ref="M9:M10"/>
    <mergeCell ref="AA9:AA10"/>
    <mergeCell ref="X9:X10"/>
    <mergeCell ref="Y9:Y10"/>
    <mergeCell ref="Z9:Z10"/>
    <mergeCell ref="J9:J10"/>
    <mergeCell ref="AB9:AB10"/>
    <mergeCell ref="AC9:AC10"/>
    <mergeCell ref="AD9:AD10"/>
    <mergeCell ref="AA11:AA12"/>
    <mergeCell ref="N9:N10"/>
    <mergeCell ref="T9:T10"/>
    <mergeCell ref="U9:U10"/>
    <mergeCell ref="V9:V10"/>
    <mergeCell ref="AB11:AB12"/>
    <mergeCell ref="AC11:AC12"/>
    <mergeCell ref="AD11:AD12"/>
    <mergeCell ref="W7:Z7"/>
    <mergeCell ref="A9:A10"/>
    <mergeCell ref="G9:G10"/>
    <mergeCell ref="A11:A12"/>
    <mergeCell ref="B11:B12"/>
    <mergeCell ref="C11:C12"/>
    <mergeCell ref="E11:E12"/>
    <mergeCell ref="F11:F12"/>
    <mergeCell ref="G11:G12"/>
    <mergeCell ref="H11:H12"/>
    <mergeCell ref="I11:I12"/>
    <mergeCell ref="J11:J12"/>
    <mergeCell ref="L11:L12"/>
    <mergeCell ref="M11:M12"/>
    <mergeCell ref="N11:N12"/>
    <mergeCell ref="P11:P12"/>
    <mergeCell ref="Q11:Q12"/>
    <mergeCell ref="R11:R12"/>
    <mergeCell ref="T11:T12"/>
    <mergeCell ref="U11:U12"/>
    <mergeCell ref="V11:V12"/>
    <mergeCell ref="X11:X12"/>
    <mergeCell ref="Y11:Y12"/>
    <mergeCell ref="Z11:Z12"/>
    <mergeCell ref="A13:A14"/>
    <mergeCell ref="B13:B14"/>
    <mergeCell ref="C13:C14"/>
    <mergeCell ref="E13:E14"/>
    <mergeCell ref="F13:F14"/>
    <mergeCell ref="G13:G14"/>
    <mergeCell ref="H13:H14"/>
    <mergeCell ref="I13:I14"/>
    <mergeCell ref="J13:J14"/>
    <mergeCell ref="A15:A16"/>
    <mergeCell ref="B15:B16"/>
    <mergeCell ref="C15:C16"/>
    <mergeCell ref="E15:E16"/>
    <mergeCell ref="F15:F16"/>
    <mergeCell ref="G15:G16"/>
    <mergeCell ref="H15:H16"/>
    <mergeCell ref="I15:I16"/>
    <mergeCell ref="J15:J16"/>
    <mergeCell ref="V15:V16"/>
    <mergeCell ref="X15:X16"/>
    <mergeCell ref="Y15:Y16"/>
    <mergeCell ref="Z15:Z16"/>
    <mergeCell ref="AA15:AA16"/>
    <mergeCell ref="V13:V14"/>
    <mergeCell ref="X13:X14"/>
    <mergeCell ref="L15:L16"/>
    <mergeCell ref="M15:M16"/>
    <mergeCell ref="N15:N16"/>
    <mergeCell ref="P15:P16"/>
    <mergeCell ref="Q15:Q16"/>
    <mergeCell ref="R15:R16"/>
    <mergeCell ref="T15:T16"/>
    <mergeCell ref="U15:U16"/>
    <mergeCell ref="L13:L14"/>
    <mergeCell ref="M13:M14"/>
    <mergeCell ref="N13:N14"/>
    <mergeCell ref="P13:P14"/>
    <mergeCell ref="Q13:Q14"/>
    <mergeCell ref="R13:R14"/>
    <mergeCell ref="T13:T14"/>
    <mergeCell ref="U13:U14"/>
    <mergeCell ref="AB15:AB16"/>
    <mergeCell ref="AC15:AC16"/>
    <mergeCell ref="AD15:AD16"/>
    <mergeCell ref="Y13:Y14"/>
    <mergeCell ref="Z13:Z14"/>
    <mergeCell ref="AA13:AA14"/>
    <mergeCell ref="AB13:AB14"/>
    <mergeCell ref="AC13:AC14"/>
    <mergeCell ref="AD13:AD14"/>
    <mergeCell ref="U17:U18"/>
    <mergeCell ref="V17:V18"/>
    <mergeCell ref="A17:A18"/>
    <mergeCell ref="B17:B18"/>
    <mergeCell ref="C17:C18"/>
    <mergeCell ref="E17:E18"/>
    <mergeCell ref="F17:F18"/>
    <mergeCell ref="G17:G18"/>
    <mergeCell ref="H17:H18"/>
    <mergeCell ref="I17:I18"/>
    <mergeCell ref="J17:J18"/>
    <mergeCell ref="L19:L20"/>
    <mergeCell ref="M19:M20"/>
    <mergeCell ref="N19:N20"/>
    <mergeCell ref="P19:P20"/>
    <mergeCell ref="Q19:Q20"/>
    <mergeCell ref="R19:R20"/>
    <mergeCell ref="T19:T20"/>
    <mergeCell ref="L17:L18"/>
    <mergeCell ref="M17:M18"/>
    <mergeCell ref="N17:N18"/>
    <mergeCell ref="P17:P18"/>
    <mergeCell ref="Q17:Q18"/>
    <mergeCell ref="R17:R18"/>
    <mergeCell ref="T17:T18"/>
    <mergeCell ref="A19:A20"/>
    <mergeCell ref="B19:B20"/>
    <mergeCell ref="C19:C20"/>
    <mergeCell ref="E19:E20"/>
    <mergeCell ref="F19:F20"/>
    <mergeCell ref="G19:G20"/>
    <mergeCell ref="H19:H20"/>
    <mergeCell ref="I19:I20"/>
    <mergeCell ref="J19:J20"/>
    <mergeCell ref="AC19:AC20"/>
    <mergeCell ref="AD19:AD20"/>
    <mergeCell ref="X17:X18"/>
    <mergeCell ref="Y17:Y18"/>
    <mergeCell ref="Z17:Z18"/>
    <mergeCell ref="AA17:AA18"/>
    <mergeCell ref="AB17:AB18"/>
    <mergeCell ref="AC17:AC18"/>
    <mergeCell ref="AD17:AD18"/>
    <mergeCell ref="Y21:Y22"/>
    <mergeCell ref="Z21:Z22"/>
    <mergeCell ref="AA21:AA22"/>
    <mergeCell ref="AB21:AB22"/>
    <mergeCell ref="U19:U20"/>
    <mergeCell ref="V19:V20"/>
    <mergeCell ref="X19:X20"/>
    <mergeCell ref="Y19:Y20"/>
    <mergeCell ref="Z19:Z20"/>
    <mergeCell ref="AA19:AA20"/>
    <mergeCell ref="AB19:AB20"/>
    <mergeCell ref="M21:M22"/>
    <mergeCell ref="N21:N22"/>
    <mergeCell ref="P21:P22"/>
    <mergeCell ref="Q21:Q22"/>
    <mergeCell ref="R21:R22"/>
    <mergeCell ref="T21:T22"/>
    <mergeCell ref="U21:U22"/>
    <mergeCell ref="V21:V22"/>
    <mergeCell ref="X21:X22"/>
    <mergeCell ref="B21:B22"/>
    <mergeCell ref="C21:C22"/>
    <mergeCell ref="E21:E22"/>
    <mergeCell ref="F21:F22"/>
    <mergeCell ref="G21:G22"/>
    <mergeCell ref="H21:H22"/>
    <mergeCell ref="I21:I22"/>
    <mergeCell ref="J21:J22"/>
    <mergeCell ref="L21:L22"/>
    <mergeCell ref="AC21:AC22"/>
    <mergeCell ref="AD21:AD22"/>
    <mergeCell ref="A23:A24"/>
    <mergeCell ref="B23:B24"/>
    <mergeCell ref="C23:C24"/>
    <mergeCell ref="E23:E24"/>
    <mergeCell ref="F23:F24"/>
    <mergeCell ref="G23:G24"/>
    <mergeCell ref="H23:H24"/>
    <mergeCell ref="I23:I24"/>
    <mergeCell ref="J23:J24"/>
    <mergeCell ref="L23:L24"/>
    <mergeCell ref="M23:M24"/>
    <mergeCell ref="N23:N24"/>
    <mergeCell ref="P23:P24"/>
    <mergeCell ref="Q23:Q24"/>
    <mergeCell ref="R23:R24"/>
    <mergeCell ref="T23:T24"/>
    <mergeCell ref="U23:U24"/>
    <mergeCell ref="V23:V24"/>
    <mergeCell ref="X23:X24"/>
    <mergeCell ref="Y23:Y24"/>
    <mergeCell ref="Z23:Z24"/>
    <mergeCell ref="A21:A22"/>
    <mergeCell ref="AB23:AB24"/>
    <mergeCell ref="AC23:AC24"/>
    <mergeCell ref="AD23:AD24"/>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5:T26"/>
    <mergeCell ref="U25:U26"/>
    <mergeCell ref="V25:V26"/>
    <mergeCell ref="X25:X26"/>
    <mergeCell ref="L27:L28"/>
    <mergeCell ref="M27:M28"/>
    <mergeCell ref="N27:N28"/>
    <mergeCell ref="P27:P28"/>
    <mergeCell ref="Q27:Q28"/>
    <mergeCell ref="R27:R28"/>
    <mergeCell ref="T27:T28"/>
    <mergeCell ref="U27:U28"/>
    <mergeCell ref="AA23:AA24"/>
    <mergeCell ref="V27:V28"/>
    <mergeCell ref="X27:X28"/>
    <mergeCell ref="Y27:Y28"/>
    <mergeCell ref="Z27:Z28"/>
    <mergeCell ref="AA27:AA28"/>
    <mergeCell ref="A27:A28"/>
    <mergeCell ref="B27:B28"/>
    <mergeCell ref="C27:C28"/>
    <mergeCell ref="E27:E28"/>
    <mergeCell ref="F27:F28"/>
    <mergeCell ref="G27:G28"/>
    <mergeCell ref="H27:H28"/>
    <mergeCell ref="I27:I28"/>
    <mergeCell ref="J27:J28"/>
    <mergeCell ref="AB27:AB28"/>
    <mergeCell ref="AC27:AC28"/>
    <mergeCell ref="AD27:AD28"/>
    <mergeCell ref="Y25:Y26"/>
    <mergeCell ref="Z25:Z26"/>
    <mergeCell ref="AA25:AA26"/>
    <mergeCell ref="AB25:AB26"/>
    <mergeCell ref="AC25:AC26"/>
    <mergeCell ref="AD25:AD26"/>
    <mergeCell ref="U29:U30"/>
    <mergeCell ref="V29:V30"/>
    <mergeCell ref="A29:A30"/>
    <mergeCell ref="B29:B30"/>
    <mergeCell ref="C29:C30"/>
    <mergeCell ref="E29:E30"/>
    <mergeCell ref="F29:F30"/>
    <mergeCell ref="G29:G30"/>
    <mergeCell ref="H29:H30"/>
    <mergeCell ref="I29:I30"/>
    <mergeCell ref="J29:J30"/>
    <mergeCell ref="L31:L32"/>
    <mergeCell ref="M31:M32"/>
    <mergeCell ref="N31:N32"/>
    <mergeCell ref="P31:P32"/>
    <mergeCell ref="Q31:Q32"/>
    <mergeCell ref="R31:R32"/>
    <mergeCell ref="T31:T32"/>
    <mergeCell ref="L29:L30"/>
    <mergeCell ref="M29:M30"/>
    <mergeCell ref="N29:N30"/>
    <mergeCell ref="P29:P30"/>
    <mergeCell ref="Q29:Q30"/>
    <mergeCell ref="R29:R30"/>
    <mergeCell ref="T29:T30"/>
    <mergeCell ref="A31:A32"/>
    <mergeCell ref="B31:B32"/>
    <mergeCell ref="C31:C32"/>
    <mergeCell ref="E31:E32"/>
    <mergeCell ref="F31:F32"/>
    <mergeCell ref="G31:G32"/>
    <mergeCell ref="H31:H32"/>
    <mergeCell ref="I31:I32"/>
    <mergeCell ref="J31:J32"/>
    <mergeCell ref="AC31:AC32"/>
    <mergeCell ref="AD31:AD32"/>
    <mergeCell ref="X29:X30"/>
    <mergeCell ref="Y29:Y30"/>
    <mergeCell ref="Z29:Z30"/>
    <mergeCell ref="AA29:AA30"/>
    <mergeCell ref="AB29:AB30"/>
    <mergeCell ref="AC29:AC30"/>
    <mergeCell ref="AD29:AD30"/>
    <mergeCell ref="Z33:Z34"/>
    <mergeCell ref="AA33:AA34"/>
    <mergeCell ref="AB33:AB34"/>
    <mergeCell ref="U31:U32"/>
    <mergeCell ref="V31:V32"/>
    <mergeCell ref="X31:X32"/>
    <mergeCell ref="Y31:Y32"/>
    <mergeCell ref="Z31:Z32"/>
    <mergeCell ref="AA31:AA32"/>
    <mergeCell ref="AB31:AB32"/>
    <mergeCell ref="V35:V36"/>
    <mergeCell ref="X35:X36"/>
    <mergeCell ref="Y35:Y36"/>
    <mergeCell ref="Z35:Z36"/>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R33:R34"/>
    <mergeCell ref="T33:T34"/>
    <mergeCell ref="U33:U34"/>
    <mergeCell ref="V33:V34"/>
    <mergeCell ref="X33:X34"/>
    <mergeCell ref="Y33:Y34"/>
    <mergeCell ref="AC37:AC38"/>
    <mergeCell ref="T37:T38"/>
    <mergeCell ref="U37:U38"/>
    <mergeCell ref="V37:V38"/>
    <mergeCell ref="X37:X38"/>
    <mergeCell ref="AC33:AC34"/>
    <mergeCell ref="AD33:AD34"/>
    <mergeCell ref="A35:A36"/>
    <mergeCell ref="B35:B36"/>
    <mergeCell ref="C35:C36"/>
    <mergeCell ref="E35:E36"/>
    <mergeCell ref="F35:F36"/>
    <mergeCell ref="G35:G36"/>
    <mergeCell ref="H35:H36"/>
    <mergeCell ref="I35:I36"/>
    <mergeCell ref="J35:J36"/>
    <mergeCell ref="L35:L36"/>
    <mergeCell ref="M35:M36"/>
    <mergeCell ref="N35:N36"/>
    <mergeCell ref="P35:P36"/>
    <mergeCell ref="Q35:Q36"/>
    <mergeCell ref="R35:R36"/>
    <mergeCell ref="T35:T36"/>
    <mergeCell ref="U35:U36"/>
    <mergeCell ref="Y37:Y38"/>
    <mergeCell ref="Z37:Z38"/>
    <mergeCell ref="AA35:AA36"/>
    <mergeCell ref="AB35:AB36"/>
    <mergeCell ref="AC35:AC36"/>
    <mergeCell ref="AD35:AD36"/>
    <mergeCell ref="AD37:AD38"/>
    <mergeCell ref="A37:A38"/>
    <mergeCell ref="B37:B38"/>
    <mergeCell ref="C37:C38"/>
    <mergeCell ref="E37:E38"/>
    <mergeCell ref="F37:F38"/>
    <mergeCell ref="G37:G38"/>
    <mergeCell ref="H37:H38"/>
    <mergeCell ref="I37:I38"/>
    <mergeCell ref="J37:J38"/>
    <mergeCell ref="L37:L38"/>
    <mergeCell ref="M37:M38"/>
    <mergeCell ref="N37:N38"/>
    <mergeCell ref="P37:P38"/>
    <mergeCell ref="Q37:Q38"/>
    <mergeCell ref="R37:R38"/>
    <mergeCell ref="AA37:AA38"/>
    <mergeCell ref="AB37:AB38"/>
  </mergeCells>
  <conditionalFormatting sqref="A9 A13 A17 A21 A25 A29 A33 A37">
    <cfRule type="expression" dxfId="1265" priority="383">
      <formula>#REF!="Yes"</formula>
    </cfRule>
  </conditionalFormatting>
  <conditionalFormatting sqref="A9 A13 A17 A21 A25 A29 A33 A37 A15 A19 A23 A27 A31 A35">
    <cfRule type="expression" dxfId="1264" priority="438">
      <formula>$AE9:$AE10="[Record ID]"</formula>
    </cfRule>
  </conditionalFormatting>
  <conditionalFormatting sqref="K7 O7 S7 W7">
    <cfRule type="expression" dxfId="1263" priority="260">
      <formula>$AK7:$AK9="[Record ID]"</formula>
    </cfRule>
  </conditionalFormatting>
  <conditionalFormatting sqref="K7 O7 S7 W7">
    <cfRule type="expression" dxfId="1262" priority="259">
      <formula>$L7="Yes"</formula>
    </cfRule>
  </conditionalFormatting>
  <conditionalFormatting sqref="K9:N12 K17:N38 K13:L16 N13:N16">
    <cfRule type="expression" dxfId="1261" priority="244">
      <formula>AND(OR($K9&lt;&gt;"",$K10&lt;&gt;"",$L9&lt;&gt;""),$N9="TBD")</formula>
    </cfRule>
  </conditionalFormatting>
  <conditionalFormatting sqref="K10 K12 K14 K16 K18 K20 K22 K24 K26 K28 K30 K32 K34 K36 K38">
    <cfRule type="expression" dxfId="1260" priority="245">
      <formula>AND(OR($K9&lt;&gt;"",$K10&lt;&gt;"",$L9&lt;&gt;""),$N9="TBD")</formula>
    </cfRule>
  </conditionalFormatting>
  <conditionalFormatting sqref="O9:R12 O15:R38 O13:P14 R13:R14">
    <cfRule type="expression" dxfId="1259" priority="242">
      <formula>AND(OR($O9&lt;&gt;"",$O10&lt;&gt;"",$P9&lt;&gt;""),$R9="TBD")</formula>
    </cfRule>
  </conditionalFormatting>
  <conditionalFormatting sqref="O10 O12 O14 O16 O18 O20 O22 O24 O26 O28 O30 O32 O34 O36 O38">
    <cfRule type="expression" dxfId="1258" priority="243">
      <formula>AND(OR($O9&lt;&gt;"",$O10&lt;&gt;"",$P9&lt;&gt;""),$R9="TBD")</formula>
    </cfRule>
  </conditionalFormatting>
  <conditionalFormatting sqref="S17:V38 S9:T16 V9:V16">
    <cfRule type="expression" dxfId="1257" priority="240">
      <formula>AND(OR($S9&lt;&gt;"",$S10&lt;&gt;"",$T9&lt;&gt;""),$V9="TBD")</formula>
    </cfRule>
  </conditionalFormatting>
  <conditionalFormatting sqref="S10 S12 S14 S16 S18 S20 S22 S24 S26 S28 S30 S32 S34 S36 S38">
    <cfRule type="expression" dxfId="1256" priority="241">
      <formula>AND(OR($S9&lt;&gt;"",$S10&lt;&gt;"",$T9&lt;&gt;""),$V9="TBD")</formula>
    </cfRule>
  </conditionalFormatting>
  <conditionalFormatting sqref="W9:Z38">
    <cfRule type="expression" dxfId="1255" priority="236">
      <formula>AND(OR($W9&lt;&gt;"",$W10&lt;&gt;"",$X9&lt;&gt;""),$Z9="TBD")</formula>
    </cfRule>
  </conditionalFormatting>
  <conditionalFormatting sqref="W10 W12 W14 W16 W18 W20 W22 W24 W26 W28 W30 W32 W34 W36 W38">
    <cfRule type="expression" dxfId="1254" priority="237">
      <formula>AND(OR($W9&lt;&gt;"",$W10&lt;&gt;"",$X9&lt;&gt;""),$Z9="TBD")</formula>
    </cfRule>
  </conditionalFormatting>
  <conditionalFormatting sqref="B9:C38">
    <cfRule type="expression" dxfId="1253" priority="235">
      <formula>AND($B9&lt;&gt;"",$C9&lt;&gt;"")</formula>
    </cfRule>
  </conditionalFormatting>
  <conditionalFormatting sqref="A11 A15 A19 A23 A27 A31 A35">
    <cfRule type="expression" dxfId="1252" priority="230">
      <formula>#REF!="Yes"</formula>
    </cfRule>
  </conditionalFormatting>
  <conditionalFormatting sqref="A11">
    <cfRule type="expression" dxfId="1251" priority="231">
      <formula>$AE11:$AE12="[Record ID]"</formula>
    </cfRule>
  </conditionalFormatting>
  <conditionalFormatting sqref="M13:M14">
    <cfRule type="expression" dxfId="1250" priority="7">
      <formula>AND(OR($L13&lt;&gt;"",$L14&lt;&gt;"",$M13&lt;&gt;""),$O13="TBD")</formula>
    </cfRule>
  </conditionalFormatting>
  <conditionalFormatting sqref="M15:M16">
    <cfRule type="expression" dxfId="1249" priority="6">
      <formula>AND(OR($L15&lt;&gt;"",$L16&lt;&gt;"",$M15&lt;&gt;""),$O15="TBD")</formula>
    </cfRule>
  </conditionalFormatting>
  <conditionalFormatting sqref="Q13:Q14">
    <cfRule type="expression" dxfId="1248" priority="5">
      <formula>AND(OR($Q13&lt;&gt;"",$Q14&lt;&gt;"",$R13&lt;&gt;""),$T13="TBD")</formula>
    </cfRule>
  </conditionalFormatting>
  <conditionalFormatting sqref="U13:U14">
    <cfRule type="expression" dxfId="1247" priority="4">
      <formula>AND(OR($V13&lt;&gt;"",$V14&lt;&gt;"",$W13&lt;&gt;""),$Y13="TBD")</formula>
    </cfRule>
  </conditionalFormatting>
  <conditionalFormatting sqref="U15:U16">
    <cfRule type="expression" dxfId="1246" priority="3">
      <formula>AND(OR($V15&lt;&gt;"",$V16&lt;&gt;"",$W15&lt;&gt;""),$Y15="TBD")</formula>
    </cfRule>
  </conditionalFormatting>
  <conditionalFormatting sqref="U9:U10">
    <cfRule type="expression" dxfId="1245" priority="2">
      <formula>AND(OR($Q9&lt;&gt;"",$Q10&lt;&gt;"",$R9&lt;&gt;""),$T9="TBD")</formula>
    </cfRule>
  </conditionalFormatting>
  <conditionalFormatting sqref="U11:U12">
    <cfRule type="expression" dxfId="1244" priority="1">
      <formula>AND(OR($Q11&lt;&gt;"",$Q12&lt;&gt;"",$R11&lt;&gt;""),$T11="TBD")</formula>
    </cfRule>
  </conditionalFormatting>
  <dataValidations count="6">
    <dataValidation type="list" allowBlank="1" showInputMessage="1" showErrorMessage="1" sqref="B9:B38" xr:uid="{BCBB2078-6EA1-45B3-864A-338F979F0361}">
      <formula1>OutcomeIndicator</formula1>
    </dataValidation>
    <dataValidation type="list" allowBlank="1" showInputMessage="1" showErrorMessage="1" sqref="J9:J38" xr:uid="{78C4BC53-57FF-4B89-81DD-E8EE976FF775}">
      <formula1>Country</formula1>
    </dataValidation>
    <dataValidation type="decimal" operator="greaterThan" allowBlank="1" showInputMessage="1" showErrorMessage="1" sqref="D9:D38 S9:S38 O9:P38 K9:L38 W9:X38" xr:uid="{9F8DA2CC-6B59-47A7-86BC-D5D86BF07C1C}">
      <formula1>0</formula1>
    </dataValidation>
    <dataValidation type="list" allowBlank="1" showInputMessage="1" showErrorMessage="1" sqref="F9:F38" xr:uid="{A7626ABF-4D80-4896-8837-770A6A86976C}">
      <formula1>baseline_validation</formula1>
    </dataValidation>
    <dataValidation type="date" operator="greaterThan" allowBlank="1" showInputMessage="1" showErrorMessage="1" sqref="M9:M38 Y9:Y38 U9:U38 Q9:Q38" xr:uid="{FA06AD1C-532D-400C-A3C6-E17682DB0598}">
      <formula1>36526</formula1>
    </dataValidation>
    <dataValidation type="list" allowBlank="1" showInputMessage="1" showErrorMessage="1" sqref="I9:I38" xr:uid="{30EC5C81-4944-48C6-9650-1D8A1AADA27E}">
      <formula1>MergedAndDistinctPR</formula1>
    </dataValidation>
  </dataValidations>
  <hyperlinks>
    <hyperlink ref="B5" location="'Instructions-FR'!InstructionC" display="'Instructions-FR'!InstructionC" xr:uid="{6905455F-5BE4-4740-8464-0F87A5BF132A}"/>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71D1A4A2-A495-4DE5-8D55-B55DD235C5A2}">
          <x14:formula1>
            <xm:f>IF(OR($K9&lt;&gt;"",$K10&lt;&gt;"",$L9&lt;&gt;""),INDIRECT("FakeRange"),Setup!A$29)</xm:f>
          </x14:formula1>
          <xm:sqref>N9:N38</xm:sqref>
        </x14:dataValidation>
        <x14:dataValidation type="list" allowBlank="1" showInputMessage="1" showErrorMessage="1" xr:uid="{44E8D1F4-20AD-4BF4-BB74-A7A7ED810971}">
          <x14:formula1>
            <xm:f>IF(OR($O9&lt;&gt;"",$O10&lt;&gt;"",$P9&lt;&gt;""),INDIRECT("FakeRange"),Setup!A$29)</xm:f>
          </x14:formula1>
          <xm:sqref>R9:R38</xm:sqref>
        </x14:dataValidation>
        <x14:dataValidation type="list" allowBlank="1" showInputMessage="1" showErrorMessage="1" xr:uid="{0B36D20C-BADA-453B-A6D0-42D5A5BEB446}">
          <x14:formula1>
            <xm:f>IF(OR($S9&lt;&gt;"",$S10&lt;&gt;"",$T9&lt;&gt;""),INDIRECT("FakeRange"),Setup!A$29)</xm:f>
          </x14:formula1>
          <xm:sqref>V9:V38</xm:sqref>
        </x14:dataValidation>
        <x14:dataValidation type="list" allowBlank="1" showInputMessage="1" showErrorMessage="1" xr:uid="{2BE3B981-91CB-4587-974F-B7EEA87B4ADA}">
          <x14:formula1>
            <xm:f>IF(OR($W9&lt;&gt;"",$W10&lt;&gt;"",$X9&lt;&gt;""),INDIRECT("FakeRange"),Setup!A$29)</xm:f>
          </x14:formula1>
          <xm:sqref>Z9:Z38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XEP102"/>
  <sheetViews>
    <sheetView showGridLines="0" topLeftCell="AG25" zoomScale="78" zoomScaleNormal="78" workbookViewId="0">
      <selection activeCell="BG49" sqref="BG49"/>
    </sheetView>
  </sheetViews>
  <sheetFormatPr defaultRowHeight="15.6" x14ac:dyDescent="0.3"/>
  <cols>
    <col min="1" max="1" width="22.69921875" customWidth="1"/>
    <col min="2" max="5" width="30.69921875" customWidth="1"/>
    <col min="6" max="6" width="14.8984375" customWidth="1"/>
    <col min="7" max="7" width="17.69921875" customWidth="1"/>
    <col min="8" max="8" width="18.5" customWidth="1"/>
    <col min="9" max="9" width="30.69921875" customWidth="1"/>
    <col min="10" max="10" width="40.69921875" customWidth="1"/>
    <col min="11" max="11" width="21" customWidth="1"/>
    <col min="12" max="12" width="30.69921875" style="176" customWidth="1"/>
    <col min="13" max="13" width="48.09765625" customWidth="1"/>
    <col min="14" max="14" width="34.8984375" customWidth="1"/>
    <col min="15" max="15" width="16.69921875" customWidth="1"/>
    <col min="16" max="16" width="15.3984375" customWidth="1"/>
    <col min="17" max="17" width="13.19921875" customWidth="1"/>
    <col min="18" max="18" width="11.69921875" customWidth="1"/>
    <col min="19" max="19" width="14.09765625" customWidth="1"/>
    <col min="20" max="20" width="15.69921875" customWidth="1"/>
    <col min="21" max="21" width="12.59765625" customWidth="1"/>
    <col min="22" max="22" width="10.69921875" customWidth="1"/>
    <col min="23" max="23" width="12.69921875" customWidth="1"/>
    <col min="24" max="26" width="12.69921875" style="204" customWidth="1"/>
    <col min="27" max="27" width="14.19921875" customWidth="1"/>
    <col min="28" max="28" width="11.09765625" customWidth="1"/>
    <col min="29" max="29" width="13.19921875" customWidth="1"/>
    <col min="30" max="30" width="14.19921875" customWidth="1"/>
    <col min="31" max="31" width="10.09765625" customWidth="1"/>
    <col min="32" max="32" width="16.69921875" customWidth="1"/>
    <col min="33" max="33" width="14.19921875" customWidth="1"/>
    <col min="34" max="34" width="13.69921875" customWidth="1"/>
    <col min="35" max="35" width="16.59765625" customWidth="1"/>
    <col min="36" max="36" width="14.19921875" customWidth="1"/>
    <col min="37" max="37" width="13.69921875" customWidth="1"/>
    <col min="38" max="38" width="16.59765625" customWidth="1"/>
    <col min="39" max="39" width="50.8984375" customWidth="1"/>
    <col min="40" max="40" width="34.5" customWidth="1"/>
    <col min="41" max="41" width="30.59765625" customWidth="1"/>
    <col min="42" max="42" width="52.5" customWidth="1"/>
    <col min="43" max="47" width="8.69921875" hidden="1" customWidth="1"/>
    <col min="48" max="48" width="10.5" hidden="1" customWidth="1"/>
    <col min="49" max="51" width="9" hidden="1" customWidth="1"/>
    <col min="52" max="52" width="8.69921875" style="232" hidden="1" customWidth="1"/>
    <col min="53" max="53" width="25" hidden="1" customWidth="1"/>
    <col min="54" max="54" width="14.8984375" hidden="1" customWidth="1"/>
    <col min="55" max="55" width="15.5" hidden="1" customWidth="1"/>
    <col min="56" max="56" width="12.5" hidden="1" customWidth="1"/>
  </cols>
  <sheetData>
    <row r="1" spans="1:56 16369:16370" ht="15.6" customHeight="1" x14ac:dyDescent="0.3">
      <c r="A1" s="658" t="str">
        <f ca="1">Translations!A64</f>
        <v>Cadre de performance -Indicateurs de couverture - Section D</v>
      </c>
      <c r="B1" s="659"/>
      <c r="C1" s="659"/>
      <c r="D1" s="659"/>
      <c r="E1" s="659"/>
      <c r="F1" s="659"/>
      <c r="G1" s="659"/>
      <c r="XEO1" s="209" t="str">
        <f ca="1">Translations!$A$103</f>
        <v>Non applicable</v>
      </c>
      <c r="XEP1" s="232" t="str">
        <f ca="1">Translations!$A$103</f>
        <v>Non applicable</v>
      </c>
    </row>
    <row r="2" spans="1:56 16369:16370" ht="15.6" customHeight="1" x14ac:dyDescent="0.3">
      <c r="A2" s="659"/>
      <c r="B2" s="659"/>
      <c r="C2" s="659"/>
      <c r="D2" s="659"/>
      <c r="E2" s="659"/>
      <c r="F2" s="659"/>
      <c r="G2" s="659"/>
    </row>
    <row r="3" spans="1:56 16369:16370" ht="16.2" thickBot="1" x14ac:dyDescent="0.35"/>
    <row r="4" spans="1:56 16369:16370" ht="16.2" thickBot="1" x14ac:dyDescent="0.35">
      <c r="A4" s="175" t="str">
        <f ca="1">Translations!A12</f>
        <v>Navigation de page</v>
      </c>
      <c r="B4" s="177" t="str">
        <f ca="1">Translations!A48</f>
        <v>Instructions</v>
      </c>
      <c r="G4" s="211" t="s">
        <v>254</v>
      </c>
      <c r="AL4" t="s">
        <v>37</v>
      </c>
    </row>
    <row r="5" spans="1:56 16369:16370" x14ac:dyDescent="0.3">
      <c r="A5" s="176"/>
      <c r="B5" s="176"/>
      <c r="AA5" s="232"/>
    </row>
    <row r="6" spans="1:56 16369:16370" x14ac:dyDescent="0.3">
      <c r="D6" s="232"/>
      <c r="E6" s="232"/>
      <c r="O6" s="109">
        <v>2</v>
      </c>
      <c r="P6" s="109"/>
      <c r="Q6" s="109"/>
      <c r="R6" s="109">
        <v>3</v>
      </c>
      <c r="S6" s="109"/>
      <c r="T6" s="109"/>
      <c r="U6" s="109">
        <v>4</v>
      </c>
      <c r="V6" s="109"/>
      <c r="W6" s="109"/>
      <c r="X6" s="205">
        <v>5</v>
      </c>
      <c r="Y6" s="205"/>
      <c r="Z6" s="205"/>
      <c r="AA6" s="109">
        <v>6</v>
      </c>
      <c r="AB6" s="109"/>
      <c r="AC6" s="109"/>
      <c r="AD6" s="205">
        <v>7</v>
      </c>
      <c r="AG6" s="214">
        <v>8</v>
      </c>
      <c r="AJ6" s="205">
        <v>9</v>
      </c>
    </row>
    <row r="7" spans="1:56 16369:16370" x14ac:dyDescent="0.3">
      <c r="A7" s="171"/>
      <c r="B7" s="171"/>
      <c r="C7" s="171"/>
      <c r="D7" s="171"/>
      <c r="E7" s="171"/>
      <c r="F7" s="171"/>
      <c r="G7" s="171"/>
      <c r="H7" s="171"/>
      <c r="I7" s="171"/>
      <c r="J7" s="171"/>
      <c r="K7" s="171"/>
      <c r="L7" s="188"/>
      <c r="M7" s="171"/>
      <c r="N7" s="166"/>
      <c r="O7" s="661" t="str">
        <f ca="1">IFERROR(IF(YEAR(INDEX('Overview - Section A'!$A$46:$A$53,MATCH(O6,'Overview - Section A'!$B$46:$B$53,0)))&lt;=YEAR('Overview - Section A'!$E$11),TEXT(IFERROR(INDEX('Overview - Section A'!$A$46:$A$53,MATCH(O6,'Overview - Section A'!$B$46:$B$53,0)),""),Setup!$A$33) &amp;" to " &amp; TEXT(IFERROR(INDEX('Overview - Section A'!$E$46:$E$53,MATCH(O6,'Overview - Section A'!$B$46:$B$53,0)),""),Setup!$A$33),""),"")</f>
        <v>1-Jan-21 to 30-Jun-21</v>
      </c>
      <c r="P7" s="661"/>
      <c r="Q7" s="661"/>
      <c r="R7" s="661"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1-Jul-21 to 31-Dec-21</v>
      </c>
      <c r="S7" s="661"/>
      <c r="T7" s="661"/>
      <c r="U7" s="661" t="str">
        <f ca="1">IFERROR(IF(YEAR(INDEX('Overview - Section A'!$A$46:$A$53,MATCH(U6,'Overview - Section A'!$B$46:$B$53,0)))&lt;=YEAR('Overview - Section A'!$E$11),TEXT(IFERROR(INDEX('Overview - Section A'!$A$46:$A$53,MATCH(U6,'Overview - Section A'!$B$46:$B$53,0)),""),Setup!$A$33) &amp;" to " &amp; TEXT(IFERROR(INDEX('Overview - Section A'!$E$46:$E$53,MATCH(U6,'Overview - Section A'!$B$46:$B$53,0)),""),Setup!$A$33),""),"")</f>
        <v>1-Jan-22 to 30-Jun-22</v>
      </c>
      <c r="V7" s="661"/>
      <c r="W7" s="661"/>
      <c r="X7" s="662" t="str">
        <f ca="1">IFERROR(IF(YEAR(INDEX('Overview - Section A'!$A$46:$A$53,MATCH(X6,'Overview - Section A'!$B$46:$B$53,0)))&lt;=YEAR('Overview - Section A'!$E$11),TEXT(IFERROR(INDEX('Overview - Section A'!$A$46:$A$53,MATCH(X6,'Overview - Section A'!$B$46:$B$53,0)),""),Setup!$A$33) &amp;" to " &amp; TEXT(IFERROR(INDEX('Overview - Section A'!$E$46:$E$53,MATCH(X6,'Overview - Section A'!$B$46:$B$53,0)),""),Setup!$A$33),""),"")</f>
        <v>1-Jul-22 to 31-Dec-22</v>
      </c>
      <c r="Y7" s="663"/>
      <c r="Z7" s="664"/>
      <c r="AA7" s="661" t="str">
        <f ca="1">IFERROR(IF(YEAR(INDEX('Overview - Section A'!$A$46:$A$53,MATCH(AA6,'Overview - Section A'!$B$46:$B$53,0)))&lt;=YEAR('Overview - Section A'!$E$11),TEXT(IFERROR(INDEX('Overview - Section A'!$A$46:$A$53,MATCH(AA6,'Overview - Section A'!$B$46:$B$53,0)),""),Setup!$A$33) &amp;" to " &amp; TEXT(IFERROR(INDEX('Overview - Section A'!$E$46:$E$53,MATCH(AA6,'Overview - Section A'!$B$46:$B$53,0)),""),Setup!$A$33),""),"")</f>
        <v>1-Jan-23 to 30-Jun-23</v>
      </c>
      <c r="AB7" s="661"/>
      <c r="AC7" s="661"/>
      <c r="AD7" s="661" t="str">
        <f ca="1">IFERROR(IF(YEAR(INDEX('Overview - Section A'!$A$46:$A$53,MATCH(AD6,'Overview - Section A'!$B$46:$B$53,0)))&lt;=YEAR('Overview - Section A'!$E$11),TEXT(IFERROR(INDEX('Overview - Section A'!$A$46:$A$53,MATCH(AD6,'Overview - Section A'!$B$46:$B$53,0)),""),Setup!$A$33) &amp;" to " &amp; TEXT(IFERROR(INDEX('Overview - Section A'!$E$46:$E$53,MATCH(AD6,'Overview - Section A'!$B$46:$B$53,0)),""),Setup!$A$33),""),"")</f>
        <v>1-Jul-23 to 31-Dec-23</v>
      </c>
      <c r="AE7" s="661"/>
      <c r="AF7" s="661"/>
      <c r="AG7" s="661" t="str">
        <f>IFERROR(IF(YEAR(INDEX('Overview - Section A'!$A$46:$A$53,MATCH(AG6,'Overview - Section A'!$B$46:$B$53,0)))&lt;=YEAR('Overview - Section A'!$E$11),TEXT(IFERROR(INDEX('Overview - Section A'!$A$46:$A$53,MATCH(AG6,'Overview - Section A'!$B$46:$B$53,0)),""),Setup!$A$33) &amp;" to " &amp; TEXT(IFERROR(INDEX('Overview - Section A'!$E$46:$E$53,MATCH(AG6,'Overview - Section A'!$B$46:$B$53,0)),""),Setup!$A$33),""),"")</f>
        <v/>
      </c>
      <c r="AH7" s="661"/>
      <c r="AI7" s="661"/>
      <c r="AJ7" s="661" t="str">
        <f>IFERROR(IF(YEAR(INDEX('Overview - Section A'!$A$46:$A$53,MATCH(AJ6,'Overview - Section A'!$B$46:$B$53,0)))&lt;=YEAR('Overview - Section A'!$E$11),TEXT(IFERROR(INDEX('Overview - Section A'!$A$46:$A$53,MATCH(AJ6,'Overview - Section A'!$B$46:$B$53,0)),""),Setup!$A$33) &amp;" to " &amp; TEXT(IFERROR(INDEX('Overview - Section A'!$E$46:$E$53,MATCH(AJ6,'Overview - Section A'!$B$46:$B$53,0)),""),Setup!$A$33),""),"")</f>
        <v/>
      </c>
      <c r="AK7" s="661"/>
      <c r="AL7" s="661"/>
      <c r="AM7" s="167"/>
      <c r="AN7" s="248"/>
      <c r="AO7" s="248"/>
      <c r="AP7" s="248"/>
      <c r="AR7" s="209"/>
      <c r="AS7" s="209"/>
      <c r="AT7" s="209"/>
      <c r="AU7" s="209"/>
      <c r="AV7" s="209"/>
      <c r="AW7" s="209"/>
      <c r="AX7" s="209"/>
      <c r="AY7" s="209"/>
    </row>
    <row r="8" spans="1:56 16369:16370" ht="62.4" x14ac:dyDescent="0.3">
      <c r="A8" s="245" t="str">
        <f ca="1">Translations!A65</f>
        <v xml:space="preserve">Numéro de l'indicateur de couverture </v>
      </c>
      <c r="B8" s="245" t="s">
        <v>798</v>
      </c>
      <c r="C8" s="245" t="s">
        <v>279</v>
      </c>
      <c r="D8" s="245" t="s">
        <v>595</v>
      </c>
      <c r="E8" s="245" t="s">
        <v>8011</v>
      </c>
      <c r="F8" s="245" t="s">
        <v>812</v>
      </c>
      <c r="G8" s="245" t="str">
        <f ca="1">Translations!A41</f>
        <v>Référence %</v>
      </c>
      <c r="H8" s="245" t="s">
        <v>440</v>
      </c>
      <c r="I8" s="245" t="s">
        <v>442</v>
      </c>
      <c r="J8" s="245" t="str">
        <f ca="1">Translations!A51</f>
        <v>Désaggrégation obligatoire</v>
      </c>
      <c r="K8" s="245" t="s">
        <v>571</v>
      </c>
      <c r="L8" s="245" t="s">
        <v>820</v>
      </c>
      <c r="M8" s="245" t="s">
        <v>563</v>
      </c>
      <c r="N8" s="245" t="s">
        <v>555</v>
      </c>
      <c r="O8" s="245" t="str">
        <f ca="1">Translations!$A$54&amp;CHAR(10)&amp;Translations!$A$55</f>
        <v>Cible N#
Cible D#</v>
      </c>
      <c r="P8" s="245" t="str">
        <f ca="1">Translations!$A$63</f>
        <v>Cible %</v>
      </c>
      <c r="Q8" s="245" t="str">
        <f ca="1">Translations!$A$57</f>
        <v>Marquer si la cible est à déterminer “TBD”</v>
      </c>
      <c r="R8" s="245" t="str">
        <f ca="1">Translations!$A$54&amp;CHAR(10)&amp;Translations!$A$55</f>
        <v>Cible N#
Cible D#</v>
      </c>
      <c r="S8" s="245" t="str">
        <f ca="1">Translations!$A$63</f>
        <v>Cible %</v>
      </c>
      <c r="T8" s="245" t="str">
        <f ca="1">Translations!$A$57</f>
        <v>Marquer si la cible est à déterminer “TBD”</v>
      </c>
      <c r="U8" s="245" t="str">
        <f ca="1">Translations!$A$54&amp;CHAR(10)&amp;Translations!$A$55</f>
        <v>Cible N#
Cible D#</v>
      </c>
      <c r="V8" s="245" t="str">
        <f ca="1">Translations!$A$63</f>
        <v>Cible %</v>
      </c>
      <c r="W8" s="245" t="str">
        <f ca="1">Translations!$A$57</f>
        <v>Marquer si la cible est à déterminer “TBD”</v>
      </c>
      <c r="X8" s="245" t="str">
        <f ca="1">Translations!$A$54&amp;CHAR(10)&amp;Translations!$A$55</f>
        <v>Cible N#
Cible D#</v>
      </c>
      <c r="Y8" s="245" t="str">
        <f ca="1">Translations!$A$63</f>
        <v>Cible %</v>
      </c>
      <c r="Z8" s="245" t="s">
        <v>540</v>
      </c>
      <c r="AA8" s="245" t="s">
        <v>8010</v>
      </c>
      <c r="AB8" s="245" t="str">
        <f ca="1">Translations!$A$63</f>
        <v>Cible %</v>
      </c>
      <c r="AC8" s="245" t="s">
        <v>540</v>
      </c>
      <c r="AD8" s="245" t="s">
        <v>8010</v>
      </c>
      <c r="AE8" s="245" t="str">
        <f ca="1">Translations!$A$63</f>
        <v>Cible %</v>
      </c>
      <c r="AF8" s="245" t="s">
        <v>540</v>
      </c>
      <c r="AG8" s="245" t="s">
        <v>8010</v>
      </c>
      <c r="AH8" s="245" t="str">
        <f ca="1">Translations!$A$63</f>
        <v>Cible %</v>
      </c>
      <c r="AI8" s="245" t="s">
        <v>540</v>
      </c>
      <c r="AJ8" s="245" t="s">
        <v>8010</v>
      </c>
      <c r="AK8" s="245" t="str">
        <f ca="1">Translations!$A$63</f>
        <v>Cible %</v>
      </c>
      <c r="AL8" s="245" t="s">
        <v>540</v>
      </c>
      <c r="AM8" s="245" t="s">
        <v>411</v>
      </c>
      <c r="AN8" s="245" t="s">
        <v>8012</v>
      </c>
      <c r="AO8" s="245" t="s">
        <v>8013</v>
      </c>
      <c r="AP8" s="245" t="s">
        <v>8014</v>
      </c>
      <c r="AR8" s="209"/>
      <c r="AS8" s="209"/>
      <c r="AT8" s="209"/>
      <c r="AU8" s="209"/>
      <c r="AV8" s="209"/>
      <c r="AW8" s="209"/>
      <c r="AX8" s="209"/>
      <c r="AY8" s="209"/>
      <c r="BA8" s="232" t="s">
        <v>1244</v>
      </c>
      <c r="BB8" s="232" t="s">
        <v>1245</v>
      </c>
    </row>
    <row r="9" spans="1:56 16369:16370" ht="30" customHeight="1" x14ac:dyDescent="0.3">
      <c r="A9" s="645">
        <v>1</v>
      </c>
      <c r="B9" s="639" t="s">
        <v>3027</v>
      </c>
      <c r="C9" s="639" t="s">
        <v>6600</v>
      </c>
      <c r="D9" s="639" t="s">
        <v>2343</v>
      </c>
      <c r="E9" s="639"/>
      <c r="F9" s="198">
        <v>51459</v>
      </c>
      <c r="G9" s="643">
        <f ca="1">IF(OR(INDIRECT("'update Helper'!D"&amp;BA9)=0,F9&lt;&gt;0,F10&lt;&gt;0),IF(IFERROR((F9/F10),"")="","",(F9/F10)),INDIRECT("'update Helper'!D"&amp;BA9)/100)</f>
        <v>1.02</v>
      </c>
      <c r="H9" s="641">
        <v>2019</v>
      </c>
      <c r="I9" s="639" t="s">
        <v>8054</v>
      </c>
      <c r="J9" s="647" t="str">
        <f>AQ9</f>
        <v>Sexe,Groupe à risque cible</v>
      </c>
      <c r="K9" s="641" t="s">
        <v>444</v>
      </c>
      <c r="L9" s="639" t="s">
        <v>3808</v>
      </c>
      <c r="M9" s="199" t="s">
        <v>1358</v>
      </c>
      <c r="N9" s="649" t="s">
        <v>888</v>
      </c>
      <c r="O9" s="198">
        <f>+R9/2</f>
        <v>14344.5</v>
      </c>
      <c r="P9" s="643">
        <f ca="1">IF(OR(INDIRECT("'update Helper'!I"&amp;BB9)=0,O9&lt;&gt;0,O10&lt;&gt;0),IF(IFERROR((O9/O10),"")="","",(O9/O10)),INDIRECT("'update Helper'!I"&amp;BB9)/100)</f>
        <v>0.94999834431603691</v>
      </c>
      <c r="Q9" s="641"/>
      <c r="R9" s="198">
        <v>28689</v>
      </c>
      <c r="S9" s="643">
        <f ca="1">IF(OR(INDIRECT("'update Helper'!I"&amp;BB9+1)=0,R9&lt;&gt;0,R10&lt;&gt;0),IF(IFERROR((R9/R10),"")="","",(R9/R10)),INDIRECT("'update Helper'!I"&amp;BB9+1)/100)</f>
        <v>0.94999834431603691</v>
      </c>
      <c r="T9" s="641"/>
      <c r="U9" s="198">
        <f>+X9/2</f>
        <v>10240</v>
      </c>
      <c r="V9" s="643">
        <f ca="1">IF(OR(INDIRECT("'update Helper'!I"&amp;BB9+2)=0,U9&lt;&gt;0,U10&lt;&gt;0),IF(IFERROR((U9/U10),"")="","",(U9/U10)),INDIRECT("'update Helper'!I"&amp;BB9+2)/100)</f>
        <v>0.95997000093747076</v>
      </c>
      <c r="W9" s="641"/>
      <c r="X9" s="198">
        <v>20480</v>
      </c>
      <c r="Y9" s="643">
        <f ca="1">IF(A9=INDIRECT("'update Helper'!F"&amp;$BB9+3),IF(OR(INDIRECT("'update Helper'!I"&amp;BB9+3)=0,X9&lt;&gt;0,X10&lt;&gt;0),IF(IFERROR((X9/X10),"")="","",(X9/X10)),INDIRECT("'update Helper'!I"&amp;BB9+3)/100),"")</f>
        <v>0.95997000093747076</v>
      </c>
      <c r="Z9" s="641"/>
      <c r="AA9" s="198">
        <f>+AD9/2</f>
        <v>7706.5</v>
      </c>
      <c r="AB9" s="643">
        <f ca="1">IF(A9=INDIRECT("'update Helper'!F"&amp;$BB9+4),IF(OR(INDIRECT("'update Helper'!I"&amp;BB9+4)=0,AA9&lt;&gt;0,AA10&lt;&gt;0),IF(IFERROR((AA9/AA10),"")="","",(AA9/AA10)),INDIRECT("'update Helper'!I"&amp;BB9+4)/100),"")</f>
        <v>0.96998112020138449</v>
      </c>
      <c r="AC9" s="641"/>
      <c r="AD9" s="198">
        <v>15413</v>
      </c>
      <c r="AE9" s="643">
        <f ca="1">IF(A9=INDIRECT("'update Helper'!F"&amp;$BB9+5),IF(A9=INDIRECT("'update Helper'!F"&amp;$BB9+5),IF(OR(INDIRECT("'update Helper'!I"&amp;BB9+5)=0,AD9&lt;&gt;0,AD10&lt;&gt;0),IF(IFERROR((AD9/AD10),"")="","",(AD9/AD10)),INDIRECT("'update Helper'!I"&amp;BB9+5)/100),""),"")</f>
        <v>0.96998112020138449</v>
      </c>
      <c r="AF9" s="641"/>
      <c r="AG9" s="198"/>
      <c r="AH9" s="643" t="str">
        <f ca="1">IF(A9=INDIRECT("'update Helper'!F"&amp;$BB9+6),IF(OR(INDIRECT("'update Helper'!I"&amp;BB9+6)=0,AG9&lt;&gt;0,AG10&lt;&gt;0),IF(IFERROR((AG9/AG10),"")="","",(AG9/AG10)),INDIRECT("'update Helper'!I"&amp;BB9+6)/100),"")</f>
        <v/>
      </c>
      <c r="AI9" s="641"/>
      <c r="AJ9" s="198"/>
      <c r="AK9" s="643" t="str">
        <f ca="1">IF(A9=INDIRECT("'update Helper'!F"&amp;$BB9+6),IF(OR(INDIRECT("'update Helper'!I"&amp;BB9+7)=0,AJ9&lt;&gt;0,AJ10&lt;&gt;0),IF(IFERROR((AJ9/AJ10),"")="","",(AJ9/AJ10)),INDIRECT("'update Helper'!I"&amp;BB9+7)/100),"")</f>
        <v/>
      </c>
      <c r="AL9" s="641"/>
      <c r="AM9" s="639" t="s">
        <v>8061</v>
      </c>
      <c r="AN9" s="639"/>
      <c r="AO9" s="637" t="s">
        <v>8041</v>
      </c>
      <c r="AP9" s="637" t="s">
        <v>8091</v>
      </c>
      <c r="AQ9" t="str">
        <f t="array" ref="AQ9">IFERROR(IF(INDEX('Reference Records'!$D$61:$D$120,MATCH(LEFT(D9,255),LEFT('Reference Records'!$C$61:$C$120,255),0))=0,"",INDEX('Reference Records'!$D$61:$D$120,MATCH(LEFT(D9,255),LEFT('Reference Records'!$C$61:$C$120,255),0))),"")</f>
        <v>Sexe,Groupe à risque cible</v>
      </c>
      <c r="AR9" s="191" t="str">
        <f t="array" ref="AR9">VLOOKUP(LEFT(D9,255),LEFT('Reference Records'!C$60:G119,255),4,0)</f>
        <v>MCI-01072</v>
      </c>
      <c r="AS9" s="191">
        <f>MATCH(AR9,'Reference Records'!$F$509:$F$569,0)+ROW(PopulationByCoverage)-1</f>
        <v>539</v>
      </c>
      <c r="AT9" s="191">
        <f>MATCH(AR9,'Reference Records'!$F$509:$F$569,1)+ROW(PopulationByCoverage)-1</f>
        <v>539</v>
      </c>
      <c r="AU9" s="209" t="str">
        <f>D9&amp;E9</f>
        <v>HTS-5 Pourcentage de personnes récemment diagnostiquées comme séropositives admises dans des services de prise en charge du VIH</v>
      </c>
      <c r="AV9" s="206" t="str">
        <f>IFERROR(IF(VLOOKUP(D9,'Reference Records'!$C$1:$K$594,9,0)=0,"",_xlfn.CONCAT(VLOOKUP(D9,'Reference Records'!$C$1:$K$594,9,0),";")),"")</f>
        <v>Non cumulative;</v>
      </c>
      <c r="AW9" s="206" t="str">
        <f>CLEAN(IFERROR(LEFT(AV9, SEARCH(";",AV9,1)-1),""))</f>
        <v>Non cumulative</v>
      </c>
      <c r="AX9" s="206" t="str">
        <f>SUBSTITUTE(IFERROR(MID(AV9, SEARCH(";",AV9) + 1, SEARCH(";",AV9,SEARCH(";",AV9)+1) - SEARCH(";",AV9) - 1),""),CHAR(10),"")</f>
        <v/>
      </c>
      <c r="AY9" s="213" t="str">
        <f>CLEAN(IFERROR(SUBSTITUTE(RIGHT(AV9,LEN(AV9) - SEARCH(";", AV9, SEARCH(";",AV9) + 1)),";",""),""))</f>
        <v/>
      </c>
      <c r="AZ9" s="572" t="str">
        <f>IFERROR(IF(VLOOKUP(B9,'Reference Records'!$F$123:$N$157,9,FALSE)=0,"",VLOOKUP(B9,'Reference Records'!$F$123:$N$157,9,FALSE)),"")</f>
        <v>MCI-00650</v>
      </c>
      <c r="BA9" s="232">
        <f>ROW(Coverage_indicators__secton_D)+3</f>
        <v>446</v>
      </c>
      <c r="BB9" s="206">
        <f>ROW(Coverage_Indicator_Targets__section_D)+3</f>
        <v>512</v>
      </c>
      <c r="BC9" t="str">
        <f ca="1">IF(INDIRECT("'update Helper'!S"&amp;BA9)=0,"",IFERROR(VLOOKUP(INDIRECT("'update Helper'!S"&amp;BA9),'Account Role'!E$1:H$28,4,0),VLOOKUP(INDIRECT("'update Helper'!S"&amp;BA9),'Overview - Section A'!J$25:L$26,3,0)))</f>
        <v/>
      </c>
      <c r="BD9" t="str">
        <f ca="1">IF(INDIRECT("'update Helper'!S"&amp;BA9)=0,"",IFERROR(VLOOKUP(INDIRECT("'update Helper'!U"&amp;BA9),'Account Role'!A$1:B$28,2,0), IFERROR(VLOOKUP(INDIRECT("'update Helper'!AD"&amp;BA9),'Overview - Section A'!J$25:P$90,7,0),"")))</f>
        <v/>
      </c>
    </row>
    <row r="10" spans="1:56 16369:16370" ht="30" customHeight="1" x14ac:dyDescent="0.3">
      <c r="A10" s="646"/>
      <c r="B10" s="640"/>
      <c r="C10" s="640"/>
      <c r="D10" s="640"/>
      <c r="E10" s="640"/>
      <c r="F10" s="198">
        <v>50450</v>
      </c>
      <c r="G10" s="644"/>
      <c r="H10" s="642"/>
      <c r="I10" s="640"/>
      <c r="J10" s="648"/>
      <c r="K10" s="642"/>
      <c r="L10" s="640"/>
      <c r="M10" s="341" t="s">
        <v>318</v>
      </c>
      <c r="N10" s="650"/>
      <c r="O10" s="198">
        <f>+R10/2</f>
        <v>15099.5</v>
      </c>
      <c r="P10" s="644"/>
      <c r="Q10" s="642"/>
      <c r="R10" s="198">
        <v>30199</v>
      </c>
      <c r="S10" s="644"/>
      <c r="T10" s="642"/>
      <c r="U10" s="198">
        <f>+X10/2</f>
        <v>10667</v>
      </c>
      <c r="V10" s="644"/>
      <c r="W10" s="642"/>
      <c r="X10" s="198">
        <v>21334</v>
      </c>
      <c r="Y10" s="644"/>
      <c r="Z10" s="642"/>
      <c r="AA10" s="198">
        <f>+AD10/2</f>
        <v>7945</v>
      </c>
      <c r="AB10" s="644"/>
      <c r="AC10" s="642"/>
      <c r="AD10" s="198">
        <v>15890</v>
      </c>
      <c r="AE10" s="644"/>
      <c r="AF10" s="642"/>
      <c r="AG10" s="198"/>
      <c r="AH10" s="644"/>
      <c r="AI10" s="642"/>
      <c r="AJ10" s="198"/>
      <c r="AK10" s="644"/>
      <c r="AL10" s="642"/>
      <c r="AM10" s="640"/>
      <c r="AN10" s="640"/>
      <c r="AO10" s="638"/>
      <c r="AP10" s="638"/>
      <c r="AR10" s="209"/>
      <c r="AS10" s="209"/>
      <c r="AT10" s="209"/>
      <c r="AU10" s="209"/>
      <c r="AV10" s="206"/>
      <c r="AW10" s="206"/>
      <c r="AX10" s="206"/>
      <c r="AY10" s="213"/>
      <c r="AZ10" s="572"/>
      <c r="BA10" s="232"/>
      <c r="BB10" s="206"/>
    </row>
    <row r="11" spans="1:56 16369:16370" s="232" customFormat="1" ht="30" customHeight="1" x14ac:dyDescent="0.3">
      <c r="A11" s="645">
        <v>2</v>
      </c>
      <c r="B11" s="639" t="s">
        <v>3027</v>
      </c>
      <c r="C11" s="639" t="s">
        <v>6475</v>
      </c>
      <c r="D11" s="639" t="s">
        <v>2282</v>
      </c>
      <c r="E11" s="639"/>
      <c r="F11" s="198">
        <v>23581</v>
      </c>
      <c r="G11" s="643">
        <v>0.62</v>
      </c>
      <c r="H11" s="641">
        <v>2019</v>
      </c>
      <c r="I11" s="639" t="s">
        <v>8054</v>
      </c>
      <c r="J11" s="647" t="str">
        <f>AQ11</f>
        <v>Résultat du test VIH</v>
      </c>
      <c r="K11" s="641" t="s">
        <v>444</v>
      </c>
      <c r="L11" s="639" t="s">
        <v>3808</v>
      </c>
      <c r="M11" s="199" t="s">
        <v>1358</v>
      </c>
      <c r="N11" s="649" t="s">
        <v>888</v>
      </c>
      <c r="O11" s="198">
        <f>+R11/2</f>
        <v>15948</v>
      </c>
      <c r="P11" s="643">
        <f t="shared" ref="P11" ca="1" si="0">IF(OR(INDIRECT("'update Helper'!I"&amp;BB11)=0,O11&lt;&gt;0,O12&lt;&gt;0),IF(IFERROR((O11/O12),"")="","",(O11/O12)),INDIRECT("'update Helper'!I"&amp;BB11)/100)</f>
        <v>0.66000372462598544</v>
      </c>
      <c r="Q11" s="641"/>
      <c r="R11" s="198">
        <v>31896</v>
      </c>
      <c r="S11" s="643">
        <f t="shared" ref="S11" ca="1" si="1">IF(OR(INDIRECT("'update Helper'!I"&amp;BB11+1)=0,R11&lt;&gt;0,R12&lt;&gt;0),IF(IFERROR((R11/R12),"")="","",(R11/R12)),INDIRECT("'update Helper'!I"&amp;BB11+1)/100)</f>
        <v>0.66000372462598544</v>
      </c>
      <c r="T11" s="641"/>
      <c r="U11" s="198">
        <f>+X11/2</f>
        <v>18297.5</v>
      </c>
      <c r="V11" s="643">
        <f t="shared" ref="V11" ca="1" si="2">IF(OR(INDIRECT("'update Helper'!I"&amp;BB11+2)=0,U11&lt;&gt;0,U12&lt;&gt;0),IF(IFERROR((U11/U12),"")="","",(U11/U12)),INDIRECT("'update Helper'!I"&amp;BB11+2)/100)</f>
        <v>0.71999134318374092</v>
      </c>
      <c r="W11" s="641"/>
      <c r="X11" s="198">
        <v>36595</v>
      </c>
      <c r="Y11" s="643">
        <f t="shared" ref="Y11" ca="1" si="3">IF(A11=INDIRECT("'update Helper'!F"&amp;$BB11+3),IF(OR(INDIRECT("'update Helper'!I"&amp;BB11+3)=0,X11&lt;&gt;0,X12&lt;&gt;0),IF(IFERROR((X11/X12),"")="","",(X11/X12)),INDIRECT("'update Helper'!I"&amp;BB11+3)/100),"")</f>
        <v>0.71999134318374092</v>
      </c>
      <c r="Z11" s="641"/>
      <c r="AA11" s="198">
        <f>+AD11/2</f>
        <v>20797.5</v>
      </c>
      <c r="AB11" s="643">
        <f t="shared" ref="AB11" ca="1" si="4">IF(A11=INDIRECT("'update Helper'!F"&amp;$BB11+4),IF(OR(INDIRECT("'update Helper'!I"&amp;BB11+4)=0,AA11&lt;&gt;0,AA12&lt;&gt;0),IF(IFERROR((AA11/AA12),"")="","",(AA11/AA12)),INDIRECT("'update Helper'!I"&amp;BB11+4)/100),"")</f>
        <v>0.77999887486639041</v>
      </c>
      <c r="AC11" s="641"/>
      <c r="AD11" s="198">
        <v>41595</v>
      </c>
      <c r="AE11" s="643">
        <f t="shared" ref="AE11" ca="1" si="5">IF(A11=INDIRECT("'update Helper'!F"&amp;$BB11+5),IF(A11=INDIRECT("'update Helper'!F"&amp;$BB11+5),IF(OR(INDIRECT("'update Helper'!I"&amp;BB11+5)=0,AD11&lt;&gt;0,AD12&lt;&gt;0),IF(IFERROR((AD11/AD12),"")="","",(AD11/AD12)),INDIRECT("'update Helper'!I"&amp;BB11+5)/100),""),"")</f>
        <v>0.77999887486639041</v>
      </c>
      <c r="AF11" s="641"/>
      <c r="AG11" s="198"/>
      <c r="AH11" s="643" t="str">
        <f t="shared" ref="AH11" ca="1" si="6">IF(A11=INDIRECT("'update Helper'!F"&amp;$BB11+6),IF(OR(INDIRECT("'update Helper'!I"&amp;BB11+6)=0,AG11&lt;&gt;0,AG12&lt;&gt;0),IF(IFERROR((AG11/AG12),"")="","",(AG11/AG12)),INDIRECT("'update Helper'!I"&amp;BB11+6)/100),"")</f>
        <v/>
      </c>
      <c r="AI11" s="641"/>
      <c r="AJ11" s="198"/>
      <c r="AK11" s="643" t="str">
        <f t="shared" ref="AK11" ca="1" si="7">IF(A11=INDIRECT("'update Helper'!F"&amp;$BB11+6),IF(OR(INDIRECT("'update Helper'!I"&amp;BB11+7)=0,AJ11&lt;&gt;0,AJ12&lt;&gt;0),IF(IFERROR((AJ11/AJ12),"")="","",(AJ11/AJ12)),INDIRECT("'update Helper'!I"&amp;BB11+7)/100),"")</f>
        <v/>
      </c>
      <c r="AL11" s="641"/>
      <c r="AM11" s="639" t="s">
        <v>8062</v>
      </c>
      <c r="AN11" s="639"/>
      <c r="AO11" s="637" t="s">
        <v>8041</v>
      </c>
      <c r="AP11" s="637" t="s">
        <v>8092</v>
      </c>
      <c r="AQ11" s="232" t="str">
        <f t="array" ref="AQ11">IFERROR(IF(INDEX('Reference Records'!$D$61:$D$120,MATCH(LEFT(D11,255),LEFT('Reference Records'!$C$61:$C$120,255),0))=0,"",INDEX('Reference Records'!$D$61:$D$120,MATCH(LEFT(D11,255),LEFT('Reference Records'!$C$61:$C$120,255),0))),"")</f>
        <v>Résultat du test VIH</v>
      </c>
      <c r="AR11" s="191" t="str">
        <f t="array" ref="AR11">VLOOKUP(LEFT(D11,255),LEFT('Reference Records'!C$60:G121,255),4,0)</f>
        <v>MCI-01070</v>
      </c>
      <c r="AS11" s="191">
        <f>MATCH(AR11,'Reference Records'!$F$509:$F$569,0)+ROW(PopulationByCoverage)-1</f>
        <v>537</v>
      </c>
      <c r="AT11" s="191">
        <f>MATCH(AR11,'Reference Records'!$F$509:$F$569,1)+ROW(PopulationByCoverage)-1</f>
        <v>537</v>
      </c>
      <c r="AU11" s="232" t="str">
        <f>D11&amp;E11</f>
        <v>HTS-3f⁽ᴹ⁾ Pourcentage de personnes en détention ou se trouvant dans d’autres lieux fermés chez lesquels un dépistage du VIH a été réalisé durant la période de communication de l’information et qui connaissent leur résultat</v>
      </c>
      <c r="AV11" s="206" t="str">
        <f>IFERROR(IF(VLOOKUP(D11,'Reference Records'!$C$1:$K$594,9,0)=0,"",_xlfn.CONCAT(VLOOKUP(D11,'Reference Records'!$C$1:$K$594,9,0),";")),"")</f>
        <v>Non cumulative;Non cumulative – other;Non cumulative - special;</v>
      </c>
      <c r="AW11" s="206" t="str">
        <f>CLEAN(IFERROR(LEFT(AV11, SEARCH(";",AV11,1)-1),""))</f>
        <v>Non cumulative</v>
      </c>
      <c r="AX11" s="206" t="str">
        <f>SUBSTITUTE(IFERROR(MID(AV11, SEARCH(";",AV11) + 1, SEARCH(";",AV11,SEARCH(";",AV11)+1) - SEARCH(";",AV11) - 1),""),CHAR(10),"")</f>
        <v>Non cumulative – other</v>
      </c>
      <c r="AY11" s="329" t="str">
        <f>CLEAN(IFERROR(SUBSTITUTE(RIGHT(AV11,LEN(AV11) - SEARCH(";", AV11, SEARCH(";",AV11) + 1)),";",""),""))</f>
        <v>Non cumulative - special</v>
      </c>
      <c r="AZ11" s="572" t="str">
        <f>IFERROR(IF(VLOOKUP(B11,'Reference Records'!$F$123:$N$157,9,FALSE)=0,"",VLOOKUP(B11,'Reference Records'!$F$123:$N$157,9,FALSE)),"")</f>
        <v>MCI-00650</v>
      </c>
      <c r="BA11" s="232">
        <f>BA9+1</f>
        <v>447</v>
      </c>
      <c r="BB11" s="359">
        <f ca="1">BB9+'update Helper'!$Y$2</f>
        <v>518</v>
      </c>
      <c r="BD11" s="232" t="str">
        <f ca="1">IF(INDIRECT("'update Helper'!S"&amp;BA11)=0,"",IFERROR(VLOOKUP(INDIRECT("'update Helper'!U"&amp;BA11),'Account Role'!A$1:B$28,2,0), IFERROR(VLOOKUP(INDIRECT("'update Helper'!AD"&amp;BA11),'Overview - Section A'!J$25:P$90,7,0),"")))</f>
        <v/>
      </c>
    </row>
    <row r="12" spans="1:56 16369:16370" s="232" customFormat="1" ht="30" customHeight="1" x14ac:dyDescent="0.3">
      <c r="A12" s="646"/>
      <c r="B12" s="640"/>
      <c r="C12" s="640"/>
      <c r="D12" s="640"/>
      <c r="E12" s="640"/>
      <c r="F12" s="198">
        <v>43327</v>
      </c>
      <c r="G12" s="644"/>
      <c r="H12" s="642"/>
      <c r="I12" s="640"/>
      <c r="J12" s="648"/>
      <c r="K12" s="642"/>
      <c r="L12" s="640"/>
      <c r="M12" s="341" t="s">
        <v>318</v>
      </c>
      <c r="N12" s="650"/>
      <c r="O12" s="198">
        <f>+R12/2</f>
        <v>24163.5</v>
      </c>
      <c r="P12" s="644"/>
      <c r="Q12" s="642"/>
      <c r="R12" s="198">
        <v>48327</v>
      </c>
      <c r="S12" s="644"/>
      <c r="T12" s="642"/>
      <c r="U12" s="198">
        <f>+X12/2</f>
        <v>25413.5</v>
      </c>
      <c r="V12" s="644"/>
      <c r="W12" s="642"/>
      <c r="X12" s="198">
        <v>50827</v>
      </c>
      <c r="Y12" s="644"/>
      <c r="Z12" s="642"/>
      <c r="AA12" s="198">
        <f>+AD12/2</f>
        <v>26663.5</v>
      </c>
      <c r="AB12" s="644"/>
      <c r="AC12" s="642"/>
      <c r="AD12" s="198">
        <v>53327</v>
      </c>
      <c r="AE12" s="644"/>
      <c r="AF12" s="642"/>
      <c r="AG12" s="198"/>
      <c r="AH12" s="644"/>
      <c r="AI12" s="642"/>
      <c r="AJ12" s="198"/>
      <c r="AK12" s="644"/>
      <c r="AL12" s="642"/>
      <c r="AM12" s="640"/>
      <c r="AN12" s="640"/>
      <c r="AO12" s="638"/>
      <c r="AP12" s="638"/>
      <c r="AV12" s="206"/>
      <c r="AW12" s="206"/>
      <c r="AX12" s="206"/>
      <c r="AY12" s="329"/>
      <c r="AZ12" s="572"/>
      <c r="BB12" s="206"/>
    </row>
    <row r="13" spans="1:56 16369:16370" s="232" customFormat="1" ht="30" customHeight="1" x14ac:dyDescent="0.3">
      <c r="A13" s="645">
        <v>3</v>
      </c>
      <c r="B13" s="639" t="s">
        <v>3043</v>
      </c>
      <c r="C13" s="639" t="s">
        <v>765</v>
      </c>
      <c r="D13" s="639" t="s">
        <v>2175</v>
      </c>
      <c r="E13" s="639"/>
      <c r="F13" s="198">
        <v>1066250</v>
      </c>
      <c r="G13" s="643">
        <f t="shared" ref="G13" ca="1" si="8">IF(OR(INDIRECT("'update Helper'!D"&amp;BA13)=0,F13&lt;&gt;0,F14&lt;&gt;0),IF(IFERROR((F13/F14),"")="","",(F13/F14)),INDIRECT("'update Helper'!D"&amp;BA13)/100)</f>
        <v>1.0001003617713571</v>
      </c>
      <c r="H13" s="641">
        <v>2019</v>
      </c>
      <c r="I13" s="639" t="s">
        <v>8054</v>
      </c>
      <c r="J13" s="647" t="str">
        <f>AQ13</f>
        <v>Résultat du test VIH</v>
      </c>
      <c r="K13" s="641" t="s">
        <v>444</v>
      </c>
      <c r="L13" s="639" t="s">
        <v>3808</v>
      </c>
      <c r="M13" s="199" t="s">
        <v>1358</v>
      </c>
      <c r="N13" s="649" t="s">
        <v>890</v>
      </c>
      <c r="O13" s="198">
        <f t="shared" ref="O13:O18" si="9">+R13/2</f>
        <v>517395.83999999997</v>
      </c>
      <c r="P13" s="643">
        <f t="shared" ref="P13" ca="1" si="10">IF(OR(INDIRECT("'update Helper'!I"&amp;BB13)=0,O13&lt;&gt;0,O14&lt;&gt;0),IF(IFERROR((O13/O14),"")="","",(O13/O14)),INDIRECT("'update Helper'!I"&amp;BB13)/100)</f>
        <v>0.48</v>
      </c>
      <c r="Q13" s="641"/>
      <c r="R13" s="198">
        <f>+R14*96%</f>
        <v>1034791.6799999999</v>
      </c>
      <c r="S13" s="643">
        <f t="shared" ref="S13" ca="1" si="11">IF(OR(INDIRECT("'update Helper'!I"&amp;BB13+1)=0,R13&lt;&gt;0,R14&lt;&gt;0),IF(IFERROR((R13/R14),"")="","",(R13/R14)),INDIRECT("'update Helper'!I"&amp;BB13+1)/100)</f>
        <v>0.96</v>
      </c>
      <c r="T13" s="641"/>
      <c r="U13" s="198">
        <f t="shared" ref="U13:U18" si="12">+X13/2</f>
        <v>526183.77500000002</v>
      </c>
      <c r="V13" s="643">
        <f t="shared" ref="V13" ca="1" si="13">IF(OR(INDIRECT("'update Helper'!I"&amp;BB13+2)=0,U13&lt;&gt;0,U14&lt;&gt;0),IF(IFERROR((U13/U14),"")="","",(U13/U14)),INDIRECT("'update Helper'!I"&amp;BB13+2)/100)</f>
        <v>0.48500000000000004</v>
      </c>
      <c r="W13" s="641"/>
      <c r="X13" s="198">
        <f>+X14*97%</f>
        <v>1052367.55</v>
      </c>
      <c r="Y13" s="643">
        <f t="shared" ref="Y13" ca="1" si="14">IF(A13=INDIRECT("'update Helper'!F"&amp;$BB13+3),IF(OR(INDIRECT("'update Helper'!I"&amp;BB13+3)=0,X13&lt;&gt;0,X14&lt;&gt;0),IF(IFERROR((X13/X14),"")="","",(X13/X14)),INDIRECT("'update Helper'!I"&amp;BB13+3)/100),"")</f>
        <v>0.97000000000000008</v>
      </c>
      <c r="Z13" s="641"/>
      <c r="AA13" s="198">
        <f t="shared" ref="AA13:AA18" si="15">+AD13/2</f>
        <v>535041.78</v>
      </c>
      <c r="AB13" s="643">
        <f t="shared" ref="AB13" ca="1" si="16">IF(A13=INDIRECT("'update Helper'!F"&amp;$BB13+4),IF(OR(INDIRECT("'update Helper'!I"&amp;BB13+4)=0,AA13&lt;&gt;0,AA14&lt;&gt;0),IF(IFERROR((AA13/AA14),"")="","",(AA13/AA14)),INDIRECT("'update Helper'!I"&amp;BB13+4)/100),"")</f>
        <v>0.49000000000000005</v>
      </c>
      <c r="AC13" s="641"/>
      <c r="AD13" s="198">
        <f>+AD14*98%</f>
        <v>1070083.56</v>
      </c>
      <c r="AE13" s="643">
        <f t="shared" ref="AE13" ca="1" si="17">IF(A13=INDIRECT("'update Helper'!F"&amp;$BB13+5),IF(A13=INDIRECT("'update Helper'!F"&amp;$BB13+5),IF(OR(INDIRECT("'update Helper'!I"&amp;BB13+5)=0,AD13&lt;&gt;0,AD14&lt;&gt;0),IF(IFERROR((AD13/AD14),"")="","",(AD13/AD14)),INDIRECT("'update Helper'!I"&amp;BB13+5)/100),""),"")</f>
        <v>0.98000000000000009</v>
      </c>
      <c r="AF13" s="641"/>
      <c r="AG13" s="198"/>
      <c r="AH13" s="643" t="str">
        <f t="shared" ref="AH13" ca="1" si="18">IF(A13=INDIRECT("'update Helper'!F"&amp;$BB13+6),IF(OR(INDIRECT("'update Helper'!I"&amp;BB13+6)=0,AG13&lt;&gt;0,AG14&lt;&gt;0),IF(IFERROR((AG13/AG14),"")="","",(AG13/AG14)),INDIRECT("'update Helper'!I"&amp;BB13+6)/100),"")</f>
        <v/>
      </c>
      <c r="AI13" s="641"/>
      <c r="AJ13" s="198"/>
      <c r="AK13" s="643" t="str">
        <f t="shared" ref="AK13" ca="1" si="19">IF(A13=INDIRECT("'update Helper'!F"&amp;$BB13+6),IF(OR(INDIRECT("'update Helper'!I"&amp;BB13+7)=0,AJ13&lt;&gt;0,AJ14&lt;&gt;0),IF(IFERROR((AJ13/AJ14),"")="","",(AJ13/AJ14)),INDIRECT("'update Helper'!I"&amp;BB13+7)/100),"")</f>
        <v/>
      </c>
      <c r="AL13" s="641"/>
      <c r="AM13" s="639" t="s">
        <v>8063</v>
      </c>
      <c r="AN13" s="639"/>
      <c r="AO13" s="637" t="s">
        <v>8041</v>
      </c>
      <c r="AP13" s="637" t="s">
        <v>8093</v>
      </c>
      <c r="AQ13" s="232" t="str">
        <f t="array" ref="AQ13">IFERROR(IF(INDEX('Reference Records'!$D$61:$D$120,MATCH(LEFT(D13,255),LEFT('Reference Records'!$C$61:$C$120,255),0))=0,"",INDEX('Reference Records'!$D$61:$D$120,MATCH(LEFT(D13,255),LEFT('Reference Records'!$C$61:$C$120,255),0))),"")</f>
        <v>Résultat du test VIH</v>
      </c>
      <c r="AR13" s="191" t="str">
        <f t="array" ref="AR13">VLOOKUP(LEFT(D13,255),LEFT('Reference Records'!C$60:G123,255),4,0)</f>
        <v>MCI-01060</v>
      </c>
      <c r="AS13" s="191">
        <f>MATCH(AR13,'Reference Records'!$F$509:$F$569,0)+ROW(PopulationByCoverage)-1</f>
        <v>527</v>
      </c>
      <c r="AT13" s="191">
        <f>MATCH(AR13,'Reference Records'!$F$509:$F$569,1)+ROW(PopulationByCoverage)-1</f>
        <v>527</v>
      </c>
      <c r="AU13" s="232" t="str">
        <f>D13&amp;E13</f>
        <v>PMTCT-1 Pourcentage de femmes enceintes qui connaissent leur statut sérologique pour le VIH</v>
      </c>
      <c r="AV13" s="206" t="str">
        <f>IFERROR(IF(VLOOKUP(D13,'Reference Records'!$C$1:$K$594,9,0)=0,"",_xlfn.CONCAT(VLOOKUP(D13,'Reference Records'!$C$1:$K$594,9,0),";")),"")</f>
        <v>Non cumulative - special;</v>
      </c>
      <c r="AW13" s="206" t="str">
        <f>CLEAN(IFERROR(LEFT(AV13, SEARCH(";",AV13,1)-1),""))</f>
        <v>Non cumulative - special</v>
      </c>
      <c r="AX13" s="206" t="str">
        <f>SUBSTITUTE(IFERROR(MID(AV13, SEARCH(";",AV13) + 1, SEARCH(";",AV13,SEARCH(";",AV13)+1) - SEARCH(";",AV13) - 1),""),CHAR(10),"")</f>
        <v/>
      </c>
      <c r="AY13" s="329" t="str">
        <f>CLEAN(IFERROR(SUBSTITUTE(RIGHT(AV13,LEN(AV13) - SEARCH(";", AV13, SEARCH(";",AV13) + 1)),";",""),""))</f>
        <v/>
      </c>
      <c r="AZ13" s="572" t="str">
        <f>IFERROR(IF(VLOOKUP(B13,'Reference Records'!$F$123:$N$157,9,FALSE)=0,"",VLOOKUP(B13,'Reference Records'!$F$123:$N$157,9,FALSE)),"")</f>
        <v>MCI-00649</v>
      </c>
      <c r="BA13" s="232">
        <f t="shared" ref="BA13" si="20">BA11+1</f>
        <v>448</v>
      </c>
      <c r="BB13" s="359">
        <f ca="1">BB11+'update Helper'!$Y$2</f>
        <v>524</v>
      </c>
      <c r="BD13" s="232" t="str">
        <f ca="1">IF(INDIRECT("'update Helper'!S"&amp;BA13)=0,"",IFERROR(VLOOKUP(INDIRECT("'update Helper'!U"&amp;BA13),'Account Role'!A$1:B$28,2,0), IFERROR(VLOOKUP(INDIRECT("'update Helper'!AD"&amp;BA13),'Overview - Section A'!J$25:P$90,7,0),"")))</f>
        <v/>
      </c>
    </row>
    <row r="14" spans="1:56 16369:16370" s="232" customFormat="1" ht="30" customHeight="1" x14ac:dyDescent="0.3">
      <c r="A14" s="646"/>
      <c r="B14" s="640"/>
      <c r="C14" s="640"/>
      <c r="D14" s="640"/>
      <c r="E14" s="640"/>
      <c r="F14" s="198">
        <v>1066143</v>
      </c>
      <c r="G14" s="644"/>
      <c r="H14" s="642"/>
      <c r="I14" s="640"/>
      <c r="J14" s="648"/>
      <c r="K14" s="642"/>
      <c r="L14" s="640"/>
      <c r="M14" s="341" t="s">
        <v>318</v>
      </c>
      <c r="N14" s="650"/>
      <c r="O14" s="198">
        <f>+R14</f>
        <v>1077908</v>
      </c>
      <c r="P14" s="644"/>
      <c r="Q14" s="642"/>
      <c r="R14" s="198">
        <v>1077908</v>
      </c>
      <c r="S14" s="644"/>
      <c r="T14" s="642"/>
      <c r="U14" s="198">
        <f>+X14</f>
        <v>1084915</v>
      </c>
      <c r="V14" s="644"/>
      <c r="W14" s="642"/>
      <c r="X14" s="198">
        <v>1084915</v>
      </c>
      <c r="Y14" s="644"/>
      <c r="Z14" s="642"/>
      <c r="AA14" s="198">
        <f>+AD14</f>
        <v>1091922</v>
      </c>
      <c r="AB14" s="644"/>
      <c r="AC14" s="642"/>
      <c r="AD14" s="198">
        <v>1091922</v>
      </c>
      <c r="AE14" s="644"/>
      <c r="AF14" s="642"/>
      <c r="AG14" s="198"/>
      <c r="AH14" s="644"/>
      <c r="AI14" s="642"/>
      <c r="AJ14" s="198"/>
      <c r="AK14" s="644"/>
      <c r="AL14" s="642"/>
      <c r="AM14" s="640"/>
      <c r="AN14" s="640"/>
      <c r="AO14" s="638"/>
      <c r="AP14" s="638"/>
      <c r="AV14" s="206"/>
      <c r="AW14" s="206"/>
      <c r="AX14" s="206"/>
      <c r="AY14" s="329"/>
      <c r="AZ14" s="572"/>
      <c r="BB14" s="206"/>
    </row>
    <row r="15" spans="1:56 16369:16370" s="232" customFormat="1" ht="30" customHeight="1" x14ac:dyDescent="0.3">
      <c r="A15" s="645">
        <v>4</v>
      </c>
      <c r="B15" s="639" t="s">
        <v>3043</v>
      </c>
      <c r="C15" s="639" t="s">
        <v>765</v>
      </c>
      <c r="D15" s="639" t="s">
        <v>3213</v>
      </c>
      <c r="E15" s="639"/>
      <c r="F15" s="198">
        <v>14838</v>
      </c>
      <c r="G15" s="643">
        <f t="shared" ref="G15" ca="1" si="21">IF(OR(INDIRECT("'update Helper'!D"&amp;BA15)=0,F15&lt;&gt;0,F16&lt;&gt;0),IF(IFERROR((F15/F16),"")="","",(F15/F16)),INDIRECT("'update Helper'!D"&amp;BA15)/100)</f>
        <v>0.79487866288101994</v>
      </c>
      <c r="H15" s="641">
        <v>2019</v>
      </c>
      <c r="I15" s="639" t="s">
        <v>8054</v>
      </c>
      <c r="J15" s="647" t="str">
        <f>AQ15</f>
        <v/>
      </c>
      <c r="K15" s="641" t="s">
        <v>444</v>
      </c>
      <c r="L15" s="639" t="s">
        <v>3808</v>
      </c>
      <c r="M15" s="199" t="s">
        <v>1358</v>
      </c>
      <c r="N15" s="649" t="s">
        <v>890</v>
      </c>
      <c r="O15" s="198">
        <f t="shared" si="9"/>
        <v>7371.625</v>
      </c>
      <c r="P15" s="643">
        <f t="shared" ref="P15" ca="1" si="22">IF(OR(INDIRECT("'update Helper'!I"&amp;BB15)=0,O15&lt;&gt;0,O16&lt;&gt;0),IF(IFERROR((O15/O16),"")="","",(O15/O16)),INDIRECT("'update Helper'!I"&amp;BB15)/100)</f>
        <v>0.42499999999999999</v>
      </c>
      <c r="Q15" s="641"/>
      <c r="R15" s="198">
        <f>+R16*85%</f>
        <v>14743.25</v>
      </c>
      <c r="S15" s="643">
        <f t="shared" ref="S15" ca="1" si="23">IF(OR(INDIRECT("'update Helper'!I"&amp;BB15+1)=0,R15&lt;&gt;0,R16&lt;&gt;0),IF(IFERROR((R15/R16),"")="","",(R15/R16)),INDIRECT("'update Helper'!I"&amp;BB15+1)/100)</f>
        <v>0.85</v>
      </c>
      <c r="T15" s="641"/>
      <c r="U15" s="198">
        <f t="shared" si="12"/>
        <v>7218.8249999999998</v>
      </c>
      <c r="V15" s="643">
        <f t="shared" ref="V15" ca="1" si="24">IF(OR(INDIRECT("'update Helper'!I"&amp;BB15+2)=0,U15&lt;&gt;0,U16&lt;&gt;0),IF(IFERROR((U15/U16),"")="","",(U15/U16)),INDIRECT("'update Helper'!I"&amp;BB15+2)/100)</f>
        <v>0.435</v>
      </c>
      <c r="W15" s="641"/>
      <c r="X15" s="198">
        <f>+X16*87%</f>
        <v>14437.65</v>
      </c>
      <c r="Y15" s="643">
        <f t="shared" ref="Y15" ca="1" si="25">IF(A15=INDIRECT("'update Helper'!F"&amp;$BB15+3),IF(OR(INDIRECT("'update Helper'!I"&amp;BB15+3)=0,X15&lt;&gt;0,X16&lt;&gt;0),IF(IFERROR((X15/X16),"")="","",(X15/X16)),INDIRECT("'update Helper'!I"&amp;BB15+3)/100),"")</f>
        <v>0.87</v>
      </c>
      <c r="Z15" s="641"/>
      <c r="AA15" s="198">
        <f t="shared" si="15"/>
        <v>7122.1500000000005</v>
      </c>
      <c r="AB15" s="643">
        <f t="shared" ref="AB15" ca="1" si="26">IF(A15=INDIRECT("'update Helper'!F"&amp;$BB15+4),IF(OR(INDIRECT("'update Helper'!I"&amp;BB15+4)=0,AA15&lt;&gt;0,AA16&lt;&gt;0),IF(IFERROR((AA15/AA16),"")="","",(AA15/AA16)),INDIRECT("'update Helper'!I"&amp;BB15+4)/100),"")</f>
        <v>0.45</v>
      </c>
      <c r="AC15" s="641"/>
      <c r="AD15" s="198">
        <f>+AD16*90%</f>
        <v>14244.300000000001</v>
      </c>
      <c r="AE15" s="643">
        <f t="shared" ref="AE15" ca="1" si="27">IF(A15=INDIRECT("'update Helper'!F"&amp;$BB15+5),IF(A15=INDIRECT("'update Helper'!F"&amp;$BB15+5),IF(OR(INDIRECT("'update Helper'!I"&amp;BB15+5)=0,AD15&lt;&gt;0,AD16&lt;&gt;0),IF(IFERROR((AD15/AD16),"")="","",(AD15/AD16)),INDIRECT("'update Helper'!I"&amp;BB15+5)/100),""),"")</f>
        <v>0.9</v>
      </c>
      <c r="AF15" s="641"/>
      <c r="AG15" s="198"/>
      <c r="AH15" s="643" t="str">
        <f t="shared" ref="AH15" ca="1" si="28">IF(A15=INDIRECT("'update Helper'!F"&amp;$BB15+6),IF(OR(INDIRECT("'update Helper'!I"&amp;BB15+6)=0,AG15&lt;&gt;0,AG16&lt;&gt;0),IF(IFERROR((AG15/AG16),"")="","",(AG15/AG16)),INDIRECT("'update Helper'!I"&amp;BB15+6)/100),"")</f>
        <v/>
      </c>
      <c r="AI15" s="641"/>
      <c r="AJ15" s="198"/>
      <c r="AK15" s="643" t="str">
        <f t="shared" ref="AK15" ca="1" si="29">IF(A15=INDIRECT("'update Helper'!F"&amp;$BB15+6),IF(OR(INDIRECT("'update Helper'!I"&amp;BB15+7)=0,AJ15&lt;&gt;0,AJ16&lt;&gt;0),IF(IFERROR((AJ15/AJ16),"")="","",(AJ15/AJ16)),INDIRECT("'update Helper'!I"&amp;BB15+7)/100),"")</f>
        <v/>
      </c>
      <c r="AL15" s="641"/>
      <c r="AM15" s="639" t="s">
        <v>8064</v>
      </c>
      <c r="AN15" s="639"/>
      <c r="AO15" s="637" t="s">
        <v>8041</v>
      </c>
      <c r="AP15" s="637" t="s">
        <v>8094</v>
      </c>
      <c r="AQ15" s="232" t="str">
        <f t="array" ref="AQ15">IFERROR(IF(INDEX('Reference Records'!$D$61:$D$120,MATCH(LEFT(D15,255),LEFT('Reference Records'!$C$61:$C$120,255),0))=0,"",INDEX('Reference Records'!$D$61:$D$120,MATCH(LEFT(D15,255),LEFT('Reference Records'!$C$61:$C$120,255),0))),"")</f>
        <v/>
      </c>
      <c r="AR15" s="191" t="str">
        <f t="array" ref="AR15">VLOOKUP(LEFT(D15,255),LEFT('Reference Records'!C$60:G151,255),4,0)</f>
        <v>MCI-01061</v>
      </c>
      <c r="AS15" s="191">
        <f>MATCH(AR15,'Reference Records'!$F$509:$F$569,0)+ROW(PopulationByCoverage)-1</f>
        <v>528</v>
      </c>
      <c r="AT15" s="191">
        <f>MATCH(AR15,'Reference Records'!$F$509:$F$569,1)+ROW(PopulationByCoverage)-1</f>
        <v>528</v>
      </c>
      <c r="AU15" s="232" t="str">
        <f>D15&amp;E15</f>
        <v>PMTCT-2.1 Pourcentage de femmes enceintes séropositives pour le VIH ayant reçu une TARV durant leur grossesse et/ou le travail et l'accouchement</v>
      </c>
      <c r="AV15" s="206" t="str">
        <f>IFERROR(IF(VLOOKUP(D15,'Reference Records'!$C$1:$K$594,9,0)=0,"",_xlfn.CONCAT(VLOOKUP(D15,'Reference Records'!$C$1:$K$594,9,0),";")),"")</f>
        <v>Non cumulative - special;</v>
      </c>
      <c r="AW15" s="206" t="str">
        <f>CLEAN(IFERROR(LEFT(AV15, SEARCH(";",AV15,1)-1),""))</f>
        <v>Non cumulative - special</v>
      </c>
      <c r="AX15" s="206" t="str">
        <f>SUBSTITUTE(IFERROR(MID(AV15, SEARCH(";",AV15) + 1, SEARCH(";",AV15,SEARCH(";",AV15)+1) - SEARCH(";",AV15) - 1),""),CHAR(10),"")</f>
        <v/>
      </c>
      <c r="AY15" s="329" t="str">
        <f>CLEAN(IFERROR(SUBSTITUTE(RIGHT(AV15,LEN(AV15) - SEARCH(";", AV15, SEARCH(";",AV15) + 1)),";",""),""))</f>
        <v/>
      </c>
      <c r="AZ15" s="572" t="str">
        <f>IFERROR(IF(VLOOKUP(B15,'Reference Records'!$F$123:$N$157,9,FALSE)=0,"",VLOOKUP(B15,'Reference Records'!$F$123:$N$157,9,FALSE)),"")</f>
        <v>MCI-00649</v>
      </c>
      <c r="BA15" s="232">
        <f t="shared" ref="BA15" si="30">BA13+1</f>
        <v>449</v>
      </c>
      <c r="BB15" s="359">
        <f ca="1">BB13+'update Helper'!$Y$2</f>
        <v>530</v>
      </c>
      <c r="BD15" s="232" t="str">
        <f ca="1">IF(INDIRECT("'update Helper'!S"&amp;BA15)=0,"",IFERROR(VLOOKUP(INDIRECT("'update Helper'!U"&amp;BA15),'Account Role'!A$1:B$28,2,0), IFERROR(VLOOKUP(INDIRECT("'update Helper'!AD"&amp;BA15),'Overview - Section A'!J$25:P$90,7,0),"")))</f>
        <v/>
      </c>
    </row>
    <row r="16" spans="1:56 16369:16370" s="232" customFormat="1" ht="30" customHeight="1" x14ac:dyDescent="0.3">
      <c r="A16" s="646"/>
      <c r="B16" s="640"/>
      <c r="C16" s="640"/>
      <c r="D16" s="640"/>
      <c r="E16" s="640"/>
      <c r="F16" s="198">
        <v>18667</v>
      </c>
      <c r="G16" s="644"/>
      <c r="H16" s="642"/>
      <c r="I16" s="640"/>
      <c r="J16" s="648"/>
      <c r="K16" s="642"/>
      <c r="L16" s="640"/>
      <c r="M16" s="341" t="s">
        <v>318</v>
      </c>
      <c r="N16" s="650"/>
      <c r="O16" s="198">
        <f>+R16</f>
        <v>17345</v>
      </c>
      <c r="P16" s="644"/>
      <c r="Q16" s="642"/>
      <c r="R16" s="198">
        <v>17345</v>
      </c>
      <c r="S16" s="644"/>
      <c r="T16" s="642"/>
      <c r="U16" s="198">
        <f>+X16</f>
        <v>16595</v>
      </c>
      <c r="V16" s="644"/>
      <c r="W16" s="642"/>
      <c r="X16" s="198">
        <v>16595</v>
      </c>
      <c r="Y16" s="644"/>
      <c r="Z16" s="642"/>
      <c r="AA16" s="198">
        <f>+AD16</f>
        <v>15827</v>
      </c>
      <c r="AB16" s="644"/>
      <c r="AC16" s="642"/>
      <c r="AD16" s="198">
        <v>15827</v>
      </c>
      <c r="AE16" s="644"/>
      <c r="AF16" s="642"/>
      <c r="AG16" s="198"/>
      <c r="AH16" s="644"/>
      <c r="AI16" s="642"/>
      <c r="AJ16" s="198"/>
      <c r="AK16" s="644"/>
      <c r="AL16" s="642"/>
      <c r="AM16" s="640"/>
      <c r="AN16" s="640"/>
      <c r="AO16" s="638"/>
      <c r="AP16" s="638"/>
      <c r="AV16" s="206"/>
      <c r="AW16" s="206"/>
      <c r="AX16" s="206"/>
      <c r="AY16" s="329"/>
      <c r="AZ16" s="572"/>
      <c r="BB16" s="206"/>
    </row>
    <row r="17" spans="1:56" s="232" customFormat="1" ht="30" customHeight="1" x14ac:dyDescent="0.3">
      <c r="A17" s="645">
        <v>5</v>
      </c>
      <c r="B17" s="639" t="s">
        <v>3043</v>
      </c>
      <c r="C17" s="639" t="s">
        <v>765</v>
      </c>
      <c r="D17" s="639" t="s">
        <v>2186</v>
      </c>
      <c r="E17" s="639"/>
      <c r="F17" s="198">
        <v>9877</v>
      </c>
      <c r="G17" s="643">
        <f t="shared" ref="G17" ca="1" si="31">IF(OR(INDIRECT("'update Helper'!D"&amp;BA17)=0,F17&lt;&gt;0,F18&lt;&gt;0),IF(IFERROR((F17/F18),"")="","",(F17/F18)),INDIRECT("'update Helper'!D"&amp;BA17)/100)</f>
        <v>0.52911555150800882</v>
      </c>
      <c r="H17" s="641">
        <v>2019</v>
      </c>
      <c r="I17" s="639" t="s">
        <v>8054</v>
      </c>
      <c r="J17" s="647" t="str">
        <f>AQ17</f>
        <v>Résultat du test VIH</v>
      </c>
      <c r="K17" s="641" t="s">
        <v>444</v>
      </c>
      <c r="L17" s="639" t="s">
        <v>3808</v>
      </c>
      <c r="M17" s="199" t="s">
        <v>1358</v>
      </c>
      <c r="N17" s="649" t="s">
        <v>888</v>
      </c>
      <c r="O17" s="198">
        <f t="shared" si="9"/>
        <v>5810.5750000000007</v>
      </c>
      <c r="P17" s="643">
        <f t="shared" ref="P17" ca="1" si="32">IF(OR(INDIRECT("'update Helper'!I"&amp;BB17)=0,O17&lt;&gt;0,O18&lt;&gt;0),IF(IFERROR((O17/O18),"")="","",(O17/O18)),INDIRECT("'update Helper'!I"&amp;BB17)/100)</f>
        <v>0.67</v>
      </c>
      <c r="Q17" s="641"/>
      <c r="R17" s="198">
        <f>+R18*67%</f>
        <v>11621.150000000001</v>
      </c>
      <c r="S17" s="643">
        <f t="shared" ref="S17" ca="1" si="33">IF(OR(INDIRECT("'update Helper'!I"&amp;BB17+1)=0,R17&lt;&gt;0,R18&lt;&gt;0),IF(IFERROR((R17/R18),"")="","",(R17/R18)),INDIRECT("'update Helper'!I"&amp;BB17+1)/100)</f>
        <v>0.67</v>
      </c>
      <c r="T17" s="641"/>
      <c r="U17" s="198">
        <f t="shared" si="12"/>
        <v>6140.15</v>
      </c>
      <c r="V17" s="643">
        <f t="shared" ref="V17" ca="1" si="34">IF(OR(INDIRECT("'update Helper'!I"&amp;BB17+2)=0,U17&lt;&gt;0,U18&lt;&gt;0),IF(IFERROR((U17/U18),"")="","",(U17/U18)),INDIRECT("'update Helper'!I"&amp;BB17+2)/100)</f>
        <v>0.74</v>
      </c>
      <c r="W17" s="641"/>
      <c r="X17" s="198">
        <f>+X18*74%</f>
        <v>12280.3</v>
      </c>
      <c r="Y17" s="643">
        <f t="shared" ref="Y17" ca="1" si="35">IF(A17=INDIRECT("'update Helper'!F"&amp;$BB17+3),IF(OR(INDIRECT("'update Helper'!I"&amp;BB17+3)=0,X17&lt;&gt;0,X18&lt;&gt;0),IF(IFERROR((X17/X18),"")="","",(X17/X18)),INDIRECT("'update Helper'!I"&amp;BB17+3)/100),"")</f>
        <v>0.74</v>
      </c>
      <c r="Z17" s="641"/>
      <c r="AA17" s="198">
        <f t="shared" si="15"/>
        <v>6409.9350000000004</v>
      </c>
      <c r="AB17" s="643">
        <f t="shared" ref="AB17" ca="1" si="36">IF(A17=INDIRECT("'update Helper'!F"&amp;$BB17+4),IF(OR(INDIRECT("'update Helper'!I"&amp;BB17+4)=0,AA17&lt;&gt;0,AA18&lt;&gt;0),IF(IFERROR((AA17/AA18),"")="","",(AA17/AA18)),INDIRECT("'update Helper'!I"&amp;BB17+4)/100),"")</f>
        <v>0.81</v>
      </c>
      <c r="AC17" s="641"/>
      <c r="AD17" s="198">
        <f>+AD18*81%</f>
        <v>12819.87</v>
      </c>
      <c r="AE17" s="643">
        <f t="shared" ref="AE17" ca="1" si="37">IF(A17=INDIRECT("'update Helper'!F"&amp;$BB17+5),IF(A17=INDIRECT("'update Helper'!F"&amp;$BB17+5),IF(OR(INDIRECT("'update Helper'!I"&amp;BB17+5)=0,AD17&lt;&gt;0,AD18&lt;&gt;0),IF(IFERROR((AD17/AD18),"")="","",(AD17/AD18)),INDIRECT("'update Helper'!I"&amp;BB17+5)/100),""),"")</f>
        <v>0.81</v>
      </c>
      <c r="AF17" s="641"/>
      <c r="AG17" s="198"/>
      <c r="AH17" s="643" t="str">
        <f t="shared" ref="AH17" ca="1" si="38">IF(A17=INDIRECT("'update Helper'!F"&amp;$BB17+6),IF(OR(INDIRECT("'update Helper'!I"&amp;BB17+6)=0,AG17&lt;&gt;0,AG18&lt;&gt;0),IF(IFERROR((AG17/AG18),"")="","",(AG17/AG18)),INDIRECT("'update Helper'!I"&amp;BB17+6)/100),"")</f>
        <v/>
      </c>
      <c r="AI17" s="641"/>
      <c r="AJ17" s="198"/>
      <c r="AK17" s="643" t="str">
        <f t="shared" ref="AK17" ca="1" si="39">IF(A17=INDIRECT("'update Helper'!F"&amp;$BB17+6),IF(OR(INDIRECT("'update Helper'!I"&amp;BB17+7)=0,AJ17&lt;&gt;0,AJ18&lt;&gt;0),IF(IFERROR((AJ17/AJ18),"")="","",(AJ17/AJ18)),INDIRECT("'update Helper'!I"&amp;BB17+7)/100),"")</f>
        <v/>
      </c>
      <c r="AL17" s="641"/>
      <c r="AM17" s="639" t="s">
        <v>8065</v>
      </c>
      <c r="AN17" s="639"/>
      <c r="AO17" s="637" t="s">
        <v>8041</v>
      </c>
      <c r="AP17" s="637" t="s">
        <v>8095</v>
      </c>
      <c r="AQ17" s="232" t="str">
        <f t="array" ref="AQ17">IFERROR(IF(INDEX('Reference Records'!$D$61:$D$120,MATCH(LEFT(D17,255),LEFT('Reference Records'!$C$61:$C$120,255),0))=0,"",INDEX('Reference Records'!$D$61:$D$120,MATCH(LEFT(D17,255),LEFT('Reference Records'!$C$61:$C$120,255),0))),"")</f>
        <v>Résultat du test VIH</v>
      </c>
      <c r="AR17" s="191" t="str">
        <f t="array" ref="AR17">VLOOKUP(LEFT(D17,255),LEFT('Reference Records'!C$60:G153,255),4,0)</f>
        <v>MCI-01062</v>
      </c>
      <c r="AS17" s="191">
        <f>MATCH(AR17,'Reference Records'!$F$509:$F$569,0)+ROW(PopulationByCoverage)-1</f>
        <v>529</v>
      </c>
      <c r="AT17" s="191">
        <f>MATCH(AR17,'Reference Records'!$F$509:$F$569,1)+ROW(PopulationByCoverage)-1</f>
        <v>529</v>
      </c>
      <c r="AU17" s="232" t="str">
        <f>D17&amp;E17</f>
        <v>PMTCT-3.1 Pourcentage de nourrissons exposés au VIH ayant bénéficié d’un dépistage du VIH dans les 2 mois qui ont suivi leur naissance</v>
      </c>
      <c r="AV17" s="206" t="str">
        <f>IFERROR(IF(VLOOKUP(D17,'Reference Records'!$C$1:$K$594,9,0)=0,"",_xlfn.CONCAT(VLOOKUP(D17,'Reference Records'!$C$1:$K$594,9,0),";")),"")</f>
        <v>Non cumulative;</v>
      </c>
      <c r="AW17" s="206" t="str">
        <f>CLEAN(IFERROR(LEFT(AV17, SEARCH(";",AV17,1)-1),""))</f>
        <v>Non cumulative</v>
      </c>
      <c r="AX17" s="206" t="str">
        <f>SUBSTITUTE(IFERROR(MID(AV17, SEARCH(";",AV17) + 1, SEARCH(";",AV17,SEARCH(";",AV17)+1) - SEARCH(";",AV17) - 1),""),CHAR(10),"")</f>
        <v/>
      </c>
      <c r="AY17" s="329" t="str">
        <f>CLEAN(IFERROR(SUBSTITUTE(RIGHT(AV17,LEN(AV17) - SEARCH(";", AV17, SEARCH(";",AV17) + 1)),";",""),""))</f>
        <v/>
      </c>
      <c r="AZ17" s="572" t="str">
        <f>IFERROR(IF(VLOOKUP(B17,'Reference Records'!$F$123:$N$157,9,FALSE)=0,"",VLOOKUP(B17,'Reference Records'!$F$123:$N$157,9,FALSE)),"")</f>
        <v>MCI-00649</v>
      </c>
      <c r="BA17" s="232">
        <f t="shared" ref="BA17" si="40">BA15+1</f>
        <v>450</v>
      </c>
      <c r="BB17" s="359">
        <f ca="1">BB15+'update Helper'!$Y$2</f>
        <v>536</v>
      </c>
      <c r="BD17" s="232" t="str">
        <f ca="1">IF(INDIRECT("'update Helper'!S"&amp;BA17)=0,"",IFERROR(VLOOKUP(INDIRECT("'update Helper'!U"&amp;BA17),'Account Role'!A$1:B$28,2,0), IFERROR(VLOOKUP(INDIRECT("'update Helper'!AD"&amp;BA17),'Overview - Section A'!J$25:P$90,7,0),"")))</f>
        <v/>
      </c>
    </row>
    <row r="18" spans="1:56" s="232" customFormat="1" ht="30" customHeight="1" x14ac:dyDescent="0.3">
      <c r="A18" s="646"/>
      <c r="B18" s="640"/>
      <c r="C18" s="640"/>
      <c r="D18" s="640"/>
      <c r="E18" s="640"/>
      <c r="F18" s="198">
        <v>18667</v>
      </c>
      <c r="G18" s="644"/>
      <c r="H18" s="642"/>
      <c r="I18" s="640"/>
      <c r="J18" s="648"/>
      <c r="K18" s="642"/>
      <c r="L18" s="640"/>
      <c r="M18" s="341" t="s">
        <v>318</v>
      </c>
      <c r="N18" s="650"/>
      <c r="O18" s="198">
        <f t="shared" si="9"/>
        <v>8672.5</v>
      </c>
      <c r="P18" s="644"/>
      <c r="Q18" s="642"/>
      <c r="R18" s="198">
        <v>17345</v>
      </c>
      <c r="S18" s="644"/>
      <c r="T18" s="642"/>
      <c r="U18" s="198">
        <f t="shared" si="12"/>
        <v>8297.5</v>
      </c>
      <c r="V18" s="644"/>
      <c r="W18" s="642"/>
      <c r="X18" s="198">
        <v>16595</v>
      </c>
      <c r="Y18" s="644"/>
      <c r="Z18" s="642"/>
      <c r="AA18" s="198">
        <f t="shared" si="15"/>
        <v>7913.5</v>
      </c>
      <c r="AB18" s="644"/>
      <c r="AC18" s="642"/>
      <c r="AD18" s="198">
        <v>15827</v>
      </c>
      <c r="AE18" s="644"/>
      <c r="AF18" s="642"/>
      <c r="AG18" s="198"/>
      <c r="AH18" s="644"/>
      <c r="AI18" s="642"/>
      <c r="AJ18" s="198"/>
      <c r="AK18" s="644"/>
      <c r="AL18" s="642"/>
      <c r="AM18" s="640"/>
      <c r="AN18" s="640"/>
      <c r="AO18" s="638"/>
      <c r="AP18" s="638"/>
      <c r="AV18" s="206"/>
      <c r="AW18" s="206"/>
      <c r="AX18" s="206"/>
      <c r="AY18" s="329"/>
      <c r="AZ18" s="572"/>
      <c r="BB18" s="206"/>
    </row>
    <row r="19" spans="1:56" s="232" customFormat="1" ht="30" customHeight="1" x14ac:dyDescent="0.3">
      <c r="A19" s="645">
        <v>6</v>
      </c>
      <c r="B19" s="639" t="s">
        <v>3152</v>
      </c>
      <c r="C19" s="639" t="s">
        <v>6676</v>
      </c>
      <c r="D19" s="639" t="s">
        <v>2361</v>
      </c>
      <c r="E19" s="639"/>
      <c r="F19" s="198">
        <v>269135</v>
      </c>
      <c r="G19" s="643">
        <f t="shared" ref="G19" ca="1" si="41">IF(OR(INDIRECT("'update Helper'!D"&amp;BA19)=0,F19&lt;&gt;0,F20&lt;&gt;0),IF(IFERROR((F19/F20),"")="","",(F19/F20)),INDIRECT("'update Helper'!D"&amp;BA19)/100)</f>
        <v>0.6276074034517416</v>
      </c>
      <c r="H19" s="641">
        <v>2019</v>
      </c>
      <c r="I19" s="639" t="s">
        <v>8054</v>
      </c>
      <c r="J19" s="647" t="str">
        <f>AQ19</f>
        <v>Age,Sexe,Durée du traitement,Groupe à risque cible</v>
      </c>
      <c r="K19" s="641" t="s">
        <v>444</v>
      </c>
      <c r="L19" s="639" t="s">
        <v>3808</v>
      </c>
      <c r="M19" s="199" t="s">
        <v>1358</v>
      </c>
      <c r="N19" s="649" t="s">
        <v>889</v>
      </c>
      <c r="O19" s="198">
        <f>+R19-(R19-285962)/2</f>
        <v>294071.73249999998</v>
      </c>
      <c r="P19" s="643">
        <f t="shared" ref="P19" ca="1" si="42">IF(OR(INDIRECT("'update Helper'!I"&amp;BB19)=0,O19&lt;&gt;0,O20&lt;&gt;0),IF(IFERROR((O19/O20),"")="","",(O19/O20)),INDIRECT("'update Helper'!I"&amp;BB19)/100)</f>
        <v>0.70359663719778442</v>
      </c>
      <c r="Q19" s="641"/>
      <c r="R19" s="198">
        <f>+R20*72.3%</f>
        <v>302181.46499999997</v>
      </c>
      <c r="S19" s="643">
        <f t="shared" ref="S19" ca="1" si="43">IF(OR(INDIRECT("'update Helper'!I"&amp;BB19+1)=0,R19&lt;&gt;0,R20&lt;&gt;0),IF(IFERROR((R19/R20),"")="","",(R19/R20)),INDIRECT("'update Helper'!I"&amp;BB19+1)/100)</f>
        <v>0.72299999999999998</v>
      </c>
      <c r="T19" s="641"/>
      <c r="U19" s="198">
        <f>+(X19-R19)/2+R19</f>
        <v>309654.30299999996</v>
      </c>
      <c r="V19" s="643">
        <f t="shared" ref="V19" ca="1" si="44">IF(OR(INDIRECT("'update Helper'!I"&amp;BB19+2)=0,U19&lt;&gt;0,U20&lt;&gt;0),IF(IFERROR((U19/U20),"")="","",(U19/U20)),INDIRECT("'update Helper'!I"&amp;BB19+2)/100)</f>
        <v>0.75087915293569896</v>
      </c>
      <c r="W19" s="641"/>
      <c r="X19" s="198">
        <f>+X20*76.9%</f>
        <v>317127.141</v>
      </c>
      <c r="Y19" s="643">
        <f t="shared" ref="Y19" ca="1" si="45">IF(A19=INDIRECT("'update Helper'!F"&amp;$BB19+3),IF(OR(INDIRECT("'update Helper'!I"&amp;BB19+3)=0,X19&lt;&gt;0,X20&lt;&gt;0),IF(IFERROR((X19/X20),"")="","",(X19/X20)),INDIRECT("'update Helper'!I"&amp;BB19+3)/100),"")</f>
        <v>0.76900000000000002</v>
      </c>
      <c r="Z19" s="641"/>
      <c r="AA19" s="198">
        <f>+(AD19-X19)/2+X19</f>
        <v>324180.12800000003</v>
      </c>
      <c r="AB19" s="643">
        <f t="shared" ref="AB19" ca="1" si="46">IF(A19=INDIRECT("'update Helper'!F"&amp;$BB19+4),IF(OR(INDIRECT("'update Helper'!I"&amp;BB19+4)=0,AA19&lt;&gt;0,AA20&lt;&gt;0),IF(IFERROR((AA19/AA20),"")="","",(AA19/AA20)),INDIRECT("'update Helper'!I"&amp;BB19+4)/100),"")</f>
        <v>0.79764610588527662</v>
      </c>
      <c r="AC19" s="641"/>
      <c r="AD19" s="198">
        <f>+AD20*81.5%</f>
        <v>331233.11499999999</v>
      </c>
      <c r="AE19" s="643">
        <f t="shared" ref="AE19" ca="1" si="47">IF(A19=INDIRECT("'update Helper'!F"&amp;$BB19+5),IF(A19=INDIRECT("'update Helper'!F"&amp;$BB19+5),IF(OR(INDIRECT("'update Helper'!I"&amp;BB19+5)=0,AD19&lt;&gt;0,AD20&lt;&gt;0),IF(IFERROR((AD19/AD20),"")="","",(AD19/AD20)),INDIRECT("'update Helper'!I"&amp;BB19+5)/100),""),"")</f>
        <v>0.81499999999999995</v>
      </c>
      <c r="AF19" s="641"/>
      <c r="AG19" s="198"/>
      <c r="AH19" s="643" t="str">
        <f t="shared" ref="AH19" ca="1" si="48">IF(A19=INDIRECT("'update Helper'!F"&amp;$BB19+6),IF(OR(INDIRECT("'update Helper'!I"&amp;BB19+6)=0,AG19&lt;&gt;0,AG20&lt;&gt;0),IF(IFERROR((AG19/AG20),"")="","",(AG19/AG20)),INDIRECT("'update Helper'!I"&amp;BB19+6)/100),"")</f>
        <v/>
      </c>
      <c r="AI19" s="641"/>
      <c r="AJ19" s="198"/>
      <c r="AK19" s="643" t="str">
        <f t="shared" ref="AK19" ca="1" si="49">IF(A19=INDIRECT("'update Helper'!F"&amp;$BB19+6),IF(OR(INDIRECT("'update Helper'!I"&amp;BB19+7)=0,AJ19&lt;&gt;0,AJ20&lt;&gt;0),IF(IFERROR((AJ19/AJ20),"")="","",(AJ19/AJ20)),INDIRECT("'update Helper'!I"&amp;BB19+7)/100),"")</f>
        <v/>
      </c>
      <c r="AL19" s="641"/>
      <c r="AM19" s="639" t="s">
        <v>8066</v>
      </c>
      <c r="AN19" s="639"/>
      <c r="AO19" s="637" t="s">
        <v>8041</v>
      </c>
      <c r="AP19" s="637" t="s">
        <v>8096</v>
      </c>
      <c r="AQ19" s="232" t="str">
        <f t="array" ref="AQ19">IFERROR(IF(INDEX('Reference Records'!$D$61:$D$120,MATCH(LEFT(D19,255),LEFT('Reference Records'!$C$61:$C$120,255),0))=0,"",INDEX('Reference Records'!$D$61:$D$120,MATCH(LEFT(D19,255),LEFT('Reference Records'!$C$61:$C$120,255),0))),"")</f>
        <v>Age,Sexe,Durée du traitement,Groupe à risque cible</v>
      </c>
      <c r="AR19" s="191" t="str">
        <f t="array" ref="AR19">VLOOKUP(LEFT(D19,255),LEFT('Reference Records'!C$60:G155,255),4,0)</f>
        <v>MCI-01073</v>
      </c>
      <c r="AS19" s="191">
        <f>MATCH(AR19,'Reference Records'!$F$509:$F$569,0)+ROW(PopulationByCoverage)-1</f>
        <v>540</v>
      </c>
      <c r="AT19" s="191">
        <f>MATCH(AR19,'Reference Records'!$F$509:$F$569,1)+ROW(PopulationByCoverage)-1</f>
        <v>540</v>
      </c>
      <c r="AU19" s="232" t="str">
        <f>D19&amp;E19</f>
        <v>TCS-1.1⁽ᴹ⁾ Pourcentage de personnes sous TARV parmi toutes les personnes vivant avec le VIH à la fin de la période de rapportage</v>
      </c>
      <c r="AV19" s="206" t="str">
        <f>IFERROR(IF(VLOOKUP(D19,'Reference Records'!$C$1:$K$594,9,0)=0,"",_xlfn.CONCAT(VLOOKUP(D19,'Reference Records'!$C$1:$K$594,9,0),";")),"")</f>
        <v>Non cumulative – other;</v>
      </c>
      <c r="AW19" s="206" t="str">
        <f>CLEAN(IFERROR(LEFT(AV19, SEARCH(";",AV19,1)-1),""))</f>
        <v>Non cumulative – other</v>
      </c>
      <c r="AX19" s="206" t="str">
        <f>SUBSTITUTE(IFERROR(MID(AV19, SEARCH(";",AV19) + 1, SEARCH(";",AV19,SEARCH(";",AV19)+1) - SEARCH(";",AV19) - 1),""),CHAR(10),"")</f>
        <v/>
      </c>
      <c r="AY19" s="329" t="str">
        <f>CLEAN(IFERROR(SUBSTITUTE(RIGHT(AV19,LEN(AV19) - SEARCH(";", AV19, SEARCH(";",AV19) + 1)),";",""),""))</f>
        <v/>
      </c>
      <c r="AZ19" s="572" t="str">
        <f>IFERROR(IF(VLOOKUP(B19,'Reference Records'!$F$123:$N$157,9,FALSE)=0,"",VLOOKUP(B19,'Reference Records'!$F$123:$N$157,9,FALSE)),"")</f>
        <v>MCI-00651</v>
      </c>
      <c r="BA19" s="232">
        <f t="shared" ref="BA19" si="50">BA17+1</f>
        <v>451</v>
      </c>
      <c r="BB19" s="359">
        <f ca="1">BB17+'update Helper'!$Y$2</f>
        <v>542</v>
      </c>
      <c r="BD19" s="232" t="str">
        <f ca="1">IF(INDIRECT("'update Helper'!S"&amp;BA19)=0,"",IFERROR(VLOOKUP(INDIRECT("'update Helper'!U"&amp;BA19),'Account Role'!A$1:B$28,2,0), IFERROR(VLOOKUP(INDIRECT("'update Helper'!AD"&amp;BA19),'Overview - Section A'!J$25:P$90,7,0),"")))</f>
        <v/>
      </c>
    </row>
    <row r="20" spans="1:56" s="232" customFormat="1" ht="30" customHeight="1" x14ac:dyDescent="0.3">
      <c r="A20" s="646"/>
      <c r="B20" s="640"/>
      <c r="C20" s="640"/>
      <c r="D20" s="640"/>
      <c r="E20" s="640"/>
      <c r="F20" s="198">
        <v>428827</v>
      </c>
      <c r="G20" s="644"/>
      <c r="H20" s="642"/>
      <c r="I20" s="640"/>
      <c r="J20" s="648"/>
      <c r="K20" s="642"/>
      <c r="L20" s="640"/>
      <c r="M20" s="341" t="s">
        <v>318</v>
      </c>
      <c r="N20" s="650"/>
      <c r="O20" s="198">
        <f>+R20</f>
        <v>417955</v>
      </c>
      <c r="P20" s="644"/>
      <c r="Q20" s="642"/>
      <c r="R20" s="198">
        <v>417955</v>
      </c>
      <c r="S20" s="644"/>
      <c r="T20" s="642"/>
      <c r="U20" s="198">
        <f>+X20</f>
        <v>412389</v>
      </c>
      <c r="V20" s="644"/>
      <c r="W20" s="642"/>
      <c r="X20" s="198">
        <v>412389</v>
      </c>
      <c r="Y20" s="644"/>
      <c r="Z20" s="642"/>
      <c r="AA20" s="198">
        <f>+AD20</f>
        <v>406421</v>
      </c>
      <c r="AB20" s="644"/>
      <c r="AC20" s="642"/>
      <c r="AD20" s="198">
        <v>406421</v>
      </c>
      <c r="AE20" s="644"/>
      <c r="AF20" s="642"/>
      <c r="AG20" s="198"/>
      <c r="AH20" s="644"/>
      <c r="AI20" s="642"/>
      <c r="AJ20" s="198"/>
      <c r="AK20" s="644"/>
      <c r="AL20" s="642"/>
      <c r="AM20" s="640"/>
      <c r="AN20" s="640"/>
      <c r="AO20" s="638"/>
      <c r="AP20" s="638"/>
      <c r="AV20" s="206"/>
      <c r="AW20" s="206"/>
      <c r="AX20" s="206"/>
      <c r="AY20" s="329"/>
      <c r="AZ20" s="572"/>
      <c r="BB20" s="206"/>
    </row>
    <row r="21" spans="1:56" s="232" customFormat="1" ht="30" customHeight="1" x14ac:dyDescent="0.3">
      <c r="A21" s="645">
        <v>7</v>
      </c>
      <c r="B21" s="639" t="s">
        <v>3152</v>
      </c>
      <c r="C21" s="639" t="s">
        <v>6681</v>
      </c>
      <c r="D21" s="639" t="s">
        <v>2419</v>
      </c>
      <c r="E21" s="639"/>
      <c r="F21" s="198">
        <v>257805</v>
      </c>
      <c r="G21" s="643">
        <f t="shared" ref="G21" ca="1" si="51">IF(OR(INDIRECT("'update Helper'!D"&amp;BA21)=0,F21&lt;&gt;0,F22&lt;&gt;0),IF(IFERROR((F21/F22),"")="","",(F21/F22)),INDIRECT("'update Helper'!D"&amp;BA21)/100)</f>
        <v>0.64911635776746579</v>
      </c>
      <c r="H21" s="641"/>
      <c r="I21" s="639" t="s">
        <v>8054</v>
      </c>
      <c r="J21" s="647" t="str">
        <f>AQ21</f>
        <v>Sexe,Durée du traitement,Groupe à risque cible</v>
      </c>
      <c r="K21" s="641" t="s">
        <v>444</v>
      </c>
      <c r="L21" s="639" t="s">
        <v>3808</v>
      </c>
      <c r="M21" s="199" t="s">
        <v>1358</v>
      </c>
      <c r="N21" s="649" t="s">
        <v>889</v>
      </c>
      <c r="O21" s="198">
        <f>+(R21-266381)/2+266381</f>
        <v>276090.19</v>
      </c>
      <c r="P21" s="643">
        <f t="shared" ref="P21" ca="1" si="52">IF(OR(INDIRECT("'update Helper'!I"&amp;BB21)=0,O21&lt;&gt;0,O22&lt;&gt;0),IF(IFERROR((O21/O22),"")="","",(O21/O22)),INDIRECT("'update Helper'!I"&amp;BB21)/100)</f>
        <v>0.70520040561319619</v>
      </c>
      <c r="Q21" s="641"/>
      <c r="R21" s="198">
        <f>+R22*73%</f>
        <v>285799.38</v>
      </c>
      <c r="S21" s="643">
        <f t="shared" ref="S21" ca="1" si="53">IF(OR(INDIRECT("'update Helper'!I"&amp;BB21+1)=0,R21&lt;&gt;0,R22&lt;&gt;0),IF(IFERROR((R21/R22),"")="","",(R21/R22)),INDIRECT("'update Helper'!I"&amp;BB21+1)/100)</f>
        <v>0.73</v>
      </c>
      <c r="T21" s="641"/>
      <c r="U21" s="198">
        <f>+(X21-R21)/2+R21</f>
        <v>294366.71999999997</v>
      </c>
      <c r="V21" s="643">
        <f t="shared" ref="V21" ca="1" si="54">IF(OR(INDIRECT("'update Helper'!I"&amp;BB21+2)=0,U21&lt;&gt;0,U22&lt;&gt;0),IF(IFERROR((U21/U22),"")="","",(U21/U22)),INDIRECT("'update Helper'!I"&amp;BB21+2)/100)</f>
        <v>0.75794066074973532</v>
      </c>
      <c r="W21" s="641"/>
      <c r="X21" s="198">
        <f>+X22*78%</f>
        <v>302934.06</v>
      </c>
      <c r="Y21" s="643">
        <f t="shared" ref="Y21" ca="1" si="55">IF(A21=INDIRECT("'update Helper'!F"&amp;$BB21+3),IF(OR(INDIRECT("'update Helper'!I"&amp;BB21+3)=0,X21&lt;&gt;0,X22&lt;&gt;0),IF(IFERROR((X21/X22),"")="","",(X21/X22)),INDIRECT("'update Helper'!I"&amp;BB21+3)/100),"")</f>
        <v>0.78</v>
      </c>
      <c r="Z21" s="641"/>
      <c r="AA21" s="198">
        <f>+(AD21-X21)/2+X21</f>
        <v>309215.76</v>
      </c>
      <c r="AB21" s="643">
        <f t="shared" ref="AB21" ca="1" si="56">IF(A21=INDIRECT("'update Helper'!F"&amp;$BB21+4),IF(OR(INDIRECT("'update Helper'!I"&amp;BB21+4)=0,AA21&lt;&gt;0,AA22&lt;&gt;0),IF(IFERROR((AA21/AA22),"")="","",(AA21/AA22)),INDIRECT("'update Helper'!I"&amp;BB21+4)/100),"")</f>
        <v>0.80367342164973377</v>
      </c>
      <c r="AC21" s="641"/>
      <c r="AD21" s="198">
        <f>+AD22*82%</f>
        <v>315497.45999999996</v>
      </c>
      <c r="AE21" s="643">
        <f t="shared" ref="AE21" ca="1" si="57">IF(A21=INDIRECT("'update Helper'!F"&amp;$BB21+5),IF(A21=INDIRECT("'update Helper'!F"&amp;$BB21+5),IF(OR(INDIRECT("'update Helper'!I"&amp;BB21+5)=0,AD21&lt;&gt;0,AD22&lt;&gt;0),IF(IFERROR((AD21/AD22),"")="","",(AD21/AD22)),INDIRECT("'update Helper'!I"&amp;BB21+5)/100),""),"")</f>
        <v>0.82</v>
      </c>
      <c r="AF21" s="641"/>
      <c r="AG21" s="198"/>
      <c r="AH21" s="643" t="str">
        <f t="shared" ref="AH21" ca="1" si="58">IF(A21=INDIRECT("'update Helper'!F"&amp;$BB21+6),IF(OR(INDIRECT("'update Helper'!I"&amp;BB21+6)=0,AG21&lt;&gt;0,AG22&lt;&gt;0),IF(IFERROR((AG21/AG22),"")="","",(AG21/AG22)),INDIRECT("'update Helper'!I"&amp;BB21+6)/100),"")</f>
        <v/>
      </c>
      <c r="AI21" s="641"/>
      <c r="AJ21" s="198"/>
      <c r="AK21" s="643" t="str">
        <f t="shared" ref="AK21" ca="1" si="59">IF(A21=INDIRECT("'update Helper'!F"&amp;$BB21+6),IF(OR(INDIRECT("'update Helper'!I"&amp;BB21+7)=0,AJ21&lt;&gt;0,AJ22&lt;&gt;0),IF(IFERROR((AJ21/AJ22),"")="","",(AJ21/AJ22)),INDIRECT("'update Helper'!I"&amp;BB21+7)/100),"")</f>
        <v/>
      </c>
      <c r="AL21" s="641"/>
      <c r="AM21" s="639" t="s">
        <v>8067</v>
      </c>
      <c r="AN21" s="639"/>
      <c r="AO21" s="637" t="s">
        <v>8041</v>
      </c>
      <c r="AP21" s="637" t="s">
        <v>8097</v>
      </c>
      <c r="AQ21" s="232" t="str">
        <f t="array" ref="AQ21">IFERROR(IF(INDEX('Reference Records'!$D$61:$D$120,MATCH(LEFT(D21,255),LEFT('Reference Records'!$C$61:$C$120,255),0))=0,"",INDEX('Reference Records'!$D$61:$D$120,MATCH(LEFT(D21,255),LEFT('Reference Records'!$C$61:$C$120,255),0))),"")</f>
        <v>Sexe,Durée du traitement,Groupe à risque cible</v>
      </c>
      <c r="AR21" s="191" t="str">
        <f t="array" ref="AR21">VLOOKUP(LEFT(D21,255),LEFT('Reference Records'!C$60:G157,255),4,0)</f>
        <v>MCI-01074</v>
      </c>
      <c r="AS21" s="191">
        <f>MATCH(AR21,'Reference Records'!$F$509:$F$569,0)+ROW(PopulationByCoverage)-1</f>
        <v>541</v>
      </c>
      <c r="AT21" s="191">
        <f>MATCH(AR21,'Reference Records'!$F$509:$F$569,1)+ROW(PopulationByCoverage)-1</f>
        <v>541</v>
      </c>
      <c r="AU21" s="232" t="str">
        <f>D21&amp;E21</f>
        <v>TCS-1b⁽ᴹ⁾ Pourcentage d'adultes (15 ans et plus) sous TARV parmi tous les adultes vivant avec le VIH à la fin de la période de rapportage</v>
      </c>
      <c r="AV21" s="206" t="str">
        <f>IFERROR(IF(VLOOKUP(D21,'Reference Records'!$C$1:$K$594,9,0)=0,"",_xlfn.CONCAT(VLOOKUP(D21,'Reference Records'!$C$1:$K$594,9,0),";")),"")</f>
        <v>Non cumulative – other;</v>
      </c>
      <c r="AW21" s="206" t="str">
        <f>CLEAN(IFERROR(LEFT(AV21, SEARCH(";",AV21,1)-1),""))</f>
        <v>Non cumulative – other</v>
      </c>
      <c r="AX21" s="206" t="str">
        <f>SUBSTITUTE(IFERROR(MID(AV21, SEARCH(";",AV21) + 1, SEARCH(";",AV21,SEARCH(";",AV21)+1) - SEARCH(";",AV21) - 1),""),CHAR(10),"")</f>
        <v/>
      </c>
      <c r="AY21" s="329" t="str">
        <f>CLEAN(IFERROR(SUBSTITUTE(RIGHT(AV21,LEN(AV21) - SEARCH(";", AV21, SEARCH(";",AV21) + 1)),";",""),""))</f>
        <v/>
      </c>
      <c r="AZ21" s="572" t="str">
        <f>IFERROR(IF(VLOOKUP(B21,'Reference Records'!$F$123:$N$157,9,FALSE)=0,"",VLOOKUP(B21,'Reference Records'!$F$123:$N$157,9,FALSE)),"")</f>
        <v>MCI-00651</v>
      </c>
      <c r="BA21" s="232">
        <f t="shared" ref="BA21" si="60">BA19+1</f>
        <v>452</v>
      </c>
      <c r="BB21" s="359">
        <f ca="1">BB19+'update Helper'!$Y$2</f>
        <v>548</v>
      </c>
      <c r="BD21" s="232" t="str">
        <f ca="1">IF(INDIRECT("'update Helper'!S"&amp;BA21)=0,"",IFERROR(VLOOKUP(INDIRECT("'update Helper'!U"&amp;BA21),'Account Role'!A$1:B$28,2,0), IFERROR(VLOOKUP(INDIRECT("'update Helper'!AD"&amp;BA21),'Overview - Section A'!J$25:P$90,7,0),"")))</f>
        <v/>
      </c>
    </row>
    <row r="22" spans="1:56" s="232" customFormat="1" ht="30" customHeight="1" x14ac:dyDescent="0.3">
      <c r="A22" s="646"/>
      <c r="B22" s="640"/>
      <c r="C22" s="640"/>
      <c r="D22" s="640"/>
      <c r="E22" s="640"/>
      <c r="F22" s="198">
        <v>397163</v>
      </c>
      <c r="G22" s="644"/>
      <c r="H22" s="642"/>
      <c r="I22" s="640"/>
      <c r="J22" s="648"/>
      <c r="K22" s="642"/>
      <c r="L22" s="640"/>
      <c r="M22" s="341" t="s">
        <v>318</v>
      </c>
      <c r="N22" s="650"/>
      <c r="O22" s="198">
        <f>+R22</f>
        <v>391506</v>
      </c>
      <c r="P22" s="644"/>
      <c r="Q22" s="642"/>
      <c r="R22" s="198">
        <v>391506</v>
      </c>
      <c r="S22" s="644"/>
      <c r="T22" s="642"/>
      <c r="U22" s="198">
        <f>+X22</f>
        <v>388377</v>
      </c>
      <c r="V22" s="644"/>
      <c r="W22" s="642"/>
      <c r="X22" s="198">
        <v>388377</v>
      </c>
      <c r="Y22" s="644"/>
      <c r="Z22" s="642"/>
      <c r="AA22" s="198">
        <f>+AD22</f>
        <v>384753</v>
      </c>
      <c r="AB22" s="644"/>
      <c r="AC22" s="642"/>
      <c r="AD22" s="198">
        <v>384753</v>
      </c>
      <c r="AE22" s="644"/>
      <c r="AF22" s="642"/>
      <c r="AG22" s="198"/>
      <c r="AH22" s="644"/>
      <c r="AI22" s="642"/>
      <c r="AJ22" s="198"/>
      <c r="AK22" s="644"/>
      <c r="AL22" s="642"/>
      <c r="AM22" s="640"/>
      <c r="AN22" s="640"/>
      <c r="AO22" s="638"/>
      <c r="AP22" s="638"/>
      <c r="AV22" s="206"/>
      <c r="AW22" s="206"/>
      <c r="AX22" s="206"/>
      <c r="AY22" s="329"/>
      <c r="AZ22" s="572"/>
      <c r="BB22" s="206"/>
    </row>
    <row r="23" spans="1:56" s="232" customFormat="1" ht="30" customHeight="1" x14ac:dyDescent="0.3">
      <c r="A23" s="645">
        <v>8</v>
      </c>
      <c r="B23" s="639" t="s">
        <v>3152</v>
      </c>
      <c r="C23" s="639" t="s">
        <v>6686</v>
      </c>
      <c r="D23" s="639" t="s">
        <v>2455</v>
      </c>
      <c r="E23" s="639"/>
      <c r="F23" s="198">
        <v>11330</v>
      </c>
      <c r="G23" s="643">
        <f t="shared" ref="G23" ca="1" si="61">IF(OR(INDIRECT("'update Helper'!D"&amp;BA23)=0,F23&lt;&gt;0,F24&lt;&gt;0),IF(IFERROR((F23/F24),"")="","",(F23/F24)),INDIRECT("'update Helper'!D"&amp;BA23)/100)</f>
        <v>0.35784220832543745</v>
      </c>
      <c r="H23" s="641">
        <v>2019</v>
      </c>
      <c r="I23" s="639" t="s">
        <v>8054</v>
      </c>
      <c r="J23" s="647" t="str">
        <f>AQ23</f>
        <v>Sexe,Durée du traitement</v>
      </c>
      <c r="K23" s="641" t="s">
        <v>444</v>
      </c>
      <c r="L23" s="639" t="s">
        <v>3808</v>
      </c>
      <c r="M23" s="199" t="s">
        <v>1358</v>
      </c>
      <c r="N23" s="649" t="s">
        <v>889</v>
      </c>
      <c r="O23" s="198">
        <f>+(R23-13323)/2+13323</f>
        <v>14028.103500000001</v>
      </c>
      <c r="P23" s="643">
        <f t="shared" ref="P23" ca="1" si="62">IF(OR(INDIRECT("'update Helper'!I"&amp;BB23)=0,O23&lt;&gt;0,O24&lt;&gt;0),IF(IFERROR((O23/O24),"")="","",(O23/O24)),INDIRECT("'update Helper'!I"&amp;BB23)/100)</f>
        <v>0.53034303050924358</v>
      </c>
      <c r="Q23" s="641"/>
      <c r="R23" s="198">
        <f>+R24*55.7%</f>
        <v>14733.207000000002</v>
      </c>
      <c r="S23" s="643">
        <f t="shared" ref="S23" ca="1" si="63">IF(OR(INDIRECT("'update Helper'!I"&amp;BB23+1)=0,R23&lt;&gt;0,R24&lt;&gt;0),IF(IFERROR((R23/R24),"")="","",(R23/R24)),INDIRECT("'update Helper'!I"&amp;BB23+1)/100)</f>
        <v>0.55700000000000005</v>
      </c>
      <c r="T23" s="641"/>
      <c r="U23" s="198">
        <f>+(X23-R23)/2+R23</f>
        <v>15230.861000000001</v>
      </c>
      <c r="V23" s="643">
        <f t="shared" ref="V23" ca="1" si="64">IF(OR(INDIRECT("'update Helper'!I"&amp;BB23+2)=0,U23&lt;&gt;0,U24&lt;&gt;0),IF(IFERROR((U23/U24),"")="","",(U23/U24)),INDIRECT("'update Helper'!I"&amp;BB23+2)/100)</f>
        <v>0.63427564236038814</v>
      </c>
      <c r="W23" s="641"/>
      <c r="X23" s="198">
        <f>+X24*65.5%</f>
        <v>15728.515000000001</v>
      </c>
      <c r="Y23" s="643">
        <f t="shared" ref="Y23" ca="1" si="65">IF(A23=INDIRECT("'update Helper'!F"&amp;$BB23+3),IF(OR(INDIRECT("'update Helper'!I"&amp;BB23+3)=0,X23&lt;&gt;0,X24&lt;&gt;0),IF(IFERROR((X23/X24),"")="","",(X23/X24)),INDIRECT("'update Helper'!I"&amp;BB23+3)/100),"")</f>
        <v>0.65500000000000003</v>
      </c>
      <c r="Z23" s="641"/>
      <c r="AA23" s="198">
        <f>+(AD23-X23)/2+X23</f>
        <v>16022.2595</v>
      </c>
      <c r="AB23" s="643">
        <f t="shared" ref="AB23" ca="1" si="66">IF(A23=INDIRECT("'update Helper'!F"&amp;$BB23+4),IF(OR(INDIRECT("'update Helper'!I"&amp;BB23+4)=0,AA23&lt;&gt;0,AA24&lt;&gt;0),IF(IFERROR((AA23/AA24),"")="","",(AA23/AA24)),INDIRECT("'update Helper'!I"&amp;BB23+4)/100),"")</f>
        <v>0.73944339579102825</v>
      </c>
      <c r="AC23" s="641"/>
      <c r="AD23" s="198">
        <f>+AD24*75.3%</f>
        <v>16316.004000000001</v>
      </c>
      <c r="AE23" s="643">
        <f t="shared" ref="AE23" ca="1" si="67">IF(A23=INDIRECT("'update Helper'!F"&amp;$BB23+5),IF(A23=INDIRECT("'update Helper'!F"&amp;$BB23+5),IF(OR(INDIRECT("'update Helper'!I"&amp;BB23+5)=0,AD23&lt;&gt;0,AD24&lt;&gt;0),IF(IFERROR((AD23/AD24),"")="","",(AD23/AD24)),INDIRECT("'update Helper'!I"&amp;BB23+5)/100),""),"")</f>
        <v>0.753</v>
      </c>
      <c r="AF23" s="641"/>
      <c r="AG23" s="198"/>
      <c r="AH23" s="643" t="str">
        <f t="shared" ref="AH23" ca="1" si="68">IF(A23=INDIRECT("'update Helper'!F"&amp;$BB23+6),IF(OR(INDIRECT("'update Helper'!I"&amp;BB23+6)=0,AG23&lt;&gt;0,AG24&lt;&gt;0),IF(IFERROR((AG23/AG24),"")="","",(AG23/AG24)),INDIRECT("'update Helper'!I"&amp;BB23+6)/100),"")</f>
        <v/>
      </c>
      <c r="AI23" s="641"/>
      <c r="AJ23" s="198"/>
      <c r="AK23" s="643" t="str">
        <f t="shared" ref="AK23" ca="1" si="69">IF(A23=INDIRECT("'update Helper'!F"&amp;$BB23+6),IF(OR(INDIRECT("'update Helper'!I"&amp;BB23+7)=0,AJ23&lt;&gt;0,AJ24&lt;&gt;0),IF(IFERROR((AJ23/AJ24),"")="","",(AJ23/AJ24)),INDIRECT("'update Helper'!I"&amp;BB23+7)/100),"")</f>
        <v/>
      </c>
      <c r="AL23" s="641"/>
      <c r="AM23" s="639" t="s">
        <v>8068</v>
      </c>
      <c r="AN23" s="639"/>
      <c r="AO23" s="637" t="s">
        <v>8041</v>
      </c>
      <c r="AP23" s="637" t="s">
        <v>8098</v>
      </c>
      <c r="AQ23" s="232" t="str">
        <f t="array" ref="AQ23">IFERROR(IF(INDEX('Reference Records'!$D$61:$D$120,MATCH(LEFT(D23,255),LEFT('Reference Records'!$C$61:$C$120,255),0))=0,"",INDEX('Reference Records'!$D$61:$D$120,MATCH(LEFT(D23,255),LEFT('Reference Records'!$C$61:$C$120,255),0))),"")</f>
        <v>Sexe,Durée du traitement</v>
      </c>
      <c r="AR23" s="191" t="str">
        <f t="array" ref="AR23">VLOOKUP(LEFT(D23,255),LEFT('Reference Records'!C$60:G159,255),4,0)</f>
        <v>MCI-01075</v>
      </c>
      <c r="AS23" s="191">
        <f>MATCH(AR23,'Reference Records'!$F$509:$F$569,0)+ROW(PopulationByCoverage)-1</f>
        <v>542</v>
      </c>
      <c r="AT23" s="191">
        <f>MATCH(AR23,'Reference Records'!$F$509:$F$569,1)+ROW(PopulationByCoverage)-1</f>
        <v>542</v>
      </c>
      <c r="AU23" s="232" t="str">
        <f>D23&amp;E23</f>
        <v>TCS-1c⁽ᴹ⁾ Pourcentage d'enfants (de moins de 15 ans) sous TARV parmi tous les enfants vivant avec le VIH à la fin de la période de rapportage</v>
      </c>
      <c r="AV23" s="206" t="str">
        <f>IFERROR(IF(VLOOKUP(D23,'Reference Records'!$C$1:$K$594,9,0)=0,"",_xlfn.CONCAT(VLOOKUP(D23,'Reference Records'!$C$1:$K$594,9,0),";")),"")</f>
        <v>Non cumulative – other;</v>
      </c>
      <c r="AW23" s="206" t="str">
        <f>CLEAN(IFERROR(LEFT(AV23, SEARCH(";",AV23,1)-1),""))</f>
        <v>Non cumulative – other</v>
      </c>
      <c r="AX23" s="206" t="str">
        <f>SUBSTITUTE(IFERROR(MID(AV23, SEARCH(";",AV23) + 1, SEARCH(";",AV23,SEARCH(";",AV23)+1) - SEARCH(";",AV23) - 1),""),CHAR(10),"")</f>
        <v/>
      </c>
      <c r="AY23" s="329" t="str">
        <f>CLEAN(IFERROR(SUBSTITUTE(RIGHT(AV23,LEN(AV23) - SEARCH(";", AV23, SEARCH(";",AV23) + 1)),";",""),""))</f>
        <v/>
      </c>
      <c r="AZ23" s="572" t="str">
        <f>IFERROR(IF(VLOOKUP(B23,'Reference Records'!$F$123:$N$157,9,FALSE)=0,"",VLOOKUP(B23,'Reference Records'!$F$123:$N$157,9,FALSE)),"")</f>
        <v>MCI-00651</v>
      </c>
      <c r="BA23" s="232">
        <f t="shared" ref="BA23" si="70">BA21+1</f>
        <v>453</v>
      </c>
      <c r="BB23" s="359">
        <f ca="1">BB21+'update Helper'!$Y$2</f>
        <v>554</v>
      </c>
      <c r="BD23" s="232" t="str">
        <f ca="1">IF(INDIRECT("'update Helper'!S"&amp;BA23)=0,"",IFERROR(VLOOKUP(INDIRECT("'update Helper'!U"&amp;BA23),'Account Role'!A$1:B$28,2,0), IFERROR(VLOOKUP(INDIRECT("'update Helper'!AD"&amp;BA23),'Overview - Section A'!J$25:P$90,7,0),"")))</f>
        <v/>
      </c>
    </row>
    <row r="24" spans="1:56" s="232" customFormat="1" ht="30" customHeight="1" x14ac:dyDescent="0.3">
      <c r="A24" s="646"/>
      <c r="B24" s="640"/>
      <c r="C24" s="640"/>
      <c r="D24" s="640"/>
      <c r="E24" s="640"/>
      <c r="F24" s="198">
        <v>31662</v>
      </c>
      <c r="G24" s="644"/>
      <c r="H24" s="642"/>
      <c r="I24" s="640"/>
      <c r="J24" s="648"/>
      <c r="K24" s="642"/>
      <c r="L24" s="640"/>
      <c r="M24" s="341" t="s">
        <v>318</v>
      </c>
      <c r="N24" s="650"/>
      <c r="O24" s="198">
        <f>+R24</f>
        <v>26451</v>
      </c>
      <c r="P24" s="644"/>
      <c r="Q24" s="642"/>
      <c r="R24" s="198">
        <v>26451</v>
      </c>
      <c r="S24" s="644"/>
      <c r="T24" s="642"/>
      <c r="U24" s="198">
        <f>+X24</f>
        <v>24013</v>
      </c>
      <c r="V24" s="644"/>
      <c r="W24" s="642"/>
      <c r="X24" s="198">
        <v>24013</v>
      </c>
      <c r="Y24" s="644"/>
      <c r="Z24" s="642"/>
      <c r="AA24" s="198">
        <f>+AD24</f>
        <v>21668</v>
      </c>
      <c r="AB24" s="644"/>
      <c r="AC24" s="642"/>
      <c r="AD24" s="198">
        <v>21668</v>
      </c>
      <c r="AE24" s="644"/>
      <c r="AF24" s="642"/>
      <c r="AG24" s="198"/>
      <c r="AH24" s="644"/>
      <c r="AI24" s="642"/>
      <c r="AJ24" s="198"/>
      <c r="AK24" s="644"/>
      <c r="AL24" s="642"/>
      <c r="AM24" s="640"/>
      <c r="AN24" s="640"/>
      <c r="AO24" s="638"/>
      <c r="AP24" s="638"/>
      <c r="AV24" s="206"/>
      <c r="AW24" s="206"/>
      <c r="AX24" s="206"/>
      <c r="AY24" s="329"/>
      <c r="AZ24" s="572"/>
      <c r="BB24" s="206"/>
    </row>
    <row r="25" spans="1:56" s="232" customFormat="1" ht="30" customHeight="1" x14ac:dyDescent="0.3">
      <c r="A25" s="645">
        <v>9</v>
      </c>
      <c r="B25" s="639" t="s">
        <v>3145</v>
      </c>
      <c r="C25" s="639" t="s">
        <v>765</v>
      </c>
      <c r="D25" s="639" t="s">
        <v>2866</v>
      </c>
      <c r="E25" s="656"/>
      <c r="F25" s="512">
        <v>189123</v>
      </c>
      <c r="G25" s="643">
        <f t="shared" ref="G25" ca="1" si="71">IF(OR(INDIRECT("'update Helper'!D"&amp;BA25)=0,F25&lt;&gt;0,F26&lt;&gt;0),IF(IFERROR((F25/F26),"")="","",(F25/F26)),INDIRECT("'update Helper'!D"&amp;BA25)/100)</f>
        <v>0.75023206366081419</v>
      </c>
      <c r="H25" s="641">
        <v>2019</v>
      </c>
      <c r="I25" s="656" t="s">
        <v>8054</v>
      </c>
      <c r="J25" s="647" t="str">
        <f>AQ25</f>
        <v>Sexe,Age</v>
      </c>
      <c r="K25" s="641" t="s">
        <v>444</v>
      </c>
      <c r="L25" s="639" t="s">
        <v>3808</v>
      </c>
      <c r="M25" s="199" t="s">
        <v>1358</v>
      </c>
      <c r="N25" s="649" t="s">
        <v>888</v>
      </c>
      <c r="O25" s="512">
        <f>+R25/2</f>
        <v>128667.39721499998</v>
      </c>
      <c r="P25" s="643">
        <f t="shared" ref="P25" ca="1" si="72">IF(OR(INDIRECT("'update Helper'!I"&amp;BB25)=0,O25&lt;&gt;0,O26&lt;&gt;0),IF(IFERROR((O25/O26),"")="","",(O25/O26)),INDIRECT("'update Helper'!I"&amp;BB25)/100)</f>
        <v>0.83</v>
      </c>
      <c r="Q25" s="641"/>
      <c r="R25" s="512">
        <f>+R26*83%</f>
        <v>257334.79442999995</v>
      </c>
      <c r="S25" s="643">
        <f t="shared" ref="S25" ca="1" si="73">IF(OR(INDIRECT("'update Helper'!I"&amp;BB25+1)=0,R25&lt;&gt;0,R26&lt;&gt;0),IF(IFERROR((R25/R26),"")="","",(R25/R26)),INDIRECT("'update Helper'!I"&amp;BB25+1)/100)</f>
        <v>0.83</v>
      </c>
      <c r="T25" s="641"/>
      <c r="U25" s="512">
        <f>+X25/2</f>
        <v>145097.90372</v>
      </c>
      <c r="V25" s="643">
        <f t="shared" ref="V25" ca="1" si="74">IF(OR(INDIRECT("'update Helper'!I"&amp;BB25+2)=0,U25&lt;&gt;0,U26&lt;&gt;0),IF(IFERROR((U25/U26),"")="","",(U25/U26)),INDIRECT("'update Helper'!I"&amp;BB25+2)/100)</f>
        <v>0.88</v>
      </c>
      <c r="W25" s="641"/>
      <c r="X25" s="512">
        <f>+X26*88%</f>
        <v>290195.80744</v>
      </c>
      <c r="Y25" s="643">
        <f t="shared" ref="Y25" ca="1" si="75">IF(A25=INDIRECT("'update Helper'!F"&amp;$BB25+3),IF(OR(INDIRECT("'update Helper'!I"&amp;BB25+3)=0,X25&lt;&gt;0,X26&lt;&gt;0),IF(IFERROR((X25/X26),"")="","",(X25/X26)),INDIRECT("'update Helper'!I"&amp;BB25+3)/100),"")</f>
        <v>0.88</v>
      </c>
      <c r="Z25" s="641"/>
      <c r="AA25" s="512">
        <f>+AD25/2</f>
        <v>160767.24230000001</v>
      </c>
      <c r="AB25" s="643">
        <f t="shared" ref="AB25" ca="1" si="76">IF(A25=INDIRECT("'update Helper'!F"&amp;$BB25+4),IF(OR(INDIRECT("'update Helper'!I"&amp;BB25+4)=0,AA25&lt;&gt;0,AA26&lt;&gt;0),IF(IFERROR((AA25/AA26),"")="","",(AA25/AA26)),INDIRECT("'update Helper'!I"&amp;BB25+4)/100),"")</f>
        <v>0.92</v>
      </c>
      <c r="AC25" s="641"/>
      <c r="AD25" s="512">
        <f>+AD26*92%</f>
        <v>321534.48460000003</v>
      </c>
      <c r="AE25" s="643">
        <f t="shared" ref="AE25" ca="1" si="77">IF(A25=INDIRECT("'update Helper'!F"&amp;$BB25+5),IF(A25=INDIRECT("'update Helper'!F"&amp;$BB25+5),IF(OR(INDIRECT("'update Helper'!I"&amp;BB25+5)=0,AD25&lt;&gt;0,AD26&lt;&gt;0),IF(IFERROR((AD25/AD26),"")="","",(AD25/AD26)),INDIRECT("'update Helper'!I"&amp;BB25+5)/100),""),"")</f>
        <v>0.92</v>
      </c>
      <c r="AF25" s="641"/>
      <c r="AG25" s="198"/>
      <c r="AH25" s="643" t="str">
        <f t="shared" ref="AH25" ca="1" si="78">IF(A25=INDIRECT("'update Helper'!F"&amp;$BB25+6),IF(OR(INDIRECT("'update Helper'!I"&amp;BB25+6)=0,AG25&lt;&gt;0,AG26&lt;&gt;0),IF(IFERROR((AG25/AG26),"")="","",(AG25/AG26)),INDIRECT("'update Helper'!I"&amp;BB25+6)/100),"")</f>
        <v/>
      </c>
      <c r="AI25" s="641"/>
      <c r="AJ25" s="198"/>
      <c r="AK25" s="643" t="str">
        <f t="shared" ref="AK25" ca="1" si="79">IF(A25=INDIRECT("'update Helper'!F"&amp;$BB25+6),IF(OR(INDIRECT("'update Helper'!I"&amp;BB25+7)=0,AJ25&lt;&gt;0,AJ26&lt;&gt;0),IF(IFERROR((AJ25/AJ26),"")="","",(AJ25/AJ26)),INDIRECT("'update Helper'!I"&amp;BB25+7)/100),"")</f>
        <v/>
      </c>
      <c r="AL25" s="641"/>
      <c r="AM25" s="656" t="s">
        <v>8069</v>
      </c>
      <c r="AN25" s="656"/>
      <c r="AO25" s="637" t="s">
        <v>8041</v>
      </c>
      <c r="AP25" s="654" t="s">
        <v>8099</v>
      </c>
      <c r="AQ25" s="232" t="str">
        <f t="array" ref="AQ25">IFERROR(IF(INDEX('Reference Records'!$D$61:$D$120,MATCH(LEFT(D25,255),LEFT('Reference Records'!$C$61:$C$120,255),0))=0,"",INDEX('Reference Records'!$D$61:$D$120,MATCH(LEFT(D25,255),LEFT('Reference Records'!$C$61:$C$120,255),0))),"")</f>
        <v>Sexe,Age</v>
      </c>
      <c r="AR25" s="191" t="str">
        <f t="array" ref="AR25">VLOOKUP(LEFT(D25,255),LEFT('Reference Records'!C$60:G251,255),4,0)</f>
        <v>MCI-01230</v>
      </c>
      <c r="AS25" s="191">
        <f>MATCH(AR25,'Reference Records'!$F$509:$F$569,0)+ROW(PopulationByCoverage)-1</f>
        <v>568</v>
      </c>
      <c r="AT25" s="191">
        <f>MATCH(AR25,'Reference Records'!$F$509:$F$569,1)+ROW(PopulationByCoverage)-1</f>
        <v>568</v>
      </c>
      <c r="AU25" s="232" t="str">
        <f>D25&amp;E25</f>
        <v>TB/HIV-3.1a Pourcentage de personnes vivant avec le VIH ayant nouvellement initié la TARV chez qui les signes de la tuberculose ont été recherchés</v>
      </c>
      <c r="AV25" s="206" t="str">
        <f>IFERROR(IF(VLOOKUP(D25,'Reference Records'!$C$1:$K$594,9,0)=0,"",_xlfn.CONCAT(VLOOKUP(D25,'Reference Records'!$C$1:$K$594,9,0),";")),"")</f>
        <v>Non cumulative;</v>
      </c>
      <c r="AW25" s="206" t="str">
        <f>CLEAN(IFERROR(LEFT(AV25, SEARCH(";",AV25,1)-1),""))</f>
        <v>Non cumulative</v>
      </c>
      <c r="AX25" s="206" t="str">
        <f>SUBSTITUTE(IFERROR(MID(AV25, SEARCH(";",AV25) + 1, SEARCH(";",AV25,SEARCH(";",AV25)+1) - SEARCH(";",AV25) - 1),""),CHAR(10),"")</f>
        <v/>
      </c>
      <c r="AY25" s="329" t="str">
        <f>CLEAN(IFERROR(SUBSTITUTE(RIGHT(AV25,LEN(AV25) - SEARCH(";", AV25, SEARCH(";",AV25) + 1)),";",""),""))</f>
        <v/>
      </c>
      <c r="AZ25" s="572" t="str">
        <f>IFERROR(IF(VLOOKUP(B25,'Reference Records'!$F$123:$N$157,9,FALSE)=0,"",VLOOKUP(B25,'Reference Records'!$F$123:$N$157,9,FALSE)),"")</f>
        <v>MCI-00656</v>
      </c>
      <c r="BA25" s="232">
        <f t="shared" ref="BA25" si="80">BA23+1</f>
        <v>454</v>
      </c>
      <c r="BB25" s="359">
        <f ca="1">BB23+'update Helper'!$Y$2</f>
        <v>560</v>
      </c>
      <c r="BD25" s="232" t="str">
        <f ca="1">IF(INDIRECT("'update Helper'!S"&amp;BA25)=0,"",IFERROR(VLOOKUP(INDIRECT("'update Helper'!U"&amp;BA25),'Account Role'!A$1:B$28,2,0), IFERROR(VLOOKUP(INDIRECT("'update Helper'!AD"&amp;BA25),'Overview - Section A'!J$25:P$90,7,0),"")))</f>
        <v/>
      </c>
    </row>
    <row r="26" spans="1:56" s="232" customFormat="1" ht="30" customHeight="1" x14ac:dyDescent="0.3">
      <c r="A26" s="646"/>
      <c r="B26" s="640"/>
      <c r="C26" s="640"/>
      <c r="D26" s="640"/>
      <c r="E26" s="657"/>
      <c r="F26" s="512">
        <v>252086</v>
      </c>
      <c r="G26" s="644"/>
      <c r="H26" s="642"/>
      <c r="I26" s="657"/>
      <c r="J26" s="648"/>
      <c r="K26" s="642"/>
      <c r="L26" s="640"/>
      <c r="M26" s="341" t="s">
        <v>318</v>
      </c>
      <c r="N26" s="650"/>
      <c r="O26" s="512">
        <f>+R26/2</f>
        <v>155020.96049999999</v>
      </c>
      <c r="P26" s="644"/>
      <c r="Q26" s="642"/>
      <c r="R26" s="512">
        <f>428827*72.3%</f>
        <v>310041.92099999997</v>
      </c>
      <c r="S26" s="644"/>
      <c r="T26" s="642"/>
      <c r="U26" s="512">
        <f>+X26/2</f>
        <v>164883.98149999999</v>
      </c>
      <c r="V26" s="644"/>
      <c r="W26" s="642"/>
      <c r="X26" s="512">
        <f>428827*76.9%</f>
        <v>329767.96299999999</v>
      </c>
      <c r="Y26" s="644"/>
      <c r="Z26" s="642"/>
      <c r="AA26" s="512">
        <f>+AD26/2</f>
        <v>174747.0025</v>
      </c>
      <c r="AB26" s="644"/>
      <c r="AC26" s="642"/>
      <c r="AD26" s="512">
        <f>428827*81.5%</f>
        <v>349494.005</v>
      </c>
      <c r="AE26" s="644"/>
      <c r="AF26" s="642"/>
      <c r="AG26" s="198"/>
      <c r="AH26" s="644"/>
      <c r="AI26" s="642"/>
      <c r="AJ26" s="198"/>
      <c r="AK26" s="644"/>
      <c r="AL26" s="642"/>
      <c r="AM26" s="657"/>
      <c r="AN26" s="657"/>
      <c r="AO26" s="638"/>
      <c r="AP26" s="655"/>
      <c r="AV26" s="206"/>
      <c r="AW26" s="206"/>
      <c r="AX26" s="206"/>
      <c r="AY26" s="329"/>
      <c r="AZ26" s="572"/>
      <c r="BB26" s="206"/>
    </row>
    <row r="27" spans="1:56" s="232" customFormat="1" ht="30" customHeight="1" x14ac:dyDescent="0.3">
      <c r="A27" s="645">
        <v>10</v>
      </c>
      <c r="B27" s="639" t="s">
        <v>3145</v>
      </c>
      <c r="C27" s="639" t="s">
        <v>765</v>
      </c>
      <c r="D27" s="639" t="s">
        <v>2589</v>
      </c>
      <c r="E27" s="639"/>
      <c r="F27" s="198">
        <v>20843</v>
      </c>
      <c r="G27" s="643">
        <f t="shared" ref="G27" ca="1" si="81">IF(OR(INDIRECT("'update Helper'!D"&amp;BA27)=0,F27&lt;&gt;0,F28&lt;&gt;0),IF(IFERROR((F27/F28),"")="","",(F27/F28)),INDIRECT("'update Helper'!D"&amp;BA27)/100)</f>
        <v>0.99091946372539697</v>
      </c>
      <c r="H27" s="641">
        <v>2019</v>
      </c>
      <c r="I27" s="639" t="s">
        <v>8055</v>
      </c>
      <c r="J27" s="647" t="str">
        <f>AQ27</f>
        <v>Age,Sexe,Résultat du test VIH</v>
      </c>
      <c r="K27" s="641" t="s">
        <v>444</v>
      </c>
      <c r="L27" s="639" t="s">
        <v>3808</v>
      </c>
      <c r="M27" s="199" t="s">
        <v>1358</v>
      </c>
      <c r="N27" s="649" t="s">
        <v>888</v>
      </c>
      <c r="O27" s="198">
        <v>11824.5</v>
      </c>
      <c r="P27" s="643">
        <f t="shared" ref="P27" ca="1" si="82">IF(OR(INDIRECT("'update Helper'!I"&amp;BB27)=0,O27&lt;&gt;0,O28&lt;&gt;0),IF(IFERROR((O27/O28),"")="","",(O27/O28)),INDIRECT("'update Helper'!I"&amp;BB27)/100)</f>
        <v>1</v>
      </c>
      <c r="Q27" s="641"/>
      <c r="R27" s="198">
        <v>23649</v>
      </c>
      <c r="S27" s="643">
        <f t="shared" ref="S27" ca="1" si="83">IF(OR(INDIRECT("'update Helper'!I"&amp;BB27+1)=0,R27&lt;&gt;0,R28&lt;&gt;0),IF(IFERROR((R27/R28),"")="","",(R27/R28)),INDIRECT("'update Helper'!I"&amp;BB27+1)/100)</f>
        <v>1</v>
      </c>
      <c r="T27" s="641"/>
      <c r="U27" s="198">
        <v>12271.5</v>
      </c>
      <c r="V27" s="643">
        <f t="shared" ref="V27" ca="1" si="84">IF(OR(INDIRECT("'update Helper'!I"&amp;BB27+2)=0,U27&lt;&gt;0,U28&lt;&gt;0),IF(IFERROR((U27/U28),"")="","",(U27/U28)),INDIRECT("'update Helper'!I"&amp;BB27+2)/100)</f>
        <v>1</v>
      </c>
      <c r="W27" s="641"/>
      <c r="X27" s="198">
        <v>24543</v>
      </c>
      <c r="Y27" s="643">
        <f t="shared" ref="Y27" ca="1" si="85">IF(A27=INDIRECT("'update Helper'!F"&amp;$BB27+3),IF(OR(INDIRECT("'update Helper'!I"&amp;BB27+3)=0,X27&lt;&gt;0,X28&lt;&gt;0),IF(IFERROR((X27/X28),"")="","",(X27/X28)),INDIRECT("'update Helper'!I"&amp;BB27+3)/100),"")</f>
        <v>1</v>
      </c>
      <c r="Z27" s="641"/>
      <c r="AA27" s="198">
        <v>12877</v>
      </c>
      <c r="AB27" s="643">
        <f t="shared" ref="AB27" ca="1" si="86">IF(A27=INDIRECT("'update Helper'!F"&amp;$BB27+4),IF(OR(INDIRECT("'update Helper'!I"&amp;BB27+4)=0,AA27&lt;&gt;0,AA28&lt;&gt;0),IF(IFERROR((AA27/AA28),"")="","",(AA27/AA28)),INDIRECT("'update Helper'!I"&amp;BB27+4)/100),"")</f>
        <v>1</v>
      </c>
      <c r="AC27" s="641"/>
      <c r="AD27" s="198">
        <v>25754</v>
      </c>
      <c r="AE27" s="643">
        <f t="shared" ref="AE27" ca="1" si="87">IF(A27=INDIRECT("'update Helper'!F"&amp;$BB27+5),IF(A27=INDIRECT("'update Helper'!F"&amp;$BB27+5),IF(OR(INDIRECT("'update Helper'!I"&amp;BB27+5)=0,AD27&lt;&gt;0,AD28&lt;&gt;0),IF(IFERROR((AD27/AD28),"")="","",(AD27/AD28)),INDIRECT("'update Helper'!I"&amp;BB27+5)/100),""),"")</f>
        <v>1</v>
      </c>
      <c r="AF27" s="641"/>
      <c r="AG27" s="198"/>
      <c r="AH27" s="643" t="str">
        <f t="shared" ref="AH27" ca="1" si="88">IF(A27=INDIRECT("'update Helper'!F"&amp;$BB27+6),IF(OR(INDIRECT("'update Helper'!I"&amp;BB27+6)=0,AG27&lt;&gt;0,AG28&lt;&gt;0),IF(IFERROR((AG27/AG28),"")="","",(AG27/AG28)),INDIRECT("'update Helper'!I"&amp;BB27+6)/100),"")</f>
        <v/>
      </c>
      <c r="AI27" s="641"/>
      <c r="AJ27" s="198"/>
      <c r="AK27" s="643" t="str">
        <f t="shared" ref="AK27" ca="1" si="89">IF(A27=INDIRECT("'update Helper'!F"&amp;$BB27+6),IF(OR(INDIRECT("'update Helper'!I"&amp;BB27+7)=0,AJ27&lt;&gt;0,AJ28&lt;&gt;0),IF(IFERROR((AJ27/AJ28),"")="","",(AJ27/AJ28)),INDIRECT("'update Helper'!I"&amp;BB27+7)/100),"")</f>
        <v/>
      </c>
      <c r="AL27" s="641"/>
      <c r="AM27" s="639" t="s">
        <v>8070</v>
      </c>
      <c r="AN27" s="639"/>
      <c r="AO27" s="637" t="s">
        <v>8088</v>
      </c>
      <c r="AP27" s="637" t="s">
        <v>8100</v>
      </c>
      <c r="AQ27" s="232" t="str">
        <f t="array" ref="AQ27">IFERROR(IF(INDEX('Reference Records'!$D$61:$D$120,MATCH(LEFT(D27,255),LEFT('Reference Records'!$C$61:$C$120,255),0))=0,"",INDEX('Reference Records'!$D$61:$D$120,MATCH(LEFT(D27,255),LEFT('Reference Records'!$C$61:$C$120,255),0))),"")</f>
        <v>Age,Sexe,Résultat du test VIH</v>
      </c>
      <c r="AR27" s="191" t="str">
        <f t="array" ref="AR27">VLOOKUP(LEFT(D27,255),LEFT('Reference Records'!C$60:G253,255),4,0)</f>
        <v>MCI-01094</v>
      </c>
      <c r="AS27" s="191">
        <f>MATCH(AR27,'Reference Records'!$F$509:$F$569,0)+ROW(PopulationByCoverage)-1</f>
        <v>543</v>
      </c>
      <c r="AT27" s="191">
        <f>MATCH(AR27,'Reference Records'!$F$509:$F$569,1)+ROW(PopulationByCoverage)-1</f>
        <v>543</v>
      </c>
      <c r="AU27" s="232" t="str">
        <f>D27&amp;E27</f>
        <v>TB/HIV-5 Pourcentage de patients tuberculeux enregistrés (nouveaux cas et récidives) dont le statut sérologique VIH est documenté</v>
      </c>
      <c r="AV27" s="206" t="str">
        <f>IFERROR(IF(VLOOKUP(D27,'Reference Records'!$C$1:$K$594,9,0)=0,"",_xlfn.CONCAT(VLOOKUP(D27,'Reference Records'!$C$1:$K$594,9,0),";")),"")</f>
        <v>Non cumulative;</v>
      </c>
      <c r="AW27" s="206" t="str">
        <f>CLEAN(IFERROR(LEFT(AV27, SEARCH(";",AV27,1)-1),""))</f>
        <v>Non cumulative</v>
      </c>
      <c r="AX27" s="206" t="str">
        <f>SUBSTITUTE(IFERROR(MID(AV27, SEARCH(";",AV27) + 1, SEARCH(";",AV27,SEARCH(";",AV27)+1) - SEARCH(";",AV27) - 1),""),CHAR(10),"")</f>
        <v/>
      </c>
      <c r="AY27" s="329" t="str">
        <f>CLEAN(IFERROR(SUBSTITUTE(RIGHT(AV27,LEN(AV27) - SEARCH(";", AV27, SEARCH(";",AV27) + 1)),";",""),""))</f>
        <v/>
      </c>
      <c r="AZ27" s="572" t="str">
        <f>IFERROR(IF(VLOOKUP(B27,'Reference Records'!$F$123:$N$157,9,FALSE)=0,"",VLOOKUP(B27,'Reference Records'!$F$123:$N$157,9,FALSE)),"")</f>
        <v>MCI-00656</v>
      </c>
      <c r="BA27" s="232">
        <f t="shared" ref="BA27" si="90">BA25+1</f>
        <v>455</v>
      </c>
      <c r="BB27" s="359">
        <f ca="1">BB25+'update Helper'!$Y$2</f>
        <v>566</v>
      </c>
      <c r="BD27" s="232" t="str">
        <f ca="1">IF(INDIRECT("'update Helper'!S"&amp;BA27)=0,"",IFERROR(VLOOKUP(INDIRECT("'update Helper'!U"&amp;BA27),'Account Role'!A$1:B$28,2,0), IFERROR(VLOOKUP(INDIRECT("'update Helper'!AD"&amp;BA27),'Overview - Section A'!J$25:P$90,7,0),"")))</f>
        <v/>
      </c>
    </row>
    <row r="28" spans="1:56" s="232" customFormat="1" ht="30" customHeight="1" x14ac:dyDescent="0.3">
      <c r="A28" s="646"/>
      <c r="B28" s="640"/>
      <c r="C28" s="640"/>
      <c r="D28" s="640"/>
      <c r="E28" s="640"/>
      <c r="F28" s="198">
        <v>21034</v>
      </c>
      <c r="G28" s="644"/>
      <c r="H28" s="642"/>
      <c r="I28" s="640"/>
      <c r="J28" s="648"/>
      <c r="K28" s="642"/>
      <c r="L28" s="640"/>
      <c r="M28" s="341" t="s">
        <v>318</v>
      </c>
      <c r="N28" s="650"/>
      <c r="O28" s="198">
        <v>11824.5</v>
      </c>
      <c r="P28" s="644"/>
      <c r="Q28" s="642"/>
      <c r="R28" s="198">
        <v>23649</v>
      </c>
      <c r="S28" s="644"/>
      <c r="T28" s="642"/>
      <c r="U28" s="198">
        <v>12271.5</v>
      </c>
      <c r="V28" s="644"/>
      <c r="W28" s="642"/>
      <c r="X28" s="198">
        <v>24543</v>
      </c>
      <c r="Y28" s="644"/>
      <c r="Z28" s="642"/>
      <c r="AA28" s="198">
        <v>12877</v>
      </c>
      <c r="AB28" s="644"/>
      <c r="AC28" s="642"/>
      <c r="AD28" s="198">
        <v>25754</v>
      </c>
      <c r="AE28" s="644"/>
      <c r="AF28" s="642"/>
      <c r="AG28" s="198"/>
      <c r="AH28" s="644"/>
      <c r="AI28" s="642"/>
      <c r="AJ28" s="198"/>
      <c r="AK28" s="644"/>
      <c r="AL28" s="642"/>
      <c r="AM28" s="640"/>
      <c r="AN28" s="640"/>
      <c r="AO28" s="638"/>
      <c r="AP28" s="638"/>
      <c r="AV28" s="206"/>
      <c r="AW28" s="206"/>
      <c r="AX28" s="206"/>
      <c r="AY28" s="329"/>
      <c r="AZ28" s="572"/>
      <c r="BB28" s="206"/>
    </row>
    <row r="29" spans="1:56" s="232" customFormat="1" ht="30" customHeight="1" x14ac:dyDescent="0.3">
      <c r="A29" s="645">
        <v>11</v>
      </c>
      <c r="B29" s="639" t="s">
        <v>3091</v>
      </c>
      <c r="C29" s="639" t="s">
        <v>765</v>
      </c>
      <c r="D29" s="639"/>
      <c r="E29" s="639" t="s">
        <v>8047</v>
      </c>
      <c r="F29" s="198">
        <v>74</v>
      </c>
      <c r="G29" s="643">
        <f t="shared" ref="G29" ca="1" si="91">IF(OR(INDIRECT("'update Helper'!D"&amp;BA29)=0,F29&lt;&gt;0,F30&lt;&gt;0),IF(IFERROR((F29/F30),"")="","",(F29/F30)),INDIRECT("'update Helper'!D"&amp;BA29)/100)</f>
        <v>0.86046511627906974</v>
      </c>
      <c r="H29" s="641">
        <v>2019</v>
      </c>
      <c r="I29" s="639" t="s">
        <v>8056</v>
      </c>
      <c r="J29" s="647" t="str">
        <f>AQ29</f>
        <v/>
      </c>
      <c r="K29" s="641" t="s">
        <v>444</v>
      </c>
      <c r="L29" s="639" t="s">
        <v>3808</v>
      </c>
      <c r="M29" s="199" t="s">
        <v>1358</v>
      </c>
      <c r="N29" s="649" t="s">
        <v>890</v>
      </c>
      <c r="O29" s="198">
        <v>113</v>
      </c>
      <c r="P29" s="643">
        <f t="shared" ref="P29" ca="1" si="92">IF(OR(INDIRECT("'update Helper'!I"&amp;BB29)=0,O29&lt;&gt;0,O30&lt;&gt;0),IF(IFERROR((O29/O30),"")="","",(O29/O30)),INDIRECT("'update Helper'!I"&amp;BB29)/100)</f>
        <v>1</v>
      </c>
      <c r="Q29" s="641"/>
      <c r="R29" s="198">
        <v>113</v>
      </c>
      <c r="S29" s="643">
        <f t="shared" ref="S29" ca="1" si="93">IF(OR(INDIRECT("'update Helper'!I"&amp;BB29+1)=0,R29&lt;&gt;0,R30&lt;&gt;0),IF(IFERROR((R29/R30),"")="","",(R29/R30)),INDIRECT("'update Helper'!I"&amp;BB29+1)/100)</f>
        <v>1</v>
      </c>
      <c r="T29" s="641"/>
      <c r="U29" s="198">
        <v>113</v>
      </c>
      <c r="V29" s="643">
        <f t="shared" ref="V29" ca="1" si="94">IF(OR(INDIRECT("'update Helper'!I"&amp;BB29+2)=0,U29&lt;&gt;0,U30&lt;&gt;0),IF(IFERROR((U29/U30),"")="","",(U29/U30)),INDIRECT("'update Helper'!I"&amp;BB29+2)/100)</f>
        <v>1</v>
      </c>
      <c r="W29" s="641"/>
      <c r="X29" s="198">
        <v>113</v>
      </c>
      <c r="Y29" s="643">
        <f t="shared" ref="Y29" ca="1" si="95">IF(A29=INDIRECT("'update Helper'!F"&amp;$BB29+3),IF(OR(INDIRECT("'update Helper'!I"&amp;BB29+3)=0,X29&lt;&gt;0,X30&lt;&gt;0),IF(IFERROR((X29/X30),"")="","",(X29/X30)),INDIRECT("'update Helper'!I"&amp;BB29+3)/100),"")</f>
        <v>1</v>
      </c>
      <c r="Z29" s="641"/>
      <c r="AA29" s="198">
        <v>113</v>
      </c>
      <c r="AB29" s="643">
        <f t="shared" ref="AB29" ca="1" si="96">IF(A29=INDIRECT("'update Helper'!F"&amp;$BB29+4),IF(OR(INDIRECT("'update Helper'!I"&amp;BB29+4)=0,AA29&lt;&gt;0,AA30&lt;&gt;0),IF(IFERROR((AA29/AA30),"")="","",(AA29/AA30)),INDIRECT("'update Helper'!I"&amp;BB29+4)/100),"")</f>
        <v>1</v>
      </c>
      <c r="AC29" s="641"/>
      <c r="AD29" s="198">
        <v>113</v>
      </c>
      <c r="AE29" s="643">
        <f t="shared" ref="AE29" ca="1" si="97">IF(A29=INDIRECT("'update Helper'!F"&amp;$BB29+5),IF(A29=INDIRECT("'update Helper'!F"&amp;$BB29+5),IF(OR(INDIRECT("'update Helper'!I"&amp;BB29+5)=0,AD29&lt;&gt;0,AD30&lt;&gt;0),IF(IFERROR((AD29/AD30),"")="","",(AD29/AD30)),INDIRECT("'update Helper'!I"&amp;BB29+5)/100),""),"")</f>
        <v>1</v>
      </c>
      <c r="AF29" s="641"/>
      <c r="AG29" s="198"/>
      <c r="AH29" s="643" t="str">
        <f t="shared" ref="AH29" ca="1" si="98">IF(A29=INDIRECT("'update Helper'!F"&amp;$BB29+6),IF(OR(INDIRECT("'update Helper'!I"&amp;BB29+6)=0,AG29&lt;&gt;0,AG30&lt;&gt;0),IF(IFERROR((AG29/AG30),"")="","",(AG29/AG30)),INDIRECT("'update Helper'!I"&amp;BB29+6)/100),"")</f>
        <v/>
      </c>
      <c r="AI29" s="641"/>
      <c r="AJ29" s="198"/>
      <c r="AK29" s="643" t="str">
        <f t="shared" ref="AK29" ca="1" si="99">IF(A29=INDIRECT("'update Helper'!F"&amp;$BB29+6),IF(OR(INDIRECT("'update Helper'!I"&amp;BB29+7)=0,AJ29&lt;&gt;0,AJ30&lt;&gt;0),IF(IFERROR((AJ29/AJ30),"")="","",(AJ29/AJ30)),INDIRECT("'update Helper'!I"&amp;BB29+7)/100),"")</f>
        <v/>
      </c>
      <c r="AL29" s="641"/>
      <c r="AM29" s="639" t="s">
        <v>8071</v>
      </c>
      <c r="AN29" s="637" t="s">
        <v>8081</v>
      </c>
      <c r="AO29" s="637" t="s">
        <v>8089</v>
      </c>
      <c r="AP29" s="637" t="s">
        <v>8101</v>
      </c>
      <c r="AQ29" s="232" t="str">
        <f t="array" ref="AQ29">IFERROR(IF(INDEX('Reference Records'!$D$61:$D$120,MATCH(LEFT(D29,255),LEFT('Reference Records'!$C$61:$C$120,255),0))=0,"",INDEX('Reference Records'!$D$61:$D$120,MATCH(LEFT(D29,255),LEFT('Reference Records'!$C$61:$C$120,255),0))),"")</f>
        <v/>
      </c>
      <c r="AR29" s="191" t="str">
        <f t="array" ref="AR29">VLOOKUP(LEFT(D29,255),LEFT('Reference Records'!C$60:G255,255),4,0)</f>
        <v/>
      </c>
      <c r="AS29" s="191" t="e">
        <f>MATCH(AR29,'Reference Records'!$F$509:$F$569,0)+ROW(PopulationByCoverage)-1</f>
        <v>#N/A</v>
      </c>
      <c r="AT29" s="191" t="e">
        <f>MATCH(AR29,'Reference Records'!$F$509:$F$569,1)+ROW(PopulationByCoverage)-1</f>
        <v>#N/A</v>
      </c>
      <c r="AU29" s="232" t="str">
        <f>D29&amp;E29</f>
        <v>Pourcentrage de districts sanitaires qui ont transmis à temps ( Completude est ≥ 95% et la     Promptitude ≥ 85%.) leurs rapports dans les délais selon les directives nationales</v>
      </c>
      <c r="AV29" s="206" t="str">
        <f>IFERROR(IF(VLOOKUP(D29,'Reference Records'!$C$1:$K$594,9,0)=0,"",_xlfn.CONCAT(VLOOKUP(D29,'Reference Records'!$C$1:$K$594,9,0),";")),"")</f>
        <v/>
      </c>
      <c r="AW29" s="206" t="str">
        <f>CLEAN(IFERROR(LEFT(AV29, SEARCH(";",AV29,1)-1),""))</f>
        <v/>
      </c>
      <c r="AX29" s="206" t="str">
        <f>SUBSTITUTE(IFERROR(MID(AV29, SEARCH(";",AV29) + 1, SEARCH(";",AV29,SEARCH(";",AV29)+1) - SEARCH(";",AV29) - 1),""),CHAR(10),"")</f>
        <v/>
      </c>
      <c r="AY29" s="329" t="str">
        <f>CLEAN(IFERROR(SUBSTITUTE(RIGHT(AV29,LEN(AV29) - SEARCH(";", AV29, SEARCH(";",AV29) + 1)),";",""),""))</f>
        <v/>
      </c>
      <c r="AZ29" s="572" t="str">
        <f>IFERROR(IF(VLOOKUP(B29,'Reference Records'!$F$123:$N$157,9,FALSE)=0,"",VLOOKUP(B29,'Reference Records'!$F$123:$N$157,9,FALSE)),"")</f>
        <v>MCI-00662</v>
      </c>
      <c r="BA29" s="232">
        <f t="shared" ref="BA29" si="100">BA27+1</f>
        <v>456</v>
      </c>
      <c r="BB29" s="359">
        <f ca="1">BB27+'update Helper'!$Y$2</f>
        <v>572</v>
      </c>
      <c r="BD29" s="232" t="str">
        <f ca="1">IF(INDIRECT("'update Helper'!S"&amp;BA29)=0,"",IFERROR(VLOOKUP(INDIRECT("'update Helper'!U"&amp;BA29),'Account Role'!A$1:B$28,2,0), IFERROR(VLOOKUP(INDIRECT("'update Helper'!AD"&amp;BA29),'Overview - Section A'!J$25:P$90,7,0),"")))</f>
        <v/>
      </c>
    </row>
    <row r="30" spans="1:56" s="232" customFormat="1" ht="30" customHeight="1" x14ac:dyDescent="0.3">
      <c r="A30" s="646"/>
      <c r="B30" s="640"/>
      <c r="C30" s="640"/>
      <c r="D30" s="640"/>
      <c r="E30" s="640"/>
      <c r="F30" s="198">
        <v>86</v>
      </c>
      <c r="G30" s="644"/>
      <c r="H30" s="642"/>
      <c r="I30" s="640"/>
      <c r="J30" s="648"/>
      <c r="K30" s="642"/>
      <c r="L30" s="640"/>
      <c r="M30" s="341" t="s">
        <v>8060</v>
      </c>
      <c r="N30" s="650"/>
      <c r="O30" s="198">
        <v>113</v>
      </c>
      <c r="P30" s="644"/>
      <c r="Q30" s="642"/>
      <c r="R30" s="198">
        <v>113</v>
      </c>
      <c r="S30" s="644"/>
      <c r="T30" s="642"/>
      <c r="U30" s="198">
        <v>113</v>
      </c>
      <c r="V30" s="644"/>
      <c r="W30" s="642"/>
      <c r="X30" s="198">
        <v>113</v>
      </c>
      <c r="Y30" s="644"/>
      <c r="Z30" s="642"/>
      <c r="AA30" s="198">
        <v>113</v>
      </c>
      <c r="AB30" s="644"/>
      <c r="AC30" s="642"/>
      <c r="AD30" s="198">
        <v>113</v>
      </c>
      <c r="AE30" s="644"/>
      <c r="AF30" s="642"/>
      <c r="AG30" s="198"/>
      <c r="AH30" s="644"/>
      <c r="AI30" s="642"/>
      <c r="AJ30" s="198"/>
      <c r="AK30" s="644"/>
      <c r="AL30" s="642"/>
      <c r="AM30" s="640"/>
      <c r="AN30" s="638"/>
      <c r="AO30" s="638"/>
      <c r="AP30" s="638"/>
      <c r="AV30" s="206"/>
      <c r="AW30" s="206"/>
      <c r="AX30" s="206"/>
      <c r="AY30" s="329"/>
      <c r="AZ30" s="572"/>
      <c r="BB30" s="206"/>
    </row>
    <row r="31" spans="1:56" s="232" customFormat="1" ht="30" customHeight="1" x14ac:dyDescent="0.3">
      <c r="A31" s="645">
        <v>12</v>
      </c>
      <c r="B31" s="639" t="s">
        <v>3050</v>
      </c>
      <c r="C31" s="639" t="s">
        <v>6456</v>
      </c>
      <c r="D31" s="639" t="s">
        <v>2099</v>
      </c>
      <c r="E31" s="639"/>
      <c r="F31" s="198">
        <v>4153</v>
      </c>
      <c r="G31" s="643">
        <f t="shared" ref="G31" ca="1" si="101">IF(OR(INDIRECT("'update Helper'!D"&amp;BA31)=0,F31&lt;&gt;0,F32&lt;&gt;0),IF(IFERROR((F31/F32),"")="","",(F31/F32)),INDIRECT("'update Helper'!D"&amp;BA31)/100)</f>
        <v>0.70846127601501196</v>
      </c>
      <c r="H31" s="641">
        <v>2019</v>
      </c>
      <c r="I31" s="639" t="s">
        <v>8057</v>
      </c>
      <c r="J31" s="647" t="str">
        <f>AQ31</f>
        <v>Age</v>
      </c>
      <c r="K31" s="641" t="s">
        <v>444</v>
      </c>
      <c r="L31" s="639" t="s">
        <v>3804</v>
      </c>
      <c r="M31" s="199" t="s">
        <v>1358</v>
      </c>
      <c r="N31" s="649" t="s">
        <v>888</v>
      </c>
      <c r="O31" s="198">
        <v>3624.8</v>
      </c>
      <c r="P31" s="643">
        <f t="shared" ref="P31" ca="1" si="102">IF(OR(INDIRECT("'update Helper'!I"&amp;BB31)=0,O31&lt;&gt;0,O32&lt;&gt;0),IF(IFERROR((O31/O32),"")="","",(O31/O32)),INDIRECT("'update Helper'!I"&amp;BB31)/100)</f>
        <v>0.8</v>
      </c>
      <c r="Q31" s="641"/>
      <c r="R31" s="198">
        <v>3624.8</v>
      </c>
      <c r="S31" s="643">
        <f t="shared" ref="S31" ca="1" si="103">IF(OR(INDIRECT("'update Helper'!I"&amp;BB31+1)=0,R31&lt;&gt;0,R32&lt;&gt;0),IF(IFERROR((R31/R32),"")="","",(R31/R32)),INDIRECT("'update Helper'!I"&amp;BB31+1)/100)</f>
        <v>0.8</v>
      </c>
      <c r="T31" s="641"/>
      <c r="U31" s="198">
        <v>3718.8</v>
      </c>
      <c r="V31" s="643">
        <f t="shared" ref="V31" ca="1" si="104">IF(OR(INDIRECT("'update Helper'!I"&amp;BB31+2)=0,U31&lt;&gt;0,U32&lt;&gt;0),IF(IFERROR((U31/U32),"")="","",(U31/U32)),INDIRECT("'update Helper'!I"&amp;BB31+2)/100)</f>
        <v>0.8</v>
      </c>
      <c r="W31" s="641"/>
      <c r="X31" s="198">
        <v>3718.8</v>
      </c>
      <c r="Y31" s="643">
        <f t="shared" ref="Y31" ca="1" si="105">IF(A31=INDIRECT("'update Helper'!F"&amp;$BB31+3),IF(OR(INDIRECT("'update Helper'!I"&amp;BB31+3)=0,X31&lt;&gt;0,X32&lt;&gt;0),IF(IFERROR((X31/X32),"")="","",(X31/X32)),INDIRECT("'update Helper'!I"&amp;BB31+3)/100),"")</f>
        <v>0.8</v>
      </c>
      <c r="Z31" s="641"/>
      <c r="AA31" s="198">
        <v>3815.6000000000004</v>
      </c>
      <c r="AB31" s="643">
        <f t="shared" ref="AB31" ca="1" si="106">IF(A31=INDIRECT("'update Helper'!F"&amp;$BB31+4),IF(OR(INDIRECT("'update Helper'!I"&amp;BB31+4)=0,AA31&lt;&gt;0,AA32&lt;&gt;0),IF(IFERROR((AA31/AA32),"")="","",(AA31/AA32)),INDIRECT("'update Helper'!I"&amp;BB31+4)/100),"")</f>
        <v>0.8</v>
      </c>
      <c r="AC31" s="641"/>
      <c r="AD31" s="198">
        <v>3815.6000000000004</v>
      </c>
      <c r="AE31" s="643">
        <f t="shared" ref="AE31" ca="1" si="107">IF(A31=INDIRECT("'update Helper'!F"&amp;$BB31+5),IF(A31=INDIRECT("'update Helper'!F"&amp;$BB31+5),IF(OR(INDIRECT("'update Helper'!I"&amp;BB31+5)=0,AD31&lt;&gt;0,AD32&lt;&gt;0),IF(IFERROR((AD31/AD32),"")="","",(AD31/AD32)),INDIRECT("'update Helper'!I"&amp;BB31+5)/100),""),"")</f>
        <v>0.8</v>
      </c>
      <c r="AF31" s="641"/>
      <c r="AG31" s="198"/>
      <c r="AH31" s="643" t="str">
        <f t="shared" ref="AH31" ca="1" si="108">IF(A31=INDIRECT("'update Helper'!F"&amp;$BB31+6),IF(OR(INDIRECT("'update Helper'!I"&amp;BB31+6)=0,AG31&lt;&gt;0,AG32&lt;&gt;0),IF(IFERROR((AG31/AG32),"")="","",(AG31/AG32)),INDIRECT("'update Helper'!I"&amp;BB31+6)/100),"")</f>
        <v/>
      </c>
      <c r="AI31" s="641"/>
      <c r="AJ31" s="198"/>
      <c r="AK31" s="643" t="str">
        <f t="shared" ref="AK31" ca="1" si="109">IF(A31=INDIRECT("'update Helper'!F"&amp;$BB31+6),IF(OR(INDIRECT("'update Helper'!I"&amp;BB31+7)=0,AJ31&lt;&gt;0,AJ32&lt;&gt;0),IF(IFERROR((AJ31/AJ32),"")="","",(AJ31/AJ32)),INDIRECT("'update Helper'!I"&amp;BB31+7)/100),"")</f>
        <v/>
      </c>
      <c r="AL31" s="641"/>
      <c r="AM31" s="639" t="s">
        <v>8072</v>
      </c>
      <c r="AN31" s="639"/>
      <c r="AO31" s="635" t="s">
        <v>8090</v>
      </c>
      <c r="AP31" s="653" t="s">
        <v>8102</v>
      </c>
      <c r="AQ31" s="232" t="str">
        <f t="array" ref="AQ31">IFERROR(IF(INDEX('Reference Records'!$D$61:$D$120,MATCH(LEFT(D31,255),LEFT('Reference Records'!$C$61:$C$120,255),0))=0,"",INDEX('Reference Records'!$D$61:$D$120,MATCH(LEFT(D31,255),LEFT('Reference Records'!$C$61:$C$120,255),0))),"")</f>
        <v>Age</v>
      </c>
      <c r="AR31" s="191" t="str">
        <f t="array" ref="AR31">VLOOKUP(LEFT(D31,255),LEFT('Reference Records'!C$60:G257,255),4,0)</f>
        <v>MCI-01045</v>
      </c>
      <c r="AS31" s="191">
        <f>MATCH(AR31,'Reference Records'!$F$509:$F$569,0)+ROW(PopulationByCoverage)-1</f>
        <v>512</v>
      </c>
      <c r="AT31" s="191">
        <f>MATCH(AR31,'Reference Records'!$F$509:$F$569,1)+ROW(PopulationByCoverage)-1</f>
        <v>512</v>
      </c>
      <c r="AU31" s="232" t="str">
        <f>D31&amp;E31</f>
        <v>KP-1a⁽ᴹ⁾ Pourcentage de HSH ayant bénéficié de programmes préventifs de lutte contre le VIH (paquet de services définis)</v>
      </c>
      <c r="AV31" s="206" t="str">
        <f>IFERROR(IF(VLOOKUP(D31,'Reference Records'!$C$1:$K$594,9,0)=0,"",_xlfn.CONCAT(VLOOKUP(D31,'Reference Records'!$C$1:$K$594,9,0),";")),"")</f>
        <v>Non cumulative;Non cumulative – other;Non cumulative - special;</v>
      </c>
      <c r="AW31" s="206" t="str">
        <f>CLEAN(IFERROR(LEFT(AV31, SEARCH(";",AV31,1)-1),""))</f>
        <v>Non cumulative</v>
      </c>
      <c r="AX31" s="206" t="str">
        <f>SUBSTITUTE(IFERROR(MID(AV31, SEARCH(";",AV31) + 1, SEARCH(";",AV31,SEARCH(";",AV31)+1) - SEARCH(";",AV31) - 1),""),CHAR(10),"")</f>
        <v>Non cumulative – other</v>
      </c>
      <c r="AY31" s="329" t="str">
        <f>CLEAN(IFERROR(SUBSTITUTE(RIGHT(AV31,LEN(AV31) - SEARCH(";", AV31, SEARCH(";",AV31) + 1)),";",""),""))</f>
        <v>Non cumulative - special</v>
      </c>
      <c r="AZ31" s="572" t="str">
        <f>IFERROR(IF(VLOOKUP(B31,'Reference Records'!$F$123:$N$157,9,FALSE)=0,"",VLOOKUP(B31,'Reference Records'!$F$123:$N$157,9,FALSE)),"")</f>
        <v>MCI-00648</v>
      </c>
      <c r="BA31" s="232">
        <f t="shared" ref="BA31" si="110">BA29+1</f>
        <v>457</v>
      </c>
      <c r="BB31" s="359">
        <f ca="1">BB29+'update Helper'!$Y$2</f>
        <v>578</v>
      </c>
      <c r="BD31" s="232" t="str">
        <f ca="1">IF(INDIRECT("'update Helper'!S"&amp;BA31)=0,"",IFERROR(VLOOKUP(INDIRECT("'update Helper'!U"&amp;BA31),'Account Role'!A$1:B$28,2,0), IFERROR(VLOOKUP(INDIRECT("'update Helper'!AD"&amp;BA31),'Overview - Section A'!J$25:P$90,7,0),"")))</f>
        <v/>
      </c>
    </row>
    <row r="32" spans="1:56" s="232" customFormat="1" ht="30" customHeight="1" x14ac:dyDescent="0.3">
      <c r="A32" s="646"/>
      <c r="B32" s="640"/>
      <c r="C32" s="640"/>
      <c r="D32" s="640"/>
      <c r="E32" s="640"/>
      <c r="F32" s="198">
        <v>5862</v>
      </c>
      <c r="G32" s="644"/>
      <c r="H32" s="642"/>
      <c r="I32" s="640"/>
      <c r="J32" s="648"/>
      <c r="K32" s="642"/>
      <c r="L32" s="640"/>
      <c r="M32" s="341" t="s">
        <v>319</v>
      </c>
      <c r="N32" s="650"/>
      <c r="O32" s="198">
        <v>4531</v>
      </c>
      <c r="P32" s="644"/>
      <c r="Q32" s="642"/>
      <c r="R32" s="198">
        <v>4531</v>
      </c>
      <c r="S32" s="644"/>
      <c r="T32" s="642"/>
      <c r="U32" s="198">
        <v>4648.5</v>
      </c>
      <c r="V32" s="644"/>
      <c r="W32" s="642"/>
      <c r="X32" s="198">
        <v>4648.5</v>
      </c>
      <c r="Y32" s="644"/>
      <c r="Z32" s="642"/>
      <c r="AA32" s="198">
        <v>4769.5</v>
      </c>
      <c r="AB32" s="644"/>
      <c r="AC32" s="642"/>
      <c r="AD32" s="198">
        <v>4769.5</v>
      </c>
      <c r="AE32" s="644"/>
      <c r="AF32" s="642"/>
      <c r="AG32" s="198"/>
      <c r="AH32" s="644"/>
      <c r="AI32" s="642"/>
      <c r="AJ32" s="198"/>
      <c r="AK32" s="644"/>
      <c r="AL32" s="642"/>
      <c r="AM32" s="640"/>
      <c r="AN32" s="640"/>
      <c r="AO32" s="636"/>
      <c r="AP32" s="638"/>
      <c r="AV32" s="206"/>
      <c r="AW32" s="206"/>
      <c r="AX32" s="206"/>
      <c r="AY32" s="329"/>
      <c r="AZ32" s="572"/>
      <c r="BB32" s="206"/>
    </row>
    <row r="33" spans="1:56" s="232" customFormat="1" ht="30" customHeight="1" x14ac:dyDescent="0.3">
      <c r="A33" s="645">
        <v>13</v>
      </c>
      <c r="B33" s="639" t="s">
        <v>3050</v>
      </c>
      <c r="C33" s="639" t="s">
        <v>6460</v>
      </c>
      <c r="D33" s="639" t="s">
        <v>2115</v>
      </c>
      <c r="E33" s="639"/>
      <c r="F33" s="198">
        <v>8521</v>
      </c>
      <c r="G33" s="643">
        <f t="shared" ref="G33" ca="1" si="111">IF(OR(INDIRECT("'update Helper'!D"&amp;BA33)=0,F33&lt;&gt;0,F34&lt;&gt;0),IF(IFERROR((F33/F34),"")="","",(F33/F34)),INDIRECT("'update Helper'!D"&amp;BA33)/100)</f>
        <v>0.89779791381308605</v>
      </c>
      <c r="H33" s="641">
        <v>2019</v>
      </c>
      <c r="I33" s="639" t="s">
        <v>8058</v>
      </c>
      <c r="J33" s="647" t="str">
        <f>AQ33</f>
        <v>Sexe,Age</v>
      </c>
      <c r="K33" s="641" t="s">
        <v>444</v>
      </c>
      <c r="L33" s="639" t="s">
        <v>3804</v>
      </c>
      <c r="M33" s="199" t="s">
        <v>1358</v>
      </c>
      <c r="N33" s="649" t="s">
        <v>888</v>
      </c>
      <c r="O33" s="198">
        <v>7255.625</v>
      </c>
      <c r="P33" s="643">
        <f t="shared" ref="P33" ca="1" si="112">IF(OR(INDIRECT("'update Helper'!I"&amp;BB33)=0,O33&lt;&gt;0,O34&lt;&gt;0),IF(IFERROR((O33/O34),"")="","",(O33/O34)),INDIRECT("'update Helper'!I"&amp;BB33)/100)</f>
        <v>0.95</v>
      </c>
      <c r="Q33" s="641"/>
      <c r="R33" s="198">
        <v>7255.625</v>
      </c>
      <c r="S33" s="643">
        <f t="shared" ref="S33" ca="1" si="113">IF(OR(INDIRECT("'update Helper'!I"&amp;BB33+1)=0,R33&lt;&gt;0,R34&lt;&gt;0),IF(IFERROR((R33/R34),"")="","",(R33/R34)),INDIRECT("'update Helper'!I"&amp;BB33+1)/100)</f>
        <v>0.95</v>
      </c>
      <c r="T33" s="641"/>
      <c r="U33" s="198">
        <v>7444.2</v>
      </c>
      <c r="V33" s="643">
        <f t="shared" ref="V33" ca="1" si="114">IF(OR(INDIRECT("'update Helper'!I"&amp;BB33+2)=0,U33&lt;&gt;0,U34&lt;&gt;0),IF(IFERROR((U33/U34),"")="","",(U33/U34)),INDIRECT("'update Helper'!I"&amp;BB33+2)/100)</f>
        <v>0.95</v>
      </c>
      <c r="W33" s="641"/>
      <c r="X33" s="198">
        <v>7444.2</v>
      </c>
      <c r="Y33" s="643">
        <f t="shared" ref="Y33" ca="1" si="115">IF(A33=INDIRECT("'update Helper'!F"&amp;$BB33+3),IF(OR(INDIRECT("'update Helper'!I"&amp;BB33+3)=0,X33&lt;&gt;0,X34&lt;&gt;0),IF(IFERROR((X33/X34),"")="","",(X33/X34)),INDIRECT("'update Helper'!I"&amp;BB33+3)/100),"")</f>
        <v>0.95</v>
      </c>
      <c r="Z33" s="641"/>
      <c r="AA33" s="198">
        <v>7638</v>
      </c>
      <c r="AB33" s="643">
        <f t="shared" ref="AB33" ca="1" si="116">IF(A33=INDIRECT("'update Helper'!F"&amp;$BB33+4),IF(OR(INDIRECT("'update Helper'!I"&amp;BB33+4)=0,AA33&lt;&gt;0,AA34&lt;&gt;0),IF(IFERROR((AA33/AA34),"")="","",(AA33/AA34)),INDIRECT("'update Helper'!I"&amp;BB33+4)/100),"")</f>
        <v>0.95</v>
      </c>
      <c r="AC33" s="641"/>
      <c r="AD33" s="198">
        <v>7638</v>
      </c>
      <c r="AE33" s="643">
        <f t="shared" ref="AE33" ca="1" si="117">IF(A33=INDIRECT("'update Helper'!F"&amp;$BB33+5),IF(A33=INDIRECT("'update Helper'!F"&amp;$BB33+5),IF(OR(INDIRECT("'update Helper'!I"&amp;BB33+5)=0,AD33&lt;&gt;0,AD34&lt;&gt;0),IF(IFERROR((AD33/AD34),"")="","",(AD33/AD34)),INDIRECT("'update Helper'!I"&amp;BB33+5)/100),""),"")</f>
        <v>0.95</v>
      </c>
      <c r="AF33" s="641"/>
      <c r="AG33" s="198"/>
      <c r="AH33" s="643" t="str">
        <f t="shared" ref="AH33" ca="1" si="118">IF(A33=INDIRECT("'update Helper'!F"&amp;$BB33+6),IF(OR(INDIRECT("'update Helper'!I"&amp;BB33+6)=0,AG33&lt;&gt;0,AG34&lt;&gt;0),IF(IFERROR((AG33/AG34),"")="","",(AG33/AG34)),INDIRECT("'update Helper'!I"&amp;BB33+6)/100),"")</f>
        <v/>
      </c>
      <c r="AI33" s="641"/>
      <c r="AJ33" s="198"/>
      <c r="AK33" s="643" t="str">
        <f t="shared" ref="AK33" ca="1" si="119">IF(A33=INDIRECT("'update Helper'!F"&amp;$BB33+6),IF(OR(INDIRECT("'update Helper'!I"&amp;BB33+7)=0,AJ33&lt;&gt;0,AJ34&lt;&gt;0),IF(IFERROR((AJ33/AJ34),"")="","",(AJ33/AJ34)),INDIRECT("'update Helper'!I"&amp;BB33+7)/100),"")</f>
        <v/>
      </c>
      <c r="AL33" s="641"/>
      <c r="AM33" s="639" t="s">
        <v>8073</v>
      </c>
      <c r="AN33" s="639"/>
      <c r="AO33" s="635" t="s">
        <v>8090</v>
      </c>
      <c r="AP33" s="637" t="s">
        <v>8103</v>
      </c>
      <c r="AQ33" s="232" t="str">
        <f t="array" ref="AQ33">IFERROR(IF(INDEX('Reference Records'!$D$61:$D$120,MATCH(LEFT(D33,255),LEFT('Reference Records'!$C$61:$C$120,255),0))=0,"",INDEX('Reference Records'!$D$61:$D$120,MATCH(LEFT(D33,255),LEFT('Reference Records'!$C$61:$C$120,255),0))),"")</f>
        <v>Sexe,Age</v>
      </c>
      <c r="AR33" s="191" t="str">
        <f t="array" ref="AR33">VLOOKUP(LEFT(D33,255),LEFT('Reference Records'!C$60:G259,255),4,0)</f>
        <v>MCI-01047</v>
      </c>
      <c r="AS33" s="191">
        <f>MATCH(AR33,'Reference Records'!$F$509:$F$569,0)+ROW(PopulationByCoverage)-1</f>
        <v>514</v>
      </c>
      <c r="AT33" s="191">
        <f>MATCH(AR33,'Reference Records'!$F$509:$F$569,1)+ROW(PopulationByCoverage)-1</f>
        <v>514</v>
      </c>
      <c r="AU33" s="232" t="str">
        <f>D33&amp;E33</f>
        <v>KP-1c⁽ᴹ⁾ Pourcentage de professionnels du sexe ayant bénéficié de programmes préventifs de lutte contre le VIH (paquet de services définis)</v>
      </c>
      <c r="AV33" s="206" t="str">
        <f>IFERROR(IF(VLOOKUP(D33,'Reference Records'!$C$1:$K$594,9,0)=0,"",_xlfn.CONCAT(VLOOKUP(D33,'Reference Records'!$C$1:$K$594,9,0),";")),"")</f>
        <v>Non cumulative;Non cumulative – other;Non cumulative - special;</v>
      </c>
      <c r="AW33" s="206" t="str">
        <f>CLEAN(IFERROR(LEFT(AV33, SEARCH(";",AV33,1)-1),""))</f>
        <v>Non cumulative</v>
      </c>
      <c r="AX33" s="206" t="str">
        <f>SUBSTITUTE(IFERROR(MID(AV33, SEARCH(";",AV33) + 1, SEARCH(";",AV33,SEARCH(";",AV33)+1) - SEARCH(";",AV33) - 1),""),CHAR(10),"")</f>
        <v>Non cumulative – other</v>
      </c>
      <c r="AY33" s="329" t="str">
        <f>CLEAN(IFERROR(SUBSTITUTE(RIGHT(AV33,LEN(AV33) - SEARCH(";", AV33, SEARCH(";",AV33) + 1)),";",""),""))</f>
        <v>Non cumulative - special</v>
      </c>
      <c r="AZ33" s="572" t="str">
        <f>IFERROR(IF(VLOOKUP(B33,'Reference Records'!$F$123:$N$157,9,FALSE)=0,"",VLOOKUP(B33,'Reference Records'!$F$123:$N$157,9,FALSE)),"")</f>
        <v>MCI-00648</v>
      </c>
      <c r="BA33" s="232">
        <f t="shared" ref="BA33" si="120">BA31+1</f>
        <v>458</v>
      </c>
      <c r="BB33" s="359">
        <f ca="1">BB31+'update Helper'!$Y$2</f>
        <v>584</v>
      </c>
      <c r="BD33" s="232" t="str">
        <f ca="1">IF(INDIRECT("'update Helper'!S"&amp;BA33)=0,"",IFERROR(VLOOKUP(INDIRECT("'update Helper'!U"&amp;BA33),'Account Role'!A$1:B$28,2,0), IFERROR(VLOOKUP(INDIRECT("'update Helper'!AD"&amp;BA33),'Overview - Section A'!J$25:P$90,7,0),"")))</f>
        <v/>
      </c>
    </row>
    <row r="34" spans="1:56" s="232" customFormat="1" ht="30" customHeight="1" x14ac:dyDescent="0.3">
      <c r="A34" s="646"/>
      <c r="B34" s="640"/>
      <c r="C34" s="640"/>
      <c r="D34" s="640"/>
      <c r="E34" s="640"/>
      <c r="F34" s="198">
        <v>9491</v>
      </c>
      <c r="G34" s="644"/>
      <c r="H34" s="642"/>
      <c r="I34" s="640"/>
      <c r="J34" s="648"/>
      <c r="K34" s="642"/>
      <c r="L34" s="640"/>
      <c r="M34" s="341" t="s">
        <v>319</v>
      </c>
      <c r="N34" s="650"/>
      <c r="O34" s="198">
        <v>7637.5</v>
      </c>
      <c r="P34" s="644"/>
      <c r="Q34" s="642"/>
      <c r="R34" s="198">
        <v>7637.5</v>
      </c>
      <c r="S34" s="644"/>
      <c r="T34" s="642"/>
      <c r="U34" s="198">
        <v>7836</v>
      </c>
      <c r="V34" s="644"/>
      <c r="W34" s="642"/>
      <c r="X34" s="198">
        <v>7836</v>
      </c>
      <c r="Y34" s="644"/>
      <c r="Z34" s="642"/>
      <c r="AA34" s="198">
        <v>8040</v>
      </c>
      <c r="AB34" s="644"/>
      <c r="AC34" s="642"/>
      <c r="AD34" s="198">
        <v>8040</v>
      </c>
      <c r="AE34" s="644"/>
      <c r="AF34" s="642"/>
      <c r="AG34" s="198"/>
      <c r="AH34" s="644"/>
      <c r="AI34" s="642"/>
      <c r="AJ34" s="198"/>
      <c r="AK34" s="644"/>
      <c r="AL34" s="642"/>
      <c r="AM34" s="640"/>
      <c r="AN34" s="640"/>
      <c r="AO34" s="636"/>
      <c r="AP34" s="638"/>
      <c r="AV34" s="206"/>
      <c r="AW34" s="206"/>
      <c r="AX34" s="206"/>
      <c r="AY34" s="329"/>
      <c r="AZ34" s="572"/>
      <c r="BB34" s="206"/>
    </row>
    <row r="35" spans="1:56" s="232" customFormat="1" ht="30" customHeight="1" x14ac:dyDescent="0.3">
      <c r="A35" s="645">
        <v>14</v>
      </c>
      <c r="B35" s="639" t="s">
        <v>3050</v>
      </c>
      <c r="C35" s="651" t="s">
        <v>765</v>
      </c>
      <c r="D35" s="639"/>
      <c r="E35" s="639" t="s">
        <v>8048</v>
      </c>
      <c r="F35" s="198">
        <v>4587</v>
      </c>
      <c r="G35" s="643">
        <f t="shared" ref="G35" ca="1" si="121">IF(OR(INDIRECT("'update Helper'!D"&amp;BA35)=0,F35&lt;&gt;0,F36&lt;&gt;0),IF(IFERROR((F35/F36),"")="","",(F35/F36)),INDIRECT("'update Helper'!D"&amp;BA35)/100)</f>
        <v>0.5616505448757193</v>
      </c>
      <c r="H35" s="641">
        <v>2019</v>
      </c>
      <c r="I35" s="639" t="s">
        <v>8057</v>
      </c>
      <c r="J35" s="647" t="str">
        <f>AQ35</f>
        <v/>
      </c>
      <c r="K35" s="641" t="s">
        <v>444</v>
      </c>
      <c r="L35" s="639" t="s">
        <v>3804</v>
      </c>
      <c r="M35" s="199" t="s">
        <v>1358</v>
      </c>
      <c r="N35" s="649" t="s">
        <v>888</v>
      </c>
      <c r="O35" s="198">
        <v>2581.1999999999998</v>
      </c>
      <c r="P35" s="643">
        <f t="shared" ref="P35" ca="1" si="122">IF(OR(INDIRECT("'update Helper'!I"&amp;BB35)=0,O35&lt;&gt;0,O36&lt;&gt;0),IF(IFERROR((O35/O36),"")="","",(O35/O36)),INDIRECT("'update Helper'!I"&amp;BB35)/100)</f>
        <v>0.6</v>
      </c>
      <c r="Q35" s="641"/>
      <c r="R35" s="198">
        <v>2581.1999999999998</v>
      </c>
      <c r="S35" s="643">
        <f t="shared" ref="S35" ca="1" si="123">IF(OR(INDIRECT("'update Helper'!I"&amp;BB35+1)=0,R35&lt;&gt;0,R36&lt;&gt;0),IF(IFERROR((R35/R36),"")="","",(R35/R36)),INDIRECT("'update Helper'!I"&amp;BB35+1)/100)</f>
        <v>0.6</v>
      </c>
      <c r="T35" s="641"/>
      <c r="U35" s="198">
        <v>3089.45</v>
      </c>
      <c r="V35" s="643">
        <f t="shared" ref="V35" ca="1" si="124">IF(OR(INDIRECT("'update Helper'!I"&amp;BB35+2)=0,U35&lt;&gt;0,U36&lt;&gt;0),IF(IFERROR((U35/U36),"")="","",(U35/U36)),INDIRECT("'update Helper'!I"&amp;BB35+2)/100)</f>
        <v>0.7</v>
      </c>
      <c r="W35" s="641"/>
      <c r="X35" s="198">
        <v>3089.45</v>
      </c>
      <c r="Y35" s="643">
        <f t="shared" ref="Y35" ca="1" si="125">IF(A35=INDIRECT("'update Helper'!F"&amp;$BB35+3),IF(OR(INDIRECT("'update Helper'!I"&amp;BB35+3)=0,X35&lt;&gt;0,X36&lt;&gt;0),IF(IFERROR((X35/X36),"")="","",(X35/X36)),INDIRECT("'update Helper'!I"&amp;BB35+3)/100),"")</f>
        <v>0.7</v>
      </c>
      <c r="Z35" s="641"/>
      <c r="AA35" s="198">
        <v>3622.8</v>
      </c>
      <c r="AB35" s="643">
        <f t="shared" ref="AB35" ca="1" si="126">IF(A35=INDIRECT("'update Helper'!F"&amp;$BB35+4),IF(OR(INDIRECT("'update Helper'!I"&amp;BB35+4)=0,AA35&lt;&gt;0,AA36&lt;&gt;0),IF(IFERROR((AA35/AA36),"")="","",(AA35/AA36)),INDIRECT("'update Helper'!I"&amp;BB35+4)/100),"")</f>
        <v>0.8</v>
      </c>
      <c r="AC35" s="641"/>
      <c r="AD35" s="198">
        <v>3622.8</v>
      </c>
      <c r="AE35" s="643">
        <f t="shared" ref="AE35" ca="1" si="127">IF(A35=INDIRECT("'update Helper'!F"&amp;$BB35+5),IF(A35=INDIRECT("'update Helper'!F"&amp;$BB35+5),IF(OR(INDIRECT("'update Helper'!I"&amp;BB35+5)=0,AD35&lt;&gt;0,AD36&lt;&gt;0),IF(IFERROR((AD35/AD36),"")="","",(AD35/AD36)),INDIRECT("'update Helper'!I"&amp;BB35+5)/100),""),"")</f>
        <v>0.8</v>
      </c>
      <c r="AF35" s="641"/>
      <c r="AG35" s="198"/>
      <c r="AH35" s="643" t="str">
        <f t="shared" ref="AH35" ca="1" si="128">IF(A35=INDIRECT("'update Helper'!F"&amp;$BB35+6),IF(OR(INDIRECT("'update Helper'!I"&amp;BB35+6)=0,AG35&lt;&gt;0,AG36&lt;&gt;0),IF(IFERROR((AG35/AG36),"")="","",(AG35/AG36)),INDIRECT("'update Helper'!I"&amp;BB35+6)/100),"")</f>
        <v/>
      </c>
      <c r="AI35" s="641"/>
      <c r="AJ35" s="198"/>
      <c r="AK35" s="643" t="str">
        <f t="shared" ref="AK35" ca="1" si="129">IF(A35=INDIRECT("'update Helper'!F"&amp;$BB35+6),IF(OR(INDIRECT("'update Helper'!I"&amp;BB35+7)=0,AJ35&lt;&gt;0,AJ36&lt;&gt;0),IF(IFERROR((AJ35/AJ36),"")="","",(AJ35/AJ36)),INDIRECT("'update Helper'!I"&amp;BB35+7)/100),"")</f>
        <v/>
      </c>
      <c r="AL35" s="641"/>
      <c r="AM35" s="639" t="s">
        <v>8074</v>
      </c>
      <c r="AN35" s="637" t="s">
        <v>8082</v>
      </c>
      <c r="AO35" s="635" t="s">
        <v>8090</v>
      </c>
      <c r="AP35" s="637" t="s">
        <v>8104</v>
      </c>
      <c r="AQ35" s="232" t="str">
        <f t="array" ref="AQ35">IFERROR(IF(INDEX('Reference Records'!$D$61:$D$120,MATCH(LEFT(D35,255),LEFT('Reference Records'!$C$61:$C$120,255),0))=0,"",INDEX('Reference Records'!$D$61:$D$120,MATCH(LEFT(D35,255),LEFT('Reference Records'!$C$61:$C$120,255),0))),"")</f>
        <v/>
      </c>
      <c r="AR35" s="191" t="str">
        <f t="array" ref="AR35">VLOOKUP(LEFT(D35,255),LEFT('Reference Records'!C$60:G261,255),4,0)</f>
        <v/>
      </c>
      <c r="AS35" s="191" t="e">
        <f>MATCH(AR35,'Reference Records'!$F$509:$F$569,0)+ROW(PopulationByCoverage)-1</f>
        <v>#N/A</v>
      </c>
      <c r="AT35" s="191" t="e">
        <f>MATCH(AR35,'Reference Records'!$F$509:$F$569,1)+ROW(PopulationByCoverage)-1</f>
        <v>#N/A</v>
      </c>
      <c r="AU35" s="232" t="str">
        <f>D35&amp;E35</f>
        <v>KP-1d (M) Other 1 : Pourcentage de consommateur de drogues (y compris les injecteurs) ayant bénéficié de programme préventif de lutte contre le VIH (Paquet de services définis)</v>
      </c>
      <c r="AV35" s="206" t="str">
        <f>IFERROR(IF(VLOOKUP(D35,'Reference Records'!$C$1:$K$594,9,0)=0,"",_xlfn.CONCAT(VLOOKUP(D35,'Reference Records'!$C$1:$K$594,9,0),";")),"")</f>
        <v/>
      </c>
      <c r="AW35" s="206" t="str">
        <f>CLEAN(IFERROR(LEFT(AV35, SEARCH(";",AV35,1)-1),""))</f>
        <v/>
      </c>
      <c r="AX35" s="206" t="str">
        <f>SUBSTITUTE(IFERROR(MID(AV35, SEARCH(";",AV35) + 1, SEARCH(";",AV35,SEARCH(";",AV35)+1) - SEARCH(";",AV35) - 1),""),CHAR(10),"")</f>
        <v/>
      </c>
      <c r="AY35" s="329" t="str">
        <f>CLEAN(IFERROR(SUBSTITUTE(RIGHT(AV35,LEN(AV35) - SEARCH(";", AV35, SEARCH(";",AV35) + 1)),";",""),""))</f>
        <v/>
      </c>
      <c r="AZ35" s="572" t="str">
        <f>IFERROR(IF(VLOOKUP(B35,'Reference Records'!$F$123:$N$157,9,FALSE)=0,"",VLOOKUP(B35,'Reference Records'!$F$123:$N$157,9,FALSE)),"")</f>
        <v>MCI-00648</v>
      </c>
      <c r="BA35" s="232">
        <f t="shared" ref="BA35" si="130">BA33+1</f>
        <v>459</v>
      </c>
      <c r="BB35" s="359">
        <f ca="1">BB33+'update Helper'!$Y$2</f>
        <v>590</v>
      </c>
      <c r="BD35" s="232" t="str">
        <f ca="1">IF(INDIRECT("'update Helper'!S"&amp;BA35)=0,"",IFERROR(VLOOKUP(INDIRECT("'update Helper'!U"&amp;BA35),'Account Role'!A$1:B$28,2,0), IFERROR(VLOOKUP(INDIRECT("'update Helper'!AD"&amp;BA35),'Overview - Section A'!J$25:P$90,7,0),"")))</f>
        <v/>
      </c>
    </row>
    <row r="36" spans="1:56" s="232" customFormat="1" ht="30" customHeight="1" x14ac:dyDescent="0.3">
      <c r="A36" s="646"/>
      <c r="B36" s="640"/>
      <c r="C36" s="652"/>
      <c r="D36" s="640"/>
      <c r="E36" s="640"/>
      <c r="F36" s="198">
        <v>8167</v>
      </c>
      <c r="G36" s="644"/>
      <c r="H36" s="642"/>
      <c r="I36" s="640"/>
      <c r="J36" s="648"/>
      <c r="K36" s="642"/>
      <c r="L36" s="640"/>
      <c r="M36" s="341" t="s">
        <v>319</v>
      </c>
      <c r="N36" s="650"/>
      <c r="O36" s="198">
        <v>4302</v>
      </c>
      <c r="P36" s="644"/>
      <c r="Q36" s="642"/>
      <c r="R36" s="198">
        <v>4302</v>
      </c>
      <c r="S36" s="644"/>
      <c r="T36" s="642"/>
      <c r="U36" s="198">
        <v>4413.5</v>
      </c>
      <c r="V36" s="644"/>
      <c r="W36" s="642"/>
      <c r="X36" s="198">
        <v>4413.5</v>
      </c>
      <c r="Y36" s="644"/>
      <c r="Z36" s="642"/>
      <c r="AA36" s="198">
        <v>4528.5</v>
      </c>
      <c r="AB36" s="644"/>
      <c r="AC36" s="642"/>
      <c r="AD36" s="198">
        <v>4528.5</v>
      </c>
      <c r="AE36" s="644"/>
      <c r="AF36" s="642"/>
      <c r="AG36" s="198"/>
      <c r="AH36" s="644"/>
      <c r="AI36" s="642"/>
      <c r="AJ36" s="198"/>
      <c r="AK36" s="644"/>
      <c r="AL36" s="642"/>
      <c r="AM36" s="640"/>
      <c r="AN36" s="638"/>
      <c r="AO36" s="636"/>
      <c r="AP36" s="638"/>
      <c r="AV36" s="206"/>
      <c r="AW36" s="206"/>
      <c r="AX36" s="206"/>
      <c r="AY36" s="329"/>
      <c r="AZ36" s="572"/>
      <c r="BB36" s="206"/>
    </row>
    <row r="37" spans="1:56" s="232" customFormat="1" ht="30" customHeight="1" x14ac:dyDescent="0.3">
      <c r="A37" s="645">
        <v>15</v>
      </c>
      <c r="B37" s="639" t="s">
        <v>3050</v>
      </c>
      <c r="C37" s="639" t="s">
        <v>6485</v>
      </c>
      <c r="D37" s="639" t="s">
        <v>2159</v>
      </c>
      <c r="E37" s="639"/>
      <c r="F37" s="198">
        <v>168847</v>
      </c>
      <c r="G37" s="643">
        <f t="shared" ref="G37" ca="1" si="131">IF(OR(INDIRECT("'update Helper'!D"&amp;BA37)=0,F37&lt;&gt;0,F38&lt;&gt;0),IF(IFERROR((F37/F38),"")="","",(F37/F38)),INDIRECT("'update Helper'!D"&amp;BA37)/100)</f>
        <v>0.45603634310963703</v>
      </c>
      <c r="H37" s="641">
        <v>2019</v>
      </c>
      <c r="I37" s="639" t="s">
        <v>8057</v>
      </c>
      <c r="J37" s="647" t="str">
        <f>AQ37</f>
        <v>Age</v>
      </c>
      <c r="K37" s="641" t="s">
        <v>444</v>
      </c>
      <c r="L37" s="639" t="s">
        <v>3804</v>
      </c>
      <c r="M37" s="199" t="s">
        <v>1358</v>
      </c>
      <c r="N37" s="649" t="s">
        <v>889</v>
      </c>
      <c r="O37" s="198">
        <v>152457.05450000003</v>
      </c>
      <c r="P37" s="643">
        <f t="shared" ref="P37" ca="1" si="132">IF(OR(INDIRECT("'update Helper'!I"&amp;BB37)=0,O37&lt;&gt;0,O38&lt;&gt;0),IF(IFERROR((O37/O38),"")="","",(O37/O38)),INDIRECT("'update Helper'!I"&amp;BB37)/100)</f>
        <v>0.25</v>
      </c>
      <c r="Q37" s="641"/>
      <c r="R37" s="198">
        <v>304914.10900000005</v>
      </c>
      <c r="S37" s="643">
        <f t="shared" ref="S37" ca="1" si="133">IF(OR(INDIRECT("'update Helper'!I"&amp;BB37+1)=0,R37&lt;&gt;0,R38&lt;&gt;0),IF(IFERROR((R37/R38),"")="","",(R37/R38)),INDIRECT("'update Helper'!I"&amp;BB37+1)/100)</f>
        <v>0.5</v>
      </c>
      <c r="T37" s="641"/>
      <c r="U37" s="198">
        <v>156420.99100000001</v>
      </c>
      <c r="V37" s="643">
        <f t="shared" ref="V37" ca="1" si="134">IF(OR(INDIRECT("'update Helper'!I"&amp;BB37+2)=0,U37&lt;&gt;0,U38&lt;&gt;0),IF(IFERROR((U37/U38),"")="","",(U37/U38)),INDIRECT("'update Helper'!I"&amp;BB37+2)/100)</f>
        <v>0.25</v>
      </c>
      <c r="W37" s="641"/>
      <c r="X37" s="198">
        <v>312841.98200000002</v>
      </c>
      <c r="Y37" s="643">
        <f t="shared" ref="Y37" ca="1" si="135">IF(A37=INDIRECT("'update Helper'!F"&amp;$BB37+3),IF(OR(INDIRECT("'update Helper'!I"&amp;BB37+3)=0,X37&lt;&gt;0,X38&lt;&gt;0),IF(IFERROR((X37/X38),"")="","",(X37/X38)),INDIRECT("'update Helper'!I"&amp;BB37+3)/100),"")</f>
        <v>0.5</v>
      </c>
      <c r="Z37" s="641"/>
      <c r="AA37" s="198">
        <v>160487.92800000001</v>
      </c>
      <c r="AB37" s="643">
        <f t="shared" ref="AB37" ca="1" si="136">IF(A37=INDIRECT("'update Helper'!F"&amp;$BB37+4),IF(OR(INDIRECT("'update Helper'!I"&amp;BB37+4)=0,AA37&lt;&gt;0,AA38&lt;&gt;0),IF(IFERROR((AA37/AA38),"")="","",(AA37/AA38)),INDIRECT("'update Helper'!I"&amp;BB37+4)/100),"")</f>
        <v>0.25</v>
      </c>
      <c r="AC37" s="641"/>
      <c r="AD37" s="198">
        <v>320975.85600000003</v>
      </c>
      <c r="AE37" s="643">
        <f t="shared" ref="AE37" ca="1" si="137">IF(A37=INDIRECT("'update Helper'!F"&amp;$BB37+5),IF(A37=INDIRECT("'update Helper'!F"&amp;$BB37+5),IF(OR(INDIRECT("'update Helper'!I"&amp;BB37+5)=0,AD37&lt;&gt;0,AD38&lt;&gt;0),IF(IFERROR((AD37/AD38),"")="","",(AD37/AD38)),INDIRECT("'update Helper'!I"&amp;BB37+5)/100),""),"")</f>
        <v>0.5</v>
      </c>
      <c r="AF37" s="641"/>
      <c r="AG37" s="198"/>
      <c r="AH37" s="643" t="str">
        <f t="shared" ref="AH37" ca="1" si="138">IF(A37=INDIRECT("'update Helper'!F"&amp;$BB37+6),IF(OR(INDIRECT("'update Helper'!I"&amp;BB37+6)=0,AG37&lt;&gt;0,AG38&lt;&gt;0),IF(IFERROR((AG37/AG38),"")="","",(AG37/AG38)),INDIRECT("'update Helper'!I"&amp;BB37+6)/100),"")</f>
        <v/>
      </c>
      <c r="AI37" s="641"/>
      <c r="AJ37" s="198"/>
      <c r="AK37" s="643" t="str">
        <f t="shared" ref="AK37" ca="1" si="139">IF(A37=INDIRECT("'update Helper'!F"&amp;$BB37+6),IF(OR(INDIRECT("'update Helper'!I"&amp;BB37+7)=0,AJ37&lt;&gt;0,AJ38&lt;&gt;0),IF(IFERROR((AJ37/AJ38),"")="","",(AJ37/AJ38)),INDIRECT("'update Helper'!I"&amp;BB37+7)/100),"")</f>
        <v/>
      </c>
      <c r="AL37" s="641"/>
      <c r="AM37" s="639" t="s">
        <v>8075</v>
      </c>
      <c r="AN37" s="637"/>
      <c r="AO37" s="635" t="s">
        <v>8090</v>
      </c>
      <c r="AP37" s="637" t="s">
        <v>8105</v>
      </c>
      <c r="AQ37" s="232" t="str">
        <f t="array" ref="AQ37">IFERROR(IF(INDEX('Reference Records'!$D$61:$D$120,MATCH(LEFT(D37,255),LEFT('Reference Records'!$C$61:$C$120,255),0))=0,"",INDEX('Reference Records'!$D$61:$D$120,MATCH(LEFT(D37,255),LEFT('Reference Records'!$C$61:$C$120,255),0))),"")</f>
        <v>Age</v>
      </c>
      <c r="AR37" s="191" t="str">
        <f t="array" ref="AR37">VLOOKUP(LEFT(D37,255),LEFT('Reference Records'!C$60:G263,255),4,0)</f>
        <v>MCI-01058</v>
      </c>
      <c r="AS37" s="191">
        <f>MATCH(AR37,'Reference Records'!$F$509:$F$569,0)+ROW(PopulationByCoverage)-1</f>
        <v>525</v>
      </c>
      <c r="AT37" s="191">
        <f>MATCH(AR37,'Reference Records'!$F$509:$F$569,1)+ROW(PopulationByCoverage)-1</f>
        <v>525</v>
      </c>
      <c r="AU37" s="232" t="str">
        <f>D37&amp;E37</f>
        <v>YP-2 Pourcentage d’adolescentes et de jeunes femmes bénéficiant de programmes préventifs de lutte contre le VIH (paquet de services définis)</v>
      </c>
      <c r="AV37" s="206" t="str">
        <f>IFERROR(IF(VLOOKUP(D37,'Reference Records'!$C$1:$K$594,9,0)=0,"",_xlfn.CONCAT(VLOOKUP(D37,'Reference Records'!$C$1:$K$594,9,0),";")),"")</f>
        <v>Non cumulative;Non cumulative – other;Non cumulative - special;</v>
      </c>
      <c r="AW37" s="206" t="str">
        <f>CLEAN(IFERROR(LEFT(AV37, SEARCH(";",AV37,1)-1),""))</f>
        <v>Non cumulative</v>
      </c>
      <c r="AX37" s="206" t="str">
        <f>SUBSTITUTE(IFERROR(MID(AV37, SEARCH(";",AV37) + 1, SEARCH(";",AV37,SEARCH(";",AV37)+1) - SEARCH(";",AV37) - 1),""),CHAR(10),"")</f>
        <v>Non cumulative – other</v>
      </c>
      <c r="AY37" s="329" t="str">
        <f>CLEAN(IFERROR(SUBSTITUTE(RIGHT(AV37,LEN(AV37) - SEARCH(";", AV37, SEARCH(";",AV37) + 1)),";",""),""))</f>
        <v>Non cumulative - special</v>
      </c>
      <c r="AZ37" s="572" t="str">
        <f>IFERROR(IF(VLOOKUP(B37,'Reference Records'!$F$123:$N$157,9,FALSE)=0,"",VLOOKUP(B37,'Reference Records'!$F$123:$N$157,9,FALSE)),"")</f>
        <v>MCI-00648</v>
      </c>
      <c r="BA37" s="232">
        <f t="shared" ref="BA37:BA67" si="140">BA35+1</f>
        <v>460</v>
      </c>
      <c r="BB37" s="359">
        <f ca="1">BB35+'update Helper'!$Y$2</f>
        <v>596</v>
      </c>
      <c r="BD37" s="232" t="str">
        <f ca="1">IF(INDIRECT("'update Helper'!S"&amp;BA37)=0,"",IFERROR(VLOOKUP(INDIRECT("'update Helper'!U"&amp;BA37),'Account Role'!A$1:B$28,2,0), IFERROR(VLOOKUP(INDIRECT("'update Helper'!AD"&amp;BA37),'Overview - Section A'!J$25:P$90,7,0),"")))</f>
        <v/>
      </c>
    </row>
    <row r="38" spans="1:56" s="232" customFormat="1" ht="30" customHeight="1" x14ac:dyDescent="0.3">
      <c r="A38" s="646"/>
      <c r="B38" s="640"/>
      <c r="C38" s="640"/>
      <c r="D38" s="640"/>
      <c r="E38" s="640"/>
      <c r="F38" s="198">
        <v>370249</v>
      </c>
      <c r="G38" s="644"/>
      <c r="H38" s="642"/>
      <c r="I38" s="640"/>
      <c r="J38" s="648"/>
      <c r="K38" s="642"/>
      <c r="L38" s="640"/>
      <c r="M38" s="341" t="s">
        <v>319</v>
      </c>
      <c r="N38" s="650"/>
      <c r="O38" s="198">
        <v>609828.21800000011</v>
      </c>
      <c r="P38" s="644"/>
      <c r="Q38" s="642"/>
      <c r="R38" s="198">
        <v>609828.21800000011</v>
      </c>
      <c r="S38" s="644"/>
      <c r="T38" s="642"/>
      <c r="U38" s="198">
        <v>625683.96400000004</v>
      </c>
      <c r="V38" s="644"/>
      <c r="W38" s="642"/>
      <c r="X38" s="198">
        <v>625683.96400000004</v>
      </c>
      <c r="Y38" s="644"/>
      <c r="Z38" s="642"/>
      <c r="AA38" s="198">
        <v>641951.71200000006</v>
      </c>
      <c r="AB38" s="644"/>
      <c r="AC38" s="642"/>
      <c r="AD38" s="198">
        <v>641951.71200000006</v>
      </c>
      <c r="AE38" s="644"/>
      <c r="AF38" s="642"/>
      <c r="AG38" s="198"/>
      <c r="AH38" s="644"/>
      <c r="AI38" s="642"/>
      <c r="AJ38" s="198"/>
      <c r="AK38" s="644"/>
      <c r="AL38" s="642"/>
      <c r="AM38" s="640"/>
      <c r="AN38" s="638"/>
      <c r="AO38" s="636"/>
      <c r="AP38" s="638"/>
      <c r="AV38" s="206"/>
      <c r="AW38" s="206"/>
      <c r="AX38" s="206"/>
      <c r="AY38" s="329"/>
      <c r="AZ38" s="572"/>
      <c r="BB38" s="206"/>
    </row>
    <row r="39" spans="1:56" s="232" customFormat="1" ht="30" customHeight="1" x14ac:dyDescent="0.3">
      <c r="A39" s="645">
        <v>16</v>
      </c>
      <c r="B39" s="639" t="s">
        <v>3027</v>
      </c>
      <c r="C39" s="639" t="s">
        <v>765</v>
      </c>
      <c r="D39" s="639"/>
      <c r="E39" s="639" t="s">
        <v>8049</v>
      </c>
      <c r="F39" s="198">
        <v>157</v>
      </c>
      <c r="G39" s="643">
        <f t="shared" ref="G39" ca="1" si="141">IF(OR(INDIRECT("'update Helper'!D"&amp;BA39)=0,F39&lt;&gt;0,F40&lt;&gt;0),IF(IFERROR((F39/F40),"")="","",(F39/F40)),INDIRECT("'update Helper'!D"&amp;BA39)/100)</f>
        <v>1</v>
      </c>
      <c r="H39" s="641">
        <v>2019</v>
      </c>
      <c r="I39" s="639" t="s">
        <v>8057</v>
      </c>
      <c r="J39" s="647" t="str">
        <f>AQ39</f>
        <v/>
      </c>
      <c r="K39" s="641" t="s">
        <v>444</v>
      </c>
      <c r="L39" s="639" t="s">
        <v>3804</v>
      </c>
      <c r="M39" s="199" t="s">
        <v>1358</v>
      </c>
      <c r="N39" s="649" t="s">
        <v>888</v>
      </c>
      <c r="O39" s="198">
        <f>130.5-62.25</f>
        <v>68.25</v>
      </c>
      <c r="P39" s="643">
        <f t="shared" ref="P39" ca="1" si="142">IF(OR(INDIRECT("'update Helper'!I"&amp;BB39)=0,O39&lt;&gt;0,O40&lt;&gt;0),IF(IFERROR((O39/O40),"")="","",(O39/O40)),INDIRECT("'update Helper'!I"&amp;BB39)/100)</f>
        <v>1.0036764705882353</v>
      </c>
      <c r="Q39" s="641"/>
      <c r="R39" s="198">
        <v>193</v>
      </c>
      <c r="S39" s="643">
        <f t="shared" ref="S39" ca="1" si="143">IF(OR(INDIRECT("'update Helper'!I"&amp;BB39+1)=0,R39&lt;&gt;0,R40&lt;&gt;0),IF(IFERROR((R39/R40),"")="","",(R39/R40)),INDIRECT("'update Helper'!I"&amp;BB39+1)/100)</f>
        <v>1</v>
      </c>
      <c r="T39" s="641"/>
      <c r="U39" s="198">
        <v>67</v>
      </c>
      <c r="V39" s="643">
        <f t="shared" ref="V39" ca="1" si="144">IF(OR(INDIRECT("'update Helper'!I"&amp;BB39+2)=0,U39&lt;&gt;0,U40&lt;&gt;0),IF(IFERROR((U39/U40),"")="","",(U39/U40)),INDIRECT("'update Helper'!I"&amp;BB39+2)/100)</f>
        <v>1</v>
      </c>
      <c r="W39" s="641"/>
      <c r="X39" s="198">
        <v>201</v>
      </c>
      <c r="Y39" s="643">
        <f t="shared" ref="Y39" ca="1" si="145">IF(A39=INDIRECT("'update Helper'!F"&amp;$BB39+3),IF(OR(INDIRECT("'update Helper'!I"&amp;BB39+3)=0,X39&lt;&gt;0,X40&lt;&gt;0),IF(IFERROR((X39/X40),"")="","",(X39/X40)),INDIRECT("'update Helper'!I"&amp;BB39+3)/100),"")</f>
        <v>1</v>
      </c>
      <c r="Z39" s="641"/>
      <c r="AA39" s="198">
        <v>69</v>
      </c>
      <c r="AB39" s="643">
        <f t="shared" ref="AB39" ca="1" si="146">IF(A39=INDIRECT("'update Helper'!F"&amp;$BB39+4),IF(OR(INDIRECT("'update Helper'!I"&amp;BB39+4)=0,AA39&lt;&gt;0,AA40&lt;&gt;0),IF(IFERROR((AA39/AA40),"")="","",(AA39/AA40)),INDIRECT("'update Helper'!I"&amp;BB39+4)/100),"")</f>
        <v>1</v>
      </c>
      <c r="AC39" s="641"/>
      <c r="AD39" s="198">
        <v>206</v>
      </c>
      <c r="AE39" s="643">
        <f t="shared" ref="AE39" ca="1" si="147">IF(A39=INDIRECT("'update Helper'!F"&amp;$BB39+5),IF(A39=INDIRECT("'update Helper'!F"&amp;$BB39+5),IF(OR(INDIRECT("'update Helper'!I"&amp;BB39+5)=0,AD39&lt;&gt;0,AD40&lt;&gt;0),IF(IFERROR((AD39/AD40),"")="","",(AD39/AD40)),INDIRECT("'update Helper'!I"&amp;BB39+5)/100),""),"")</f>
        <v>1</v>
      </c>
      <c r="AF39" s="641"/>
      <c r="AG39" s="198"/>
      <c r="AH39" s="643" t="str">
        <f t="shared" ref="AH39" ca="1" si="148">IF(A39=INDIRECT("'update Helper'!F"&amp;$BB39+6),IF(OR(INDIRECT("'update Helper'!I"&amp;BB39+6)=0,AG39&lt;&gt;0,AG40&lt;&gt;0),IF(IFERROR((AG39/AG40),"")="","",(AG39/AG40)),INDIRECT("'update Helper'!I"&amp;BB39+6)/100),"")</f>
        <v/>
      </c>
      <c r="AI39" s="641"/>
      <c r="AJ39" s="198"/>
      <c r="AK39" s="643" t="str">
        <f t="shared" ref="AK39" ca="1" si="149">IF(A39=INDIRECT("'update Helper'!F"&amp;$BB39+6),IF(OR(INDIRECT("'update Helper'!I"&amp;BB39+7)=0,AJ39&lt;&gt;0,AJ40&lt;&gt;0),IF(IFERROR((AJ39/AJ40),"")="","",(AJ39/AJ40)),INDIRECT("'update Helper'!I"&amp;BB39+7)/100),"")</f>
        <v/>
      </c>
      <c r="AL39" s="641"/>
      <c r="AM39" s="639" t="s">
        <v>8076</v>
      </c>
      <c r="AN39" s="637" t="s">
        <v>8083</v>
      </c>
      <c r="AO39" s="635" t="s">
        <v>8090</v>
      </c>
      <c r="AP39" s="637" t="s">
        <v>8106</v>
      </c>
      <c r="AQ39" s="232" t="str">
        <f t="array" ref="AQ39">IFERROR(IF(INDEX('Reference Records'!$D$61:$D$120,MATCH(LEFT(D39,255),LEFT('Reference Records'!$C$61:$C$120,255),0))=0,"",INDEX('Reference Records'!$D$61:$D$120,MATCH(LEFT(D39,255),LEFT('Reference Records'!$C$61:$C$120,255),0))),"")</f>
        <v/>
      </c>
      <c r="AR39" s="191" t="str">
        <f t="array" ref="AR39">VLOOKUP(LEFT(D39,255),LEFT('Reference Records'!C$60:G265,255),4,0)</f>
        <v/>
      </c>
      <c r="AS39" s="191" t="e">
        <f>MATCH(AR39,'Reference Records'!$F$509:$F$569,0)+ROW(PopulationByCoverage)-1</f>
        <v>#N/A</v>
      </c>
      <c r="AT39" s="191" t="e">
        <f>MATCH(AR39,'Reference Records'!$F$509:$F$569,1)+ROW(PopulationByCoverage)-1</f>
        <v>#N/A</v>
      </c>
      <c r="AU39" s="232" t="str">
        <f>D39&amp;E39</f>
        <v xml:space="preserve">Pourcentage de HSH dépistés positifs admis dans des services de soins durant la période de rapportage </v>
      </c>
      <c r="AV39" s="206" t="str">
        <f>IFERROR(IF(VLOOKUP(D39,'Reference Records'!$C$1:$K$594,9,0)=0,"",_xlfn.CONCAT(VLOOKUP(D39,'Reference Records'!$C$1:$K$594,9,0),";")),"")</f>
        <v/>
      </c>
      <c r="AW39" s="206" t="str">
        <f>CLEAN(IFERROR(LEFT(AV39, SEARCH(";",AV39,1)-1),""))</f>
        <v/>
      </c>
      <c r="AX39" s="206" t="str">
        <f>SUBSTITUTE(IFERROR(MID(AV39, SEARCH(";",AV39) + 1, SEARCH(";",AV39,SEARCH(";",AV39)+1) - SEARCH(";",AV39) - 1),""),CHAR(10),"")</f>
        <v/>
      </c>
      <c r="AY39" s="342" t="str">
        <f>CLEAN(IFERROR(SUBSTITUTE(RIGHT(AV39,LEN(AV39) - SEARCH(";", AV39, SEARCH(";",AV39) + 1)),";",""),""))</f>
        <v/>
      </c>
      <c r="AZ39" s="572" t="str">
        <f>IFERROR(IF(VLOOKUP(B39,'Reference Records'!$F$123:$N$157,9,FALSE)=0,"",VLOOKUP(B39,'Reference Records'!$F$123:$N$157,9,FALSE)),"")</f>
        <v>MCI-00650</v>
      </c>
      <c r="BA39" s="232">
        <f t="shared" si="140"/>
        <v>461</v>
      </c>
      <c r="BB39" s="359">
        <f ca="1">BB37+'update Helper'!$Y$2</f>
        <v>602</v>
      </c>
      <c r="BD39" s="232" t="str">
        <f ca="1">IF(INDIRECT("'update Helper'!S"&amp;BA39)=0,"",IFERROR(VLOOKUP(INDIRECT("'update Helper'!U"&amp;BA39),'Account Role'!A$1:B$28,2,0), IFERROR(VLOOKUP(INDIRECT("'update Helper'!AD"&amp;BA39),'Overview - Section A'!J$25:P$90,7,0),"")))</f>
        <v/>
      </c>
    </row>
    <row r="40" spans="1:56" s="232" customFormat="1" ht="30" customHeight="1" x14ac:dyDescent="0.3">
      <c r="A40" s="646"/>
      <c r="B40" s="640"/>
      <c r="C40" s="640"/>
      <c r="D40" s="640"/>
      <c r="E40" s="640"/>
      <c r="F40" s="198">
        <v>157</v>
      </c>
      <c r="G40" s="644"/>
      <c r="H40" s="642"/>
      <c r="I40" s="640"/>
      <c r="J40" s="648"/>
      <c r="K40" s="642"/>
      <c r="L40" s="640"/>
      <c r="M40" s="343" t="s">
        <v>319</v>
      </c>
      <c r="N40" s="650"/>
      <c r="O40" s="198">
        <v>68</v>
      </c>
      <c r="P40" s="644"/>
      <c r="Q40" s="642"/>
      <c r="R40" s="198">
        <v>193</v>
      </c>
      <c r="S40" s="644"/>
      <c r="T40" s="642"/>
      <c r="U40" s="198">
        <v>67</v>
      </c>
      <c r="V40" s="644"/>
      <c r="W40" s="642"/>
      <c r="X40" s="198">
        <v>201</v>
      </c>
      <c r="Y40" s="644"/>
      <c r="Z40" s="642"/>
      <c r="AA40" s="198">
        <v>69</v>
      </c>
      <c r="AB40" s="644"/>
      <c r="AC40" s="642"/>
      <c r="AD40" s="198">
        <v>206</v>
      </c>
      <c r="AE40" s="644"/>
      <c r="AF40" s="642"/>
      <c r="AG40" s="198"/>
      <c r="AH40" s="644"/>
      <c r="AI40" s="642"/>
      <c r="AJ40" s="198"/>
      <c r="AK40" s="644"/>
      <c r="AL40" s="642"/>
      <c r="AM40" s="640"/>
      <c r="AN40" s="638"/>
      <c r="AO40" s="636"/>
      <c r="AP40" s="638"/>
      <c r="AV40" s="206"/>
      <c r="AW40" s="206"/>
      <c r="AX40" s="206"/>
      <c r="AY40" s="342"/>
      <c r="AZ40" s="572"/>
      <c r="BB40" s="206"/>
    </row>
    <row r="41" spans="1:56" s="232" customFormat="1" ht="30" customHeight="1" x14ac:dyDescent="0.3">
      <c r="A41" s="645">
        <v>17</v>
      </c>
      <c r="B41" s="639" t="s">
        <v>3027</v>
      </c>
      <c r="C41" s="639" t="s">
        <v>765</v>
      </c>
      <c r="D41" s="639"/>
      <c r="E41" s="639" t="s">
        <v>8050</v>
      </c>
      <c r="F41" s="198">
        <v>409</v>
      </c>
      <c r="G41" s="643">
        <f t="shared" ref="G41" ca="1" si="150">IF(OR(INDIRECT("'update Helper'!D"&amp;BA41)=0,F41&lt;&gt;0,F42&lt;&gt;0),IF(IFERROR((F41/F42),"")="","",(F41/F42)),INDIRECT("'update Helper'!D"&amp;BA41)/100)</f>
        <v>0.99271844660194175</v>
      </c>
      <c r="H41" s="641">
        <v>2019</v>
      </c>
      <c r="I41" s="639" t="s">
        <v>8059</v>
      </c>
      <c r="J41" s="647" t="str">
        <f>AQ41</f>
        <v/>
      </c>
      <c r="K41" s="641" t="s">
        <v>444</v>
      </c>
      <c r="L41" s="639" t="s">
        <v>3804</v>
      </c>
      <c r="M41" s="199" t="s">
        <v>1358</v>
      </c>
      <c r="N41" s="649" t="s">
        <v>888</v>
      </c>
      <c r="O41" s="198">
        <v>163</v>
      </c>
      <c r="P41" s="643">
        <f t="shared" ref="P41" ca="1" si="151">IF(OR(INDIRECT("'update Helper'!I"&amp;BB41)=0,O41&lt;&gt;0,O42&lt;&gt;0),IF(IFERROR((O41/O42),"")="","",(O41/O42)),INDIRECT("'update Helper'!I"&amp;BB41)/100)</f>
        <v>1</v>
      </c>
      <c r="Q41" s="641"/>
      <c r="R41" s="198">
        <v>490</v>
      </c>
      <c r="S41" s="643">
        <f t="shared" ref="S41" ca="1" si="152">IF(OR(INDIRECT("'update Helper'!I"&amp;BB41+1)=0,R41&lt;&gt;0,R42&lt;&gt;0),IF(IFERROR((R41/R42),"")="","",(R41/R42)),INDIRECT("'update Helper'!I"&amp;BB41+1)/100)</f>
        <v>1</v>
      </c>
      <c r="T41" s="641"/>
      <c r="U41" s="198">
        <v>168</v>
      </c>
      <c r="V41" s="643">
        <f t="shared" ref="V41" ca="1" si="153">IF(OR(INDIRECT("'update Helper'!I"&amp;BB41+2)=0,U41&lt;&gt;0,U42&lt;&gt;0),IF(IFERROR((U41/U42),"")="","",(U41/U42)),INDIRECT("'update Helper'!I"&amp;BB41+2)/100)</f>
        <v>1</v>
      </c>
      <c r="W41" s="641"/>
      <c r="X41" s="198">
        <v>503</v>
      </c>
      <c r="Y41" s="643">
        <f t="shared" ref="Y41" ca="1" si="154">IF(A41=INDIRECT("'update Helper'!F"&amp;$BB41+3),IF(OR(INDIRECT("'update Helper'!I"&amp;BB41+3)=0,X41&lt;&gt;0,X42&lt;&gt;0),IF(IFERROR((X41/X42),"")="","",(X41/X42)),INDIRECT("'update Helper'!I"&amp;BB41+3)/100),"")</f>
        <v>1</v>
      </c>
      <c r="Z41" s="641"/>
      <c r="AA41" s="198">
        <v>172</v>
      </c>
      <c r="AB41" s="643">
        <f t="shared" ref="AB41" ca="1" si="155">IF(A41=INDIRECT("'update Helper'!F"&amp;$BB41+4),IF(OR(INDIRECT("'update Helper'!I"&amp;BB41+4)=0,AA41&lt;&gt;0,AA42&lt;&gt;0),IF(IFERROR((AA41/AA42),"")="","",(AA41/AA42)),INDIRECT("'update Helper'!I"&amp;BB41+4)/100),"")</f>
        <v>1</v>
      </c>
      <c r="AC41" s="641"/>
      <c r="AD41" s="198">
        <v>515</v>
      </c>
      <c r="AE41" s="643">
        <f t="shared" ref="AE41" ca="1" si="156">IF(A41=INDIRECT("'update Helper'!F"&amp;$BB41+5),IF(A41=INDIRECT("'update Helper'!F"&amp;$BB41+5),IF(OR(INDIRECT("'update Helper'!I"&amp;BB41+5)=0,AD41&lt;&gt;0,AD42&lt;&gt;0),IF(IFERROR((AD41/AD42),"")="","",(AD41/AD42)),INDIRECT("'update Helper'!I"&amp;BB41+5)/100),""),"")</f>
        <v>1</v>
      </c>
      <c r="AF41" s="641"/>
      <c r="AG41" s="198"/>
      <c r="AH41" s="643" t="str">
        <f t="shared" ref="AH41" ca="1" si="157">IF(A41=INDIRECT("'update Helper'!F"&amp;$BB41+6),IF(OR(INDIRECT("'update Helper'!I"&amp;BB41+6)=0,AG41&lt;&gt;0,AG42&lt;&gt;0),IF(IFERROR((AG41/AG42),"")="","",(AG41/AG42)),INDIRECT("'update Helper'!I"&amp;BB41+6)/100),"")</f>
        <v/>
      </c>
      <c r="AI41" s="641"/>
      <c r="AJ41" s="198"/>
      <c r="AK41" s="643" t="str">
        <f t="shared" ref="AK41" ca="1" si="158">IF(A41=INDIRECT("'update Helper'!F"&amp;$BB41+6),IF(OR(INDIRECT("'update Helper'!I"&amp;BB41+7)=0,AJ41&lt;&gt;0,AJ42&lt;&gt;0),IF(IFERROR((AJ41/AJ42),"")="","",(AJ41/AJ42)),INDIRECT("'update Helper'!I"&amp;BB41+7)/100),"")</f>
        <v/>
      </c>
      <c r="AL41" s="641"/>
      <c r="AM41" s="639" t="s">
        <v>8077</v>
      </c>
      <c r="AN41" s="637" t="s">
        <v>8084</v>
      </c>
      <c r="AO41" s="635" t="s">
        <v>8090</v>
      </c>
      <c r="AP41" s="637" t="s">
        <v>8107</v>
      </c>
      <c r="AQ41" s="232" t="str">
        <f t="array" ref="AQ41">IFERROR(IF(INDEX('Reference Records'!$D$61:$D$120,MATCH(LEFT(D41,255),LEFT('Reference Records'!$C$61:$C$120,255),0))=0,"",INDEX('Reference Records'!$D$61:$D$120,MATCH(LEFT(D41,255),LEFT('Reference Records'!$C$61:$C$120,255),0))),"")</f>
        <v/>
      </c>
      <c r="AR41" s="191" t="str">
        <f t="array" ref="AR41">VLOOKUP(LEFT(D41,255),LEFT('Reference Records'!C$60:G267,255),4,0)</f>
        <v/>
      </c>
      <c r="AS41" s="191" t="e">
        <f>MATCH(AR41,'Reference Records'!$F$509:$F$569,0)+ROW(PopulationByCoverage)-1</f>
        <v>#N/A</v>
      </c>
      <c r="AT41" s="191" t="e">
        <f>MATCH(AR41,'Reference Records'!$F$509:$F$569,1)+ROW(PopulationByCoverage)-1</f>
        <v>#N/A</v>
      </c>
      <c r="AU41" s="232" t="str">
        <f>D41&amp;E41</f>
        <v xml:space="preserve">Pourcentage de professionnelles de sexe dépistées positives admises dans des services de soins durant la période de rapportage </v>
      </c>
      <c r="AV41" s="206" t="str">
        <f>IFERROR(IF(VLOOKUP(D41,'Reference Records'!$C$1:$K$594,9,0)=0,"",_xlfn.CONCAT(VLOOKUP(D41,'Reference Records'!$C$1:$K$594,9,0),";")),"")</f>
        <v/>
      </c>
      <c r="AW41" s="206" t="str">
        <f>CLEAN(IFERROR(LEFT(AV41, SEARCH(";",AV41,1)-1),""))</f>
        <v/>
      </c>
      <c r="AX41" s="206" t="str">
        <f>SUBSTITUTE(IFERROR(MID(AV41, SEARCH(";",AV41) + 1, SEARCH(";",AV41,SEARCH(";",AV41)+1) - SEARCH(";",AV41) - 1),""),CHAR(10),"")</f>
        <v/>
      </c>
      <c r="AY41" s="342" t="str">
        <f>CLEAN(IFERROR(SUBSTITUTE(RIGHT(AV41,LEN(AV41) - SEARCH(";", AV41, SEARCH(";",AV41) + 1)),";",""),""))</f>
        <v/>
      </c>
      <c r="AZ41" s="572" t="str">
        <f>IFERROR(IF(VLOOKUP(B41,'Reference Records'!$F$123:$N$157,9,FALSE)=0,"",VLOOKUP(B41,'Reference Records'!$F$123:$N$157,9,FALSE)),"")</f>
        <v>MCI-00650</v>
      </c>
      <c r="BA41" s="232">
        <f t="shared" si="140"/>
        <v>462</v>
      </c>
      <c r="BB41" s="359">
        <f ca="1">BB39+'update Helper'!$Y$2</f>
        <v>608</v>
      </c>
      <c r="BD41" s="232" t="str">
        <f ca="1">IF(INDIRECT("'update Helper'!S"&amp;BA41)=0,"",IFERROR(VLOOKUP(INDIRECT("'update Helper'!U"&amp;BA41),'Account Role'!A$1:B$28,2,0), IFERROR(VLOOKUP(INDIRECT("'update Helper'!AD"&amp;BA41),'Overview - Section A'!J$25:P$90,7,0),"")))</f>
        <v/>
      </c>
    </row>
    <row r="42" spans="1:56" s="232" customFormat="1" ht="30" customHeight="1" x14ac:dyDescent="0.3">
      <c r="A42" s="646"/>
      <c r="B42" s="640"/>
      <c r="C42" s="640"/>
      <c r="D42" s="640"/>
      <c r="E42" s="640"/>
      <c r="F42" s="198">
        <v>412</v>
      </c>
      <c r="G42" s="644"/>
      <c r="H42" s="642"/>
      <c r="I42" s="640"/>
      <c r="J42" s="648"/>
      <c r="K42" s="642"/>
      <c r="L42" s="640"/>
      <c r="M42" s="343" t="s">
        <v>319</v>
      </c>
      <c r="N42" s="650"/>
      <c r="O42" s="198">
        <v>163</v>
      </c>
      <c r="P42" s="644"/>
      <c r="Q42" s="642"/>
      <c r="R42" s="198">
        <v>490</v>
      </c>
      <c r="S42" s="644"/>
      <c r="T42" s="642"/>
      <c r="U42" s="198">
        <v>168</v>
      </c>
      <c r="V42" s="644"/>
      <c r="W42" s="642"/>
      <c r="X42" s="198">
        <v>503</v>
      </c>
      <c r="Y42" s="644"/>
      <c r="Z42" s="642"/>
      <c r="AA42" s="198">
        <v>172</v>
      </c>
      <c r="AB42" s="644"/>
      <c r="AC42" s="642"/>
      <c r="AD42" s="198">
        <v>515</v>
      </c>
      <c r="AE42" s="644"/>
      <c r="AF42" s="642"/>
      <c r="AG42" s="198"/>
      <c r="AH42" s="644"/>
      <c r="AI42" s="642"/>
      <c r="AJ42" s="198"/>
      <c r="AK42" s="644"/>
      <c r="AL42" s="642"/>
      <c r="AM42" s="640"/>
      <c r="AN42" s="638"/>
      <c r="AO42" s="636"/>
      <c r="AP42" s="638"/>
      <c r="AV42" s="206"/>
      <c r="AW42" s="206"/>
      <c r="AX42" s="206"/>
      <c r="AY42" s="342"/>
      <c r="AZ42" s="572"/>
      <c r="BB42" s="206"/>
    </row>
    <row r="43" spans="1:56" s="232" customFormat="1" ht="30" customHeight="1" x14ac:dyDescent="0.3">
      <c r="A43" s="645">
        <v>18</v>
      </c>
      <c r="B43" s="639" t="s">
        <v>3027</v>
      </c>
      <c r="C43" s="639" t="s">
        <v>765</v>
      </c>
      <c r="D43" s="639"/>
      <c r="E43" s="639" t="s">
        <v>8051</v>
      </c>
      <c r="F43" s="198">
        <v>73</v>
      </c>
      <c r="G43" s="643">
        <f t="shared" ref="G43" ca="1" si="159">IF(OR(INDIRECT("'update Helper'!D"&amp;BA43)=0,F43&lt;&gt;0,F44&lt;&gt;0),IF(IFERROR((F43/F44),"")="","",(F43/F44)),INDIRECT("'update Helper'!D"&amp;BA43)/100)</f>
        <v>0.98648648648648651</v>
      </c>
      <c r="H43" s="641">
        <v>2019</v>
      </c>
      <c r="I43" s="639" t="s">
        <v>8059</v>
      </c>
      <c r="J43" s="647" t="str">
        <f>AQ43</f>
        <v/>
      </c>
      <c r="K43" s="641" t="s">
        <v>444</v>
      </c>
      <c r="L43" s="639" t="s">
        <v>3804</v>
      </c>
      <c r="M43" s="199" t="s">
        <v>1358</v>
      </c>
      <c r="N43" s="649" t="s">
        <v>888</v>
      </c>
      <c r="O43" s="198">
        <v>35</v>
      </c>
      <c r="P43" s="643">
        <f t="shared" ref="P43" ca="1" si="160">IF(OR(INDIRECT("'update Helper'!I"&amp;BB43)=0,O43&lt;&gt;0,O44&lt;&gt;0),IF(IFERROR((O43/O44),"")="","",(O43/O44)),INDIRECT("'update Helper'!I"&amp;BB43)/100)</f>
        <v>1</v>
      </c>
      <c r="Q43" s="641"/>
      <c r="R43" s="198">
        <v>103</v>
      </c>
      <c r="S43" s="643">
        <f t="shared" ref="S43" ca="1" si="161">IF(OR(INDIRECT("'update Helper'!I"&amp;BB43+1)=0,R43&lt;&gt;0,R44&lt;&gt;0),IF(IFERROR((R43/R44),"")="","",(R43/R44)),INDIRECT("'update Helper'!I"&amp;BB43+1)/100)</f>
        <v>1</v>
      </c>
      <c r="T43" s="641"/>
      <c r="U43" s="198">
        <v>35</v>
      </c>
      <c r="V43" s="643">
        <f t="shared" ref="V43" ca="1" si="162">IF(OR(INDIRECT("'update Helper'!I"&amp;BB43+2)=0,U43&lt;&gt;0,U44&lt;&gt;0),IF(IFERROR((U43/U44),"")="","",(U43/U44)),INDIRECT("'update Helper'!I"&amp;BB43+2)/100)</f>
        <v>1</v>
      </c>
      <c r="W43" s="641"/>
      <c r="X43" s="198">
        <v>106</v>
      </c>
      <c r="Y43" s="643">
        <f t="shared" ref="Y43" ca="1" si="163">IF(A43=INDIRECT("'update Helper'!F"&amp;$BB43+3),IF(OR(INDIRECT("'update Helper'!I"&amp;BB43+3)=0,X43&lt;&gt;0,X44&lt;&gt;0),IF(IFERROR((X43/X44),"")="","",(X43/X44)),INDIRECT("'update Helper'!I"&amp;BB43+3)/100),"")</f>
        <v>1</v>
      </c>
      <c r="Z43" s="641"/>
      <c r="AA43" s="198">
        <v>36</v>
      </c>
      <c r="AB43" s="643">
        <f t="shared" ref="AB43" ca="1" si="164">IF(A43=INDIRECT("'update Helper'!F"&amp;$BB43+4),IF(OR(INDIRECT("'update Helper'!I"&amp;BB43+4)=0,AA43&lt;&gt;0,AA44&lt;&gt;0),IF(IFERROR((AA43/AA44),"")="","",(AA43/AA44)),INDIRECT("'update Helper'!I"&amp;BB43+4)/100),"")</f>
        <v>1</v>
      </c>
      <c r="AC43" s="641"/>
      <c r="AD43" s="198">
        <v>109</v>
      </c>
      <c r="AE43" s="643">
        <f t="shared" ref="AE43" ca="1" si="165">IF(A43=INDIRECT("'update Helper'!F"&amp;$BB43+5),IF(A43=INDIRECT("'update Helper'!F"&amp;$BB43+5),IF(OR(INDIRECT("'update Helper'!I"&amp;BB43+5)=0,AD43&lt;&gt;0,AD44&lt;&gt;0),IF(IFERROR((AD43/AD44),"")="","",(AD43/AD44)),INDIRECT("'update Helper'!I"&amp;BB43+5)/100),""),"")</f>
        <v>1</v>
      </c>
      <c r="AF43" s="641"/>
      <c r="AG43" s="198"/>
      <c r="AH43" s="643" t="str">
        <f t="shared" ref="AH43" ca="1" si="166">IF(A43=INDIRECT("'update Helper'!F"&amp;$BB43+6),IF(OR(INDIRECT("'update Helper'!I"&amp;BB43+6)=0,AG43&lt;&gt;0,AG44&lt;&gt;0),IF(IFERROR((AG43/AG44),"")="","",(AG43/AG44)),INDIRECT("'update Helper'!I"&amp;BB43+6)/100),"")</f>
        <v/>
      </c>
      <c r="AI43" s="641"/>
      <c r="AJ43" s="198"/>
      <c r="AK43" s="643" t="str">
        <f t="shared" ref="AK43" ca="1" si="167">IF(A43=INDIRECT("'update Helper'!F"&amp;$BB43+6),IF(OR(INDIRECT("'update Helper'!I"&amp;BB43+7)=0,AJ43&lt;&gt;0,AJ44&lt;&gt;0),IF(IFERROR((AJ43/AJ44),"")="","",(AJ43/AJ44)),INDIRECT("'update Helper'!I"&amp;BB43+7)/100),"")</f>
        <v/>
      </c>
      <c r="AL43" s="641"/>
      <c r="AM43" s="639" t="s">
        <v>8078</v>
      </c>
      <c r="AN43" s="637" t="s">
        <v>8085</v>
      </c>
      <c r="AO43" s="635" t="s">
        <v>8090</v>
      </c>
      <c r="AP43" s="637" t="s">
        <v>8108</v>
      </c>
      <c r="AQ43" s="232" t="str">
        <f t="array" ref="AQ43">IFERROR(IF(INDEX('Reference Records'!$D$61:$D$120,MATCH(LEFT(D43,255),LEFT('Reference Records'!$C$61:$C$120,255),0))=0,"",INDEX('Reference Records'!$D$61:$D$120,MATCH(LEFT(D43,255),LEFT('Reference Records'!$C$61:$C$120,255),0))),"")</f>
        <v/>
      </c>
      <c r="AR43" s="191" t="str">
        <f t="array" ref="AR43">VLOOKUP(LEFT(D43,255),LEFT('Reference Records'!C$60:G269,255),4,0)</f>
        <v/>
      </c>
      <c r="AS43" s="191" t="e">
        <f>MATCH(AR43,'Reference Records'!$F$509:$F$569,0)+ROW(PopulationByCoverage)-1</f>
        <v>#N/A</v>
      </c>
      <c r="AT43" s="191" t="e">
        <f>MATCH(AR43,'Reference Records'!$F$509:$F$569,1)+ROW(PopulationByCoverage)-1</f>
        <v>#N/A</v>
      </c>
      <c r="AU43" s="232" t="str">
        <f>D43&amp;E43</f>
        <v xml:space="preserve">Pourcentage de UD dépistés positifs (y compris les UDI) admis dans des services de soins durant la période de rapportage </v>
      </c>
      <c r="AV43" s="206" t="str">
        <f>IFERROR(IF(VLOOKUP(D43,'Reference Records'!$C$1:$K$594,9,0)=0,"",_xlfn.CONCAT(VLOOKUP(D43,'Reference Records'!$C$1:$K$594,9,0),";")),"")</f>
        <v/>
      </c>
      <c r="AW43" s="206" t="str">
        <f>CLEAN(IFERROR(LEFT(AV43, SEARCH(";",AV43,1)-1),""))</f>
        <v/>
      </c>
      <c r="AX43" s="206" t="str">
        <f>SUBSTITUTE(IFERROR(MID(AV43, SEARCH(";",AV43) + 1, SEARCH(";",AV43,SEARCH(";",AV43)+1) - SEARCH(";",AV43) - 1),""),CHAR(10),"")</f>
        <v/>
      </c>
      <c r="AY43" s="342" t="str">
        <f>CLEAN(IFERROR(SUBSTITUTE(RIGHT(AV43,LEN(AV43) - SEARCH(";", AV43, SEARCH(";",AV43) + 1)),";",""),""))</f>
        <v/>
      </c>
      <c r="AZ43" s="572" t="str">
        <f>IFERROR(IF(VLOOKUP(B43,'Reference Records'!$F$123:$N$157,9,FALSE)=0,"",VLOOKUP(B43,'Reference Records'!$F$123:$N$157,9,FALSE)),"")</f>
        <v>MCI-00650</v>
      </c>
      <c r="BA43" s="232">
        <f t="shared" si="140"/>
        <v>463</v>
      </c>
      <c r="BB43" s="359">
        <f ca="1">BB41+'update Helper'!$Y$2</f>
        <v>614</v>
      </c>
      <c r="BD43" s="232" t="str">
        <f ca="1">IF(INDIRECT("'update Helper'!S"&amp;BA43)=0,"",IFERROR(VLOOKUP(INDIRECT("'update Helper'!U"&amp;BA43),'Account Role'!A$1:B$28,2,0), IFERROR(VLOOKUP(INDIRECT("'update Helper'!AD"&amp;BA43),'Overview - Section A'!J$25:P$90,7,0),"")))</f>
        <v/>
      </c>
    </row>
    <row r="44" spans="1:56" s="232" customFormat="1" ht="30" customHeight="1" x14ac:dyDescent="0.3">
      <c r="A44" s="646"/>
      <c r="B44" s="640"/>
      <c r="C44" s="640"/>
      <c r="D44" s="640"/>
      <c r="E44" s="640"/>
      <c r="F44" s="198">
        <v>74</v>
      </c>
      <c r="G44" s="644"/>
      <c r="H44" s="642"/>
      <c r="I44" s="640"/>
      <c r="J44" s="648"/>
      <c r="K44" s="642"/>
      <c r="L44" s="640"/>
      <c r="M44" s="343" t="s">
        <v>319</v>
      </c>
      <c r="N44" s="650"/>
      <c r="O44" s="198">
        <v>35</v>
      </c>
      <c r="P44" s="644"/>
      <c r="Q44" s="642"/>
      <c r="R44" s="198">
        <v>103</v>
      </c>
      <c r="S44" s="644"/>
      <c r="T44" s="642"/>
      <c r="U44" s="198">
        <v>35</v>
      </c>
      <c r="V44" s="644"/>
      <c r="W44" s="642"/>
      <c r="X44" s="198">
        <v>106</v>
      </c>
      <c r="Y44" s="644"/>
      <c r="Z44" s="642"/>
      <c r="AA44" s="198">
        <v>36</v>
      </c>
      <c r="AB44" s="644"/>
      <c r="AC44" s="642"/>
      <c r="AD44" s="198">
        <v>109</v>
      </c>
      <c r="AE44" s="644"/>
      <c r="AF44" s="642"/>
      <c r="AG44" s="198"/>
      <c r="AH44" s="644"/>
      <c r="AI44" s="642"/>
      <c r="AJ44" s="198"/>
      <c r="AK44" s="644"/>
      <c r="AL44" s="642"/>
      <c r="AM44" s="640"/>
      <c r="AN44" s="638"/>
      <c r="AO44" s="636"/>
      <c r="AP44" s="638"/>
      <c r="AV44" s="206"/>
      <c r="AW44" s="206"/>
      <c r="AX44" s="206"/>
      <c r="AY44" s="342"/>
      <c r="AZ44" s="572"/>
      <c r="BB44" s="206"/>
    </row>
    <row r="45" spans="1:56" s="232" customFormat="1" ht="30" customHeight="1" x14ac:dyDescent="0.3">
      <c r="A45" s="645">
        <v>19</v>
      </c>
      <c r="B45" s="639" t="s">
        <v>3066</v>
      </c>
      <c r="C45" s="639" t="s">
        <v>765</v>
      </c>
      <c r="D45" s="639"/>
      <c r="E45" s="639" t="s">
        <v>8052</v>
      </c>
      <c r="F45" s="198">
        <v>38</v>
      </c>
      <c r="G45" s="643">
        <f t="shared" ref="G45" ca="1" si="168">IF(OR(INDIRECT("'update Helper'!D"&amp;BA45)=0,F45&lt;&gt;0,F46&lt;&gt;0),IF(IFERROR((F45/F46),"")="","",(F45/F46)),INDIRECT("'update Helper'!D"&amp;BA45)/100)</f>
        <v>0.2360248447204969</v>
      </c>
      <c r="H45" s="641">
        <v>2019</v>
      </c>
      <c r="I45" s="639" t="s">
        <v>8059</v>
      </c>
      <c r="J45" s="647" t="str">
        <f>AQ45</f>
        <v/>
      </c>
      <c r="K45" s="641" t="s">
        <v>444</v>
      </c>
      <c r="L45" s="639" t="s">
        <v>3804</v>
      </c>
      <c r="M45" s="199" t="s">
        <v>1358</v>
      </c>
      <c r="N45" s="649" t="s">
        <v>889</v>
      </c>
      <c r="O45" s="198">
        <v>55.814000000000007</v>
      </c>
      <c r="P45" s="643">
        <f t="shared" ref="P45" ca="1" si="169">IF(OR(INDIRECT("'update Helper'!I"&amp;BB45)=0,O45&lt;&gt;0,O46&lt;&gt;0),IF(IFERROR((O45/O46),"")="","",(O45/O46)),INDIRECT("'update Helper'!I"&amp;BB45)/100)</f>
        <v>0.11800000000000002</v>
      </c>
      <c r="Q45" s="641"/>
      <c r="R45" s="198">
        <v>111.62800000000001</v>
      </c>
      <c r="S45" s="643">
        <f t="shared" ref="S45" ca="1" si="170">IF(OR(INDIRECT("'update Helper'!I"&amp;BB45+1)=0,R45&lt;&gt;0,R46&lt;&gt;0),IF(IFERROR((R45/R46),"")="","",(R45/R46)),INDIRECT("'update Helper'!I"&amp;BB45+1)/100)</f>
        <v>0.23600000000000004</v>
      </c>
      <c r="T45" s="641"/>
      <c r="U45" s="198">
        <v>57.230000000000004</v>
      </c>
      <c r="V45" s="643">
        <f t="shared" ref="V45" ca="1" si="171">IF(OR(INDIRECT("'update Helper'!I"&amp;BB45+2)=0,U45&lt;&gt;0,U46&lt;&gt;0),IF(IFERROR((U45/U46),"")="","",(U45/U46)),INDIRECT("'update Helper'!I"&amp;BB45+2)/100)</f>
        <v>0.11800000000000001</v>
      </c>
      <c r="W45" s="641"/>
      <c r="X45" s="198">
        <v>114.46000000000001</v>
      </c>
      <c r="Y45" s="643">
        <f t="shared" ref="Y45" ca="1" si="172">IF(A45=INDIRECT("'update Helper'!F"&amp;$BB45+3),IF(OR(INDIRECT("'update Helper'!I"&amp;BB45+3)=0,X45&lt;&gt;0,X46&lt;&gt;0),IF(IFERROR((X45/X46),"")="","",(X45/X46)),INDIRECT("'update Helper'!I"&amp;BB45+3)/100),"")</f>
        <v>0.23600000000000002</v>
      </c>
      <c r="Z45" s="641"/>
      <c r="AA45" s="198">
        <v>58.646000000000001</v>
      </c>
      <c r="AB45" s="643">
        <f t="shared" ref="AB45" ca="1" si="173">IF(A45=INDIRECT("'update Helper'!F"&amp;$BB45+4),IF(OR(INDIRECT("'update Helper'!I"&amp;BB45+4)=0,AA45&lt;&gt;0,AA46&lt;&gt;0),IF(IFERROR((AA45/AA46),"")="","",(AA45/AA46)),INDIRECT("'update Helper'!I"&amp;BB45+4)/100),"")</f>
        <v>0.11800000000000001</v>
      </c>
      <c r="AC45" s="641"/>
      <c r="AD45" s="198">
        <v>117.292</v>
      </c>
      <c r="AE45" s="643">
        <f t="shared" ref="AE45" ca="1" si="174">IF(A45=INDIRECT("'update Helper'!F"&amp;$BB45+5),IF(A45=INDIRECT("'update Helper'!F"&amp;$BB45+5),IF(OR(INDIRECT("'update Helper'!I"&amp;BB45+5)=0,AD45&lt;&gt;0,AD46&lt;&gt;0),IF(IFERROR((AD45/AD46),"")="","",(AD45/AD46)),INDIRECT("'update Helper'!I"&amp;BB45+5)/100),""),"")</f>
        <v>0.23600000000000002</v>
      </c>
      <c r="AF45" s="641"/>
      <c r="AG45" s="198"/>
      <c r="AH45" s="643" t="str">
        <f t="shared" ref="AH45" ca="1" si="175">IF(A45=INDIRECT("'update Helper'!F"&amp;$BB45+6),IF(OR(INDIRECT("'update Helper'!I"&amp;BB45+6)=0,AG45&lt;&gt;0,AG46&lt;&gt;0),IF(IFERROR((AG45/AG46),"")="","",(AG45/AG46)),INDIRECT("'update Helper'!I"&amp;BB45+6)/100),"")</f>
        <v/>
      </c>
      <c r="AI45" s="641"/>
      <c r="AJ45" s="198"/>
      <c r="AK45" s="643" t="str">
        <f t="shared" ref="AK45" ca="1" si="176">IF(A45=INDIRECT("'update Helper'!F"&amp;$BB45+6),IF(OR(INDIRECT("'update Helper'!I"&amp;BB45+7)=0,AJ45&lt;&gt;0,AJ46&lt;&gt;0),IF(IFERROR((AJ45/AJ46),"")="","",(AJ45/AJ46)),INDIRECT("'update Helper'!I"&amp;BB45+7)/100),"")</f>
        <v/>
      </c>
      <c r="AL45" s="641"/>
      <c r="AM45" s="639" t="s">
        <v>8079</v>
      </c>
      <c r="AN45" s="665" t="s">
        <v>8086</v>
      </c>
      <c r="AO45" s="635" t="s">
        <v>8090</v>
      </c>
      <c r="AP45" s="665" t="s">
        <v>8109</v>
      </c>
      <c r="AQ45" s="232" t="str">
        <f t="array" ref="AQ45">IFERROR(IF(INDEX('Reference Records'!$D$61:$D$120,MATCH(LEFT(D45,255),LEFT('Reference Records'!$C$61:$C$120,255),0))=0,"",INDEX('Reference Records'!$D$61:$D$120,MATCH(LEFT(D45,255),LEFT('Reference Records'!$C$61:$C$120,255),0))),"")</f>
        <v/>
      </c>
      <c r="AR45" s="191" t="str">
        <f t="array" ref="AR45">VLOOKUP(LEFT(D45,255),LEFT('Reference Records'!C$60:G271,255),4,0)</f>
        <v/>
      </c>
      <c r="AS45" s="191" t="e">
        <f>MATCH(AR45,'Reference Records'!$F$509:$F$569,0)+ROW(PopulationByCoverage)-1</f>
        <v>#N/A</v>
      </c>
      <c r="AT45" s="191" t="e">
        <f>MATCH(AR45,'Reference Records'!$F$509:$F$569,1)+ROW(PopulationByCoverage)-1</f>
        <v>#N/A</v>
      </c>
      <c r="AU45" s="232" t="str">
        <f>D45&amp;E45</f>
        <v>Pourcentage de PVVIH et population clés bénéfciant d'assistance juridique et/ou judiciaire</v>
      </c>
      <c r="AV45" s="206" t="str">
        <f>IFERROR(IF(VLOOKUP(D45,'Reference Records'!$C$1:$K$594,9,0)=0,"",_xlfn.CONCAT(VLOOKUP(D45,'Reference Records'!$C$1:$K$594,9,0),";")),"")</f>
        <v/>
      </c>
      <c r="AW45" s="206" t="str">
        <f>CLEAN(IFERROR(LEFT(AV45, SEARCH(";",AV45,1)-1),""))</f>
        <v/>
      </c>
      <c r="AX45" s="206" t="str">
        <f>SUBSTITUTE(IFERROR(MID(AV45, SEARCH(";",AV45) + 1, SEARCH(";",AV45,SEARCH(";",AV45)+1) - SEARCH(";",AV45) - 1),""),CHAR(10),"")</f>
        <v/>
      </c>
      <c r="AY45" s="342" t="str">
        <f>CLEAN(IFERROR(SUBSTITUTE(RIGHT(AV45,LEN(AV45) - SEARCH(";", AV45, SEARCH(";",AV45) + 1)),";",""),""))</f>
        <v/>
      </c>
      <c r="AZ45" s="572" t="str">
        <f>IFERROR(IF(VLOOKUP(B45,'Reference Records'!$F$123:$N$157,9,FALSE)=0,"",VLOOKUP(B45,'Reference Records'!$F$123:$N$157,9,FALSE)),"")</f>
        <v>MCI-00652</v>
      </c>
      <c r="BA45" s="232">
        <f t="shared" si="140"/>
        <v>464</v>
      </c>
      <c r="BB45" s="359">
        <f ca="1">BB43+'update Helper'!$Y$2</f>
        <v>620</v>
      </c>
      <c r="BD45" s="232" t="str">
        <f ca="1">IF(INDIRECT("'update Helper'!S"&amp;BA45)=0,"",IFERROR(VLOOKUP(INDIRECT("'update Helper'!U"&amp;BA45),'Account Role'!A$1:B$28,2,0), IFERROR(VLOOKUP(INDIRECT("'update Helper'!AD"&amp;BA45),'Overview - Section A'!J$25:P$90,7,0),"")))</f>
        <v/>
      </c>
    </row>
    <row r="46" spans="1:56" s="232" customFormat="1" ht="30" customHeight="1" x14ac:dyDescent="0.3">
      <c r="A46" s="646"/>
      <c r="B46" s="640"/>
      <c r="C46" s="640"/>
      <c r="D46" s="640"/>
      <c r="E46" s="640"/>
      <c r="F46" s="198">
        <v>161</v>
      </c>
      <c r="G46" s="644"/>
      <c r="H46" s="642"/>
      <c r="I46" s="640"/>
      <c r="J46" s="648"/>
      <c r="K46" s="642"/>
      <c r="L46" s="640"/>
      <c r="M46" s="343" t="s">
        <v>319</v>
      </c>
      <c r="N46" s="650"/>
      <c r="O46" s="198">
        <v>473</v>
      </c>
      <c r="P46" s="644"/>
      <c r="Q46" s="642"/>
      <c r="R46" s="198">
        <v>473</v>
      </c>
      <c r="S46" s="644"/>
      <c r="T46" s="642"/>
      <c r="U46" s="198">
        <v>485</v>
      </c>
      <c r="V46" s="644"/>
      <c r="W46" s="642"/>
      <c r="X46" s="198">
        <v>485</v>
      </c>
      <c r="Y46" s="644"/>
      <c r="Z46" s="642"/>
      <c r="AA46" s="198">
        <v>497</v>
      </c>
      <c r="AB46" s="644"/>
      <c r="AC46" s="642"/>
      <c r="AD46" s="198">
        <v>497</v>
      </c>
      <c r="AE46" s="644"/>
      <c r="AF46" s="642"/>
      <c r="AG46" s="198"/>
      <c r="AH46" s="644"/>
      <c r="AI46" s="642"/>
      <c r="AJ46" s="198"/>
      <c r="AK46" s="644"/>
      <c r="AL46" s="642"/>
      <c r="AM46" s="640"/>
      <c r="AN46" s="636"/>
      <c r="AO46" s="636"/>
      <c r="AP46" s="636"/>
      <c r="AV46" s="206"/>
      <c r="AW46" s="206"/>
      <c r="AX46" s="206"/>
      <c r="AY46" s="342"/>
      <c r="AZ46" s="572"/>
      <c r="BB46" s="206"/>
    </row>
    <row r="47" spans="1:56" s="232" customFormat="1" ht="30" customHeight="1" x14ac:dyDescent="0.3">
      <c r="A47" s="645">
        <v>20</v>
      </c>
      <c r="B47" s="639" t="s">
        <v>3027</v>
      </c>
      <c r="C47" s="639" t="s">
        <v>765</v>
      </c>
      <c r="D47" s="639"/>
      <c r="E47" s="639" t="s">
        <v>8053</v>
      </c>
      <c r="F47" s="198">
        <v>64820</v>
      </c>
      <c r="G47" s="643">
        <f t="shared" ref="G47" ca="1" si="177">IF(OR(INDIRECT("'update Helper'!D"&amp;BA47)=0,F47&lt;&gt;0,F48&lt;&gt;0),IF(IFERROR((F47/F48),"")="","",(F47/F48)),INDIRECT("'update Helper'!D"&amp;BA47)/100)</f>
        <v>0.21103889310809798</v>
      </c>
      <c r="H47" s="641">
        <v>2019</v>
      </c>
      <c r="I47" s="639" t="s">
        <v>8059</v>
      </c>
      <c r="J47" s="647" t="str">
        <f>AQ47</f>
        <v/>
      </c>
      <c r="K47" s="641" t="s">
        <v>444</v>
      </c>
      <c r="L47" s="639" t="s">
        <v>3804</v>
      </c>
      <c r="M47" s="199" t="s">
        <v>1358</v>
      </c>
      <c r="N47" s="649" t="s">
        <v>889</v>
      </c>
      <c r="O47" s="198">
        <v>34918.845000000001</v>
      </c>
      <c r="P47" s="643">
        <f t="shared" ref="P47" ca="1" si="178">IF(OR(INDIRECT("'update Helper'!I"&amp;BB47)=0,O47&lt;&gt;0,O48&lt;&gt;0),IF(IFERROR((O47/O48),"")="","",(O47/O48)),INDIRECT("'update Helper'!I"&amp;BB47)/100)</f>
        <v>0.15</v>
      </c>
      <c r="Q47" s="641"/>
      <c r="R47" s="198">
        <v>69837.69</v>
      </c>
      <c r="S47" s="643">
        <f t="shared" ref="S47" ca="1" si="179">IF(OR(INDIRECT("'update Helper'!I"&amp;BB47+1)=0,R47&lt;&gt;0,R48&lt;&gt;0),IF(IFERROR((R47/R48),"")="","",(R47/R48)),INDIRECT("'update Helper'!I"&amp;BB47+1)/100)</f>
        <v>0.3</v>
      </c>
      <c r="T47" s="641"/>
      <c r="U47" s="198">
        <v>35826.725999999995</v>
      </c>
      <c r="V47" s="643">
        <f t="shared" ref="V47" ca="1" si="180">IF(OR(INDIRECT("'update Helper'!I"&amp;BB47+2)=0,U47&lt;&gt;0,U48&lt;&gt;0),IF(IFERROR((U47/U48),"")="","",(U47/U48)),INDIRECT("'update Helper'!I"&amp;BB47+2)/100)</f>
        <v>0.15</v>
      </c>
      <c r="W47" s="641"/>
      <c r="X47" s="198">
        <v>71653.45199999999</v>
      </c>
      <c r="Y47" s="643">
        <f t="shared" ref="Y47" ca="1" si="181">IF(A47=INDIRECT("'update Helper'!F"&amp;$BB47+3),IF(OR(INDIRECT("'update Helper'!I"&amp;BB47+3)=0,X47&lt;&gt;0,X48&lt;&gt;0),IF(IFERROR((X47/X48),"")="","",(X47/X48)),INDIRECT("'update Helper'!I"&amp;BB47+3)/100),"")</f>
        <v>0.3</v>
      </c>
      <c r="Z47" s="641"/>
      <c r="AA47" s="198">
        <v>36758.241000000002</v>
      </c>
      <c r="AB47" s="643">
        <f t="shared" ref="AB47" ca="1" si="182">IF(A47=INDIRECT("'update Helper'!F"&amp;$BB47+4),IF(OR(INDIRECT("'update Helper'!I"&amp;BB47+4)=0,AA47&lt;&gt;0,AA48&lt;&gt;0),IF(IFERROR((AA47/AA48),"")="","",(AA47/AA48)),INDIRECT("'update Helper'!I"&amp;BB47+4)/100),"")</f>
        <v>0.15</v>
      </c>
      <c r="AC47" s="641"/>
      <c r="AD47" s="198">
        <v>73516.482000000004</v>
      </c>
      <c r="AE47" s="643">
        <f t="shared" ref="AE47" ca="1" si="183">IF(A47=INDIRECT("'update Helper'!F"&amp;$BB47+5),IF(A47=INDIRECT("'update Helper'!F"&amp;$BB47+5),IF(OR(INDIRECT("'update Helper'!I"&amp;BB47+5)=0,AD47&lt;&gt;0,AD48&lt;&gt;0),IF(IFERROR((AD47/AD48),"")="","",(AD47/AD48)),INDIRECT("'update Helper'!I"&amp;BB47+5)/100),""),"")</f>
        <v>0.3</v>
      </c>
      <c r="AF47" s="641"/>
      <c r="AG47" s="198"/>
      <c r="AH47" s="643" t="str">
        <f t="shared" ref="AH47" ca="1" si="184">IF(A47=INDIRECT("'update Helper'!F"&amp;$BB47+6),IF(OR(INDIRECT("'update Helper'!I"&amp;BB47+6)=0,AG47&lt;&gt;0,AG48&lt;&gt;0),IF(IFERROR((AG47/AG48),"")="","",(AG47/AG48)),INDIRECT("'update Helper'!I"&amp;BB47+6)/100),"")</f>
        <v/>
      </c>
      <c r="AI47" s="641"/>
      <c r="AJ47" s="198"/>
      <c r="AK47" s="643" t="str">
        <f t="shared" ref="AK47" ca="1" si="185">IF(A47=INDIRECT("'update Helper'!F"&amp;$BB47+6),IF(OR(INDIRECT("'update Helper'!I"&amp;BB47+7)=0,AJ47&lt;&gt;0,AJ48&lt;&gt;0),IF(IFERROR((AJ47/AJ48),"")="","",(AJ47/AJ48)),INDIRECT("'update Helper'!I"&amp;BB47+7)/100),"")</f>
        <v/>
      </c>
      <c r="AL47" s="641"/>
      <c r="AM47" s="639" t="s">
        <v>8080</v>
      </c>
      <c r="AN47" s="637" t="s">
        <v>8087</v>
      </c>
      <c r="AO47" s="635" t="s">
        <v>8090</v>
      </c>
      <c r="AP47" s="637" t="s">
        <v>8110</v>
      </c>
      <c r="AQ47" s="232" t="str">
        <f t="array" ref="AQ47">IFERROR(IF(INDEX('Reference Records'!$D$61:$D$120,MATCH(LEFT(D47,255),LEFT('Reference Records'!$C$61:$C$120,255),0))=0,"",INDEX('Reference Records'!$D$61:$D$120,MATCH(LEFT(D47,255),LEFT('Reference Records'!$C$61:$C$120,255),0))),"")</f>
        <v/>
      </c>
      <c r="AR47" s="191" t="str">
        <f t="array" ref="AR47">VLOOKUP(LEFT(D47,255),LEFT('Reference Records'!C$60:G318,255),4,0)</f>
        <v/>
      </c>
      <c r="AS47" s="191" t="e">
        <f>MATCH(AR47,'Reference Records'!$F$509:$F$569,0)+ROW(PopulationByCoverage)-1</f>
        <v>#N/A</v>
      </c>
      <c r="AT47" s="191" t="e">
        <f>MATCH(AR47,'Reference Records'!$F$509:$F$569,1)+ROW(PopulationByCoverage)-1</f>
        <v>#N/A</v>
      </c>
      <c r="AU47" s="232" t="str">
        <f>D47&amp;E47</f>
        <v xml:space="preserve">Pourcentage des Hommes âgés de 25 ans et plus dépistés pour le VIH et ayant reçu le résultat du test chaque année </v>
      </c>
      <c r="AV47" s="206" t="str">
        <f>IFERROR(IF(VLOOKUP(D47,'Reference Records'!$C$1:$K$594,9,0)=0,"",_xlfn.CONCAT(VLOOKUP(D47,'Reference Records'!$C$1:$K$594,9,0),";")),"")</f>
        <v/>
      </c>
      <c r="AW47" s="206" t="str">
        <f>CLEAN(IFERROR(LEFT(AV47, SEARCH(";",AV47,1)-1),""))</f>
        <v/>
      </c>
      <c r="AX47" s="206" t="str">
        <f>SUBSTITUTE(IFERROR(MID(AV47, SEARCH(";",AV47) + 1, SEARCH(";",AV47,SEARCH(";",AV47)+1) - SEARCH(";",AV47) - 1),""),CHAR(10),"")</f>
        <v/>
      </c>
      <c r="AY47" s="342" t="str">
        <f>CLEAN(IFERROR(SUBSTITUTE(RIGHT(AV47,LEN(AV47) - SEARCH(";", AV47, SEARCH(";",AV47) + 1)),";",""),""))</f>
        <v/>
      </c>
      <c r="AZ47" s="572" t="str">
        <f>IFERROR(IF(VLOOKUP(B47,'Reference Records'!$F$123:$N$157,9,FALSE)=0,"",VLOOKUP(B47,'Reference Records'!$F$123:$N$157,9,FALSE)),"")</f>
        <v>MCI-00650</v>
      </c>
      <c r="BA47" s="232">
        <f t="shared" si="140"/>
        <v>465</v>
      </c>
      <c r="BB47" s="359">
        <f ca="1">BB45+'update Helper'!$Y$2</f>
        <v>626</v>
      </c>
      <c r="BD47" s="232" t="str">
        <f ca="1">IF(INDIRECT("'update Helper'!S"&amp;BA47)=0,"",IFERROR(VLOOKUP(INDIRECT("'update Helper'!U"&amp;BA47),'Account Role'!A$1:B$28,2,0), IFERROR(VLOOKUP(INDIRECT("'update Helper'!AD"&amp;BA47),'Overview - Section A'!J$25:P$90,7,0),"")))</f>
        <v/>
      </c>
    </row>
    <row r="48" spans="1:56" s="232" customFormat="1" ht="30" customHeight="1" x14ac:dyDescent="0.3">
      <c r="A48" s="646"/>
      <c r="B48" s="640"/>
      <c r="C48" s="640"/>
      <c r="D48" s="640"/>
      <c r="E48" s="640"/>
      <c r="F48" s="198">
        <v>307147.17579000007</v>
      </c>
      <c r="G48" s="644"/>
      <c r="H48" s="642"/>
      <c r="I48" s="640"/>
      <c r="J48" s="648"/>
      <c r="K48" s="642"/>
      <c r="L48" s="640"/>
      <c r="M48" s="343" t="s">
        <v>319</v>
      </c>
      <c r="N48" s="650"/>
      <c r="O48" s="198">
        <v>232792.30000000002</v>
      </c>
      <c r="P48" s="644"/>
      <c r="Q48" s="642"/>
      <c r="R48" s="198">
        <v>232792.30000000002</v>
      </c>
      <c r="S48" s="644"/>
      <c r="T48" s="642"/>
      <c r="U48" s="198">
        <v>238844.84</v>
      </c>
      <c r="V48" s="644"/>
      <c r="W48" s="642"/>
      <c r="X48" s="198">
        <v>238844.84</v>
      </c>
      <c r="Y48" s="644"/>
      <c r="Z48" s="642"/>
      <c r="AA48" s="198">
        <v>245054.94</v>
      </c>
      <c r="AB48" s="644"/>
      <c r="AC48" s="642"/>
      <c r="AD48" s="198">
        <v>245054.94</v>
      </c>
      <c r="AE48" s="644"/>
      <c r="AF48" s="642"/>
      <c r="AG48" s="198"/>
      <c r="AH48" s="644"/>
      <c r="AI48" s="642"/>
      <c r="AJ48" s="198"/>
      <c r="AK48" s="644"/>
      <c r="AL48" s="642"/>
      <c r="AM48" s="640"/>
      <c r="AN48" s="638"/>
      <c r="AO48" s="636"/>
      <c r="AP48" s="638"/>
      <c r="AV48" s="206"/>
      <c r="AW48" s="206"/>
      <c r="AX48" s="206"/>
      <c r="AY48" s="342"/>
      <c r="AZ48" s="572"/>
      <c r="BB48" s="206"/>
    </row>
    <row r="49" spans="1:56" s="232" customFormat="1" ht="30" customHeight="1" x14ac:dyDescent="0.3">
      <c r="A49" s="645">
        <v>21</v>
      </c>
      <c r="B49" s="639"/>
      <c r="C49" s="639"/>
      <c r="D49" s="639"/>
      <c r="E49" s="639"/>
      <c r="F49" s="198"/>
      <c r="G49" s="643" t="str">
        <f t="shared" ref="G49" ca="1" si="186">IF(OR(INDIRECT("'update Helper'!D"&amp;BA49)=0,F49&lt;&gt;0,F50&lt;&gt;0),IF(IFERROR((F49/F50),"")="","",(F49/F50)),INDIRECT("'update Helper'!D"&amp;BA49)/100)</f>
        <v/>
      </c>
      <c r="H49" s="641"/>
      <c r="I49" s="639"/>
      <c r="J49" s="647" t="str">
        <f>AQ49</f>
        <v/>
      </c>
      <c r="K49" s="641"/>
      <c r="L49" s="639"/>
      <c r="M49" s="199"/>
      <c r="N49" s="649"/>
      <c r="O49" s="198" t="str">
        <f t="shared" ref="O49" ca="1" si="187">IF(A49=INDIRECT("'update Helper'!F"&amp;$BB49),IF(INDIRECT("'update Helper'!K"&amp;BB49)=0,"",INDIRECT("'update Helper'!K"&amp;BB49)),"")</f>
        <v/>
      </c>
      <c r="P49" s="643" t="str">
        <f t="shared" ref="P49" ca="1" si="188">IF(OR(INDIRECT("'update Helper'!I"&amp;BB49)=0,O49&lt;&gt;0,O50&lt;&gt;0),IF(IFERROR((O49/O50),"")="","",(O49/O50)),INDIRECT("'update Helper'!I"&amp;BB49)/100)</f>
        <v/>
      </c>
      <c r="Q49" s="641"/>
      <c r="R49" s="198"/>
      <c r="S49" s="643" t="str">
        <f t="shared" ref="S49" ca="1" si="189">IF(OR(INDIRECT("'update Helper'!I"&amp;BB49+1)=0,R49&lt;&gt;0,R50&lt;&gt;0),IF(IFERROR((R49/R50),"")="","",(R49/R50)),INDIRECT("'update Helper'!I"&amp;BB49+1)/100)</f>
        <v/>
      </c>
      <c r="T49" s="641"/>
      <c r="U49" s="198"/>
      <c r="V49" s="643" t="str">
        <f t="shared" ref="V49" ca="1" si="190">IF(OR(INDIRECT("'update Helper'!I"&amp;BB49+2)=0,U49&lt;&gt;0,U50&lt;&gt;0),IF(IFERROR((U49/U50),"")="","",(U49/U50)),INDIRECT("'update Helper'!I"&amp;BB49+2)/100)</f>
        <v/>
      </c>
      <c r="W49" s="641"/>
      <c r="X49" s="198"/>
      <c r="Y49" s="643" t="str">
        <f t="shared" ref="Y49" ca="1" si="191">IF(A49=INDIRECT("'update Helper'!F"&amp;$BB49+3),IF(OR(INDIRECT("'update Helper'!I"&amp;BB49+3)=0,X49&lt;&gt;0,X50&lt;&gt;0),IF(IFERROR((X49/X50),"")="","",(X49/X50)),INDIRECT("'update Helper'!I"&amp;BB49+3)/100),"")</f>
        <v/>
      </c>
      <c r="Z49" s="641"/>
      <c r="AA49" s="198"/>
      <c r="AB49" s="643" t="str">
        <f t="shared" ref="AB49" ca="1" si="192">IF(A49=INDIRECT("'update Helper'!F"&amp;$BB49+4),IF(OR(INDIRECT("'update Helper'!I"&amp;BB49+4)=0,AA49&lt;&gt;0,AA50&lt;&gt;0),IF(IFERROR((AA49/AA50),"")="","",(AA49/AA50)),INDIRECT("'update Helper'!I"&amp;BB49+4)/100),"")</f>
        <v/>
      </c>
      <c r="AC49" s="641"/>
      <c r="AD49" s="198"/>
      <c r="AE49" s="643" t="str">
        <f t="shared" ref="AE49" ca="1" si="193">IF(A49=INDIRECT("'update Helper'!F"&amp;$BB49+5),IF(A49=INDIRECT("'update Helper'!F"&amp;$BB49+5),IF(OR(INDIRECT("'update Helper'!I"&amp;BB49+5)=0,AD49&lt;&gt;0,AD50&lt;&gt;0),IF(IFERROR((AD49/AD50),"")="","",(AD49/AD50)),INDIRECT("'update Helper'!I"&amp;BB49+5)/100),""),"")</f>
        <v/>
      </c>
      <c r="AF49" s="641"/>
      <c r="AG49" s="198"/>
      <c r="AH49" s="643" t="str">
        <f t="shared" ref="AH49" ca="1" si="194">IF(A49=INDIRECT("'update Helper'!F"&amp;$BB49+6),IF(OR(INDIRECT("'update Helper'!I"&amp;BB49+6)=0,AG49&lt;&gt;0,AG50&lt;&gt;0),IF(IFERROR((AG49/AG50),"")="","",(AG49/AG50)),INDIRECT("'update Helper'!I"&amp;BB49+6)/100),"")</f>
        <v/>
      </c>
      <c r="AI49" s="641"/>
      <c r="AJ49" s="198"/>
      <c r="AK49" s="643" t="str">
        <f t="shared" ref="AK49" ca="1" si="195">IF(A49=INDIRECT("'update Helper'!F"&amp;$BB49+6),IF(OR(INDIRECT("'update Helper'!I"&amp;BB49+7)=0,AJ49&lt;&gt;0,AJ50&lt;&gt;0),IF(IFERROR((AJ49/AJ50),"")="","",(AJ49/AJ50)),INDIRECT("'update Helper'!I"&amp;BB49+7)/100),"")</f>
        <v/>
      </c>
      <c r="AL49" s="641"/>
      <c r="AM49" s="639"/>
      <c r="AN49" s="639"/>
      <c r="AO49" s="639"/>
      <c r="AP49" s="639"/>
      <c r="AQ49" s="232" t="str">
        <f t="array" ref="AQ49">IFERROR(IF(INDEX('Reference Records'!$D$61:$D$120,MATCH(LEFT(D49,255),LEFT('Reference Records'!$C$61:$C$120,255),0))=0,"",INDEX('Reference Records'!$D$61:$D$120,MATCH(LEFT(D49,255),LEFT('Reference Records'!$C$61:$C$120,255),0))),"")</f>
        <v/>
      </c>
      <c r="AR49" s="191" t="str">
        <f t="array" ref="AR49">VLOOKUP(LEFT(D49,255),LEFT('Reference Records'!C$60:G320,255),4,0)</f>
        <v/>
      </c>
      <c r="AS49" s="191" t="e">
        <f>MATCH(AR49,'Reference Records'!$F$509:$F$569,0)+ROW(PopulationByCoverage)-1</f>
        <v>#N/A</v>
      </c>
      <c r="AT49" s="191" t="e">
        <f>MATCH(AR49,'Reference Records'!$F$509:$F$569,1)+ROW(PopulationByCoverage)-1</f>
        <v>#N/A</v>
      </c>
      <c r="AU49" s="232" t="str">
        <f>D49&amp;E49</f>
        <v/>
      </c>
      <c r="AV49" s="206" t="str">
        <f>IFERROR(IF(VLOOKUP(D49,'Reference Records'!$C$1:$K$594,9,0)=0,"",_xlfn.CONCAT(VLOOKUP(D49,'Reference Records'!$C$1:$K$594,9,0),";")),"")</f>
        <v/>
      </c>
      <c r="AW49" s="206" t="str">
        <f>CLEAN(IFERROR(LEFT(AV49, SEARCH(";",AV49,1)-1),""))</f>
        <v/>
      </c>
      <c r="AX49" s="206" t="str">
        <f>SUBSTITUTE(IFERROR(MID(AV49, SEARCH(";",AV49) + 1, SEARCH(";",AV49,SEARCH(";",AV49)+1) - SEARCH(";",AV49) - 1),""),CHAR(10),"")</f>
        <v/>
      </c>
      <c r="AY49" s="342" t="str">
        <f>CLEAN(IFERROR(SUBSTITUTE(RIGHT(AV49,LEN(AV49) - SEARCH(";", AV49, SEARCH(";",AV49) + 1)),";",""),""))</f>
        <v/>
      </c>
      <c r="AZ49" s="572" t="str">
        <f>IFERROR(IF(VLOOKUP(B49,'Reference Records'!$F$123:$N$157,9,FALSE)=0,"",VLOOKUP(B49,'Reference Records'!$F$123:$N$157,9,FALSE)),"")</f>
        <v/>
      </c>
      <c r="BA49" s="232">
        <f t="shared" si="140"/>
        <v>466</v>
      </c>
      <c r="BB49" s="359">
        <f ca="1">BB47+'update Helper'!$Y$2</f>
        <v>632</v>
      </c>
      <c r="BD49" s="232" t="str">
        <f ca="1">IF(INDIRECT("'update Helper'!S"&amp;BA49)=0,"",IFERROR(VLOOKUP(INDIRECT("'update Helper'!U"&amp;BA49),'Account Role'!A$1:B$28,2,0), IFERROR(VLOOKUP(INDIRECT("'update Helper'!AD"&amp;BA49),'Overview - Section A'!J$25:P$90,7,0),"")))</f>
        <v/>
      </c>
    </row>
    <row r="50" spans="1:56" s="232" customFormat="1" ht="30" customHeight="1" x14ac:dyDescent="0.3">
      <c r="A50" s="646"/>
      <c r="B50" s="640"/>
      <c r="C50" s="640"/>
      <c r="D50" s="640"/>
      <c r="E50" s="640"/>
      <c r="F50" s="198"/>
      <c r="G50" s="644"/>
      <c r="H50" s="642"/>
      <c r="I50" s="640"/>
      <c r="J50" s="648"/>
      <c r="K50" s="642"/>
      <c r="L50" s="640"/>
      <c r="M50" s="343"/>
      <c r="N50" s="650"/>
      <c r="O50" s="198" t="str">
        <f t="shared" ref="O50" ca="1" si="196">IF(A49=INDIRECT("'update Helper'!F"&amp;$BB49),IF(INDIRECT("'update Helper'!J"&amp;BB49)=0,"",INDIRECT("'update Helper'!J"&amp;BB49)),"")</f>
        <v/>
      </c>
      <c r="P50" s="644"/>
      <c r="Q50" s="642"/>
      <c r="R50" s="198"/>
      <c r="S50" s="644"/>
      <c r="T50" s="642"/>
      <c r="U50" s="198"/>
      <c r="V50" s="644"/>
      <c r="W50" s="642"/>
      <c r="X50" s="198"/>
      <c r="Y50" s="644"/>
      <c r="Z50" s="642"/>
      <c r="AA50" s="198"/>
      <c r="AB50" s="644"/>
      <c r="AC50" s="642"/>
      <c r="AD50" s="198"/>
      <c r="AE50" s="644"/>
      <c r="AF50" s="642"/>
      <c r="AG50" s="198"/>
      <c r="AH50" s="644"/>
      <c r="AI50" s="642"/>
      <c r="AJ50" s="198"/>
      <c r="AK50" s="644"/>
      <c r="AL50" s="642"/>
      <c r="AM50" s="640"/>
      <c r="AN50" s="640"/>
      <c r="AO50" s="640"/>
      <c r="AP50" s="640"/>
      <c r="AV50" s="206"/>
      <c r="AW50" s="206"/>
      <c r="AX50" s="206"/>
      <c r="AY50" s="342"/>
      <c r="AZ50" s="572"/>
      <c r="BB50" s="206"/>
    </row>
    <row r="51" spans="1:56" s="232" customFormat="1" ht="30" customHeight="1" x14ac:dyDescent="0.3">
      <c r="A51" s="645">
        <v>22</v>
      </c>
      <c r="B51" s="639"/>
      <c r="C51" s="639"/>
      <c r="D51" s="639"/>
      <c r="E51" s="639"/>
      <c r="F51" s="198"/>
      <c r="G51" s="643" t="str">
        <f t="shared" ref="G51" ca="1" si="197">IF(OR(INDIRECT("'update Helper'!D"&amp;BA51)=0,F51&lt;&gt;0,F52&lt;&gt;0),IF(IFERROR((F51/F52),"")="","",(F51/F52)),INDIRECT("'update Helper'!D"&amp;BA51)/100)</f>
        <v/>
      </c>
      <c r="H51" s="641"/>
      <c r="I51" s="639"/>
      <c r="J51" s="647" t="str">
        <f>AQ51</f>
        <v/>
      </c>
      <c r="K51" s="641"/>
      <c r="L51" s="639"/>
      <c r="M51" s="199"/>
      <c r="N51" s="649"/>
      <c r="O51" s="198" t="str">
        <f t="shared" ref="O51" ca="1" si="198">IF(A51=INDIRECT("'update Helper'!F"&amp;$BB51),IF(INDIRECT("'update Helper'!K"&amp;BB51)=0,"",INDIRECT("'update Helper'!K"&amp;BB51)),"")</f>
        <v/>
      </c>
      <c r="P51" s="643" t="str">
        <f t="shared" ref="P51" ca="1" si="199">IF(OR(INDIRECT("'update Helper'!I"&amp;BB51)=0,O51&lt;&gt;0,O52&lt;&gt;0),IF(IFERROR((O51/O52),"")="","",(O51/O52)),INDIRECT("'update Helper'!I"&amp;BB51)/100)</f>
        <v/>
      </c>
      <c r="Q51" s="641"/>
      <c r="R51" s="198"/>
      <c r="S51" s="643" t="str">
        <f t="shared" ref="S51" ca="1" si="200">IF(OR(INDIRECT("'update Helper'!I"&amp;BB51+1)=0,R51&lt;&gt;0,R52&lt;&gt;0),IF(IFERROR((R51/R52),"")="","",(R51/R52)),INDIRECT("'update Helper'!I"&amp;BB51+1)/100)</f>
        <v/>
      </c>
      <c r="T51" s="641"/>
      <c r="U51" s="198"/>
      <c r="V51" s="643" t="str">
        <f t="shared" ref="V51" ca="1" si="201">IF(OR(INDIRECT("'update Helper'!I"&amp;BB51+2)=0,U51&lt;&gt;0,U52&lt;&gt;0),IF(IFERROR((U51/U52),"")="","",(U51/U52)),INDIRECT("'update Helper'!I"&amp;BB51+2)/100)</f>
        <v/>
      </c>
      <c r="W51" s="641"/>
      <c r="X51" s="198"/>
      <c r="Y51" s="643" t="str">
        <f t="shared" ref="Y51" ca="1" si="202">IF(A51=INDIRECT("'update Helper'!F"&amp;$BB51+3),IF(OR(INDIRECT("'update Helper'!I"&amp;BB51+3)=0,X51&lt;&gt;0,X52&lt;&gt;0),IF(IFERROR((X51/X52),"")="","",(X51/X52)),INDIRECT("'update Helper'!I"&amp;BB51+3)/100),"")</f>
        <v/>
      </c>
      <c r="Z51" s="641"/>
      <c r="AA51" s="198"/>
      <c r="AB51" s="643" t="str">
        <f t="shared" ref="AB51" ca="1" si="203">IF(A51=INDIRECT("'update Helper'!F"&amp;$BB51+4),IF(OR(INDIRECT("'update Helper'!I"&amp;BB51+4)=0,AA51&lt;&gt;0,AA52&lt;&gt;0),IF(IFERROR((AA51/AA52),"")="","",(AA51/AA52)),INDIRECT("'update Helper'!I"&amp;BB51+4)/100),"")</f>
        <v/>
      </c>
      <c r="AC51" s="641"/>
      <c r="AD51" s="198"/>
      <c r="AE51" s="643" t="str">
        <f t="shared" ref="AE51" ca="1" si="204">IF(A51=INDIRECT("'update Helper'!F"&amp;$BB51+5),IF(A51=INDIRECT("'update Helper'!F"&amp;$BB51+5),IF(OR(INDIRECT("'update Helper'!I"&amp;BB51+5)=0,AD51&lt;&gt;0,AD52&lt;&gt;0),IF(IFERROR((AD51/AD52),"")="","",(AD51/AD52)),INDIRECT("'update Helper'!I"&amp;BB51+5)/100),""),"")</f>
        <v/>
      </c>
      <c r="AF51" s="641"/>
      <c r="AG51" s="198"/>
      <c r="AH51" s="643" t="str">
        <f t="shared" ref="AH51" ca="1" si="205">IF(A51=INDIRECT("'update Helper'!F"&amp;$BB51+6),IF(OR(INDIRECT("'update Helper'!I"&amp;BB51+6)=0,AG51&lt;&gt;0,AG52&lt;&gt;0),IF(IFERROR((AG51/AG52),"")="","",(AG51/AG52)),INDIRECT("'update Helper'!I"&amp;BB51+6)/100),"")</f>
        <v/>
      </c>
      <c r="AI51" s="641"/>
      <c r="AJ51" s="198"/>
      <c r="AK51" s="643" t="str">
        <f t="shared" ref="AK51" ca="1" si="206">IF(A51=INDIRECT("'update Helper'!F"&amp;$BB51+6),IF(OR(INDIRECT("'update Helper'!I"&amp;BB51+7)=0,AJ51&lt;&gt;0,AJ52&lt;&gt;0),IF(IFERROR((AJ51/AJ52),"")="","",(AJ51/AJ52)),INDIRECT("'update Helper'!I"&amp;BB51+7)/100),"")</f>
        <v/>
      </c>
      <c r="AL51" s="641"/>
      <c r="AM51" s="639"/>
      <c r="AN51" s="639"/>
      <c r="AO51" s="639"/>
      <c r="AP51" s="639"/>
      <c r="AQ51" s="232" t="str">
        <f t="array" ref="AQ51">IFERROR(IF(INDEX('Reference Records'!$D$61:$D$120,MATCH(LEFT(D51,255),LEFT('Reference Records'!$C$61:$C$120,255),0))=0,"",INDEX('Reference Records'!$D$61:$D$120,MATCH(LEFT(D51,255),LEFT('Reference Records'!$C$61:$C$120,255),0))),"")</f>
        <v/>
      </c>
      <c r="AR51" s="191" t="str">
        <f t="array" ref="AR51">VLOOKUP(LEFT(D51,255),LEFT('Reference Records'!C$60:G322,255),4,0)</f>
        <v/>
      </c>
      <c r="AS51" s="191" t="e">
        <f>MATCH(AR51,'Reference Records'!$F$509:$F$569,0)+ROW(PopulationByCoverage)-1</f>
        <v>#N/A</v>
      </c>
      <c r="AT51" s="191" t="e">
        <f>MATCH(AR51,'Reference Records'!$F$509:$F$569,1)+ROW(PopulationByCoverage)-1</f>
        <v>#N/A</v>
      </c>
      <c r="AU51" s="232" t="str">
        <f>D51&amp;E51</f>
        <v/>
      </c>
      <c r="AV51" s="206" t="str">
        <f>IFERROR(IF(VLOOKUP(D51,'Reference Records'!$C$1:$K$594,9,0)=0,"",_xlfn.CONCAT(VLOOKUP(D51,'Reference Records'!$C$1:$K$594,9,0),";")),"")</f>
        <v/>
      </c>
      <c r="AW51" s="206" t="str">
        <f>CLEAN(IFERROR(LEFT(AV51, SEARCH(";",AV51,1)-1),""))</f>
        <v/>
      </c>
      <c r="AX51" s="206" t="str">
        <f>SUBSTITUTE(IFERROR(MID(AV51, SEARCH(";",AV51) + 1, SEARCH(";",AV51,SEARCH(";",AV51)+1) - SEARCH(";",AV51) - 1),""),CHAR(10),"")</f>
        <v/>
      </c>
      <c r="AY51" s="342" t="str">
        <f>CLEAN(IFERROR(SUBSTITUTE(RIGHT(AV51,LEN(AV51) - SEARCH(";", AV51, SEARCH(";",AV51) + 1)),";",""),""))</f>
        <v/>
      </c>
      <c r="AZ51" s="572" t="str">
        <f>IFERROR(IF(VLOOKUP(B51,'Reference Records'!$F$123:$N$157,9,FALSE)=0,"",VLOOKUP(B51,'Reference Records'!$F$123:$N$157,9,FALSE)),"")</f>
        <v/>
      </c>
      <c r="BA51" s="232">
        <f t="shared" si="140"/>
        <v>467</v>
      </c>
      <c r="BB51" s="359">
        <f ca="1">BB49+'update Helper'!$Y$2</f>
        <v>638</v>
      </c>
      <c r="BD51" s="232" t="str">
        <f ca="1">IF(INDIRECT("'update Helper'!S"&amp;BA51)=0,"",IFERROR(VLOOKUP(INDIRECT("'update Helper'!U"&amp;BA51),'Account Role'!A$1:B$28,2,0), IFERROR(VLOOKUP(INDIRECT("'update Helper'!AD"&amp;BA51),'Overview - Section A'!J$25:P$90,7,0),"")))</f>
        <v/>
      </c>
    </row>
    <row r="52" spans="1:56" s="232" customFormat="1" ht="30" customHeight="1" x14ac:dyDescent="0.3">
      <c r="A52" s="646"/>
      <c r="B52" s="640"/>
      <c r="C52" s="640"/>
      <c r="D52" s="640"/>
      <c r="E52" s="640"/>
      <c r="F52" s="198"/>
      <c r="G52" s="644"/>
      <c r="H52" s="642"/>
      <c r="I52" s="640"/>
      <c r="J52" s="648"/>
      <c r="K52" s="642"/>
      <c r="L52" s="640"/>
      <c r="M52" s="343"/>
      <c r="N52" s="650"/>
      <c r="O52" s="198" t="str">
        <f t="shared" ref="O52" ca="1" si="207">IF(A51=INDIRECT("'update Helper'!F"&amp;$BB51),IF(INDIRECT("'update Helper'!J"&amp;BB51)=0,"",INDIRECT("'update Helper'!J"&amp;BB51)),"")</f>
        <v/>
      </c>
      <c r="P52" s="644"/>
      <c r="Q52" s="642"/>
      <c r="R52" s="198"/>
      <c r="S52" s="644"/>
      <c r="T52" s="642"/>
      <c r="U52" s="198"/>
      <c r="V52" s="644"/>
      <c r="W52" s="642"/>
      <c r="X52" s="198"/>
      <c r="Y52" s="644"/>
      <c r="Z52" s="642"/>
      <c r="AA52" s="198"/>
      <c r="AB52" s="644"/>
      <c r="AC52" s="642"/>
      <c r="AD52" s="198"/>
      <c r="AE52" s="644"/>
      <c r="AF52" s="642"/>
      <c r="AG52" s="198"/>
      <c r="AH52" s="644"/>
      <c r="AI52" s="642"/>
      <c r="AJ52" s="198"/>
      <c r="AK52" s="644"/>
      <c r="AL52" s="642"/>
      <c r="AM52" s="640"/>
      <c r="AN52" s="640"/>
      <c r="AO52" s="640"/>
      <c r="AP52" s="640"/>
      <c r="AV52" s="206"/>
      <c r="AW52" s="206"/>
      <c r="AX52" s="206"/>
      <c r="AY52" s="342"/>
      <c r="AZ52" s="572"/>
      <c r="BB52" s="206"/>
    </row>
    <row r="53" spans="1:56" s="232" customFormat="1" ht="30" customHeight="1" x14ac:dyDescent="0.3">
      <c r="A53" s="645">
        <v>23</v>
      </c>
      <c r="B53" s="639"/>
      <c r="C53" s="639"/>
      <c r="D53" s="639"/>
      <c r="E53" s="639"/>
      <c r="F53" s="198"/>
      <c r="G53" s="643" t="str">
        <f t="shared" ref="G53" ca="1" si="208">IF(OR(INDIRECT("'update Helper'!D"&amp;BA53)=0,F53&lt;&gt;0,F54&lt;&gt;0),IF(IFERROR((F53/F54),"")="","",(F53/F54)),INDIRECT("'update Helper'!D"&amp;BA53)/100)</f>
        <v/>
      </c>
      <c r="H53" s="641"/>
      <c r="I53" s="639"/>
      <c r="J53" s="647" t="str">
        <f>AQ53</f>
        <v/>
      </c>
      <c r="K53" s="641"/>
      <c r="L53" s="639"/>
      <c r="M53" s="199"/>
      <c r="N53" s="649"/>
      <c r="O53" s="198" t="str">
        <f t="shared" ref="O53" ca="1" si="209">IF(A53=INDIRECT("'update Helper'!F"&amp;$BB53),IF(INDIRECT("'update Helper'!K"&amp;BB53)=0,"",INDIRECT("'update Helper'!K"&amp;BB53)),"")</f>
        <v/>
      </c>
      <c r="P53" s="643" t="str">
        <f t="shared" ref="P53" ca="1" si="210">IF(OR(INDIRECT("'update Helper'!I"&amp;BB53)=0,O53&lt;&gt;0,O54&lt;&gt;0),IF(IFERROR((O53/O54),"")="","",(O53/O54)),INDIRECT("'update Helper'!I"&amp;BB53)/100)</f>
        <v/>
      </c>
      <c r="Q53" s="641"/>
      <c r="R53" s="198"/>
      <c r="S53" s="643" t="str">
        <f t="shared" ref="S53" ca="1" si="211">IF(OR(INDIRECT("'update Helper'!I"&amp;BB53+1)=0,R53&lt;&gt;0,R54&lt;&gt;0),IF(IFERROR((R53/R54),"")="","",(R53/R54)),INDIRECT("'update Helper'!I"&amp;BB53+1)/100)</f>
        <v/>
      </c>
      <c r="T53" s="641"/>
      <c r="U53" s="198"/>
      <c r="V53" s="643" t="str">
        <f t="shared" ref="V53" ca="1" si="212">IF(OR(INDIRECT("'update Helper'!I"&amp;BB53+2)=0,U53&lt;&gt;0,U54&lt;&gt;0),IF(IFERROR((U53/U54),"")="","",(U53/U54)),INDIRECT("'update Helper'!I"&amp;BB53+2)/100)</f>
        <v/>
      </c>
      <c r="W53" s="641"/>
      <c r="X53" s="198"/>
      <c r="Y53" s="643" t="str">
        <f t="shared" ref="Y53" ca="1" si="213">IF(A53=INDIRECT("'update Helper'!F"&amp;$BB53+3),IF(OR(INDIRECT("'update Helper'!I"&amp;BB53+3)=0,X53&lt;&gt;0,X54&lt;&gt;0),IF(IFERROR((X53/X54),"")="","",(X53/X54)),INDIRECT("'update Helper'!I"&amp;BB53+3)/100),"")</f>
        <v/>
      </c>
      <c r="Z53" s="641"/>
      <c r="AA53" s="198"/>
      <c r="AB53" s="643" t="str">
        <f t="shared" ref="AB53" ca="1" si="214">IF(A53=INDIRECT("'update Helper'!F"&amp;$BB53+4),IF(OR(INDIRECT("'update Helper'!I"&amp;BB53+4)=0,AA53&lt;&gt;0,AA54&lt;&gt;0),IF(IFERROR((AA53/AA54),"")="","",(AA53/AA54)),INDIRECT("'update Helper'!I"&amp;BB53+4)/100),"")</f>
        <v/>
      </c>
      <c r="AC53" s="641"/>
      <c r="AD53" s="198"/>
      <c r="AE53" s="643" t="str">
        <f t="shared" ref="AE53" ca="1" si="215">IF(A53=INDIRECT("'update Helper'!F"&amp;$BB53+5),IF(A53=INDIRECT("'update Helper'!F"&amp;$BB53+5),IF(OR(INDIRECT("'update Helper'!I"&amp;BB53+5)=0,AD53&lt;&gt;0,AD54&lt;&gt;0),IF(IFERROR((AD53/AD54),"")="","",(AD53/AD54)),INDIRECT("'update Helper'!I"&amp;BB53+5)/100),""),"")</f>
        <v/>
      </c>
      <c r="AF53" s="641"/>
      <c r="AG53" s="198"/>
      <c r="AH53" s="643" t="str">
        <f t="shared" ref="AH53" ca="1" si="216">IF(A53=INDIRECT("'update Helper'!F"&amp;$BB53+6),IF(OR(INDIRECT("'update Helper'!I"&amp;BB53+6)=0,AG53&lt;&gt;0,AG54&lt;&gt;0),IF(IFERROR((AG53/AG54),"")="","",(AG53/AG54)),INDIRECT("'update Helper'!I"&amp;BB53+6)/100),"")</f>
        <v/>
      </c>
      <c r="AI53" s="641"/>
      <c r="AJ53" s="198"/>
      <c r="AK53" s="643" t="str">
        <f t="shared" ref="AK53" ca="1" si="217">IF(A53=INDIRECT("'update Helper'!F"&amp;$BB53+6),IF(OR(INDIRECT("'update Helper'!I"&amp;BB53+7)=0,AJ53&lt;&gt;0,AJ54&lt;&gt;0),IF(IFERROR((AJ53/AJ54),"")="","",(AJ53/AJ54)),INDIRECT("'update Helper'!I"&amp;BB53+7)/100),"")</f>
        <v/>
      </c>
      <c r="AL53" s="641"/>
      <c r="AM53" s="639"/>
      <c r="AN53" s="639"/>
      <c r="AO53" s="639"/>
      <c r="AP53" s="639"/>
      <c r="AQ53" s="232" t="str">
        <f t="array" ref="AQ53">IFERROR(IF(INDEX('Reference Records'!$D$61:$D$120,MATCH(LEFT(D53,255),LEFT('Reference Records'!$C$61:$C$120,255),0))=0,"",INDEX('Reference Records'!$D$61:$D$120,MATCH(LEFT(D53,255),LEFT('Reference Records'!$C$61:$C$120,255),0))),"")</f>
        <v/>
      </c>
      <c r="AR53" s="191" t="str">
        <f t="array" ref="AR53">VLOOKUP(LEFT(D53,255),LEFT('Reference Records'!C$60:G324,255),4,0)</f>
        <v/>
      </c>
      <c r="AS53" s="191" t="e">
        <f>MATCH(AR53,'Reference Records'!$F$509:$F$569,0)+ROW(PopulationByCoverage)-1</f>
        <v>#N/A</v>
      </c>
      <c r="AT53" s="191" t="e">
        <f>MATCH(AR53,'Reference Records'!$F$509:$F$569,1)+ROW(PopulationByCoverage)-1</f>
        <v>#N/A</v>
      </c>
      <c r="AU53" s="232" t="str">
        <f>D53&amp;E53</f>
        <v/>
      </c>
      <c r="AV53" s="206" t="str">
        <f>IFERROR(IF(VLOOKUP(D53,'Reference Records'!$C$1:$K$594,9,0)=0,"",_xlfn.CONCAT(VLOOKUP(D53,'Reference Records'!$C$1:$K$594,9,0),";")),"")</f>
        <v/>
      </c>
      <c r="AW53" s="206" t="str">
        <f>CLEAN(IFERROR(LEFT(AV53, SEARCH(";",AV53,1)-1),""))</f>
        <v/>
      </c>
      <c r="AX53" s="206" t="str">
        <f>SUBSTITUTE(IFERROR(MID(AV53, SEARCH(";",AV53) + 1, SEARCH(";",AV53,SEARCH(";",AV53)+1) - SEARCH(";",AV53) - 1),""),CHAR(10),"")</f>
        <v/>
      </c>
      <c r="AY53" s="342" t="str">
        <f>CLEAN(IFERROR(SUBSTITUTE(RIGHT(AV53,LEN(AV53) - SEARCH(";", AV53, SEARCH(";",AV53) + 1)),";",""),""))</f>
        <v/>
      </c>
      <c r="AZ53" s="572" t="str">
        <f>IFERROR(IF(VLOOKUP(B53,'Reference Records'!$F$123:$N$157,9,FALSE)=0,"",VLOOKUP(B53,'Reference Records'!$F$123:$N$157,9,FALSE)),"")</f>
        <v/>
      </c>
      <c r="BA53" s="232">
        <f t="shared" si="140"/>
        <v>468</v>
      </c>
      <c r="BB53" s="359">
        <f ca="1">BB51+'update Helper'!$Y$2</f>
        <v>644</v>
      </c>
      <c r="BD53" s="232" t="str">
        <f ca="1">IF(INDIRECT("'update Helper'!S"&amp;BA53)=0,"",IFERROR(VLOOKUP(INDIRECT("'update Helper'!U"&amp;BA53),'Account Role'!A$1:B$28,2,0), IFERROR(VLOOKUP(INDIRECT("'update Helper'!AD"&amp;BA53),'Overview - Section A'!J$25:P$90,7,0),"")))</f>
        <v/>
      </c>
    </row>
    <row r="54" spans="1:56" s="232" customFormat="1" ht="30" customHeight="1" x14ac:dyDescent="0.3">
      <c r="A54" s="646"/>
      <c r="B54" s="640"/>
      <c r="C54" s="640"/>
      <c r="D54" s="640"/>
      <c r="E54" s="640"/>
      <c r="F54" s="198"/>
      <c r="G54" s="644"/>
      <c r="H54" s="642"/>
      <c r="I54" s="640"/>
      <c r="J54" s="648"/>
      <c r="K54" s="642"/>
      <c r="L54" s="640"/>
      <c r="M54" s="343"/>
      <c r="N54" s="650"/>
      <c r="O54" s="198" t="str">
        <f t="shared" ref="O54" ca="1" si="218">IF(A53=INDIRECT("'update Helper'!F"&amp;$BB53),IF(INDIRECT("'update Helper'!J"&amp;BB53)=0,"",INDIRECT("'update Helper'!J"&amp;BB53)),"")</f>
        <v/>
      </c>
      <c r="P54" s="644"/>
      <c r="Q54" s="642"/>
      <c r="R54" s="198"/>
      <c r="S54" s="644"/>
      <c r="T54" s="642"/>
      <c r="U54" s="198"/>
      <c r="V54" s="644"/>
      <c r="W54" s="642"/>
      <c r="X54" s="198"/>
      <c r="Y54" s="644"/>
      <c r="Z54" s="642"/>
      <c r="AA54" s="198"/>
      <c r="AB54" s="644"/>
      <c r="AC54" s="642"/>
      <c r="AD54" s="198"/>
      <c r="AE54" s="644"/>
      <c r="AF54" s="642"/>
      <c r="AG54" s="198"/>
      <c r="AH54" s="644"/>
      <c r="AI54" s="642"/>
      <c r="AJ54" s="198"/>
      <c r="AK54" s="644"/>
      <c r="AL54" s="642"/>
      <c r="AM54" s="640"/>
      <c r="AN54" s="640"/>
      <c r="AO54" s="640"/>
      <c r="AP54" s="640"/>
      <c r="AV54" s="206"/>
      <c r="AW54" s="206"/>
      <c r="AX54" s="206"/>
      <c r="AY54" s="342"/>
      <c r="AZ54" s="572"/>
      <c r="BB54" s="206"/>
    </row>
    <row r="55" spans="1:56" s="232" customFormat="1" ht="30" customHeight="1" x14ac:dyDescent="0.3">
      <c r="A55" s="645">
        <v>24</v>
      </c>
      <c r="B55" s="639"/>
      <c r="C55" s="639"/>
      <c r="D55" s="639"/>
      <c r="E55" s="639"/>
      <c r="F55" s="198"/>
      <c r="G55" s="643" t="str">
        <f t="shared" ref="G55" ca="1" si="219">IF(OR(INDIRECT("'update Helper'!D"&amp;BA55)=0,F55&lt;&gt;0,F56&lt;&gt;0),IF(IFERROR((F55/F56),"")="","",(F55/F56)),INDIRECT("'update Helper'!D"&amp;BA55)/100)</f>
        <v/>
      </c>
      <c r="H55" s="641"/>
      <c r="I55" s="639"/>
      <c r="J55" s="647" t="str">
        <f>AQ55</f>
        <v/>
      </c>
      <c r="K55" s="641"/>
      <c r="L55" s="639"/>
      <c r="M55" s="199"/>
      <c r="N55" s="649"/>
      <c r="O55" s="198" t="str">
        <f t="shared" ref="O55" ca="1" si="220">IF(A55=INDIRECT("'update Helper'!F"&amp;$BB55),IF(INDIRECT("'update Helper'!K"&amp;BB55)=0,"",INDIRECT("'update Helper'!K"&amp;BB55)),"")</f>
        <v/>
      </c>
      <c r="P55" s="643" t="str">
        <f t="shared" ref="P55" ca="1" si="221">IF(OR(INDIRECT("'update Helper'!I"&amp;BB55)=0,O55&lt;&gt;0,O56&lt;&gt;0),IF(IFERROR((O55/O56),"")="","",(O55/O56)),INDIRECT("'update Helper'!I"&amp;BB55)/100)</f>
        <v/>
      </c>
      <c r="Q55" s="641"/>
      <c r="R55" s="198"/>
      <c r="S55" s="643" t="str">
        <f t="shared" ref="S55" ca="1" si="222">IF(OR(INDIRECT("'update Helper'!I"&amp;BB55+1)=0,R55&lt;&gt;0,R56&lt;&gt;0),IF(IFERROR((R55/R56),"")="","",(R55/R56)),INDIRECT("'update Helper'!I"&amp;BB55+1)/100)</f>
        <v/>
      </c>
      <c r="T55" s="641"/>
      <c r="U55" s="198"/>
      <c r="V55" s="643" t="str">
        <f t="shared" ref="V55" ca="1" si="223">IF(OR(INDIRECT("'update Helper'!I"&amp;BB55+2)=0,U55&lt;&gt;0,U56&lt;&gt;0),IF(IFERROR((U55/U56),"")="","",(U55/U56)),INDIRECT("'update Helper'!I"&amp;BB55+2)/100)</f>
        <v/>
      </c>
      <c r="W55" s="641"/>
      <c r="X55" s="198"/>
      <c r="Y55" s="643" t="str">
        <f t="shared" ref="Y55" ca="1" si="224">IF(A55=INDIRECT("'update Helper'!F"&amp;$BB55+3),IF(OR(INDIRECT("'update Helper'!I"&amp;BB55+3)=0,X55&lt;&gt;0,X56&lt;&gt;0),IF(IFERROR((X55/X56),"")="","",(X55/X56)),INDIRECT("'update Helper'!I"&amp;BB55+3)/100),"")</f>
        <v/>
      </c>
      <c r="Z55" s="641"/>
      <c r="AA55" s="198"/>
      <c r="AB55" s="643" t="str">
        <f t="shared" ref="AB55" ca="1" si="225">IF(A55=INDIRECT("'update Helper'!F"&amp;$BB55+4),IF(OR(INDIRECT("'update Helper'!I"&amp;BB55+4)=0,AA55&lt;&gt;0,AA56&lt;&gt;0),IF(IFERROR((AA55/AA56),"")="","",(AA55/AA56)),INDIRECT("'update Helper'!I"&amp;BB55+4)/100),"")</f>
        <v/>
      </c>
      <c r="AC55" s="641"/>
      <c r="AD55" s="198"/>
      <c r="AE55" s="643" t="str">
        <f t="shared" ref="AE55" ca="1" si="226">IF(A55=INDIRECT("'update Helper'!F"&amp;$BB55+5),IF(A55=INDIRECT("'update Helper'!F"&amp;$BB55+5),IF(OR(INDIRECT("'update Helper'!I"&amp;BB55+5)=0,AD55&lt;&gt;0,AD56&lt;&gt;0),IF(IFERROR((AD55/AD56),"")="","",(AD55/AD56)),INDIRECT("'update Helper'!I"&amp;BB55+5)/100),""),"")</f>
        <v/>
      </c>
      <c r="AF55" s="641"/>
      <c r="AG55" s="198"/>
      <c r="AH55" s="643" t="str">
        <f t="shared" ref="AH55" ca="1" si="227">IF(A55=INDIRECT("'update Helper'!F"&amp;$BB55+6),IF(OR(INDIRECT("'update Helper'!I"&amp;BB55+6)=0,AG55&lt;&gt;0,AG56&lt;&gt;0),IF(IFERROR((AG55/AG56),"")="","",(AG55/AG56)),INDIRECT("'update Helper'!I"&amp;BB55+6)/100),"")</f>
        <v/>
      </c>
      <c r="AI55" s="641"/>
      <c r="AJ55" s="198"/>
      <c r="AK55" s="643" t="str">
        <f t="shared" ref="AK55" ca="1" si="228">IF(A55=INDIRECT("'update Helper'!F"&amp;$BB55+6),IF(OR(INDIRECT("'update Helper'!I"&amp;BB55+7)=0,AJ55&lt;&gt;0,AJ56&lt;&gt;0),IF(IFERROR((AJ55/AJ56),"")="","",(AJ55/AJ56)),INDIRECT("'update Helper'!I"&amp;BB55+7)/100),"")</f>
        <v/>
      </c>
      <c r="AL55" s="641"/>
      <c r="AM55" s="639"/>
      <c r="AN55" s="639"/>
      <c r="AO55" s="639"/>
      <c r="AP55" s="639"/>
      <c r="AQ55" s="232" t="str">
        <f t="array" ref="AQ55">IFERROR(IF(INDEX('Reference Records'!$D$61:$D$120,MATCH(LEFT(D55,255),LEFT('Reference Records'!$C$61:$C$120,255),0))=0,"",INDEX('Reference Records'!$D$61:$D$120,MATCH(LEFT(D55,255),LEFT('Reference Records'!$C$61:$C$120,255),0))),"")</f>
        <v/>
      </c>
      <c r="AR55" s="191" t="str">
        <f t="array" ref="AR55">VLOOKUP(LEFT(D55,255),LEFT('Reference Records'!C$60:G326,255),4,0)</f>
        <v/>
      </c>
      <c r="AS55" s="191" t="e">
        <f>MATCH(AR55,'Reference Records'!$F$509:$F$569,0)+ROW(PopulationByCoverage)-1</f>
        <v>#N/A</v>
      </c>
      <c r="AT55" s="191" t="e">
        <f>MATCH(AR55,'Reference Records'!$F$509:$F$569,1)+ROW(PopulationByCoverage)-1</f>
        <v>#N/A</v>
      </c>
      <c r="AU55" s="232" t="str">
        <f>D55&amp;E55</f>
        <v/>
      </c>
      <c r="AV55" s="206" t="str">
        <f>IFERROR(IF(VLOOKUP(D55,'Reference Records'!$C$1:$K$594,9,0)=0,"",_xlfn.CONCAT(VLOOKUP(D55,'Reference Records'!$C$1:$K$594,9,0),";")),"")</f>
        <v/>
      </c>
      <c r="AW55" s="206" t="str">
        <f>CLEAN(IFERROR(LEFT(AV55, SEARCH(";",AV55,1)-1),""))</f>
        <v/>
      </c>
      <c r="AX55" s="206" t="str">
        <f>SUBSTITUTE(IFERROR(MID(AV55, SEARCH(";",AV55) + 1, SEARCH(";",AV55,SEARCH(";",AV55)+1) - SEARCH(";",AV55) - 1),""),CHAR(10),"")</f>
        <v/>
      </c>
      <c r="AY55" s="342" t="str">
        <f>CLEAN(IFERROR(SUBSTITUTE(RIGHT(AV55,LEN(AV55) - SEARCH(";", AV55, SEARCH(";",AV55) + 1)),";",""),""))</f>
        <v/>
      </c>
      <c r="AZ55" s="572" t="str">
        <f>IFERROR(IF(VLOOKUP(B55,'Reference Records'!$F$123:$N$157,9,FALSE)=0,"",VLOOKUP(B55,'Reference Records'!$F$123:$N$157,9,FALSE)),"")</f>
        <v/>
      </c>
      <c r="BA55" s="232">
        <f t="shared" si="140"/>
        <v>469</v>
      </c>
      <c r="BB55" s="359">
        <f ca="1">BB53+'update Helper'!$Y$2</f>
        <v>650</v>
      </c>
      <c r="BD55" s="232" t="str">
        <f ca="1">IF(INDIRECT("'update Helper'!S"&amp;BA55)=0,"",IFERROR(VLOOKUP(INDIRECT("'update Helper'!U"&amp;BA55),'Account Role'!A$1:B$28,2,0), IFERROR(VLOOKUP(INDIRECT("'update Helper'!AD"&amp;BA55),'Overview - Section A'!J$25:P$90,7,0),"")))</f>
        <v/>
      </c>
    </row>
    <row r="56" spans="1:56" s="232" customFormat="1" ht="30" customHeight="1" x14ac:dyDescent="0.3">
      <c r="A56" s="646"/>
      <c r="B56" s="640"/>
      <c r="C56" s="640"/>
      <c r="D56" s="640"/>
      <c r="E56" s="640"/>
      <c r="F56" s="198"/>
      <c r="G56" s="644"/>
      <c r="H56" s="642"/>
      <c r="I56" s="640"/>
      <c r="J56" s="648"/>
      <c r="K56" s="642"/>
      <c r="L56" s="640"/>
      <c r="M56" s="343"/>
      <c r="N56" s="650"/>
      <c r="O56" s="198" t="str">
        <f t="shared" ref="O56" ca="1" si="229">IF(A55=INDIRECT("'update Helper'!F"&amp;$BB55),IF(INDIRECT("'update Helper'!J"&amp;BB55)=0,"",INDIRECT("'update Helper'!J"&amp;BB55)),"")</f>
        <v/>
      </c>
      <c r="P56" s="644"/>
      <c r="Q56" s="642"/>
      <c r="R56" s="198"/>
      <c r="S56" s="644"/>
      <c r="T56" s="642"/>
      <c r="U56" s="198"/>
      <c r="V56" s="644"/>
      <c r="W56" s="642"/>
      <c r="X56" s="198"/>
      <c r="Y56" s="644"/>
      <c r="Z56" s="642"/>
      <c r="AA56" s="198"/>
      <c r="AB56" s="644"/>
      <c r="AC56" s="642"/>
      <c r="AD56" s="198"/>
      <c r="AE56" s="644"/>
      <c r="AF56" s="642"/>
      <c r="AG56" s="198"/>
      <c r="AH56" s="644"/>
      <c r="AI56" s="642"/>
      <c r="AJ56" s="198"/>
      <c r="AK56" s="644"/>
      <c r="AL56" s="642"/>
      <c r="AM56" s="640"/>
      <c r="AN56" s="640"/>
      <c r="AO56" s="640"/>
      <c r="AP56" s="640"/>
      <c r="AV56" s="206"/>
      <c r="AW56" s="206"/>
      <c r="AX56" s="206"/>
      <c r="AY56" s="342"/>
      <c r="AZ56" s="572"/>
      <c r="BB56" s="206"/>
    </row>
    <row r="57" spans="1:56" s="232" customFormat="1" ht="30" customHeight="1" x14ac:dyDescent="0.3">
      <c r="A57" s="645">
        <v>25</v>
      </c>
      <c r="B57" s="639"/>
      <c r="C57" s="639"/>
      <c r="D57" s="639"/>
      <c r="E57" s="639"/>
      <c r="F57" s="198"/>
      <c r="G57" s="643" t="str">
        <f t="shared" ref="G57" ca="1" si="230">IF(OR(INDIRECT("'update Helper'!D"&amp;BA57)=0,F57&lt;&gt;0,F58&lt;&gt;0),IF(IFERROR((F57/F58),"")="","",(F57/F58)),INDIRECT("'update Helper'!D"&amp;BA57)/100)</f>
        <v/>
      </c>
      <c r="H57" s="641"/>
      <c r="I57" s="639"/>
      <c r="J57" s="647" t="str">
        <f>AQ57</f>
        <v/>
      </c>
      <c r="K57" s="641"/>
      <c r="L57" s="639"/>
      <c r="M57" s="199"/>
      <c r="N57" s="649"/>
      <c r="O57" s="198" t="str">
        <f t="shared" ref="O57" ca="1" si="231">IF(A57=INDIRECT("'update Helper'!F"&amp;$BB57),IF(INDIRECT("'update Helper'!K"&amp;BB57)=0,"",INDIRECT("'update Helper'!K"&amp;BB57)),"")</f>
        <v/>
      </c>
      <c r="P57" s="643" t="str">
        <f t="shared" ref="P57" ca="1" si="232">IF(OR(INDIRECT("'update Helper'!I"&amp;BB57)=0,O57&lt;&gt;0,O58&lt;&gt;0),IF(IFERROR((O57/O58),"")="","",(O57/O58)),INDIRECT("'update Helper'!I"&amp;BB57)/100)</f>
        <v/>
      </c>
      <c r="Q57" s="641"/>
      <c r="R57" s="198"/>
      <c r="S57" s="643" t="str">
        <f t="shared" ref="S57" ca="1" si="233">IF(OR(INDIRECT("'update Helper'!I"&amp;BB57+1)=0,R57&lt;&gt;0,R58&lt;&gt;0),IF(IFERROR((R57/R58),"")="","",(R57/R58)),INDIRECT("'update Helper'!I"&amp;BB57+1)/100)</f>
        <v/>
      </c>
      <c r="T57" s="641"/>
      <c r="U57" s="198"/>
      <c r="V57" s="643" t="str">
        <f t="shared" ref="V57" ca="1" si="234">IF(OR(INDIRECT("'update Helper'!I"&amp;BB57+2)=0,U57&lt;&gt;0,U58&lt;&gt;0),IF(IFERROR((U57/U58),"")="","",(U57/U58)),INDIRECT("'update Helper'!I"&amp;BB57+2)/100)</f>
        <v/>
      </c>
      <c r="W57" s="641"/>
      <c r="X57" s="198"/>
      <c r="Y57" s="643" t="str">
        <f t="shared" ref="Y57" ca="1" si="235">IF(A57=INDIRECT("'update Helper'!F"&amp;$BB57+3),IF(OR(INDIRECT("'update Helper'!I"&amp;BB57+3)=0,X57&lt;&gt;0,X58&lt;&gt;0),IF(IFERROR((X57/X58),"")="","",(X57/X58)),INDIRECT("'update Helper'!I"&amp;BB57+3)/100),"")</f>
        <v/>
      </c>
      <c r="Z57" s="641"/>
      <c r="AA57" s="198"/>
      <c r="AB57" s="643" t="str">
        <f t="shared" ref="AB57" ca="1" si="236">IF(A57=INDIRECT("'update Helper'!F"&amp;$BB57+4),IF(OR(INDIRECT("'update Helper'!I"&amp;BB57+4)=0,AA57&lt;&gt;0,AA58&lt;&gt;0),IF(IFERROR((AA57/AA58),"")="","",(AA57/AA58)),INDIRECT("'update Helper'!I"&amp;BB57+4)/100),"")</f>
        <v/>
      </c>
      <c r="AC57" s="641"/>
      <c r="AD57" s="198"/>
      <c r="AE57" s="643" t="str">
        <f t="shared" ref="AE57" ca="1" si="237">IF(A57=INDIRECT("'update Helper'!F"&amp;$BB57+5),IF(A57=INDIRECT("'update Helper'!F"&amp;$BB57+5),IF(OR(INDIRECT("'update Helper'!I"&amp;BB57+5)=0,AD57&lt;&gt;0,AD58&lt;&gt;0),IF(IFERROR((AD57/AD58),"")="","",(AD57/AD58)),INDIRECT("'update Helper'!I"&amp;BB57+5)/100),""),"")</f>
        <v/>
      </c>
      <c r="AF57" s="641"/>
      <c r="AG57" s="198"/>
      <c r="AH57" s="643" t="str">
        <f t="shared" ref="AH57" ca="1" si="238">IF(A57=INDIRECT("'update Helper'!F"&amp;$BB57+6),IF(OR(INDIRECT("'update Helper'!I"&amp;BB57+6)=0,AG57&lt;&gt;0,AG58&lt;&gt;0),IF(IFERROR((AG57/AG58),"")="","",(AG57/AG58)),INDIRECT("'update Helper'!I"&amp;BB57+6)/100),"")</f>
        <v/>
      </c>
      <c r="AI57" s="641"/>
      <c r="AJ57" s="198"/>
      <c r="AK57" s="643" t="str">
        <f t="shared" ref="AK57" ca="1" si="239">IF(A57=INDIRECT("'update Helper'!F"&amp;$BB57+6),IF(OR(INDIRECT("'update Helper'!I"&amp;BB57+7)=0,AJ57&lt;&gt;0,AJ58&lt;&gt;0),IF(IFERROR((AJ57/AJ58),"")="","",(AJ57/AJ58)),INDIRECT("'update Helper'!I"&amp;BB57+7)/100),"")</f>
        <v/>
      </c>
      <c r="AL57" s="641"/>
      <c r="AM57" s="639"/>
      <c r="AN57" s="639"/>
      <c r="AO57" s="639"/>
      <c r="AP57" s="639"/>
      <c r="AQ57" s="232" t="str">
        <f t="array" ref="AQ57">IFERROR(IF(INDEX('Reference Records'!$D$61:$D$120,MATCH(LEFT(D57,255),LEFT('Reference Records'!$C$61:$C$120,255),0))=0,"",INDEX('Reference Records'!$D$61:$D$120,MATCH(LEFT(D57,255),LEFT('Reference Records'!$C$61:$C$120,255),0))),"")</f>
        <v/>
      </c>
      <c r="AR57" s="191" t="str">
        <f t="array" ref="AR57">VLOOKUP(LEFT(D57,255),LEFT('Reference Records'!C$60:G328,255),4,0)</f>
        <v/>
      </c>
      <c r="AS57" s="191" t="e">
        <f>MATCH(AR57,'Reference Records'!$F$509:$F$569,0)+ROW(PopulationByCoverage)-1</f>
        <v>#N/A</v>
      </c>
      <c r="AT57" s="191" t="e">
        <f>MATCH(AR57,'Reference Records'!$F$509:$F$569,1)+ROW(PopulationByCoverage)-1</f>
        <v>#N/A</v>
      </c>
      <c r="AU57" s="232" t="str">
        <f>D57&amp;E57</f>
        <v/>
      </c>
      <c r="AV57" s="206" t="str">
        <f>IFERROR(IF(VLOOKUP(D57,'Reference Records'!$C$1:$K$594,9,0)=0,"",_xlfn.CONCAT(VLOOKUP(D57,'Reference Records'!$C$1:$K$594,9,0),";")),"")</f>
        <v/>
      </c>
      <c r="AW57" s="206" t="str">
        <f>CLEAN(IFERROR(LEFT(AV57, SEARCH(";",AV57,1)-1),""))</f>
        <v/>
      </c>
      <c r="AX57" s="206" t="str">
        <f>SUBSTITUTE(IFERROR(MID(AV57, SEARCH(";",AV57) + 1, SEARCH(";",AV57,SEARCH(";",AV57)+1) - SEARCH(";",AV57) - 1),""),CHAR(10),"")</f>
        <v/>
      </c>
      <c r="AY57" s="342" t="str">
        <f>CLEAN(IFERROR(SUBSTITUTE(RIGHT(AV57,LEN(AV57) - SEARCH(";", AV57, SEARCH(";",AV57) + 1)),";",""),""))</f>
        <v/>
      </c>
      <c r="AZ57" s="572" t="str">
        <f>IFERROR(IF(VLOOKUP(B57,'Reference Records'!$F$123:$N$157,9,FALSE)=0,"",VLOOKUP(B57,'Reference Records'!$F$123:$N$157,9,FALSE)),"")</f>
        <v/>
      </c>
      <c r="BA57" s="232">
        <f t="shared" si="140"/>
        <v>470</v>
      </c>
      <c r="BB57" s="359">
        <f ca="1">BB55+'update Helper'!$Y$2</f>
        <v>656</v>
      </c>
      <c r="BD57" s="232" t="str">
        <f ca="1">IF(INDIRECT("'update Helper'!S"&amp;BA57)=0,"",IFERROR(VLOOKUP(INDIRECT("'update Helper'!U"&amp;BA57),'Account Role'!A$1:B$28,2,0), IFERROR(VLOOKUP(INDIRECT("'update Helper'!AD"&amp;BA57),'Overview - Section A'!J$25:P$90,7,0),"")))</f>
        <v/>
      </c>
    </row>
    <row r="58" spans="1:56" s="232" customFormat="1" ht="30" customHeight="1" x14ac:dyDescent="0.3">
      <c r="A58" s="646"/>
      <c r="B58" s="640"/>
      <c r="C58" s="640"/>
      <c r="D58" s="640"/>
      <c r="E58" s="640"/>
      <c r="F58" s="198"/>
      <c r="G58" s="644"/>
      <c r="H58" s="642"/>
      <c r="I58" s="640"/>
      <c r="J58" s="648"/>
      <c r="K58" s="642"/>
      <c r="L58" s="640"/>
      <c r="M58" s="343"/>
      <c r="N58" s="650"/>
      <c r="O58" s="198" t="str">
        <f t="shared" ref="O58" ca="1" si="240">IF(A57=INDIRECT("'update Helper'!F"&amp;$BB57),IF(INDIRECT("'update Helper'!J"&amp;BB57)=0,"",INDIRECT("'update Helper'!J"&amp;BB57)),"")</f>
        <v/>
      </c>
      <c r="P58" s="644"/>
      <c r="Q58" s="642"/>
      <c r="R58" s="198"/>
      <c r="S58" s="644"/>
      <c r="T58" s="642"/>
      <c r="U58" s="198"/>
      <c r="V58" s="644"/>
      <c r="W58" s="642"/>
      <c r="X58" s="198"/>
      <c r="Y58" s="644"/>
      <c r="Z58" s="642"/>
      <c r="AA58" s="198"/>
      <c r="AB58" s="644"/>
      <c r="AC58" s="642"/>
      <c r="AD58" s="198"/>
      <c r="AE58" s="644"/>
      <c r="AF58" s="642"/>
      <c r="AG58" s="198"/>
      <c r="AH58" s="644"/>
      <c r="AI58" s="642"/>
      <c r="AJ58" s="198"/>
      <c r="AK58" s="644"/>
      <c r="AL58" s="642"/>
      <c r="AM58" s="640"/>
      <c r="AN58" s="640"/>
      <c r="AO58" s="640"/>
      <c r="AP58" s="640"/>
      <c r="AV58" s="206"/>
      <c r="AW58" s="206"/>
      <c r="AX58" s="206"/>
      <c r="AY58" s="342"/>
      <c r="AZ58" s="572"/>
      <c r="BB58" s="206"/>
    </row>
    <row r="59" spans="1:56" s="232" customFormat="1" ht="30" customHeight="1" x14ac:dyDescent="0.3">
      <c r="A59" s="645">
        <v>26</v>
      </c>
      <c r="B59" s="639"/>
      <c r="C59" s="639"/>
      <c r="D59" s="639"/>
      <c r="E59" s="639"/>
      <c r="F59" s="198"/>
      <c r="G59" s="643" t="str">
        <f t="shared" ref="G59" ca="1" si="241">IF(OR(INDIRECT("'update Helper'!D"&amp;BA59)=0,F59&lt;&gt;0,F60&lt;&gt;0),IF(IFERROR((F59/F60),"")="","",(F59/F60)),INDIRECT("'update Helper'!D"&amp;BA59)/100)</f>
        <v/>
      </c>
      <c r="H59" s="641"/>
      <c r="I59" s="639"/>
      <c r="J59" s="647" t="str">
        <f>AQ59</f>
        <v/>
      </c>
      <c r="K59" s="641"/>
      <c r="L59" s="639"/>
      <c r="M59" s="199"/>
      <c r="N59" s="649"/>
      <c r="O59" s="198" t="str">
        <f t="shared" ref="O59" ca="1" si="242">IF(A59=INDIRECT("'update Helper'!F"&amp;$BB59),IF(INDIRECT("'update Helper'!K"&amp;BB59)=0,"",INDIRECT("'update Helper'!K"&amp;BB59)),"")</f>
        <v/>
      </c>
      <c r="P59" s="643" t="str">
        <f t="shared" ref="P59" ca="1" si="243">IF(OR(INDIRECT("'update Helper'!I"&amp;BB59)=0,O59&lt;&gt;0,O60&lt;&gt;0),IF(IFERROR((O59/O60),"")="","",(O59/O60)),INDIRECT("'update Helper'!I"&amp;BB59)/100)</f>
        <v/>
      </c>
      <c r="Q59" s="641"/>
      <c r="R59" s="198"/>
      <c r="S59" s="643" t="str">
        <f t="shared" ref="S59" ca="1" si="244">IF(OR(INDIRECT("'update Helper'!I"&amp;BB59+1)=0,R59&lt;&gt;0,R60&lt;&gt;0),IF(IFERROR((R59/R60),"")="","",(R59/R60)),INDIRECT("'update Helper'!I"&amp;BB59+1)/100)</f>
        <v/>
      </c>
      <c r="T59" s="641"/>
      <c r="U59" s="198"/>
      <c r="V59" s="643" t="str">
        <f t="shared" ref="V59" ca="1" si="245">IF(OR(INDIRECT("'update Helper'!I"&amp;BB59+2)=0,U59&lt;&gt;0,U60&lt;&gt;0),IF(IFERROR((U59/U60),"")="","",(U59/U60)),INDIRECT("'update Helper'!I"&amp;BB59+2)/100)</f>
        <v/>
      </c>
      <c r="W59" s="641"/>
      <c r="X59" s="198"/>
      <c r="Y59" s="643" t="str">
        <f t="shared" ref="Y59" ca="1" si="246">IF(A59=INDIRECT("'update Helper'!F"&amp;$BB59+3),IF(OR(INDIRECT("'update Helper'!I"&amp;BB59+3)=0,X59&lt;&gt;0,X60&lt;&gt;0),IF(IFERROR((X59/X60),"")="","",(X59/X60)),INDIRECT("'update Helper'!I"&amp;BB59+3)/100),"")</f>
        <v/>
      </c>
      <c r="Z59" s="641"/>
      <c r="AA59" s="198"/>
      <c r="AB59" s="643" t="str">
        <f t="shared" ref="AB59" ca="1" si="247">IF(A59=INDIRECT("'update Helper'!F"&amp;$BB59+4),IF(OR(INDIRECT("'update Helper'!I"&amp;BB59+4)=0,AA59&lt;&gt;0,AA60&lt;&gt;0),IF(IFERROR((AA59/AA60),"")="","",(AA59/AA60)),INDIRECT("'update Helper'!I"&amp;BB59+4)/100),"")</f>
        <v/>
      </c>
      <c r="AC59" s="641"/>
      <c r="AD59" s="198"/>
      <c r="AE59" s="643" t="str">
        <f t="shared" ref="AE59" ca="1" si="248">IF(A59=INDIRECT("'update Helper'!F"&amp;$BB59+5),IF(A59=INDIRECT("'update Helper'!F"&amp;$BB59+5),IF(OR(INDIRECT("'update Helper'!I"&amp;BB59+5)=0,AD59&lt;&gt;0,AD60&lt;&gt;0),IF(IFERROR((AD59/AD60),"")="","",(AD59/AD60)),INDIRECT("'update Helper'!I"&amp;BB59+5)/100),""),"")</f>
        <v/>
      </c>
      <c r="AF59" s="641"/>
      <c r="AG59" s="198"/>
      <c r="AH59" s="643" t="str">
        <f t="shared" ref="AH59" ca="1" si="249">IF(A59=INDIRECT("'update Helper'!F"&amp;$BB59+6),IF(OR(INDIRECT("'update Helper'!I"&amp;BB59+6)=0,AG59&lt;&gt;0,AG60&lt;&gt;0),IF(IFERROR((AG59/AG60),"")="","",(AG59/AG60)),INDIRECT("'update Helper'!I"&amp;BB59+6)/100),"")</f>
        <v/>
      </c>
      <c r="AI59" s="641"/>
      <c r="AJ59" s="198"/>
      <c r="AK59" s="643" t="str">
        <f t="shared" ref="AK59" ca="1" si="250">IF(A59=INDIRECT("'update Helper'!F"&amp;$BB59+6),IF(OR(INDIRECT("'update Helper'!I"&amp;BB59+7)=0,AJ59&lt;&gt;0,AJ60&lt;&gt;0),IF(IFERROR((AJ59/AJ60),"")="","",(AJ59/AJ60)),INDIRECT("'update Helper'!I"&amp;BB59+7)/100),"")</f>
        <v/>
      </c>
      <c r="AL59" s="641"/>
      <c r="AM59" s="639"/>
      <c r="AN59" s="639"/>
      <c r="AO59" s="639"/>
      <c r="AP59" s="639"/>
      <c r="AQ59" s="232" t="str">
        <f t="array" ref="AQ59">IFERROR(IF(INDEX('Reference Records'!$D$61:$D$120,MATCH(LEFT(D59,255),LEFT('Reference Records'!$C$61:$C$120,255),0))=0,"",INDEX('Reference Records'!$D$61:$D$120,MATCH(LEFT(D59,255),LEFT('Reference Records'!$C$61:$C$120,255),0))),"")</f>
        <v/>
      </c>
      <c r="AR59" s="191" t="str">
        <f t="array" ref="AR59">VLOOKUP(LEFT(D59,255),LEFT('Reference Records'!C$60:G330,255),4,0)</f>
        <v/>
      </c>
      <c r="AS59" s="191" t="e">
        <f>MATCH(AR59,'Reference Records'!$F$509:$F$569,0)+ROW(PopulationByCoverage)-1</f>
        <v>#N/A</v>
      </c>
      <c r="AT59" s="191" t="e">
        <f>MATCH(AR59,'Reference Records'!$F$509:$F$569,1)+ROW(PopulationByCoverage)-1</f>
        <v>#N/A</v>
      </c>
      <c r="AU59" s="232" t="str">
        <f>D59&amp;E59</f>
        <v/>
      </c>
      <c r="AV59" s="206" t="str">
        <f>IFERROR(IF(VLOOKUP(D59,'Reference Records'!$C$1:$K$594,9,0)=0,"",_xlfn.CONCAT(VLOOKUP(D59,'Reference Records'!$C$1:$K$594,9,0),";")),"")</f>
        <v/>
      </c>
      <c r="AW59" s="206" t="str">
        <f>CLEAN(IFERROR(LEFT(AV59, SEARCH(";",AV59,1)-1),""))</f>
        <v/>
      </c>
      <c r="AX59" s="206" t="str">
        <f>SUBSTITUTE(IFERROR(MID(AV59, SEARCH(";",AV59) + 1, SEARCH(";",AV59,SEARCH(";",AV59)+1) - SEARCH(";",AV59) - 1),""),CHAR(10),"")</f>
        <v/>
      </c>
      <c r="AY59" s="342" t="str">
        <f>CLEAN(IFERROR(SUBSTITUTE(RIGHT(AV59,LEN(AV59) - SEARCH(";", AV59, SEARCH(";",AV59) + 1)),";",""),""))</f>
        <v/>
      </c>
      <c r="AZ59" s="572" t="str">
        <f>IFERROR(IF(VLOOKUP(B59,'Reference Records'!$F$123:$N$157,9,FALSE)=0,"",VLOOKUP(B59,'Reference Records'!$F$123:$N$157,9,FALSE)),"")</f>
        <v/>
      </c>
      <c r="BA59" s="232">
        <f t="shared" si="140"/>
        <v>471</v>
      </c>
      <c r="BB59" s="359">
        <f ca="1">BB57+'update Helper'!$Y$2</f>
        <v>662</v>
      </c>
      <c r="BD59" s="232" t="str">
        <f ca="1">IF(INDIRECT("'update Helper'!S"&amp;BA59)=0,"",IFERROR(VLOOKUP(INDIRECT("'update Helper'!U"&amp;BA59),'Account Role'!A$1:B$28,2,0), IFERROR(VLOOKUP(INDIRECT("'update Helper'!AD"&amp;BA59),'Overview - Section A'!J$25:P$90,7,0),"")))</f>
        <v/>
      </c>
    </row>
    <row r="60" spans="1:56" s="232" customFormat="1" ht="30" customHeight="1" x14ac:dyDescent="0.3">
      <c r="A60" s="646"/>
      <c r="B60" s="640"/>
      <c r="C60" s="640"/>
      <c r="D60" s="640"/>
      <c r="E60" s="640"/>
      <c r="F60" s="198"/>
      <c r="G60" s="644"/>
      <c r="H60" s="642"/>
      <c r="I60" s="640"/>
      <c r="J60" s="648"/>
      <c r="K60" s="642"/>
      <c r="L60" s="640"/>
      <c r="M60" s="343"/>
      <c r="N60" s="650"/>
      <c r="O60" s="198" t="str">
        <f t="shared" ref="O60" ca="1" si="251">IF(A59=INDIRECT("'update Helper'!F"&amp;$BB59),IF(INDIRECT("'update Helper'!J"&amp;BB59)=0,"",INDIRECT("'update Helper'!J"&amp;BB59)),"")</f>
        <v/>
      </c>
      <c r="P60" s="644"/>
      <c r="Q60" s="642"/>
      <c r="R60" s="198"/>
      <c r="S60" s="644"/>
      <c r="T60" s="642"/>
      <c r="U60" s="198"/>
      <c r="V60" s="644"/>
      <c r="W60" s="642"/>
      <c r="X60" s="198"/>
      <c r="Y60" s="644"/>
      <c r="Z60" s="642"/>
      <c r="AA60" s="198"/>
      <c r="AB60" s="644"/>
      <c r="AC60" s="642"/>
      <c r="AD60" s="198"/>
      <c r="AE60" s="644"/>
      <c r="AF60" s="642"/>
      <c r="AG60" s="198"/>
      <c r="AH60" s="644"/>
      <c r="AI60" s="642"/>
      <c r="AJ60" s="198"/>
      <c r="AK60" s="644"/>
      <c r="AL60" s="642"/>
      <c r="AM60" s="640"/>
      <c r="AN60" s="640"/>
      <c r="AO60" s="640"/>
      <c r="AP60" s="640"/>
      <c r="AV60" s="206"/>
      <c r="AW60" s="206"/>
      <c r="AX60" s="206"/>
      <c r="AY60" s="342"/>
      <c r="AZ60" s="572"/>
      <c r="BB60" s="206"/>
    </row>
    <row r="61" spans="1:56" s="232" customFormat="1" ht="30" customHeight="1" x14ac:dyDescent="0.3">
      <c r="A61" s="645">
        <v>27</v>
      </c>
      <c r="B61" s="639"/>
      <c r="C61" s="639"/>
      <c r="D61" s="639"/>
      <c r="E61" s="639"/>
      <c r="F61" s="198"/>
      <c r="G61" s="643" t="str">
        <f t="shared" ref="G61" ca="1" si="252">IF(OR(INDIRECT("'update Helper'!D"&amp;BA61)=0,F61&lt;&gt;0,F62&lt;&gt;0),IF(IFERROR((F61/F62),"")="","",(F61/F62)),INDIRECT("'update Helper'!D"&amp;BA61)/100)</f>
        <v/>
      </c>
      <c r="H61" s="641"/>
      <c r="I61" s="639"/>
      <c r="J61" s="647" t="str">
        <f>AQ61</f>
        <v/>
      </c>
      <c r="K61" s="641"/>
      <c r="L61" s="639"/>
      <c r="M61" s="199"/>
      <c r="N61" s="649"/>
      <c r="O61" s="198" t="str">
        <f t="shared" ref="O61" ca="1" si="253">IF(A61=INDIRECT("'update Helper'!F"&amp;$BB61),IF(INDIRECT("'update Helper'!K"&amp;BB61)=0,"",INDIRECT("'update Helper'!K"&amp;BB61)),"")</f>
        <v/>
      </c>
      <c r="P61" s="643" t="str">
        <f t="shared" ref="P61" ca="1" si="254">IF(OR(INDIRECT("'update Helper'!I"&amp;BB61)=0,O61&lt;&gt;0,O62&lt;&gt;0),IF(IFERROR((O61/O62),"")="","",(O61/O62)),INDIRECT("'update Helper'!I"&amp;BB61)/100)</f>
        <v/>
      </c>
      <c r="Q61" s="641"/>
      <c r="R61" s="198"/>
      <c r="S61" s="643" t="str">
        <f t="shared" ref="S61" ca="1" si="255">IF(OR(INDIRECT("'update Helper'!I"&amp;BB61+1)=0,R61&lt;&gt;0,R62&lt;&gt;0),IF(IFERROR((R61/R62),"")="","",(R61/R62)),INDIRECT("'update Helper'!I"&amp;BB61+1)/100)</f>
        <v/>
      </c>
      <c r="T61" s="641"/>
      <c r="U61" s="198"/>
      <c r="V61" s="643" t="str">
        <f t="shared" ref="V61" ca="1" si="256">IF(OR(INDIRECT("'update Helper'!I"&amp;BB61+2)=0,U61&lt;&gt;0,U62&lt;&gt;0),IF(IFERROR((U61/U62),"")="","",(U61/U62)),INDIRECT("'update Helper'!I"&amp;BB61+2)/100)</f>
        <v/>
      </c>
      <c r="W61" s="641"/>
      <c r="X61" s="198"/>
      <c r="Y61" s="643" t="str">
        <f t="shared" ref="Y61" ca="1" si="257">IF(A61=INDIRECT("'update Helper'!F"&amp;$BB61+3),IF(OR(INDIRECT("'update Helper'!I"&amp;BB61+3)=0,X61&lt;&gt;0,X62&lt;&gt;0),IF(IFERROR((X61/X62),"")="","",(X61/X62)),INDIRECT("'update Helper'!I"&amp;BB61+3)/100),"")</f>
        <v/>
      </c>
      <c r="Z61" s="641"/>
      <c r="AA61" s="198"/>
      <c r="AB61" s="643" t="str">
        <f t="shared" ref="AB61" ca="1" si="258">IF(A61=INDIRECT("'update Helper'!F"&amp;$BB61+4),IF(OR(INDIRECT("'update Helper'!I"&amp;BB61+4)=0,AA61&lt;&gt;0,AA62&lt;&gt;0),IF(IFERROR((AA61/AA62),"")="","",(AA61/AA62)),INDIRECT("'update Helper'!I"&amp;BB61+4)/100),"")</f>
        <v/>
      </c>
      <c r="AC61" s="641"/>
      <c r="AD61" s="198"/>
      <c r="AE61" s="643" t="str">
        <f t="shared" ref="AE61" ca="1" si="259">IF(A61=INDIRECT("'update Helper'!F"&amp;$BB61+5),IF(A61=INDIRECT("'update Helper'!F"&amp;$BB61+5),IF(OR(INDIRECT("'update Helper'!I"&amp;BB61+5)=0,AD61&lt;&gt;0,AD62&lt;&gt;0),IF(IFERROR((AD61/AD62),"")="","",(AD61/AD62)),INDIRECT("'update Helper'!I"&amp;BB61+5)/100),""),"")</f>
        <v/>
      </c>
      <c r="AF61" s="641"/>
      <c r="AG61" s="198"/>
      <c r="AH61" s="643" t="str">
        <f t="shared" ref="AH61" ca="1" si="260">IF(A61=INDIRECT("'update Helper'!F"&amp;$BB61+6),IF(OR(INDIRECT("'update Helper'!I"&amp;BB61+6)=0,AG61&lt;&gt;0,AG62&lt;&gt;0),IF(IFERROR((AG61/AG62),"")="","",(AG61/AG62)),INDIRECT("'update Helper'!I"&amp;BB61+6)/100),"")</f>
        <v/>
      </c>
      <c r="AI61" s="641"/>
      <c r="AJ61" s="198"/>
      <c r="AK61" s="643" t="str">
        <f t="shared" ref="AK61" ca="1" si="261">IF(A61=INDIRECT("'update Helper'!F"&amp;$BB61+6),IF(OR(INDIRECT("'update Helper'!I"&amp;BB61+7)=0,AJ61&lt;&gt;0,AJ62&lt;&gt;0),IF(IFERROR((AJ61/AJ62),"")="","",(AJ61/AJ62)),INDIRECT("'update Helper'!I"&amp;BB61+7)/100),"")</f>
        <v/>
      </c>
      <c r="AL61" s="641"/>
      <c r="AM61" s="639"/>
      <c r="AN61" s="639"/>
      <c r="AO61" s="639"/>
      <c r="AP61" s="639"/>
      <c r="AQ61" s="232" t="str">
        <f t="array" ref="AQ61">IFERROR(IF(INDEX('Reference Records'!$D$61:$D$120,MATCH(LEFT(D61,255),LEFT('Reference Records'!$C$61:$C$120,255),0))=0,"",INDEX('Reference Records'!$D$61:$D$120,MATCH(LEFT(D61,255),LEFT('Reference Records'!$C$61:$C$120,255),0))),"")</f>
        <v/>
      </c>
      <c r="AR61" s="191" t="str">
        <f t="array" ref="AR61">VLOOKUP(LEFT(D61,255),LEFT('Reference Records'!C$60:G506,255),4,0)</f>
        <v/>
      </c>
      <c r="AS61" s="191" t="e">
        <f>MATCH(AR61,'Reference Records'!$F$509:$F$569,0)+ROW(PopulationByCoverage)-1</f>
        <v>#N/A</v>
      </c>
      <c r="AT61" s="191" t="e">
        <f>MATCH(AR61,'Reference Records'!$F$509:$F$569,1)+ROW(PopulationByCoverage)-1</f>
        <v>#N/A</v>
      </c>
      <c r="AU61" s="232" t="str">
        <f>D61&amp;E61</f>
        <v/>
      </c>
      <c r="AV61" s="206" t="str">
        <f>IFERROR(IF(VLOOKUP(D61,'Reference Records'!$C$1:$K$594,9,0)=0,"",_xlfn.CONCAT(VLOOKUP(D61,'Reference Records'!$C$1:$K$594,9,0),";")),"")</f>
        <v/>
      </c>
      <c r="AW61" s="206" t="str">
        <f>CLEAN(IFERROR(LEFT(AV61, SEARCH(";",AV61,1)-1),""))</f>
        <v/>
      </c>
      <c r="AX61" s="206" t="str">
        <f>SUBSTITUTE(IFERROR(MID(AV61, SEARCH(";",AV61) + 1, SEARCH(";",AV61,SEARCH(";",AV61)+1) - SEARCH(";",AV61) - 1),""),CHAR(10),"")</f>
        <v/>
      </c>
      <c r="AY61" s="342" t="str">
        <f>CLEAN(IFERROR(SUBSTITUTE(RIGHT(AV61,LEN(AV61) - SEARCH(";", AV61, SEARCH(";",AV61) + 1)),";",""),""))</f>
        <v/>
      </c>
      <c r="AZ61" s="572" t="str">
        <f>IFERROR(IF(VLOOKUP(B61,'Reference Records'!$F$123:$N$157,9,FALSE)=0,"",VLOOKUP(B61,'Reference Records'!$F$123:$N$157,9,FALSE)),"")</f>
        <v/>
      </c>
      <c r="BA61" s="232">
        <f t="shared" si="140"/>
        <v>472</v>
      </c>
      <c r="BB61" s="359">
        <f ca="1">BB59+'update Helper'!$Y$2</f>
        <v>668</v>
      </c>
      <c r="BD61" s="232" t="str">
        <f ca="1">IF(INDIRECT("'update Helper'!S"&amp;BA61)=0,"",IFERROR(VLOOKUP(INDIRECT("'update Helper'!U"&amp;BA61),'Account Role'!A$1:B$28,2,0), IFERROR(VLOOKUP(INDIRECT("'update Helper'!AD"&amp;BA61),'Overview - Section A'!J$25:P$90,7,0),"")))</f>
        <v/>
      </c>
    </row>
    <row r="62" spans="1:56" s="232" customFormat="1" ht="30" customHeight="1" x14ac:dyDescent="0.3">
      <c r="A62" s="646"/>
      <c r="B62" s="640"/>
      <c r="C62" s="640"/>
      <c r="D62" s="640"/>
      <c r="E62" s="640"/>
      <c r="F62" s="198"/>
      <c r="G62" s="644"/>
      <c r="H62" s="642"/>
      <c r="I62" s="640"/>
      <c r="J62" s="648"/>
      <c r="K62" s="642"/>
      <c r="L62" s="640"/>
      <c r="M62" s="343"/>
      <c r="N62" s="650"/>
      <c r="O62" s="198" t="str">
        <f t="shared" ref="O62" ca="1" si="262">IF(A61=INDIRECT("'update Helper'!F"&amp;$BB61),IF(INDIRECT("'update Helper'!J"&amp;BB61)=0,"",INDIRECT("'update Helper'!J"&amp;BB61)),"")</f>
        <v/>
      </c>
      <c r="P62" s="644"/>
      <c r="Q62" s="642"/>
      <c r="R62" s="198"/>
      <c r="S62" s="644"/>
      <c r="T62" s="642"/>
      <c r="U62" s="198"/>
      <c r="V62" s="644"/>
      <c r="W62" s="642"/>
      <c r="X62" s="198"/>
      <c r="Y62" s="644"/>
      <c r="Z62" s="642"/>
      <c r="AA62" s="198"/>
      <c r="AB62" s="644"/>
      <c r="AC62" s="642"/>
      <c r="AD62" s="198"/>
      <c r="AE62" s="644"/>
      <c r="AF62" s="642"/>
      <c r="AG62" s="198"/>
      <c r="AH62" s="644"/>
      <c r="AI62" s="642"/>
      <c r="AJ62" s="198"/>
      <c r="AK62" s="644"/>
      <c r="AL62" s="642"/>
      <c r="AM62" s="640"/>
      <c r="AN62" s="640"/>
      <c r="AO62" s="640"/>
      <c r="AP62" s="640"/>
      <c r="AV62" s="206"/>
      <c r="AW62" s="206"/>
      <c r="AX62" s="206"/>
      <c r="AY62" s="342"/>
      <c r="AZ62" s="572"/>
      <c r="BB62" s="206"/>
    </row>
    <row r="63" spans="1:56" s="232" customFormat="1" ht="30" customHeight="1" x14ac:dyDescent="0.3">
      <c r="A63" s="645">
        <v>28</v>
      </c>
      <c r="B63" s="639"/>
      <c r="C63" s="639"/>
      <c r="D63" s="639"/>
      <c r="E63" s="639"/>
      <c r="F63" s="198"/>
      <c r="G63" s="643" t="str">
        <f t="shared" ref="G63" ca="1" si="263">IF(OR(INDIRECT("'update Helper'!D"&amp;BA63)=0,F63&lt;&gt;0,F64&lt;&gt;0),IF(IFERROR((F63/F64),"")="","",(F63/F64)),INDIRECT("'update Helper'!D"&amp;BA63)/100)</f>
        <v/>
      </c>
      <c r="H63" s="641"/>
      <c r="I63" s="639"/>
      <c r="J63" s="647" t="str">
        <f>AQ63</f>
        <v/>
      </c>
      <c r="K63" s="641"/>
      <c r="L63" s="639"/>
      <c r="M63" s="199"/>
      <c r="N63" s="649"/>
      <c r="O63" s="198" t="str">
        <f t="shared" ref="O63" ca="1" si="264">IF(A63=INDIRECT("'update Helper'!F"&amp;$BB63),IF(INDIRECT("'update Helper'!K"&amp;BB63)=0,"",INDIRECT("'update Helper'!K"&amp;BB63)),"")</f>
        <v/>
      </c>
      <c r="P63" s="643" t="str">
        <f t="shared" ref="P63" ca="1" si="265">IF(OR(INDIRECT("'update Helper'!I"&amp;BB63)=0,O63&lt;&gt;0,O64&lt;&gt;0),IF(IFERROR((O63/O64),"")="","",(O63/O64)),INDIRECT("'update Helper'!I"&amp;BB63)/100)</f>
        <v/>
      </c>
      <c r="Q63" s="641"/>
      <c r="R63" s="198"/>
      <c r="S63" s="643" t="str">
        <f t="shared" ref="S63" ca="1" si="266">IF(OR(INDIRECT("'update Helper'!I"&amp;BB63+1)=0,R63&lt;&gt;0,R64&lt;&gt;0),IF(IFERROR((R63/R64),"")="","",(R63/R64)),INDIRECT("'update Helper'!I"&amp;BB63+1)/100)</f>
        <v/>
      </c>
      <c r="T63" s="641"/>
      <c r="U63" s="198"/>
      <c r="V63" s="643" t="str">
        <f t="shared" ref="V63" ca="1" si="267">IF(OR(INDIRECT("'update Helper'!I"&amp;BB63+2)=0,U63&lt;&gt;0,U64&lt;&gt;0),IF(IFERROR((U63/U64),"")="","",(U63/U64)),INDIRECT("'update Helper'!I"&amp;BB63+2)/100)</f>
        <v/>
      </c>
      <c r="W63" s="641"/>
      <c r="X63" s="198"/>
      <c r="Y63" s="643" t="str">
        <f t="shared" ref="Y63" ca="1" si="268">IF(A63=INDIRECT("'update Helper'!F"&amp;$BB63+3),IF(OR(INDIRECT("'update Helper'!I"&amp;BB63+3)=0,X63&lt;&gt;0,X64&lt;&gt;0),IF(IFERROR((X63/X64),"")="","",(X63/X64)),INDIRECT("'update Helper'!I"&amp;BB63+3)/100),"")</f>
        <v/>
      </c>
      <c r="Z63" s="641"/>
      <c r="AA63" s="198"/>
      <c r="AB63" s="643" t="str">
        <f t="shared" ref="AB63" ca="1" si="269">IF(A63=INDIRECT("'update Helper'!F"&amp;$BB63+4),IF(OR(INDIRECT("'update Helper'!I"&amp;BB63+4)=0,AA63&lt;&gt;0,AA64&lt;&gt;0),IF(IFERROR((AA63/AA64),"")="","",(AA63/AA64)),INDIRECT("'update Helper'!I"&amp;BB63+4)/100),"")</f>
        <v/>
      </c>
      <c r="AC63" s="641"/>
      <c r="AD63" s="198"/>
      <c r="AE63" s="643" t="str">
        <f t="shared" ref="AE63" ca="1" si="270">IF(A63=INDIRECT("'update Helper'!F"&amp;$BB63+5),IF(A63=INDIRECT("'update Helper'!F"&amp;$BB63+5),IF(OR(INDIRECT("'update Helper'!I"&amp;BB63+5)=0,AD63&lt;&gt;0,AD64&lt;&gt;0),IF(IFERROR((AD63/AD64),"")="","",(AD63/AD64)),INDIRECT("'update Helper'!I"&amp;BB63+5)/100),""),"")</f>
        <v/>
      </c>
      <c r="AF63" s="641"/>
      <c r="AG63" s="198"/>
      <c r="AH63" s="643" t="str">
        <f t="shared" ref="AH63" ca="1" si="271">IF(A63=INDIRECT("'update Helper'!F"&amp;$BB63+6),IF(OR(INDIRECT("'update Helper'!I"&amp;BB63+6)=0,AG63&lt;&gt;0,AG64&lt;&gt;0),IF(IFERROR((AG63/AG64),"")="","",(AG63/AG64)),INDIRECT("'update Helper'!I"&amp;BB63+6)/100),"")</f>
        <v/>
      </c>
      <c r="AI63" s="641"/>
      <c r="AJ63" s="198"/>
      <c r="AK63" s="643" t="str">
        <f t="shared" ref="AK63" ca="1" si="272">IF(A63=INDIRECT("'update Helper'!F"&amp;$BB63+6),IF(OR(INDIRECT("'update Helper'!I"&amp;BB63+7)=0,AJ63&lt;&gt;0,AJ64&lt;&gt;0),IF(IFERROR((AJ63/AJ64),"")="","",(AJ63/AJ64)),INDIRECT("'update Helper'!I"&amp;BB63+7)/100),"")</f>
        <v/>
      </c>
      <c r="AL63" s="641"/>
      <c r="AM63" s="639"/>
      <c r="AN63" s="639"/>
      <c r="AO63" s="639"/>
      <c r="AP63" s="639"/>
      <c r="AQ63" s="232" t="str">
        <f t="array" ref="AQ63">IFERROR(IF(INDEX('Reference Records'!$D$61:$D$120,MATCH(LEFT(D63,255),LEFT('Reference Records'!$C$61:$C$120,255),0))=0,"",INDEX('Reference Records'!$D$61:$D$120,MATCH(LEFT(D63,255),LEFT('Reference Records'!$C$61:$C$120,255),0))),"")</f>
        <v/>
      </c>
      <c r="AR63" s="191" t="str">
        <f t="array" ref="AR63">VLOOKUP(LEFT(D63,255),LEFT('Reference Records'!C$60:G508,255),4,0)</f>
        <v/>
      </c>
      <c r="AS63" s="191" t="e">
        <f>MATCH(AR63,'Reference Records'!$F$509:$F$569,0)+ROW(PopulationByCoverage)-1</f>
        <v>#N/A</v>
      </c>
      <c r="AT63" s="191" t="e">
        <f>MATCH(AR63,'Reference Records'!$F$509:$F$569,1)+ROW(PopulationByCoverage)-1</f>
        <v>#N/A</v>
      </c>
      <c r="AU63" s="232" t="str">
        <f>D63&amp;E63</f>
        <v/>
      </c>
      <c r="AV63" s="206" t="str">
        <f>IFERROR(IF(VLOOKUP(D63,'Reference Records'!$C$1:$K$594,9,0)=0,"",_xlfn.CONCAT(VLOOKUP(D63,'Reference Records'!$C$1:$K$594,9,0),";")),"")</f>
        <v/>
      </c>
      <c r="AW63" s="206" t="str">
        <f>CLEAN(IFERROR(LEFT(AV63, SEARCH(";",AV63,1)-1),""))</f>
        <v/>
      </c>
      <c r="AX63" s="206" t="str">
        <f>SUBSTITUTE(IFERROR(MID(AV63, SEARCH(";",AV63) + 1, SEARCH(";",AV63,SEARCH(";",AV63)+1) - SEARCH(";",AV63) - 1),""),CHAR(10),"")</f>
        <v/>
      </c>
      <c r="AY63" s="342" t="str">
        <f>CLEAN(IFERROR(SUBSTITUTE(RIGHT(AV63,LEN(AV63) - SEARCH(";", AV63, SEARCH(";",AV63) + 1)),";",""),""))</f>
        <v/>
      </c>
      <c r="AZ63" s="572" t="str">
        <f>IFERROR(IF(VLOOKUP(B63,'Reference Records'!$F$123:$N$157,9,FALSE)=0,"",VLOOKUP(B63,'Reference Records'!$F$123:$N$157,9,FALSE)),"")</f>
        <v/>
      </c>
      <c r="BA63" s="232">
        <f t="shared" si="140"/>
        <v>473</v>
      </c>
      <c r="BB63" s="359">
        <f ca="1">BB61+'update Helper'!$Y$2</f>
        <v>674</v>
      </c>
      <c r="BD63" s="232" t="str">
        <f ca="1">IF(INDIRECT("'update Helper'!S"&amp;BA63)=0,"",IFERROR(VLOOKUP(INDIRECT("'update Helper'!U"&amp;BA63),'Account Role'!A$1:B$28,2,0), IFERROR(VLOOKUP(INDIRECT("'update Helper'!AD"&amp;BA63),'Overview - Section A'!J$25:P$90,7,0),"")))</f>
        <v/>
      </c>
    </row>
    <row r="64" spans="1:56" s="232" customFormat="1" ht="30" customHeight="1" x14ac:dyDescent="0.3">
      <c r="A64" s="646"/>
      <c r="B64" s="640"/>
      <c r="C64" s="640"/>
      <c r="D64" s="640"/>
      <c r="E64" s="640"/>
      <c r="F64" s="198"/>
      <c r="G64" s="644"/>
      <c r="H64" s="642"/>
      <c r="I64" s="640"/>
      <c r="J64" s="648"/>
      <c r="K64" s="642"/>
      <c r="L64" s="640"/>
      <c r="M64" s="343"/>
      <c r="N64" s="650"/>
      <c r="O64" s="198" t="str">
        <f t="shared" ref="O64" ca="1" si="273">IF(A63=INDIRECT("'update Helper'!F"&amp;$BB63),IF(INDIRECT("'update Helper'!J"&amp;BB63)=0,"",INDIRECT("'update Helper'!J"&amp;BB63)),"")</f>
        <v/>
      </c>
      <c r="P64" s="644"/>
      <c r="Q64" s="642"/>
      <c r="R64" s="198"/>
      <c r="S64" s="644"/>
      <c r="T64" s="642"/>
      <c r="U64" s="198"/>
      <c r="V64" s="644"/>
      <c r="W64" s="642"/>
      <c r="X64" s="198"/>
      <c r="Y64" s="644"/>
      <c r="Z64" s="642"/>
      <c r="AA64" s="198"/>
      <c r="AB64" s="644"/>
      <c r="AC64" s="642"/>
      <c r="AD64" s="198"/>
      <c r="AE64" s="644"/>
      <c r="AF64" s="642"/>
      <c r="AG64" s="198"/>
      <c r="AH64" s="644"/>
      <c r="AI64" s="642"/>
      <c r="AJ64" s="198"/>
      <c r="AK64" s="644"/>
      <c r="AL64" s="642"/>
      <c r="AM64" s="640"/>
      <c r="AN64" s="640"/>
      <c r="AO64" s="640"/>
      <c r="AP64" s="640"/>
      <c r="AV64" s="206"/>
      <c r="AW64" s="206"/>
      <c r="AX64" s="206"/>
      <c r="AY64" s="342"/>
      <c r="AZ64" s="572"/>
      <c r="BB64" s="206"/>
    </row>
    <row r="65" spans="1:57" s="232" customFormat="1" ht="30" customHeight="1" x14ac:dyDescent="0.3">
      <c r="A65" s="645">
        <v>29</v>
      </c>
      <c r="B65" s="639"/>
      <c r="C65" s="639"/>
      <c r="D65" s="639"/>
      <c r="E65" s="639"/>
      <c r="F65" s="198"/>
      <c r="G65" s="643" t="str">
        <f t="shared" ref="G65" ca="1" si="274">IF(OR(INDIRECT("'update Helper'!D"&amp;BA65)=0,F65&lt;&gt;0,F66&lt;&gt;0),IF(IFERROR((F65/F66),"")="","",(F65/F66)),INDIRECT("'update Helper'!D"&amp;BA65)/100)</f>
        <v/>
      </c>
      <c r="H65" s="641"/>
      <c r="I65" s="639"/>
      <c r="J65" s="647" t="str">
        <f>AQ65</f>
        <v/>
      </c>
      <c r="K65" s="641"/>
      <c r="L65" s="639"/>
      <c r="M65" s="199"/>
      <c r="N65" s="649"/>
      <c r="O65" s="198" t="str">
        <f t="shared" ref="O65" ca="1" si="275">IF(A65=INDIRECT("'update Helper'!F"&amp;$BB65),IF(INDIRECT("'update Helper'!K"&amp;BB65)=0,"",INDIRECT("'update Helper'!K"&amp;BB65)),"")</f>
        <v/>
      </c>
      <c r="P65" s="643" t="str">
        <f t="shared" ref="P65" ca="1" si="276">IF(OR(INDIRECT("'update Helper'!I"&amp;BB65)=0,O65&lt;&gt;0,O66&lt;&gt;0),IF(IFERROR((O65/O66),"")="","",(O65/O66)),INDIRECT("'update Helper'!I"&amp;BB65)/100)</f>
        <v/>
      </c>
      <c r="Q65" s="641"/>
      <c r="R65" s="198"/>
      <c r="S65" s="643" t="str">
        <f t="shared" ref="S65" ca="1" si="277">IF(OR(INDIRECT("'update Helper'!I"&amp;BB65+1)=0,R65&lt;&gt;0,R66&lt;&gt;0),IF(IFERROR((R65/R66),"")="","",(R65/R66)),INDIRECT("'update Helper'!I"&amp;BB65+1)/100)</f>
        <v/>
      </c>
      <c r="T65" s="641"/>
      <c r="U65" s="198"/>
      <c r="V65" s="643" t="str">
        <f t="shared" ref="V65" ca="1" si="278">IF(OR(INDIRECT("'update Helper'!I"&amp;BB65+2)=0,U65&lt;&gt;0,U66&lt;&gt;0),IF(IFERROR((U65/U66),"")="","",(U65/U66)),INDIRECT("'update Helper'!I"&amp;BB65+2)/100)</f>
        <v/>
      </c>
      <c r="W65" s="641"/>
      <c r="X65" s="198"/>
      <c r="Y65" s="643" t="str">
        <f t="shared" ref="Y65" ca="1" si="279">IF(A65=INDIRECT("'update Helper'!F"&amp;$BB65+3),IF(OR(INDIRECT("'update Helper'!I"&amp;BB65+3)=0,X65&lt;&gt;0,X66&lt;&gt;0),IF(IFERROR((X65/X66),"")="","",(X65/X66)),INDIRECT("'update Helper'!I"&amp;BB65+3)/100),"")</f>
        <v/>
      </c>
      <c r="Z65" s="641"/>
      <c r="AA65" s="198"/>
      <c r="AB65" s="643" t="str">
        <f t="shared" ref="AB65" ca="1" si="280">IF(A65=INDIRECT("'update Helper'!F"&amp;$BB65+4),IF(OR(INDIRECT("'update Helper'!I"&amp;BB65+4)=0,AA65&lt;&gt;0,AA66&lt;&gt;0),IF(IFERROR((AA65/AA66),"")="","",(AA65/AA66)),INDIRECT("'update Helper'!I"&amp;BB65+4)/100),"")</f>
        <v/>
      </c>
      <c r="AC65" s="641"/>
      <c r="AD65" s="198"/>
      <c r="AE65" s="643" t="str">
        <f t="shared" ref="AE65" ca="1" si="281">IF(A65=INDIRECT("'update Helper'!F"&amp;$BB65+5),IF(A65=INDIRECT("'update Helper'!F"&amp;$BB65+5),IF(OR(INDIRECT("'update Helper'!I"&amp;BB65+5)=0,AD65&lt;&gt;0,AD66&lt;&gt;0),IF(IFERROR((AD65/AD66),"")="","",(AD65/AD66)),INDIRECT("'update Helper'!I"&amp;BB65+5)/100),""),"")</f>
        <v/>
      </c>
      <c r="AF65" s="641"/>
      <c r="AG65" s="198"/>
      <c r="AH65" s="643" t="str">
        <f t="shared" ref="AH65" ca="1" si="282">IF(A65=INDIRECT("'update Helper'!F"&amp;$BB65+6),IF(OR(INDIRECT("'update Helper'!I"&amp;BB65+6)=0,AG65&lt;&gt;0,AG66&lt;&gt;0),IF(IFERROR((AG65/AG66),"")="","",(AG65/AG66)),INDIRECT("'update Helper'!I"&amp;BB65+6)/100),"")</f>
        <v/>
      </c>
      <c r="AI65" s="641"/>
      <c r="AJ65" s="198"/>
      <c r="AK65" s="643" t="str">
        <f t="shared" ref="AK65" ca="1" si="283">IF(A65=INDIRECT("'update Helper'!F"&amp;$BB65+6),IF(OR(INDIRECT("'update Helper'!I"&amp;BB65+7)=0,AJ65&lt;&gt;0,AJ66&lt;&gt;0),IF(IFERROR((AJ65/AJ66),"")="","",(AJ65/AJ66)),INDIRECT("'update Helper'!I"&amp;BB65+7)/100),"")</f>
        <v/>
      </c>
      <c r="AL65" s="641"/>
      <c r="AM65" s="639"/>
      <c r="AN65" s="639"/>
      <c r="AO65" s="639"/>
      <c r="AP65" s="639"/>
      <c r="AQ65" s="232" t="str">
        <f t="array" ref="AQ65">IFERROR(IF(INDEX('Reference Records'!$D$61:$D$120,MATCH(LEFT(D65,255),LEFT('Reference Records'!$C$61:$C$120,255),0))=0,"",INDEX('Reference Records'!$D$61:$D$120,MATCH(LEFT(D65,255),LEFT('Reference Records'!$C$61:$C$120,255),0))),"")</f>
        <v/>
      </c>
      <c r="AR65" s="191" t="str">
        <f t="array" ref="AR65">VLOOKUP(LEFT(D65,255),LEFT('Reference Records'!C$60:G510,255),4,0)</f>
        <v/>
      </c>
      <c r="AS65" s="191" t="e">
        <f>MATCH(AR65,'Reference Records'!$F$509:$F$569,0)+ROW(PopulationByCoverage)-1</f>
        <v>#N/A</v>
      </c>
      <c r="AT65" s="191" t="e">
        <f>MATCH(AR65,'Reference Records'!$F$509:$F$569,1)+ROW(PopulationByCoverage)-1</f>
        <v>#N/A</v>
      </c>
      <c r="AU65" s="232" t="str">
        <f>D65&amp;E65</f>
        <v/>
      </c>
      <c r="AV65" s="206" t="str">
        <f>IFERROR(IF(VLOOKUP(D65,'Reference Records'!$C$1:$K$594,9,0)=0,"",_xlfn.CONCAT(VLOOKUP(D65,'Reference Records'!$C$1:$K$594,9,0),";")),"")</f>
        <v/>
      </c>
      <c r="AW65" s="206" t="str">
        <f>CLEAN(IFERROR(LEFT(AV65, SEARCH(";",AV65,1)-1),""))</f>
        <v/>
      </c>
      <c r="AX65" s="206" t="str">
        <f>SUBSTITUTE(IFERROR(MID(AV65, SEARCH(";",AV65) + 1, SEARCH(";",AV65,SEARCH(";",AV65)+1) - SEARCH(";",AV65) - 1),""),CHAR(10),"")</f>
        <v/>
      </c>
      <c r="AY65" s="342" t="str">
        <f>CLEAN(IFERROR(SUBSTITUTE(RIGHT(AV65,LEN(AV65) - SEARCH(";", AV65, SEARCH(";",AV65) + 1)),";",""),""))</f>
        <v/>
      </c>
      <c r="AZ65" s="572" t="str">
        <f>IFERROR(IF(VLOOKUP(B65,'Reference Records'!$F$123:$N$157,9,FALSE)=0,"",VLOOKUP(B65,'Reference Records'!$F$123:$N$157,9,FALSE)),"")</f>
        <v/>
      </c>
      <c r="BA65" s="232">
        <f t="shared" si="140"/>
        <v>474</v>
      </c>
      <c r="BB65" s="359">
        <f ca="1">BB63+'update Helper'!$Y$2</f>
        <v>680</v>
      </c>
      <c r="BD65" s="232" t="str">
        <f ca="1">IF(INDIRECT("'update Helper'!S"&amp;BA65)=0,"",IFERROR(VLOOKUP(INDIRECT("'update Helper'!U"&amp;BA65),'Account Role'!A$1:B$28,2,0), IFERROR(VLOOKUP(INDIRECT("'update Helper'!AD"&amp;BA65),'Overview - Section A'!J$25:P$90,7,0),"")))</f>
        <v/>
      </c>
    </row>
    <row r="66" spans="1:57" s="232" customFormat="1" ht="30" customHeight="1" x14ac:dyDescent="0.3">
      <c r="A66" s="646"/>
      <c r="B66" s="640"/>
      <c r="C66" s="640"/>
      <c r="D66" s="640"/>
      <c r="E66" s="640"/>
      <c r="F66" s="198"/>
      <c r="G66" s="644"/>
      <c r="H66" s="642"/>
      <c r="I66" s="640"/>
      <c r="J66" s="648"/>
      <c r="K66" s="642"/>
      <c r="L66" s="640"/>
      <c r="M66" s="343"/>
      <c r="N66" s="650"/>
      <c r="O66" s="198" t="str">
        <f t="shared" ref="O66" ca="1" si="284">IF(A65=INDIRECT("'update Helper'!F"&amp;$BB65),IF(INDIRECT("'update Helper'!J"&amp;BB65)=0,"",INDIRECT("'update Helper'!J"&amp;BB65)),"")</f>
        <v/>
      </c>
      <c r="P66" s="644"/>
      <c r="Q66" s="642"/>
      <c r="R66" s="198"/>
      <c r="S66" s="644"/>
      <c r="T66" s="642"/>
      <c r="U66" s="198"/>
      <c r="V66" s="644"/>
      <c r="W66" s="642"/>
      <c r="X66" s="198"/>
      <c r="Y66" s="644"/>
      <c r="Z66" s="642"/>
      <c r="AA66" s="198"/>
      <c r="AB66" s="644"/>
      <c r="AC66" s="642"/>
      <c r="AD66" s="198"/>
      <c r="AE66" s="644"/>
      <c r="AF66" s="642"/>
      <c r="AG66" s="198"/>
      <c r="AH66" s="644"/>
      <c r="AI66" s="642"/>
      <c r="AJ66" s="198"/>
      <c r="AK66" s="644"/>
      <c r="AL66" s="642"/>
      <c r="AM66" s="640"/>
      <c r="AN66" s="640"/>
      <c r="AO66" s="640"/>
      <c r="AP66" s="640"/>
      <c r="AV66" s="206"/>
      <c r="AW66" s="206"/>
      <c r="AX66" s="206"/>
      <c r="AY66" s="342"/>
      <c r="AZ66" s="572"/>
      <c r="BB66" s="206"/>
    </row>
    <row r="67" spans="1:57" ht="30" customHeight="1" x14ac:dyDescent="0.3">
      <c r="A67" s="645">
        <v>30</v>
      </c>
      <c r="B67" s="639" t="str">
        <f t="shared" ref="B67" ca="1" si="285">IF(INDIRECT("'update Helper'!AA"&amp;BA67)=0,"",INDIRECT("'update Helper'!AA"&amp;BA67))</f>
        <v/>
      </c>
      <c r="C67" s="639" t="str">
        <f ca="1">IFERROR(INDEX('Reference Records'!C$508:C627,MATCH(INDIRECT("'update Helper'!M"&amp;BA67),'Reference Records'!E$508:E627,0)),"")</f>
        <v/>
      </c>
      <c r="D67" s="639" t="str">
        <f t="shared" ref="D67" ca="1" si="286">IF(INDIRECT("'update Helper'!W"&amp;BA67)=0,"",INDIRECT("'update Helper'!W"&amp;BA67))</f>
        <v/>
      </c>
      <c r="E67" s="639" t="str">
        <f t="shared" ref="E67" ca="1" si="287">IF(INDIRECT("'update Helper'!T"&amp;BA67)=0,"",INDIRECT("'update Helper'!T"&amp;BA67))</f>
        <v/>
      </c>
      <c r="F67" s="198" t="str">
        <f t="shared" ref="F67" ca="1" si="288">IF(INDIRECT("'update Helper'!F"&amp;BA67)=0,"",INDIRECT("'update Helper'!F"&amp;BA67))</f>
        <v/>
      </c>
      <c r="G67" s="643" t="str">
        <f t="shared" ref="G67" ca="1" si="289">IF(OR(INDIRECT("'update Helper'!D"&amp;BA67)=0,F67&lt;&gt;0,F68&lt;&gt;0),IF(IFERROR((F67/F68),"")="","",(F67/F68)),INDIRECT("'update Helper'!D"&amp;BA67)/100)</f>
        <v/>
      </c>
      <c r="H67" s="641" t="str">
        <f t="shared" ref="H67" ca="1" si="290">IF(INDIRECT("'update Helper'!L"&amp;BA67)=0,"",INDIRECT("'update Helper'!L"&amp;BA67))</f>
        <v/>
      </c>
      <c r="I67" s="639" t="str">
        <f t="shared" ref="I67" ca="1" si="291">IF(INDIRECT("'update Helper'!U"&amp;BA67)=0,"",INDIRECT("'update Helper'!U"&amp;BA67))</f>
        <v/>
      </c>
      <c r="J67" s="647" t="str">
        <f ca="1">AQ67</f>
        <v/>
      </c>
      <c r="K67" s="641" t="str">
        <f t="shared" ref="K67" ca="1" si="292">IF(OR(INDIRECT("'update Helper'!A"&amp;BA67)=FALSE,INDIRECT("'update Helper'!R"&amp;BA67)=0),"",IF(INDIRECT("'update Helper'!R"&amp;BA67)=FALSE,"No","Yes"))</f>
        <v/>
      </c>
      <c r="L67" s="639" t="str">
        <f ca="1">IF(INDIRECT("'update Helper'!S"&amp;BA67)=0,"",IFERROR(VLOOKUP(INDIRECT("'update Helper'!U"&amp;BA67),'Account Role'!A$1:B$28,2,0), IFERROR(VLOOKUP(INDIRECT("'update Helper'!AD"&amp;BA67),'Overview - Section A'!J$25:M$90,4,0),"")))</f>
        <v/>
      </c>
      <c r="M67" s="199" t="str">
        <f t="shared" ref="M67" ca="1" si="293">IF(INDIRECT("'update Helper'!O"&amp;BA67)=0,"",INDIRECT("'update Helper'!O"&amp;BA67))</f>
        <v/>
      </c>
      <c r="N67" s="649" t="str">
        <f t="shared" ref="N67" ca="1" si="294">IF(INDIRECT("'update Helper'!Q"&amp;BA67)=0,"",INDIRECT("'update Helper'!Q"&amp;BA67))</f>
        <v/>
      </c>
      <c r="O67" s="198" t="str">
        <f t="shared" ref="O67" ca="1" si="295">IF(A67=INDIRECT("'update Helper'!F"&amp;$BB67),IF(INDIRECT("'update Helper'!K"&amp;BB67)=0,"",INDIRECT("'update Helper'!K"&amp;BB67)),"")</f>
        <v/>
      </c>
      <c r="P67" s="643" t="str">
        <f t="shared" ref="P67" ca="1" si="296">IF(OR(INDIRECT("'update Helper'!I"&amp;BB67)=0,O67&lt;&gt;0,O68&lt;&gt;0),IF(IFERROR((O67/O68),"")="","",(O67/O68)),INDIRECT("'update Helper'!I"&amp;BB67)/100)</f>
        <v/>
      </c>
      <c r="Q67" s="641" t="str">
        <f t="shared" ref="Q67" ca="1" si="297">IF(A67=INDIRECT("'update Helper'!F"&amp;$BB67),IF(INDIRECT("'update Helper'!L"&amp;BB67)=0,"",INDIRECT("'update Helper'!L"&amp;BB67)),"")</f>
        <v/>
      </c>
      <c r="R67" s="198" t="str">
        <f t="shared" ref="R67" ca="1" si="298">IF(A67=INDIRECT("'update Helper'!F"&amp;$BB67+1),IF(INDIRECT("'update Helper'!K"&amp;BB67+1)=0,"",INDIRECT("'update Helper'!K"&amp;BB67+1)),"")</f>
        <v/>
      </c>
      <c r="S67" s="643" t="str">
        <f t="shared" ref="S67" ca="1" si="299">IF(OR(INDIRECT("'update Helper'!I"&amp;BB67+1)=0,R67&lt;&gt;0,R68&lt;&gt;0),IF(IFERROR((R67/R68),"")="","",(R67/R68)),INDIRECT("'update Helper'!I"&amp;BB67+1)/100)</f>
        <v/>
      </c>
      <c r="T67" s="641" t="str">
        <f t="shared" ref="T67" ca="1" si="300">IF(A67=INDIRECT("'update Helper'!F"&amp;$BB67+1),IF(INDIRECT("'update Helper'!L"&amp;BB67+1)=0,"",INDIRECT("'update Helper'!L"&amp;BB67+1)),"")</f>
        <v/>
      </c>
      <c r="U67" s="198" t="str">
        <f t="shared" ref="U67" ca="1" si="301">IF(A67=INDIRECT("'update Helper'!F"&amp;$BB67+2),IF(INDIRECT("'update Helper'!K"&amp;BB67+2)=0,"",INDIRECT("'update Helper'!K"&amp;BB67+2)),"")</f>
        <v/>
      </c>
      <c r="V67" s="643" t="str">
        <f t="shared" ref="V67" ca="1" si="302">IF(OR(INDIRECT("'update Helper'!I"&amp;BB67+2)=0,U67&lt;&gt;0,U68&lt;&gt;0),IF(IFERROR((U67/U68),"")="","",(U67/U68)),INDIRECT("'update Helper'!I"&amp;BB67+2)/100)</f>
        <v/>
      </c>
      <c r="W67" s="641" t="str">
        <f t="shared" ref="W67" ca="1" si="303">IF(A67=INDIRECT("'update Helper'!F"&amp;$BB67+2),IF(INDIRECT("'update Helper'!L"&amp;BB67+2)=0,"",INDIRECT("'update Helper'!L"&amp;BB67+2)),"")</f>
        <v/>
      </c>
      <c r="X67" s="198" t="str">
        <f t="shared" ref="X67" ca="1" si="304">IF(A67=INDIRECT("'update Helper'!F"&amp;$BB67+3),IF(INDIRECT("'update Helper'!K"&amp;BB67+3)=0,"",INDIRECT("'update Helper'!K"&amp;BB67+3)),"")</f>
        <v/>
      </c>
      <c r="Y67" s="643" t="str">
        <f t="shared" ref="Y67" ca="1" si="305">IF(A67=INDIRECT("'update Helper'!F"&amp;$BB67+3),IF(OR(INDIRECT("'update Helper'!I"&amp;BB67+3)=0,X67&lt;&gt;0,X68&lt;&gt;0),IF(IFERROR((X67/X68),"")="","",(X67/X68)),INDIRECT("'update Helper'!I"&amp;BB67+3)/100),"")</f>
        <v/>
      </c>
      <c r="Z67" s="641" t="str">
        <f t="shared" ref="Z67" ca="1" si="306">IF(A67=INDIRECT("'update Helper'!F"&amp;$BB67+3),IF(INDIRECT("'update Helper'!L"&amp;BB67+3)=0,"",INDIRECT("'update Helper'!L"&amp;BB67+3)),"")</f>
        <v/>
      </c>
      <c r="AA67" s="198" t="str">
        <f t="shared" ref="AA67" ca="1" si="307">IF(A67=INDIRECT("'update Helper'!F"&amp;$BB67+4),IF(INDIRECT("'update Helper'!K"&amp;BB67+4)=0,"",INDIRECT("'update Helper'!K"&amp;BB67+4)),"")</f>
        <v/>
      </c>
      <c r="AB67" s="643" t="str">
        <f t="shared" ref="AB67" ca="1" si="308">IF(A67=INDIRECT("'update Helper'!F"&amp;$BB67+4),IF(OR(INDIRECT("'update Helper'!I"&amp;BB67+4)=0,AA67&lt;&gt;0,AA68&lt;&gt;0),IF(IFERROR((AA67/AA68),"")="","",(AA67/AA68)),INDIRECT("'update Helper'!I"&amp;BB67+4)/100),"")</f>
        <v/>
      </c>
      <c r="AC67" s="641" t="str">
        <f t="shared" ref="AC67" ca="1" si="309">IF(A67=INDIRECT("'update Helper'!F"&amp;$BB67+4),IF(INDIRECT("'update Helper'!L"&amp;BB67+4)=0,"",INDIRECT("'update Helper'!L"&amp;BB67+4)),"")</f>
        <v/>
      </c>
      <c r="AD67" s="198" t="str">
        <f t="shared" ref="AD67" ca="1" si="310">IF(A67=INDIRECT("'update Helper'!F"&amp;$BB67+5),IF(INDIRECT("'update Helper'!K"&amp;BB67+5)=0,"",INDIRECT("'update Helper'!K"&amp;BB67+5)),"")</f>
        <v/>
      </c>
      <c r="AE67" s="643" t="str">
        <f t="shared" ref="AE67" ca="1" si="311">IF(A67=INDIRECT("'update Helper'!F"&amp;$BB67+5),IF(A67=INDIRECT("'update Helper'!F"&amp;$BB67+5),IF(OR(INDIRECT("'update Helper'!I"&amp;BB67+5)=0,AD67&lt;&gt;0,AD68&lt;&gt;0),IF(IFERROR((AD67/AD68),"")="","",(AD67/AD68)),INDIRECT("'update Helper'!I"&amp;BB67+5)/100),""),"")</f>
        <v/>
      </c>
      <c r="AF67" s="641" t="str">
        <f t="shared" ref="AF67" ca="1" si="312">IF(A67=INDIRECT("'update Helper'!F"&amp;$BB67+5),IF(INDIRECT("'update Helper'!L"&amp;BB67+5)=0,"",INDIRECT("'update Helper'!L"&amp;BB67+5)),"")</f>
        <v/>
      </c>
      <c r="AG67" s="198" t="str">
        <f t="shared" ref="AG67" ca="1" si="313">IF(A67=INDIRECT("'update Helper'!F"&amp;$BB67+6),IF(INDIRECT("'update Helper'!K"&amp;BB67+6)=0,"",INDIRECT("'update Helper'!K"&amp;BB67+6)),"")</f>
        <v/>
      </c>
      <c r="AH67" s="643" t="str">
        <f t="shared" ref="AH67" ca="1" si="314">IF(A67=INDIRECT("'update Helper'!F"&amp;$BB67+6),IF(OR(INDIRECT("'update Helper'!I"&amp;BB67+6)=0,AG67&lt;&gt;0,AG68&lt;&gt;0),IF(IFERROR((AG67/AG68),"")="","",(AG67/AG68)),INDIRECT("'update Helper'!I"&amp;BB67+6)/100),"")</f>
        <v/>
      </c>
      <c r="AI67" s="641" t="str">
        <f t="shared" ref="AI67" ca="1" si="315">IF(A67=INDIRECT("'update Helper'!F"&amp;$BB67+6),IF(INDIRECT("'update Helper'!L"&amp;BB67+6)=0,"",INDIRECT("'update Helper'!L"&amp;BB67+6)),"")</f>
        <v/>
      </c>
      <c r="AJ67" s="198" t="str">
        <f t="shared" ref="AJ67" ca="1" si="316">IF(A67=INDIRECT("'update Helper'!F"&amp;$BB67+7),IF(INDIRECT("'update Helper'!K"&amp;BB67+7)=0,"",INDIRECT("'update Helper'!K"&amp;BB67+7)),"")</f>
        <v/>
      </c>
      <c r="AK67" s="643" t="str">
        <f t="shared" ref="AK67" ca="1" si="317">IF(A67=INDIRECT("'update Helper'!F"&amp;$BB67+6),IF(OR(INDIRECT("'update Helper'!I"&amp;BB67+7)=0,AJ67&lt;&gt;0,AJ68&lt;&gt;0),IF(IFERROR((AJ67/AJ68),"")="","",(AJ67/AJ68)),INDIRECT("'update Helper'!I"&amp;BB67+7)/100),"")</f>
        <v/>
      </c>
      <c r="AL67" s="641" t="str">
        <f t="shared" ref="AL67" ca="1" si="318">IF(A67=INDIRECT("'update Helper'!F"&amp;$BB67+7),IF(INDIRECT("'update Helper'!L"&amp;BB67+7)=0,"",INDIRECT("'update Helper'!L"&amp;BB67+7)),"")</f>
        <v/>
      </c>
      <c r="AM67" s="639" t="str">
        <f t="shared" ref="AM67" ca="1" si="319">IF(INDIRECT("'update Helper'!V"&amp;BA67)=0,"",INDIRECT("'update Helper'!V"&amp;BA67))</f>
        <v/>
      </c>
      <c r="AN67" s="639" t="str">
        <f t="shared" ref="AN67" ca="1" si="320">IF(INDIRECT("'update Helper'!N"&amp;BA67)=0,"",INDIRECT("'update Helper'!N"&amp;BA67))</f>
        <v/>
      </c>
      <c r="AO67" s="639" t="str">
        <f t="shared" ref="AO67" ca="1" si="321">IF(INDIRECT("'update Helper'!G"&amp;BA67)=0,"",INDIRECT("'update Helper'!G"&amp;BA67))</f>
        <v/>
      </c>
      <c r="AP67" s="639" t="str">
        <f t="shared" ref="AP67" ca="1" si="322">IF(INDIRECT("'update Helper'!I"&amp;BA67)=0,"",INDIRECT("'update Helper'!I"&amp;BA67))</f>
        <v/>
      </c>
      <c r="AQ67" s="232" t="str">
        <f t="array" aca="1" ref="AQ67" ca="1">IFERROR(IF(INDEX('Reference Records'!$D$61:$D$120,MATCH(LEFT(D67,255),LEFT('Reference Records'!$C$61:$C$120,255),0))=0,"",INDEX('Reference Records'!$D$61:$D$120,MATCH(LEFT(D67,255),LEFT('Reference Records'!$C$61:$C$120,255),0))),"")</f>
        <v/>
      </c>
      <c r="AR67" s="191" t="str">
        <f t="array" aca="1" ref="AR67" ca="1">VLOOKUP(LEFT(D67,255),LEFT('Reference Records'!C$60:G570,255),4,0)</f>
        <v/>
      </c>
      <c r="AS67" s="191" t="e">
        <f ca="1">MATCH(AR67,'Reference Records'!$F$509:$F$569,0)+ROW(PopulationByCoverage)-1</f>
        <v>#N/A</v>
      </c>
      <c r="AT67" s="191" t="e">
        <f ca="1">MATCH(AR67,'Reference Records'!$F$509:$F$569,1)+ROW(PopulationByCoverage)-1</f>
        <v>#N/A</v>
      </c>
      <c r="AU67" s="232" t="str">
        <f ca="1">D67&amp;E67</f>
        <v/>
      </c>
      <c r="AV67" s="206" t="str">
        <f ca="1">IFERROR(IF(VLOOKUP(D67,'Reference Records'!$C$1:$K$594,9,0)=0,"",_xlfn.CONCAT(VLOOKUP(D67,'Reference Records'!$C$1:$K$594,9,0),";")),"")</f>
        <v/>
      </c>
      <c r="AW67" s="206" t="str">
        <f ca="1">CLEAN(IFERROR(LEFT(AV67, SEARCH(";",AV67,1)-1),""))</f>
        <v/>
      </c>
      <c r="AX67" s="206" t="str">
        <f ca="1">SUBSTITUTE(IFERROR(MID(AV67, SEARCH(";",AV67) + 1, SEARCH(";",AV67,SEARCH(";",AV67)+1) - SEARCH(";",AV67) - 1),""),CHAR(10),"")</f>
        <v/>
      </c>
      <c r="AY67" s="357" t="str">
        <f ca="1">CLEAN(IFERROR(SUBSTITUTE(RIGHT(AV67,LEN(AV67) - SEARCH(";", AV67, SEARCH(";",AV67) + 1)),";",""),""))</f>
        <v/>
      </c>
      <c r="AZ67" s="572" t="str">
        <f ca="1">IFERROR(IF(VLOOKUP(B67,'Reference Records'!$F$123:$N$157,9,FALSE)=0,"",VLOOKUP(B67,'Reference Records'!$F$123:$N$157,9,FALSE)),"")</f>
        <v/>
      </c>
      <c r="BA67" s="232">
        <f t="shared" si="140"/>
        <v>475</v>
      </c>
      <c r="BB67" s="359">
        <f ca="1">BB65+'update Helper'!$Y$2</f>
        <v>686</v>
      </c>
      <c r="BC67" s="232"/>
      <c r="BD67" s="232" t="str">
        <f ca="1">IF(INDIRECT("'update Helper'!S"&amp;BA67)=0,"",IFERROR(VLOOKUP(INDIRECT("'update Helper'!U"&amp;BA67),'Account Role'!A$1:B$28,2,0), IFERROR(VLOOKUP(INDIRECT("'update Helper'!AD"&amp;BA67),'Overview - Section A'!J$25:P$90,7,0),"")))</f>
        <v/>
      </c>
      <c r="BE67" s="232"/>
    </row>
    <row r="68" spans="1:57" ht="30" customHeight="1" x14ac:dyDescent="0.3">
      <c r="A68" s="646"/>
      <c r="B68" s="640"/>
      <c r="C68" s="640"/>
      <c r="D68" s="640"/>
      <c r="E68" s="640"/>
      <c r="F68" s="198" t="str">
        <f t="shared" ref="F68" ca="1" si="323">IF(INDIRECT("'update Helper'!E"&amp;BA67)=0,"",INDIRECT("'update Helper'!E"&amp;BA67))</f>
        <v/>
      </c>
      <c r="G68" s="644"/>
      <c r="H68" s="642"/>
      <c r="I68" s="640"/>
      <c r="J68" s="648"/>
      <c r="K68" s="642"/>
      <c r="L68" s="640"/>
      <c r="M68" s="358" t="str">
        <f t="shared" ref="M68" ca="1" si="324">IF(INDIRECT("'update Helper'!P"&amp;BA67)=0,"",INDIRECT("'update Helper'!P"&amp;BA67))</f>
        <v/>
      </c>
      <c r="N68" s="650"/>
      <c r="O68" s="198" t="str">
        <f t="shared" ref="O68" ca="1" si="325">IF(A67=INDIRECT("'update Helper'!F"&amp;$BB67),IF(INDIRECT("'update Helper'!J"&amp;BB67)=0,"",INDIRECT("'update Helper'!J"&amp;BB67)),"")</f>
        <v/>
      </c>
      <c r="P68" s="644"/>
      <c r="Q68" s="642"/>
      <c r="R68" s="198" t="str">
        <f t="shared" ref="R68" ca="1" si="326">IF(A67=INDIRECT("'update Helper'!F"&amp;$BB67+1),IF(INDIRECT("'update Helper'!J"&amp;BB67+1)=0,"",INDIRECT("'update Helper'!J"&amp;BB67+1)),"")</f>
        <v/>
      </c>
      <c r="S68" s="644"/>
      <c r="T68" s="642"/>
      <c r="U68" s="198" t="str">
        <f t="shared" ref="U68" ca="1" si="327">IF(A67=INDIRECT("'update Helper'!F"&amp;$BB67+2),IF(INDIRECT("'update Helper'!J"&amp;BB67+2)=0,"",INDIRECT("'update Helper'!J"&amp;BB67+2)),"")</f>
        <v/>
      </c>
      <c r="V68" s="644"/>
      <c r="W68" s="642"/>
      <c r="X68" s="198" t="str">
        <f t="shared" ref="X68" ca="1" si="328">IF(A67=INDIRECT("'update Helper'!F"&amp;$BB67+3),IF(INDIRECT("'update Helper'!J"&amp;BB67+3)=0,"",INDIRECT("'update Helper'!J"&amp;BB67+3)),"")</f>
        <v/>
      </c>
      <c r="Y68" s="644"/>
      <c r="Z68" s="642"/>
      <c r="AA68" s="198" t="str">
        <f t="shared" ref="AA68" ca="1" si="329">IF(A67=INDIRECT("'update Helper'!F"&amp;$BB67+4),IF(INDIRECT("'update Helper'!J"&amp;BB67+4)=0,"",INDIRECT("'update Helper'!J"&amp;BB67+4)),"")</f>
        <v/>
      </c>
      <c r="AB68" s="644"/>
      <c r="AC68" s="642"/>
      <c r="AD68" s="198" t="str">
        <f t="shared" ref="AD68" ca="1" si="330">IF(A67=INDIRECT("'update Helper'!F"&amp;$BB67+5),IF(INDIRECT("'update Helper'!J"&amp;BB67+5)=0,"",INDIRECT("'update Helper'!J"&amp;BB67+5)),"")</f>
        <v/>
      </c>
      <c r="AE68" s="644"/>
      <c r="AF68" s="642"/>
      <c r="AG68" s="198" t="str">
        <f t="shared" ref="AG68" ca="1" si="331">IF(A67=INDIRECT("'update Helper'!F"&amp;$BB67+6),IF(INDIRECT("'update Helper'!J"&amp;BB67+6)=0,"",INDIRECT("'update Helper'!J"&amp;BB67+6)),"")</f>
        <v/>
      </c>
      <c r="AH68" s="644"/>
      <c r="AI68" s="642"/>
      <c r="AJ68" s="198" t="str">
        <f t="shared" ref="AJ68" ca="1" si="332">IF(A67=INDIRECT("'update Helper'!F"&amp;$BB67+7),IF(INDIRECT("'update Helper'!J"&amp;BB67+7)=0,"",INDIRECT("'update Helper'!J"&amp;BB67+7)),"")</f>
        <v/>
      </c>
      <c r="AK68" s="644"/>
      <c r="AL68" s="642"/>
      <c r="AM68" s="640"/>
      <c r="AN68" s="640"/>
      <c r="AO68" s="640"/>
      <c r="AP68" s="640"/>
      <c r="AQ68" s="232"/>
      <c r="AR68" s="232"/>
      <c r="AS68" s="232"/>
      <c r="AT68" s="232"/>
      <c r="AU68" s="232"/>
      <c r="AV68" s="206"/>
      <c r="AW68" s="206"/>
      <c r="AX68" s="206"/>
      <c r="AY68" s="357"/>
      <c r="AZ68" s="572"/>
      <c r="BA68" s="232"/>
      <c r="BB68" s="206"/>
      <c r="BC68" s="232"/>
      <c r="BD68" s="232"/>
      <c r="BE68" s="232"/>
    </row>
    <row r="69" spans="1:57" ht="30" customHeight="1" x14ac:dyDescent="0.3">
      <c r="AE69" s="660"/>
    </row>
    <row r="70" spans="1:57" ht="30" customHeight="1" x14ac:dyDescent="0.3">
      <c r="AE70" s="660"/>
    </row>
    <row r="71" spans="1:57" ht="30" customHeight="1" x14ac:dyDescent="0.3">
      <c r="AE71" s="660"/>
    </row>
    <row r="72" spans="1:57" ht="30" customHeight="1" x14ac:dyDescent="0.3">
      <c r="AE72" s="660"/>
    </row>
    <row r="73" spans="1:57" ht="30" customHeight="1" x14ac:dyDescent="0.3">
      <c r="AE73" s="660"/>
    </row>
    <row r="74" spans="1:57" ht="30" customHeight="1" x14ac:dyDescent="0.3">
      <c r="AE74" s="660"/>
    </row>
    <row r="75" spans="1:57" ht="30" customHeight="1" x14ac:dyDescent="0.3">
      <c r="AE75" s="660"/>
    </row>
    <row r="76" spans="1:57" ht="30" customHeight="1" x14ac:dyDescent="0.3">
      <c r="AE76" s="660"/>
    </row>
    <row r="77" spans="1:57" ht="30" customHeight="1" x14ac:dyDescent="0.3">
      <c r="AE77" s="660"/>
    </row>
    <row r="78" spans="1:57" ht="30" customHeight="1" x14ac:dyDescent="0.3">
      <c r="AE78" s="660"/>
    </row>
    <row r="79" spans="1:57" ht="30" customHeight="1" x14ac:dyDescent="0.3">
      <c r="AE79" s="660"/>
    </row>
    <row r="80" spans="1:57" ht="30" customHeight="1" x14ac:dyDescent="0.3">
      <c r="AE80" s="660"/>
    </row>
    <row r="81" spans="31:31" ht="30" customHeight="1" x14ac:dyDescent="0.3">
      <c r="AE81" s="660"/>
    </row>
    <row r="82" spans="31:31" ht="30" customHeight="1" x14ac:dyDescent="0.3">
      <c r="AE82" s="660"/>
    </row>
    <row r="83" spans="31:31" ht="30" customHeight="1" x14ac:dyDescent="0.3">
      <c r="AE83" s="660"/>
    </row>
    <row r="84" spans="31:31" ht="30" customHeight="1" x14ac:dyDescent="0.3">
      <c r="AE84" s="660"/>
    </row>
    <row r="85" spans="31:31" ht="30" customHeight="1" x14ac:dyDescent="0.3">
      <c r="AE85" s="660"/>
    </row>
    <row r="86" spans="31:31" ht="30" customHeight="1" x14ac:dyDescent="0.3">
      <c r="AE86" s="660"/>
    </row>
    <row r="87" spans="31:31" ht="30" customHeight="1" x14ac:dyDescent="0.3">
      <c r="AE87" s="660"/>
    </row>
    <row r="88" spans="31:31" ht="30" customHeight="1" x14ac:dyDescent="0.3">
      <c r="AE88" s="660"/>
    </row>
    <row r="89" spans="31:31" ht="30" customHeight="1" x14ac:dyDescent="0.3">
      <c r="AE89" s="660"/>
    </row>
    <row r="90" spans="31:31" ht="30" customHeight="1" x14ac:dyDescent="0.3">
      <c r="AE90" s="660"/>
    </row>
    <row r="91" spans="31:31" ht="30" customHeight="1" x14ac:dyDescent="0.3">
      <c r="AE91" s="660"/>
    </row>
    <row r="92" spans="31:31" ht="30" customHeight="1" x14ac:dyDescent="0.3">
      <c r="AE92" s="660"/>
    </row>
    <row r="93" spans="31:31" ht="30" customHeight="1" x14ac:dyDescent="0.3">
      <c r="AE93" s="660"/>
    </row>
    <row r="94" spans="31:31" ht="30" customHeight="1" x14ac:dyDescent="0.3">
      <c r="AE94" s="660"/>
    </row>
    <row r="95" spans="31:31" ht="30" customHeight="1" x14ac:dyDescent="0.3">
      <c r="AE95" s="660"/>
    </row>
    <row r="96" spans="31:31" ht="30" customHeight="1" x14ac:dyDescent="0.3">
      <c r="AE96" s="660"/>
    </row>
    <row r="97" spans="31:31" ht="30" customHeight="1" x14ac:dyDescent="0.3">
      <c r="AE97" s="660"/>
    </row>
    <row r="98" spans="31:31" ht="30" customHeight="1" x14ac:dyDescent="0.3">
      <c r="AE98" s="660"/>
    </row>
    <row r="99" spans="31:31" ht="30" customHeight="1" x14ac:dyDescent="0.3">
      <c r="AE99" s="660"/>
    </row>
    <row r="100" spans="31:31" ht="30" customHeight="1" x14ac:dyDescent="0.3">
      <c r="AE100" s="660"/>
    </row>
    <row r="101" spans="31:31" x14ac:dyDescent="0.3">
      <c r="AE101" s="660"/>
    </row>
    <row r="102" spans="31:31" x14ac:dyDescent="0.3">
      <c r="AE102" s="660"/>
    </row>
  </sheetData>
  <sheetProtection password="FB8C" sheet="1" objects="1" scenarios="1" formatCells="0" formatColumns="0" formatRows="0"/>
  <mergeCells count="1016">
    <mergeCell ref="AZ67:AZ68"/>
    <mergeCell ref="Y67:Y68"/>
    <mergeCell ref="Z67:Z68"/>
    <mergeCell ref="AB67:AB68"/>
    <mergeCell ref="AC67:AC68"/>
    <mergeCell ref="AF67:AF68"/>
    <mergeCell ref="AH67:AH68"/>
    <mergeCell ref="AI67:AI68"/>
    <mergeCell ref="AK67:AK68"/>
    <mergeCell ref="AL67:AL68"/>
    <mergeCell ref="K67:K68"/>
    <mergeCell ref="L67:L68"/>
    <mergeCell ref="N67:N68"/>
    <mergeCell ref="P67:P68"/>
    <mergeCell ref="Q67:Q68"/>
    <mergeCell ref="S67:S68"/>
    <mergeCell ref="T67:T68"/>
    <mergeCell ref="V67:V68"/>
    <mergeCell ref="W67:W68"/>
    <mergeCell ref="AZ65:AZ66"/>
    <mergeCell ref="Y65:Y66"/>
    <mergeCell ref="Z65:Z66"/>
    <mergeCell ref="AB65:AB66"/>
    <mergeCell ref="AC65:AC66"/>
    <mergeCell ref="AF65:AF66"/>
    <mergeCell ref="AH65:AH66"/>
    <mergeCell ref="AI65:AI66"/>
    <mergeCell ref="AK65:AK66"/>
    <mergeCell ref="AL65:AL66"/>
    <mergeCell ref="K65:K66"/>
    <mergeCell ref="L65:L66"/>
    <mergeCell ref="N65:N66"/>
    <mergeCell ref="P65:P66"/>
    <mergeCell ref="Q65:Q66"/>
    <mergeCell ref="S65:S66"/>
    <mergeCell ref="T65:T66"/>
    <mergeCell ref="T61:T62"/>
    <mergeCell ref="V61:V62"/>
    <mergeCell ref="W61:W62"/>
    <mergeCell ref="Y61:Y62"/>
    <mergeCell ref="Z61:Z62"/>
    <mergeCell ref="AB61:AB62"/>
    <mergeCell ref="AC61:AC62"/>
    <mergeCell ref="AO63:AO64"/>
    <mergeCell ref="AP63:AP64"/>
    <mergeCell ref="A67:A68"/>
    <mergeCell ref="B67:B68"/>
    <mergeCell ref="C67:C68"/>
    <mergeCell ref="D67:D68"/>
    <mergeCell ref="E67:E68"/>
    <mergeCell ref="G67:G68"/>
    <mergeCell ref="H67:H68"/>
    <mergeCell ref="I67:I68"/>
    <mergeCell ref="J67:J68"/>
    <mergeCell ref="AM65:AM66"/>
    <mergeCell ref="AN65:AN66"/>
    <mergeCell ref="AO65:AO66"/>
    <mergeCell ref="AP65:AP66"/>
    <mergeCell ref="AM67:AM68"/>
    <mergeCell ref="AN67:AN68"/>
    <mergeCell ref="AO67:AO68"/>
    <mergeCell ref="AP67:AP68"/>
    <mergeCell ref="A65:A66"/>
    <mergeCell ref="B65:B66"/>
    <mergeCell ref="C65:C66"/>
    <mergeCell ref="D65:D66"/>
    <mergeCell ref="E65:E66"/>
    <mergeCell ref="G65:G66"/>
    <mergeCell ref="H65:H66"/>
    <mergeCell ref="I65:I66"/>
    <mergeCell ref="J65:J66"/>
    <mergeCell ref="AH63:AH64"/>
    <mergeCell ref="AI63:AI64"/>
    <mergeCell ref="AK63:AK64"/>
    <mergeCell ref="AL63:AL64"/>
    <mergeCell ref="AM63:AM64"/>
    <mergeCell ref="AN63:AN64"/>
    <mergeCell ref="V65:V66"/>
    <mergeCell ref="W65:W66"/>
    <mergeCell ref="AZ63:AZ64"/>
    <mergeCell ref="AZ61:AZ62"/>
    <mergeCell ref="A63:A64"/>
    <mergeCell ref="B63:B64"/>
    <mergeCell ref="C63:C64"/>
    <mergeCell ref="D63:D64"/>
    <mergeCell ref="E63:E64"/>
    <mergeCell ref="G63:G64"/>
    <mergeCell ref="H63:H64"/>
    <mergeCell ref="I63:I64"/>
    <mergeCell ref="J63:J64"/>
    <mergeCell ref="K63:K64"/>
    <mergeCell ref="L63:L64"/>
    <mergeCell ref="N63:N64"/>
    <mergeCell ref="P63:P64"/>
    <mergeCell ref="Q63:Q64"/>
    <mergeCell ref="S63:S64"/>
    <mergeCell ref="T63:T64"/>
    <mergeCell ref="V63:V64"/>
    <mergeCell ref="W63:W64"/>
    <mergeCell ref="Y63:Y64"/>
    <mergeCell ref="Z63:Z64"/>
    <mergeCell ref="AB63:AB64"/>
    <mergeCell ref="AC63:AC64"/>
    <mergeCell ref="AF63:AF64"/>
    <mergeCell ref="AF61:AF62"/>
    <mergeCell ref="AH61:AH62"/>
    <mergeCell ref="AI61:AI62"/>
    <mergeCell ref="AK61:AK62"/>
    <mergeCell ref="AL61:AL62"/>
    <mergeCell ref="AM61:AM62"/>
    <mergeCell ref="AN61:AN62"/>
    <mergeCell ref="W59:W60"/>
    <mergeCell ref="Y59:Y60"/>
    <mergeCell ref="Z59:Z60"/>
    <mergeCell ref="AB59:AB60"/>
    <mergeCell ref="AC59:AC60"/>
    <mergeCell ref="A57:A58"/>
    <mergeCell ref="B57:B58"/>
    <mergeCell ref="C57:C58"/>
    <mergeCell ref="D57:D58"/>
    <mergeCell ref="E57:E58"/>
    <mergeCell ref="G57:G58"/>
    <mergeCell ref="H57:H58"/>
    <mergeCell ref="I57:I58"/>
    <mergeCell ref="Q59:Q60"/>
    <mergeCell ref="S59:S60"/>
    <mergeCell ref="T59:T60"/>
    <mergeCell ref="V59:V60"/>
    <mergeCell ref="J57:J58"/>
    <mergeCell ref="K57:K58"/>
    <mergeCell ref="L57:L58"/>
    <mergeCell ref="N57:N58"/>
    <mergeCell ref="AO61:AO62"/>
    <mergeCell ref="AP61:AP62"/>
    <mergeCell ref="AP59:AP60"/>
    <mergeCell ref="AZ59:AZ60"/>
    <mergeCell ref="A61:A62"/>
    <mergeCell ref="B61:B62"/>
    <mergeCell ref="C61:C62"/>
    <mergeCell ref="D61:D62"/>
    <mergeCell ref="E61:E62"/>
    <mergeCell ref="G61:G62"/>
    <mergeCell ref="H61:H62"/>
    <mergeCell ref="I61:I62"/>
    <mergeCell ref="J61:J62"/>
    <mergeCell ref="K61:K62"/>
    <mergeCell ref="L61:L62"/>
    <mergeCell ref="N61:N62"/>
    <mergeCell ref="P61:P62"/>
    <mergeCell ref="Q61:Q62"/>
    <mergeCell ref="S61:S62"/>
    <mergeCell ref="A59:A60"/>
    <mergeCell ref="B59:B60"/>
    <mergeCell ref="C59:C60"/>
    <mergeCell ref="D59:D60"/>
    <mergeCell ref="E59:E60"/>
    <mergeCell ref="G59:G60"/>
    <mergeCell ref="H59:H60"/>
    <mergeCell ref="I59:I60"/>
    <mergeCell ref="J59:J60"/>
    <mergeCell ref="K59:K60"/>
    <mergeCell ref="L59:L60"/>
    <mergeCell ref="N59:N60"/>
    <mergeCell ref="P59:P60"/>
    <mergeCell ref="P57:P58"/>
    <mergeCell ref="Q57:Q58"/>
    <mergeCell ref="S57:S58"/>
    <mergeCell ref="T57:T58"/>
    <mergeCell ref="V57:V58"/>
    <mergeCell ref="W57:W58"/>
    <mergeCell ref="Y57:Y58"/>
    <mergeCell ref="Z57:Z58"/>
    <mergeCell ref="AB57:AB58"/>
    <mergeCell ref="AC57:AC58"/>
    <mergeCell ref="AF57:AF58"/>
    <mergeCell ref="AH57:AH58"/>
    <mergeCell ref="AI57:AI58"/>
    <mergeCell ref="AK57:AK58"/>
    <mergeCell ref="AL57:AL58"/>
    <mergeCell ref="AM57:AM58"/>
    <mergeCell ref="AN57:AN58"/>
    <mergeCell ref="AO57:AO58"/>
    <mergeCell ref="AF59:AF60"/>
    <mergeCell ref="AH59:AH60"/>
    <mergeCell ref="AI59:AI60"/>
    <mergeCell ref="AK59:AK60"/>
    <mergeCell ref="AL59:AL60"/>
    <mergeCell ref="AM59:AM60"/>
    <mergeCell ref="AN59:AN60"/>
    <mergeCell ref="AO59:AO60"/>
    <mergeCell ref="AO55:AO56"/>
    <mergeCell ref="AP55:AP56"/>
    <mergeCell ref="AZ55:AZ56"/>
    <mergeCell ref="AB55:AB56"/>
    <mergeCell ref="AC55:AC56"/>
    <mergeCell ref="AF55:AF56"/>
    <mergeCell ref="AH55:AH56"/>
    <mergeCell ref="AI55:AI56"/>
    <mergeCell ref="AK55:AK56"/>
    <mergeCell ref="AL55:AL56"/>
    <mergeCell ref="AM55:AM56"/>
    <mergeCell ref="AN55:AN56"/>
    <mergeCell ref="AE57:AE58"/>
    <mergeCell ref="AP57:AP58"/>
    <mergeCell ref="AZ57:AZ58"/>
    <mergeCell ref="AE55:AE56"/>
    <mergeCell ref="AN53:AN54"/>
    <mergeCell ref="AO53:AO54"/>
    <mergeCell ref="AP53:AP54"/>
    <mergeCell ref="AZ53:AZ54"/>
    <mergeCell ref="A55:A56"/>
    <mergeCell ref="B55:B56"/>
    <mergeCell ref="C55:C56"/>
    <mergeCell ref="D55:D56"/>
    <mergeCell ref="E55:E56"/>
    <mergeCell ref="G55:G56"/>
    <mergeCell ref="H55:H56"/>
    <mergeCell ref="I55:I56"/>
    <mergeCell ref="J55:J56"/>
    <mergeCell ref="K55:K56"/>
    <mergeCell ref="L55:L56"/>
    <mergeCell ref="N55:N56"/>
    <mergeCell ref="P55:P56"/>
    <mergeCell ref="Q55:Q56"/>
    <mergeCell ref="S55:S56"/>
    <mergeCell ref="T55:T56"/>
    <mergeCell ref="V55:V56"/>
    <mergeCell ref="W55:W56"/>
    <mergeCell ref="Y55:Y56"/>
    <mergeCell ref="Z55:Z56"/>
    <mergeCell ref="Z53:Z54"/>
    <mergeCell ref="AB53:AB54"/>
    <mergeCell ref="AC53:AC54"/>
    <mergeCell ref="AF53:AF54"/>
    <mergeCell ref="AH53:AH54"/>
    <mergeCell ref="AI53:AI54"/>
    <mergeCell ref="AK53:AK54"/>
    <mergeCell ref="AL53:AL54"/>
    <mergeCell ref="AM53:AM54"/>
    <mergeCell ref="AM51:AM52"/>
    <mergeCell ref="AN51:AN52"/>
    <mergeCell ref="AO51:AO52"/>
    <mergeCell ref="AP51:AP52"/>
    <mergeCell ref="AZ51:AZ52"/>
    <mergeCell ref="A53:A54"/>
    <mergeCell ref="B53:B54"/>
    <mergeCell ref="C53:C54"/>
    <mergeCell ref="D53:D54"/>
    <mergeCell ref="E53:E54"/>
    <mergeCell ref="G53:G54"/>
    <mergeCell ref="H53:H54"/>
    <mergeCell ref="I53:I54"/>
    <mergeCell ref="J53:J54"/>
    <mergeCell ref="K53:K54"/>
    <mergeCell ref="L53:L54"/>
    <mergeCell ref="N53:N54"/>
    <mergeCell ref="P53:P54"/>
    <mergeCell ref="Q53:Q54"/>
    <mergeCell ref="S53:S54"/>
    <mergeCell ref="T53:T54"/>
    <mergeCell ref="V53:V54"/>
    <mergeCell ref="W53:W54"/>
    <mergeCell ref="Y53:Y54"/>
    <mergeCell ref="Y51:Y52"/>
    <mergeCell ref="Z51:Z52"/>
    <mergeCell ref="AB51:AB52"/>
    <mergeCell ref="AC51:AC52"/>
    <mergeCell ref="AF51:AF52"/>
    <mergeCell ref="AH51:AH52"/>
    <mergeCell ref="AI51:AI52"/>
    <mergeCell ref="AK51:AK52"/>
    <mergeCell ref="AL51:AL52"/>
    <mergeCell ref="K51:K52"/>
    <mergeCell ref="L51:L52"/>
    <mergeCell ref="N51:N52"/>
    <mergeCell ref="P51:P52"/>
    <mergeCell ref="Q51:Q52"/>
    <mergeCell ref="S51:S52"/>
    <mergeCell ref="T51:T52"/>
    <mergeCell ref="V51:V52"/>
    <mergeCell ref="W51:W52"/>
    <mergeCell ref="A51:A52"/>
    <mergeCell ref="B51:B52"/>
    <mergeCell ref="C51:C52"/>
    <mergeCell ref="D51:D52"/>
    <mergeCell ref="E51:E52"/>
    <mergeCell ref="G51:G52"/>
    <mergeCell ref="H51:H52"/>
    <mergeCell ref="I51:I52"/>
    <mergeCell ref="J51:J52"/>
    <mergeCell ref="AH49:AH50"/>
    <mergeCell ref="AI49:AI50"/>
    <mergeCell ref="AK49:AK50"/>
    <mergeCell ref="AL49:AL50"/>
    <mergeCell ref="AM49:AM50"/>
    <mergeCell ref="AN49:AN50"/>
    <mergeCell ref="AO49:AO50"/>
    <mergeCell ref="AP49:AP50"/>
    <mergeCell ref="AZ49:AZ50"/>
    <mergeCell ref="AZ47:AZ48"/>
    <mergeCell ref="A49:A50"/>
    <mergeCell ref="B49:B50"/>
    <mergeCell ref="C49:C50"/>
    <mergeCell ref="D49:D50"/>
    <mergeCell ref="E49:E50"/>
    <mergeCell ref="G49:G50"/>
    <mergeCell ref="H49:H50"/>
    <mergeCell ref="I49:I50"/>
    <mergeCell ref="J49:J50"/>
    <mergeCell ref="K49:K50"/>
    <mergeCell ref="L49:L50"/>
    <mergeCell ref="N49:N50"/>
    <mergeCell ref="P49:P50"/>
    <mergeCell ref="Q49:Q50"/>
    <mergeCell ref="S49:S50"/>
    <mergeCell ref="T49:T50"/>
    <mergeCell ref="V49:V50"/>
    <mergeCell ref="W49:W50"/>
    <mergeCell ref="Y49:Y50"/>
    <mergeCell ref="Z49:Z50"/>
    <mergeCell ref="AB49:AB50"/>
    <mergeCell ref="AC49:AC50"/>
    <mergeCell ref="AF49:AF50"/>
    <mergeCell ref="AF47:AF48"/>
    <mergeCell ref="AH47:AH48"/>
    <mergeCell ref="AI47:AI48"/>
    <mergeCell ref="AK47:AK48"/>
    <mergeCell ref="AL47:AL48"/>
    <mergeCell ref="AM47:AM48"/>
    <mergeCell ref="AN47:AN48"/>
    <mergeCell ref="AO47:AO48"/>
    <mergeCell ref="AP47:AP48"/>
    <mergeCell ref="AP45:AP46"/>
    <mergeCell ref="AZ45:AZ46"/>
    <mergeCell ref="A47:A48"/>
    <mergeCell ref="B47:B48"/>
    <mergeCell ref="C47:C48"/>
    <mergeCell ref="D47:D48"/>
    <mergeCell ref="E47:E48"/>
    <mergeCell ref="G47:G48"/>
    <mergeCell ref="H47:H48"/>
    <mergeCell ref="I47:I48"/>
    <mergeCell ref="J47:J48"/>
    <mergeCell ref="K47:K48"/>
    <mergeCell ref="L47:L48"/>
    <mergeCell ref="N47:N48"/>
    <mergeCell ref="P47:P48"/>
    <mergeCell ref="Q47:Q48"/>
    <mergeCell ref="S47:S48"/>
    <mergeCell ref="T47:T48"/>
    <mergeCell ref="V47:V48"/>
    <mergeCell ref="W47:W48"/>
    <mergeCell ref="Y47:Y48"/>
    <mergeCell ref="Z47:Z48"/>
    <mergeCell ref="AB47:AB48"/>
    <mergeCell ref="AC47:AC48"/>
    <mergeCell ref="AC45:AC46"/>
    <mergeCell ref="AF45:AF46"/>
    <mergeCell ref="AH45:AH46"/>
    <mergeCell ref="AI45:AI46"/>
    <mergeCell ref="AK45:AK46"/>
    <mergeCell ref="AL45:AL46"/>
    <mergeCell ref="AM45:AM46"/>
    <mergeCell ref="AN45:AN46"/>
    <mergeCell ref="AO45:AO46"/>
    <mergeCell ref="AO43:AO44"/>
    <mergeCell ref="AP43:AP44"/>
    <mergeCell ref="AZ43:AZ44"/>
    <mergeCell ref="A45:A46"/>
    <mergeCell ref="B45:B46"/>
    <mergeCell ref="C45:C46"/>
    <mergeCell ref="D45:D46"/>
    <mergeCell ref="E45:E46"/>
    <mergeCell ref="G45:G46"/>
    <mergeCell ref="H45:H46"/>
    <mergeCell ref="I45:I46"/>
    <mergeCell ref="J45:J46"/>
    <mergeCell ref="K45:K46"/>
    <mergeCell ref="L45:L46"/>
    <mergeCell ref="N45:N46"/>
    <mergeCell ref="P45:P46"/>
    <mergeCell ref="Q45:Q46"/>
    <mergeCell ref="S45:S46"/>
    <mergeCell ref="T45:T46"/>
    <mergeCell ref="V45:V46"/>
    <mergeCell ref="W45:W46"/>
    <mergeCell ref="AZ41:AZ42"/>
    <mergeCell ref="A43:A44"/>
    <mergeCell ref="B43:B44"/>
    <mergeCell ref="C43:C44"/>
    <mergeCell ref="D43:D44"/>
    <mergeCell ref="E43:E44"/>
    <mergeCell ref="G43:G44"/>
    <mergeCell ref="H43:H44"/>
    <mergeCell ref="I43:I44"/>
    <mergeCell ref="J43:J44"/>
    <mergeCell ref="K43:K44"/>
    <mergeCell ref="L43:L44"/>
    <mergeCell ref="N43:N44"/>
    <mergeCell ref="P43:P44"/>
    <mergeCell ref="Q43:Q44"/>
    <mergeCell ref="S43:S44"/>
    <mergeCell ref="T43:T44"/>
    <mergeCell ref="AH41:AH42"/>
    <mergeCell ref="AI41:AI42"/>
    <mergeCell ref="AK41:AK42"/>
    <mergeCell ref="AL41:AL42"/>
    <mergeCell ref="AM41:AM42"/>
    <mergeCell ref="AM39:AM40"/>
    <mergeCell ref="AN39:AN40"/>
    <mergeCell ref="AO39:AO40"/>
    <mergeCell ref="AP39:AP40"/>
    <mergeCell ref="Y45:Y46"/>
    <mergeCell ref="Z45:Z46"/>
    <mergeCell ref="AB45:AB46"/>
    <mergeCell ref="AB43:AB44"/>
    <mergeCell ref="AC43:AC44"/>
    <mergeCell ref="AF43:AF44"/>
    <mergeCell ref="AH43:AH44"/>
    <mergeCell ref="AI43:AI44"/>
    <mergeCell ref="AK43:AK44"/>
    <mergeCell ref="AL43:AL44"/>
    <mergeCell ref="AM43:AM44"/>
    <mergeCell ref="AN43:AN44"/>
    <mergeCell ref="AN41:AN42"/>
    <mergeCell ref="AO41:AO42"/>
    <mergeCell ref="AP41:AP42"/>
    <mergeCell ref="AF41:AF42"/>
    <mergeCell ref="AZ39:AZ40"/>
    <mergeCell ref="A41:A42"/>
    <mergeCell ref="B41:B42"/>
    <mergeCell ref="C41:C42"/>
    <mergeCell ref="D41:D42"/>
    <mergeCell ref="E41:E42"/>
    <mergeCell ref="G41:G42"/>
    <mergeCell ref="H41:H42"/>
    <mergeCell ref="I41:I42"/>
    <mergeCell ref="J41:J42"/>
    <mergeCell ref="K41:K42"/>
    <mergeCell ref="L41:L42"/>
    <mergeCell ref="N41:N42"/>
    <mergeCell ref="P41:P42"/>
    <mergeCell ref="Q41:Q42"/>
    <mergeCell ref="S41:S42"/>
    <mergeCell ref="T41:T42"/>
    <mergeCell ref="V41:V42"/>
    <mergeCell ref="W41:W42"/>
    <mergeCell ref="Y41:Y42"/>
    <mergeCell ref="Y39:Y40"/>
    <mergeCell ref="Z39:Z40"/>
    <mergeCell ref="AB39:AB40"/>
    <mergeCell ref="AC39:AC40"/>
    <mergeCell ref="AF39:AF40"/>
    <mergeCell ref="AH39:AH40"/>
    <mergeCell ref="AI39:AI40"/>
    <mergeCell ref="AK39:AK40"/>
    <mergeCell ref="AL39:AL40"/>
    <mergeCell ref="K39:K40"/>
    <mergeCell ref="L39:L40"/>
    <mergeCell ref="N39:N40"/>
    <mergeCell ref="A39:A40"/>
    <mergeCell ref="B39:B40"/>
    <mergeCell ref="C39:C40"/>
    <mergeCell ref="D39:D40"/>
    <mergeCell ref="E39:E40"/>
    <mergeCell ref="G39:G40"/>
    <mergeCell ref="H39:H40"/>
    <mergeCell ref="I39:I40"/>
    <mergeCell ref="J39:J40"/>
    <mergeCell ref="AO9:AO10"/>
    <mergeCell ref="AP9:AP10"/>
    <mergeCell ref="AE37:AE38"/>
    <mergeCell ref="N11:N12"/>
    <mergeCell ref="P11:P12"/>
    <mergeCell ref="Q11:Q12"/>
    <mergeCell ref="S11:S12"/>
    <mergeCell ref="G11:G12"/>
    <mergeCell ref="H11:H12"/>
    <mergeCell ref="I11:I12"/>
    <mergeCell ref="J11:J12"/>
    <mergeCell ref="K11:K12"/>
    <mergeCell ref="AN11:AN12"/>
    <mergeCell ref="AO11:AO12"/>
    <mergeCell ref="AP11:AP12"/>
    <mergeCell ref="AB11:AB12"/>
    <mergeCell ref="AC11:AC12"/>
    <mergeCell ref="E9:E10"/>
    <mergeCell ref="G9:G10"/>
    <mergeCell ref="W9:W10"/>
    <mergeCell ref="AB9:AB10"/>
    <mergeCell ref="AO17:AO18"/>
    <mergeCell ref="B13:B14"/>
    <mergeCell ref="O7:Q7"/>
    <mergeCell ref="R7:T7"/>
    <mergeCell ref="U7:W7"/>
    <mergeCell ref="AA7:AC7"/>
    <mergeCell ref="AC9:AC10"/>
    <mergeCell ref="Y9:Y10"/>
    <mergeCell ref="Z9:Z10"/>
    <mergeCell ref="X7:Z7"/>
    <mergeCell ref="H9:H10"/>
    <mergeCell ref="I9:I10"/>
    <mergeCell ref="J9:J10"/>
    <mergeCell ref="K9:K10"/>
    <mergeCell ref="L9:L10"/>
    <mergeCell ref="N9:N10"/>
    <mergeCell ref="P9:P10"/>
    <mergeCell ref="G13:G14"/>
    <mergeCell ref="AE53:AE54"/>
    <mergeCell ref="AE13:AE14"/>
    <mergeCell ref="AE15:AE16"/>
    <mergeCell ref="V43:V44"/>
    <mergeCell ref="W43:W44"/>
    <mergeCell ref="Y43:Y44"/>
    <mergeCell ref="Z43:Z44"/>
    <mergeCell ref="Z41:Z42"/>
    <mergeCell ref="AB41:AB42"/>
    <mergeCell ref="AC41:AC42"/>
    <mergeCell ref="L11:L12"/>
    <mergeCell ref="AC15:AC16"/>
    <mergeCell ref="K27:K28"/>
    <mergeCell ref="L27:L28"/>
    <mergeCell ref="N27:N28"/>
    <mergeCell ref="P27:P28"/>
    <mergeCell ref="AG7:AI7"/>
    <mergeCell ref="AH9:AH10"/>
    <mergeCell ref="AI9:AI10"/>
    <mergeCell ref="AN9:AN10"/>
    <mergeCell ref="AJ7:AL7"/>
    <mergeCell ref="AK9:AK10"/>
    <mergeCell ref="AL9:AL10"/>
    <mergeCell ref="AM9:AM10"/>
    <mergeCell ref="AD7:AF7"/>
    <mergeCell ref="AE9:AE10"/>
    <mergeCell ref="AF9:AF10"/>
    <mergeCell ref="AF17:AF18"/>
    <mergeCell ref="AF29:AF30"/>
    <mergeCell ref="P39:P40"/>
    <mergeCell ref="Q39:Q40"/>
    <mergeCell ref="S39:S40"/>
    <mergeCell ref="T39:T40"/>
    <mergeCell ref="V39:V40"/>
    <mergeCell ref="W39:W40"/>
    <mergeCell ref="T11:T12"/>
    <mergeCell ref="V11:V12"/>
    <mergeCell ref="W11:W12"/>
    <mergeCell ref="Y11:Y12"/>
    <mergeCell ref="AF13:AF14"/>
    <mergeCell ref="AI17:AI18"/>
    <mergeCell ref="AN17:AN18"/>
    <mergeCell ref="AF11:AF12"/>
    <mergeCell ref="AH11:AH12"/>
    <mergeCell ref="AI11:AI12"/>
    <mergeCell ref="AK11:AK12"/>
    <mergeCell ref="AL11:AL12"/>
    <mergeCell ref="AM11:AM12"/>
    <mergeCell ref="AE99:AE100"/>
    <mergeCell ref="AE101:AE102"/>
    <mergeCell ref="AE87:AE88"/>
    <mergeCell ref="AE89:AE90"/>
    <mergeCell ref="AE91:AE92"/>
    <mergeCell ref="AE93:AE94"/>
    <mergeCell ref="AE95:AE96"/>
    <mergeCell ref="AE97:AE98"/>
    <mergeCell ref="C9:C10"/>
    <mergeCell ref="D9:D10"/>
    <mergeCell ref="AE85:AE86"/>
    <mergeCell ref="AE61:AE62"/>
    <mergeCell ref="AE63:AE64"/>
    <mergeCell ref="AE65:AE66"/>
    <mergeCell ref="AE75:AE76"/>
    <mergeCell ref="AE77:AE78"/>
    <mergeCell ref="AE79:AE80"/>
    <mergeCell ref="AE69:AE70"/>
    <mergeCell ref="AE71:AE72"/>
    <mergeCell ref="AE81:AE82"/>
    <mergeCell ref="AE83:AE84"/>
    <mergeCell ref="AE67:AE68"/>
    <mergeCell ref="AE59:AE60"/>
    <mergeCell ref="AE47:AE48"/>
    <mergeCell ref="AE49:AE50"/>
    <mergeCell ref="AE51:AE52"/>
    <mergeCell ref="Z11:Z12"/>
    <mergeCell ref="H13:H14"/>
    <mergeCell ref="I13:I14"/>
    <mergeCell ref="J13:J14"/>
    <mergeCell ref="K13:K14"/>
    <mergeCell ref="C13:C14"/>
    <mergeCell ref="A1:G2"/>
    <mergeCell ref="AE73:AE74"/>
    <mergeCell ref="AE41:AE42"/>
    <mergeCell ref="AE43:AE44"/>
    <mergeCell ref="AE45:AE46"/>
    <mergeCell ref="AE17:AE18"/>
    <mergeCell ref="AE39:AE40"/>
    <mergeCell ref="AE19:AE20"/>
    <mergeCell ref="AE21:AE22"/>
    <mergeCell ref="AE23:AE24"/>
    <mergeCell ref="AE25:AE26"/>
    <mergeCell ref="AE27:AE28"/>
    <mergeCell ref="AE29:AE30"/>
    <mergeCell ref="AE31:AE32"/>
    <mergeCell ref="AE33:AE34"/>
    <mergeCell ref="AE35:AE36"/>
    <mergeCell ref="A9:A10"/>
    <mergeCell ref="B9:B10"/>
    <mergeCell ref="A11:A12"/>
    <mergeCell ref="B11:B12"/>
    <mergeCell ref="Q9:Q10"/>
    <mergeCell ref="S9:S10"/>
    <mergeCell ref="T9:T10"/>
    <mergeCell ref="V9:V10"/>
    <mergeCell ref="C11:C12"/>
    <mergeCell ref="D11:D12"/>
    <mergeCell ref="E11:E12"/>
    <mergeCell ref="A17:A18"/>
    <mergeCell ref="B17:B18"/>
    <mergeCell ref="C17:C18"/>
    <mergeCell ref="AE11:AE12"/>
    <mergeCell ref="A13:A14"/>
    <mergeCell ref="D13:D14"/>
    <mergeCell ref="E13:E14"/>
    <mergeCell ref="AH13:AH14"/>
    <mergeCell ref="AI13:AI14"/>
    <mergeCell ref="T13:T14"/>
    <mergeCell ref="V13:V14"/>
    <mergeCell ref="W13:W14"/>
    <mergeCell ref="Y13:Y14"/>
    <mergeCell ref="Z13:Z14"/>
    <mergeCell ref="L13:L14"/>
    <mergeCell ref="N13:N14"/>
    <mergeCell ref="P13:P14"/>
    <mergeCell ref="Q13:Q14"/>
    <mergeCell ref="S13:S14"/>
    <mergeCell ref="AB13:AB14"/>
    <mergeCell ref="AC13:AC14"/>
    <mergeCell ref="A15:A16"/>
    <mergeCell ref="B15:B16"/>
    <mergeCell ref="C15:C16"/>
    <mergeCell ref="D15:D16"/>
    <mergeCell ref="E15:E16"/>
    <mergeCell ref="G15:G16"/>
    <mergeCell ref="H15:H16"/>
    <mergeCell ref="I15:I16"/>
    <mergeCell ref="J15:J16"/>
    <mergeCell ref="K15:K16"/>
    <mergeCell ref="L15:L16"/>
    <mergeCell ref="N15:N16"/>
    <mergeCell ref="P15:P16"/>
    <mergeCell ref="Q15:Q16"/>
    <mergeCell ref="Z15:Z16"/>
    <mergeCell ref="AB15:AB16"/>
    <mergeCell ref="AO13:AO14"/>
    <mergeCell ref="AP13:AP14"/>
    <mergeCell ref="AN15:AN16"/>
    <mergeCell ref="AO15:AO16"/>
    <mergeCell ref="AP15:AP16"/>
    <mergeCell ref="AI15:AI16"/>
    <mergeCell ref="AK15:AK16"/>
    <mergeCell ref="AL15:AL16"/>
    <mergeCell ref="AM15:AM16"/>
    <mergeCell ref="AM13:AM14"/>
    <mergeCell ref="AN13:AN14"/>
    <mergeCell ref="AK13:AK14"/>
    <mergeCell ref="AL13:AL14"/>
    <mergeCell ref="G17:G18"/>
    <mergeCell ref="H17:H18"/>
    <mergeCell ref="I17:I18"/>
    <mergeCell ref="J17:J18"/>
    <mergeCell ref="K17:K18"/>
    <mergeCell ref="AC17:AC18"/>
    <mergeCell ref="AK17:AK18"/>
    <mergeCell ref="AL17:AL18"/>
    <mergeCell ref="AM17:AM18"/>
    <mergeCell ref="AB17:AB18"/>
    <mergeCell ref="S15:S16"/>
    <mergeCell ref="T15:T16"/>
    <mergeCell ref="V15:V16"/>
    <mergeCell ref="W15:W16"/>
    <mergeCell ref="Y15:Y16"/>
    <mergeCell ref="AP17:AP18"/>
    <mergeCell ref="AF15:AF16"/>
    <mergeCell ref="AH15:AH16"/>
    <mergeCell ref="AH17:AH18"/>
    <mergeCell ref="D17:D18"/>
    <mergeCell ref="E17:E18"/>
    <mergeCell ref="T17:T18"/>
    <mergeCell ref="V17:V18"/>
    <mergeCell ref="W17:W18"/>
    <mergeCell ref="Y17:Y18"/>
    <mergeCell ref="Z17:Z18"/>
    <mergeCell ref="P17:P18"/>
    <mergeCell ref="Q17:Q18"/>
    <mergeCell ref="S17:S18"/>
    <mergeCell ref="L17:L18"/>
    <mergeCell ref="N17:N18"/>
    <mergeCell ref="A19:A20"/>
    <mergeCell ref="B19:B20"/>
    <mergeCell ref="C19:C20"/>
    <mergeCell ref="D19:D20"/>
    <mergeCell ref="E19:E20"/>
    <mergeCell ref="G19:G20"/>
    <mergeCell ref="H19:H20"/>
    <mergeCell ref="I19:I20"/>
    <mergeCell ref="J19:J20"/>
    <mergeCell ref="K19:K20"/>
    <mergeCell ref="L19:L20"/>
    <mergeCell ref="N19:N20"/>
    <mergeCell ref="AI21:AI22"/>
    <mergeCell ref="AK21:AK22"/>
    <mergeCell ref="AL21:AL22"/>
    <mergeCell ref="AM21:AM22"/>
    <mergeCell ref="Z21:Z22"/>
    <mergeCell ref="AB21:AB22"/>
    <mergeCell ref="AC21:AC22"/>
    <mergeCell ref="AF21:AF22"/>
    <mergeCell ref="AH21:AH22"/>
    <mergeCell ref="AH19:AH20"/>
    <mergeCell ref="AI19:AI20"/>
    <mergeCell ref="AK19:AK20"/>
    <mergeCell ref="AL19:AL20"/>
    <mergeCell ref="W19:W20"/>
    <mergeCell ref="P19:P20"/>
    <mergeCell ref="Q19:Q20"/>
    <mergeCell ref="S19:S20"/>
    <mergeCell ref="T19:T20"/>
    <mergeCell ref="V19:V20"/>
    <mergeCell ref="Y19:Y20"/>
    <mergeCell ref="Z19:Z20"/>
    <mergeCell ref="AB19:AB20"/>
    <mergeCell ref="AC19:AC20"/>
    <mergeCell ref="S21:S22"/>
    <mergeCell ref="T21:T22"/>
    <mergeCell ref="V21:V22"/>
    <mergeCell ref="W21:W22"/>
    <mergeCell ref="Y21:Y22"/>
    <mergeCell ref="E23:E24"/>
    <mergeCell ref="V23:V24"/>
    <mergeCell ref="W23:W24"/>
    <mergeCell ref="Y23:Y24"/>
    <mergeCell ref="Z23:Z24"/>
    <mergeCell ref="L23:L24"/>
    <mergeCell ref="N23:N24"/>
    <mergeCell ref="P23:P24"/>
    <mergeCell ref="Q23:Q24"/>
    <mergeCell ref="S23:S24"/>
    <mergeCell ref="AO19:AO20"/>
    <mergeCell ref="AP19:AP20"/>
    <mergeCell ref="A21:A22"/>
    <mergeCell ref="B21:B22"/>
    <mergeCell ref="C21:C22"/>
    <mergeCell ref="D21:D22"/>
    <mergeCell ref="E21:E22"/>
    <mergeCell ref="G21:G22"/>
    <mergeCell ref="H21:H22"/>
    <mergeCell ref="I21:I22"/>
    <mergeCell ref="J21:J22"/>
    <mergeCell ref="K21:K22"/>
    <mergeCell ref="L21:L22"/>
    <mergeCell ref="N21:N22"/>
    <mergeCell ref="P21:P22"/>
    <mergeCell ref="Q21:Q22"/>
    <mergeCell ref="AM19:AM20"/>
    <mergeCell ref="AN19:AN20"/>
    <mergeCell ref="AF19:AF20"/>
    <mergeCell ref="AN21:AN22"/>
    <mergeCell ref="AO21:AO22"/>
    <mergeCell ref="AP21:AP22"/>
    <mergeCell ref="AO23:AO24"/>
    <mergeCell ref="AP23:AP24"/>
    <mergeCell ref="A25:A26"/>
    <mergeCell ref="B25:B26"/>
    <mergeCell ref="C25:C26"/>
    <mergeCell ref="D25:D26"/>
    <mergeCell ref="E25:E26"/>
    <mergeCell ref="G25:G26"/>
    <mergeCell ref="H25:H26"/>
    <mergeCell ref="I25:I26"/>
    <mergeCell ref="J25:J26"/>
    <mergeCell ref="K25:K26"/>
    <mergeCell ref="L25:L26"/>
    <mergeCell ref="N25:N26"/>
    <mergeCell ref="AK23:AK24"/>
    <mergeCell ref="AL23:AL24"/>
    <mergeCell ref="AM23:AM24"/>
    <mergeCell ref="AB23:AB24"/>
    <mergeCell ref="AC23:AC24"/>
    <mergeCell ref="AF23:AF24"/>
    <mergeCell ref="AH23:AH24"/>
    <mergeCell ref="AI23:AI24"/>
    <mergeCell ref="T23:T24"/>
    <mergeCell ref="G23:G24"/>
    <mergeCell ref="H23:H24"/>
    <mergeCell ref="I23:I24"/>
    <mergeCell ref="J23:J24"/>
    <mergeCell ref="K23:K24"/>
    <mergeCell ref="A23:A24"/>
    <mergeCell ref="B23:B24"/>
    <mergeCell ref="C23:C24"/>
    <mergeCell ref="D23:D24"/>
    <mergeCell ref="Q27:Q28"/>
    <mergeCell ref="AM25:AM26"/>
    <mergeCell ref="AN25:AN26"/>
    <mergeCell ref="AF25:AF26"/>
    <mergeCell ref="AH25:AH26"/>
    <mergeCell ref="AI25:AI26"/>
    <mergeCell ref="AK25:AK26"/>
    <mergeCell ref="AL25:AL26"/>
    <mergeCell ref="W25:W26"/>
    <mergeCell ref="Y25:Y26"/>
    <mergeCell ref="Z25:Z26"/>
    <mergeCell ref="AB25:AB26"/>
    <mergeCell ref="AC25:AC26"/>
    <mergeCell ref="P25:P26"/>
    <mergeCell ref="Q25:Q26"/>
    <mergeCell ref="S25:S26"/>
    <mergeCell ref="T25:T26"/>
    <mergeCell ref="V25:V26"/>
    <mergeCell ref="S27:S28"/>
    <mergeCell ref="T27:T28"/>
    <mergeCell ref="A27:A28"/>
    <mergeCell ref="B27:B28"/>
    <mergeCell ref="C27:C28"/>
    <mergeCell ref="D27:D28"/>
    <mergeCell ref="E27:E28"/>
    <mergeCell ref="G27:G28"/>
    <mergeCell ref="H27:H28"/>
    <mergeCell ref="I27:I28"/>
    <mergeCell ref="J27:J28"/>
    <mergeCell ref="V27:V28"/>
    <mergeCell ref="W27:W28"/>
    <mergeCell ref="Y27:Y28"/>
    <mergeCell ref="L29:L30"/>
    <mergeCell ref="N29:N30"/>
    <mergeCell ref="AO25:AO26"/>
    <mergeCell ref="AP25:AP26"/>
    <mergeCell ref="AN27:AN28"/>
    <mergeCell ref="AO27:AO28"/>
    <mergeCell ref="AP27:AP28"/>
    <mergeCell ref="AI27:AI28"/>
    <mergeCell ref="AK27:AK28"/>
    <mergeCell ref="AL27:AL28"/>
    <mergeCell ref="AM27:AM28"/>
    <mergeCell ref="Z27:Z28"/>
    <mergeCell ref="AB27:AB28"/>
    <mergeCell ref="AC27:AC28"/>
    <mergeCell ref="AF27:AF28"/>
    <mergeCell ref="AH27:AH28"/>
    <mergeCell ref="AH29:AH30"/>
    <mergeCell ref="AI29:AI30"/>
    <mergeCell ref="AN29:AN30"/>
    <mergeCell ref="AO29:AO30"/>
    <mergeCell ref="H29:H30"/>
    <mergeCell ref="I29:I30"/>
    <mergeCell ref="J29:J30"/>
    <mergeCell ref="K29:K30"/>
    <mergeCell ref="AC29:AC30"/>
    <mergeCell ref="A29:A30"/>
    <mergeCell ref="B29:B30"/>
    <mergeCell ref="C29:C30"/>
    <mergeCell ref="D29:D30"/>
    <mergeCell ref="E29:E30"/>
    <mergeCell ref="T29:T30"/>
    <mergeCell ref="V29:V30"/>
    <mergeCell ref="W29:W30"/>
    <mergeCell ref="Y29:Y30"/>
    <mergeCell ref="Z29:Z30"/>
    <mergeCell ref="P29:P30"/>
    <mergeCell ref="Q29:Q30"/>
    <mergeCell ref="S29:S30"/>
    <mergeCell ref="Z33:Z34"/>
    <mergeCell ref="A31:A32"/>
    <mergeCell ref="B31:B32"/>
    <mergeCell ref="C31:C32"/>
    <mergeCell ref="D31:D32"/>
    <mergeCell ref="E31:E32"/>
    <mergeCell ref="G31:G32"/>
    <mergeCell ref="H31:H32"/>
    <mergeCell ref="I31:I32"/>
    <mergeCell ref="J31:J32"/>
    <mergeCell ref="K31:K32"/>
    <mergeCell ref="L31:L32"/>
    <mergeCell ref="N31:N32"/>
    <mergeCell ref="AK29:AK30"/>
    <mergeCell ref="AL29:AL30"/>
    <mergeCell ref="AM29:AM30"/>
    <mergeCell ref="AB29:AB30"/>
    <mergeCell ref="AH31:AH32"/>
    <mergeCell ref="AI31:AI32"/>
    <mergeCell ref="AK31:AK32"/>
    <mergeCell ref="AL31:AL32"/>
    <mergeCell ref="W31:W32"/>
    <mergeCell ref="P31:P32"/>
    <mergeCell ref="Q31:Q32"/>
    <mergeCell ref="S31:S32"/>
    <mergeCell ref="T31:T32"/>
    <mergeCell ref="V31:V32"/>
    <mergeCell ref="Y31:Y32"/>
    <mergeCell ref="Z31:Z32"/>
    <mergeCell ref="AB31:AB32"/>
    <mergeCell ref="AC31:AC32"/>
    <mergeCell ref="G29:G30"/>
    <mergeCell ref="S33:S34"/>
    <mergeCell ref="T33:T34"/>
    <mergeCell ref="V33:V34"/>
    <mergeCell ref="W33:W34"/>
    <mergeCell ref="Y33:Y34"/>
    <mergeCell ref="AB33:AB34"/>
    <mergeCell ref="AC33:AC34"/>
    <mergeCell ref="AO31:AO32"/>
    <mergeCell ref="AP31:AP32"/>
    <mergeCell ref="A33:A34"/>
    <mergeCell ref="B33:B34"/>
    <mergeCell ref="C33:C34"/>
    <mergeCell ref="D33:D34"/>
    <mergeCell ref="E33:E34"/>
    <mergeCell ref="G33:G34"/>
    <mergeCell ref="H33:H34"/>
    <mergeCell ref="I33:I34"/>
    <mergeCell ref="J33:J34"/>
    <mergeCell ref="K33:K34"/>
    <mergeCell ref="L33:L34"/>
    <mergeCell ref="N33:N34"/>
    <mergeCell ref="P33:P34"/>
    <mergeCell ref="Q33:Q34"/>
    <mergeCell ref="AM31:AM32"/>
    <mergeCell ref="AN31:AN32"/>
    <mergeCell ref="AF31:AF32"/>
    <mergeCell ref="AN33:AN34"/>
    <mergeCell ref="AO33:AO34"/>
    <mergeCell ref="AP33:AP34"/>
    <mergeCell ref="AI33:AI34"/>
    <mergeCell ref="AK33:AK34"/>
    <mergeCell ref="AL33:AL34"/>
    <mergeCell ref="H35:H36"/>
    <mergeCell ref="I35:I36"/>
    <mergeCell ref="J35:J36"/>
    <mergeCell ref="K35:K36"/>
    <mergeCell ref="A35:A36"/>
    <mergeCell ref="B35:B36"/>
    <mergeCell ref="C35:C36"/>
    <mergeCell ref="D35:D36"/>
    <mergeCell ref="E35:E36"/>
    <mergeCell ref="V35:V36"/>
    <mergeCell ref="W35:W36"/>
    <mergeCell ref="Y35:Y36"/>
    <mergeCell ref="Z35:Z36"/>
    <mergeCell ref="L35:L36"/>
    <mergeCell ref="N35:N36"/>
    <mergeCell ref="P35:P36"/>
    <mergeCell ref="Q35:Q36"/>
    <mergeCell ref="S35:S36"/>
    <mergeCell ref="A37:A38"/>
    <mergeCell ref="B37:B38"/>
    <mergeCell ref="C37:C38"/>
    <mergeCell ref="D37:D38"/>
    <mergeCell ref="E37:E38"/>
    <mergeCell ref="G37:G38"/>
    <mergeCell ref="H37:H38"/>
    <mergeCell ref="I37:I38"/>
    <mergeCell ref="J37:J38"/>
    <mergeCell ref="K37:K38"/>
    <mergeCell ref="L37:L38"/>
    <mergeCell ref="N37:N38"/>
    <mergeCell ref="AK35:AK36"/>
    <mergeCell ref="AL35:AL36"/>
    <mergeCell ref="AM35:AM36"/>
    <mergeCell ref="AB35:AB36"/>
    <mergeCell ref="AC35:AC36"/>
    <mergeCell ref="AF35:AF36"/>
    <mergeCell ref="AH35:AH36"/>
    <mergeCell ref="AI35:AI36"/>
    <mergeCell ref="T35:T36"/>
    <mergeCell ref="W37:W38"/>
    <mergeCell ref="Y37:Y38"/>
    <mergeCell ref="Z37:Z38"/>
    <mergeCell ref="AB37:AB38"/>
    <mergeCell ref="AC37:AC38"/>
    <mergeCell ref="P37:P38"/>
    <mergeCell ref="Q37:Q38"/>
    <mergeCell ref="S37:S38"/>
    <mergeCell ref="T37:T38"/>
    <mergeCell ref="V37:V38"/>
    <mergeCell ref="G35:G36"/>
    <mergeCell ref="AO37:AO38"/>
    <mergeCell ref="AP37:AP38"/>
    <mergeCell ref="AM37:AM38"/>
    <mergeCell ref="AN37:AN38"/>
    <mergeCell ref="AF37:AF38"/>
    <mergeCell ref="AH37:AH38"/>
    <mergeCell ref="AI37:AI38"/>
    <mergeCell ref="AK37:AK38"/>
    <mergeCell ref="AL37:AL38"/>
    <mergeCell ref="AZ29:AZ30"/>
    <mergeCell ref="AZ31:AZ32"/>
    <mergeCell ref="AZ33:AZ34"/>
    <mergeCell ref="AZ35:AZ36"/>
    <mergeCell ref="AZ37:AZ38"/>
    <mergeCell ref="AZ9:AZ10"/>
    <mergeCell ref="AZ11:AZ12"/>
    <mergeCell ref="AZ13:AZ14"/>
    <mergeCell ref="AZ15:AZ16"/>
    <mergeCell ref="AZ17:AZ18"/>
    <mergeCell ref="AZ19:AZ20"/>
    <mergeCell ref="AZ21:AZ22"/>
    <mergeCell ref="AZ23:AZ24"/>
    <mergeCell ref="AZ25:AZ26"/>
    <mergeCell ref="AZ27:AZ28"/>
    <mergeCell ref="AN35:AN36"/>
    <mergeCell ref="AO35:AO36"/>
    <mergeCell ref="AP35:AP36"/>
    <mergeCell ref="AF33:AF34"/>
    <mergeCell ref="AH33:AH34"/>
    <mergeCell ref="AM33:AM34"/>
    <mergeCell ref="AP29:AP30"/>
    <mergeCell ref="AN23:AN24"/>
  </mergeCells>
  <conditionalFormatting sqref="A9 A13 A17 A21 A25 A29 A33 A37">
    <cfRule type="expression" dxfId="1243" priority="1578">
      <formula>#REF!="Yes"</formula>
    </cfRule>
  </conditionalFormatting>
  <conditionalFormatting sqref="D9:D66">
    <cfRule type="expression" dxfId="1242" priority="1449">
      <formula>AND($D9&lt;&gt;"",$E9&lt;&gt;"")</formula>
    </cfRule>
  </conditionalFormatting>
  <conditionalFormatting sqref="O49 O51 O53 O55 O57 O59 O61 O63 O65">
    <cfRule type="expression" dxfId="1241" priority="1447">
      <formula>AND(OR($O49&lt;&gt;"",$O50&lt;&gt;"",$P49&lt;&gt;""),$Q49="TBD")</formula>
    </cfRule>
  </conditionalFormatting>
  <conditionalFormatting sqref="P9:Q10 P11:P38 O49:O66 Q11:Q66">
    <cfRule type="expression" dxfId="1240" priority="1448">
      <formula>AND(OR($O9&lt;&gt;"",$O10&lt;&gt;"",$P9&lt;&gt;""),$Q9="TBD")</formula>
    </cfRule>
  </conditionalFormatting>
  <conditionalFormatting sqref="R49 R51 R53 R55 R57 R59 R61 R63 R65">
    <cfRule type="expression" dxfId="1239" priority="1445">
      <formula>AND(OR($O49&lt;&gt;"",$O50&lt;&gt;"",$P49&lt;&gt;""),$Q49="TBD")</formula>
    </cfRule>
  </conditionalFormatting>
  <conditionalFormatting sqref="S9:T10 S11:S38 R49:R66 T11:T66">
    <cfRule type="expression" dxfId="1238" priority="1446">
      <formula>AND(OR($R9&lt;&gt;"",$R10&lt;&gt;"",$S9&lt;&gt;""),$T9="TBD")</formula>
    </cfRule>
  </conditionalFormatting>
  <conditionalFormatting sqref="U49 U51 U53 U55 U57 U59 U61 U63 U65">
    <cfRule type="expression" dxfId="1237" priority="1443">
      <formula>AND(OR($O49&lt;&gt;"",$O50&lt;&gt;"",$P49&lt;&gt;""),$Q49="TBD")</formula>
    </cfRule>
  </conditionalFormatting>
  <conditionalFormatting sqref="V9:W10 V11:V38 U49:U66 W11:W66">
    <cfRule type="expression" dxfId="1236" priority="1444">
      <formula>AND(OR($U9&lt;&gt;"",$U10&lt;&gt;"",$V9&lt;&gt;""),$W9="TBD")</formula>
    </cfRule>
  </conditionalFormatting>
  <conditionalFormatting sqref="X49 X51 X53 X55 X57 X59 X61 X63 X65">
    <cfRule type="expression" dxfId="1235" priority="1441">
      <formula>AND(OR($O49&lt;&gt;"",$O50&lt;&gt;"",$P49&lt;&gt;""),$Q49="TBD")</formula>
    </cfRule>
  </conditionalFormatting>
  <conditionalFormatting sqref="X49:Z66 Y9:Z48">
    <cfRule type="expression" dxfId="1234" priority="1442">
      <formula>AND(OR($X9&lt;&gt;"",$X10&lt;&gt;"",$Y9&lt;&gt;""),$Z9="TBD")</formula>
    </cfRule>
  </conditionalFormatting>
  <conditionalFormatting sqref="AA49 AA51 AA53 AA55 AA57 AA59 AA61 AA63 AA65">
    <cfRule type="expression" dxfId="1233" priority="1439">
      <formula>AND(OR($O49&lt;&gt;"",$O50&lt;&gt;"",$P49&lt;&gt;""),$Q49="TBD")</formula>
    </cfRule>
  </conditionalFormatting>
  <conditionalFormatting sqref="AA49:AC66 AB9:AC48">
    <cfRule type="expression" dxfId="1232" priority="1440">
      <formula>AND(OR($AA9&lt;&gt;"",$AA10&lt;&gt;"",$AB9&lt;&gt;""),$AC9="TBD")</formula>
    </cfRule>
  </conditionalFormatting>
  <conditionalFormatting sqref="AD49 AD51 AD53 AD55 AD57 AD59 AD61 AD63 AD65">
    <cfRule type="expression" dxfId="1231" priority="1437">
      <formula>AND(OR($O49&lt;&gt;"",$O50&lt;&gt;"",$P49&lt;&gt;""),$Q49="TBD")</formula>
    </cfRule>
  </conditionalFormatting>
  <conditionalFormatting sqref="AD49:AF66 AE9:AF48">
    <cfRule type="expression" dxfId="1230" priority="1438">
      <formula>AND(OR($AD9&lt;&gt;"",$AD10&lt;&gt;"",$AE9&lt;&gt;""),$AF9="TBD")</formula>
    </cfRule>
  </conditionalFormatting>
  <conditionalFormatting sqref="AG9 AG11 AG13 AG15 AG17 AG19 AG21 AG23 AG25 AG27 AG29 AG31 AG33 AG35 AG37 AG39 AG41 AG43 AG45 AG47 AG49 AG51 AG53 AG55 AG57 AG59 AG61 AG63 AG65">
    <cfRule type="expression" dxfId="1229" priority="1435">
      <formula>AND(OR($O9&lt;&gt;"",$O10&lt;&gt;"",$P9&lt;&gt;""),$Q9="TBD")</formula>
    </cfRule>
  </conditionalFormatting>
  <conditionalFormatting sqref="AG9:AI66">
    <cfRule type="expression" dxfId="1228" priority="1436">
      <formula>AND(OR($AG9&lt;&gt;"",$AG10&lt;&gt;"",$AH9&lt;&gt;""),$AI9="TBD")</formula>
    </cfRule>
  </conditionalFormatting>
  <conditionalFormatting sqref="AJ9 AJ11 AJ13 AJ15 AJ17 AJ19 AJ21 AJ23 AJ25 AJ27 AJ29 AJ31 AJ33 AJ35 AJ37 AJ39 AJ41 AJ43 AJ45 AJ47 AJ49 AJ51 AJ53 AJ55 AJ57 AJ59 AJ61 AJ63 AJ65">
    <cfRule type="expression" dxfId="1227" priority="1433">
      <formula>AND(OR($O9&lt;&gt;"",$O10&lt;&gt;"",$P9&lt;&gt;""),$Q9="TBD")</formula>
    </cfRule>
  </conditionalFormatting>
  <conditionalFormatting sqref="AJ9:AL66">
    <cfRule type="expression" dxfId="1226" priority="1434">
      <formula>AND(OR($AJ9&lt;&gt;"",$AJ10&lt;&gt;"",$AK9&lt;&gt;""),$AL9="TBD")</formula>
    </cfRule>
  </conditionalFormatting>
  <conditionalFormatting sqref="O50 O52 O54 O56 O58 O60 O62 O64 O66">
    <cfRule type="expression" dxfId="1225" priority="1431">
      <formula>AND(OR($O49&lt;&gt;"",$O50&lt;&gt;"",$P49&lt;&gt;""),$Q49="TBD")</formula>
    </cfRule>
  </conditionalFormatting>
  <conditionalFormatting sqref="R50 R52 R54 R56 R58 R60 R62 R64 R66">
    <cfRule type="expression" dxfId="1224" priority="1430">
      <formula>AND(OR($R49&lt;&gt;"",$R50&lt;&gt;"",$S49&lt;&gt;""),$T49="TBD")</formula>
    </cfRule>
  </conditionalFormatting>
  <conditionalFormatting sqref="U50 U52 U54 U56 U58 U60 U62 U64 U66">
    <cfRule type="expression" dxfId="1223" priority="1429">
      <formula>AND(OR($U49&lt;&gt;"",$U50&lt;&gt;"",$V49&lt;&gt;""),$W49="TBD")</formula>
    </cfRule>
  </conditionalFormatting>
  <conditionalFormatting sqref="X50 X52 X54 X56 X58 X60 X62 X64 X66">
    <cfRule type="expression" dxfId="1222" priority="1428">
      <formula>AND(OR($X49&lt;&gt;"",$X50&lt;&gt;"",$Y49&lt;&gt;""),$Z49="TBD")</formula>
    </cfRule>
  </conditionalFormatting>
  <conditionalFormatting sqref="AA50 AA52 AA54 AA56 AA58 AA60 AA62 AA64 AA66">
    <cfRule type="expression" dxfId="1221" priority="1427">
      <formula>AND(OR($AA49&lt;&gt;"",$AA50&lt;&gt;"",$AB49&lt;&gt;""),$AC49="TBD")</formula>
    </cfRule>
  </conditionalFormatting>
  <conditionalFormatting sqref="AD50 AD52 AD54 AD56 AD58 AD60 AD62 AD64 AD66">
    <cfRule type="expression" dxfId="1220" priority="1426">
      <formula>AND(OR($AD49&lt;&gt;"",$AD50&lt;&gt;"",$AE49&lt;&gt;""),$AF49="TBD")</formula>
    </cfRule>
  </conditionalFormatting>
  <conditionalFormatting sqref="AG10 AG12 AG14 AG16 AG18 AG20 AG22 AG24 AG26 AG28 AG30 AG32 AG34 AG36 AG38 AG40 AG42 AG44 AG46 AG48 AG50 AG52 AG54 AG56 AG58 AG60 AG62 AG64 AG66">
    <cfRule type="expression" dxfId="1219" priority="1425">
      <formula>AND(OR($AG9&lt;&gt;"",$AG10&lt;&gt;"",$AH9&lt;&gt;""),$AI9="TBD")</formula>
    </cfRule>
  </conditionalFormatting>
  <conditionalFormatting sqref="AJ10 AJ12 AJ14 AJ16 AJ18 AJ20 AJ22 AJ24 AJ26 AJ28 AJ30 AJ32 AJ34 AJ36 AJ38 AJ40 AJ42 AJ44 AJ46 AJ48 AJ50 AJ52 AJ54 AJ56 AJ58 AJ60 AJ62 AJ64 AJ66">
    <cfRule type="expression" dxfId="1218" priority="1424">
      <formula>AND(OR($AJ9&lt;&gt;"",$AJ10&lt;&gt;"",$AK9&lt;&gt;""),$AL9="TBD")</formula>
    </cfRule>
  </conditionalFormatting>
  <conditionalFormatting sqref="A11 A15 A19 A23 A27 A31 A35">
    <cfRule type="expression" dxfId="1217" priority="1422">
      <formula>#REF!="Yes"</formula>
    </cfRule>
  </conditionalFormatting>
  <conditionalFormatting sqref="M10 M12 M14 M16 M18 M20 M22 M24 M26 M28 M30 M32 M34 M36 M38">
    <cfRule type="expression" dxfId="1216" priority="13819">
      <formula>AND($M10="",$B9&lt;&gt;"")</formula>
    </cfRule>
  </conditionalFormatting>
  <conditionalFormatting sqref="A9 A13 A17 A21 A25 A29 A33 A37 A15 A19 A23 A27 A31 A35 A11">
    <cfRule type="expression" dxfId="1215" priority="13820">
      <formula>#REF!="[Record ID]"</formula>
    </cfRule>
  </conditionalFormatting>
  <conditionalFormatting sqref="A39">
    <cfRule type="expression" dxfId="1214" priority="1005">
      <formula>#REF!="Yes"</formula>
    </cfRule>
  </conditionalFormatting>
  <conditionalFormatting sqref="P39:P40">
    <cfRule type="expression" dxfId="1213" priority="1003">
      <formula>AND(OR($O39&lt;&gt;"",$O40&lt;&gt;"",$P39&lt;&gt;""),$Q39="TBD")</formula>
    </cfRule>
  </conditionalFormatting>
  <conditionalFormatting sqref="S39:S40">
    <cfRule type="expression" dxfId="1212" priority="1001">
      <formula>AND(OR($R39&lt;&gt;"",$R40&lt;&gt;"",$S39&lt;&gt;""),$T39="TBD")</formula>
    </cfRule>
  </conditionalFormatting>
  <conditionalFormatting sqref="V39:V40">
    <cfRule type="expression" dxfId="1211" priority="1000">
      <formula>AND(OR($U39&lt;&gt;"",$U40&lt;&gt;"",$V39&lt;&gt;""),$W39="TBD")</formula>
    </cfRule>
  </conditionalFormatting>
  <conditionalFormatting sqref="M40">
    <cfRule type="expression" dxfId="1210" priority="1006">
      <formula>AND($M40="",$B39&lt;&gt;"")</formula>
    </cfRule>
  </conditionalFormatting>
  <conditionalFormatting sqref="A39">
    <cfRule type="expression" dxfId="1209" priority="1007">
      <formula>#REF!="[Record ID]"</formula>
    </cfRule>
  </conditionalFormatting>
  <conditionalFormatting sqref="A41">
    <cfRule type="expression" dxfId="1208" priority="967">
      <formula>#REF!="Yes"</formula>
    </cfRule>
  </conditionalFormatting>
  <conditionalFormatting sqref="P41:P42">
    <cfRule type="expression" dxfId="1207" priority="965">
      <formula>AND(OR($O41&lt;&gt;"",$O42&lt;&gt;"",$P41&lt;&gt;""),$Q41="TBD")</formula>
    </cfRule>
  </conditionalFormatting>
  <conditionalFormatting sqref="S41:S42">
    <cfRule type="expression" dxfId="1206" priority="963">
      <formula>AND(OR($R41&lt;&gt;"",$R42&lt;&gt;"",$S41&lt;&gt;""),$T41="TBD")</formula>
    </cfRule>
  </conditionalFormatting>
  <conditionalFormatting sqref="V41:V42">
    <cfRule type="expression" dxfId="1205" priority="962">
      <formula>AND(OR($U41&lt;&gt;"",$U42&lt;&gt;"",$V41&lt;&gt;""),$W41="TBD")</formula>
    </cfRule>
  </conditionalFormatting>
  <conditionalFormatting sqref="M42">
    <cfRule type="expression" dxfId="1204" priority="968">
      <formula>AND($M42="",$B41&lt;&gt;"")</formula>
    </cfRule>
  </conditionalFormatting>
  <conditionalFormatting sqref="A41">
    <cfRule type="expression" dxfId="1203" priority="969">
      <formula>#REF!="[Record ID]"</formula>
    </cfRule>
  </conditionalFormatting>
  <conditionalFormatting sqref="A43">
    <cfRule type="expression" dxfId="1202" priority="929">
      <formula>#REF!="Yes"</formula>
    </cfRule>
  </conditionalFormatting>
  <conditionalFormatting sqref="P43:P44">
    <cfRule type="expression" dxfId="1201" priority="927">
      <formula>AND(OR($O43&lt;&gt;"",$O44&lt;&gt;"",$P43&lt;&gt;""),$Q43="TBD")</formula>
    </cfRule>
  </conditionalFormatting>
  <conditionalFormatting sqref="S43:S44">
    <cfRule type="expression" dxfId="1200" priority="925">
      <formula>AND(OR($R43&lt;&gt;"",$R44&lt;&gt;"",$S43&lt;&gt;""),$T43="TBD")</formula>
    </cfRule>
  </conditionalFormatting>
  <conditionalFormatting sqref="V43:V44">
    <cfRule type="expression" dxfId="1199" priority="924">
      <formula>AND(OR($U43&lt;&gt;"",$U44&lt;&gt;"",$V43&lt;&gt;""),$W43="TBD")</formula>
    </cfRule>
  </conditionalFormatting>
  <conditionalFormatting sqref="M44">
    <cfRule type="expression" dxfId="1198" priority="930">
      <formula>AND($M44="",$B43&lt;&gt;"")</formula>
    </cfRule>
  </conditionalFormatting>
  <conditionalFormatting sqref="A43">
    <cfRule type="expression" dxfId="1197" priority="931">
      <formula>#REF!="[Record ID]"</formula>
    </cfRule>
  </conditionalFormatting>
  <conditionalFormatting sqref="A45">
    <cfRule type="expression" dxfId="1196" priority="891">
      <formula>#REF!="Yes"</formula>
    </cfRule>
  </conditionalFormatting>
  <conditionalFormatting sqref="P45:P46">
    <cfRule type="expression" dxfId="1195" priority="889">
      <formula>AND(OR($O45&lt;&gt;"",$O46&lt;&gt;"",$P45&lt;&gt;""),$Q45="TBD")</formula>
    </cfRule>
  </conditionalFormatting>
  <conditionalFormatting sqref="S45:S46">
    <cfRule type="expression" dxfId="1194" priority="887">
      <formula>AND(OR($R45&lt;&gt;"",$R46&lt;&gt;"",$S45&lt;&gt;""),$T45="TBD")</formula>
    </cfRule>
  </conditionalFormatting>
  <conditionalFormatting sqref="V45:V46">
    <cfRule type="expression" dxfId="1193" priority="886">
      <formula>AND(OR($U45&lt;&gt;"",$U46&lt;&gt;"",$V45&lt;&gt;""),$W45="TBD")</formula>
    </cfRule>
  </conditionalFormatting>
  <conditionalFormatting sqref="M46">
    <cfRule type="expression" dxfId="1192" priority="892">
      <formula>AND($M46="",$B45&lt;&gt;"")</formula>
    </cfRule>
  </conditionalFormatting>
  <conditionalFormatting sqref="A45">
    <cfRule type="expression" dxfId="1191" priority="893">
      <formula>#REF!="[Record ID]"</formula>
    </cfRule>
  </conditionalFormatting>
  <conditionalFormatting sqref="A47">
    <cfRule type="expression" dxfId="1190" priority="853">
      <formula>#REF!="Yes"</formula>
    </cfRule>
  </conditionalFormatting>
  <conditionalFormatting sqref="P47:P48">
    <cfRule type="expression" dxfId="1189" priority="851">
      <formula>AND(OR($O47&lt;&gt;"",$O48&lt;&gt;"",$P47&lt;&gt;""),$Q47="TBD")</formula>
    </cfRule>
  </conditionalFormatting>
  <conditionalFormatting sqref="S47:S48">
    <cfRule type="expression" dxfId="1188" priority="849">
      <formula>AND(OR($R47&lt;&gt;"",$R48&lt;&gt;"",$S47&lt;&gt;""),$T47="TBD")</formula>
    </cfRule>
  </conditionalFormatting>
  <conditionalFormatting sqref="V47:V48">
    <cfRule type="expression" dxfId="1187" priority="848">
      <formula>AND(OR($U47&lt;&gt;"",$U48&lt;&gt;"",$V47&lt;&gt;""),$W47="TBD")</formula>
    </cfRule>
  </conditionalFormatting>
  <conditionalFormatting sqref="M48">
    <cfRule type="expression" dxfId="1186" priority="854">
      <formula>AND($M48="",$B47&lt;&gt;"")</formula>
    </cfRule>
  </conditionalFormatting>
  <conditionalFormatting sqref="A47">
    <cfRule type="expression" dxfId="1185" priority="855">
      <formula>#REF!="[Record ID]"</formula>
    </cfRule>
  </conditionalFormatting>
  <conditionalFormatting sqref="A49">
    <cfRule type="expression" dxfId="1184" priority="815">
      <formula>#REF!="Yes"</formula>
    </cfRule>
  </conditionalFormatting>
  <conditionalFormatting sqref="E49:E50">
    <cfRule type="expression" dxfId="1183" priority="814">
      <formula>AND($D49&lt;&gt;"",$E49&lt;&gt;"")</formula>
    </cfRule>
  </conditionalFormatting>
  <conditionalFormatting sqref="P49:P50">
    <cfRule type="expression" dxfId="1182" priority="813">
      <formula>AND(OR($O49&lt;&gt;"",$O50&lt;&gt;"",$P49&lt;&gt;""),$Q49="TBD")</formula>
    </cfRule>
  </conditionalFormatting>
  <conditionalFormatting sqref="S49:S50">
    <cfRule type="expression" dxfId="1181" priority="811">
      <formula>AND(OR($R49&lt;&gt;"",$R50&lt;&gt;"",$S49&lt;&gt;""),$T49="TBD")</formula>
    </cfRule>
  </conditionalFormatting>
  <conditionalFormatting sqref="V49:V50">
    <cfRule type="expression" dxfId="1180" priority="810">
      <formula>AND(OR($U49&lt;&gt;"",$U50&lt;&gt;"",$V49&lt;&gt;""),$W49="TBD")</formula>
    </cfRule>
  </conditionalFormatting>
  <conditionalFormatting sqref="M50">
    <cfRule type="expression" dxfId="1179" priority="816">
      <formula>AND($M50="",$B49&lt;&gt;"")</formula>
    </cfRule>
  </conditionalFormatting>
  <conditionalFormatting sqref="A49">
    <cfRule type="expression" dxfId="1178" priority="817">
      <formula>#REF!="[Record ID]"</formula>
    </cfRule>
  </conditionalFormatting>
  <conditionalFormatting sqref="A51">
    <cfRule type="expression" dxfId="1177" priority="777">
      <formula>#REF!="Yes"</formula>
    </cfRule>
  </conditionalFormatting>
  <conditionalFormatting sqref="E51:E52">
    <cfRule type="expression" dxfId="1176" priority="776">
      <formula>AND($D51&lt;&gt;"",$E51&lt;&gt;"")</formula>
    </cfRule>
  </conditionalFormatting>
  <conditionalFormatting sqref="P51:P52">
    <cfRule type="expression" dxfId="1175" priority="775">
      <formula>AND(OR($O51&lt;&gt;"",$O52&lt;&gt;"",$P51&lt;&gt;""),$Q51="TBD")</formula>
    </cfRule>
  </conditionalFormatting>
  <conditionalFormatting sqref="S51:S52">
    <cfRule type="expression" dxfId="1174" priority="773">
      <formula>AND(OR($R51&lt;&gt;"",$R52&lt;&gt;"",$S51&lt;&gt;""),$T51="TBD")</formula>
    </cfRule>
  </conditionalFormatting>
  <conditionalFormatting sqref="V51:V52">
    <cfRule type="expression" dxfId="1173" priority="772">
      <formula>AND(OR($U51&lt;&gt;"",$U52&lt;&gt;"",$V51&lt;&gt;""),$W51="TBD")</formula>
    </cfRule>
  </conditionalFormatting>
  <conditionalFormatting sqref="M52">
    <cfRule type="expression" dxfId="1172" priority="778">
      <formula>AND($M52="",$B51&lt;&gt;"")</formula>
    </cfRule>
  </conditionalFormatting>
  <conditionalFormatting sqref="A51">
    <cfRule type="expression" dxfId="1171" priority="779">
      <formula>#REF!="[Record ID]"</formula>
    </cfRule>
  </conditionalFormatting>
  <conditionalFormatting sqref="A53">
    <cfRule type="expression" dxfId="1170" priority="739">
      <formula>#REF!="Yes"</formula>
    </cfRule>
  </conditionalFormatting>
  <conditionalFormatting sqref="E53:E54">
    <cfRule type="expression" dxfId="1169" priority="738">
      <formula>AND($D53&lt;&gt;"",$E53&lt;&gt;"")</formula>
    </cfRule>
  </conditionalFormatting>
  <conditionalFormatting sqref="P53:P54">
    <cfRule type="expression" dxfId="1168" priority="737">
      <formula>AND(OR($O53&lt;&gt;"",$O54&lt;&gt;"",$P53&lt;&gt;""),$Q53="TBD")</formula>
    </cfRule>
  </conditionalFormatting>
  <conditionalFormatting sqref="S53:S54">
    <cfRule type="expression" dxfId="1167" priority="735">
      <formula>AND(OR($R53&lt;&gt;"",$R54&lt;&gt;"",$S53&lt;&gt;""),$T53="TBD")</formula>
    </cfRule>
  </conditionalFormatting>
  <conditionalFormatting sqref="V53:V54">
    <cfRule type="expression" dxfId="1166" priority="734">
      <formula>AND(OR($U53&lt;&gt;"",$U54&lt;&gt;"",$V53&lt;&gt;""),$W53="TBD")</formula>
    </cfRule>
  </conditionalFormatting>
  <conditionalFormatting sqref="M54">
    <cfRule type="expression" dxfId="1165" priority="740">
      <formula>AND($M54="",$B53&lt;&gt;"")</formula>
    </cfRule>
  </conditionalFormatting>
  <conditionalFormatting sqref="A53">
    <cfRule type="expression" dxfId="1164" priority="741">
      <formula>#REF!="[Record ID]"</formula>
    </cfRule>
  </conditionalFormatting>
  <conditionalFormatting sqref="A55">
    <cfRule type="expression" dxfId="1163" priority="701">
      <formula>#REF!="Yes"</formula>
    </cfRule>
  </conditionalFormatting>
  <conditionalFormatting sqref="E55:E56">
    <cfRule type="expression" dxfId="1162" priority="700">
      <formula>AND($D55&lt;&gt;"",$E55&lt;&gt;"")</formula>
    </cfRule>
  </conditionalFormatting>
  <conditionalFormatting sqref="P55:P56">
    <cfRule type="expression" dxfId="1161" priority="699">
      <formula>AND(OR($O55&lt;&gt;"",$O56&lt;&gt;"",$P55&lt;&gt;""),$Q55="TBD")</formula>
    </cfRule>
  </conditionalFormatting>
  <conditionalFormatting sqref="S55:S56">
    <cfRule type="expression" dxfId="1160" priority="697">
      <formula>AND(OR($R55&lt;&gt;"",$R56&lt;&gt;"",$S55&lt;&gt;""),$T55="TBD")</formula>
    </cfRule>
  </conditionalFormatting>
  <conditionalFormatting sqref="V55:V56">
    <cfRule type="expression" dxfId="1159" priority="696">
      <formula>AND(OR($U55&lt;&gt;"",$U56&lt;&gt;"",$V55&lt;&gt;""),$W55="TBD")</formula>
    </cfRule>
  </conditionalFormatting>
  <conditionalFormatting sqref="M56">
    <cfRule type="expression" dxfId="1158" priority="702">
      <formula>AND($M56="",$B55&lt;&gt;"")</formula>
    </cfRule>
  </conditionalFormatting>
  <conditionalFormatting sqref="A55">
    <cfRule type="expression" dxfId="1157" priority="703">
      <formula>#REF!="[Record ID]"</formula>
    </cfRule>
  </conditionalFormatting>
  <conditionalFormatting sqref="A57">
    <cfRule type="expression" dxfId="1156" priority="663">
      <formula>#REF!="Yes"</formula>
    </cfRule>
  </conditionalFormatting>
  <conditionalFormatting sqref="E57:E58">
    <cfRule type="expression" dxfId="1155" priority="662">
      <formula>AND($D57&lt;&gt;"",$E57&lt;&gt;"")</formula>
    </cfRule>
  </conditionalFormatting>
  <conditionalFormatting sqref="P57:P58">
    <cfRule type="expression" dxfId="1154" priority="661">
      <formula>AND(OR($O57&lt;&gt;"",$O58&lt;&gt;"",$P57&lt;&gt;""),$Q57="TBD")</formula>
    </cfRule>
  </conditionalFormatting>
  <conditionalFormatting sqref="S57:S58">
    <cfRule type="expression" dxfId="1153" priority="659">
      <formula>AND(OR($R57&lt;&gt;"",$R58&lt;&gt;"",$S57&lt;&gt;""),$T57="TBD")</formula>
    </cfRule>
  </conditionalFormatting>
  <conditionalFormatting sqref="V57:V58">
    <cfRule type="expression" dxfId="1152" priority="658">
      <formula>AND(OR($U57&lt;&gt;"",$U58&lt;&gt;"",$V57&lt;&gt;""),$W57="TBD")</formula>
    </cfRule>
  </conditionalFormatting>
  <conditionalFormatting sqref="M58">
    <cfRule type="expression" dxfId="1151" priority="664">
      <formula>AND($M58="",$B57&lt;&gt;"")</formula>
    </cfRule>
  </conditionalFormatting>
  <conditionalFormatting sqref="A57">
    <cfRule type="expression" dxfId="1150" priority="665">
      <formula>#REF!="[Record ID]"</formula>
    </cfRule>
  </conditionalFormatting>
  <conditionalFormatting sqref="A59">
    <cfRule type="expression" dxfId="1149" priority="625">
      <formula>#REF!="Yes"</formula>
    </cfRule>
  </conditionalFormatting>
  <conditionalFormatting sqref="E59:E60">
    <cfRule type="expression" dxfId="1148" priority="624">
      <formula>AND($D59&lt;&gt;"",$E59&lt;&gt;"")</formula>
    </cfRule>
  </conditionalFormatting>
  <conditionalFormatting sqref="P59:P60">
    <cfRule type="expression" dxfId="1147" priority="623">
      <formula>AND(OR($O59&lt;&gt;"",$O60&lt;&gt;"",$P59&lt;&gt;""),$Q59="TBD")</formula>
    </cfRule>
  </conditionalFormatting>
  <conditionalFormatting sqref="S59:S60">
    <cfRule type="expression" dxfId="1146" priority="621">
      <formula>AND(OR($R59&lt;&gt;"",$R60&lt;&gt;"",$S59&lt;&gt;""),$T59="TBD")</formula>
    </cfRule>
  </conditionalFormatting>
  <conditionalFormatting sqref="V59:V60">
    <cfRule type="expression" dxfId="1145" priority="620">
      <formula>AND(OR($U59&lt;&gt;"",$U60&lt;&gt;"",$V59&lt;&gt;""),$W59="TBD")</formula>
    </cfRule>
  </conditionalFormatting>
  <conditionalFormatting sqref="M60">
    <cfRule type="expression" dxfId="1144" priority="626">
      <formula>AND($M60="",$B59&lt;&gt;"")</formula>
    </cfRule>
  </conditionalFormatting>
  <conditionalFormatting sqref="A59">
    <cfRule type="expression" dxfId="1143" priority="627">
      <formula>#REF!="[Record ID]"</formula>
    </cfRule>
  </conditionalFormatting>
  <conditionalFormatting sqref="A61">
    <cfRule type="expression" dxfId="1142" priority="587">
      <formula>#REF!="Yes"</formula>
    </cfRule>
  </conditionalFormatting>
  <conditionalFormatting sqref="E61:E62">
    <cfRule type="expression" dxfId="1141" priority="586">
      <formula>AND($D61&lt;&gt;"",$E61&lt;&gt;"")</formula>
    </cfRule>
  </conditionalFormatting>
  <conditionalFormatting sqref="P61:P62">
    <cfRule type="expression" dxfId="1140" priority="585">
      <formula>AND(OR($O61&lt;&gt;"",$O62&lt;&gt;"",$P61&lt;&gt;""),$Q61="TBD")</formula>
    </cfRule>
  </conditionalFormatting>
  <conditionalFormatting sqref="S61:S62">
    <cfRule type="expression" dxfId="1139" priority="583">
      <formula>AND(OR($R61&lt;&gt;"",$R62&lt;&gt;"",$S61&lt;&gt;""),$T61="TBD")</formula>
    </cfRule>
  </conditionalFormatting>
  <conditionalFormatting sqref="V61:V62">
    <cfRule type="expression" dxfId="1138" priority="582">
      <formula>AND(OR($U61&lt;&gt;"",$U62&lt;&gt;"",$V61&lt;&gt;""),$W61="TBD")</formula>
    </cfRule>
  </conditionalFormatting>
  <conditionalFormatting sqref="M62">
    <cfRule type="expression" dxfId="1137" priority="588">
      <formula>AND($M62="",$B61&lt;&gt;"")</formula>
    </cfRule>
  </conditionalFormatting>
  <conditionalFormatting sqref="A61">
    <cfRule type="expression" dxfId="1136" priority="589">
      <formula>#REF!="[Record ID]"</formula>
    </cfRule>
  </conditionalFormatting>
  <conditionalFormatting sqref="A63">
    <cfRule type="expression" dxfId="1135" priority="549">
      <formula>#REF!="Yes"</formula>
    </cfRule>
  </conditionalFormatting>
  <conditionalFormatting sqref="E63:E64">
    <cfRule type="expression" dxfId="1134" priority="548">
      <formula>AND($D63&lt;&gt;"",$E63&lt;&gt;"")</formula>
    </cfRule>
  </conditionalFormatting>
  <conditionalFormatting sqref="P63:P64">
    <cfRule type="expression" dxfId="1133" priority="547">
      <formula>AND(OR($O63&lt;&gt;"",$O64&lt;&gt;"",$P63&lt;&gt;""),$Q63="TBD")</formula>
    </cfRule>
  </conditionalFormatting>
  <conditionalFormatting sqref="S63:S64">
    <cfRule type="expression" dxfId="1132" priority="545">
      <formula>AND(OR($R63&lt;&gt;"",$R64&lt;&gt;"",$S63&lt;&gt;""),$T63="TBD")</formula>
    </cfRule>
  </conditionalFormatting>
  <conditionalFormatting sqref="V63:V64">
    <cfRule type="expression" dxfId="1131" priority="544">
      <formula>AND(OR($U63&lt;&gt;"",$U64&lt;&gt;"",$V63&lt;&gt;""),$W63="TBD")</formula>
    </cfRule>
  </conditionalFormatting>
  <conditionalFormatting sqref="M64">
    <cfRule type="expression" dxfId="1130" priority="550">
      <formula>AND($M64="",$B63&lt;&gt;"")</formula>
    </cfRule>
  </conditionalFormatting>
  <conditionalFormatting sqref="A63">
    <cfRule type="expression" dxfId="1129" priority="551">
      <formula>#REF!="[Record ID]"</formula>
    </cfRule>
  </conditionalFormatting>
  <conditionalFormatting sqref="A65">
    <cfRule type="expression" dxfId="1128" priority="511">
      <formula>#REF!="Yes"</formula>
    </cfRule>
  </conditionalFormatting>
  <conditionalFormatting sqref="E65:E66">
    <cfRule type="expression" dxfId="1127" priority="510">
      <formula>AND($D65&lt;&gt;"",$E65&lt;&gt;"")</formula>
    </cfRule>
  </conditionalFormatting>
  <conditionalFormatting sqref="P65:P66">
    <cfRule type="expression" dxfId="1126" priority="509">
      <formula>AND(OR($O65&lt;&gt;"",$O66&lt;&gt;"",$P65&lt;&gt;""),$Q65="TBD")</formula>
    </cfRule>
  </conditionalFormatting>
  <conditionalFormatting sqref="S65:S66">
    <cfRule type="expression" dxfId="1125" priority="507">
      <formula>AND(OR($R65&lt;&gt;"",$R66&lt;&gt;"",$S65&lt;&gt;""),$T65="TBD")</formula>
    </cfRule>
  </conditionalFormatting>
  <conditionalFormatting sqref="V65:V66">
    <cfRule type="expression" dxfId="1124" priority="506">
      <formula>AND(OR($U65&lt;&gt;"",$U66&lt;&gt;"",$V65&lt;&gt;""),$W65="TBD")</formula>
    </cfRule>
  </conditionalFormatting>
  <conditionalFormatting sqref="M66">
    <cfRule type="expression" dxfId="1123" priority="512">
      <formula>AND($M66="",$B65&lt;&gt;"")</formula>
    </cfRule>
  </conditionalFormatting>
  <conditionalFormatting sqref="A65">
    <cfRule type="expression" dxfId="1122" priority="513">
      <formula>#REF!="[Record ID]"</formula>
    </cfRule>
  </conditionalFormatting>
  <conditionalFormatting sqref="D67:D68">
    <cfRule type="expression" dxfId="1121" priority="475">
      <formula>AND($D67&lt;&gt;"",$E67&lt;&gt;"")</formula>
    </cfRule>
  </conditionalFormatting>
  <conditionalFormatting sqref="O67">
    <cfRule type="expression" dxfId="1120" priority="473">
      <formula>AND(OR($O67&lt;&gt;"",$O68&lt;&gt;"",$P67&lt;&gt;""),$Q67="TBD")</formula>
    </cfRule>
  </conditionalFormatting>
  <conditionalFormatting sqref="O67:O68 Q67:Q68">
    <cfRule type="expression" dxfId="1119" priority="474">
      <formula>AND(OR($O67&lt;&gt;"",$O68&lt;&gt;"",$P67&lt;&gt;""),$Q67="TBD")</formula>
    </cfRule>
  </conditionalFormatting>
  <conditionalFormatting sqref="R67">
    <cfRule type="expression" dxfId="1118" priority="471">
      <formula>AND(OR($O67&lt;&gt;"",$O68&lt;&gt;"",$P67&lt;&gt;""),$Q67="TBD")</formula>
    </cfRule>
  </conditionalFormatting>
  <conditionalFormatting sqref="R67:R68 T67:T68">
    <cfRule type="expression" dxfId="1117" priority="472">
      <formula>AND(OR($R67&lt;&gt;"",$R68&lt;&gt;"",$S67&lt;&gt;""),$T67="TBD")</formula>
    </cfRule>
  </conditionalFormatting>
  <conditionalFormatting sqref="U67">
    <cfRule type="expression" dxfId="1116" priority="469">
      <formula>AND(OR($O67&lt;&gt;"",$O68&lt;&gt;"",$P67&lt;&gt;""),$Q67="TBD")</formula>
    </cfRule>
  </conditionalFormatting>
  <conditionalFormatting sqref="U67:U68 W67:W68">
    <cfRule type="expression" dxfId="1115" priority="470">
      <formula>AND(OR($U67&lt;&gt;"",$U68&lt;&gt;"",$V67&lt;&gt;""),$W67="TBD")</formula>
    </cfRule>
  </conditionalFormatting>
  <conditionalFormatting sqref="X67">
    <cfRule type="expression" dxfId="1114" priority="467">
      <formula>AND(OR($O67&lt;&gt;"",$O68&lt;&gt;"",$P67&lt;&gt;""),$Q67="TBD")</formula>
    </cfRule>
  </conditionalFormatting>
  <conditionalFormatting sqref="X67:Z68">
    <cfRule type="expression" dxfId="1113" priority="468">
      <formula>AND(OR($X67&lt;&gt;"",$X68&lt;&gt;"",$Y67&lt;&gt;""),$Z67="TBD")</formula>
    </cfRule>
  </conditionalFormatting>
  <conditionalFormatting sqref="AA67">
    <cfRule type="expression" dxfId="1112" priority="465">
      <formula>AND(OR($O67&lt;&gt;"",$O68&lt;&gt;"",$P67&lt;&gt;""),$Q67="TBD")</formula>
    </cfRule>
  </conditionalFormatting>
  <conditionalFormatting sqref="AA67:AC68">
    <cfRule type="expression" dxfId="1111" priority="466">
      <formula>AND(OR($AA67&lt;&gt;"",$AA68&lt;&gt;"",$AB67&lt;&gt;""),$AC67="TBD")</formula>
    </cfRule>
  </conditionalFormatting>
  <conditionalFormatting sqref="AD67">
    <cfRule type="expression" dxfId="1110" priority="463">
      <formula>AND(OR($O67&lt;&gt;"",$O68&lt;&gt;"",$P67&lt;&gt;""),$Q67="TBD")</formula>
    </cfRule>
  </conditionalFormatting>
  <conditionalFormatting sqref="AD67:AF68">
    <cfRule type="expression" dxfId="1109" priority="464">
      <formula>AND(OR($AD67&lt;&gt;"",$AD68&lt;&gt;"",$AE67&lt;&gt;""),$AF67="TBD")</formula>
    </cfRule>
  </conditionalFormatting>
  <conditionalFormatting sqref="AG67">
    <cfRule type="expression" dxfId="1108" priority="461">
      <formula>AND(OR($O67&lt;&gt;"",$O68&lt;&gt;"",$P67&lt;&gt;""),$Q67="TBD")</formula>
    </cfRule>
  </conditionalFormatting>
  <conditionalFormatting sqref="AG67:AI68">
    <cfRule type="expression" dxfId="1107" priority="462">
      <formula>AND(OR($AG67&lt;&gt;"",$AG68&lt;&gt;"",$AH67&lt;&gt;""),$AI67="TBD")</formula>
    </cfRule>
  </conditionalFormatting>
  <conditionalFormatting sqref="AJ67">
    <cfRule type="expression" dxfId="1106" priority="459">
      <formula>AND(OR($O67&lt;&gt;"",$O68&lt;&gt;"",$P67&lt;&gt;""),$Q67="TBD")</formula>
    </cfRule>
  </conditionalFormatting>
  <conditionalFormatting sqref="AJ67:AL68">
    <cfRule type="expression" dxfId="1105" priority="460">
      <formula>AND(OR($AJ67&lt;&gt;"",$AJ68&lt;&gt;"",$AK67&lt;&gt;""),$AL67="TBD")</formula>
    </cfRule>
  </conditionalFormatting>
  <conditionalFormatting sqref="O68">
    <cfRule type="expression" dxfId="1104" priority="458">
      <formula>AND(OR($O67&lt;&gt;"",$O68&lt;&gt;"",$P67&lt;&gt;""),$Q67="TBD")</formula>
    </cfRule>
  </conditionalFormatting>
  <conditionalFormatting sqref="R68">
    <cfRule type="expression" dxfId="1103" priority="457">
      <formula>AND(OR($R67&lt;&gt;"",$R68&lt;&gt;"",$S67&lt;&gt;""),$T67="TBD")</formula>
    </cfRule>
  </conditionalFormatting>
  <conditionalFormatting sqref="U68">
    <cfRule type="expression" dxfId="1102" priority="456">
      <formula>AND(OR($U67&lt;&gt;"",$U68&lt;&gt;"",$V67&lt;&gt;""),$W67="TBD")</formula>
    </cfRule>
  </conditionalFormatting>
  <conditionalFormatting sqref="X68">
    <cfRule type="expression" dxfId="1101" priority="455">
      <formula>AND(OR($X67&lt;&gt;"",$X68&lt;&gt;"",$Y67&lt;&gt;""),$Z67="TBD")</formula>
    </cfRule>
  </conditionalFormatting>
  <conditionalFormatting sqref="AA68">
    <cfRule type="expression" dxfId="1100" priority="454">
      <formula>AND(OR($AA67&lt;&gt;"",$AA68&lt;&gt;"",$AB67&lt;&gt;""),$AC67="TBD")</formula>
    </cfRule>
  </conditionalFormatting>
  <conditionalFormatting sqref="AD68">
    <cfRule type="expression" dxfId="1099" priority="453">
      <formula>AND(OR($AD67&lt;&gt;"",$AD68&lt;&gt;"",$AE67&lt;&gt;""),$AF67="TBD")</formula>
    </cfRule>
  </conditionalFormatting>
  <conditionalFormatting sqref="AG68">
    <cfRule type="expression" dxfId="1098" priority="452">
      <formula>AND(OR($AG67&lt;&gt;"",$AG68&lt;&gt;"",$AH67&lt;&gt;""),$AI67="TBD")</formula>
    </cfRule>
  </conditionalFormatting>
  <conditionalFormatting sqref="AJ68">
    <cfRule type="expression" dxfId="1097" priority="451">
      <formula>AND(OR($AJ67&lt;&gt;"",$AJ68&lt;&gt;"",$AK67&lt;&gt;""),$AL67="TBD")</formula>
    </cfRule>
  </conditionalFormatting>
  <conditionalFormatting sqref="A67">
    <cfRule type="expression" dxfId="1096" priority="448">
      <formula>#REF!="Yes"</formula>
    </cfRule>
  </conditionalFormatting>
  <conditionalFormatting sqref="E67:E68">
    <cfRule type="expression" dxfId="1095" priority="447">
      <formula>AND($D67&lt;&gt;"",$E67&lt;&gt;"")</formula>
    </cfRule>
  </conditionalFormatting>
  <conditionalFormatting sqref="P67:P68">
    <cfRule type="expression" dxfId="1094" priority="446">
      <formula>AND(OR($O67&lt;&gt;"",$O68&lt;&gt;"",$P67&lt;&gt;""),$Q67="TBD")</formula>
    </cfRule>
  </conditionalFormatting>
  <conditionalFormatting sqref="S67:S68">
    <cfRule type="expression" dxfId="1093" priority="445">
      <formula>AND(OR($R67&lt;&gt;"",$R68&lt;&gt;"",$S67&lt;&gt;""),$T67="TBD")</formula>
    </cfRule>
  </conditionalFormatting>
  <conditionalFormatting sqref="V67:V68">
    <cfRule type="expression" dxfId="1092" priority="444">
      <formula>AND(OR($U67&lt;&gt;"",$U68&lt;&gt;"",$V67&lt;&gt;""),$W67="TBD")</formula>
    </cfRule>
  </conditionalFormatting>
  <conditionalFormatting sqref="M68">
    <cfRule type="expression" dxfId="1091" priority="449">
      <formula>AND($M68="",$B67&lt;&gt;"")</formula>
    </cfRule>
  </conditionalFormatting>
  <conditionalFormatting sqref="A67">
    <cfRule type="expression" dxfId="1090" priority="450">
      <formula>#REF!="[Record ID]"</formula>
    </cfRule>
  </conditionalFormatting>
  <conditionalFormatting sqref="E9:E10">
    <cfRule type="expression" dxfId="1089" priority="443">
      <formula>AND($D9&lt;&gt;"",$E9&lt;&gt;"")</formula>
    </cfRule>
  </conditionalFormatting>
  <conditionalFormatting sqref="E11:E12">
    <cfRule type="expression" dxfId="1088" priority="442">
      <formula>AND($D11&lt;&gt;"",$E11&lt;&gt;"")</formula>
    </cfRule>
  </conditionalFormatting>
  <conditionalFormatting sqref="E13:E14">
    <cfRule type="expression" dxfId="1087" priority="441">
      <formula>AND($D13&lt;&gt;"",$E13&lt;&gt;"")</formula>
    </cfRule>
  </conditionalFormatting>
  <conditionalFormatting sqref="E15:E16">
    <cfRule type="expression" dxfId="1086" priority="440">
      <formula>AND($D15&lt;&gt;"",$E15&lt;&gt;"")</formula>
    </cfRule>
  </conditionalFormatting>
  <conditionalFormatting sqref="E17:E18">
    <cfRule type="expression" dxfId="1085" priority="439">
      <formula>AND($D17&lt;&gt;"",$E17&lt;&gt;"")</formula>
    </cfRule>
  </conditionalFormatting>
  <conditionalFormatting sqref="E19:E20">
    <cfRule type="expression" dxfId="1084" priority="438">
      <formula>AND($D19&lt;&gt;"",$E19&lt;&gt;"")</formula>
    </cfRule>
  </conditionalFormatting>
  <conditionalFormatting sqref="E21:E22">
    <cfRule type="expression" dxfId="1083" priority="437">
      <formula>AND($D21&lt;&gt;"",$E21&lt;&gt;"")</formula>
    </cfRule>
  </conditionalFormatting>
  <conditionalFormatting sqref="E23:E24">
    <cfRule type="expression" dxfId="1082" priority="436">
      <formula>AND($D23&lt;&gt;"",$E23&lt;&gt;"")</formula>
    </cfRule>
  </conditionalFormatting>
  <conditionalFormatting sqref="E25:E26">
    <cfRule type="expression" dxfId="1081" priority="435">
      <formula>AND($D25&lt;&gt;"",$E25&lt;&gt;"")</formula>
    </cfRule>
  </conditionalFormatting>
  <conditionalFormatting sqref="E27:E28">
    <cfRule type="expression" dxfId="1080" priority="434">
      <formula>AND($D27&lt;&gt;"",$E27&lt;&gt;"")</formula>
    </cfRule>
  </conditionalFormatting>
  <conditionalFormatting sqref="E29:E30">
    <cfRule type="expression" dxfId="1079" priority="433">
      <formula>AND($D29&lt;&gt;"",$E29&lt;&gt;"")</formula>
    </cfRule>
  </conditionalFormatting>
  <conditionalFormatting sqref="E31:E32">
    <cfRule type="expression" dxfId="1078" priority="432">
      <formula>AND($D31&lt;&gt;"",$E31&lt;&gt;"")</formula>
    </cfRule>
  </conditionalFormatting>
  <conditionalFormatting sqref="E33:E34">
    <cfRule type="expression" dxfId="1077" priority="431">
      <formula>AND($D33&lt;&gt;"",$E33&lt;&gt;"")</formula>
    </cfRule>
  </conditionalFormatting>
  <conditionalFormatting sqref="E35:E36">
    <cfRule type="expression" dxfId="1076" priority="430">
      <formula>AND($D35&lt;&gt;"",$E35&lt;&gt;"")</formula>
    </cfRule>
  </conditionalFormatting>
  <conditionalFormatting sqref="E37:E38">
    <cfRule type="expression" dxfId="1075" priority="429">
      <formula>AND($D37&lt;&gt;"",$E37&lt;&gt;"")</formula>
    </cfRule>
  </conditionalFormatting>
  <conditionalFormatting sqref="E39:E40">
    <cfRule type="expression" dxfId="1074" priority="428">
      <formula>AND($D39&lt;&gt;"",$E39&lt;&gt;"")</formula>
    </cfRule>
  </conditionalFormatting>
  <conditionalFormatting sqref="E41:E42">
    <cfRule type="expression" dxfId="1073" priority="427">
      <formula>AND($D41&lt;&gt;"",$E41&lt;&gt;"")</formula>
    </cfRule>
  </conditionalFormatting>
  <conditionalFormatting sqref="E43:E44">
    <cfRule type="expression" dxfId="1072" priority="426">
      <formula>AND($D43&lt;&gt;"",$E43&lt;&gt;"")</formula>
    </cfRule>
  </conditionalFormatting>
  <conditionalFormatting sqref="E45:E46">
    <cfRule type="expression" dxfId="1071" priority="425">
      <formula>AND($D45&lt;&gt;"",$E45&lt;&gt;"")</formula>
    </cfRule>
  </conditionalFormatting>
  <conditionalFormatting sqref="E47:E48">
    <cfRule type="expression" dxfId="1070" priority="424">
      <formula>AND($D47&lt;&gt;"",$E47&lt;&gt;"")</formula>
    </cfRule>
  </conditionalFormatting>
  <conditionalFormatting sqref="O11">
    <cfRule type="expression" dxfId="1069" priority="359">
      <formula>AND(OR($W11&lt;&gt;"",$W12&lt;&gt;"",$X11&lt;&gt;""),$Y11="TBD")</formula>
    </cfRule>
  </conditionalFormatting>
  <conditionalFormatting sqref="O11:O12">
    <cfRule type="expression" dxfId="1068" priority="360">
      <formula>AND(OR($W11&lt;&gt;"",$W12&lt;&gt;"",$X11&lt;&gt;""),$Y11="TBD")</formula>
    </cfRule>
  </conditionalFormatting>
  <conditionalFormatting sqref="O12">
    <cfRule type="expression" dxfId="1067" priority="358">
      <formula>AND(OR($W11&lt;&gt;"",$W12&lt;&gt;"",$X11&lt;&gt;""),$Y11="TBD")</formula>
    </cfRule>
  </conditionalFormatting>
  <conditionalFormatting sqref="O13">
    <cfRule type="expression" dxfId="1066" priority="356">
      <formula>AND(OR($W13&lt;&gt;"",$W14&lt;&gt;"",$X13&lt;&gt;""),$Y13="TBD")</formula>
    </cfRule>
  </conditionalFormatting>
  <conditionalFormatting sqref="O13:O14">
    <cfRule type="expression" dxfId="1065" priority="357">
      <formula>AND(OR($W13&lt;&gt;"",$W14&lt;&gt;"",$X13&lt;&gt;""),$Y13="TBD")</formula>
    </cfRule>
  </conditionalFormatting>
  <conditionalFormatting sqref="O14">
    <cfRule type="expression" dxfId="1064" priority="355">
      <formula>AND(OR($W13&lt;&gt;"",$W14&lt;&gt;"",$X13&lt;&gt;""),$Y13="TBD")</formula>
    </cfRule>
  </conditionalFormatting>
  <conditionalFormatting sqref="O15">
    <cfRule type="expression" dxfId="1063" priority="353">
      <formula>AND(OR($W15&lt;&gt;"",$W16&lt;&gt;"",$X15&lt;&gt;""),$Y15="TBD")</formula>
    </cfRule>
  </conditionalFormatting>
  <conditionalFormatting sqref="O15:O16">
    <cfRule type="expression" dxfId="1062" priority="354">
      <formula>AND(OR($W15&lt;&gt;"",$W16&lt;&gt;"",$X15&lt;&gt;""),$Y15="TBD")</formula>
    </cfRule>
  </conditionalFormatting>
  <conditionalFormatting sqref="O16">
    <cfRule type="expression" dxfId="1061" priority="352">
      <formula>AND(OR($W15&lt;&gt;"",$W16&lt;&gt;"",$X15&lt;&gt;""),$Y15="TBD")</formula>
    </cfRule>
  </conditionalFormatting>
  <conditionalFormatting sqref="O17">
    <cfRule type="expression" dxfId="1060" priority="350">
      <formula>AND(OR($W17&lt;&gt;"",$W18&lt;&gt;"",$X17&lt;&gt;""),$Y17="TBD")</formula>
    </cfRule>
  </conditionalFormatting>
  <conditionalFormatting sqref="O17:O18">
    <cfRule type="expression" dxfId="1059" priority="351">
      <formula>AND(OR($W17&lt;&gt;"",$W18&lt;&gt;"",$X17&lt;&gt;""),$Y17="TBD")</formula>
    </cfRule>
  </conditionalFormatting>
  <conditionalFormatting sqref="O18">
    <cfRule type="expression" dxfId="1058" priority="349">
      <formula>AND(OR($W17&lt;&gt;"",$W18&lt;&gt;"",$X17&lt;&gt;""),$Y17="TBD")</formula>
    </cfRule>
  </conditionalFormatting>
  <conditionalFormatting sqref="O19">
    <cfRule type="expression" dxfId="1057" priority="347">
      <formula>AND(OR($W19&lt;&gt;"",$W20&lt;&gt;"",$X19&lt;&gt;""),$Y19="TBD")</formula>
    </cfRule>
  </conditionalFormatting>
  <conditionalFormatting sqref="O19:O20">
    <cfRule type="expression" dxfId="1056" priority="348">
      <formula>AND(OR($W19&lt;&gt;"",$W20&lt;&gt;"",$X19&lt;&gt;""),$Y19="TBD")</formula>
    </cfRule>
  </conditionalFormatting>
  <conditionalFormatting sqref="O20">
    <cfRule type="expression" dxfId="1055" priority="346">
      <formula>AND(OR($W19&lt;&gt;"",$W20&lt;&gt;"",$X19&lt;&gt;""),$Y19="TBD")</formula>
    </cfRule>
  </conditionalFormatting>
  <conditionalFormatting sqref="O21">
    <cfRule type="expression" dxfId="1054" priority="344">
      <formula>AND(OR($W21&lt;&gt;"",$W22&lt;&gt;"",$X21&lt;&gt;""),$Y21="TBD")</formula>
    </cfRule>
  </conditionalFormatting>
  <conditionalFormatting sqref="O21:O22">
    <cfRule type="expression" dxfId="1053" priority="345">
      <formula>AND(OR($W21&lt;&gt;"",$W22&lt;&gt;"",$X21&lt;&gt;""),$Y21="TBD")</formula>
    </cfRule>
  </conditionalFormatting>
  <conditionalFormatting sqref="O22">
    <cfRule type="expression" dxfId="1052" priority="343">
      <formula>AND(OR($W21&lt;&gt;"",$W22&lt;&gt;"",$X21&lt;&gt;""),$Y21="TBD")</formula>
    </cfRule>
  </conditionalFormatting>
  <conditionalFormatting sqref="O23">
    <cfRule type="expression" dxfId="1051" priority="341">
      <formula>AND(OR($W23&lt;&gt;"",$W24&lt;&gt;"",$X23&lt;&gt;""),$Y23="TBD")</formula>
    </cfRule>
  </conditionalFormatting>
  <conditionalFormatting sqref="O23:O24">
    <cfRule type="expression" dxfId="1050" priority="342">
      <formula>AND(OR($W23&lt;&gt;"",$W24&lt;&gt;"",$X23&lt;&gt;""),$Y23="TBD")</formula>
    </cfRule>
  </conditionalFormatting>
  <conditionalFormatting sqref="O24">
    <cfRule type="expression" dxfId="1049" priority="340">
      <formula>AND(OR($W23&lt;&gt;"",$W24&lt;&gt;"",$X23&lt;&gt;""),$Y23="TBD")</formula>
    </cfRule>
  </conditionalFormatting>
  <conditionalFormatting sqref="O25">
    <cfRule type="expression" dxfId="1048" priority="338">
      <formula>AND(OR($W25&lt;&gt;"",$W26&lt;&gt;"",$X25&lt;&gt;""),$Y25="TBD")</formula>
    </cfRule>
  </conditionalFormatting>
  <conditionalFormatting sqref="O25:O26">
    <cfRule type="expression" dxfId="1047" priority="339">
      <formula>AND(OR($W25&lt;&gt;"",$W26&lt;&gt;"",$X25&lt;&gt;""),$Y25="TBD")</formula>
    </cfRule>
  </conditionalFormatting>
  <conditionalFormatting sqref="O26">
    <cfRule type="expression" dxfId="1046" priority="337">
      <formula>AND(OR($W25&lt;&gt;"",$W26&lt;&gt;"",$X25&lt;&gt;""),$Y25="TBD")</formula>
    </cfRule>
  </conditionalFormatting>
  <conditionalFormatting sqref="O27">
    <cfRule type="expression" dxfId="1045" priority="335">
      <formula>AND(OR($W27&lt;&gt;"",$W28&lt;&gt;"",$X27&lt;&gt;""),$Y27="TBD")</formula>
    </cfRule>
  </conditionalFormatting>
  <conditionalFormatting sqref="O27:O28">
    <cfRule type="expression" dxfId="1044" priority="336">
      <formula>AND(OR($W27&lt;&gt;"",$W28&lt;&gt;"",$X27&lt;&gt;""),$Y27="TBD")</formula>
    </cfRule>
  </conditionalFormatting>
  <conditionalFormatting sqref="O28">
    <cfRule type="expression" dxfId="1043" priority="334">
      <formula>AND(OR($W27&lt;&gt;"",$W28&lt;&gt;"",$X27&lt;&gt;""),$Y27="TBD")</formula>
    </cfRule>
  </conditionalFormatting>
  <conditionalFormatting sqref="O29">
    <cfRule type="expression" dxfId="1042" priority="332">
      <formula>AND(OR($W29&lt;&gt;"",$W30&lt;&gt;"",$X29&lt;&gt;""),$Y29="TBD")</formula>
    </cfRule>
  </conditionalFormatting>
  <conditionalFormatting sqref="O29:O30">
    <cfRule type="expression" dxfId="1041" priority="333">
      <formula>AND(OR($W29&lt;&gt;"",$W30&lt;&gt;"",$X29&lt;&gt;""),$Y29="TBD")</formula>
    </cfRule>
  </conditionalFormatting>
  <conditionalFormatting sqref="O30">
    <cfRule type="expression" dxfId="1040" priority="331">
      <formula>AND(OR($W29&lt;&gt;"",$W30&lt;&gt;"",$X29&lt;&gt;""),$Y29="TBD")</formula>
    </cfRule>
  </conditionalFormatting>
  <conditionalFormatting sqref="O31">
    <cfRule type="expression" dxfId="1039" priority="329">
      <formula>AND(OR($W31&lt;&gt;"",$W32&lt;&gt;"",$X31&lt;&gt;""),$Y31="TBD")</formula>
    </cfRule>
  </conditionalFormatting>
  <conditionalFormatting sqref="O31:O32">
    <cfRule type="expression" dxfId="1038" priority="330">
      <formula>AND(OR($W31&lt;&gt;"",$W32&lt;&gt;"",$X31&lt;&gt;""),$Y31="TBD")</formula>
    </cfRule>
  </conditionalFormatting>
  <conditionalFormatting sqref="O32">
    <cfRule type="expression" dxfId="1037" priority="328">
      <formula>AND(OR($W31&lt;&gt;"",$W32&lt;&gt;"",$X31&lt;&gt;""),$Y31="TBD")</formula>
    </cfRule>
  </conditionalFormatting>
  <conditionalFormatting sqref="O33">
    <cfRule type="expression" dxfId="1036" priority="326">
      <formula>AND(OR($W33&lt;&gt;"",$W34&lt;&gt;"",$X33&lt;&gt;""),$Y33="TBD")</formula>
    </cfRule>
  </conditionalFormatting>
  <conditionalFormatting sqref="O33:O34">
    <cfRule type="expression" dxfId="1035" priority="327">
      <formula>AND(OR($W33&lt;&gt;"",$W34&lt;&gt;"",$X33&lt;&gt;""),$Y33="TBD")</formula>
    </cfRule>
  </conditionalFormatting>
  <conditionalFormatting sqref="O34">
    <cfRule type="expression" dxfId="1034" priority="325">
      <formula>AND(OR($W33&lt;&gt;"",$W34&lt;&gt;"",$X33&lt;&gt;""),$Y33="TBD")</formula>
    </cfRule>
  </conditionalFormatting>
  <conditionalFormatting sqref="O35">
    <cfRule type="expression" dxfId="1033" priority="323">
      <formula>AND(OR($W35&lt;&gt;"",$W36&lt;&gt;"",$X35&lt;&gt;""),$Y35="TBD")</formula>
    </cfRule>
  </conditionalFormatting>
  <conditionalFormatting sqref="O35:O36">
    <cfRule type="expression" dxfId="1032" priority="324">
      <formula>AND(OR($W35&lt;&gt;"",$W36&lt;&gt;"",$X35&lt;&gt;""),$Y35="TBD")</formula>
    </cfRule>
  </conditionalFormatting>
  <conditionalFormatting sqref="O36">
    <cfRule type="expression" dxfId="1031" priority="322">
      <formula>AND(OR($W35&lt;&gt;"",$W36&lt;&gt;"",$X35&lt;&gt;""),$Y35="TBD")</formula>
    </cfRule>
  </conditionalFormatting>
  <conditionalFormatting sqref="O37">
    <cfRule type="expression" dxfId="1030" priority="320">
      <formula>AND(OR($W37&lt;&gt;"",$W38&lt;&gt;"",$X37&lt;&gt;""),$Y37="TBD")</formula>
    </cfRule>
  </conditionalFormatting>
  <conditionalFormatting sqref="O37:O38">
    <cfRule type="expression" dxfId="1029" priority="321">
      <formula>AND(OR($W37&lt;&gt;"",$W38&lt;&gt;"",$X37&lt;&gt;""),$Y37="TBD")</formula>
    </cfRule>
  </conditionalFormatting>
  <conditionalFormatting sqref="O38">
    <cfRule type="expression" dxfId="1028" priority="319">
      <formula>AND(OR($W37&lt;&gt;"",$W38&lt;&gt;"",$X37&lt;&gt;""),$Y37="TBD")</formula>
    </cfRule>
  </conditionalFormatting>
  <conditionalFormatting sqref="O39">
    <cfRule type="expression" dxfId="1027" priority="317">
      <formula>AND(OR($W39&lt;&gt;"",$W40&lt;&gt;"",$X39&lt;&gt;""),$Y39="TBD")</formula>
    </cfRule>
  </conditionalFormatting>
  <conditionalFormatting sqref="O39:O40">
    <cfRule type="expression" dxfId="1026" priority="318">
      <formula>AND(OR($W39&lt;&gt;"",$W40&lt;&gt;"",$X39&lt;&gt;""),$Y39="TBD")</formula>
    </cfRule>
  </conditionalFormatting>
  <conditionalFormatting sqref="O40">
    <cfRule type="expression" dxfId="1025" priority="316">
      <formula>AND(OR($W39&lt;&gt;"",$W40&lt;&gt;"",$X39&lt;&gt;""),$Y39="TBD")</formula>
    </cfRule>
  </conditionalFormatting>
  <conditionalFormatting sqref="O41">
    <cfRule type="expression" dxfId="1024" priority="314">
      <formula>AND(OR($W41&lt;&gt;"",$W42&lt;&gt;"",$X41&lt;&gt;""),$Y41="TBD")</formula>
    </cfRule>
  </conditionalFormatting>
  <conditionalFormatting sqref="O41:O42">
    <cfRule type="expression" dxfId="1023" priority="315">
      <formula>AND(OR($W41&lt;&gt;"",$W42&lt;&gt;"",$X41&lt;&gt;""),$Y41="TBD")</formula>
    </cfRule>
  </conditionalFormatting>
  <conditionalFormatting sqref="O42">
    <cfRule type="expression" dxfId="1022" priority="313">
      <formula>AND(OR($W41&lt;&gt;"",$W42&lt;&gt;"",$X41&lt;&gt;""),$Y41="TBD")</formula>
    </cfRule>
  </conditionalFormatting>
  <conditionalFormatting sqref="O43">
    <cfRule type="expression" dxfId="1021" priority="311">
      <formula>AND(OR($W43&lt;&gt;"",$W44&lt;&gt;"",$X43&lt;&gt;""),$Y43="TBD")</formula>
    </cfRule>
  </conditionalFormatting>
  <conditionalFormatting sqref="O43:O44">
    <cfRule type="expression" dxfId="1020" priority="312">
      <formula>AND(OR($W43&lt;&gt;"",$W44&lt;&gt;"",$X43&lt;&gt;""),$Y43="TBD")</formula>
    </cfRule>
  </conditionalFormatting>
  <conditionalFormatting sqref="O44">
    <cfRule type="expression" dxfId="1019" priority="310">
      <formula>AND(OR($W43&lt;&gt;"",$W44&lt;&gt;"",$X43&lt;&gt;""),$Y43="TBD")</formula>
    </cfRule>
  </conditionalFormatting>
  <conditionalFormatting sqref="O45">
    <cfRule type="expression" dxfId="1018" priority="308">
      <formula>AND(OR($W45&lt;&gt;"",$W46&lt;&gt;"",$X45&lt;&gt;""),$Y45="TBD")</formula>
    </cfRule>
  </conditionalFormatting>
  <conditionalFormatting sqref="O45:O46">
    <cfRule type="expression" dxfId="1017" priority="309">
      <formula>AND(OR($W45&lt;&gt;"",$W46&lt;&gt;"",$X45&lt;&gt;""),$Y45="TBD")</formula>
    </cfRule>
  </conditionalFormatting>
  <conditionalFormatting sqref="O46">
    <cfRule type="expression" dxfId="1016" priority="307">
      <formula>AND(OR($W45&lt;&gt;"",$W46&lt;&gt;"",$X45&lt;&gt;""),$Y45="TBD")</formula>
    </cfRule>
  </conditionalFormatting>
  <conditionalFormatting sqref="O47">
    <cfRule type="expression" dxfId="1015" priority="305">
      <formula>AND(OR($W47&lt;&gt;"",$W48&lt;&gt;"",$X47&lt;&gt;""),$Y47="TBD")</formula>
    </cfRule>
  </conditionalFormatting>
  <conditionalFormatting sqref="O47:O48">
    <cfRule type="expression" dxfId="1014" priority="306">
      <formula>AND(OR($W47&lt;&gt;"",$W48&lt;&gt;"",$X47&lt;&gt;""),$Y47="TBD")</formula>
    </cfRule>
  </conditionalFormatting>
  <conditionalFormatting sqref="O48">
    <cfRule type="expression" dxfId="1013" priority="304">
      <formula>AND(OR($W47&lt;&gt;"",$W48&lt;&gt;"",$X47&lt;&gt;""),$Y47="TBD")</formula>
    </cfRule>
  </conditionalFormatting>
  <conditionalFormatting sqref="O9">
    <cfRule type="expression" dxfId="1012" priority="302">
      <formula>AND(OR($W9&lt;&gt;"",$W10&lt;&gt;"",$X9&lt;&gt;""),$Y9="TBD")</formula>
    </cfRule>
  </conditionalFormatting>
  <conditionalFormatting sqref="O9:O10">
    <cfRule type="expression" dxfId="1011" priority="303">
      <formula>AND(OR($W9&lt;&gt;"",$W10&lt;&gt;"",$X9&lt;&gt;""),$Y9="TBD")</formula>
    </cfRule>
  </conditionalFormatting>
  <conditionalFormatting sqref="O10">
    <cfRule type="expression" dxfId="1010" priority="301">
      <formula>AND(OR($W9&lt;&gt;"",$W10&lt;&gt;"",$X9&lt;&gt;""),$Y9="TBD")</formula>
    </cfRule>
  </conditionalFormatting>
  <conditionalFormatting sqref="R9">
    <cfRule type="expression" dxfId="1009" priority="299">
      <formula>AND(OR($W9&lt;&gt;"",$W10&lt;&gt;"",$X9&lt;&gt;""),$Y9="TBD")</formula>
    </cfRule>
  </conditionalFormatting>
  <conditionalFormatting sqref="R9:R10">
    <cfRule type="expression" dxfId="1008" priority="300">
      <formula>AND(OR($Z9&lt;&gt;"",$Z10&lt;&gt;"",$AA9&lt;&gt;""),$AB9="TBD")</formula>
    </cfRule>
  </conditionalFormatting>
  <conditionalFormatting sqref="R10">
    <cfRule type="expression" dxfId="1007" priority="298">
      <formula>AND(OR($Z9&lt;&gt;"",$Z10&lt;&gt;"",$AA9&lt;&gt;""),$AB9="TBD")</formula>
    </cfRule>
  </conditionalFormatting>
  <conditionalFormatting sqref="R11">
    <cfRule type="expression" dxfId="1006" priority="296">
      <formula>AND(OR($W11&lt;&gt;"",$W12&lt;&gt;"",$X11&lt;&gt;""),$Y11="TBD")</formula>
    </cfRule>
  </conditionalFormatting>
  <conditionalFormatting sqref="R11:R12">
    <cfRule type="expression" dxfId="1005" priority="297">
      <formula>AND(OR($Z11&lt;&gt;"",$Z12&lt;&gt;"",$AA11&lt;&gt;""),$AB11="TBD")</formula>
    </cfRule>
  </conditionalFormatting>
  <conditionalFormatting sqref="R12">
    <cfRule type="expression" dxfId="1004" priority="295">
      <formula>AND(OR($Z11&lt;&gt;"",$Z12&lt;&gt;"",$AA11&lt;&gt;""),$AB11="TBD")</formula>
    </cfRule>
  </conditionalFormatting>
  <conditionalFormatting sqref="R13">
    <cfRule type="expression" dxfId="1003" priority="293">
      <formula>AND(OR($W13&lt;&gt;"",$W14&lt;&gt;"",$X13&lt;&gt;""),$Y13="TBD")</formula>
    </cfRule>
  </conditionalFormatting>
  <conditionalFormatting sqref="R13:R14">
    <cfRule type="expression" dxfId="1002" priority="294">
      <formula>AND(OR($Z13&lt;&gt;"",$Z14&lt;&gt;"",$AA13&lt;&gt;""),$AB13="TBD")</formula>
    </cfRule>
  </conditionalFormatting>
  <conditionalFormatting sqref="R14">
    <cfRule type="expression" dxfId="1001" priority="292">
      <formula>AND(OR($Z13&lt;&gt;"",$Z14&lt;&gt;"",$AA13&lt;&gt;""),$AB13="TBD")</formula>
    </cfRule>
  </conditionalFormatting>
  <conditionalFormatting sqref="R15">
    <cfRule type="expression" dxfId="1000" priority="290">
      <formula>AND(OR($W15&lt;&gt;"",$W16&lt;&gt;"",$X15&lt;&gt;""),$Y15="TBD")</formula>
    </cfRule>
  </conditionalFormatting>
  <conditionalFormatting sqref="R15:R16">
    <cfRule type="expression" dxfId="999" priority="291">
      <formula>AND(OR($Z15&lt;&gt;"",$Z16&lt;&gt;"",$AA15&lt;&gt;""),$AB15="TBD")</formula>
    </cfRule>
  </conditionalFormatting>
  <conditionalFormatting sqref="R16">
    <cfRule type="expression" dxfId="998" priority="289">
      <formula>AND(OR($Z15&lt;&gt;"",$Z16&lt;&gt;"",$AA15&lt;&gt;""),$AB15="TBD")</formula>
    </cfRule>
  </conditionalFormatting>
  <conditionalFormatting sqref="R17">
    <cfRule type="expression" dxfId="997" priority="287">
      <formula>AND(OR($W17&lt;&gt;"",$W18&lt;&gt;"",$X17&lt;&gt;""),$Y17="TBD")</formula>
    </cfRule>
  </conditionalFormatting>
  <conditionalFormatting sqref="R17:R18">
    <cfRule type="expression" dxfId="996" priority="288">
      <formula>AND(OR($Z17&lt;&gt;"",$Z18&lt;&gt;"",$AA17&lt;&gt;""),$AB17="TBD")</formula>
    </cfRule>
  </conditionalFormatting>
  <conditionalFormatting sqref="R18">
    <cfRule type="expression" dxfId="995" priority="286">
      <formula>AND(OR($Z17&lt;&gt;"",$Z18&lt;&gt;"",$AA17&lt;&gt;""),$AB17="TBD")</formula>
    </cfRule>
  </conditionalFormatting>
  <conditionalFormatting sqref="R19">
    <cfRule type="expression" dxfId="994" priority="284">
      <formula>AND(OR($W19&lt;&gt;"",$W20&lt;&gt;"",$X19&lt;&gt;""),$Y19="TBD")</formula>
    </cfRule>
  </conditionalFormatting>
  <conditionalFormatting sqref="R19:R20">
    <cfRule type="expression" dxfId="993" priority="285">
      <formula>AND(OR($Z19&lt;&gt;"",$Z20&lt;&gt;"",$AA19&lt;&gt;""),$AB19="TBD")</formula>
    </cfRule>
  </conditionalFormatting>
  <conditionalFormatting sqref="R20">
    <cfRule type="expression" dxfId="992" priority="283">
      <formula>AND(OR($Z19&lt;&gt;"",$Z20&lt;&gt;"",$AA19&lt;&gt;""),$AB19="TBD")</formula>
    </cfRule>
  </conditionalFormatting>
  <conditionalFormatting sqref="R21">
    <cfRule type="expression" dxfId="991" priority="281">
      <formula>AND(OR($W21&lt;&gt;"",$W22&lt;&gt;"",$X21&lt;&gt;""),$Y21="TBD")</formula>
    </cfRule>
  </conditionalFormatting>
  <conditionalFormatting sqref="R21:R22">
    <cfRule type="expression" dxfId="990" priority="282">
      <formula>AND(OR($Z21&lt;&gt;"",$Z22&lt;&gt;"",$AA21&lt;&gt;""),$AB21="TBD")</formula>
    </cfRule>
  </conditionalFormatting>
  <conditionalFormatting sqref="R22">
    <cfRule type="expression" dxfId="989" priority="280">
      <formula>AND(OR($Z21&lt;&gt;"",$Z22&lt;&gt;"",$AA21&lt;&gt;""),$AB21="TBD")</formula>
    </cfRule>
  </conditionalFormatting>
  <conditionalFormatting sqref="R23">
    <cfRule type="expression" dxfId="988" priority="278">
      <formula>AND(OR($W23&lt;&gt;"",$W24&lt;&gt;"",$X23&lt;&gt;""),$Y23="TBD")</formula>
    </cfRule>
  </conditionalFormatting>
  <conditionalFormatting sqref="R23:R24">
    <cfRule type="expression" dxfId="987" priority="279">
      <formula>AND(OR($Z23&lt;&gt;"",$Z24&lt;&gt;"",$AA23&lt;&gt;""),$AB23="TBD")</formula>
    </cfRule>
  </conditionalFormatting>
  <conditionalFormatting sqref="R24">
    <cfRule type="expression" dxfId="986" priority="277">
      <formula>AND(OR($Z23&lt;&gt;"",$Z24&lt;&gt;"",$AA23&lt;&gt;""),$AB23="TBD")</formula>
    </cfRule>
  </conditionalFormatting>
  <conditionalFormatting sqref="R25">
    <cfRule type="expression" dxfId="985" priority="275">
      <formula>AND(OR($W25&lt;&gt;"",$W26&lt;&gt;"",$X25&lt;&gt;""),$Y25="TBD")</formula>
    </cfRule>
  </conditionalFormatting>
  <conditionalFormatting sqref="R25:R26">
    <cfRule type="expression" dxfId="984" priority="276">
      <formula>AND(OR($Z25&lt;&gt;"",$Z26&lt;&gt;"",$AA25&lt;&gt;""),$AB25="TBD")</formula>
    </cfRule>
  </conditionalFormatting>
  <conditionalFormatting sqref="R26">
    <cfRule type="expression" dxfId="983" priority="274">
      <formula>AND(OR($Z25&lt;&gt;"",$Z26&lt;&gt;"",$AA25&lt;&gt;""),$AB25="TBD")</formula>
    </cfRule>
  </conditionalFormatting>
  <conditionalFormatting sqref="R27">
    <cfRule type="expression" dxfId="982" priority="272">
      <formula>AND(OR($W27&lt;&gt;"",$W28&lt;&gt;"",$X27&lt;&gt;""),$Y27="TBD")</formula>
    </cfRule>
  </conditionalFormatting>
  <conditionalFormatting sqref="R27:R28">
    <cfRule type="expression" dxfId="981" priority="273">
      <formula>AND(OR($Z27&lt;&gt;"",$Z28&lt;&gt;"",$AA27&lt;&gt;""),$AB27="TBD")</formula>
    </cfRule>
  </conditionalFormatting>
  <conditionalFormatting sqref="R28">
    <cfRule type="expression" dxfId="980" priority="271">
      <formula>AND(OR($Z27&lt;&gt;"",$Z28&lt;&gt;"",$AA27&lt;&gt;""),$AB27="TBD")</formula>
    </cfRule>
  </conditionalFormatting>
  <conditionalFormatting sqref="R29">
    <cfRule type="expression" dxfId="979" priority="269">
      <formula>AND(OR($W29&lt;&gt;"",$W30&lt;&gt;"",$X29&lt;&gt;""),$Y29="TBD")</formula>
    </cfRule>
  </conditionalFormatting>
  <conditionalFormatting sqref="R29:R30">
    <cfRule type="expression" dxfId="978" priority="270">
      <formula>AND(OR($Z29&lt;&gt;"",$Z30&lt;&gt;"",$AA29&lt;&gt;""),$AB29="TBD")</formula>
    </cfRule>
  </conditionalFormatting>
  <conditionalFormatting sqref="R30">
    <cfRule type="expression" dxfId="977" priority="268">
      <formula>AND(OR($Z29&lt;&gt;"",$Z30&lt;&gt;"",$AA29&lt;&gt;""),$AB29="TBD")</formula>
    </cfRule>
  </conditionalFormatting>
  <conditionalFormatting sqref="R31">
    <cfRule type="expression" dxfId="976" priority="266">
      <formula>AND(OR($W31&lt;&gt;"",$W32&lt;&gt;"",$X31&lt;&gt;""),$Y31="TBD")</formula>
    </cfRule>
  </conditionalFormatting>
  <conditionalFormatting sqref="R31:R32">
    <cfRule type="expression" dxfId="975" priority="267">
      <formula>AND(OR($Z31&lt;&gt;"",$Z32&lt;&gt;"",$AA31&lt;&gt;""),$AB31="TBD")</formula>
    </cfRule>
  </conditionalFormatting>
  <conditionalFormatting sqref="R32">
    <cfRule type="expression" dxfId="974" priority="265">
      <formula>AND(OR($Z31&lt;&gt;"",$Z32&lt;&gt;"",$AA31&lt;&gt;""),$AB31="TBD")</formula>
    </cfRule>
  </conditionalFormatting>
  <conditionalFormatting sqref="R33">
    <cfRule type="expression" dxfId="973" priority="263">
      <formula>AND(OR($W33&lt;&gt;"",$W34&lt;&gt;"",$X33&lt;&gt;""),$Y33="TBD")</formula>
    </cfRule>
  </conditionalFormatting>
  <conditionalFormatting sqref="R33:R34">
    <cfRule type="expression" dxfId="972" priority="264">
      <formula>AND(OR($Z33&lt;&gt;"",$Z34&lt;&gt;"",$AA33&lt;&gt;""),$AB33="TBD")</formula>
    </cfRule>
  </conditionalFormatting>
  <conditionalFormatting sqref="R34">
    <cfRule type="expression" dxfId="971" priority="262">
      <formula>AND(OR($Z33&lt;&gt;"",$Z34&lt;&gt;"",$AA33&lt;&gt;""),$AB33="TBD")</formula>
    </cfRule>
  </conditionalFormatting>
  <conditionalFormatting sqref="R35">
    <cfRule type="expression" dxfId="970" priority="260">
      <formula>AND(OR($W35&lt;&gt;"",$W36&lt;&gt;"",$X35&lt;&gt;""),$Y35="TBD")</formula>
    </cfRule>
  </conditionalFormatting>
  <conditionalFormatting sqref="R35:R36">
    <cfRule type="expression" dxfId="969" priority="261">
      <formula>AND(OR($Z35&lt;&gt;"",$Z36&lt;&gt;"",$AA35&lt;&gt;""),$AB35="TBD")</formula>
    </cfRule>
  </conditionalFormatting>
  <conditionalFormatting sqref="R36">
    <cfRule type="expression" dxfId="968" priority="259">
      <formula>AND(OR($Z35&lt;&gt;"",$Z36&lt;&gt;"",$AA35&lt;&gt;""),$AB35="TBD")</formula>
    </cfRule>
  </conditionalFormatting>
  <conditionalFormatting sqref="R37">
    <cfRule type="expression" dxfId="967" priority="257">
      <formula>AND(OR($W37&lt;&gt;"",$W38&lt;&gt;"",$X37&lt;&gt;""),$Y37="TBD")</formula>
    </cfRule>
  </conditionalFormatting>
  <conditionalFormatting sqref="R37:R38">
    <cfRule type="expression" dxfId="966" priority="258">
      <formula>AND(OR($Z37&lt;&gt;"",$Z38&lt;&gt;"",$AA37&lt;&gt;""),$AB37="TBD")</formula>
    </cfRule>
  </conditionalFormatting>
  <conditionalFormatting sqref="R38">
    <cfRule type="expression" dxfId="965" priority="256">
      <formula>AND(OR($Z37&lt;&gt;"",$Z38&lt;&gt;"",$AA37&lt;&gt;""),$AB37="TBD")</formula>
    </cfRule>
  </conditionalFormatting>
  <conditionalFormatting sqref="R39">
    <cfRule type="expression" dxfId="964" priority="254">
      <formula>AND(OR($W39&lt;&gt;"",$W40&lt;&gt;"",$X39&lt;&gt;""),$Y39="TBD")</formula>
    </cfRule>
  </conditionalFormatting>
  <conditionalFormatting sqref="R39:R40">
    <cfRule type="expression" dxfId="963" priority="255">
      <formula>AND(OR($Z39&lt;&gt;"",$Z40&lt;&gt;"",$AA39&lt;&gt;""),$AB39="TBD")</formula>
    </cfRule>
  </conditionalFormatting>
  <conditionalFormatting sqref="R40">
    <cfRule type="expression" dxfId="962" priority="253">
      <formula>AND(OR($Z39&lt;&gt;"",$Z40&lt;&gt;"",$AA39&lt;&gt;""),$AB39="TBD")</formula>
    </cfRule>
  </conditionalFormatting>
  <conditionalFormatting sqref="R41">
    <cfRule type="expression" dxfId="961" priority="251">
      <formula>AND(OR($W41&lt;&gt;"",$W42&lt;&gt;"",$X41&lt;&gt;""),$Y41="TBD")</formula>
    </cfRule>
  </conditionalFormatting>
  <conditionalFormatting sqref="R41:R42">
    <cfRule type="expression" dxfId="960" priority="252">
      <formula>AND(OR($Z41&lt;&gt;"",$Z42&lt;&gt;"",$AA41&lt;&gt;""),$AB41="TBD")</formula>
    </cfRule>
  </conditionalFormatting>
  <conditionalFormatting sqref="R42">
    <cfRule type="expression" dxfId="959" priority="250">
      <formula>AND(OR($Z41&lt;&gt;"",$Z42&lt;&gt;"",$AA41&lt;&gt;""),$AB41="TBD")</formula>
    </cfRule>
  </conditionalFormatting>
  <conditionalFormatting sqref="R43">
    <cfRule type="expression" dxfId="958" priority="248">
      <formula>AND(OR($W43&lt;&gt;"",$W44&lt;&gt;"",$X43&lt;&gt;""),$Y43="TBD")</formula>
    </cfRule>
  </conditionalFormatting>
  <conditionalFormatting sqref="R43:R44">
    <cfRule type="expression" dxfId="957" priority="249">
      <formula>AND(OR($Z43&lt;&gt;"",$Z44&lt;&gt;"",$AA43&lt;&gt;""),$AB43="TBD")</formula>
    </cfRule>
  </conditionalFormatting>
  <conditionalFormatting sqref="R44">
    <cfRule type="expression" dxfId="956" priority="247">
      <formula>AND(OR($Z43&lt;&gt;"",$Z44&lt;&gt;"",$AA43&lt;&gt;""),$AB43="TBD")</formula>
    </cfRule>
  </conditionalFormatting>
  <conditionalFormatting sqref="R45">
    <cfRule type="expression" dxfId="955" priority="245">
      <formula>AND(OR($W45&lt;&gt;"",$W46&lt;&gt;"",$X45&lt;&gt;""),$Y45="TBD")</formula>
    </cfRule>
  </conditionalFormatting>
  <conditionalFormatting sqref="R45:R46">
    <cfRule type="expression" dxfId="954" priority="246">
      <formula>AND(OR($Z45&lt;&gt;"",$Z46&lt;&gt;"",$AA45&lt;&gt;""),$AB45="TBD")</formula>
    </cfRule>
  </conditionalFormatting>
  <conditionalFormatting sqref="R46">
    <cfRule type="expression" dxfId="953" priority="244">
      <formula>AND(OR($Z45&lt;&gt;"",$Z46&lt;&gt;"",$AA45&lt;&gt;""),$AB45="TBD")</formula>
    </cfRule>
  </conditionalFormatting>
  <conditionalFormatting sqref="R47">
    <cfRule type="expression" dxfId="952" priority="242">
      <formula>AND(OR($W47&lt;&gt;"",$W48&lt;&gt;"",$X47&lt;&gt;""),$Y47="TBD")</formula>
    </cfRule>
  </conditionalFormatting>
  <conditionalFormatting sqref="R47:R48">
    <cfRule type="expression" dxfId="951" priority="243">
      <formula>AND(OR($Z47&lt;&gt;"",$Z48&lt;&gt;"",$AA47&lt;&gt;""),$AB47="TBD")</formula>
    </cfRule>
  </conditionalFormatting>
  <conditionalFormatting sqref="R48">
    <cfRule type="expression" dxfId="950" priority="241">
      <formula>AND(OR($Z47&lt;&gt;"",$Z48&lt;&gt;"",$AA47&lt;&gt;""),$AB47="TBD")</formula>
    </cfRule>
  </conditionalFormatting>
  <conditionalFormatting sqref="X9">
    <cfRule type="expression" dxfId="949" priority="239">
      <formula>AND(OR($W9&lt;&gt;"",$W10&lt;&gt;"",$X9&lt;&gt;""),$Y9="TBD")</formula>
    </cfRule>
  </conditionalFormatting>
  <conditionalFormatting sqref="X9:X10">
    <cfRule type="expression" dxfId="948" priority="240">
      <formula>AND(OR($AF9&lt;&gt;"",$AF10&lt;&gt;"",$AG9&lt;&gt;""),$AH9="TBD")</formula>
    </cfRule>
  </conditionalFormatting>
  <conditionalFormatting sqref="X10">
    <cfRule type="expression" dxfId="947" priority="238">
      <formula>AND(OR($AF9&lt;&gt;"",$AF10&lt;&gt;"",$AG9&lt;&gt;""),$AH9="TBD")</formula>
    </cfRule>
  </conditionalFormatting>
  <conditionalFormatting sqref="X11">
    <cfRule type="expression" dxfId="946" priority="236">
      <formula>AND(OR($W11&lt;&gt;"",$W12&lt;&gt;"",$X11&lt;&gt;""),$Y11="TBD")</formula>
    </cfRule>
  </conditionalFormatting>
  <conditionalFormatting sqref="X11:X12">
    <cfRule type="expression" dxfId="945" priority="237">
      <formula>AND(OR($AF11&lt;&gt;"",$AF12&lt;&gt;"",$AG11&lt;&gt;""),$AH11="TBD")</formula>
    </cfRule>
  </conditionalFormatting>
  <conditionalFormatting sqref="X12">
    <cfRule type="expression" dxfId="944" priority="235">
      <formula>AND(OR($AF11&lt;&gt;"",$AF12&lt;&gt;"",$AG11&lt;&gt;""),$AH11="TBD")</formula>
    </cfRule>
  </conditionalFormatting>
  <conditionalFormatting sqref="X13">
    <cfRule type="expression" dxfId="943" priority="233">
      <formula>AND(OR($W13&lt;&gt;"",$W14&lt;&gt;"",$X13&lt;&gt;""),$Y13="TBD")</formula>
    </cfRule>
  </conditionalFormatting>
  <conditionalFormatting sqref="X13:X14">
    <cfRule type="expression" dxfId="942" priority="234">
      <formula>AND(OR($AF13&lt;&gt;"",$AF14&lt;&gt;"",$AG13&lt;&gt;""),$AH13="TBD")</formula>
    </cfRule>
  </conditionalFormatting>
  <conditionalFormatting sqref="X14">
    <cfRule type="expression" dxfId="941" priority="232">
      <formula>AND(OR($AF13&lt;&gt;"",$AF14&lt;&gt;"",$AG13&lt;&gt;""),$AH13="TBD")</formula>
    </cfRule>
  </conditionalFormatting>
  <conditionalFormatting sqref="X15">
    <cfRule type="expression" dxfId="940" priority="230">
      <formula>AND(OR($W15&lt;&gt;"",$W16&lt;&gt;"",$X15&lt;&gt;""),$Y15="TBD")</formula>
    </cfRule>
  </conditionalFormatting>
  <conditionalFormatting sqref="X15:X16">
    <cfRule type="expression" dxfId="939" priority="231">
      <formula>AND(OR($AF15&lt;&gt;"",$AF16&lt;&gt;"",$AG15&lt;&gt;""),$AH15="TBD")</formula>
    </cfRule>
  </conditionalFormatting>
  <conditionalFormatting sqref="X16">
    <cfRule type="expression" dxfId="938" priority="229">
      <formula>AND(OR($AF15&lt;&gt;"",$AF16&lt;&gt;"",$AG15&lt;&gt;""),$AH15="TBD")</formula>
    </cfRule>
  </conditionalFormatting>
  <conditionalFormatting sqref="X17">
    <cfRule type="expression" dxfId="937" priority="227">
      <formula>AND(OR($W17&lt;&gt;"",$W18&lt;&gt;"",$X17&lt;&gt;""),$Y17="TBD")</formula>
    </cfRule>
  </conditionalFormatting>
  <conditionalFormatting sqref="X17:X18">
    <cfRule type="expression" dxfId="936" priority="228">
      <formula>AND(OR($AF17&lt;&gt;"",$AF18&lt;&gt;"",$AG17&lt;&gt;""),$AH17="TBD")</formula>
    </cfRule>
  </conditionalFormatting>
  <conditionalFormatting sqref="X18">
    <cfRule type="expression" dxfId="935" priority="226">
      <formula>AND(OR($AF17&lt;&gt;"",$AF18&lt;&gt;"",$AG17&lt;&gt;""),$AH17="TBD")</formula>
    </cfRule>
  </conditionalFormatting>
  <conditionalFormatting sqref="X19">
    <cfRule type="expression" dxfId="934" priority="224">
      <formula>AND(OR($W19&lt;&gt;"",$W20&lt;&gt;"",$X19&lt;&gt;""),$Y19="TBD")</formula>
    </cfRule>
  </conditionalFormatting>
  <conditionalFormatting sqref="X19:X20">
    <cfRule type="expression" dxfId="933" priority="225">
      <formula>AND(OR($AF19&lt;&gt;"",$AF20&lt;&gt;"",$AG19&lt;&gt;""),$AH19="TBD")</formula>
    </cfRule>
  </conditionalFormatting>
  <conditionalFormatting sqref="X20">
    <cfRule type="expression" dxfId="932" priority="223">
      <formula>AND(OR($AF19&lt;&gt;"",$AF20&lt;&gt;"",$AG19&lt;&gt;""),$AH19="TBD")</formula>
    </cfRule>
  </conditionalFormatting>
  <conditionalFormatting sqref="X21">
    <cfRule type="expression" dxfId="931" priority="221">
      <formula>AND(OR($W21&lt;&gt;"",$W22&lt;&gt;"",$X21&lt;&gt;""),$Y21="TBD")</formula>
    </cfRule>
  </conditionalFormatting>
  <conditionalFormatting sqref="X21:X22">
    <cfRule type="expression" dxfId="930" priority="222">
      <formula>AND(OR($AF21&lt;&gt;"",$AF22&lt;&gt;"",$AG21&lt;&gt;""),$AH21="TBD")</formula>
    </cfRule>
  </conditionalFormatting>
  <conditionalFormatting sqref="X22">
    <cfRule type="expression" dxfId="929" priority="220">
      <formula>AND(OR($AF21&lt;&gt;"",$AF22&lt;&gt;"",$AG21&lt;&gt;""),$AH21="TBD")</formula>
    </cfRule>
  </conditionalFormatting>
  <conditionalFormatting sqref="X23">
    <cfRule type="expression" dxfId="928" priority="218">
      <formula>AND(OR($W23&lt;&gt;"",$W24&lt;&gt;"",$X23&lt;&gt;""),$Y23="TBD")</formula>
    </cfRule>
  </conditionalFormatting>
  <conditionalFormatting sqref="X23:X24">
    <cfRule type="expression" dxfId="927" priority="219">
      <formula>AND(OR($AF23&lt;&gt;"",$AF24&lt;&gt;"",$AG23&lt;&gt;""),$AH23="TBD")</formula>
    </cfRule>
  </conditionalFormatting>
  <conditionalFormatting sqref="X24">
    <cfRule type="expression" dxfId="926" priority="217">
      <formula>AND(OR($AF23&lt;&gt;"",$AF24&lt;&gt;"",$AG23&lt;&gt;""),$AH23="TBD")</formula>
    </cfRule>
  </conditionalFormatting>
  <conditionalFormatting sqref="X25">
    <cfRule type="expression" dxfId="925" priority="215">
      <formula>AND(OR($W25&lt;&gt;"",$W26&lt;&gt;"",$X25&lt;&gt;""),$Y25="TBD")</formula>
    </cfRule>
  </conditionalFormatting>
  <conditionalFormatting sqref="X25:X26">
    <cfRule type="expression" dxfId="924" priority="216">
      <formula>AND(OR($AF25&lt;&gt;"",$AF26&lt;&gt;"",$AG25&lt;&gt;""),$AH25="TBD")</formula>
    </cfRule>
  </conditionalFormatting>
  <conditionalFormatting sqref="X26">
    <cfRule type="expression" dxfId="923" priority="214">
      <formula>AND(OR($AF25&lt;&gt;"",$AF26&lt;&gt;"",$AG25&lt;&gt;""),$AH25="TBD")</formula>
    </cfRule>
  </conditionalFormatting>
  <conditionalFormatting sqref="X27">
    <cfRule type="expression" dxfId="922" priority="212">
      <formula>AND(OR($W27&lt;&gt;"",$W28&lt;&gt;"",$X27&lt;&gt;""),$Y27="TBD")</formula>
    </cfRule>
  </conditionalFormatting>
  <conditionalFormatting sqref="X27:X28">
    <cfRule type="expression" dxfId="921" priority="213">
      <formula>AND(OR($AF27&lt;&gt;"",$AF28&lt;&gt;"",$AG27&lt;&gt;""),$AH27="TBD")</formula>
    </cfRule>
  </conditionalFormatting>
  <conditionalFormatting sqref="X28">
    <cfRule type="expression" dxfId="920" priority="211">
      <formula>AND(OR($AF27&lt;&gt;"",$AF28&lt;&gt;"",$AG27&lt;&gt;""),$AH27="TBD")</formula>
    </cfRule>
  </conditionalFormatting>
  <conditionalFormatting sqref="X31">
    <cfRule type="expression" dxfId="919" priority="209">
      <formula>AND(OR($W31&lt;&gt;"",$W32&lt;&gt;"",$X31&lt;&gt;""),$Y31="TBD")</formula>
    </cfRule>
  </conditionalFormatting>
  <conditionalFormatting sqref="X31:X32">
    <cfRule type="expression" dxfId="918" priority="210">
      <formula>AND(OR($AF31&lt;&gt;"",$AF32&lt;&gt;"",$AG31&lt;&gt;""),$AH31="TBD")</formula>
    </cfRule>
  </conditionalFormatting>
  <conditionalFormatting sqref="X32">
    <cfRule type="expression" dxfId="917" priority="208">
      <formula>AND(OR($AF31&lt;&gt;"",$AF32&lt;&gt;"",$AG31&lt;&gt;""),$AH31="TBD")</formula>
    </cfRule>
  </conditionalFormatting>
  <conditionalFormatting sqref="X33">
    <cfRule type="expression" dxfId="916" priority="206">
      <formula>AND(OR($W33&lt;&gt;"",$W34&lt;&gt;"",$X33&lt;&gt;""),$Y33="TBD")</formula>
    </cfRule>
  </conditionalFormatting>
  <conditionalFormatting sqref="X33:X34">
    <cfRule type="expression" dxfId="915" priority="207">
      <formula>AND(OR($AF33&lt;&gt;"",$AF34&lt;&gt;"",$AG33&lt;&gt;""),$AH33="TBD")</formula>
    </cfRule>
  </conditionalFormatting>
  <conditionalFormatting sqref="X34">
    <cfRule type="expression" dxfId="914" priority="205">
      <formula>AND(OR($AF33&lt;&gt;"",$AF34&lt;&gt;"",$AG33&lt;&gt;""),$AH33="TBD")</formula>
    </cfRule>
  </conditionalFormatting>
  <conditionalFormatting sqref="X35">
    <cfRule type="expression" dxfId="913" priority="203">
      <formula>AND(OR($W35&lt;&gt;"",$W36&lt;&gt;"",$X35&lt;&gt;""),$Y35="TBD")</formula>
    </cfRule>
  </conditionalFormatting>
  <conditionalFormatting sqref="X35:X36">
    <cfRule type="expression" dxfId="912" priority="204">
      <formula>AND(OR($AF35&lt;&gt;"",$AF36&lt;&gt;"",$AG35&lt;&gt;""),$AH35="TBD")</formula>
    </cfRule>
  </conditionalFormatting>
  <conditionalFormatting sqref="X36">
    <cfRule type="expression" dxfId="911" priority="202">
      <formula>AND(OR($AF35&lt;&gt;"",$AF36&lt;&gt;"",$AG35&lt;&gt;""),$AH35="TBD")</formula>
    </cfRule>
  </conditionalFormatting>
  <conditionalFormatting sqref="X37">
    <cfRule type="expression" dxfId="910" priority="200">
      <formula>AND(OR($W37&lt;&gt;"",$W38&lt;&gt;"",$X37&lt;&gt;""),$Y37="TBD")</formula>
    </cfRule>
  </conditionalFormatting>
  <conditionalFormatting sqref="X37:X38">
    <cfRule type="expression" dxfId="909" priority="201">
      <formula>AND(OR($AF37&lt;&gt;"",$AF38&lt;&gt;"",$AG37&lt;&gt;""),$AH37="TBD")</formula>
    </cfRule>
  </conditionalFormatting>
  <conditionalFormatting sqref="X38">
    <cfRule type="expression" dxfId="908" priority="199">
      <formula>AND(OR($AF37&lt;&gt;"",$AF38&lt;&gt;"",$AG37&lt;&gt;""),$AH37="TBD")</formula>
    </cfRule>
  </conditionalFormatting>
  <conditionalFormatting sqref="X39">
    <cfRule type="expression" dxfId="907" priority="197">
      <formula>AND(OR($W39&lt;&gt;"",$W40&lt;&gt;"",$X39&lt;&gt;""),$Y39="TBD")</formula>
    </cfRule>
  </conditionalFormatting>
  <conditionalFormatting sqref="X39:X40">
    <cfRule type="expression" dxfId="906" priority="198">
      <formula>AND(OR($AF39&lt;&gt;"",$AF40&lt;&gt;"",$AG39&lt;&gt;""),$AH39="TBD")</formula>
    </cfRule>
  </conditionalFormatting>
  <conditionalFormatting sqref="X40">
    <cfRule type="expression" dxfId="905" priority="196">
      <formula>AND(OR($AF39&lt;&gt;"",$AF40&lt;&gt;"",$AG39&lt;&gt;""),$AH39="TBD")</formula>
    </cfRule>
  </conditionalFormatting>
  <conditionalFormatting sqref="X41">
    <cfRule type="expression" dxfId="904" priority="194">
      <formula>AND(OR($W41&lt;&gt;"",$W42&lt;&gt;"",$X41&lt;&gt;""),$Y41="TBD")</formula>
    </cfRule>
  </conditionalFormatting>
  <conditionalFormatting sqref="X41:X42">
    <cfRule type="expression" dxfId="903" priority="195">
      <formula>AND(OR($AF41&lt;&gt;"",$AF42&lt;&gt;"",$AG41&lt;&gt;""),$AH41="TBD")</formula>
    </cfRule>
  </conditionalFormatting>
  <conditionalFormatting sqref="X42">
    <cfRule type="expression" dxfId="902" priority="193">
      <formula>AND(OR($AF41&lt;&gt;"",$AF42&lt;&gt;"",$AG41&lt;&gt;""),$AH41="TBD")</formula>
    </cfRule>
  </conditionalFormatting>
  <conditionalFormatting sqref="X43">
    <cfRule type="expression" dxfId="901" priority="191">
      <formula>AND(OR($W43&lt;&gt;"",$W44&lt;&gt;"",$X43&lt;&gt;""),$Y43="TBD")</formula>
    </cfRule>
  </conditionalFormatting>
  <conditionalFormatting sqref="X43:X44">
    <cfRule type="expression" dxfId="900" priority="192">
      <formula>AND(OR($AF43&lt;&gt;"",$AF44&lt;&gt;"",$AG43&lt;&gt;""),$AH43="TBD")</formula>
    </cfRule>
  </conditionalFormatting>
  <conditionalFormatting sqref="X44">
    <cfRule type="expression" dxfId="899" priority="190">
      <formula>AND(OR($AF43&lt;&gt;"",$AF44&lt;&gt;"",$AG43&lt;&gt;""),$AH43="TBD")</formula>
    </cfRule>
  </conditionalFormatting>
  <conditionalFormatting sqref="X45">
    <cfRule type="expression" dxfId="898" priority="188">
      <formula>AND(OR($W45&lt;&gt;"",$W46&lt;&gt;"",$X45&lt;&gt;""),$Y45="TBD")</formula>
    </cfRule>
  </conditionalFormatting>
  <conditionalFormatting sqref="X45:X46">
    <cfRule type="expression" dxfId="897" priority="189">
      <formula>AND(OR($AF45&lt;&gt;"",$AF46&lt;&gt;"",$AG45&lt;&gt;""),$AH45="TBD")</formula>
    </cfRule>
  </conditionalFormatting>
  <conditionalFormatting sqref="X46">
    <cfRule type="expression" dxfId="896" priority="187">
      <formula>AND(OR($AF45&lt;&gt;"",$AF46&lt;&gt;"",$AG45&lt;&gt;""),$AH45="TBD")</formula>
    </cfRule>
  </conditionalFormatting>
  <conditionalFormatting sqref="X47">
    <cfRule type="expression" dxfId="895" priority="185">
      <formula>AND(OR($W47&lt;&gt;"",$W48&lt;&gt;"",$X47&lt;&gt;""),$Y47="TBD")</formula>
    </cfRule>
  </conditionalFormatting>
  <conditionalFormatting sqref="X47:X48">
    <cfRule type="expression" dxfId="894" priority="186">
      <formula>AND(OR($AF47&lt;&gt;"",$AF48&lt;&gt;"",$AG47&lt;&gt;""),$AH47="TBD")</formula>
    </cfRule>
  </conditionalFormatting>
  <conditionalFormatting sqref="X48">
    <cfRule type="expression" dxfId="893" priority="184">
      <formula>AND(OR($AF47&lt;&gt;"",$AF48&lt;&gt;"",$AG47&lt;&gt;""),$AH47="TBD")</formula>
    </cfRule>
  </conditionalFormatting>
  <conditionalFormatting sqref="X29">
    <cfRule type="expression" dxfId="892" priority="182">
      <formula>AND(OR($W29&lt;&gt;"",$W30&lt;&gt;"",$X29&lt;&gt;""),$Y29="TBD")</formula>
    </cfRule>
  </conditionalFormatting>
  <conditionalFormatting sqref="X29:X30">
    <cfRule type="expression" dxfId="891" priority="183">
      <formula>AND(OR($Z29&lt;&gt;"",$Z30&lt;&gt;"",$AA29&lt;&gt;""),$AB29="TBD")</formula>
    </cfRule>
  </conditionalFormatting>
  <conditionalFormatting sqref="X30">
    <cfRule type="expression" dxfId="890" priority="181">
      <formula>AND(OR($Z29&lt;&gt;"",$Z30&lt;&gt;"",$AA29&lt;&gt;""),$AB29="TBD")</formula>
    </cfRule>
  </conditionalFormatting>
  <conditionalFormatting sqref="U9">
    <cfRule type="expression" dxfId="889" priority="179">
      <formula>AND(OR($W9&lt;&gt;"",$W10&lt;&gt;"",$X9&lt;&gt;""),$Y9="TBD")</formula>
    </cfRule>
  </conditionalFormatting>
  <conditionalFormatting sqref="U9:U10">
    <cfRule type="expression" dxfId="888" priority="180">
      <formula>AND(OR($AC9&lt;&gt;"",$AC10&lt;&gt;"",$AD9&lt;&gt;""),$AE9="TBD")</formula>
    </cfRule>
  </conditionalFormatting>
  <conditionalFormatting sqref="U10">
    <cfRule type="expression" dxfId="887" priority="178">
      <formula>AND(OR($AC9&lt;&gt;"",$AC10&lt;&gt;"",$AD9&lt;&gt;""),$AE9="TBD")</formula>
    </cfRule>
  </conditionalFormatting>
  <conditionalFormatting sqref="U11">
    <cfRule type="expression" dxfId="886" priority="176">
      <formula>AND(OR($W11&lt;&gt;"",$W12&lt;&gt;"",$X11&lt;&gt;""),$Y11="TBD")</formula>
    </cfRule>
  </conditionalFormatting>
  <conditionalFormatting sqref="U11:U12">
    <cfRule type="expression" dxfId="885" priority="177">
      <formula>AND(OR($AC11&lt;&gt;"",$AC12&lt;&gt;"",$AD11&lt;&gt;""),$AE11="TBD")</formula>
    </cfRule>
  </conditionalFormatting>
  <conditionalFormatting sqref="U12">
    <cfRule type="expression" dxfId="884" priority="175">
      <formula>AND(OR($AC11&lt;&gt;"",$AC12&lt;&gt;"",$AD11&lt;&gt;""),$AE11="TBD")</formula>
    </cfRule>
  </conditionalFormatting>
  <conditionalFormatting sqref="U13">
    <cfRule type="expression" dxfId="883" priority="173">
      <formula>AND(OR($W13&lt;&gt;"",$W14&lt;&gt;"",$X13&lt;&gt;""),$Y13="TBD")</formula>
    </cfRule>
  </conditionalFormatting>
  <conditionalFormatting sqref="U13:U14">
    <cfRule type="expression" dxfId="882" priority="174">
      <formula>AND(OR($AC13&lt;&gt;"",$AC14&lt;&gt;"",$AD13&lt;&gt;""),$AE13="TBD")</formula>
    </cfRule>
  </conditionalFormatting>
  <conditionalFormatting sqref="U14">
    <cfRule type="expression" dxfId="881" priority="172">
      <formula>AND(OR($AC13&lt;&gt;"",$AC14&lt;&gt;"",$AD13&lt;&gt;""),$AE13="TBD")</formula>
    </cfRule>
  </conditionalFormatting>
  <conditionalFormatting sqref="U15">
    <cfRule type="expression" dxfId="880" priority="170">
      <formula>AND(OR($W15&lt;&gt;"",$W16&lt;&gt;"",$X15&lt;&gt;""),$Y15="TBD")</formula>
    </cfRule>
  </conditionalFormatting>
  <conditionalFormatting sqref="U15:U16">
    <cfRule type="expression" dxfId="879" priority="171">
      <formula>AND(OR($AC15&lt;&gt;"",$AC16&lt;&gt;"",$AD15&lt;&gt;""),$AE15="TBD")</formula>
    </cfRule>
  </conditionalFormatting>
  <conditionalFormatting sqref="U16">
    <cfRule type="expression" dxfId="878" priority="169">
      <formula>AND(OR($AC15&lt;&gt;"",$AC16&lt;&gt;"",$AD15&lt;&gt;""),$AE15="TBD")</formula>
    </cfRule>
  </conditionalFormatting>
  <conditionalFormatting sqref="U17">
    <cfRule type="expression" dxfId="877" priority="167">
      <formula>AND(OR($W17&lt;&gt;"",$W18&lt;&gt;"",$X17&lt;&gt;""),$Y17="TBD")</formula>
    </cfRule>
  </conditionalFormatting>
  <conditionalFormatting sqref="U17:U18">
    <cfRule type="expression" dxfId="876" priority="168">
      <formula>AND(OR($AC17&lt;&gt;"",$AC18&lt;&gt;"",$AD17&lt;&gt;""),$AE17="TBD")</formula>
    </cfRule>
  </conditionalFormatting>
  <conditionalFormatting sqref="U18">
    <cfRule type="expression" dxfId="875" priority="166">
      <formula>AND(OR($AC17&lt;&gt;"",$AC18&lt;&gt;"",$AD17&lt;&gt;""),$AE17="TBD")</formula>
    </cfRule>
  </conditionalFormatting>
  <conditionalFormatting sqref="U19">
    <cfRule type="expression" dxfId="874" priority="164">
      <formula>AND(OR($W19&lt;&gt;"",$W20&lt;&gt;"",$X19&lt;&gt;""),$Y19="TBD")</formula>
    </cfRule>
  </conditionalFormatting>
  <conditionalFormatting sqref="U19:U20">
    <cfRule type="expression" dxfId="873" priority="165">
      <formula>AND(OR($AC19&lt;&gt;"",$AC20&lt;&gt;"",$AD19&lt;&gt;""),$AE19="TBD")</formula>
    </cfRule>
  </conditionalFormatting>
  <conditionalFormatting sqref="U20">
    <cfRule type="expression" dxfId="872" priority="163">
      <formula>AND(OR($AC19&lt;&gt;"",$AC20&lt;&gt;"",$AD19&lt;&gt;""),$AE19="TBD")</formula>
    </cfRule>
  </conditionalFormatting>
  <conditionalFormatting sqref="U21">
    <cfRule type="expression" dxfId="871" priority="161">
      <formula>AND(OR($W21&lt;&gt;"",$W22&lt;&gt;"",$X21&lt;&gt;""),$Y21="TBD")</formula>
    </cfRule>
  </conditionalFormatting>
  <conditionalFormatting sqref="U21:U22">
    <cfRule type="expression" dxfId="870" priority="162">
      <formula>AND(OR($AC21&lt;&gt;"",$AC22&lt;&gt;"",$AD21&lt;&gt;""),$AE21="TBD")</formula>
    </cfRule>
  </conditionalFormatting>
  <conditionalFormatting sqref="U22">
    <cfRule type="expression" dxfId="869" priority="160">
      <formula>AND(OR($AC21&lt;&gt;"",$AC22&lt;&gt;"",$AD21&lt;&gt;""),$AE21="TBD")</formula>
    </cfRule>
  </conditionalFormatting>
  <conditionalFormatting sqref="U23">
    <cfRule type="expression" dxfId="868" priority="158">
      <formula>AND(OR($W23&lt;&gt;"",$W24&lt;&gt;"",$X23&lt;&gt;""),$Y23="TBD")</formula>
    </cfRule>
  </conditionalFormatting>
  <conditionalFormatting sqref="U23:U24">
    <cfRule type="expression" dxfId="867" priority="159">
      <formula>AND(OR($AC23&lt;&gt;"",$AC24&lt;&gt;"",$AD23&lt;&gt;""),$AE23="TBD")</formula>
    </cfRule>
  </conditionalFormatting>
  <conditionalFormatting sqref="U24">
    <cfRule type="expression" dxfId="866" priority="157">
      <formula>AND(OR($AC23&lt;&gt;"",$AC24&lt;&gt;"",$AD23&lt;&gt;""),$AE23="TBD")</formula>
    </cfRule>
  </conditionalFormatting>
  <conditionalFormatting sqref="U25">
    <cfRule type="expression" dxfId="865" priority="155">
      <formula>AND(OR($W25&lt;&gt;"",$W26&lt;&gt;"",$X25&lt;&gt;""),$Y25="TBD")</formula>
    </cfRule>
  </conditionalFormatting>
  <conditionalFormatting sqref="U25:U26">
    <cfRule type="expression" dxfId="864" priority="156">
      <formula>AND(OR($AC25&lt;&gt;"",$AC26&lt;&gt;"",$AD25&lt;&gt;""),$AE25="TBD")</formula>
    </cfRule>
  </conditionalFormatting>
  <conditionalFormatting sqref="U26">
    <cfRule type="expression" dxfId="863" priority="154">
      <formula>AND(OR($AC25&lt;&gt;"",$AC26&lt;&gt;"",$AD25&lt;&gt;""),$AE25="TBD")</formula>
    </cfRule>
  </conditionalFormatting>
  <conditionalFormatting sqref="U27">
    <cfRule type="expression" dxfId="862" priority="152">
      <formula>AND(OR($W27&lt;&gt;"",$W28&lt;&gt;"",$X27&lt;&gt;""),$Y27="TBD")</formula>
    </cfRule>
  </conditionalFormatting>
  <conditionalFormatting sqref="U27:U28">
    <cfRule type="expression" dxfId="861" priority="153">
      <formula>AND(OR($AC27&lt;&gt;"",$AC28&lt;&gt;"",$AD27&lt;&gt;""),$AE27="TBD")</formula>
    </cfRule>
  </conditionalFormatting>
  <conditionalFormatting sqref="U28">
    <cfRule type="expression" dxfId="860" priority="151">
      <formula>AND(OR($AC27&lt;&gt;"",$AC28&lt;&gt;"",$AD27&lt;&gt;""),$AE27="TBD")</formula>
    </cfRule>
  </conditionalFormatting>
  <conditionalFormatting sqref="U31">
    <cfRule type="expression" dxfId="859" priority="149">
      <formula>AND(OR($W31&lt;&gt;"",$W32&lt;&gt;"",$X31&lt;&gt;""),$Y31="TBD")</formula>
    </cfRule>
  </conditionalFormatting>
  <conditionalFormatting sqref="U31:U32">
    <cfRule type="expression" dxfId="858" priority="150">
      <formula>AND(OR($AC31&lt;&gt;"",$AC32&lt;&gt;"",$AD31&lt;&gt;""),$AE31="TBD")</formula>
    </cfRule>
  </conditionalFormatting>
  <conditionalFormatting sqref="U32">
    <cfRule type="expression" dxfId="857" priority="148">
      <formula>AND(OR($AC31&lt;&gt;"",$AC32&lt;&gt;"",$AD31&lt;&gt;""),$AE31="TBD")</formula>
    </cfRule>
  </conditionalFormatting>
  <conditionalFormatting sqref="U33">
    <cfRule type="expression" dxfId="856" priority="146">
      <formula>AND(OR($W33&lt;&gt;"",$W34&lt;&gt;"",$X33&lt;&gt;""),$Y33="TBD")</formula>
    </cfRule>
  </conditionalFormatting>
  <conditionalFormatting sqref="U33:U34">
    <cfRule type="expression" dxfId="855" priority="147">
      <formula>AND(OR($AC33&lt;&gt;"",$AC34&lt;&gt;"",$AD33&lt;&gt;""),$AE33="TBD")</formula>
    </cfRule>
  </conditionalFormatting>
  <conditionalFormatting sqref="U34">
    <cfRule type="expression" dxfId="854" priority="145">
      <formula>AND(OR($AC33&lt;&gt;"",$AC34&lt;&gt;"",$AD33&lt;&gt;""),$AE33="TBD")</formula>
    </cfRule>
  </conditionalFormatting>
  <conditionalFormatting sqref="U35">
    <cfRule type="expression" dxfId="853" priority="143">
      <formula>AND(OR($W35&lt;&gt;"",$W36&lt;&gt;"",$X35&lt;&gt;""),$Y35="TBD")</formula>
    </cfRule>
  </conditionalFormatting>
  <conditionalFormatting sqref="U35:U36">
    <cfRule type="expression" dxfId="852" priority="144">
      <formula>AND(OR($AC35&lt;&gt;"",$AC36&lt;&gt;"",$AD35&lt;&gt;""),$AE35="TBD")</formula>
    </cfRule>
  </conditionalFormatting>
  <conditionalFormatting sqref="U36">
    <cfRule type="expression" dxfId="851" priority="142">
      <formula>AND(OR($AC35&lt;&gt;"",$AC36&lt;&gt;"",$AD35&lt;&gt;""),$AE35="TBD")</formula>
    </cfRule>
  </conditionalFormatting>
  <conditionalFormatting sqref="U37">
    <cfRule type="expression" dxfId="850" priority="140">
      <formula>AND(OR($W37&lt;&gt;"",$W38&lt;&gt;"",$X37&lt;&gt;""),$Y37="TBD")</formula>
    </cfRule>
  </conditionalFormatting>
  <conditionalFormatting sqref="U37:U38">
    <cfRule type="expression" dxfId="849" priority="141">
      <formula>AND(OR($AC37&lt;&gt;"",$AC38&lt;&gt;"",$AD37&lt;&gt;""),$AE37="TBD")</formula>
    </cfRule>
  </conditionalFormatting>
  <conditionalFormatting sqref="U38">
    <cfRule type="expression" dxfId="848" priority="139">
      <formula>AND(OR($AC37&lt;&gt;"",$AC38&lt;&gt;"",$AD37&lt;&gt;""),$AE37="TBD")</formula>
    </cfRule>
  </conditionalFormatting>
  <conditionalFormatting sqref="U39">
    <cfRule type="expression" dxfId="847" priority="137">
      <formula>AND(OR($W39&lt;&gt;"",$W40&lt;&gt;"",$X39&lt;&gt;""),$Y39="TBD")</formula>
    </cfRule>
  </conditionalFormatting>
  <conditionalFormatting sqref="U39:U40">
    <cfRule type="expression" dxfId="846" priority="138">
      <formula>AND(OR($AC39&lt;&gt;"",$AC40&lt;&gt;"",$AD39&lt;&gt;""),$AE39="TBD")</formula>
    </cfRule>
  </conditionalFormatting>
  <conditionalFormatting sqref="U40">
    <cfRule type="expression" dxfId="845" priority="136">
      <formula>AND(OR($AC39&lt;&gt;"",$AC40&lt;&gt;"",$AD39&lt;&gt;""),$AE39="TBD")</formula>
    </cfRule>
  </conditionalFormatting>
  <conditionalFormatting sqref="U41">
    <cfRule type="expression" dxfId="844" priority="134">
      <formula>AND(OR($W41&lt;&gt;"",$W42&lt;&gt;"",$X41&lt;&gt;""),$Y41="TBD")</formula>
    </cfRule>
  </conditionalFormatting>
  <conditionalFormatting sqref="U41:U42">
    <cfRule type="expression" dxfId="843" priority="135">
      <formula>AND(OR($AC41&lt;&gt;"",$AC42&lt;&gt;"",$AD41&lt;&gt;""),$AE41="TBD")</formula>
    </cfRule>
  </conditionalFormatting>
  <conditionalFormatting sqref="U42">
    <cfRule type="expression" dxfId="842" priority="133">
      <formula>AND(OR($AC41&lt;&gt;"",$AC42&lt;&gt;"",$AD41&lt;&gt;""),$AE41="TBD")</formula>
    </cfRule>
  </conditionalFormatting>
  <conditionalFormatting sqref="U43">
    <cfRule type="expression" dxfId="841" priority="131">
      <formula>AND(OR($W43&lt;&gt;"",$W44&lt;&gt;"",$X43&lt;&gt;""),$Y43="TBD")</formula>
    </cfRule>
  </conditionalFormatting>
  <conditionalFormatting sqref="U43:U44">
    <cfRule type="expression" dxfId="840" priority="132">
      <formula>AND(OR($AC43&lt;&gt;"",$AC44&lt;&gt;"",$AD43&lt;&gt;""),$AE43="TBD")</formula>
    </cfRule>
  </conditionalFormatting>
  <conditionalFormatting sqref="U44">
    <cfRule type="expression" dxfId="839" priority="130">
      <formula>AND(OR($AC43&lt;&gt;"",$AC44&lt;&gt;"",$AD43&lt;&gt;""),$AE43="TBD")</formula>
    </cfRule>
  </conditionalFormatting>
  <conditionalFormatting sqref="U45">
    <cfRule type="expression" dxfId="838" priority="128">
      <formula>AND(OR($W45&lt;&gt;"",$W46&lt;&gt;"",$X45&lt;&gt;""),$Y45="TBD")</formula>
    </cfRule>
  </conditionalFormatting>
  <conditionalFormatting sqref="U45:U46">
    <cfRule type="expression" dxfId="837" priority="129">
      <formula>AND(OR($AC45&lt;&gt;"",$AC46&lt;&gt;"",$AD45&lt;&gt;""),$AE45="TBD")</formula>
    </cfRule>
  </conditionalFormatting>
  <conditionalFormatting sqref="U46">
    <cfRule type="expression" dxfId="836" priority="127">
      <formula>AND(OR($AC45&lt;&gt;"",$AC46&lt;&gt;"",$AD45&lt;&gt;""),$AE45="TBD")</formula>
    </cfRule>
  </conditionalFormatting>
  <conditionalFormatting sqref="U47">
    <cfRule type="expression" dxfId="835" priority="125">
      <formula>AND(OR($W47&lt;&gt;"",$W48&lt;&gt;"",$X47&lt;&gt;""),$Y47="TBD")</formula>
    </cfRule>
  </conditionalFormatting>
  <conditionalFormatting sqref="U47:U48">
    <cfRule type="expression" dxfId="834" priority="126">
      <formula>AND(OR($AC47&lt;&gt;"",$AC48&lt;&gt;"",$AD47&lt;&gt;""),$AE47="TBD")</formula>
    </cfRule>
  </conditionalFormatting>
  <conditionalFormatting sqref="U48">
    <cfRule type="expression" dxfId="833" priority="124">
      <formula>AND(OR($AC47&lt;&gt;"",$AC48&lt;&gt;"",$AD47&lt;&gt;""),$AE47="TBD")</formula>
    </cfRule>
  </conditionalFormatting>
  <conditionalFormatting sqref="U29">
    <cfRule type="expression" dxfId="832" priority="122">
      <formula>AND(OR($W29&lt;&gt;"",$W30&lt;&gt;"",$X29&lt;&gt;""),$Y29="TBD")</formula>
    </cfRule>
  </conditionalFormatting>
  <conditionalFormatting sqref="U29:U30">
    <cfRule type="expression" dxfId="831" priority="123">
      <formula>AND(OR($Z29&lt;&gt;"",$Z30&lt;&gt;"",$AA29&lt;&gt;""),$AB29="TBD")</formula>
    </cfRule>
  </conditionalFormatting>
  <conditionalFormatting sqref="U30">
    <cfRule type="expression" dxfId="830" priority="121">
      <formula>AND(OR($Z29&lt;&gt;"",$Z30&lt;&gt;"",$AA29&lt;&gt;""),$AB29="TBD")</formula>
    </cfRule>
  </conditionalFormatting>
  <conditionalFormatting sqref="AA9">
    <cfRule type="expression" dxfId="829" priority="119">
      <formula>AND(OR($W9&lt;&gt;"",$W10&lt;&gt;"",$X9&lt;&gt;""),$Y9="TBD")</formula>
    </cfRule>
  </conditionalFormatting>
  <conditionalFormatting sqref="AA9:AA10">
    <cfRule type="expression" dxfId="828" priority="120">
      <formula>AND(OR($AI9&lt;&gt;"",$AI10&lt;&gt;"",$AJ9&lt;&gt;""),$AK9="TBD")</formula>
    </cfRule>
  </conditionalFormatting>
  <conditionalFormatting sqref="AA10">
    <cfRule type="expression" dxfId="827" priority="118">
      <formula>AND(OR($AI9&lt;&gt;"",$AI10&lt;&gt;"",$AJ9&lt;&gt;""),$AK9="TBD")</formula>
    </cfRule>
  </conditionalFormatting>
  <conditionalFormatting sqref="AA11">
    <cfRule type="expression" dxfId="826" priority="116">
      <formula>AND(OR($W11&lt;&gt;"",$W12&lt;&gt;"",$X11&lt;&gt;""),$Y11="TBD")</formula>
    </cfRule>
  </conditionalFormatting>
  <conditionalFormatting sqref="AA11:AA12">
    <cfRule type="expression" dxfId="825" priority="117">
      <formula>AND(OR($AI11&lt;&gt;"",$AI12&lt;&gt;"",$AJ11&lt;&gt;""),$AK11="TBD")</formula>
    </cfRule>
  </conditionalFormatting>
  <conditionalFormatting sqref="AA12">
    <cfRule type="expression" dxfId="824" priority="115">
      <formula>AND(OR($AI11&lt;&gt;"",$AI12&lt;&gt;"",$AJ11&lt;&gt;""),$AK11="TBD")</formula>
    </cfRule>
  </conditionalFormatting>
  <conditionalFormatting sqref="AA13">
    <cfRule type="expression" dxfId="823" priority="113">
      <formula>AND(OR($W13&lt;&gt;"",$W14&lt;&gt;"",$X13&lt;&gt;""),$Y13="TBD")</formula>
    </cfRule>
  </conditionalFormatting>
  <conditionalFormatting sqref="AA13:AA14">
    <cfRule type="expression" dxfId="822" priority="114">
      <formula>AND(OR($AI13&lt;&gt;"",$AI14&lt;&gt;"",$AJ13&lt;&gt;""),$AK13="TBD")</formula>
    </cfRule>
  </conditionalFormatting>
  <conditionalFormatting sqref="AA14">
    <cfRule type="expression" dxfId="821" priority="112">
      <formula>AND(OR($AI13&lt;&gt;"",$AI14&lt;&gt;"",$AJ13&lt;&gt;""),$AK13="TBD")</formula>
    </cfRule>
  </conditionalFormatting>
  <conditionalFormatting sqref="AA15">
    <cfRule type="expression" dxfId="820" priority="110">
      <formula>AND(OR($W15&lt;&gt;"",$W16&lt;&gt;"",$X15&lt;&gt;""),$Y15="TBD")</formula>
    </cfRule>
  </conditionalFormatting>
  <conditionalFormatting sqref="AA15:AA16">
    <cfRule type="expression" dxfId="819" priority="111">
      <formula>AND(OR($AI15&lt;&gt;"",$AI16&lt;&gt;"",$AJ15&lt;&gt;""),$AK15="TBD")</formula>
    </cfRule>
  </conditionalFormatting>
  <conditionalFormatting sqref="AA16">
    <cfRule type="expression" dxfId="818" priority="109">
      <formula>AND(OR($AI15&lt;&gt;"",$AI16&lt;&gt;"",$AJ15&lt;&gt;""),$AK15="TBD")</formula>
    </cfRule>
  </conditionalFormatting>
  <conditionalFormatting sqref="AA17">
    <cfRule type="expression" dxfId="817" priority="107">
      <formula>AND(OR($W17&lt;&gt;"",$W18&lt;&gt;"",$X17&lt;&gt;""),$Y17="TBD")</formula>
    </cfRule>
  </conditionalFormatting>
  <conditionalFormatting sqref="AA17:AA18">
    <cfRule type="expression" dxfId="816" priority="108">
      <formula>AND(OR($AI17&lt;&gt;"",$AI18&lt;&gt;"",$AJ17&lt;&gt;""),$AK17="TBD")</formula>
    </cfRule>
  </conditionalFormatting>
  <conditionalFormatting sqref="AA18">
    <cfRule type="expression" dxfId="815" priority="106">
      <formula>AND(OR($AI17&lt;&gt;"",$AI18&lt;&gt;"",$AJ17&lt;&gt;""),$AK17="TBD")</formula>
    </cfRule>
  </conditionalFormatting>
  <conditionalFormatting sqref="AA19">
    <cfRule type="expression" dxfId="814" priority="104">
      <formula>AND(OR($W19&lt;&gt;"",$W20&lt;&gt;"",$X19&lt;&gt;""),$Y19="TBD")</formula>
    </cfRule>
  </conditionalFormatting>
  <conditionalFormatting sqref="AA19:AA20">
    <cfRule type="expression" dxfId="813" priority="105">
      <formula>AND(OR($AI19&lt;&gt;"",$AI20&lt;&gt;"",$AJ19&lt;&gt;""),$AK19="TBD")</formula>
    </cfRule>
  </conditionalFormatting>
  <conditionalFormatting sqref="AA20">
    <cfRule type="expression" dxfId="812" priority="103">
      <formula>AND(OR($AI19&lt;&gt;"",$AI20&lt;&gt;"",$AJ19&lt;&gt;""),$AK19="TBD")</formula>
    </cfRule>
  </conditionalFormatting>
  <conditionalFormatting sqref="AA21">
    <cfRule type="expression" dxfId="811" priority="101">
      <formula>AND(OR($W21&lt;&gt;"",$W22&lt;&gt;"",$X21&lt;&gt;""),$Y21="TBD")</formula>
    </cfRule>
  </conditionalFormatting>
  <conditionalFormatting sqref="AA21:AA22">
    <cfRule type="expression" dxfId="810" priority="102">
      <formula>AND(OR($AI21&lt;&gt;"",$AI22&lt;&gt;"",$AJ21&lt;&gt;""),$AK21="TBD")</formula>
    </cfRule>
  </conditionalFormatting>
  <conditionalFormatting sqref="AA22">
    <cfRule type="expression" dxfId="809" priority="100">
      <formula>AND(OR($AI21&lt;&gt;"",$AI22&lt;&gt;"",$AJ21&lt;&gt;""),$AK21="TBD")</formula>
    </cfRule>
  </conditionalFormatting>
  <conditionalFormatting sqref="AA23">
    <cfRule type="expression" dxfId="808" priority="98">
      <formula>AND(OR($W23&lt;&gt;"",$W24&lt;&gt;"",$X23&lt;&gt;""),$Y23="TBD")</formula>
    </cfRule>
  </conditionalFormatting>
  <conditionalFormatting sqref="AA23:AA24">
    <cfRule type="expression" dxfId="807" priority="99">
      <formula>AND(OR($AI23&lt;&gt;"",$AI24&lt;&gt;"",$AJ23&lt;&gt;""),$AK23="TBD")</formula>
    </cfRule>
  </conditionalFormatting>
  <conditionalFormatting sqref="AA24">
    <cfRule type="expression" dxfId="806" priority="97">
      <formula>AND(OR($AI23&lt;&gt;"",$AI24&lt;&gt;"",$AJ23&lt;&gt;""),$AK23="TBD")</formula>
    </cfRule>
  </conditionalFormatting>
  <conditionalFormatting sqref="AA25">
    <cfRule type="expression" dxfId="805" priority="95">
      <formula>AND(OR($W25&lt;&gt;"",$W26&lt;&gt;"",$X25&lt;&gt;""),$Y25="TBD")</formula>
    </cfRule>
  </conditionalFormatting>
  <conditionalFormatting sqref="AA25:AA26">
    <cfRule type="expression" dxfId="804" priority="96">
      <formula>AND(OR($AI25&lt;&gt;"",$AI26&lt;&gt;"",$AJ25&lt;&gt;""),$AK25="TBD")</formula>
    </cfRule>
  </conditionalFormatting>
  <conditionalFormatting sqref="AA26">
    <cfRule type="expression" dxfId="803" priority="94">
      <formula>AND(OR($AI25&lt;&gt;"",$AI26&lt;&gt;"",$AJ25&lt;&gt;""),$AK25="TBD")</formula>
    </cfRule>
  </conditionalFormatting>
  <conditionalFormatting sqref="AA27">
    <cfRule type="expression" dxfId="802" priority="92">
      <formula>AND(OR($W27&lt;&gt;"",$W28&lt;&gt;"",$X27&lt;&gt;""),$Y27="TBD")</formula>
    </cfRule>
  </conditionalFormatting>
  <conditionalFormatting sqref="AA27:AA28">
    <cfRule type="expression" dxfId="801" priority="93">
      <formula>AND(OR($AI27&lt;&gt;"",$AI28&lt;&gt;"",$AJ27&lt;&gt;""),$AK27="TBD")</formula>
    </cfRule>
  </conditionalFormatting>
  <conditionalFormatting sqref="AA28">
    <cfRule type="expression" dxfId="800" priority="91">
      <formula>AND(OR($AI27&lt;&gt;"",$AI28&lt;&gt;"",$AJ27&lt;&gt;""),$AK27="TBD")</formula>
    </cfRule>
  </conditionalFormatting>
  <conditionalFormatting sqref="AA31">
    <cfRule type="expression" dxfId="799" priority="89">
      <formula>AND(OR($W31&lt;&gt;"",$W32&lt;&gt;"",$X31&lt;&gt;""),$Y31="TBD")</formula>
    </cfRule>
  </conditionalFormatting>
  <conditionalFormatting sqref="AA31:AA32">
    <cfRule type="expression" dxfId="798" priority="90">
      <formula>AND(OR($AI31&lt;&gt;"",$AI32&lt;&gt;"",$AJ31&lt;&gt;""),$AK31="TBD")</formula>
    </cfRule>
  </conditionalFormatting>
  <conditionalFormatting sqref="AA32">
    <cfRule type="expression" dxfId="797" priority="88">
      <formula>AND(OR($AI31&lt;&gt;"",$AI32&lt;&gt;"",$AJ31&lt;&gt;""),$AK31="TBD")</formula>
    </cfRule>
  </conditionalFormatting>
  <conditionalFormatting sqref="AA33">
    <cfRule type="expression" dxfId="796" priority="86">
      <formula>AND(OR($W33&lt;&gt;"",$W34&lt;&gt;"",$X33&lt;&gt;""),$Y33="TBD")</formula>
    </cfRule>
  </conditionalFormatting>
  <conditionalFormatting sqref="AA33:AA34">
    <cfRule type="expression" dxfId="795" priority="87">
      <formula>AND(OR($AI33&lt;&gt;"",$AI34&lt;&gt;"",$AJ33&lt;&gt;""),$AK33="TBD")</formula>
    </cfRule>
  </conditionalFormatting>
  <conditionalFormatting sqref="AA34">
    <cfRule type="expression" dxfId="794" priority="85">
      <formula>AND(OR($AI33&lt;&gt;"",$AI34&lt;&gt;"",$AJ33&lt;&gt;""),$AK33="TBD")</formula>
    </cfRule>
  </conditionalFormatting>
  <conditionalFormatting sqref="AA35">
    <cfRule type="expression" dxfId="793" priority="83">
      <formula>AND(OR($W35&lt;&gt;"",$W36&lt;&gt;"",$X35&lt;&gt;""),$Y35="TBD")</formula>
    </cfRule>
  </conditionalFormatting>
  <conditionalFormatting sqref="AA35:AA36">
    <cfRule type="expression" dxfId="792" priority="84">
      <formula>AND(OR($AI35&lt;&gt;"",$AI36&lt;&gt;"",$AJ35&lt;&gt;""),$AK35="TBD")</formula>
    </cfRule>
  </conditionalFormatting>
  <conditionalFormatting sqref="AA36">
    <cfRule type="expression" dxfId="791" priority="82">
      <formula>AND(OR($AI35&lt;&gt;"",$AI36&lt;&gt;"",$AJ35&lt;&gt;""),$AK35="TBD")</formula>
    </cfRule>
  </conditionalFormatting>
  <conditionalFormatting sqref="AA37">
    <cfRule type="expression" dxfId="790" priority="80">
      <formula>AND(OR($W37&lt;&gt;"",$W38&lt;&gt;"",$X37&lt;&gt;""),$Y37="TBD")</formula>
    </cfRule>
  </conditionalFormatting>
  <conditionalFormatting sqref="AA37:AA38">
    <cfRule type="expression" dxfId="789" priority="81">
      <formula>AND(OR($AI37&lt;&gt;"",$AI38&lt;&gt;"",$AJ37&lt;&gt;""),$AK37="TBD")</formula>
    </cfRule>
  </conditionalFormatting>
  <conditionalFormatting sqref="AA38">
    <cfRule type="expression" dxfId="788" priority="79">
      <formula>AND(OR($AI37&lt;&gt;"",$AI38&lt;&gt;"",$AJ37&lt;&gt;""),$AK37="TBD")</formula>
    </cfRule>
  </conditionalFormatting>
  <conditionalFormatting sqref="AA39">
    <cfRule type="expression" dxfId="787" priority="77">
      <formula>AND(OR($W39&lt;&gt;"",$W40&lt;&gt;"",$X39&lt;&gt;""),$Y39="TBD")</formula>
    </cfRule>
  </conditionalFormatting>
  <conditionalFormatting sqref="AA39:AA40">
    <cfRule type="expression" dxfId="786" priority="78">
      <formula>AND(OR($AI39&lt;&gt;"",$AI40&lt;&gt;"",$AJ39&lt;&gt;""),$AK39="TBD")</formula>
    </cfRule>
  </conditionalFormatting>
  <conditionalFormatting sqref="AA40">
    <cfRule type="expression" dxfId="785" priority="76">
      <formula>AND(OR($AI39&lt;&gt;"",$AI40&lt;&gt;"",$AJ39&lt;&gt;""),$AK39="TBD")</formula>
    </cfRule>
  </conditionalFormatting>
  <conditionalFormatting sqref="AA41">
    <cfRule type="expression" dxfId="784" priority="74">
      <formula>AND(OR($W41&lt;&gt;"",$W42&lt;&gt;"",$X41&lt;&gt;""),$Y41="TBD")</formula>
    </cfRule>
  </conditionalFormatting>
  <conditionalFormatting sqref="AA41:AA42">
    <cfRule type="expression" dxfId="783" priority="75">
      <formula>AND(OR($AI41&lt;&gt;"",$AI42&lt;&gt;"",$AJ41&lt;&gt;""),$AK41="TBD")</formula>
    </cfRule>
  </conditionalFormatting>
  <conditionalFormatting sqref="AA42">
    <cfRule type="expression" dxfId="782" priority="73">
      <formula>AND(OR($AI41&lt;&gt;"",$AI42&lt;&gt;"",$AJ41&lt;&gt;""),$AK41="TBD")</formula>
    </cfRule>
  </conditionalFormatting>
  <conditionalFormatting sqref="AA43">
    <cfRule type="expression" dxfId="781" priority="71">
      <formula>AND(OR($W43&lt;&gt;"",$W44&lt;&gt;"",$X43&lt;&gt;""),$Y43="TBD")</formula>
    </cfRule>
  </conditionalFormatting>
  <conditionalFormatting sqref="AA43:AA44">
    <cfRule type="expression" dxfId="780" priority="72">
      <formula>AND(OR($AI43&lt;&gt;"",$AI44&lt;&gt;"",$AJ43&lt;&gt;""),$AK43="TBD")</formula>
    </cfRule>
  </conditionalFormatting>
  <conditionalFormatting sqref="AA44">
    <cfRule type="expression" dxfId="779" priority="70">
      <formula>AND(OR($AI43&lt;&gt;"",$AI44&lt;&gt;"",$AJ43&lt;&gt;""),$AK43="TBD")</formula>
    </cfRule>
  </conditionalFormatting>
  <conditionalFormatting sqref="AA45">
    <cfRule type="expression" dxfId="778" priority="68">
      <formula>AND(OR($W45&lt;&gt;"",$W46&lt;&gt;"",$X45&lt;&gt;""),$Y45="TBD")</formula>
    </cfRule>
  </conditionalFormatting>
  <conditionalFormatting sqref="AA45:AA46">
    <cfRule type="expression" dxfId="777" priority="69">
      <formula>AND(OR($AI45&lt;&gt;"",$AI46&lt;&gt;"",$AJ45&lt;&gt;""),$AK45="TBD")</formula>
    </cfRule>
  </conditionalFormatting>
  <conditionalFormatting sqref="AA46">
    <cfRule type="expression" dxfId="776" priority="67">
      <formula>AND(OR($AI45&lt;&gt;"",$AI46&lt;&gt;"",$AJ45&lt;&gt;""),$AK45="TBD")</formula>
    </cfRule>
  </conditionalFormatting>
  <conditionalFormatting sqref="AA47">
    <cfRule type="expression" dxfId="775" priority="65">
      <formula>AND(OR($W47&lt;&gt;"",$W48&lt;&gt;"",$X47&lt;&gt;""),$Y47="TBD")</formula>
    </cfRule>
  </conditionalFormatting>
  <conditionalFormatting sqref="AA47:AA48">
    <cfRule type="expression" dxfId="774" priority="66">
      <formula>AND(OR($AI47&lt;&gt;"",$AI48&lt;&gt;"",$AJ47&lt;&gt;""),$AK47="TBD")</formula>
    </cfRule>
  </conditionalFormatting>
  <conditionalFormatting sqref="AA48">
    <cfRule type="expression" dxfId="773" priority="64">
      <formula>AND(OR($AI47&lt;&gt;"",$AI48&lt;&gt;"",$AJ47&lt;&gt;""),$AK47="TBD")</formula>
    </cfRule>
  </conditionalFormatting>
  <conditionalFormatting sqref="AA29">
    <cfRule type="expression" dxfId="772" priority="62">
      <formula>AND(OR($W29&lt;&gt;"",$W30&lt;&gt;"",$X29&lt;&gt;""),$Y29="TBD")</formula>
    </cfRule>
  </conditionalFormatting>
  <conditionalFormatting sqref="AA29:AA30">
    <cfRule type="expression" dxfId="771" priority="63">
      <formula>AND(OR($Z29&lt;&gt;"",$Z30&lt;&gt;"",$AA29&lt;&gt;""),$AB29="TBD")</formula>
    </cfRule>
  </conditionalFormatting>
  <conditionalFormatting sqref="AA30">
    <cfRule type="expression" dxfId="770" priority="61">
      <formula>AND(OR($Z29&lt;&gt;"",$Z30&lt;&gt;"",$AA29&lt;&gt;""),$AB29="TBD")</formula>
    </cfRule>
  </conditionalFormatting>
  <conditionalFormatting sqref="AD9">
    <cfRule type="expression" dxfId="769" priority="59">
      <formula>AND(OR($W9&lt;&gt;"",$W10&lt;&gt;"",$X9&lt;&gt;""),$Y9="TBD")</formula>
    </cfRule>
  </conditionalFormatting>
  <conditionalFormatting sqref="AD9:AD10">
    <cfRule type="expression" dxfId="768" priority="60">
      <formula>AND(OR($AL9&lt;&gt;"",$AL10&lt;&gt;"",$AM9&lt;&gt;""),$AN9="TBD")</formula>
    </cfRule>
  </conditionalFormatting>
  <conditionalFormatting sqref="AD10">
    <cfRule type="expression" dxfId="767" priority="58">
      <formula>AND(OR($AL9&lt;&gt;"",$AL10&lt;&gt;"",$AM9&lt;&gt;""),$AN9="TBD")</formula>
    </cfRule>
  </conditionalFormatting>
  <conditionalFormatting sqref="AD11">
    <cfRule type="expression" dxfId="766" priority="56">
      <formula>AND(OR($W11&lt;&gt;"",$W12&lt;&gt;"",$X11&lt;&gt;""),$Y11="TBD")</formula>
    </cfRule>
  </conditionalFormatting>
  <conditionalFormatting sqref="AD11:AD12">
    <cfRule type="expression" dxfId="765" priority="57">
      <formula>AND(OR($AL11&lt;&gt;"",$AL12&lt;&gt;"",$AM11&lt;&gt;""),$AN11="TBD")</formula>
    </cfRule>
  </conditionalFormatting>
  <conditionalFormatting sqref="AD12">
    <cfRule type="expression" dxfId="764" priority="55">
      <formula>AND(OR($AL11&lt;&gt;"",$AL12&lt;&gt;"",$AM11&lt;&gt;""),$AN11="TBD")</formula>
    </cfRule>
  </conditionalFormatting>
  <conditionalFormatting sqref="AD13">
    <cfRule type="expression" dxfId="763" priority="53">
      <formula>AND(OR($W13&lt;&gt;"",$W14&lt;&gt;"",$X13&lt;&gt;""),$Y13="TBD")</formula>
    </cfRule>
  </conditionalFormatting>
  <conditionalFormatting sqref="AD13:AD14">
    <cfRule type="expression" dxfId="762" priority="54">
      <formula>AND(OR($AL13&lt;&gt;"",$AL14&lt;&gt;"",$AM13&lt;&gt;""),$AN13="TBD")</formula>
    </cfRule>
  </conditionalFormatting>
  <conditionalFormatting sqref="AD14">
    <cfRule type="expression" dxfId="761" priority="52">
      <formula>AND(OR($AL13&lt;&gt;"",$AL14&lt;&gt;"",$AM13&lt;&gt;""),$AN13="TBD")</formula>
    </cfRule>
  </conditionalFormatting>
  <conditionalFormatting sqref="AD15">
    <cfRule type="expression" dxfId="760" priority="50">
      <formula>AND(OR($W15&lt;&gt;"",$W16&lt;&gt;"",$X15&lt;&gt;""),$Y15="TBD")</formula>
    </cfRule>
  </conditionalFormatting>
  <conditionalFormatting sqref="AD15:AD16">
    <cfRule type="expression" dxfId="759" priority="51">
      <formula>AND(OR($AL15&lt;&gt;"",$AL16&lt;&gt;"",$AM15&lt;&gt;""),$AN15="TBD")</formula>
    </cfRule>
  </conditionalFormatting>
  <conditionalFormatting sqref="AD16">
    <cfRule type="expression" dxfId="758" priority="49">
      <formula>AND(OR($AL15&lt;&gt;"",$AL16&lt;&gt;"",$AM15&lt;&gt;""),$AN15="TBD")</formula>
    </cfRule>
  </conditionalFormatting>
  <conditionalFormatting sqref="AD17">
    <cfRule type="expression" dxfId="757" priority="47">
      <formula>AND(OR($W17&lt;&gt;"",$W18&lt;&gt;"",$X17&lt;&gt;""),$Y17="TBD")</formula>
    </cfRule>
  </conditionalFormatting>
  <conditionalFormatting sqref="AD17:AD18">
    <cfRule type="expression" dxfId="756" priority="48">
      <formula>AND(OR($AL17&lt;&gt;"",$AL18&lt;&gt;"",$AM17&lt;&gt;""),$AN17="TBD")</formula>
    </cfRule>
  </conditionalFormatting>
  <conditionalFormatting sqref="AD18">
    <cfRule type="expression" dxfId="755" priority="46">
      <formula>AND(OR($AL17&lt;&gt;"",$AL18&lt;&gt;"",$AM17&lt;&gt;""),$AN17="TBD")</formula>
    </cfRule>
  </conditionalFormatting>
  <conditionalFormatting sqref="AD19">
    <cfRule type="expression" dxfId="754" priority="44">
      <formula>AND(OR($W19&lt;&gt;"",$W20&lt;&gt;"",$X19&lt;&gt;""),$Y19="TBD")</formula>
    </cfRule>
  </conditionalFormatting>
  <conditionalFormatting sqref="AD19:AD20">
    <cfRule type="expression" dxfId="753" priority="45">
      <formula>AND(OR($AL19&lt;&gt;"",$AL20&lt;&gt;"",$AM19&lt;&gt;""),$AN19="TBD")</formula>
    </cfRule>
  </conditionalFormatting>
  <conditionalFormatting sqref="AD20">
    <cfRule type="expression" dxfId="752" priority="43">
      <formula>AND(OR($AL19&lt;&gt;"",$AL20&lt;&gt;"",$AM19&lt;&gt;""),$AN19="TBD")</formula>
    </cfRule>
  </conditionalFormatting>
  <conditionalFormatting sqref="AD21">
    <cfRule type="expression" dxfId="751" priority="41">
      <formula>AND(OR($W21&lt;&gt;"",$W22&lt;&gt;"",$X21&lt;&gt;""),$Y21="TBD")</formula>
    </cfRule>
  </conditionalFormatting>
  <conditionalFormatting sqref="AD21:AD22">
    <cfRule type="expression" dxfId="750" priority="42">
      <formula>AND(OR($AL21&lt;&gt;"",$AL22&lt;&gt;"",$AM21&lt;&gt;""),$AN21="TBD")</formula>
    </cfRule>
  </conditionalFormatting>
  <conditionalFormatting sqref="AD22">
    <cfRule type="expression" dxfId="749" priority="40">
      <formula>AND(OR($AL21&lt;&gt;"",$AL22&lt;&gt;"",$AM21&lt;&gt;""),$AN21="TBD")</formula>
    </cfRule>
  </conditionalFormatting>
  <conditionalFormatting sqref="AD23">
    <cfRule type="expression" dxfId="748" priority="38">
      <formula>AND(OR($W23&lt;&gt;"",$W24&lt;&gt;"",$X23&lt;&gt;""),$Y23="TBD")</formula>
    </cfRule>
  </conditionalFormatting>
  <conditionalFormatting sqref="AD23:AD24">
    <cfRule type="expression" dxfId="747" priority="39">
      <formula>AND(OR($AL23&lt;&gt;"",$AL24&lt;&gt;"",$AM23&lt;&gt;""),$AN23="TBD")</formula>
    </cfRule>
  </conditionalFormatting>
  <conditionalFormatting sqref="AD24">
    <cfRule type="expression" dxfId="746" priority="37">
      <formula>AND(OR($AL23&lt;&gt;"",$AL24&lt;&gt;"",$AM23&lt;&gt;""),$AN23="TBD")</formula>
    </cfRule>
  </conditionalFormatting>
  <conditionalFormatting sqref="AD25">
    <cfRule type="expression" dxfId="745" priority="35">
      <formula>AND(OR($W25&lt;&gt;"",$W26&lt;&gt;"",$X25&lt;&gt;""),$Y25="TBD")</formula>
    </cfRule>
  </conditionalFormatting>
  <conditionalFormatting sqref="AD25:AD26">
    <cfRule type="expression" dxfId="744" priority="36">
      <formula>AND(OR($AL25&lt;&gt;"",$AL26&lt;&gt;"",$AM25&lt;&gt;""),$AN25="TBD")</formula>
    </cfRule>
  </conditionalFormatting>
  <conditionalFormatting sqref="AD26">
    <cfRule type="expression" dxfId="743" priority="34">
      <formula>AND(OR($AL25&lt;&gt;"",$AL26&lt;&gt;"",$AM25&lt;&gt;""),$AN25="TBD")</formula>
    </cfRule>
  </conditionalFormatting>
  <conditionalFormatting sqref="AD27">
    <cfRule type="expression" dxfId="742" priority="32">
      <formula>AND(OR($W27&lt;&gt;"",$W28&lt;&gt;"",$X27&lt;&gt;""),$Y27="TBD")</formula>
    </cfRule>
  </conditionalFormatting>
  <conditionalFormatting sqref="AD27:AD28">
    <cfRule type="expression" dxfId="741" priority="33">
      <formula>AND(OR($AL27&lt;&gt;"",$AL28&lt;&gt;"",$AM27&lt;&gt;""),$AN27="TBD")</formula>
    </cfRule>
  </conditionalFormatting>
  <conditionalFormatting sqref="AD28">
    <cfRule type="expression" dxfId="740" priority="31">
      <formula>AND(OR($AL27&lt;&gt;"",$AL28&lt;&gt;"",$AM27&lt;&gt;""),$AN27="TBD")</formula>
    </cfRule>
  </conditionalFormatting>
  <conditionalFormatting sqref="AD31">
    <cfRule type="expression" dxfId="739" priority="29">
      <formula>AND(OR($W31&lt;&gt;"",$W32&lt;&gt;"",$X31&lt;&gt;""),$Y31="TBD")</formula>
    </cfRule>
  </conditionalFormatting>
  <conditionalFormatting sqref="AD31:AD32">
    <cfRule type="expression" dxfId="738" priority="30">
      <formula>AND(OR($AL31&lt;&gt;"",$AL32&lt;&gt;"",$AM31&lt;&gt;""),$AN31="TBD")</formula>
    </cfRule>
  </conditionalFormatting>
  <conditionalFormatting sqref="AD32">
    <cfRule type="expression" dxfId="737" priority="28">
      <formula>AND(OR($AL31&lt;&gt;"",$AL32&lt;&gt;"",$AM31&lt;&gt;""),$AN31="TBD")</formula>
    </cfRule>
  </conditionalFormatting>
  <conditionalFormatting sqref="AD33">
    <cfRule type="expression" dxfId="736" priority="26">
      <formula>AND(OR($W33&lt;&gt;"",$W34&lt;&gt;"",$X33&lt;&gt;""),$Y33="TBD")</formula>
    </cfRule>
  </conditionalFormatting>
  <conditionalFormatting sqref="AD33:AD34">
    <cfRule type="expression" dxfId="735" priority="27">
      <formula>AND(OR($AL33&lt;&gt;"",$AL34&lt;&gt;"",$AM33&lt;&gt;""),$AN33="TBD")</formula>
    </cfRule>
  </conditionalFormatting>
  <conditionalFormatting sqref="AD34">
    <cfRule type="expression" dxfId="734" priority="25">
      <formula>AND(OR($AL33&lt;&gt;"",$AL34&lt;&gt;"",$AM33&lt;&gt;""),$AN33="TBD")</formula>
    </cfRule>
  </conditionalFormatting>
  <conditionalFormatting sqref="AD35">
    <cfRule type="expression" dxfId="733" priority="23">
      <formula>AND(OR($W35&lt;&gt;"",$W36&lt;&gt;"",$X35&lt;&gt;""),$Y35="TBD")</formula>
    </cfRule>
  </conditionalFormatting>
  <conditionalFormatting sqref="AD35:AD36">
    <cfRule type="expression" dxfId="732" priority="24">
      <formula>AND(OR($AL35&lt;&gt;"",$AL36&lt;&gt;"",$AM35&lt;&gt;""),$AN35="TBD")</formula>
    </cfRule>
  </conditionalFormatting>
  <conditionalFormatting sqref="AD36">
    <cfRule type="expression" dxfId="731" priority="22">
      <formula>AND(OR($AL35&lt;&gt;"",$AL36&lt;&gt;"",$AM35&lt;&gt;""),$AN35="TBD")</formula>
    </cfRule>
  </conditionalFormatting>
  <conditionalFormatting sqref="AD37">
    <cfRule type="expression" dxfId="730" priority="20">
      <formula>AND(OR($W37&lt;&gt;"",$W38&lt;&gt;"",$X37&lt;&gt;""),$Y37="TBD")</formula>
    </cfRule>
  </conditionalFormatting>
  <conditionalFormatting sqref="AD37:AD38">
    <cfRule type="expression" dxfId="729" priority="21">
      <formula>AND(OR($AL37&lt;&gt;"",$AL38&lt;&gt;"",$AM37&lt;&gt;""),$AN37="TBD")</formula>
    </cfRule>
  </conditionalFormatting>
  <conditionalFormatting sqref="AD38">
    <cfRule type="expression" dxfId="728" priority="19">
      <formula>AND(OR($AL37&lt;&gt;"",$AL38&lt;&gt;"",$AM37&lt;&gt;""),$AN37="TBD")</formula>
    </cfRule>
  </conditionalFormatting>
  <conditionalFormatting sqref="AD39">
    <cfRule type="expression" dxfId="727" priority="17">
      <formula>AND(OR($W39&lt;&gt;"",$W40&lt;&gt;"",$X39&lt;&gt;""),$Y39="TBD")</formula>
    </cfRule>
  </conditionalFormatting>
  <conditionalFormatting sqref="AD39:AD40">
    <cfRule type="expression" dxfId="726" priority="18">
      <formula>AND(OR($AL39&lt;&gt;"",$AL40&lt;&gt;"",$AM39&lt;&gt;""),$AN39="TBD")</formula>
    </cfRule>
  </conditionalFormatting>
  <conditionalFormatting sqref="AD40">
    <cfRule type="expression" dxfId="725" priority="16">
      <formula>AND(OR($AL39&lt;&gt;"",$AL40&lt;&gt;"",$AM39&lt;&gt;""),$AN39="TBD")</formula>
    </cfRule>
  </conditionalFormatting>
  <conditionalFormatting sqref="AD41">
    <cfRule type="expression" dxfId="724" priority="14">
      <formula>AND(OR($W41&lt;&gt;"",$W42&lt;&gt;"",$X41&lt;&gt;""),$Y41="TBD")</formula>
    </cfRule>
  </conditionalFormatting>
  <conditionalFormatting sqref="AD41:AD42">
    <cfRule type="expression" dxfId="723" priority="15">
      <formula>AND(OR($AL41&lt;&gt;"",$AL42&lt;&gt;"",$AM41&lt;&gt;""),$AN41="TBD")</formula>
    </cfRule>
  </conditionalFormatting>
  <conditionalFormatting sqref="AD42">
    <cfRule type="expression" dxfId="722" priority="13">
      <formula>AND(OR($AL41&lt;&gt;"",$AL42&lt;&gt;"",$AM41&lt;&gt;""),$AN41="TBD")</formula>
    </cfRule>
  </conditionalFormatting>
  <conditionalFormatting sqref="AD43">
    <cfRule type="expression" dxfId="721" priority="11">
      <formula>AND(OR($W43&lt;&gt;"",$W44&lt;&gt;"",$X43&lt;&gt;""),$Y43="TBD")</formula>
    </cfRule>
  </conditionalFormatting>
  <conditionalFormatting sqref="AD43:AD44">
    <cfRule type="expression" dxfId="720" priority="12">
      <formula>AND(OR($AL43&lt;&gt;"",$AL44&lt;&gt;"",$AM43&lt;&gt;""),$AN43="TBD")</formula>
    </cfRule>
  </conditionalFormatting>
  <conditionalFormatting sqref="AD44">
    <cfRule type="expression" dxfId="719" priority="10">
      <formula>AND(OR($AL43&lt;&gt;"",$AL44&lt;&gt;"",$AM43&lt;&gt;""),$AN43="TBD")</formula>
    </cfRule>
  </conditionalFormatting>
  <conditionalFormatting sqref="AD45">
    <cfRule type="expression" dxfId="718" priority="8">
      <formula>AND(OR($W45&lt;&gt;"",$W46&lt;&gt;"",$X45&lt;&gt;""),$Y45="TBD")</formula>
    </cfRule>
  </conditionalFormatting>
  <conditionalFormatting sqref="AD45:AD46">
    <cfRule type="expression" dxfId="717" priority="9">
      <formula>AND(OR($AL45&lt;&gt;"",$AL46&lt;&gt;"",$AM45&lt;&gt;""),$AN45="TBD")</formula>
    </cfRule>
  </conditionalFormatting>
  <conditionalFormatting sqref="AD46">
    <cfRule type="expression" dxfId="716" priority="7">
      <formula>AND(OR($AL45&lt;&gt;"",$AL46&lt;&gt;"",$AM45&lt;&gt;""),$AN45="TBD")</formula>
    </cfRule>
  </conditionalFormatting>
  <conditionalFormatting sqref="AD47">
    <cfRule type="expression" dxfId="715" priority="5">
      <formula>AND(OR($W47&lt;&gt;"",$W48&lt;&gt;"",$X47&lt;&gt;""),$Y47="TBD")</formula>
    </cfRule>
  </conditionalFormatting>
  <conditionalFormatting sqref="AD47:AD48">
    <cfRule type="expression" dxfId="714" priority="6">
      <formula>AND(OR($AL47&lt;&gt;"",$AL48&lt;&gt;"",$AM47&lt;&gt;""),$AN47="TBD")</formula>
    </cfRule>
  </conditionalFormatting>
  <conditionalFormatting sqref="AD48">
    <cfRule type="expression" dxfId="713" priority="4">
      <formula>AND(OR($AL47&lt;&gt;"",$AL48&lt;&gt;"",$AM47&lt;&gt;""),$AN47="TBD")</formula>
    </cfRule>
  </conditionalFormatting>
  <conditionalFormatting sqref="AD29">
    <cfRule type="expression" dxfId="712" priority="2">
      <formula>AND(OR($W29&lt;&gt;"",$W30&lt;&gt;"",$X29&lt;&gt;""),$Y29="TBD")</formula>
    </cfRule>
  </conditionalFormatting>
  <conditionalFormatting sqref="AD29:AD30">
    <cfRule type="expression" dxfId="711" priority="3">
      <formula>AND(OR($Z29&lt;&gt;"",$Z30&lt;&gt;"",$AA29&lt;&gt;""),$AB29="TBD")</formula>
    </cfRule>
  </conditionalFormatting>
  <conditionalFormatting sqref="AD30">
    <cfRule type="expression" dxfId="710" priority="1">
      <formula>AND(OR($Z29&lt;&gt;"",$Z30&lt;&gt;"",$AA29&lt;&gt;""),$AB29="TBD")</formula>
    </cfRule>
  </conditionalFormatting>
  <dataValidations count="11">
    <dataValidation type="list" allowBlank="1" showInputMessage="1" showErrorMessage="1" sqref="B9:B68" xr:uid="{717886BC-3D22-4AEC-B339-A37B7986B34B}">
      <formula1>Coverage_Module</formula1>
    </dataValidation>
    <dataValidation type="list" allowBlank="1" showInputMessage="1" showErrorMessage="1" sqref="M9 M11 M13 M15 M17 M19 M21 M23 M25 M27 M29 M31 M33 M35 M37 M39 M41 M43 M45 M47 M49 M51 M53 M55 M57 M59 M61 M63 M65 M67" xr:uid="{E3C43405-79BD-48DF-B029-C2E5436606B8}">
      <formula1>Country</formula1>
    </dataValidation>
    <dataValidation type="list" allowBlank="1" showInputMessage="1" showErrorMessage="1" sqref="K9:K68" xr:uid="{8E76DA25-4665-4E7E-979E-E2D9349E9D2A}">
      <formula1>"Yes,No"</formula1>
    </dataValidation>
    <dataValidation type="list" allowBlank="1" showInputMessage="1" showErrorMessage="1" sqref="H9:H68" xr:uid="{38C51DFF-3F6A-45EF-AA09-692B490E916D}">
      <formula1>baseline_validation</formula1>
    </dataValidation>
    <dataValidation type="decimal" operator="greaterThan" allowBlank="1" showInputMessage="1" showErrorMessage="1" sqref="F66 U9:V68 R9:S68 O9:P68 G9:G68 F10 F12 F14 F16 F18 F20 F22 F24 F26 F28 F30 F32 F34 F36 F38 F40 F42 F44 F46 F48 F50 F52 F54 F56 F58 F60 F62 F64 AD9:AE68 AG9:AH68 AA9:AB68 X9:Y68 AJ9:AK68 F68" xr:uid="{E0CC00CC-4C0E-4ED6-B850-33CAD0E03552}">
      <formula1>0</formula1>
    </dataValidation>
    <dataValidation type="custom" allowBlank="1" showInputMessage="1" showErrorMessage="1" errorTitle="Coverage Indicators" error="Cannot enter both Standard and Custom indicators on the same line" sqref="E9:E68" xr:uid="{B2BF690A-6722-4190-B32A-561460276FB5}">
      <formula1>D9=""</formula1>
    </dataValidation>
    <dataValidation type="list" allowBlank="1" showInputMessage="1" showErrorMessage="1" sqref="D9:D68" xr:uid="{16544A6B-C10C-4B55-8F3A-57EBF4409DFB}">
      <formula1>OFFSET(CoverageStart,MATCH(AZ9,CoverageColumn,0)-1,2,COUNTIF(CoverageColumn,AZ9),1)</formula1>
    </dataValidation>
    <dataValidation type="decimal" operator="greaterThanOrEqual" allowBlank="1" showInputMessage="1" showErrorMessage="1" sqref="F9 F11 F13 F15 F17 F19 F21 F23 F25 F27 F29 F31 F33 F35 F37 F39 F41 F43 F45 F47 F49 F51 F53 F55 F57 F59 F61 F63 F65 F67" xr:uid="{59C3C81E-089B-45E1-ABF9-C43019ADC320}">
      <formula1>0</formula1>
    </dataValidation>
    <dataValidation type="list" allowBlank="1" showInputMessage="1" showErrorMessage="1" sqref="T9:T68" xr:uid="{97221CA2-9ECA-4C32-A1C3-EA8884A03A8B}">
      <formula1>IF(OR($R9&lt;&gt;"",$R10&lt;&gt;"",$S9&lt;&gt;""),INDIRECT("FakeRange"),$G$4)</formula1>
    </dataValidation>
    <dataValidation type="list" allowBlank="1" showInputMessage="1" showErrorMessage="1" sqref="L9:L68" xr:uid="{F949539D-50D7-4192-9B68-FEB997848DE6}">
      <formula1>MergedAndDistinctPR</formula1>
    </dataValidation>
    <dataValidation type="list" allowBlank="1" showInputMessage="1" showErrorMessage="1" sqref="C9:C68" xr:uid="{E96C091A-BC63-44CE-934A-05734B11FBB7}">
      <formula1>IF($E9&lt;&gt;"",$XEP$1,INDIRECT(CONCATENATE("'Reference Records'!C",AS9,":C",AT9)))</formula1>
    </dataValidation>
  </dataValidations>
  <hyperlinks>
    <hyperlink ref="B4" location="'Instructions-FR'!InstructionD" display="'Instructions-FR'!InstructionD" xr:uid="{00EEDB20-B233-4264-99EB-02D9DFC62674}"/>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F0F46AF3-36FA-41AA-AAB4-5C6C2818D917}">
          <x14:formula1>
            <xm:f>Setup!$A$16:$A$18</xm:f>
          </x14:formula1>
          <xm:sqref>M10 M12 M14 M16 M18 M20 M22 M24 M26 M28 M30 M32 M34 M36 M38 M40 M42 M44 M46 M48 M50 M52 M54 M56 M58 M60 M62 M64 M66 M68</xm:sqref>
        </x14:dataValidation>
        <x14:dataValidation type="list" allowBlank="1" showInputMessage="1" showErrorMessage="1" xr:uid="{BAC4F8EB-7ABE-4473-8897-2A524AB5FA49}">
          <x14:formula1>
            <xm:f>IF($E9&lt;&gt;"",Setup!$E$15:$E$17,OFFSET(AW9,0,0,1,COUNTIF(AW9:AY9,"?*")))</xm:f>
          </x14:formula1>
          <xm:sqref>N9:N68</xm:sqref>
        </x14:dataValidation>
        <x14:dataValidation type="list" allowBlank="1" showInputMessage="1" showErrorMessage="1" xr:uid="{8DD0A148-2DF5-4C90-8547-9457EAC7D0B4}">
          <x14:formula1>
            <xm:f>IF(OR($O9&lt;&gt;"",$O10&lt;&gt;"",$P9&lt;&gt;""),INDIRECT("FakeRange"),Setup!A$29)</xm:f>
          </x14:formula1>
          <xm:sqref>Q9:Q68</xm:sqref>
        </x14:dataValidation>
        <x14:dataValidation type="list" allowBlank="1" showInputMessage="1" showErrorMessage="1" xr:uid="{FEA26EF6-E4C4-49F6-A9E9-DB7650B5E413}">
          <x14:formula1>
            <xm:f>IF(OR($U9&lt;&gt;"",$U10&lt;&gt;"",$V9&lt;&gt;""),INDIRECT("FakeRange"),Setup!A$29)</xm:f>
          </x14:formula1>
          <xm:sqref>W9:W68</xm:sqref>
        </x14:dataValidation>
        <x14:dataValidation type="list" allowBlank="1" showInputMessage="1" showErrorMessage="1" xr:uid="{A07C59C2-296D-4437-93A7-A3AD5D3F01B3}">
          <x14:formula1>
            <xm:f>IF(OR($X9&lt;&gt;"",$X10&lt;&gt;"",$Y9&lt;&gt;""),INDIRECT("FakeRange"),Setup!A$29)</xm:f>
          </x14:formula1>
          <xm:sqref>Z9:Z68</xm:sqref>
        </x14:dataValidation>
        <x14:dataValidation type="list" allowBlank="1" showInputMessage="1" showErrorMessage="1" xr:uid="{AC0E4D3A-7106-4CCA-91DD-6521FC6C0126}">
          <x14:formula1>
            <xm:f>IF(OR($AA9&lt;&gt;"",$AA10&lt;&gt;"",$AB9&lt;&gt;""),INDIRECT("FakeRange"),Setup!A$29)</xm:f>
          </x14:formula1>
          <xm:sqref>AC9:AC68</xm:sqref>
        </x14:dataValidation>
        <x14:dataValidation type="list" allowBlank="1" showInputMessage="1" showErrorMessage="1" xr:uid="{04FE33BE-C65B-4523-AE64-4D349EF7D18E}">
          <x14:formula1>
            <xm:f>IF(OR(AD9&lt;&gt;"",AD10&lt;&gt;"",AE9&gt;""),INDIRECT("FakeRange"),Setup!XEW$29)</xm:f>
          </x14:formula1>
          <xm:sqref>AF9:AF68</xm:sqref>
        </x14:dataValidation>
        <x14:dataValidation type="list" allowBlank="1" showInputMessage="1" showErrorMessage="1" xr:uid="{043E0976-ADAA-4C07-AA6B-C52B97358787}">
          <x14:formula1>
            <xm:f>IF(OR(AG9&lt;&gt;"",AG10&lt;&gt;"",AH9&lt;&gt;""),INDIRECT("FakeRange"),Setup!A$29)</xm:f>
          </x14:formula1>
          <xm:sqref>AI9:AI68</xm:sqref>
        </x14:dataValidation>
        <x14:dataValidation type="list" allowBlank="1" showInputMessage="1" showErrorMessage="1" xr:uid="{FA84BA55-AADC-4945-9584-9EDB61C4FDEE}">
          <x14:formula1>
            <xm:f>IF(OR(AJ9&lt;&gt;"",AJ10&lt;&gt;"",AK9&lt;&gt;""),INDIRECT("FakeRange"),Setup!A$29)</xm:f>
          </x14:formula1>
          <xm:sqref>AL9:AL68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W1820"/>
  <sheetViews>
    <sheetView showGridLines="0" topLeftCell="F33" zoomScale="80" zoomScaleNormal="80" workbookViewId="0">
      <selection activeCell="M44" sqref="M44:M45"/>
    </sheetView>
  </sheetViews>
  <sheetFormatPr defaultRowHeight="15.6" x14ac:dyDescent="0.3"/>
  <cols>
    <col min="1" max="1" width="7.5" style="204" hidden="1" customWidth="1"/>
    <col min="2" max="2" width="26.3984375" customWidth="1"/>
    <col min="3" max="3" width="30.69921875" customWidth="1"/>
    <col min="4" max="4" width="15.09765625" customWidth="1"/>
    <col min="5" max="5" width="24.19921875" customWidth="1"/>
    <col min="6" max="6" width="20.19921875" customWidth="1"/>
    <col min="7" max="7" width="16.19921875" customWidth="1"/>
    <col min="8" max="8" width="17.19921875" customWidth="1"/>
    <col min="9" max="9" width="30.69921875" customWidth="1"/>
    <col min="10" max="10" width="66.8984375" customWidth="1"/>
    <col min="11" max="11" width="30.59765625" customWidth="1"/>
    <col min="12" max="12" width="15.09765625" customWidth="1"/>
    <col min="13" max="13" width="16.59765625" customWidth="1"/>
    <col min="14" max="14" width="50.59765625" customWidth="1"/>
    <col min="15" max="19" width="9" hidden="1" customWidth="1"/>
    <col min="20" max="20" width="17.19921875" hidden="1" customWidth="1"/>
    <col min="21" max="21" width="12.59765625" hidden="1" customWidth="1"/>
    <col min="22" max="22" width="10.296875" hidden="1" customWidth="1"/>
    <col min="23" max="23" width="13.796875" hidden="1" customWidth="1"/>
  </cols>
  <sheetData>
    <row r="1" spans="1:23" x14ac:dyDescent="0.3">
      <c r="B1" s="679" t="str">
        <f ca="1">Translations!A69</f>
        <v>Cadre de performance - Désagrégation - Section E</v>
      </c>
      <c r="C1" s="679"/>
      <c r="D1" s="679"/>
      <c r="E1" s="679"/>
      <c r="F1" s="679"/>
      <c r="G1" s="679"/>
      <c r="H1" s="679"/>
      <c r="I1" s="679"/>
      <c r="J1" s="679"/>
    </row>
    <row r="2" spans="1:23" ht="28.5" customHeight="1" x14ac:dyDescent="0.3">
      <c r="B2" s="680"/>
      <c r="C2" s="680"/>
      <c r="D2" s="680"/>
      <c r="E2" s="680"/>
      <c r="F2" s="680"/>
      <c r="G2" s="680"/>
      <c r="H2" s="680"/>
      <c r="I2" s="680"/>
      <c r="J2" s="680"/>
    </row>
    <row r="3" spans="1:23" x14ac:dyDescent="0.3">
      <c r="B3" s="680"/>
      <c r="C3" s="680"/>
      <c r="D3" s="680"/>
      <c r="E3" s="680"/>
      <c r="F3" s="680"/>
      <c r="G3" s="680"/>
      <c r="H3" s="680"/>
      <c r="I3" s="680"/>
      <c r="J3" s="680"/>
    </row>
    <row r="4" spans="1:23" ht="16.2" thickBot="1" x14ac:dyDescent="0.35"/>
    <row r="5" spans="1:23" ht="16.2" thickBot="1" x14ac:dyDescent="0.35">
      <c r="B5" s="175" t="str">
        <f ca="1">Translations!A12</f>
        <v>Navigation de page</v>
      </c>
      <c r="C5" s="173" t="str">
        <f ca="1">Translations!A70</f>
        <v>Impact</v>
      </c>
      <c r="D5" s="173" t="str">
        <f ca="1">Translations!A78</f>
        <v xml:space="preserve">Résultats </v>
      </c>
      <c r="E5" s="173" t="str">
        <f ca="1">Translations!A71</f>
        <v>Couverture</v>
      </c>
      <c r="F5" s="177" t="str">
        <f ca="1">Translations!A48</f>
        <v>Instructions</v>
      </c>
    </row>
    <row r="6" spans="1:23" x14ac:dyDescent="0.3">
      <c r="K6" s="232"/>
      <c r="L6" s="232"/>
      <c r="M6" s="232"/>
    </row>
    <row r="7" spans="1:23" x14ac:dyDescent="0.3">
      <c r="C7" s="232"/>
      <c r="K7" s="232"/>
      <c r="L7" s="232"/>
      <c r="M7" s="232"/>
    </row>
    <row r="8" spans="1:23" ht="16.2" customHeight="1" x14ac:dyDescent="0.3">
      <c r="B8" s="681" t="str">
        <f ca="1">Translations!A72</f>
        <v xml:space="preserve">Désagrégation de l'indicateur d'impact </v>
      </c>
      <c r="C8" s="682"/>
      <c r="D8" s="682"/>
      <c r="E8" s="682"/>
      <c r="F8" s="682"/>
      <c r="G8" s="682"/>
      <c r="H8" s="682"/>
      <c r="I8" s="682"/>
      <c r="J8" s="682"/>
      <c r="K8" s="681"/>
      <c r="L8" s="682"/>
      <c r="M8" s="682"/>
      <c r="N8" s="682"/>
    </row>
    <row r="9" spans="1:23" ht="45" customHeight="1" x14ac:dyDescent="0.3">
      <c r="A9" s="191" t="s">
        <v>346</v>
      </c>
      <c r="B9" s="247" t="str">
        <f ca="1">Translations!A37</f>
        <v xml:space="preserve">Numéro de l'indicateurs d’impact </v>
      </c>
      <c r="C9" s="247" t="str">
        <f ca="1">Translations!A73</f>
        <v xml:space="preserve">Nom de l'indicateur d’impact </v>
      </c>
      <c r="D9" s="247" t="str">
        <f ca="1">Translations!$A$74</f>
        <v>Catégorie</v>
      </c>
      <c r="E9" s="247" t="str">
        <f ca="1">Translations!$A$75</f>
        <v>Désagrégation</v>
      </c>
      <c r="F9" s="247" t="s">
        <v>812</v>
      </c>
      <c r="G9" s="247" t="str">
        <f ca="1">Translations!$A$41</f>
        <v>Référence %</v>
      </c>
      <c r="H9" s="247" t="s">
        <v>440</v>
      </c>
      <c r="I9" s="247" t="s">
        <v>442</v>
      </c>
      <c r="J9" s="247" t="s">
        <v>411</v>
      </c>
      <c r="K9" s="247" t="str">
        <f ca="1">Translations!A73 &amp;" (EN) "</f>
        <v xml:space="preserve">Nom de l'indicateur d’impact  (EN) </v>
      </c>
      <c r="L9" s="247" t="str">
        <f ca="1">Translations!$A$74 &amp; " (EN)"</f>
        <v>Catégorie (EN)</v>
      </c>
      <c r="M9" s="247" t="s">
        <v>8013</v>
      </c>
      <c r="N9" s="247" t="s">
        <v>8014</v>
      </c>
    </row>
    <row r="10" spans="1:23" s="189" customFormat="1" ht="40.200000000000003" customHeight="1" x14ac:dyDescent="0.3">
      <c r="A10" s="678" t="str">
        <f ca="1">INDIRECT("'update Helper'!C"&amp;U10)</f>
        <v>a1G3p000003GJ3eEAG</v>
      </c>
      <c r="B10" s="674">
        <v>1</v>
      </c>
      <c r="C10" s="666" t="str">
        <f>IFERROR(VLOOKUP(B10,'Impact Indicators - Section B '!$A$9:$AF$52,32,FALSE),"")</f>
        <v>HIV I-14 Nombre de nouvelles infections par le VIH pour 1000 habitants non infectés</v>
      </c>
      <c r="D10" s="676" t="str">
        <f>R10</f>
        <v>Sexe | Age</v>
      </c>
      <c r="E10" s="676" t="str">
        <f>S10</f>
        <v>Femme 20-24</v>
      </c>
      <c r="F10" s="194"/>
      <c r="G10" s="668" t="str">
        <f ca="1">IF(OR(INDIRECT("'update Helper'!E"&amp;U10)=0,F10&lt;&gt;0,F11&lt;&gt;0),IF(IFERROR((F10/F11),"")="","",(F10/F11)),INDIRECT("'update Helper'!E"&amp;U10)/100)</f>
        <v/>
      </c>
      <c r="H10" s="670"/>
      <c r="I10" s="672"/>
      <c r="J10" s="651" t="s">
        <v>8112</v>
      </c>
      <c r="K10" s="666" t="str">
        <f>W10</f>
        <v>HIV I-14 Number of new HIV infections per 1000 uninfected population</v>
      </c>
      <c r="L10" s="666" t="str">
        <f>V10</f>
        <v>Gender | Age</v>
      </c>
      <c r="M10" s="651"/>
      <c r="N10" s="651" t="s">
        <v>8111</v>
      </c>
      <c r="P10" s="189">
        <f>IF(AND(EXACT(C10,C8),C8&lt;&gt;0),P8+1,0)</f>
        <v>0</v>
      </c>
      <c r="Q10" s="189" t="str">
        <f>IF(C10&lt;&gt;"",C10&amp;"-"&amp;P10,"")</f>
        <v>HIV I-14 Nombre de nouvelles infections par le VIH pour 1000 habitants non infectés-0</v>
      </c>
      <c r="R10" s="189" t="str">
        <f t="array" ref="R10">IFERROR(IF(INDEX('Disaggregation Records'!$E$3:$E$66,MATCH(RIGHT(Q10,255),RIGHT('Disaggregation Records'!$D$3:$D$66,255),0))=0,"",INDEX('Disaggregation Records'!$E$3:$E$66,MATCH(RIGHT(Q10,255),RIGHT('Disaggregation Records'!$D$3:$D$66,255),0))),"")</f>
        <v>Sexe | Age</v>
      </c>
      <c r="S10" s="189" t="str">
        <f t="array" ref="S10">IFERROR(IF(INDEX('Disaggregation Records'!$F$3:$F$66,MATCH(RIGHT(Q10,255),RIGHT('Disaggregation Records'!$D$3:$D$66,255),0))=0,"",INDEX('Disaggregation Records'!$F$3:$F$66,MATCH(RIGHT(Q10,255),RIGHT('Disaggregation Records'!$D$3:$D$66,255),0))),"")</f>
        <v>Femme 20-24</v>
      </c>
      <c r="T10" s="189" t="str">
        <f t="array" ref="T10">IFERROR(IF(INDEX('Disaggregation Records'!$H$3:$H$66,MATCH(RIGHT(Q10,255),RIGHT('Disaggregation Records'!$D$3:$D$66,255),0))=0,"",INDEX('Disaggregation Records'!$H$3:$H$66,MATCH(RIGHT(Q10,255),RIGHT('Disaggregation Records'!$D$3:$D$66,255),0))),"")</f>
        <v>IDR-00879</v>
      </c>
      <c r="U10" s="189">
        <f>ROW(Impact_Indicator_Disaggregation)+3</f>
        <v>1183</v>
      </c>
      <c r="V10" s="189" t="str">
        <f t="array" ref="V10">IFERROR(IF(INDEX('Disaggregation Records'!$I$3:$I$66,MATCH(RIGHT(Q10,255),RIGHT('Disaggregation Records'!$D$3:$D$66,255),0))=0,"",INDEX('Disaggregation Records'!$I$3:$I$66,MATCH(RIGHT(Q10,255),RIGHT('Disaggregation Records'!$D$3:$D$66,255),0))),"")</f>
        <v>Gender | Age</v>
      </c>
      <c r="W10" s="189" t="str">
        <f>IFERROR(INDEX('Reference Records'!O$3:O$15,MATCH(LEFT(C10,255),'Reference Records'!J$3:J$15,0)),"")</f>
        <v>HIV I-14 Number of new HIV infections per 1000 uninfected population</v>
      </c>
    </row>
    <row r="11" spans="1:23" s="190" customFormat="1" ht="40.200000000000003" customHeight="1" x14ac:dyDescent="0.3">
      <c r="A11" s="678"/>
      <c r="B11" s="675"/>
      <c r="C11" s="667"/>
      <c r="D11" s="677"/>
      <c r="E11" s="677"/>
      <c r="F11" s="202"/>
      <c r="G11" s="669"/>
      <c r="H11" s="671"/>
      <c r="I11" s="673"/>
      <c r="J11" s="652"/>
      <c r="K11" s="667"/>
      <c r="L11" s="667"/>
      <c r="M11" s="652"/>
      <c r="N11" s="652"/>
    </row>
    <row r="12" spans="1:23" s="189" customFormat="1" ht="40.200000000000003" customHeight="1" x14ac:dyDescent="0.3">
      <c r="A12" s="678" t="str">
        <f t="shared" ref="A12" ca="1" si="0">INDIRECT("'update Helper'!C"&amp;U12)</f>
        <v>a1G3p000003GJ3fEAG</v>
      </c>
      <c r="B12" s="674">
        <v>1</v>
      </c>
      <c r="C12" s="666" t="str">
        <f>IFERROR(VLOOKUP(B12,'Impact Indicators - Section B '!$A$9:$AF$52,32,FALSE),"")</f>
        <v>HIV I-14 Nombre de nouvelles infections par le VIH pour 1000 habitants non infectés</v>
      </c>
      <c r="D12" s="676" t="str">
        <f t="shared" ref="D12" si="1">R12</f>
        <v>Sexe | Age</v>
      </c>
      <c r="E12" s="676" t="str">
        <f t="shared" ref="E12" si="2">S12</f>
        <v>Homme 20-24</v>
      </c>
      <c r="F12" s="194"/>
      <c r="G12" s="668" t="str">
        <f t="shared" ref="G12" ca="1" si="3">IF(OR(INDIRECT("'update Helper'!E"&amp;U12)=0,F12&lt;&gt;0,F13&lt;&gt;0),IF(IFERROR((F12/F13),"")="","",(F12/F13)),INDIRECT("'update Helper'!E"&amp;U12)/100)</f>
        <v/>
      </c>
      <c r="H12" s="670"/>
      <c r="I12" s="672"/>
      <c r="J12" s="651" t="s">
        <v>8112</v>
      </c>
      <c r="K12" s="666" t="str">
        <f t="shared" ref="K12" si="4">W12</f>
        <v>HIV I-14 Number of new HIV infections per 1000 uninfected population</v>
      </c>
      <c r="L12" s="666" t="str">
        <f t="shared" ref="L12" si="5">V12</f>
        <v>Gender | Age</v>
      </c>
      <c r="M12" s="651"/>
      <c r="N12" s="651" t="s">
        <v>8111</v>
      </c>
      <c r="P12" s="189">
        <f t="shared" ref="P12" si="6">IF(AND(EXACT(C12,C10),C10&lt;&gt;0),P10+1,0)</f>
        <v>1</v>
      </c>
      <c r="Q12" s="189" t="str">
        <f>IF(C12&lt;&gt;"",C12&amp;"-"&amp;P12,"")</f>
        <v>HIV I-14 Nombre de nouvelles infections par le VIH pour 1000 habitants non infectés-1</v>
      </c>
      <c r="R12" s="189" t="str">
        <f t="array" ref="R12">IFERROR(IF(INDEX('Disaggregation Records'!$E$3:$E$66,MATCH(RIGHT(Q12,255),RIGHT('Disaggregation Records'!$D$3:$D$66,255),0))=0,"",INDEX('Disaggregation Records'!$E$3:$E$66,MATCH(RIGHT(Q12,255),RIGHT('Disaggregation Records'!$D$3:$D$66,255),0))),"")</f>
        <v>Sexe | Age</v>
      </c>
      <c r="S12" s="189" t="str">
        <f t="array" ref="S12">IFERROR(IF(INDEX('Disaggregation Records'!$F$3:$F$66,MATCH(RIGHT(Q12,255),RIGHT('Disaggregation Records'!$D$3:$D$66,255),0))=0,"",INDEX('Disaggregation Records'!$F$3:$F$66,MATCH(RIGHT(Q12,255),RIGHT('Disaggregation Records'!$D$3:$D$66,255),0))),"")</f>
        <v>Homme 20-24</v>
      </c>
      <c r="T12" s="189" t="str">
        <f t="array" ref="T12">IFERROR(IF(INDEX('Disaggregation Records'!$H$3:$H$66,MATCH(RIGHT(Q12,255),RIGHT('Disaggregation Records'!$D$3:$D$66,255),0))=0,"",INDEX('Disaggregation Records'!$H$3:$H$66,MATCH(RIGHT(Q12,255),RIGHT('Disaggregation Records'!$D$3:$D$66,255),0))),"")</f>
        <v>IDR-00878</v>
      </c>
      <c r="U12" s="189">
        <f>U10+1</f>
        <v>1184</v>
      </c>
      <c r="V12" s="189" t="str">
        <f t="array" ref="V12">IFERROR(IF(INDEX('Disaggregation Records'!$I$3:$I$66,MATCH(RIGHT(Q12,255),RIGHT('Disaggregation Records'!$D$3:$D$66,255),0))=0,"",INDEX('Disaggregation Records'!$I$3:$I$66,MATCH(RIGHT(Q12,255),RIGHT('Disaggregation Records'!$D$3:$D$66,255),0))),"")</f>
        <v>Gender | Age</v>
      </c>
      <c r="W12" s="189" t="str">
        <f>IFERROR(INDEX('Reference Records'!O$3:O$15,MATCH(LEFT(C12,255),'Reference Records'!J$3:J$15,0)),"")</f>
        <v>HIV I-14 Number of new HIV infections per 1000 uninfected population</v>
      </c>
    </row>
    <row r="13" spans="1:23" s="190" customFormat="1" ht="40.200000000000003" customHeight="1" x14ac:dyDescent="0.3">
      <c r="A13" s="678"/>
      <c r="B13" s="675"/>
      <c r="C13" s="667"/>
      <c r="D13" s="677"/>
      <c r="E13" s="677"/>
      <c r="F13" s="202"/>
      <c r="G13" s="669"/>
      <c r="H13" s="671"/>
      <c r="I13" s="673"/>
      <c r="J13" s="652"/>
      <c r="K13" s="667"/>
      <c r="L13" s="667"/>
      <c r="M13" s="652"/>
      <c r="N13" s="652"/>
    </row>
    <row r="14" spans="1:23" s="189" customFormat="1" ht="40.200000000000003" customHeight="1" x14ac:dyDescent="0.3">
      <c r="A14" s="678" t="str">
        <f t="shared" ref="A14:A76" ca="1" si="7">INDIRECT("'update Helper'!C"&amp;U14)</f>
        <v>a1G3p000003GJ3gEAG</v>
      </c>
      <c r="B14" s="674">
        <v>1</v>
      </c>
      <c r="C14" s="666" t="str">
        <f>IFERROR(VLOOKUP(B14,'Impact Indicators - Section B '!$A$9:$AF$52,32,FALSE),"")</f>
        <v>HIV I-14 Nombre de nouvelles infections par le VIH pour 1000 habitants non infectés</v>
      </c>
      <c r="D14" s="676" t="str">
        <f t="shared" ref="D14" si="8">R14</f>
        <v>Sexe | Age</v>
      </c>
      <c r="E14" s="676" t="str">
        <f t="shared" ref="E14" si="9">S14</f>
        <v>Femme 15-19</v>
      </c>
      <c r="F14" s="194"/>
      <c r="G14" s="668" t="str">
        <f t="shared" ref="G14" ca="1" si="10">IF(OR(INDIRECT("'update Helper'!E"&amp;U14)=0,F14&lt;&gt;0,F15&lt;&gt;0),IF(IFERROR((F14/F15),"")="","",(F14/F15)),INDIRECT("'update Helper'!E"&amp;U14)/100)</f>
        <v/>
      </c>
      <c r="H14" s="670"/>
      <c r="I14" s="672"/>
      <c r="J14" s="651" t="s">
        <v>8112</v>
      </c>
      <c r="K14" s="666" t="str">
        <f t="shared" ref="K14" si="11">W14</f>
        <v>HIV I-14 Number of new HIV infections per 1000 uninfected population</v>
      </c>
      <c r="L14" s="666" t="str">
        <f t="shared" ref="L14" si="12">V14</f>
        <v>Gender | Age</v>
      </c>
      <c r="M14" s="651"/>
      <c r="N14" s="651" t="s">
        <v>8111</v>
      </c>
      <c r="P14" s="189">
        <f t="shared" ref="P14" si="13">IF(AND(EXACT(C14,C12),C12&lt;&gt;0),P12+1,0)</f>
        <v>2</v>
      </c>
      <c r="Q14" s="189" t="str">
        <f t="shared" ref="Q14" si="14">IF(C14&lt;&gt;"",C14&amp;"-"&amp;P14,"")</f>
        <v>HIV I-14 Nombre de nouvelles infections par le VIH pour 1000 habitants non infectés-2</v>
      </c>
      <c r="R14" s="189" t="str">
        <f t="array" ref="R14">IFERROR(IF(INDEX('Disaggregation Records'!$E$3:$E$66,MATCH(RIGHT(Q14,255),RIGHT('Disaggregation Records'!$D$3:$D$66,255),0))=0,"",INDEX('Disaggregation Records'!$E$3:$E$66,MATCH(RIGHT(Q14,255),RIGHT('Disaggregation Records'!$D$3:$D$66,255),0))),"")</f>
        <v>Sexe | Age</v>
      </c>
      <c r="S14" s="189" t="str">
        <f t="array" ref="S14">IFERROR(IF(INDEX('Disaggregation Records'!$F$3:$F$66,MATCH(RIGHT(Q14,255),RIGHT('Disaggregation Records'!$D$3:$D$66,255),0))=0,"",INDEX('Disaggregation Records'!$F$3:$F$66,MATCH(RIGHT(Q14,255),RIGHT('Disaggregation Records'!$D$3:$D$66,255),0))),"")</f>
        <v>Femme 15-19</v>
      </c>
      <c r="T14" s="189" t="str">
        <f t="array" ref="T14">IFERROR(IF(INDEX('Disaggregation Records'!$H$3:$H$66,MATCH(RIGHT(Q14,255),RIGHT('Disaggregation Records'!$D$3:$D$66,255),0))=0,"",INDEX('Disaggregation Records'!$H$3:$H$66,MATCH(RIGHT(Q14,255),RIGHT('Disaggregation Records'!$D$3:$D$66,255),0))),"")</f>
        <v>IDR-00877</v>
      </c>
      <c r="U14" s="189">
        <f t="shared" ref="U14" si="15">U12+1</f>
        <v>1185</v>
      </c>
      <c r="V14" s="189" t="str">
        <f t="array" ref="V14">IFERROR(IF(INDEX('Disaggregation Records'!$I$3:$I$66,MATCH(RIGHT(Q14,255),RIGHT('Disaggregation Records'!$D$3:$D$66,255),0))=0,"",INDEX('Disaggregation Records'!$I$3:$I$66,MATCH(RIGHT(Q14,255),RIGHT('Disaggregation Records'!$D$3:$D$66,255),0))),"")</f>
        <v>Gender | Age</v>
      </c>
      <c r="W14" s="189" t="str">
        <f>IFERROR(INDEX('Reference Records'!O$3:O$15,MATCH(LEFT(C14,255),'Reference Records'!J$3:J$15,0)),"")</f>
        <v>HIV I-14 Number of new HIV infections per 1000 uninfected population</v>
      </c>
    </row>
    <row r="15" spans="1:23" s="189" customFormat="1" ht="40.200000000000003" customHeight="1" x14ac:dyDescent="0.3">
      <c r="A15" s="678"/>
      <c r="B15" s="675"/>
      <c r="C15" s="667"/>
      <c r="D15" s="677"/>
      <c r="E15" s="677"/>
      <c r="F15" s="202"/>
      <c r="G15" s="669"/>
      <c r="H15" s="671"/>
      <c r="I15" s="673"/>
      <c r="J15" s="652"/>
      <c r="K15" s="667"/>
      <c r="L15" s="667"/>
      <c r="M15" s="652"/>
      <c r="N15" s="652"/>
      <c r="P15" s="190"/>
      <c r="Q15" s="190"/>
      <c r="R15" s="190"/>
      <c r="S15" s="190"/>
      <c r="T15" s="190"/>
      <c r="U15" s="190"/>
      <c r="V15" s="190"/>
      <c r="W15" s="190"/>
    </row>
    <row r="16" spans="1:23" s="189" customFormat="1" ht="40.200000000000003" customHeight="1" x14ac:dyDescent="0.3">
      <c r="A16" s="678" t="str">
        <f t="shared" ca="1" si="7"/>
        <v>a1G3p000003GJ3hEAG</v>
      </c>
      <c r="B16" s="674">
        <v>1</v>
      </c>
      <c r="C16" s="666" t="str">
        <f>IFERROR(VLOOKUP(B16,'Impact Indicators - Section B '!$A$9:$AF$52,32,FALSE),"")</f>
        <v>HIV I-14 Nombre de nouvelles infections par le VIH pour 1000 habitants non infectés</v>
      </c>
      <c r="D16" s="676" t="str">
        <f t="shared" ref="D16" si="16">R16</f>
        <v>Sexe | Age</v>
      </c>
      <c r="E16" s="676" t="str">
        <f t="shared" ref="E16" si="17">S16</f>
        <v>Homme 15-19</v>
      </c>
      <c r="F16" s="194"/>
      <c r="G16" s="668" t="str">
        <f t="shared" ref="G16" ca="1" si="18">IF(OR(INDIRECT("'update Helper'!E"&amp;U16)=0,F16&lt;&gt;0,F17&lt;&gt;0),IF(IFERROR((F16/F17),"")="","",(F16/F17)),INDIRECT("'update Helper'!E"&amp;U16)/100)</f>
        <v/>
      </c>
      <c r="H16" s="670"/>
      <c r="I16" s="672"/>
      <c r="J16" s="651" t="s">
        <v>8112</v>
      </c>
      <c r="K16" s="666" t="str">
        <f t="shared" ref="K16" si="19">W16</f>
        <v>HIV I-14 Number of new HIV infections per 1000 uninfected population</v>
      </c>
      <c r="L16" s="666" t="str">
        <f t="shared" ref="L16" si="20">V16</f>
        <v>Gender | Age</v>
      </c>
      <c r="M16" s="651"/>
      <c r="N16" s="651" t="s">
        <v>8111</v>
      </c>
      <c r="P16" s="189">
        <f t="shared" ref="P16" si="21">IF(AND(EXACT(C16,C14),C14&lt;&gt;0),P14+1,0)</f>
        <v>3</v>
      </c>
      <c r="Q16" s="189" t="str">
        <f t="shared" ref="Q16" si="22">IF(C16&lt;&gt;"",C16&amp;"-"&amp;P16,"")</f>
        <v>HIV I-14 Nombre de nouvelles infections par le VIH pour 1000 habitants non infectés-3</v>
      </c>
      <c r="R16" s="189" t="str">
        <f t="array" ref="R16">IFERROR(IF(INDEX('Disaggregation Records'!$E$3:$E$66,MATCH(RIGHT(Q16,255),RIGHT('Disaggregation Records'!$D$3:$D$66,255),0))=0,"",INDEX('Disaggregation Records'!$E$3:$E$66,MATCH(RIGHT(Q16,255),RIGHT('Disaggregation Records'!$D$3:$D$66,255),0))),"")</f>
        <v>Sexe | Age</v>
      </c>
      <c r="S16" s="189" t="str">
        <f t="array" ref="S16">IFERROR(IF(INDEX('Disaggregation Records'!$F$3:$F$66,MATCH(RIGHT(Q16,255),RIGHT('Disaggregation Records'!$D$3:$D$66,255),0))=0,"",INDEX('Disaggregation Records'!$F$3:$F$66,MATCH(RIGHT(Q16,255),RIGHT('Disaggregation Records'!$D$3:$D$66,255),0))),"")</f>
        <v>Homme 15-19</v>
      </c>
      <c r="T16" s="189" t="str">
        <f t="array" ref="T16">IFERROR(IF(INDEX('Disaggregation Records'!$H$3:$H$66,MATCH(RIGHT(Q16,255),RIGHT('Disaggregation Records'!$D$3:$D$66,255),0))=0,"",INDEX('Disaggregation Records'!$H$3:$H$66,MATCH(RIGHT(Q16,255),RIGHT('Disaggregation Records'!$D$3:$D$66,255),0))),"")</f>
        <v>IDR-00876</v>
      </c>
      <c r="U16" s="189">
        <f t="shared" ref="U16" si="23">U14+1</f>
        <v>1186</v>
      </c>
      <c r="V16" s="189" t="str">
        <f t="array" ref="V16">IFERROR(IF(INDEX('Disaggregation Records'!$I$3:$I$66,MATCH(RIGHT(Q16,255),RIGHT('Disaggregation Records'!$D$3:$D$66,255),0))=0,"",INDEX('Disaggregation Records'!$I$3:$I$66,MATCH(RIGHT(Q16,255),RIGHT('Disaggregation Records'!$D$3:$D$66,255),0))),"")</f>
        <v>Gender | Age</v>
      </c>
      <c r="W16" s="189" t="str">
        <f>IFERROR(INDEX('Reference Records'!O$3:O$15,MATCH(LEFT(C16,255),'Reference Records'!J$3:J$15,0)),"")</f>
        <v>HIV I-14 Number of new HIV infections per 1000 uninfected population</v>
      </c>
    </row>
    <row r="17" spans="1:23" s="190" customFormat="1" ht="40.200000000000003" customHeight="1" x14ac:dyDescent="0.3">
      <c r="A17" s="678"/>
      <c r="B17" s="675"/>
      <c r="C17" s="667"/>
      <c r="D17" s="677"/>
      <c r="E17" s="677"/>
      <c r="F17" s="202"/>
      <c r="G17" s="669"/>
      <c r="H17" s="671"/>
      <c r="I17" s="673"/>
      <c r="J17" s="652"/>
      <c r="K17" s="667"/>
      <c r="L17" s="667"/>
      <c r="M17" s="652"/>
      <c r="N17" s="652"/>
    </row>
    <row r="18" spans="1:23" s="189" customFormat="1" ht="40.200000000000003" customHeight="1" x14ac:dyDescent="0.3">
      <c r="A18" s="678" t="str">
        <f t="shared" ca="1" si="7"/>
        <v>a1G3p000003GJ3iEAG</v>
      </c>
      <c r="B18" s="674">
        <v>1</v>
      </c>
      <c r="C18" s="666" t="str">
        <f>IFERROR(VLOOKUP(B18,'Impact Indicators - Section B '!$A$9:$AF$52,32,FALSE),"")</f>
        <v>HIV I-14 Nombre de nouvelles infections par le VIH pour 1000 habitants non infectés</v>
      </c>
      <c r="D18" s="676" t="str">
        <f t="shared" ref="D18" si="24">R18</f>
        <v>Sexe</v>
      </c>
      <c r="E18" s="676" t="str">
        <f t="shared" ref="E18" si="25">S18</f>
        <v>Femme</v>
      </c>
      <c r="F18" s="194"/>
      <c r="G18" s="668" t="str">
        <f t="shared" ref="G18" ca="1" si="26">IF(OR(INDIRECT("'update Helper'!E"&amp;U18)=0,F18&lt;&gt;0,F19&lt;&gt;0),IF(IFERROR((F18/F19),"")="","",(F18/F19)),INDIRECT("'update Helper'!E"&amp;U18)/100)</f>
        <v/>
      </c>
      <c r="H18" s="670"/>
      <c r="I18" s="672"/>
      <c r="J18" s="651" t="s">
        <v>8112</v>
      </c>
      <c r="K18" s="666" t="str">
        <f t="shared" ref="K18" si="27">W18</f>
        <v>HIV I-14 Number of new HIV infections per 1000 uninfected population</v>
      </c>
      <c r="L18" s="666" t="str">
        <f t="shared" ref="L18" si="28">V18</f>
        <v>Gender</v>
      </c>
      <c r="M18" s="651"/>
      <c r="N18" s="651" t="s">
        <v>8111</v>
      </c>
      <c r="P18" s="189">
        <f t="shared" ref="P18" si="29">IF(AND(EXACT(C18,C16),C16&lt;&gt;0),P16+1,0)</f>
        <v>4</v>
      </c>
      <c r="Q18" s="189" t="str">
        <f t="shared" ref="Q18" si="30">IF(C18&lt;&gt;"",C18&amp;"-"&amp;P18,"")</f>
        <v>HIV I-14 Nombre de nouvelles infections par le VIH pour 1000 habitants non infectés-4</v>
      </c>
      <c r="R18" s="189" t="str">
        <f t="array" ref="R18">IFERROR(IF(INDEX('Disaggregation Records'!$E$3:$E$66,MATCH(RIGHT(Q18,255),RIGHT('Disaggregation Records'!$D$3:$D$66,255),0))=0,"",INDEX('Disaggregation Records'!$E$3:$E$66,MATCH(RIGHT(Q18,255),RIGHT('Disaggregation Records'!$D$3:$D$66,255),0))),"")</f>
        <v>Sexe</v>
      </c>
      <c r="S18" s="189" t="str">
        <f t="array" ref="S18">IFERROR(IF(INDEX('Disaggregation Records'!$F$3:$F$66,MATCH(RIGHT(Q18,255),RIGHT('Disaggregation Records'!$D$3:$D$66,255),0))=0,"",INDEX('Disaggregation Records'!$F$3:$F$66,MATCH(RIGHT(Q18,255),RIGHT('Disaggregation Records'!$D$3:$D$66,255),0))),"")</f>
        <v>Femme</v>
      </c>
      <c r="T18" s="189" t="str">
        <f t="array" ref="T18">IFERROR(IF(INDEX('Disaggregation Records'!$H$3:$H$66,MATCH(RIGHT(Q18,255),RIGHT('Disaggregation Records'!$D$3:$D$66,255),0))=0,"",INDEX('Disaggregation Records'!$H$3:$H$66,MATCH(RIGHT(Q18,255),RIGHT('Disaggregation Records'!$D$3:$D$66,255),0))),"")</f>
        <v>IDR-00771</v>
      </c>
      <c r="U18" s="189">
        <f t="shared" ref="U18" si="31">U16+1</f>
        <v>1187</v>
      </c>
      <c r="V18" s="189" t="str">
        <f t="array" ref="V18">IFERROR(IF(INDEX('Disaggregation Records'!$I$3:$I$66,MATCH(RIGHT(Q18,255),RIGHT('Disaggregation Records'!$D$3:$D$66,255),0))=0,"",INDEX('Disaggregation Records'!$I$3:$I$66,MATCH(RIGHT(Q18,255),RIGHT('Disaggregation Records'!$D$3:$D$66,255),0))),"")</f>
        <v>Gender</v>
      </c>
      <c r="W18" s="189" t="str">
        <f>IFERROR(INDEX('Reference Records'!O$3:O$15,MATCH(LEFT(C18,255),'Reference Records'!J$3:J$15,0)),"")</f>
        <v>HIV I-14 Number of new HIV infections per 1000 uninfected population</v>
      </c>
    </row>
    <row r="19" spans="1:23" s="190" customFormat="1" ht="40.200000000000003" customHeight="1" x14ac:dyDescent="0.3">
      <c r="A19" s="678"/>
      <c r="B19" s="675"/>
      <c r="C19" s="667"/>
      <c r="D19" s="677"/>
      <c r="E19" s="677"/>
      <c r="F19" s="202"/>
      <c r="G19" s="669"/>
      <c r="H19" s="671"/>
      <c r="I19" s="673"/>
      <c r="J19" s="652"/>
      <c r="K19" s="667"/>
      <c r="L19" s="667"/>
      <c r="M19" s="652"/>
      <c r="N19" s="652"/>
    </row>
    <row r="20" spans="1:23" s="189" customFormat="1" ht="40.200000000000003" customHeight="1" x14ac:dyDescent="0.3">
      <c r="A20" s="678" t="str">
        <f t="shared" ca="1" si="7"/>
        <v>a1G3p000003GJ3jEAG</v>
      </c>
      <c r="B20" s="674">
        <v>1</v>
      </c>
      <c r="C20" s="666" t="str">
        <f>IFERROR(VLOOKUP(B20,'Impact Indicators - Section B '!$A$9:$AF$52,32,FALSE),"")</f>
        <v>HIV I-14 Nombre de nouvelles infections par le VIH pour 1000 habitants non infectés</v>
      </c>
      <c r="D20" s="676" t="str">
        <f t="shared" ref="D20" si="32">R20</f>
        <v>Sexe</v>
      </c>
      <c r="E20" s="676" t="str">
        <f t="shared" ref="E20" si="33">S20</f>
        <v>Homme</v>
      </c>
      <c r="F20" s="194"/>
      <c r="G20" s="668" t="str">
        <f t="shared" ref="G20" ca="1" si="34">IF(OR(INDIRECT("'update Helper'!E"&amp;U20)=0,F20&lt;&gt;0,F21&lt;&gt;0),IF(IFERROR((F20/F21),"")="","",(F20/F21)),INDIRECT("'update Helper'!E"&amp;U20)/100)</f>
        <v/>
      </c>
      <c r="H20" s="670"/>
      <c r="I20" s="672"/>
      <c r="J20" s="651" t="s">
        <v>8112</v>
      </c>
      <c r="K20" s="666" t="str">
        <f t="shared" ref="K20" si="35">W20</f>
        <v>HIV I-14 Number of new HIV infections per 1000 uninfected population</v>
      </c>
      <c r="L20" s="666" t="str">
        <f t="shared" ref="L20" si="36">V20</f>
        <v>Gender</v>
      </c>
      <c r="M20" s="651"/>
      <c r="N20" s="651" t="s">
        <v>8111</v>
      </c>
      <c r="P20" s="189">
        <f t="shared" ref="P20" si="37">IF(AND(EXACT(C20,C18),C18&lt;&gt;0),P18+1,0)</f>
        <v>5</v>
      </c>
      <c r="Q20" s="189" t="str">
        <f t="shared" ref="Q20" si="38">IF(C20&lt;&gt;"",C20&amp;"-"&amp;P20,"")</f>
        <v>HIV I-14 Nombre de nouvelles infections par le VIH pour 1000 habitants non infectés-5</v>
      </c>
      <c r="R20" s="189" t="str">
        <f t="array" ref="R20">IFERROR(IF(INDEX('Disaggregation Records'!$E$3:$E$66,MATCH(RIGHT(Q20,255),RIGHT('Disaggregation Records'!$D$3:$D$66,255),0))=0,"",INDEX('Disaggregation Records'!$E$3:$E$66,MATCH(RIGHT(Q20,255),RIGHT('Disaggregation Records'!$D$3:$D$66,255),0))),"")</f>
        <v>Sexe</v>
      </c>
      <c r="S20" s="189" t="str">
        <f t="array" ref="S20">IFERROR(IF(INDEX('Disaggregation Records'!$F$3:$F$66,MATCH(RIGHT(Q20,255),RIGHT('Disaggregation Records'!$D$3:$D$66,255),0))=0,"",INDEX('Disaggregation Records'!$F$3:$F$66,MATCH(RIGHT(Q20,255),RIGHT('Disaggregation Records'!$D$3:$D$66,255),0))),"")</f>
        <v>Homme</v>
      </c>
      <c r="T20" s="189" t="str">
        <f t="array" ref="T20">IFERROR(IF(INDEX('Disaggregation Records'!$H$3:$H$66,MATCH(RIGHT(Q20,255),RIGHT('Disaggregation Records'!$D$3:$D$66,255),0))=0,"",INDEX('Disaggregation Records'!$H$3:$H$66,MATCH(RIGHT(Q20,255),RIGHT('Disaggregation Records'!$D$3:$D$66,255),0))),"")</f>
        <v>IDR-00770</v>
      </c>
      <c r="U20" s="189">
        <f t="shared" ref="U20" si="39">U18+1</f>
        <v>1188</v>
      </c>
      <c r="V20" s="189" t="str">
        <f t="array" ref="V20">IFERROR(IF(INDEX('Disaggregation Records'!$I$3:$I$66,MATCH(RIGHT(Q20,255),RIGHT('Disaggregation Records'!$D$3:$D$66,255),0))=0,"",INDEX('Disaggregation Records'!$I$3:$I$66,MATCH(RIGHT(Q20,255),RIGHT('Disaggregation Records'!$D$3:$D$66,255),0))),"")</f>
        <v>Gender</v>
      </c>
      <c r="W20" s="189" t="str">
        <f>IFERROR(INDEX('Reference Records'!O$3:O$15,MATCH(LEFT(C20,255),'Reference Records'!J$3:J$15,0)),"")</f>
        <v>HIV I-14 Number of new HIV infections per 1000 uninfected population</v>
      </c>
    </row>
    <row r="21" spans="1:23" s="189" customFormat="1" ht="40.200000000000003" customHeight="1" x14ac:dyDescent="0.3">
      <c r="A21" s="678"/>
      <c r="B21" s="675"/>
      <c r="C21" s="667"/>
      <c r="D21" s="677"/>
      <c r="E21" s="677"/>
      <c r="F21" s="202"/>
      <c r="G21" s="669"/>
      <c r="H21" s="671"/>
      <c r="I21" s="673"/>
      <c r="J21" s="652"/>
      <c r="K21" s="667"/>
      <c r="L21" s="667"/>
      <c r="M21" s="652"/>
      <c r="N21" s="652"/>
      <c r="P21" s="190"/>
      <c r="Q21" s="190"/>
      <c r="R21" s="190"/>
      <c r="S21" s="190"/>
      <c r="T21" s="190"/>
      <c r="U21" s="190"/>
      <c r="V21" s="190"/>
      <c r="W21" s="190"/>
    </row>
    <row r="22" spans="1:23" s="189" customFormat="1" ht="40.200000000000003" customHeight="1" x14ac:dyDescent="0.3">
      <c r="A22" s="678" t="str">
        <f t="shared" ca="1" si="7"/>
        <v>a1G3p000003GJ3kEAG</v>
      </c>
      <c r="B22" s="674">
        <v>1</v>
      </c>
      <c r="C22" s="666" t="str">
        <f>IFERROR(VLOOKUP(B22,'Impact Indicators - Section B '!$A$9:$AF$52,32,FALSE),"")</f>
        <v>HIV I-14 Nombre de nouvelles infections par le VIH pour 1000 habitants non infectés</v>
      </c>
      <c r="D22" s="676" t="str">
        <f t="shared" ref="D22" si="40">R22</f>
        <v>Age</v>
      </c>
      <c r="E22" s="676" t="str">
        <f t="shared" ref="E22" si="41">S22</f>
        <v>15+</v>
      </c>
      <c r="F22" s="194"/>
      <c r="G22" s="668" t="str">
        <f t="shared" ref="G22" ca="1" si="42">IF(OR(INDIRECT("'update Helper'!E"&amp;U22)=0,F22&lt;&gt;0,F23&lt;&gt;0),IF(IFERROR((F22/F23),"")="","",(F22/F23)),INDIRECT("'update Helper'!E"&amp;U22)/100)</f>
        <v/>
      </c>
      <c r="H22" s="670"/>
      <c r="I22" s="672"/>
      <c r="J22" s="651" t="s">
        <v>8112</v>
      </c>
      <c r="K22" s="666" t="str">
        <f t="shared" ref="K22" si="43">W22</f>
        <v>HIV I-14 Number of new HIV infections per 1000 uninfected population</v>
      </c>
      <c r="L22" s="666" t="str">
        <f t="shared" ref="L22" si="44">V22</f>
        <v>Age</v>
      </c>
      <c r="M22" s="651"/>
      <c r="N22" s="651" t="s">
        <v>8111</v>
      </c>
      <c r="P22" s="189">
        <f t="shared" ref="P22" si="45">IF(AND(EXACT(C22,C20),C20&lt;&gt;0),P20+1,0)</f>
        <v>6</v>
      </c>
      <c r="Q22" s="189" t="str">
        <f t="shared" ref="Q22" si="46">IF(C22&lt;&gt;"",C22&amp;"-"&amp;P22,"")</f>
        <v>HIV I-14 Nombre de nouvelles infections par le VIH pour 1000 habitants non infectés-6</v>
      </c>
      <c r="R22" s="189" t="str">
        <f t="array" ref="R22">IFERROR(IF(INDEX('Disaggregation Records'!$E$3:$E$66,MATCH(RIGHT(Q22,255),RIGHT('Disaggregation Records'!$D$3:$D$66,255),0))=0,"",INDEX('Disaggregation Records'!$E$3:$E$66,MATCH(RIGHT(Q22,255),RIGHT('Disaggregation Records'!$D$3:$D$66,255),0))),"")</f>
        <v>Age</v>
      </c>
      <c r="S22" s="189" t="str">
        <f t="array" ref="S22">IFERROR(IF(INDEX('Disaggregation Records'!$F$3:$F$66,MATCH(RIGHT(Q22,255),RIGHT('Disaggregation Records'!$D$3:$D$66,255),0))=0,"",INDEX('Disaggregation Records'!$F$3:$F$66,MATCH(RIGHT(Q22,255),RIGHT('Disaggregation Records'!$D$3:$D$66,255),0))),"")</f>
        <v>15+</v>
      </c>
      <c r="T22" s="189" t="str">
        <f t="array" ref="T22">IFERROR(IF(INDEX('Disaggregation Records'!$H$3:$H$66,MATCH(RIGHT(Q22,255),RIGHT('Disaggregation Records'!$D$3:$D$66,255),0))=0,"",INDEX('Disaggregation Records'!$H$3:$H$66,MATCH(RIGHT(Q22,255),RIGHT('Disaggregation Records'!$D$3:$D$66,255),0))),"")</f>
        <v>IDR-00652</v>
      </c>
      <c r="U22" s="189">
        <f t="shared" ref="U22" si="47">U20+1</f>
        <v>1189</v>
      </c>
      <c r="V22" s="189" t="str">
        <f t="array" ref="V22">IFERROR(IF(INDEX('Disaggregation Records'!$I$3:$I$66,MATCH(RIGHT(Q22,255),RIGHT('Disaggregation Records'!$D$3:$D$66,255),0))=0,"",INDEX('Disaggregation Records'!$I$3:$I$66,MATCH(RIGHT(Q22,255),RIGHT('Disaggregation Records'!$D$3:$D$66,255),0))),"")</f>
        <v>Age</v>
      </c>
      <c r="W22" s="189" t="str">
        <f>IFERROR(INDEX('Reference Records'!O$3:O$15,MATCH(LEFT(C22,255),'Reference Records'!J$3:J$15,0)),"")</f>
        <v>HIV I-14 Number of new HIV infections per 1000 uninfected population</v>
      </c>
    </row>
    <row r="23" spans="1:23" s="190" customFormat="1" ht="40.200000000000003" customHeight="1" x14ac:dyDescent="0.3">
      <c r="A23" s="678"/>
      <c r="B23" s="675"/>
      <c r="C23" s="667"/>
      <c r="D23" s="677"/>
      <c r="E23" s="677"/>
      <c r="F23" s="202"/>
      <c r="G23" s="669"/>
      <c r="H23" s="671"/>
      <c r="I23" s="673"/>
      <c r="J23" s="652"/>
      <c r="K23" s="667"/>
      <c r="L23" s="667"/>
      <c r="M23" s="652"/>
      <c r="N23" s="652"/>
    </row>
    <row r="24" spans="1:23" s="189" customFormat="1" ht="40.200000000000003" customHeight="1" x14ac:dyDescent="0.3">
      <c r="A24" s="678" t="str">
        <f t="shared" ca="1" si="7"/>
        <v>a1G3p000003GJ3lEAG</v>
      </c>
      <c r="B24" s="674">
        <v>1</v>
      </c>
      <c r="C24" s="666" t="str">
        <f>IFERROR(VLOOKUP(B24,'Impact Indicators - Section B '!$A$9:$AF$52,32,FALSE),"")</f>
        <v>HIV I-14 Nombre de nouvelles infections par le VIH pour 1000 habitants non infectés</v>
      </c>
      <c r="D24" s="676" t="str">
        <f t="shared" ref="D24" si="48">R24</f>
        <v>Age</v>
      </c>
      <c r="E24" s="676" t="str">
        <f t="shared" ref="E24" si="49">S24</f>
        <v>&lt;15</v>
      </c>
      <c r="F24" s="194"/>
      <c r="G24" s="668" t="str">
        <f t="shared" ref="G24" ca="1" si="50">IF(OR(INDIRECT("'update Helper'!E"&amp;U24)=0,F24&lt;&gt;0,F25&lt;&gt;0),IF(IFERROR((F24/F25),"")="","",(F24/F25)),INDIRECT("'update Helper'!E"&amp;U24)/100)</f>
        <v/>
      </c>
      <c r="H24" s="670"/>
      <c r="I24" s="672"/>
      <c r="J24" s="651" t="s">
        <v>8112</v>
      </c>
      <c r="K24" s="666" t="str">
        <f t="shared" ref="K24" si="51">W24</f>
        <v>HIV I-14 Number of new HIV infections per 1000 uninfected population</v>
      </c>
      <c r="L24" s="666" t="str">
        <f t="shared" ref="L24" si="52">V24</f>
        <v>Age</v>
      </c>
      <c r="M24" s="651"/>
      <c r="N24" s="651" t="s">
        <v>8111</v>
      </c>
      <c r="P24" s="189">
        <f t="shared" ref="P24" si="53">IF(AND(EXACT(C24,C22),C22&lt;&gt;0),P22+1,0)</f>
        <v>7</v>
      </c>
      <c r="Q24" s="189" t="str">
        <f t="shared" ref="Q24" si="54">IF(C24&lt;&gt;"",C24&amp;"-"&amp;P24,"")</f>
        <v>HIV I-14 Nombre de nouvelles infections par le VIH pour 1000 habitants non infectés-7</v>
      </c>
      <c r="R24" s="189" t="str">
        <f t="array" ref="R24">IFERROR(IF(INDEX('Disaggregation Records'!$E$3:$E$66,MATCH(RIGHT(Q24,255),RIGHT('Disaggregation Records'!$D$3:$D$66,255),0))=0,"",INDEX('Disaggregation Records'!$E$3:$E$66,MATCH(RIGHT(Q24,255),RIGHT('Disaggregation Records'!$D$3:$D$66,255),0))),"")</f>
        <v>Age</v>
      </c>
      <c r="S24" s="189" t="str">
        <f t="array" ref="S24">IFERROR(IF(INDEX('Disaggregation Records'!$F$3:$F$66,MATCH(RIGHT(Q24,255),RIGHT('Disaggregation Records'!$D$3:$D$66,255),0))=0,"",INDEX('Disaggregation Records'!$F$3:$F$66,MATCH(RIGHT(Q24,255),RIGHT('Disaggregation Records'!$D$3:$D$66,255),0))),"")</f>
        <v>&lt;15</v>
      </c>
      <c r="T24" s="189" t="str">
        <f t="array" ref="T24">IFERROR(IF(INDEX('Disaggregation Records'!$H$3:$H$66,MATCH(RIGHT(Q24,255),RIGHT('Disaggregation Records'!$D$3:$D$66,255),0))=0,"",INDEX('Disaggregation Records'!$H$3:$H$66,MATCH(RIGHT(Q24,255),RIGHT('Disaggregation Records'!$D$3:$D$66,255),0))),"")</f>
        <v>IDR-00651</v>
      </c>
      <c r="U24" s="189">
        <f t="shared" ref="U24" si="55">U22+1</f>
        <v>1190</v>
      </c>
      <c r="V24" s="189" t="str">
        <f t="array" ref="V24">IFERROR(IF(INDEX('Disaggregation Records'!$I$3:$I$66,MATCH(RIGHT(Q24,255),RIGHT('Disaggregation Records'!$D$3:$D$66,255),0))=0,"",INDEX('Disaggregation Records'!$I$3:$I$66,MATCH(RIGHT(Q24,255),RIGHT('Disaggregation Records'!$D$3:$D$66,255),0))),"")</f>
        <v>Age</v>
      </c>
      <c r="W24" s="189" t="str">
        <f>IFERROR(INDEX('Reference Records'!O$3:O$15,MATCH(LEFT(C24,255),'Reference Records'!J$3:J$15,0)),"")</f>
        <v>HIV I-14 Number of new HIV infections per 1000 uninfected population</v>
      </c>
    </row>
    <row r="25" spans="1:23" s="190" customFormat="1" ht="40.200000000000003" customHeight="1" x14ac:dyDescent="0.3">
      <c r="A25" s="678"/>
      <c r="B25" s="675"/>
      <c r="C25" s="667"/>
      <c r="D25" s="677"/>
      <c r="E25" s="677"/>
      <c r="F25" s="202"/>
      <c r="G25" s="669"/>
      <c r="H25" s="671"/>
      <c r="I25" s="673"/>
      <c r="J25" s="652"/>
      <c r="K25" s="667"/>
      <c r="L25" s="667"/>
      <c r="M25" s="652"/>
      <c r="N25" s="652"/>
    </row>
    <row r="26" spans="1:23" s="189" customFormat="1" ht="40.200000000000003" customHeight="1" x14ac:dyDescent="0.3">
      <c r="A26" s="678" t="str">
        <f t="shared" ca="1" si="7"/>
        <v>a1G3p000003GJ3mEAG</v>
      </c>
      <c r="B26" s="674">
        <v>1</v>
      </c>
      <c r="C26" s="666" t="str">
        <f>IFERROR(VLOOKUP(B26,'Impact Indicators - Section B '!$A$9:$AF$52,32,FALSE),"")</f>
        <v>HIV I-14 Nombre de nouvelles infections par le VIH pour 1000 habitants non infectés</v>
      </c>
      <c r="D26" s="676" t="str">
        <f t="shared" ref="D26" si="56">R26</f>
        <v/>
      </c>
      <c r="E26" s="676" t="str">
        <f t="shared" ref="E26" si="57">S26</f>
        <v/>
      </c>
      <c r="F26" s="194"/>
      <c r="G26" s="668" t="str">
        <f t="shared" ref="G26" ca="1" si="58">IF(OR(INDIRECT("'update Helper'!E"&amp;U26)=0,F26&lt;&gt;0,F27&lt;&gt;0),IF(IFERROR((F26/F27),"")="","",(F26/F27)),INDIRECT("'update Helper'!E"&amp;U26)/100)</f>
        <v/>
      </c>
      <c r="H26" s="670"/>
      <c r="I26" s="672"/>
      <c r="J26" s="651"/>
      <c r="K26" s="666" t="str">
        <f t="shared" ref="K26" si="59">W26</f>
        <v>HIV I-14 Number of new HIV infections per 1000 uninfected population</v>
      </c>
      <c r="L26" s="666" t="str">
        <f t="shared" ref="L26" si="60">V26</f>
        <v/>
      </c>
      <c r="M26" s="651"/>
      <c r="N26" s="651"/>
      <c r="P26" s="189">
        <f t="shared" ref="P26" si="61">IF(AND(EXACT(C26,C24),C24&lt;&gt;0),P24+1,0)</f>
        <v>8</v>
      </c>
      <c r="Q26" s="189" t="str">
        <f t="shared" ref="Q26" si="62">IF(C26&lt;&gt;"",C26&amp;"-"&amp;P26,"")</f>
        <v>HIV I-14 Nombre de nouvelles infections par le VIH pour 1000 habitants non infectés-8</v>
      </c>
      <c r="R26" s="189" t="str">
        <f t="array" ref="R26">IFERROR(IF(INDEX('Disaggregation Records'!$E$3:$E$66,MATCH(RIGHT(Q26,255),RIGHT('Disaggregation Records'!$D$3:$D$66,255),0))=0,"",INDEX('Disaggregation Records'!$E$3:$E$66,MATCH(RIGHT(Q26,255),RIGHT('Disaggregation Records'!$D$3:$D$66,255),0))),"")</f>
        <v/>
      </c>
      <c r="S26" s="189" t="str">
        <f t="array" ref="S26">IFERROR(IF(INDEX('Disaggregation Records'!$F$3:$F$66,MATCH(RIGHT(Q26,255),RIGHT('Disaggregation Records'!$D$3:$D$66,255),0))=0,"",INDEX('Disaggregation Records'!$F$3:$F$66,MATCH(RIGHT(Q26,255),RIGHT('Disaggregation Records'!$D$3:$D$66,255),0))),"")</f>
        <v/>
      </c>
      <c r="T26" s="189" t="str">
        <f t="array" ref="T26">IFERROR(IF(INDEX('Disaggregation Records'!$H$3:$H$66,MATCH(RIGHT(Q26,255),RIGHT('Disaggregation Records'!$D$3:$D$66,255),0))=0,"",INDEX('Disaggregation Records'!$H$3:$H$66,MATCH(RIGHT(Q26,255),RIGHT('Disaggregation Records'!$D$3:$D$66,255),0))),"")</f>
        <v/>
      </c>
      <c r="U26" s="189">
        <f t="shared" ref="U26" si="63">U24+1</f>
        <v>1191</v>
      </c>
      <c r="V26" s="189" t="str">
        <f t="array" ref="V26">IFERROR(IF(INDEX('Disaggregation Records'!$I$3:$I$66,MATCH(RIGHT(Q26,255),RIGHT('Disaggregation Records'!$D$3:$D$66,255),0))=0,"",INDEX('Disaggregation Records'!$I$3:$I$66,MATCH(RIGHT(Q26,255),RIGHT('Disaggregation Records'!$D$3:$D$66,255),0))),"")</f>
        <v/>
      </c>
      <c r="W26" s="189" t="str">
        <f>IFERROR(INDEX('Reference Records'!O$3:O$15,MATCH(LEFT(C26,255),'Reference Records'!J$3:J$15,0)),"")</f>
        <v>HIV I-14 Number of new HIV infections per 1000 uninfected population</v>
      </c>
    </row>
    <row r="27" spans="1:23" s="189" customFormat="1" ht="40.200000000000003" customHeight="1" x14ac:dyDescent="0.3">
      <c r="A27" s="678"/>
      <c r="B27" s="675"/>
      <c r="C27" s="667"/>
      <c r="D27" s="677"/>
      <c r="E27" s="677"/>
      <c r="F27" s="202"/>
      <c r="G27" s="669"/>
      <c r="H27" s="671"/>
      <c r="I27" s="673"/>
      <c r="J27" s="652"/>
      <c r="K27" s="667"/>
      <c r="L27" s="667"/>
      <c r="M27" s="652"/>
      <c r="N27" s="652"/>
      <c r="P27" s="190"/>
      <c r="Q27" s="190"/>
      <c r="R27" s="190"/>
      <c r="S27" s="190"/>
      <c r="T27" s="190"/>
      <c r="U27" s="190"/>
      <c r="V27" s="190"/>
      <c r="W27" s="190"/>
    </row>
    <row r="28" spans="1:23" s="189" customFormat="1" ht="40.200000000000003" customHeight="1" x14ac:dyDescent="0.3">
      <c r="A28" s="678" t="str">
        <f t="shared" ca="1" si="7"/>
        <v>a1G3p000003GJ3nEAG</v>
      </c>
      <c r="B28" s="674">
        <v>1</v>
      </c>
      <c r="C28" s="666" t="str">
        <f>IFERROR(VLOOKUP(B28,'Impact Indicators - Section B '!$A$9:$AF$52,32,FALSE),"")</f>
        <v>HIV I-14 Nombre de nouvelles infections par le VIH pour 1000 habitants non infectés</v>
      </c>
      <c r="D28" s="676" t="str">
        <f t="shared" ref="D28" si="64">R28</f>
        <v/>
      </c>
      <c r="E28" s="676" t="str">
        <f t="shared" ref="E28" si="65">S28</f>
        <v/>
      </c>
      <c r="F28" s="194"/>
      <c r="G28" s="668" t="str">
        <f t="shared" ref="G28" ca="1" si="66">IF(OR(INDIRECT("'update Helper'!E"&amp;U28)=0,F28&lt;&gt;0,F29&lt;&gt;0),IF(IFERROR((F28/F29),"")="","",(F28/F29)),INDIRECT("'update Helper'!E"&amp;U28)/100)</f>
        <v/>
      </c>
      <c r="H28" s="670"/>
      <c r="I28" s="672"/>
      <c r="J28" s="651"/>
      <c r="K28" s="666" t="str">
        <f t="shared" ref="K28" si="67">W28</f>
        <v>HIV I-14 Number of new HIV infections per 1000 uninfected population</v>
      </c>
      <c r="L28" s="666" t="str">
        <f t="shared" ref="L28" si="68">V28</f>
        <v/>
      </c>
      <c r="M28" s="651"/>
      <c r="N28" s="651"/>
      <c r="P28" s="189">
        <f t="shared" ref="P28" si="69">IF(AND(EXACT(C28,C26),C26&lt;&gt;0),P26+1,0)</f>
        <v>9</v>
      </c>
      <c r="Q28" s="189" t="str">
        <f t="shared" ref="Q28" si="70">IF(C28&lt;&gt;"",C28&amp;"-"&amp;P28,"")</f>
        <v>HIV I-14 Nombre de nouvelles infections par le VIH pour 1000 habitants non infectés-9</v>
      </c>
      <c r="R28" s="189" t="str">
        <f t="array" ref="R28">IFERROR(IF(INDEX('Disaggregation Records'!$E$3:$E$66,MATCH(RIGHT(Q28,255),RIGHT('Disaggregation Records'!$D$3:$D$66,255),0))=0,"",INDEX('Disaggregation Records'!$E$3:$E$66,MATCH(RIGHT(Q28,255),RIGHT('Disaggregation Records'!$D$3:$D$66,255),0))),"")</f>
        <v/>
      </c>
      <c r="S28" s="189" t="str">
        <f t="array" ref="S28">IFERROR(IF(INDEX('Disaggregation Records'!$F$3:$F$66,MATCH(RIGHT(Q28,255),RIGHT('Disaggregation Records'!$D$3:$D$66,255),0))=0,"",INDEX('Disaggregation Records'!$F$3:$F$66,MATCH(RIGHT(Q28,255),RIGHT('Disaggregation Records'!$D$3:$D$66,255),0))),"")</f>
        <v/>
      </c>
      <c r="T28" s="189" t="str">
        <f t="array" ref="T28">IFERROR(IF(INDEX('Disaggregation Records'!$H$3:$H$66,MATCH(RIGHT(Q28,255),RIGHT('Disaggregation Records'!$D$3:$D$66,255),0))=0,"",INDEX('Disaggregation Records'!$H$3:$H$66,MATCH(RIGHT(Q28,255),RIGHT('Disaggregation Records'!$D$3:$D$66,255),0))),"")</f>
        <v/>
      </c>
      <c r="U28" s="189">
        <f t="shared" ref="U28" si="71">U26+1</f>
        <v>1192</v>
      </c>
      <c r="V28" s="189" t="str">
        <f t="array" ref="V28">IFERROR(IF(INDEX('Disaggregation Records'!$I$3:$I$66,MATCH(RIGHT(Q28,255),RIGHT('Disaggregation Records'!$D$3:$D$66,255),0))=0,"",INDEX('Disaggregation Records'!$I$3:$I$66,MATCH(RIGHT(Q28,255),RIGHT('Disaggregation Records'!$D$3:$D$66,255),0))),"")</f>
        <v/>
      </c>
      <c r="W28" s="189" t="str">
        <f>IFERROR(INDEX('Reference Records'!O$3:O$15,MATCH(LEFT(C28,255),'Reference Records'!J$3:J$15,0)),"")</f>
        <v>HIV I-14 Number of new HIV infections per 1000 uninfected population</v>
      </c>
    </row>
    <row r="29" spans="1:23" s="190" customFormat="1" ht="40.200000000000003" customHeight="1" x14ac:dyDescent="0.3">
      <c r="A29" s="678"/>
      <c r="B29" s="675"/>
      <c r="C29" s="667"/>
      <c r="D29" s="677"/>
      <c r="E29" s="677"/>
      <c r="F29" s="202"/>
      <c r="G29" s="669"/>
      <c r="H29" s="671"/>
      <c r="I29" s="673"/>
      <c r="J29" s="652"/>
      <c r="K29" s="667"/>
      <c r="L29" s="667"/>
      <c r="M29" s="652"/>
      <c r="N29" s="652"/>
    </row>
    <row r="30" spans="1:23" s="189" customFormat="1" ht="40.200000000000003" customHeight="1" x14ac:dyDescent="0.3">
      <c r="A30" s="678" t="str">
        <f t="shared" ca="1" si="7"/>
        <v>a1G3p000003GJ3oEAG</v>
      </c>
      <c r="B30" s="674">
        <v>2</v>
      </c>
      <c r="C30" s="666" t="str">
        <f>IFERROR(VLOOKUP(B30,'Impact Indicators - Section B '!$A$9:$AF$52,32,FALSE),"")</f>
        <v>HIV I-4 Nombre de décès liés au sida pour 100,000 habitants</v>
      </c>
      <c r="D30" s="676" t="str">
        <f t="shared" ref="D30" si="72">R30</f>
        <v>Sexe | Age</v>
      </c>
      <c r="E30" s="676" t="str">
        <f t="shared" ref="E30" si="73">S30</f>
        <v>Femme 20-24</v>
      </c>
      <c r="F30" s="194"/>
      <c r="G30" s="668" t="str">
        <f t="shared" ref="G30" ca="1" si="74">IF(OR(INDIRECT("'update Helper'!E"&amp;U30)=0,F30&lt;&gt;0,F31&lt;&gt;0),IF(IFERROR((F30/F31),"")="","",(F30/F31)),INDIRECT("'update Helper'!E"&amp;U30)/100)</f>
        <v/>
      </c>
      <c r="H30" s="670"/>
      <c r="I30" s="672"/>
      <c r="J30" s="651" t="s">
        <v>8112</v>
      </c>
      <c r="K30" s="666" t="str">
        <f t="shared" ref="K30" si="75">W30</f>
        <v>HIV I-4 Number of AIDS-related deaths per 100,000 population</v>
      </c>
      <c r="L30" s="666" t="str">
        <f t="shared" ref="L30" si="76">V30</f>
        <v>Gender | Age</v>
      </c>
      <c r="M30" s="651"/>
      <c r="N30" s="651" t="s">
        <v>8111</v>
      </c>
      <c r="P30" s="189">
        <f t="shared" ref="P30" si="77">IF(AND(EXACT(C30,C28),C28&lt;&gt;0),P28+1,0)</f>
        <v>0</v>
      </c>
      <c r="Q30" s="189" t="str">
        <f t="shared" ref="Q30" si="78">IF(C30&lt;&gt;"",C30&amp;"-"&amp;P30,"")</f>
        <v>HIV I-4 Nombre de décès liés au sida pour 100,000 habitants-0</v>
      </c>
      <c r="R30" s="189" t="str">
        <f t="array" ref="R30">IFERROR(IF(INDEX('Disaggregation Records'!$E$3:$E$66,MATCH(RIGHT(Q30,255),RIGHT('Disaggregation Records'!$D$3:$D$66,255),0))=0,"",INDEX('Disaggregation Records'!$E$3:$E$66,MATCH(RIGHT(Q30,255),RIGHT('Disaggregation Records'!$D$3:$D$66,255),0))),"")</f>
        <v>Sexe | Age</v>
      </c>
      <c r="S30" s="189" t="str">
        <f t="array" ref="S30">IFERROR(IF(INDEX('Disaggregation Records'!$F$3:$F$66,MATCH(RIGHT(Q30,255),RIGHT('Disaggregation Records'!$D$3:$D$66,255),0))=0,"",INDEX('Disaggregation Records'!$F$3:$F$66,MATCH(RIGHT(Q30,255),RIGHT('Disaggregation Records'!$D$3:$D$66,255),0))),"")</f>
        <v>Femme 20-24</v>
      </c>
      <c r="T30" s="189" t="str">
        <f t="array" ref="T30">IFERROR(IF(INDEX('Disaggregation Records'!$H$3:$H$66,MATCH(RIGHT(Q30,255),RIGHT('Disaggregation Records'!$D$3:$D$66,255),0))=0,"",INDEX('Disaggregation Records'!$H$3:$H$66,MATCH(RIGHT(Q30,255),RIGHT('Disaggregation Records'!$D$3:$D$66,255),0))),"")</f>
        <v>IDR-00883</v>
      </c>
      <c r="U30" s="189">
        <f t="shared" ref="U30" si="79">U28+1</f>
        <v>1193</v>
      </c>
      <c r="V30" s="189" t="str">
        <f t="array" ref="V30">IFERROR(IF(INDEX('Disaggregation Records'!$I$3:$I$66,MATCH(RIGHT(Q30,255),RIGHT('Disaggregation Records'!$D$3:$D$66,255),0))=0,"",INDEX('Disaggregation Records'!$I$3:$I$66,MATCH(RIGHT(Q30,255),RIGHT('Disaggregation Records'!$D$3:$D$66,255),0))),"")</f>
        <v>Gender | Age</v>
      </c>
      <c r="W30" s="189" t="str">
        <f>IFERROR(INDEX('Reference Records'!O$3:O$15,MATCH(LEFT(C30,255),'Reference Records'!J$3:J$15,0)),"")</f>
        <v>HIV I-4 Number of AIDS-related deaths per 100,000 population</v>
      </c>
    </row>
    <row r="31" spans="1:23" s="190" customFormat="1" ht="40.200000000000003" customHeight="1" x14ac:dyDescent="0.3">
      <c r="A31" s="678"/>
      <c r="B31" s="675"/>
      <c r="C31" s="667"/>
      <c r="D31" s="677"/>
      <c r="E31" s="677"/>
      <c r="F31" s="202"/>
      <c r="G31" s="669"/>
      <c r="H31" s="671"/>
      <c r="I31" s="673"/>
      <c r="J31" s="652"/>
      <c r="K31" s="667"/>
      <c r="L31" s="667"/>
      <c r="M31" s="652"/>
      <c r="N31" s="652"/>
    </row>
    <row r="32" spans="1:23" s="189" customFormat="1" ht="40.200000000000003" customHeight="1" x14ac:dyDescent="0.3">
      <c r="A32" s="678" t="str">
        <f t="shared" ca="1" si="7"/>
        <v>a1G3p000003GJ3pEAG</v>
      </c>
      <c r="B32" s="674">
        <v>2</v>
      </c>
      <c r="C32" s="666" t="str">
        <f>IFERROR(VLOOKUP(B32,'Impact Indicators - Section B '!$A$9:$AF$52,32,FALSE),"")</f>
        <v>HIV I-4 Nombre de décès liés au sida pour 100,000 habitants</v>
      </c>
      <c r="D32" s="676" t="str">
        <f t="shared" ref="D32" si="80">R32</f>
        <v>Sexe | Age</v>
      </c>
      <c r="E32" s="676" t="str">
        <f t="shared" ref="E32" si="81">S32</f>
        <v>Homme 20-24</v>
      </c>
      <c r="F32" s="194"/>
      <c r="G32" s="668" t="str">
        <f t="shared" ref="G32" ca="1" si="82">IF(OR(INDIRECT("'update Helper'!E"&amp;U32)=0,F32&lt;&gt;0,F33&lt;&gt;0),IF(IFERROR((F32/F33),"")="","",(F32/F33)),INDIRECT("'update Helper'!E"&amp;U32)/100)</f>
        <v/>
      </c>
      <c r="H32" s="670"/>
      <c r="I32" s="672"/>
      <c r="J32" s="651" t="s">
        <v>8112</v>
      </c>
      <c r="K32" s="666" t="str">
        <f t="shared" ref="K32" si="83">W32</f>
        <v>HIV I-4 Number of AIDS-related deaths per 100,000 population</v>
      </c>
      <c r="L32" s="666" t="str">
        <f t="shared" ref="L32" si="84">V32</f>
        <v>Gender | Age</v>
      </c>
      <c r="M32" s="651"/>
      <c r="N32" s="651" t="s">
        <v>8111</v>
      </c>
      <c r="P32" s="189">
        <f t="shared" ref="P32" si="85">IF(AND(EXACT(C32,C30),C30&lt;&gt;0),P30+1,0)</f>
        <v>1</v>
      </c>
      <c r="Q32" s="189" t="str">
        <f t="shared" ref="Q32" si="86">IF(C32&lt;&gt;"",C32&amp;"-"&amp;P32,"")</f>
        <v>HIV I-4 Nombre de décès liés au sida pour 100,000 habitants-1</v>
      </c>
      <c r="R32" s="189" t="str">
        <f t="array" ref="R32">IFERROR(IF(INDEX('Disaggregation Records'!$E$3:$E$66,MATCH(RIGHT(Q32,255),RIGHT('Disaggregation Records'!$D$3:$D$66,255),0))=0,"",INDEX('Disaggregation Records'!$E$3:$E$66,MATCH(RIGHT(Q32,255),RIGHT('Disaggregation Records'!$D$3:$D$66,255),0))),"")</f>
        <v>Sexe | Age</v>
      </c>
      <c r="S32" s="189" t="str">
        <f t="array" ref="S32">IFERROR(IF(INDEX('Disaggregation Records'!$F$3:$F$66,MATCH(RIGHT(Q32,255),RIGHT('Disaggregation Records'!$D$3:$D$66,255),0))=0,"",INDEX('Disaggregation Records'!$F$3:$F$66,MATCH(RIGHT(Q32,255),RIGHT('Disaggregation Records'!$D$3:$D$66,255),0))),"")</f>
        <v>Homme 20-24</v>
      </c>
      <c r="T32" s="189" t="str">
        <f t="array" ref="T32">IFERROR(IF(INDEX('Disaggregation Records'!$H$3:$H$66,MATCH(RIGHT(Q32,255),RIGHT('Disaggregation Records'!$D$3:$D$66,255),0))=0,"",INDEX('Disaggregation Records'!$H$3:$H$66,MATCH(RIGHT(Q32,255),RIGHT('Disaggregation Records'!$D$3:$D$66,255),0))),"")</f>
        <v>IDR-00882</v>
      </c>
      <c r="U32" s="189">
        <f t="shared" ref="U32" si="87">U30+1</f>
        <v>1194</v>
      </c>
      <c r="V32" s="189" t="str">
        <f t="array" ref="V32">IFERROR(IF(INDEX('Disaggregation Records'!$I$3:$I$66,MATCH(RIGHT(Q32,255),RIGHT('Disaggregation Records'!$D$3:$D$66,255),0))=0,"",INDEX('Disaggregation Records'!$I$3:$I$66,MATCH(RIGHT(Q32,255),RIGHT('Disaggregation Records'!$D$3:$D$66,255),0))),"")</f>
        <v>Gender | Age</v>
      </c>
      <c r="W32" s="189" t="str">
        <f>IFERROR(INDEX('Reference Records'!O$3:O$15,MATCH(LEFT(C32,255),'Reference Records'!J$3:J$15,0)),"")</f>
        <v>HIV I-4 Number of AIDS-related deaths per 100,000 population</v>
      </c>
    </row>
    <row r="33" spans="1:23" s="189" customFormat="1" ht="40.200000000000003" customHeight="1" x14ac:dyDescent="0.3">
      <c r="A33" s="678"/>
      <c r="B33" s="675"/>
      <c r="C33" s="667"/>
      <c r="D33" s="677"/>
      <c r="E33" s="677"/>
      <c r="F33" s="202"/>
      <c r="G33" s="669"/>
      <c r="H33" s="671"/>
      <c r="I33" s="673"/>
      <c r="J33" s="652"/>
      <c r="K33" s="667"/>
      <c r="L33" s="667"/>
      <c r="M33" s="652"/>
      <c r="N33" s="652"/>
      <c r="P33" s="190"/>
      <c r="Q33" s="190"/>
      <c r="R33" s="190"/>
      <c r="S33" s="190"/>
      <c r="T33" s="190"/>
      <c r="U33" s="190"/>
      <c r="V33" s="190"/>
      <c r="W33" s="190"/>
    </row>
    <row r="34" spans="1:23" s="189" customFormat="1" ht="40.200000000000003" customHeight="1" x14ac:dyDescent="0.3">
      <c r="A34" s="678" t="str">
        <f t="shared" ca="1" si="7"/>
        <v>a1G3p000003GJ3qEAG</v>
      </c>
      <c r="B34" s="674">
        <v>2</v>
      </c>
      <c r="C34" s="666" t="str">
        <f>IFERROR(VLOOKUP(B34,'Impact Indicators - Section B '!$A$9:$AF$52,32,FALSE),"")</f>
        <v>HIV I-4 Nombre de décès liés au sida pour 100,000 habitants</v>
      </c>
      <c r="D34" s="676" t="str">
        <f t="shared" ref="D34" si="88">R34</f>
        <v>Sexe | Age</v>
      </c>
      <c r="E34" s="676" t="str">
        <f t="shared" ref="E34" si="89">S34</f>
        <v>Femme 15-19</v>
      </c>
      <c r="F34" s="194"/>
      <c r="G34" s="668" t="str">
        <f t="shared" ref="G34" ca="1" si="90">IF(OR(INDIRECT("'update Helper'!E"&amp;U34)=0,F34&lt;&gt;0,F35&lt;&gt;0),IF(IFERROR((F34/F35),"")="","",(F34/F35)),INDIRECT("'update Helper'!E"&amp;U34)/100)</f>
        <v/>
      </c>
      <c r="H34" s="670"/>
      <c r="I34" s="672"/>
      <c r="J34" s="651" t="s">
        <v>8112</v>
      </c>
      <c r="K34" s="666" t="str">
        <f t="shared" ref="K34" si="91">W34</f>
        <v>HIV I-4 Number of AIDS-related deaths per 100,000 population</v>
      </c>
      <c r="L34" s="666" t="str">
        <f t="shared" ref="L34" si="92">V34</f>
        <v>Gender | Age</v>
      </c>
      <c r="M34" s="651"/>
      <c r="N34" s="651" t="s">
        <v>8111</v>
      </c>
      <c r="P34" s="189">
        <f t="shared" ref="P34" si="93">IF(AND(EXACT(C34,C32),C32&lt;&gt;0),P32+1,0)</f>
        <v>2</v>
      </c>
      <c r="Q34" s="189" t="str">
        <f t="shared" ref="Q34" si="94">IF(C34&lt;&gt;"",C34&amp;"-"&amp;P34,"")</f>
        <v>HIV I-4 Nombre de décès liés au sida pour 100,000 habitants-2</v>
      </c>
      <c r="R34" s="189" t="str">
        <f t="array" ref="R34">IFERROR(IF(INDEX('Disaggregation Records'!$E$3:$E$66,MATCH(RIGHT(Q34,255),RIGHT('Disaggregation Records'!$D$3:$D$66,255),0))=0,"",INDEX('Disaggregation Records'!$E$3:$E$66,MATCH(RIGHT(Q34,255),RIGHT('Disaggregation Records'!$D$3:$D$66,255),0))),"")</f>
        <v>Sexe | Age</v>
      </c>
      <c r="S34" s="189" t="str">
        <f t="array" ref="S34">IFERROR(IF(INDEX('Disaggregation Records'!$F$3:$F$66,MATCH(RIGHT(Q34,255),RIGHT('Disaggregation Records'!$D$3:$D$66,255),0))=0,"",INDEX('Disaggregation Records'!$F$3:$F$66,MATCH(RIGHT(Q34,255),RIGHT('Disaggregation Records'!$D$3:$D$66,255),0))),"")</f>
        <v>Femme 15-19</v>
      </c>
      <c r="T34" s="189" t="str">
        <f t="array" ref="T34">IFERROR(IF(INDEX('Disaggregation Records'!$H$3:$H$66,MATCH(RIGHT(Q34,255),RIGHT('Disaggregation Records'!$D$3:$D$66,255),0))=0,"",INDEX('Disaggregation Records'!$H$3:$H$66,MATCH(RIGHT(Q34,255),RIGHT('Disaggregation Records'!$D$3:$D$66,255),0))),"")</f>
        <v>IDR-00881</v>
      </c>
      <c r="U34" s="189">
        <f t="shared" ref="U34" si="95">U32+1</f>
        <v>1195</v>
      </c>
      <c r="V34" s="189" t="str">
        <f t="array" ref="V34">IFERROR(IF(INDEX('Disaggregation Records'!$I$3:$I$66,MATCH(RIGHT(Q34,255),RIGHT('Disaggregation Records'!$D$3:$D$66,255),0))=0,"",INDEX('Disaggregation Records'!$I$3:$I$66,MATCH(RIGHT(Q34,255),RIGHT('Disaggregation Records'!$D$3:$D$66,255),0))),"")</f>
        <v>Gender | Age</v>
      </c>
      <c r="W34" s="189" t="str">
        <f>IFERROR(INDEX('Reference Records'!O$3:O$15,MATCH(LEFT(C34,255),'Reference Records'!J$3:J$15,0)),"")</f>
        <v>HIV I-4 Number of AIDS-related deaths per 100,000 population</v>
      </c>
    </row>
    <row r="35" spans="1:23" s="190" customFormat="1" ht="40.200000000000003" customHeight="1" x14ac:dyDescent="0.3">
      <c r="A35" s="678"/>
      <c r="B35" s="675"/>
      <c r="C35" s="667"/>
      <c r="D35" s="677"/>
      <c r="E35" s="677"/>
      <c r="F35" s="202"/>
      <c r="G35" s="669"/>
      <c r="H35" s="671"/>
      <c r="I35" s="673"/>
      <c r="J35" s="652"/>
      <c r="K35" s="667"/>
      <c r="L35" s="667"/>
      <c r="M35" s="652"/>
      <c r="N35" s="652"/>
    </row>
    <row r="36" spans="1:23" s="189" customFormat="1" ht="40.200000000000003" customHeight="1" x14ac:dyDescent="0.3">
      <c r="A36" s="678" t="str">
        <f t="shared" ca="1" si="7"/>
        <v>a1G3p000003GJ3rEAG</v>
      </c>
      <c r="B36" s="674">
        <v>2</v>
      </c>
      <c r="C36" s="666" t="str">
        <f>IFERROR(VLOOKUP(B36,'Impact Indicators - Section B '!$A$9:$AF$52,32,FALSE),"")</f>
        <v>HIV I-4 Nombre de décès liés au sida pour 100,000 habitants</v>
      </c>
      <c r="D36" s="676" t="str">
        <f t="shared" ref="D36" si="96">R36</f>
        <v>Sexe | Age</v>
      </c>
      <c r="E36" s="676" t="str">
        <f t="shared" ref="E36" si="97">S36</f>
        <v>Homme 15-19</v>
      </c>
      <c r="F36" s="194"/>
      <c r="G36" s="668" t="str">
        <f t="shared" ref="G36" ca="1" si="98">IF(OR(INDIRECT("'update Helper'!E"&amp;U36)=0,F36&lt;&gt;0,F37&lt;&gt;0),IF(IFERROR((F36/F37),"")="","",(F36/F37)),INDIRECT("'update Helper'!E"&amp;U36)/100)</f>
        <v/>
      </c>
      <c r="H36" s="670"/>
      <c r="I36" s="672"/>
      <c r="J36" s="651" t="s">
        <v>8112</v>
      </c>
      <c r="K36" s="666" t="str">
        <f t="shared" ref="K36" si="99">W36</f>
        <v>HIV I-4 Number of AIDS-related deaths per 100,000 population</v>
      </c>
      <c r="L36" s="666" t="str">
        <f t="shared" ref="L36" si="100">V36</f>
        <v>Gender | Age</v>
      </c>
      <c r="M36" s="651"/>
      <c r="N36" s="651" t="s">
        <v>8111</v>
      </c>
      <c r="P36" s="189">
        <f t="shared" ref="P36" si="101">IF(AND(EXACT(C36,C34),C34&lt;&gt;0),P34+1,0)</f>
        <v>3</v>
      </c>
      <c r="Q36" s="189" t="str">
        <f t="shared" ref="Q36" si="102">IF(C36&lt;&gt;"",C36&amp;"-"&amp;P36,"")</f>
        <v>HIV I-4 Nombre de décès liés au sida pour 100,000 habitants-3</v>
      </c>
      <c r="R36" s="189" t="str">
        <f t="array" ref="R36">IFERROR(IF(INDEX('Disaggregation Records'!$E$3:$E$66,MATCH(RIGHT(Q36,255),RIGHT('Disaggregation Records'!$D$3:$D$66,255),0))=0,"",INDEX('Disaggregation Records'!$E$3:$E$66,MATCH(RIGHT(Q36,255),RIGHT('Disaggregation Records'!$D$3:$D$66,255),0))),"")</f>
        <v>Sexe | Age</v>
      </c>
      <c r="S36" s="189" t="str">
        <f t="array" ref="S36">IFERROR(IF(INDEX('Disaggregation Records'!$F$3:$F$66,MATCH(RIGHT(Q36,255),RIGHT('Disaggregation Records'!$D$3:$D$66,255),0))=0,"",INDEX('Disaggregation Records'!$F$3:$F$66,MATCH(RIGHT(Q36,255),RIGHT('Disaggregation Records'!$D$3:$D$66,255),0))),"")</f>
        <v>Homme 15-19</v>
      </c>
      <c r="T36" s="189" t="str">
        <f t="array" ref="T36">IFERROR(IF(INDEX('Disaggregation Records'!$H$3:$H$66,MATCH(RIGHT(Q36,255),RIGHT('Disaggregation Records'!$D$3:$D$66,255),0))=0,"",INDEX('Disaggregation Records'!$H$3:$H$66,MATCH(RIGHT(Q36,255),RIGHT('Disaggregation Records'!$D$3:$D$66,255),0))),"")</f>
        <v>IDR-00880</v>
      </c>
      <c r="U36" s="189">
        <f t="shared" ref="U36" si="103">U34+1</f>
        <v>1196</v>
      </c>
      <c r="V36" s="189" t="str">
        <f t="array" ref="V36">IFERROR(IF(INDEX('Disaggregation Records'!$I$3:$I$66,MATCH(RIGHT(Q36,255),RIGHT('Disaggregation Records'!$D$3:$D$66,255),0))=0,"",INDEX('Disaggregation Records'!$I$3:$I$66,MATCH(RIGHT(Q36,255),RIGHT('Disaggregation Records'!$D$3:$D$66,255),0))),"")</f>
        <v>Gender | Age</v>
      </c>
      <c r="W36" s="189" t="str">
        <f>IFERROR(INDEX('Reference Records'!O$3:O$15,MATCH(LEFT(C36,255),'Reference Records'!J$3:J$15,0)),"")</f>
        <v>HIV I-4 Number of AIDS-related deaths per 100,000 population</v>
      </c>
    </row>
    <row r="37" spans="1:23" s="190" customFormat="1" ht="40.200000000000003" customHeight="1" x14ac:dyDescent="0.3">
      <c r="A37" s="678"/>
      <c r="B37" s="675"/>
      <c r="C37" s="667"/>
      <c r="D37" s="677"/>
      <c r="E37" s="677"/>
      <c r="F37" s="202"/>
      <c r="G37" s="669"/>
      <c r="H37" s="671"/>
      <c r="I37" s="673"/>
      <c r="J37" s="652"/>
      <c r="K37" s="667"/>
      <c r="L37" s="667"/>
      <c r="M37" s="652"/>
      <c r="N37" s="652"/>
    </row>
    <row r="38" spans="1:23" s="189" customFormat="1" ht="40.200000000000003" customHeight="1" x14ac:dyDescent="0.3">
      <c r="A38" s="678" t="str">
        <f t="shared" ca="1" si="7"/>
        <v>a1G3p000003GJ3sEAG</v>
      </c>
      <c r="B38" s="674">
        <v>2</v>
      </c>
      <c r="C38" s="666" t="str">
        <f>IFERROR(VLOOKUP(B38,'Impact Indicators - Section B '!$A$9:$AF$52,32,FALSE),"")</f>
        <v>HIV I-4 Nombre de décès liés au sida pour 100,000 habitants</v>
      </c>
      <c r="D38" s="676" t="str">
        <f t="shared" ref="D38" si="104">R38</f>
        <v>Sexe</v>
      </c>
      <c r="E38" s="676" t="str">
        <f t="shared" ref="E38" si="105">S38</f>
        <v>Femme</v>
      </c>
      <c r="F38" s="194"/>
      <c r="G38" s="668" t="str">
        <f t="shared" ref="G38" ca="1" si="106">IF(OR(INDIRECT("'update Helper'!E"&amp;U38)=0,F38&lt;&gt;0,F39&lt;&gt;0),IF(IFERROR((F38/F39),"")="","",(F38/F39)),INDIRECT("'update Helper'!E"&amp;U38)/100)</f>
        <v/>
      </c>
      <c r="H38" s="670"/>
      <c r="I38" s="672"/>
      <c r="J38" s="651" t="s">
        <v>8112</v>
      </c>
      <c r="K38" s="666" t="str">
        <f t="shared" ref="K38" si="107">W38</f>
        <v>HIV I-4 Number of AIDS-related deaths per 100,000 population</v>
      </c>
      <c r="L38" s="666" t="str">
        <f t="shared" ref="L38" si="108">V38</f>
        <v>Gender</v>
      </c>
      <c r="M38" s="651"/>
      <c r="N38" s="651" t="s">
        <v>8111</v>
      </c>
      <c r="P38" s="189">
        <f t="shared" ref="P38" si="109">IF(AND(EXACT(C38,C36),C36&lt;&gt;0),P36+1,0)</f>
        <v>4</v>
      </c>
      <c r="Q38" s="189" t="str">
        <f t="shared" ref="Q38" si="110">IF(C38&lt;&gt;"",C38&amp;"-"&amp;P38,"")</f>
        <v>HIV I-4 Nombre de décès liés au sida pour 100,000 habitants-4</v>
      </c>
      <c r="R38" s="189" t="str">
        <f t="array" ref="R38">IFERROR(IF(INDEX('Disaggregation Records'!$E$3:$E$66,MATCH(RIGHT(Q38,255),RIGHT('Disaggregation Records'!$D$3:$D$66,255),0))=0,"",INDEX('Disaggregation Records'!$E$3:$E$66,MATCH(RIGHT(Q38,255),RIGHT('Disaggregation Records'!$D$3:$D$66,255),0))),"")</f>
        <v>Sexe</v>
      </c>
      <c r="S38" s="189" t="str">
        <f t="array" ref="S38">IFERROR(IF(INDEX('Disaggregation Records'!$F$3:$F$66,MATCH(RIGHT(Q38,255),RIGHT('Disaggregation Records'!$D$3:$D$66,255),0))=0,"",INDEX('Disaggregation Records'!$F$3:$F$66,MATCH(RIGHT(Q38,255),RIGHT('Disaggregation Records'!$D$3:$D$66,255),0))),"")</f>
        <v>Femme</v>
      </c>
      <c r="T38" s="189" t="str">
        <f t="array" ref="T38">IFERROR(IF(INDEX('Disaggregation Records'!$H$3:$H$66,MATCH(RIGHT(Q38,255),RIGHT('Disaggregation Records'!$D$3:$D$66,255),0))=0,"",INDEX('Disaggregation Records'!$H$3:$H$66,MATCH(RIGHT(Q38,255),RIGHT('Disaggregation Records'!$D$3:$D$66,255),0))),"")</f>
        <v>IDR-00773</v>
      </c>
      <c r="U38" s="189">
        <f t="shared" ref="U38" si="111">U36+1</f>
        <v>1197</v>
      </c>
      <c r="V38" s="189" t="str">
        <f t="array" ref="V38">IFERROR(IF(INDEX('Disaggregation Records'!$I$3:$I$66,MATCH(RIGHT(Q38,255),RIGHT('Disaggregation Records'!$D$3:$D$66,255),0))=0,"",INDEX('Disaggregation Records'!$I$3:$I$66,MATCH(RIGHT(Q38,255),RIGHT('Disaggregation Records'!$D$3:$D$66,255),0))),"")</f>
        <v>Gender</v>
      </c>
      <c r="W38" s="189" t="str">
        <f>IFERROR(INDEX('Reference Records'!O$3:O$15,MATCH(LEFT(C38,255),'Reference Records'!J$3:J$15,0)),"")</f>
        <v>HIV I-4 Number of AIDS-related deaths per 100,000 population</v>
      </c>
    </row>
    <row r="39" spans="1:23" s="189" customFormat="1" ht="40.200000000000003" customHeight="1" x14ac:dyDescent="0.3">
      <c r="A39" s="678"/>
      <c r="B39" s="675"/>
      <c r="C39" s="667"/>
      <c r="D39" s="677"/>
      <c r="E39" s="677"/>
      <c r="F39" s="202"/>
      <c r="G39" s="669"/>
      <c r="H39" s="671"/>
      <c r="I39" s="673"/>
      <c r="J39" s="652"/>
      <c r="K39" s="667"/>
      <c r="L39" s="667"/>
      <c r="M39" s="652"/>
      <c r="N39" s="652"/>
      <c r="P39" s="190"/>
      <c r="Q39" s="190"/>
      <c r="R39" s="190"/>
      <c r="S39" s="190"/>
      <c r="T39" s="190"/>
      <c r="U39" s="190"/>
      <c r="V39" s="190"/>
      <c r="W39" s="190"/>
    </row>
    <row r="40" spans="1:23" s="189" customFormat="1" ht="40.200000000000003" customHeight="1" x14ac:dyDescent="0.3">
      <c r="A40" s="678" t="str">
        <f t="shared" ca="1" si="7"/>
        <v>a1G3p000003GJ3tEAG</v>
      </c>
      <c r="B40" s="674">
        <v>2</v>
      </c>
      <c r="C40" s="666" t="str">
        <f>IFERROR(VLOOKUP(B40,'Impact Indicators - Section B '!$A$9:$AF$52,32,FALSE),"")</f>
        <v>HIV I-4 Nombre de décès liés au sida pour 100,000 habitants</v>
      </c>
      <c r="D40" s="676" t="str">
        <f t="shared" ref="D40" si="112">R40</f>
        <v>Sexe</v>
      </c>
      <c r="E40" s="676" t="str">
        <f t="shared" ref="E40" si="113">S40</f>
        <v>Homme</v>
      </c>
      <c r="F40" s="194"/>
      <c r="G40" s="668" t="str">
        <f t="shared" ref="G40" ca="1" si="114">IF(OR(INDIRECT("'update Helper'!E"&amp;U40)=0,F40&lt;&gt;0,F41&lt;&gt;0),IF(IFERROR((F40/F41),"")="","",(F40/F41)),INDIRECT("'update Helper'!E"&amp;U40)/100)</f>
        <v/>
      </c>
      <c r="H40" s="670"/>
      <c r="I40" s="672"/>
      <c r="J40" s="651" t="s">
        <v>8112</v>
      </c>
      <c r="K40" s="666" t="str">
        <f t="shared" ref="K40" si="115">W40</f>
        <v>HIV I-4 Number of AIDS-related deaths per 100,000 population</v>
      </c>
      <c r="L40" s="666" t="str">
        <f t="shared" ref="L40" si="116">V40</f>
        <v>Gender</v>
      </c>
      <c r="M40" s="651"/>
      <c r="N40" s="651" t="s">
        <v>8111</v>
      </c>
      <c r="P40" s="189">
        <f t="shared" ref="P40" si="117">IF(AND(EXACT(C40,C38),C38&lt;&gt;0),P38+1,0)</f>
        <v>5</v>
      </c>
      <c r="Q40" s="189" t="str">
        <f t="shared" ref="Q40" si="118">IF(C40&lt;&gt;"",C40&amp;"-"&amp;P40,"")</f>
        <v>HIV I-4 Nombre de décès liés au sida pour 100,000 habitants-5</v>
      </c>
      <c r="R40" s="189" t="str">
        <f t="array" ref="R40">IFERROR(IF(INDEX('Disaggregation Records'!$E$3:$E$66,MATCH(RIGHT(Q40,255),RIGHT('Disaggregation Records'!$D$3:$D$66,255),0))=0,"",INDEX('Disaggregation Records'!$E$3:$E$66,MATCH(RIGHT(Q40,255),RIGHT('Disaggregation Records'!$D$3:$D$66,255),0))),"")</f>
        <v>Sexe</v>
      </c>
      <c r="S40" s="189" t="str">
        <f t="array" ref="S40">IFERROR(IF(INDEX('Disaggregation Records'!$F$3:$F$66,MATCH(RIGHT(Q40,255),RIGHT('Disaggregation Records'!$D$3:$D$66,255),0))=0,"",INDEX('Disaggregation Records'!$F$3:$F$66,MATCH(RIGHT(Q40,255),RIGHT('Disaggregation Records'!$D$3:$D$66,255),0))),"")</f>
        <v>Homme</v>
      </c>
      <c r="T40" s="189" t="str">
        <f t="array" ref="T40">IFERROR(IF(INDEX('Disaggregation Records'!$H$3:$H$66,MATCH(RIGHT(Q40,255),RIGHT('Disaggregation Records'!$D$3:$D$66,255),0))=0,"",INDEX('Disaggregation Records'!$H$3:$H$66,MATCH(RIGHT(Q40,255),RIGHT('Disaggregation Records'!$D$3:$D$66,255),0))),"")</f>
        <v>IDR-00772</v>
      </c>
      <c r="U40" s="189">
        <f t="shared" ref="U40" si="119">U38+1</f>
        <v>1198</v>
      </c>
      <c r="V40" s="189" t="str">
        <f t="array" ref="V40">IFERROR(IF(INDEX('Disaggregation Records'!$I$3:$I$66,MATCH(RIGHT(Q40,255),RIGHT('Disaggregation Records'!$D$3:$D$66,255),0))=0,"",INDEX('Disaggregation Records'!$I$3:$I$66,MATCH(RIGHT(Q40,255),RIGHT('Disaggregation Records'!$D$3:$D$66,255),0))),"")</f>
        <v>Gender</v>
      </c>
      <c r="W40" s="189" t="str">
        <f>IFERROR(INDEX('Reference Records'!O$3:O$15,MATCH(LEFT(C40,255),'Reference Records'!J$3:J$15,0)),"")</f>
        <v>HIV I-4 Number of AIDS-related deaths per 100,000 population</v>
      </c>
    </row>
    <row r="41" spans="1:23" s="190" customFormat="1" ht="40.200000000000003" customHeight="1" x14ac:dyDescent="0.3">
      <c r="A41" s="678"/>
      <c r="B41" s="675"/>
      <c r="C41" s="667"/>
      <c r="D41" s="677"/>
      <c r="E41" s="677"/>
      <c r="F41" s="202"/>
      <c r="G41" s="669"/>
      <c r="H41" s="671"/>
      <c r="I41" s="673"/>
      <c r="J41" s="652"/>
      <c r="K41" s="667"/>
      <c r="L41" s="667"/>
      <c r="M41" s="652"/>
      <c r="N41" s="652"/>
    </row>
    <row r="42" spans="1:23" s="189" customFormat="1" ht="40.200000000000003" customHeight="1" x14ac:dyDescent="0.3">
      <c r="A42" s="678" t="str">
        <f t="shared" ca="1" si="7"/>
        <v>a1G3p000003GJ3uEAG</v>
      </c>
      <c r="B42" s="674">
        <v>2</v>
      </c>
      <c r="C42" s="666" t="str">
        <f>IFERROR(VLOOKUP(B42,'Impact Indicators - Section B '!$A$9:$AF$52,32,FALSE),"")</f>
        <v>HIV I-4 Nombre de décès liés au sida pour 100,000 habitants</v>
      </c>
      <c r="D42" s="676" t="str">
        <f t="shared" ref="D42" si="120">R42</f>
        <v>Age</v>
      </c>
      <c r="E42" s="676" t="str">
        <f t="shared" ref="E42" si="121">S42</f>
        <v>15+</v>
      </c>
      <c r="F42" s="194"/>
      <c r="G42" s="668" t="str">
        <f t="shared" ref="G42" ca="1" si="122">IF(OR(INDIRECT("'update Helper'!E"&amp;U42)=0,F42&lt;&gt;0,F43&lt;&gt;0),IF(IFERROR((F42/F43),"")="","",(F42/F43)),INDIRECT("'update Helper'!E"&amp;U42)/100)</f>
        <v/>
      </c>
      <c r="H42" s="670"/>
      <c r="I42" s="672"/>
      <c r="J42" s="651" t="s">
        <v>8112</v>
      </c>
      <c r="K42" s="666" t="str">
        <f t="shared" ref="K42" si="123">W42</f>
        <v>HIV I-4 Number of AIDS-related deaths per 100,000 population</v>
      </c>
      <c r="L42" s="666" t="str">
        <f t="shared" ref="L42" si="124">V42</f>
        <v>Age</v>
      </c>
      <c r="M42" s="651"/>
      <c r="N42" s="651" t="s">
        <v>8111</v>
      </c>
      <c r="P42" s="189">
        <f t="shared" ref="P42" si="125">IF(AND(EXACT(C42,C40),C40&lt;&gt;0),P40+1,0)</f>
        <v>6</v>
      </c>
      <c r="Q42" s="189" t="str">
        <f t="shared" ref="Q42" si="126">IF(C42&lt;&gt;"",C42&amp;"-"&amp;P42,"")</f>
        <v>HIV I-4 Nombre de décès liés au sida pour 100,000 habitants-6</v>
      </c>
      <c r="R42" s="189" t="str">
        <f t="array" ref="R42">IFERROR(IF(INDEX('Disaggregation Records'!$E$3:$E$66,MATCH(RIGHT(Q42,255),RIGHT('Disaggregation Records'!$D$3:$D$66,255),0))=0,"",INDEX('Disaggregation Records'!$E$3:$E$66,MATCH(RIGHT(Q42,255),RIGHT('Disaggregation Records'!$D$3:$D$66,255),0))),"")</f>
        <v>Age</v>
      </c>
      <c r="S42" s="189" t="str">
        <f t="array" ref="S42">IFERROR(IF(INDEX('Disaggregation Records'!$F$3:$F$66,MATCH(RIGHT(Q42,255),RIGHT('Disaggregation Records'!$D$3:$D$66,255),0))=0,"",INDEX('Disaggregation Records'!$F$3:$F$66,MATCH(RIGHT(Q42,255),RIGHT('Disaggregation Records'!$D$3:$D$66,255),0))),"")</f>
        <v>15+</v>
      </c>
      <c r="T42" s="189" t="str">
        <f t="array" ref="T42">IFERROR(IF(INDEX('Disaggregation Records'!$H$3:$H$66,MATCH(RIGHT(Q42,255),RIGHT('Disaggregation Records'!$D$3:$D$66,255),0))=0,"",INDEX('Disaggregation Records'!$H$3:$H$66,MATCH(RIGHT(Q42,255),RIGHT('Disaggregation Records'!$D$3:$D$66,255),0))),"")</f>
        <v>IDR-00655</v>
      </c>
      <c r="U42" s="189">
        <f t="shared" ref="U42" si="127">U40+1</f>
        <v>1199</v>
      </c>
      <c r="V42" s="189" t="str">
        <f t="array" ref="V42">IFERROR(IF(INDEX('Disaggregation Records'!$I$3:$I$66,MATCH(RIGHT(Q42,255),RIGHT('Disaggregation Records'!$D$3:$D$66,255),0))=0,"",INDEX('Disaggregation Records'!$I$3:$I$66,MATCH(RIGHT(Q42,255),RIGHT('Disaggregation Records'!$D$3:$D$66,255),0))),"")</f>
        <v>Age</v>
      </c>
      <c r="W42" s="189" t="str">
        <f>IFERROR(INDEX('Reference Records'!O$3:O$15,MATCH(LEFT(C42,255),'Reference Records'!J$3:J$15,0)),"")</f>
        <v>HIV I-4 Number of AIDS-related deaths per 100,000 population</v>
      </c>
    </row>
    <row r="43" spans="1:23" s="190" customFormat="1" ht="40.200000000000003" customHeight="1" x14ac:dyDescent="0.3">
      <c r="A43" s="678"/>
      <c r="B43" s="675"/>
      <c r="C43" s="667"/>
      <c r="D43" s="677"/>
      <c r="E43" s="677"/>
      <c r="F43" s="202"/>
      <c r="G43" s="669"/>
      <c r="H43" s="671"/>
      <c r="I43" s="673"/>
      <c r="J43" s="652"/>
      <c r="K43" s="667"/>
      <c r="L43" s="667"/>
      <c r="M43" s="652"/>
      <c r="N43" s="652"/>
    </row>
    <row r="44" spans="1:23" s="189" customFormat="1" ht="40.200000000000003" customHeight="1" x14ac:dyDescent="0.3">
      <c r="A44" s="678" t="str">
        <f t="shared" ca="1" si="7"/>
        <v>a1G3p000003GJ3vEAG</v>
      </c>
      <c r="B44" s="674">
        <v>2</v>
      </c>
      <c r="C44" s="666" t="str">
        <f>IFERROR(VLOOKUP(B44,'Impact Indicators - Section B '!$A$9:$AF$52,32,FALSE),"")</f>
        <v>HIV I-4 Nombre de décès liés au sida pour 100,000 habitants</v>
      </c>
      <c r="D44" s="676" t="str">
        <f t="shared" ref="D44" si="128">R44</f>
        <v>Age</v>
      </c>
      <c r="E44" s="676" t="str">
        <f t="shared" ref="E44" si="129">S44</f>
        <v>5-14</v>
      </c>
      <c r="F44" s="194"/>
      <c r="G44" s="668" t="str">
        <f t="shared" ref="G44" ca="1" si="130">IF(OR(INDIRECT("'update Helper'!E"&amp;U44)=0,F44&lt;&gt;0,F45&lt;&gt;0),IF(IFERROR((F44/F45),"")="","",(F44/F45)),INDIRECT("'update Helper'!E"&amp;U44)/100)</f>
        <v/>
      </c>
      <c r="H44" s="670"/>
      <c r="I44" s="672"/>
      <c r="J44" s="651" t="s">
        <v>8112</v>
      </c>
      <c r="K44" s="666" t="str">
        <f t="shared" ref="K44" si="131">W44</f>
        <v>HIV I-4 Number of AIDS-related deaths per 100,000 population</v>
      </c>
      <c r="L44" s="666" t="str">
        <f t="shared" ref="L44" si="132">V44</f>
        <v>Age</v>
      </c>
      <c r="M44" s="651"/>
      <c r="N44" s="651" t="s">
        <v>8111</v>
      </c>
      <c r="P44" s="189">
        <f t="shared" ref="P44" si="133">IF(AND(EXACT(C44,C42),C42&lt;&gt;0),P42+1,0)</f>
        <v>7</v>
      </c>
      <c r="Q44" s="189" t="str">
        <f t="shared" ref="Q44" si="134">IF(C44&lt;&gt;"",C44&amp;"-"&amp;P44,"")</f>
        <v>HIV I-4 Nombre de décès liés au sida pour 100,000 habitants-7</v>
      </c>
      <c r="R44" s="189" t="str">
        <f t="array" ref="R44">IFERROR(IF(INDEX('Disaggregation Records'!$E$3:$E$66,MATCH(RIGHT(Q44,255),RIGHT('Disaggregation Records'!$D$3:$D$66,255),0))=0,"",INDEX('Disaggregation Records'!$E$3:$E$66,MATCH(RIGHT(Q44,255),RIGHT('Disaggregation Records'!$D$3:$D$66,255),0))),"")</f>
        <v>Age</v>
      </c>
      <c r="S44" s="189" t="str">
        <f t="array" ref="S44">IFERROR(IF(INDEX('Disaggregation Records'!$F$3:$F$66,MATCH(RIGHT(Q44,255),RIGHT('Disaggregation Records'!$D$3:$D$66,255),0))=0,"",INDEX('Disaggregation Records'!$F$3:$F$66,MATCH(RIGHT(Q44,255),RIGHT('Disaggregation Records'!$D$3:$D$66,255),0))),"")</f>
        <v>5-14</v>
      </c>
      <c r="T44" s="189" t="str">
        <f t="array" ref="T44">IFERROR(IF(INDEX('Disaggregation Records'!$H$3:$H$66,MATCH(RIGHT(Q44,255),RIGHT('Disaggregation Records'!$D$3:$D$66,255),0))=0,"",INDEX('Disaggregation Records'!$H$3:$H$66,MATCH(RIGHT(Q44,255),RIGHT('Disaggregation Records'!$D$3:$D$66,255),0))),"")</f>
        <v>IDR-00654</v>
      </c>
      <c r="U44" s="189">
        <f t="shared" ref="U44" si="135">U42+1</f>
        <v>1200</v>
      </c>
      <c r="V44" s="189" t="str">
        <f t="array" ref="V44">IFERROR(IF(INDEX('Disaggregation Records'!$I$3:$I$66,MATCH(RIGHT(Q44,255),RIGHT('Disaggregation Records'!$D$3:$D$66,255),0))=0,"",INDEX('Disaggregation Records'!$I$3:$I$66,MATCH(RIGHT(Q44,255),RIGHT('Disaggregation Records'!$D$3:$D$66,255),0))),"")</f>
        <v>Age</v>
      </c>
      <c r="W44" s="189" t="str">
        <f>IFERROR(INDEX('Reference Records'!O$3:O$15,MATCH(LEFT(C44,255),'Reference Records'!J$3:J$15,0)),"")</f>
        <v>HIV I-4 Number of AIDS-related deaths per 100,000 population</v>
      </c>
    </row>
    <row r="45" spans="1:23" s="189" customFormat="1" ht="40.200000000000003" customHeight="1" x14ac:dyDescent="0.3">
      <c r="A45" s="678"/>
      <c r="B45" s="675"/>
      <c r="C45" s="667"/>
      <c r="D45" s="677"/>
      <c r="E45" s="677"/>
      <c r="F45" s="202"/>
      <c r="G45" s="669"/>
      <c r="H45" s="671"/>
      <c r="I45" s="673"/>
      <c r="J45" s="652"/>
      <c r="K45" s="667"/>
      <c r="L45" s="667"/>
      <c r="M45" s="652"/>
      <c r="N45" s="652"/>
      <c r="P45" s="190"/>
      <c r="Q45" s="190"/>
      <c r="R45" s="190"/>
      <c r="S45" s="190"/>
      <c r="T45" s="190"/>
      <c r="U45" s="190"/>
      <c r="V45" s="190"/>
      <c r="W45" s="190"/>
    </row>
    <row r="46" spans="1:23" s="189" customFormat="1" ht="40.200000000000003" customHeight="1" x14ac:dyDescent="0.3">
      <c r="A46" s="678" t="str">
        <f t="shared" ca="1" si="7"/>
        <v>a1G3p000003GJ3wEAG</v>
      </c>
      <c r="B46" s="674">
        <v>2</v>
      </c>
      <c r="C46" s="666" t="str">
        <f>IFERROR(VLOOKUP(B46,'Impact Indicators - Section B '!$A$9:$AF$52,32,FALSE),"")</f>
        <v>HIV I-4 Nombre de décès liés au sida pour 100,000 habitants</v>
      </c>
      <c r="D46" s="676" t="str">
        <f t="shared" ref="D46" si="136">R46</f>
        <v>Age</v>
      </c>
      <c r="E46" s="676" t="str">
        <f t="shared" ref="E46" si="137">S46</f>
        <v>&lt;5</v>
      </c>
      <c r="F46" s="194"/>
      <c r="G46" s="668" t="str">
        <f t="shared" ref="G46" ca="1" si="138">IF(OR(INDIRECT("'update Helper'!E"&amp;U46)=0,F46&lt;&gt;0,F47&lt;&gt;0),IF(IFERROR((F46/F47),"")="","",(F46/F47)),INDIRECT("'update Helper'!E"&amp;U46)/100)</f>
        <v/>
      </c>
      <c r="H46" s="670"/>
      <c r="I46" s="672"/>
      <c r="J46" s="651" t="s">
        <v>8112</v>
      </c>
      <c r="K46" s="666" t="str">
        <f t="shared" ref="K46" si="139">W46</f>
        <v>HIV I-4 Number of AIDS-related deaths per 100,000 population</v>
      </c>
      <c r="L46" s="666" t="str">
        <f t="shared" ref="L46" si="140">V46</f>
        <v>Age</v>
      </c>
      <c r="M46" s="651"/>
      <c r="N46" s="651" t="s">
        <v>8111</v>
      </c>
      <c r="P46" s="189">
        <f t="shared" ref="P46" si="141">IF(AND(EXACT(C46,C44),C44&lt;&gt;0),P44+1,0)</f>
        <v>8</v>
      </c>
      <c r="Q46" s="189" t="str">
        <f t="shared" ref="Q46" si="142">IF(C46&lt;&gt;"",C46&amp;"-"&amp;P46,"")</f>
        <v>HIV I-4 Nombre de décès liés au sida pour 100,000 habitants-8</v>
      </c>
      <c r="R46" s="189" t="str">
        <f t="array" ref="R46">IFERROR(IF(INDEX('Disaggregation Records'!$E$3:$E$66,MATCH(RIGHT(Q46,255),RIGHT('Disaggregation Records'!$D$3:$D$66,255),0))=0,"",INDEX('Disaggregation Records'!$E$3:$E$66,MATCH(RIGHT(Q46,255),RIGHT('Disaggregation Records'!$D$3:$D$66,255),0))),"")</f>
        <v>Age</v>
      </c>
      <c r="S46" s="189" t="str">
        <f t="array" ref="S46">IFERROR(IF(INDEX('Disaggregation Records'!$F$3:$F$66,MATCH(RIGHT(Q46,255),RIGHT('Disaggregation Records'!$D$3:$D$66,255),0))=0,"",INDEX('Disaggregation Records'!$F$3:$F$66,MATCH(RIGHT(Q46,255),RIGHT('Disaggregation Records'!$D$3:$D$66,255),0))),"")</f>
        <v>&lt;5</v>
      </c>
      <c r="T46" s="189" t="str">
        <f t="array" ref="T46">IFERROR(IF(INDEX('Disaggregation Records'!$H$3:$H$66,MATCH(RIGHT(Q46,255),RIGHT('Disaggregation Records'!$D$3:$D$66,255),0))=0,"",INDEX('Disaggregation Records'!$H$3:$H$66,MATCH(RIGHT(Q46,255),RIGHT('Disaggregation Records'!$D$3:$D$66,255),0))),"")</f>
        <v>IDR-00653</v>
      </c>
      <c r="U46" s="189">
        <f t="shared" ref="U46" si="143">U44+1</f>
        <v>1201</v>
      </c>
      <c r="V46" s="189" t="str">
        <f t="array" ref="V46">IFERROR(IF(INDEX('Disaggregation Records'!$I$3:$I$66,MATCH(RIGHT(Q46,255),RIGHT('Disaggregation Records'!$D$3:$D$66,255),0))=0,"",INDEX('Disaggregation Records'!$I$3:$I$66,MATCH(RIGHT(Q46,255),RIGHT('Disaggregation Records'!$D$3:$D$66,255),0))),"")</f>
        <v>Age</v>
      </c>
      <c r="W46" s="189" t="str">
        <f>IFERROR(INDEX('Reference Records'!O$3:O$15,MATCH(LEFT(C46,255),'Reference Records'!J$3:J$15,0)),"")</f>
        <v>HIV I-4 Number of AIDS-related deaths per 100,000 population</v>
      </c>
    </row>
    <row r="47" spans="1:23" s="190" customFormat="1" ht="40.200000000000003" customHeight="1" x14ac:dyDescent="0.3">
      <c r="A47" s="678"/>
      <c r="B47" s="675"/>
      <c r="C47" s="667"/>
      <c r="D47" s="677"/>
      <c r="E47" s="677"/>
      <c r="F47" s="202"/>
      <c r="G47" s="669"/>
      <c r="H47" s="671"/>
      <c r="I47" s="673"/>
      <c r="J47" s="652"/>
      <c r="K47" s="667"/>
      <c r="L47" s="667"/>
      <c r="M47" s="652"/>
      <c r="N47" s="652"/>
    </row>
    <row r="48" spans="1:23" s="189" customFormat="1" ht="40.200000000000003" customHeight="1" x14ac:dyDescent="0.3">
      <c r="A48" s="678" t="str">
        <f t="shared" ca="1" si="7"/>
        <v>a1G3p000003GJ3xEAG</v>
      </c>
      <c r="B48" s="674">
        <v>2</v>
      </c>
      <c r="C48" s="666" t="str">
        <f>IFERROR(VLOOKUP(B48,'Impact Indicators - Section B '!$A$9:$AF$52,32,FALSE),"")</f>
        <v>HIV I-4 Nombre de décès liés au sida pour 100,000 habitants</v>
      </c>
      <c r="D48" s="676" t="str">
        <f t="shared" ref="D48" si="144">R48</f>
        <v/>
      </c>
      <c r="E48" s="676" t="str">
        <f t="shared" ref="E48" si="145">S48</f>
        <v/>
      </c>
      <c r="F48" s="194"/>
      <c r="G48" s="668" t="str">
        <f t="shared" ref="G48" ca="1" si="146">IF(OR(INDIRECT("'update Helper'!E"&amp;U48)=0,F48&lt;&gt;0,F49&lt;&gt;0),IF(IFERROR((F48/F49),"")="","",(F48/F49)),INDIRECT("'update Helper'!E"&amp;U48)/100)</f>
        <v/>
      </c>
      <c r="H48" s="670"/>
      <c r="I48" s="672"/>
      <c r="J48" s="651"/>
      <c r="K48" s="666" t="str">
        <f t="shared" ref="K48" si="147">W48</f>
        <v>HIV I-4 Number of AIDS-related deaths per 100,000 population</v>
      </c>
      <c r="L48" s="666" t="str">
        <f t="shared" ref="L48" si="148">V48</f>
        <v/>
      </c>
      <c r="M48" s="651"/>
      <c r="N48" s="651"/>
      <c r="P48" s="189">
        <f t="shared" ref="P48" si="149">IF(AND(EXACT(C48,C46),C46&lt;&gt;0),P46+1,0)</f>
        <v>9</v>
      </c>
      <c r="Q48" s="189" t="str">
        <f t="shared" ref="Q48" si="150">IF(C48&lt;&gt;"",C48&amp;"-"&amp;P48,"")</f>
        <v>HIV I-4 Nombre de décès liés au sida pour 100,000 habitants-9</v>
      </c>
      <c r="R48" s="189" t="str">
        <f t="array" ref="R48">IFERROR(IF(INDEX('Disaggregation Records'!$E$3:$E$66,MATCH(RIGHT(Q48,255),RIGHT('Disaggregation Records'!$D$3:$D$66,255),0))=0,"",INDEX('Disaggregation Records'!$E$3:$E$66,MATCH(RIGHT(Q48,255),RIGHT('Disaggregation Records'!$D$3:$D$66,255),0))),"")</f>
        <v/>
      </c>
      <c r="S48" s="189" t="str">
        <f t="array" ref="S48">IFERROR(IF(INDEX('Disaggregation Records'!$F$3:$F$66,MATCH(RIGHT(Q48,255),RIGHT('Disaggregation Records'!$D$3:$D$66,255),0))=0,"",INDEX('Disaggregation Records'!$F$3:$F$66,MATCH(RIGHT(Q48,255),RIGHT('Disaggregation Records'!$D$3:$D$66,255),0))),"")</f>
        <v/>
      </c>
      <c r="T48" s="189" t="str">
        <f t="array" ref="T48">IFERROR(IF(INDEX('Disaggregation Records'!$H$3:$H$66,MATCH(RIGHT(Q48,255),RIGHT('Disaggregation Records'!$D$3:$D$66,255),0))=0,"",INDEX('Disaggregation Records'!$H$3:$H$66,MATCH(RIGHT(Q48,255),RIGHT('Disaggregation Records'!$D$3:$D$66,255),0))),"")</f>
        <v/>
      </c>
      <c r="U48" s="189">
        <f t="shared" ref="U48" si="151">U46+1</f>
        <v>1202</v>
      </c>
      <c r="V48" s="189" t="str">
        <f t="array" ref="V48">IFERROR(IF(INDEX('Disaggregation Records'!$I$3:$I$66,MATCH(RIGHT(Q48,255),RIGHT('Disaggregation Records'!$D$3:$D$66,255),0))=0,"",INDEX('Disaggregation Records'!$I$3:$I$66,MATCH(RIGHT(Q48,255),RIGHT('Disaggregation Records'!$D$3:$D$66,255),0))),"")</f>
        <v/>
      </c>
      <c r="W48" s="189" t="str">
        <f>IFERROR(INDEX('Reference Records'!O$3:O$15,MATCH(LEFT(C48,255),'Reference Records'!J$3:J$15,0)),"")</f>
        <v>HIV I-4 Number of AIDS-related deaths per 100,000 population</v>
      </c>
    </row>
    <row r="49" spans="1:23" s="190" customFormat="1" ht="40.200000000000003" customHeight="1" x14ac:dyDescent="0.3">
      <c r="A49" s="678"/>
      <c r="B49" s="675"/>
      <c r="C49" s="667"/>
      <c r="D49" s="677"/>
      <c r="E49" s="677"/>
      <c r="F49" s="202"/>
      <c r="G49" s="669"/>
      <c r="H49" s="671"/>
      <c r="I49" s="673"/>
      <c r="J49" s="652"/>
      <c r="K49" s="667"/>
      <c r="L49" s="667"/>
      <c r="M49" s="652"/>
      <c r="N49" s="652"/>
    </row>
    <row r="50" spans="1:23" s="189" customFormat="1" ht="40.200000000000003" customHeight="1" x14ac:dyDescent="0.3">
      <c r="A50" s="678" t="str">
        <f t="shared" ca="1" si="7"/>
        <v>a1G3p000003GJ3yEAG</v>
      </c>
      <c r="B50" s="674">
        <v>3</v>
      </c>
      <c r="C50" s="666" t="str">
        <f>IFERROR(VLOOKUP(B50,'Impact Indicators - Section B '!$A$9:$AF$52,32,FALSE),"")</f>
        <v/>
      </c>
      <c r="D50" s="676" t="str">
        <f t="shared" ref="D50" si="152">R50</f>
        <v/>
      </c>
      <c r="E50" s="676" t="str">
        <f t="shared" ref="E50" si="153">S50</f>
        <v/>
      </c>
      <c r="F50" s="194"/>
      <c r="G50" s="668" t="str">
        <f t="shared" ref="G50" ca="1" si="154">IF(OR(INDIRECT("'update Helper'!E"&amp;U50)=0,F50&lt;&gt;0,F51&lt;&gt;0),IF(IFERROR((F50/F51),"")="","",(F50/F51)),INDIRECT("'update Helper'!E"&amp;U50)/100)</f>
        <v/>
      </c>
      <c r="H50" s="670"/>
      <c r="I50" s="672"/>
      <c r="J50" s="651"/>
      <c r="K50" s="666" t="str">
        <f t="shared" ref="K50" si="155">W50</f>
        <v/>
      </c>
      <c r="L50" s="666" t="str">
        <f t="shared" ref="L50" si="156">V50</f>
        <v/>
      </c>
      <c r="M50" s="651"/>
      <c r="N50" s="651"/>
      <c r="P50" s="189">
        <f t="shared" ref="P50" si="157">IF(AND(EXACT(C50,C48),C48&lt;&gt;0),P48+1,0)</f>
        <v>0</v>
      </c>
      <c r="Q50" s="189" t="str">
        <f t="shared" ref="Q50" si="158">IF(C50&lt;&gt;"",C50&amp;"-"&amp;P50,"")</f>
        <v/>
      </c>
      <c r="R50" s="189" t="str">
        <f t="array" ref="R50">IFERROR(IF(INDEX('Disaggregation Records'!$E$3:$E$66,MATCH(RIGHT(Q50,255),RIGHT('Disaggregation Records'!$D$3:$D$66,255),0))=0,"",INDEX('Disaggregation Records'!$E$3:$E$66,MATCH(RIGHT(Q50,255),RIGHT('Disaggregation Records'!$D$3:$D$66,255),0))),"")</f>
        <v/>
      </c>
      <c r="S50" s="189" t="str">
        <f t="array" ref="S50">IFERROR(IF(INDEX('Disaggregation Records'!$F$3:$F$66,MATCH(RIGHT(Q50,255),RIGHT('Disaggregation Records'!$D$3:$D$66,255),0))=0,"",INDEX('Disaggregation Records'!$F$3:$F$66,MATCH(RIGHT(Q50,255),RIGHT('Disaggregation Records'!$D$3:$D$66,255),0))),"")</f>
        <v/>
      </c>
      <c r="T50" s="189" t="str">
        <f t="array" ref="T50">IFERROR(IF(INDEX('Disaggregation Records'!$H$3:$H$66,MATCH(RIGHT(Q50,255),RIGHT('Disaggregation Records'!$D$3:$D$66,255),0))=0,"",INDEX('Disaggregation Records'!$H$3:$H$66,MATCH(RIGHT(Q50,255),RIGHT('Disaggregation Records'!$D$3:$D$66,255),0))),"")</f>
        <v/>
      </c>
      <c r="U50" s="189">
        <f t="shared" ref="U50" si="159">U48+1</f>
        <v>1203</v>
      </c>
      <c r="V50" s="189" t="str">
        <f t="array" ref="V50">IFERROR(IF(INDEX('Disaggregation Records'!$I$3:$I$66,MATCH(RIGHT(Q50,255),RIGHT('Disaggregation Records'!$D$3:$D$66,255),0))=0,"",INDEX('Disaggregation Records'!$I$3:$I$66,MATCH(RIGHT(Q50,255),RIGHT('Disaggregation Records'!$D$3:$D$66,255),0))),"")</f>
        <v/>
      </c>
      <c r="W50" s="189" t="str">
        <f>IFERROR(INDEX('Reference Records'!O$3:O$15,MATCH(LEFT(C50,255),'Reference Records'!J$3:J$15,0)),"")</f>
        <v/>
      </c>
    </row>
    <row r="51" spans="1:23" s="189" customFormat="1" ht="40.200000000000003" customHeight="1" x14ac:dyDescent="0.3">
      <c r="A51" s="678"/>
      <c r="B51" s="675">
        <v>2.2894736842105301</v>
      </c>
      <c r="C51" s="667"/>
      <c r="D51" s="677"/>
      <c r="E51" s="677"/>
      <c r="F51" s="202"/>
      <c r="G51" s="669"/>
      <c r="H51" s="671"/>
      <c r="I51" s="673"/>
      <c r="J51" s="652"/>
      <c r="K51" s="667"/>
      <c r="L51" s="667"/>
      <c r="M51" s="652"/>
      <c r="N51" s="652"/>
      <c r="P51" s="190"/>
      <c r="Q51" s="190"/>
      <c r="R51" s="190"/>
      <c r="S51" s="190"/>
      <c r="T51" s="190"/>
      <c r="U51" s="190"/>
      <c r="V51" s="190"/>
      <c r="W51" s="190"/>
    </row>
    <row r="52" spans="1:23" s="189" customFormat="1" ht="40.200000000000003" customHeight="1" x14ac:dyDescent="0.3">
      <c r="A52" s="678" t="str">
        <f t="shared" ca="1" si="7"/>
        <v>a1G3p000003GJ3zEAG</v>
      </c>
      <c r="B52" s="674">
        <v>3</v>
      </c>
      <c r="C52" s="666" t="str">
        <f>IFERROR(VLOOKUP(B52,'Impact Indicators - Section B '!$A$9:$AF$52,32,FALSE),"")</f>
        <v/>
      </c>
      <c r="D52" s="676" t="str">
        <f t="shared" ref="D52" si="160">R52</f>
        <v/>
      </c>
      <c r="E52" s="676" t="str">
        <f t="shared" ref="E52" si="161">S52</f>
        <v/>
      </c>
      <c r="F52" s="194"/>
      <c r="G52" s="668" t="str">
        <f t="shared" ref="G52" ca="1" si="162">IF(OR(INDIRECT("'update Helper'!E"&amp;U52)=0,F52&lt;&gt;0,F53&lt;&gt;0),IF(IFERROR((F52/F53),"")="","",(F52/F53)),INDIRECT("'update Helper'!E"&amp;U52)/100)</f>
        <v/>
      </c>
      <c r="H52" s="670"/>
      <c r="I52" s="672"/>
      <c r="J52" s="651"/>
      <c r="K52" s="666" t="str">
        <f t="shared" ref="K52" si="163">W52</f>
        <v/>
      </c>
      <c r="L52" s="666" t="str">
        <f t="shared" ref="L52" si="164">V52</f>
        <v/>
      </c>
      <c r="M52" s="651"/>
      <c r="N52" s="651"/>
      <c r="P52" s="189">
        <f t="shared" ref="P52" si="165">IF(AND(EXACT(C52,C50),C50&lt;&gt;0),P50+1,0)</f>
        <v>1</v>
      </c>
      <c r="Q52" s="189" t="str">
        <f t="shared" ref="Q52" si="166">IF(C52&lt;&gt;"",C52&amp;"-"&amp;P52,"")</f>
        <v/>
      </c>
      <c r="R52" s="189" t="str">
        <f t="array" ref="R52">IFERROR(IF(INDEX('Disaggregation Records'!$E$3:$E$66,MATCH(RIGHT(Q52,255),RIGHT('Disaggregation Records'!$D$3:$D$66,255),0))=0,"",INDEX('Disaggregation Records'!$E$3:$E$66,MATCH(RIGHT(Q52,255),RIGHT('Disaggregation Records'!$D$3:$D$66,255),0))),"")</f>
        <v/>
      </c>
      <c r="S52" s="189" t="str">
        <f t="array" ref="S52">IFERROR(IF(INDEX('Disaggregation Records'!$F$3:$F$66,MATCH(RIGHT(Q52,255),RIGHT('Disaggregation Records'!$D$3:$D$66,255),0))=0,"",INDEX('Disaggregation Records'!$F$3:$F$66,MATCH(RIGHT(Q52,255),RIGHT('Disaggregation Records'!$D$3:$D$66,255),0))),"")</f>
        <v/>
      </c>
      <c r="T52" s="189" t="str">
        <f t="array" ref="T52">IFERROR(IF(INDEX('Disaggregation Records'!$H$3:$H$66,MATCH(RIGHT(Q52,255),RIGHT('Disaggregation Records'!$D$3:$D$66,255),0))=0,"",INDEX('Disaggregation Records'!$H$3:$H$66,MATCH(RIGHT(Q52,255),RIGHT('Disaggregation Records'!$D$3:$D$66,255),0))),"")</f>
        <v/>
      </c>
      <c r="U52" s="189">
        <f t="shared" ref="U52" si="167">U50+1</f>
        <v>1204</v>
      </c>
      <c r="V52" s="189" t="str">
        <f t="array" ref="V52">IFERROR(IF(INDEX('Disaggregation Records'!$I$3:$I$66,MATCH(RIGHT(Q52,255),RIGHT('Disaggregation Records'!$D$3:$D$66,255),0))=0,"",INDEX('Disaggregation Records'!$I$3:$I$66,MATCH(RIGHT(Q52,255),RIGHT('Disaggregation Records'!$D$3:$D$66,255),0))),"")</f>
        <v/>
      </c>
      <c r="W52" s="189" t="str">
        <f>IFERROR(INDEX('Reference Records'!O$3:O$15,MATCH(LEFT(C52,255),'Reference Records'!J$3:J$15,0)),"")</f>
        <v/>
      </c>
    </row>
    <row r="53" spans="1:23" s="190" customFormat="1" ht="40.200000000000003" customHeight="1" x14ac:dyDescent="0.3">
      <c r="A53" s="678"/>
      <c r="B53" s="675">
        <v>2.2894736842105301</v>
      </c>
      <c r="C53" s="667"/>
      <c r="D53" s="677"/>
      <c r="E53" s="677"/>
      <c r="F53" s="202"/>
      <c r="G53" s="669"/>
      <c r="H53" s="671"/>
      <c r="I53" s="673"/>
      <c r="J53" s="652"/>
      <c r="K53" s="667"/>
      <c r="L53" s="667"/>
      <c r="M53" s="652"/>
      <c r="N53" s="652"/>
    </row>
    <row r="54" spans="1:23" s="189" customFormat="1" ht="40.200000000000003" customHeight="1" x14ac:dyDescent="0.3">
      <c r="A54" s="678" t="str">
        <f t="shared" ca="1" si="7"/>
        <v>a1G3p000003GJ40EAG</v>
      </c>
      <c r="B54" s="674">
        <v>3</v>
      </c>
      <c r="C54" s="666" t="str">
        <f>IFERROR(VLOOKUP(B54,'Impact Indicators - Section B '!$A$9:$AF$52,32,FALSE),"")</f>
        <v/>
      </c>
      <c r="D54" s="676" t="str">
        <f t="shared" ref="D54" si="168">R54</f>
        <v/>
      </c>
      <c r="E54" s="676" t="str">
        <f t="shared" ref="E54" si="169">S54</f>
        <v/>
      </c>
      <c r="F54" s="194"/>
      <c r="G54" s="668" t="str">
        <f t="shared" ref="G54" ca="1" si="170">IF(OR(INDIRECT("'update Helper'!E"&amp;U54)=0,F54&lt;&gt;0,F55&lt;&gt;0),IF(IFERROR((F54/F55),"")="","",(F54/F55)),INDIRECT("'update Helper'!E"&amp;U54)/100)</f>
        <v/>
      </c>
      <c r="H54" s="670"/>
      <c r="I54" s="672"/>
      <c r="J54" s="651"/>
      <c r="K54" s="666" t="str">
        <f t="shared" ref="K54" si="171">W54</f>
        <v/>
      </c>
      <c r="L54" s="666" t="str">
        <f t="shared" ref="L54" si="172">V54</f>
        <v/>
      </c>
      <c r="M54" s="651"/>
      <c r="N54" s="651"/>
      <c r="P54" s="189">
        <f t="shared" ref="P54" si="173">IF(AND(EXACT(C54,C52),C52&lt;&gt;0),P52+1,0)</f>
        <v>2</v>
      </c>
      <c r="Q54" s="189" t="str">
        <f t="shared" ref="Q54" si="174">IF(C54&lt;&gt;"",C54&amp;"-"&amp;P54,"")</f>
        <v/>
      </c>
      <c r="R54" s="189" t="str">
        <f t="array" ref="R54">IFERROR(IF(INDEX('Disaggregation Records'!$E$3:$E$66,MATCH(RIGHT(Q54,255),RIGHT('Disaggregation Records'!$D$3:$D$66,255),0))=0,"",INDEX('Disaggregation Records'!$E$3:$E$66,MATCH(RIGHT(Q54,255),RIGHT('Disaggregation Records'!$D$3:$D$66,255),0))),"")</f>
        <v/>
      </c>
      <c r="S54" s="189" t="str">
        <f t="array" ref="S54">IFERROR(IF(INDEX('Disaggregation Records'!$F$3:$F$66,MATCH(RIGHT(Q54,255),RIGHT('Disaggregation Records'!$D$3:$D$66,255),0))=0,"",INDEX('Disaggregation Records'!$F$3:$F$66,MATCH(RIGHT(Q54,255),RIGHT('Disaggregation Records'!$D$3:$D$66,255),0))),"")</f>
        <v/>
      </c>
      <c r="T54" s="189" t="str">
        <f t="array" ref="T54">IFERROR(IF(INDEX('Disaggregation Records'!$H$3:$H$66,MATCH(RIGHT(Q54,255),RIGHT('Disaggregation Records'!$D$3:$D$66,255),0))=0,"",INDEX('Disaggregation Records'!$H$3:$H$66,MATCH(RIGHT(Q54,255),RIGHT('Disaggregation Records'!$D$3:$D$66,255),0))),"")</f>
        <v/>
      </c>
      <c r="U54" s="189">
        <f t="shared" ref="U54" si="175">U52+1</f>
        <v>1205</v>
      </c>
      <c r="V54" s="189" t="str">
        <f t="array" ref="V54">IFERROR(IF(INDEX('Disaggregation Records'!$I$3:$I$66,MATCH(RIGHT(Q54,255),RIGHT('Disaggregation Records'!$D$3:$D$66,255),0))=0,"",INDEX('Disaggregation Records'!$I$3:$I$66,MATCH(RIGHT(Q54,255),RIGHT('Disaggregation Records'!$D$3:$D$66,255),0))),"")</f>
        <v/>
      </c>
      <c r="W54" s="189" t="str">
        <f>IFERROR(INDEX('Reference Records'!O$3:O$15,MATCH(LEFT(C54,255),'Reference Records'!J$3:J$15,0)),"")</f>
        <v/>
      </c>
    </row>
    <row r="55" spans="1:23" s="190" customFormat="1" ht="40.200000000000003" customHeight="1" x14ac:dyDescent="0.3">
      <c r="A55" s="678"/>
      <c r="B55" s="675">
        <v>2.2894736842105301</v>
      </c>
      <c r="C55" s="667"/>
      <c r="D55" s="677"/>
      <c r="E55" s="677"/>
      <c r="F55" s="202"/>
      <c r="G55" s="669"/>
      <c r="H55" s="671"/>
      <c r="I55" s="673"/>
      <c r="J55" s="652"/>
      <c r="K55" s="667"/>
      <c r="L55" s="667"/>
      <c r="M55" s="652"/>
      <c r="N55" s="652"/>
    </row>
    <row r="56" spans="1:23" s="189" customFormat="1" ht="40.200000000000003" customHeight="1" x14ac:dyDescent="0.3">
      <c r="A56" s="678" t="str">
        <f t="shared" ca="1" si="7"/>
        <v>a1G3p000003GJ41EAG</v>
      </c>
      <c r="B56" s="674">
        <v>3</v>
      </c>
      <c r="C56" s="666" t="str">
        <f>IFERROR(VLOOKUP(B56,'Impact Indicators - Section B '!$A$9:$AF$52,32,FALSE),"")</f>
        <v/>
      </c>
      <c r="D56" s="676" t="str">
        <f t="shared" ref="D56" si="176">R56</f>
        <v/>
      </c>
      <c r="E56" s="676" t="str">
        <f t="shared" ref="E56" si="177">S56</f>
        <v/>
      </c>
      <c r="F56" s="194"/>
      <c r="G56" s="668" t="str">
        <f t="shared" ref="G56" ca="1" si="178">IF(OR(INDIRECT("'update Helper'!E"&amp;U56)=0,F56&lt;&gt;0,F57&lt;&gt;0),IF(IFERROR((F56/F57),"")="","",(F56/F57)),INDIRECT("'update Helper'!E"&amp;U56)/100)</f>
        <v/>
      </c>
      <c r="H56" s="670"/>
      <c r="I56" s="672"/>
      <c r="J56" s="651"/>
      <c r="K56" s="666" t="str">
        <f t="shared" ref="K56" si="179">W56</f>
        <v/>
      </c>
      <c r="L56" s="666" t="str">
        <f t="shared" ref="L56" si="180">V56</f>
        <v/>
      </c>
      <c r="M56" s="651"/>
      <c r="N56" s="651"/>
      <c r="P56" s="189">
        <f t="shared" ref="P56" si="181">IF(AND(EXACT(C56,C54),C54&lt;&gt;0),P54+1,0)</f>
        <v>3</v>
      </c>
      <c r="Q56" s="189" t="str">
        <f t="shared" ref="Q56" si="182">IF(C56&lt;&gt;"",C56&amp;"-"&amp;P56,"")</f>
        <v/>
      </c>
      <c r="R56" s="189" t="str">
        <f t="array" ref="R56">IFERROR(IF(INDEX('Disaggregation Records'!$E$3:$E$66,MATCH(RIGHT(Q56,255),RIGHT('Disaggregation Records'!$D$3:$D$66,255),0))=0,"",INDEX('Disaggregation Records'!$E$3:$E$66,MATCH(RIGHT(Q56,255),RIGHT('Disaggregation Records'!$D$3:$D$66,255),0))),"")</f>
        <v/>
      </c>
      <c r="S56" s="189" t="str">
        <f t="array" ref="S56">IFERROR(IF(INDEX('Disaggregation Records'!$F$3:$F$66,MATCH(RIGHT(Q56,255),RIGHT('Disaggregation Records'!$D$3:$D$66,255),0))=0,"",INDEX('Disaggregation Records'!$F$3:$F$66,MATCH(RIGHT(Q56,255),RIGHT('Disaggregation Records'!$D$3:$D$66,255),0))),"")</f>
        <v/>
      </c>
      <c r="T56" s="189" t="str">
        <f t="array" ref="T56">IFERROR(IF(INDEX('Disaggregation Records'!$H$3:$H$66,MATCH(RIGHT(Q56,255),RIGHT('Disaggregation Records'!$D$3:$D$66,255),0))=0,"",INDEX('Disaggregation Records'!$H$3:$H$66,MATCH(RIGHT(Q56,255),RIGHT('Disaggregation Records'!$D$3:$D$66,255),0))),"")</f>
        <v/>
      </c>
      <c r="U56" s="189">
        <f t="shared" ref="U56" si="183">U54+1</f>
        <v>1206</v>
      </c>
      <c r="V56" s="189" t="str">
        <f t="array" ref="V56">IFERROR(IF(INDEX('Disaggregation Records'!$I$3:$I$66,MATCH(RIGHT(Q56,255),RIGHT('Disaggregation Records'!$D$3:$D$66,255),0))=0,"",INDEX('Disaggregation Records'!$I$3:$I$66,MATCH(RIGHT(Q56,255),RIGHT('Disaggregation Records'!$D$3:$D$66,255),0))),"")</f>
        <v/>
      </c>
      <c r="W56" s="189" t="str">
        <f>IFERROR(INDEX('Reference Records'!O$3:O$15,MATCH(LEFT(C56,255),'Reference Records'!J$3:J$15,0)),"")</f>
        <v/>
      </c>
    </row>
    <row r="57" spans="1:23" s="189" customFormat="1" ht="40.200000000000003" customHeight="1" x14ac:dyDescent="0.3">
      <c r="A57" s="678"/>
      <c r="B57" s="675">
        <v>2.2894736842105301</v>
      </c>
      <c r="C57" s="667"/>
      <c r="D57" s="677"/>
      <c r="E57" s="677"/>
      <c r="F57" s="202"/>
      <c r="G57" s="669"/>
      <c r="H57" s="671"/>
      <c r="I57" s="673"/>
      <c r="J57" s="652"/>
      <c r="K57" s="667"/>
      <c r="L57" s="667"/>
      <c r="M57" s="652"/>
      <c r="N57" s="652"/>
      <c r="P57" s="190"/>
      <c r="Q57" s="190"/>
      <c r="R57" s="190"/>
      <c r="S57" s="190"/>
      <c r="T57" s="190"/>
      <c r="U57" s="190"/>
      <c r="V57" s="190"/>
      <c r="W57" s="190"/>
    </row>
    <row r="58" spans="1:23" s="189" customFormat="1" ht="40.200000000000003" customHeight="1" x14ac:dyDescent="0.3">
      <c r="A58" s="678" t="str">
        <f t="shared" ca="1" si="7"/>
        <v>a1G3p000003GJ42EAG</v>
      </c>
      <c r="B58" s="674">
        <v>3</v>
      </c>
      <c r="C58" s="666" t="str">
        <f>IFERROR(VLOOKUP(B58,'Impact Indicators - Section B '!$A$9:$AF$52,32,FALSE),"")</f>
        <v/>
      </c>
      <c r="D58" s="676" t="str">
        <f t="shared" ref="D58" si="184">R58</f>
        <v/>
      </c>
      <c r="E58" s="676" t="str">
        <f t="shared" ref="E58" si="185">S58</f>
        <v/>
      </c>
      <c r="F58" s="194"/>
      <c r="G58" s="668" t="str">
        <f t="shared" ref="G58" ca="1" si="186">IF(OR(INDIRECT("'update Helper'!E"&amp;U58)=0,F58&lt;&gt;0,F59&lt;&gt;0),IF(IFERROR((F58/F59),"")="","",(F58/F59)),INDIRECT("'update Helper'!E"&amp;U58)/100)</f>
        <v/>
      </c>
      <c r="H58" s="670"/>
      <c r="I58" s="672"/>
      <c r="J58" s="651"/>
      <c r="K58" s="666" t="str">
        <f t="shared" ref="K58" si="187">W58</f>
        <v/>
      </c>
      <c r="L58" s="666" t="str">
        <f t="shared" ref="L58" si="188">V58</f>
        <v/>
      </c>
      <c r="M58" s="651"/>
      <c r="N58" s="651"/>
      <c r="P58" s="189">
        <f t="shared" ref="P58" si="189">IF(AND(EXACT(C58,C56),C56&lt;&gt;0),P56+1,0)</f>
        <v>4</v>
      </c>
      <c r="Q58" s="189" t="str">
        <f t="shared" ref="Q58" si="190">IF(C58&lt;&gt;"",C58&amp;"-"&amp;P58,"")</f>
        <v/>
      </c>
      <c r="R58" s="189" t="str">
        <f t="array" ref="R58">IFERROR(IF(INDEX('Disaggregation Records'!$E$3:$E$66,MATCH(RIGHT(Q58,255),RIGHT('Disaggregation Records'!$D$3:$D$66,255),0))=0,"",INDEX('Disaggregation Records'!$E$3:$E$66,MATCH(RIGHT(Q58,255),RIGHT('Disaggregation Records'!$D$3:$D$66,255),0))),"")</f>
        <v/>
      </c>
      <c r="S58" s="189" t="str">
        <f t="array" ref="S58">IFERROR(IF(INDEX('Disaggregation Records'!$F$3:$F$66,MATCH(RIGHT(Q58,255),RIGHT('Disaggregation Records'!$D$3:$D$66,255),0))=0,"",INDEX('Disaggregation Records'!$F$3:$F$66,MATCH(RIGHT(Q58,255),RIGHT('Disaggregation Records'!$D$3:$D$66,255),0))),"")</f>
        <v/>
      </c>
      <c r="T58" s="189" t="str">
        <f t="array" ref="T58">IFERROR(IF(INDEX('Disaggregation Records'!$H$3:$H$66,MATCH(RIGHT(Q58,255),RIGHT('Disaggregation Records'!$D$3:$D$66,255),0))=0,"",INDEX('Disaggregation Records'!$H$3:$H$66,MATCH(RIGHT(Q58,255),RIGHT('Disaggregation Records'!$D$3:$D$66,255),0))),"")</f>
        <v/>
      </c>
      <c r="U58" s="189">
        <f t="shared" ref="U58" si="191">U56+1</f>
        <v>1207</v>
      </c>
      <c r="V58" s="189" t="str">
        <f t="array" ref="V58">IFERROR(IF(INDEX('Disaggregation Records'!$I$3:$I$66,MATCH(RIGHT(Q58,255),RIGHT('Disaggregation Records'!$D$3:$D$66,255),0))=0,"",INDEX('Disaggregation Records'!$I$3:$I$66,MATCH(RIGHT(Q58,255),RIGHT('Disaggregation Records'!$D$3:$D$66,255),0))),"")</f>
        <v/>
      </c>
      <c r="W58" s="189" t="str">
        <f>IFERROR(INDEX('Reference Records'!O$3:O$15,MATCH(LEFT(C58,255),'Reference Records'!J$3:J$15,0)),"")</f>
        <v/>
      </c>
    </row>
    <row r="59" spans="1:23" s="189" customFormat="1" ht="40.200000000000003" customHeight="1" x14ac:dyDescent="0.3">
      <c r="A59" s="678"/>
      <c r="B59" s="675">
        <v>2.2894736842105301</v>
      </c>
      <c r="C59" s="667"/>
      <c r="D59" s="677"/>
      <c r="E59" s="677"/>
      <c r="F59" s="202"/>
      <c r="G59" s="669"/>
      <c r="H59" s="671"/>
      <c r="I59" s="673"/>
      <c r="J59" s="652"/>
      <c r="K59" s="667"/>
      <c r="L59" s="667"/>
      <c r="M59" s="652"/>
      <c r="N59" s="652"/>
      <c r="P59" s="190"/>
      <c r="Q59" s="190"/>
      <c r="R59" s="190"/>
      <c r="S59" s="190"/>
      <c r="T59" s="190"/>
      <c r="U59" s="190"/>
      <c r="V59" s="190"/>
      <c r="W59" s="190"/>
    </row>
    <row r="60" spans="1:23" s="189" customFormat="1" ht="40.200000000000003" customHeight="1" x14ac:dyDescent="0.3">
      <c r="A60" s="678" t="str">
        <f t="shared" ca="1" si="7"/>
        <v>a1G3p000003GJ43EAG</v>
      </c>
      <c r="B60" s="674">
        <v>3</v>
      </c>
      <c r="C60" s="666" t="str">
        <f>IFERROR(VLOOKUP(B60,'Impact Indicators - Section B '!$A$9:$AF$52,32,FALSE),"")</f>
        <v/>
      </c>
      <c r="D60" s="676" t="str">
        <f t="shared" ref="D60" si="192">R60</f>
        <v/>
      </c>
      <c r="E60" s="676" t="str">
        <f t="shared" ref="E60" si="193">S60</f>
        <v/>
      </c>
      <c r="F60" s="194"/>
      <c r="G60" s="668" t="str">
        <f t="shared" ref="G60" ca="1" si="194">IF(OR(INDIRECT("'update Helper'!E"&amp;U60)=0,F60&lt;&gt;0,F61&lt;&gt;0),IF(IFERROR((F60/F61),"")="","",(F60/F61)),INDIRECT("'update Helper'!E"&amp;U60)/100)</f>
        <v/>
      </c>
      <c r="H60" s="670"/>
      <c r="I60" s="672"/>
      <c r="J60" s="651"/>
      <c r="K60" s="666" t="str">
        <f t="shared" ref="K60" si="195">W60</f>
        <v/>
      </c>
      <c r="L60" s="666" t="str">
        <f t="shared" ref="L60" si="196">V60</f>
        <v/>
      </c>
      <c r="M60" s="651"/>
      <c r="N60" s="651"/>
      <c r="P60" s="189">
        <f t="shared" ref="P60" si="197">IF(AND(EXACT(C60,C58),C58&lt;&gt;0),P58+1,0)</f>
        <v>5</v>
      </c>
      <c r="Q60" s="189" t="str">
        <f t="shared" ref="Q60" si="198">IF(C60&lt;&gt;"",C60&amp;"-"&amp;P60,"")</f>
        <v/>
      </c>
      <c r="R60" s="189" t="str">
        <f t="array" ref="R60">IFERROR(IF(INDEX('Disaggregation Records'!$E$3:$E$66,MATCH(RIGHT(Q60,255),RIGHT('Disaggregation Records'!$D$3:$D$66,255),0))=0,"",INDEX('Disaggregation Records'!$E$3:$E$66,MATCH(RIGHT(Q60,255),RIGHT('Disaggregation Records'!$D$3:$D$66,255),0))),"")</f>
        <v/>
      </c>
      <c r="S60" s="189" t="str">
        <f t="array" ref="S60">IFERROR(IF(INDEX('Disaggregation Records'!$F$3:$F$66,MATCH(RIGHT(Q60,255),RIGHT('Disaggregation Records'!$D$3:$D$66,255),0))=0,"",INDEX('Disaggregation Records'!$F$3:$F$66,MATCH(RIGHT(Q60,255),RIGHT('Disaggregation Records'!$D$3:$D$66,255),0))),"")</f>
        <v/>
      </c>
      <c r="T60" s="189" t="str">
        <f t="array" ref="T60">IFERROR(IF(INDEX('Disaggregation Records'!$H$3:$H$66,MATCH(RIGHT(Q60,255),RIGHT('Disaggregation Records'!$D$3:$D$66,255),0))=0,"",INDEX('Disaggregation Records'!$H$3:$H$66,MATCH(RIGHT(Q60,255),RIGHT('Disaggregation Records'!$D$3:$D$66,255),0))),"")</f>
        <v/>
      </c>
      <c r="U60" s="189">
        <f t="shared" ref="U60" si="199">U58+1</f>
        <v>1208</v>
      </c>
      <c r="V60" s="189" t="str">
        <f t="array" ref="V60">IFERROR(IF(INDEX('Disaggregation Records'!$I$3:$I$66,MATCH(RIGHT(Q60,255),RIGHT('Disaggregation Records'!$D$3:$D$66,255),0))=0,"",INDEX('Disaggregation Records'!$I$3:$I$66,MATCH(RIGHT(Q60,255),RIGHT('Disaggregation Records'!$D$3:$D$66,255),0))),"")</f>
        <v/>
      </c>
      <c r="W60" s="189" t="str">
        <f>IFERROR(INDEX('Reference Records'!O$3:O$15,MATCH(LEFT(C60,255),'Reference Records'!J$3:J$15,0)),"")</f>
        <v/>
      </c>
    </row>
    <row r="61" spans="1:23" s="190" customFormat="1" ht="40.200000000000003" customHeight="1" x14ac:dyDescent="0.3">
      <c r="A61" s="678"/>
      <c r="B61" s="675">
        <v>2.2894736842105301</v>
      </c>
      <c r="C61" s="667"/>
      <c r="D61" s="677"/>
      <c r="E61" s="677"/>
      <c r="F61" s="202"/>
      <c r="G61" s="669"/>
      <c r="H61" s="671"/>
      <c r="I61" s="673"/>
      <c r="J61" s="652"/>
      <c r="K61" s="667"/>
      <c r="L61" s="667"/>
      <c r="M61" s="652"/>
      <c r="N61" s="652"/>
    </row>
    <row r="62" spans="1:23" s="189" customFormat="1" ht="40.200000000000003" customHeight="1" x14ac:dyDescent="0.3">
      <c r="A62" s="678" t="str">
        <f t="shared" ca="1" si="7"/>
        <v>a1G3p000003GJ44EAG</v>
      </c>
      <c r="B62" s="674">
        <v>3</v>
      </c>
      <c r="C62" s="666" t="str">
        <f>IFERROR(VLOOKUP(B62,'Impact Indicators - Section B '!$A$9:$AF$52,32,FALSE),"")</f>
        <v/>
      </c>
      <c r="D62" s="676" t="str">
        <f t="shared" ref="D62" si="200">R62</f>
        <v/>
      </c>
      <c r="E62" s="676" t="str">
        <f t="shared" ref="E62" si="201">S62</f>
        <v/>
      </c>
      <c r="F62" s="194"/>
      <c r="G62" s="668" t="str">
        <f t="shared" ref="G62" ca="1" si="202">IF(OR(INDIRECT("'update Helper'!E"&amp;U62)=0,F62&lt;&gt;0,F63&lt;&gt;0),IF(IFERROR((F62/F63),"")="","",(F62/F63)),INDIRECT("'update Helper'!E"&amp;U62)/100)</f>
        <v/>
      </c>
      <c r="H62" s="670"/>
      <c r="I62" s="672"/>
      <c r="J62" s="651"/>
      <c r="K62" s="666" t="str">
        <f t="shared" ref="K62" si="203">W62</f>
        <v/>
      </c>
      <c r="L62" s="666" t="str">
        <f t="shared" ref="L62" si="204">V62</f>
        <v/>
      </c>
      <c r="M62" s="651"/>
      <c r="N62" s="651"/>
      <c r="P62" s="189">
        <f t="shared" ref="P62" si="205">IF(AND(EXACT(C62,C60),C60&lt;&gt;0),P60+1,0)</f>
        <v>6</v>
      </c>
      <c r="Q62" s="189" t="str">
        <f t="shared" ref="Q62" si="206">IF(C62&lt;&gt;"",C62&amp;"-"&amp;P62,"")</f>
        <v/>
      </c>
      <c r="R62" s="189" t="str">
        <f t="array" ref="R62">IFERROR(IF(INDEX('Disaggregation Records'!$E$3:$E$66,MATCH(RIGHT(Q62,255),RIGHT('Disaggregation Records'!$D$3:$D$66,255),0))=0,"",INDEX('Disaggregation Records'!$E$3:$E$66,MATCH(RIGHT(Q62,255),RIGHT('Disaggregation Records'!$D$3:$D$66,255),0))),"")</f>
        <v/>
      </c>
      <c r="S62" s="189" t="str">
        <f t="array" ref="S62">IFERROR(IF(INDEX('Disaggregation Records'!$F$3:$F$66,MATCH(RIGHT(Q62,255),RIGHT('Disaggregation Records'!$D$3:$D$66,255),0))=0,"",INDEX('Disaggregation Records'!$F$3:$F$66,MATCH(RIGHT(Q62,255),RIGHT('Disaggregation Records'!$D$3:$D$66,255),0))),"")</f>
        <v/>
      </c>
      <c r="T62" s="189" t="str">
        <f t="array" ref="T62">IFERROR(IF(INDEX('Disaggregation Records'!$H$3:$H$66,MATCH(RIGHT(Q62,255),RIGHT('Disaggregation Records'!$D$3:$D$66,255),0))=0,"",INDEX('Disaggregation Records'!$H$3:$H$66,MATCH(RIGHT(Q62,255),RIGHT('Disaggregation Records'!$D$3:$D$66,255),0))),"")</f>
        <v/>
      </c>
      <c r="U62" s="189">
        <f t="shared" ref="U62" si="207">U60+1</f>
        <v>1209</v>
      </c>
      <c r="V62" s="189" t="str">
        <f t="array" ref="V62">IFERROR(IF(INDEX('Disaggregation Records'!$I$3:$I$66,MATCH(RIGHT(Q62,255),RIGHT('Disaggregation Records'!$D$3:$D$66,255),0))=0,"",INDEX('Disaggregation Records'!$I$3:$I$66,MATCH(RIGHT(Q62,255),RIGHT('Disaggregation Records'!$D$3:$D$66,255),0))),"")</f>
        <v/>
      </c>
      <c r="W62" s="189" t="str">
        <f>IFERROR(INDEX('Reference Records'!O$3:O$15,MATCH(LEFT(C62,255),'Reference Records'!J$3:J$15,0)),"")</f>
        <v/>
      </c>
    </row>
    <row r="63" spans="1:23" s="190" customFormat="1" ht="40.200000000000003" customHeight="1" x14ac:dyDescent="0.3">
      <c r="A63" s="678"/>
      <c r="B63" s="675">
        <v>2.2894736842105301</v>
      </c>
      <c r="C63" s="667"/>
      <c r="D63" s="677"/>
      <c r="E63" s="677"/>
      <c r="F63" s="202"/>
      <c r="G63" s="669"/>
      <c r="H63" s="671"/>
      <c r="I63" s="673"/>
      <c r="J63" s="652"/>
      <c r="K63" s="667"/>
      <c r="L63" s="667"/>
      <c r="M63" s="652"/>
      <c r="N63" s="652"/>
    </row>
    <row r="64" spans="1:23" s="189" customFormat="1" ht="40.200000000000003" customHeight="1" x14ac:dyDescent="0.3">
      <c r="A64" s="678" t="str">
        <f t="shared" ca="1" si="7"/>
        <v>a1G3p000003GJ45EAG</v>
      </c>
      <c r="B64" s="674">
        <v>3</v>
      </c>
      <c r="C64" s="666" t="str">
        <f>IFERROR(VLOOKUP(B64,'Impact Indicators - Section B '!$A$9:$AF$52,32,FALSE),"")</f>
        <v/>
      </c>
      <c r="D64" s="676" t="str">
        <f t="shared" ref="D64" si="208">R64</f>
        <v/>
      </c>
      <c r="E64" s="676" t="str">
        <f t="shared" ref="E64" si="209">S64</f>
        <v/>
      </c>
      <c r="F64" s="194"/>
      <c r="G64" s="668" t="str">
        <f t="shared" ref="G64" ca="1" si="210">IF(OR(INDIRECT("'update Helper'!E"&amp;U64)=0,F64&lt;&gt;0,F65&lt;&gt;0),IF(IFERROR((F64/F65),"")="","",(F64/F65)),INDIRECT("'update Helper'!E"&amp;U64)/100)</f>
        <v/>
      </c>
      <c r="H64" s="670"/>
      <c r="I64" s="672"/>
      <c r="J64" s="651"/>
      <c r="K64" s="666" t="str">
        <f t="shared" ref="K64" si="211">W64</f>
        <v/>
      </c>
      <c r="L64" s="666" t="str">
        <f t="shared" ref="L64" si="212">V64</f>
        <v/>
      </c>
      <c r="M64" s="651"/>
      <c r="N64" s="651"/>
      <c r="P64" s="189">
        <f t="shared" ref="P64" si="213">IF(AND(EXACT(C64,C62),C62&lt;&gt;0),P62+1,0)</f>
        <v>7</v>
      </c>
      <c r="Q64" s="189" t="str">
        <f t="shared" ref="Q64" si="214">IF(C64&lt;&gt;"",C64&amp;"-"&amp;P64,"")</f>
        <v/>
      </c>
      <c r="R64" s="189" t="str">
        <f t="array" ref="R64">IFERROR(IF(INDEX('Disaggregation Records'!$E$3:$E$66,MATCH(RIGHT(Q64,255),RIGHT('Disaggregation Records'!$D$3:$D$66,255),0))=0,"",INDEX('Disaggregation Records'!$E$3:$E$66,MATCH(RIGHT(Q64,255),RIGHT('Disaggregation Records'!$D$3:$D$66,255),0))),"")</f>
        <v/>
      </c>
      <c r="S64" s="189" t="str">
        <f t="array" ref="S64">IFERROR(IF(INDEX('Disaggregation Records'!$F$3:$F$66,MATCH(RIGHT(Q64,255),RIGHT('Disaggregation Records'!$D$3:$D$66,255),0))=0,"",INDEX('Disaggregation Records'!$F$3:$F$66,MATCH(RIGHT(Q64,255),RIGHT('Disaggregation Records'!$D$3:$D$66,255),0))),"")</f>
        <v/>
      </c>
      <c r="T64" s="189" t="str">
        <f t="array" ref="T64">IFERROR(IF(INDEX('Disaggregation Records'!$H$3:$H$66,MATCH(RIGHT(Q64,255),RIGHT('Disaggregation Records'!$D$3:$D$66,255),0))=0,"",INDEX('Disaggregation Records'!$H$3:$H$66,MATCH(RIGHT(Q64,255),RIGHT('Disaggregation Records'!$D$3:$D$66,255),0))),"")</f>
        <v/>
      </c>
      <c r="U64" s="189">
        <f t="shared" ref="U64" si="215">U62+1</f>
        <v>1210</v>
      </c>
      <c r="V64" s="189" t="str">
        <f t="array" ref="V64">IFERROR(IF(INDEX('Disaggregation Records'!$I$3:$I$66,MATCH(RIGHT(Q64,255),RIGHT('Disaggregation Records'!$D$3:$D$66,255),0))=0,"",INDEX('Disaggregation Records'!$I$3:$I$66,MATCH(RIGHT(Q64,255),RIGHT('Disaggregation Records'!$D$3:$D$66,255),0))),"")</f>
        <v/>
      </c>
      <c r="W64" s="189" t="str">
        <f>IFERROR(INDEX('Reference Records'!O$3:O$15,MATCH(LEFT(C64,255),'Reference Records'!J$3:J$15,0)),"")</f>
        <v/>
      </c>
    </row>
    <row r="65" spans="1:23" s="189" customFormat="1" ht="40.200000000000003" customHeight="1" x14ac:dyDescent="0.3">
      <c r="A65" s="678"/>
      <c r="B65" s="675">
        <v>2.2894736842105301</v>
      </c>
      <c r="C65" s="667"/>
      <c r="D65" s="677"/>
      <c r="E65" s="677"/>
      <c r="F65" s="202"/>
      <c r="G65" s="669"/>
      <c r="H65" s="671"/>
      <c r="I65" s="673"/>
      <c r="J65" s="652"/>
      <c r="K65" s="667"/>
      <c r="L65" s="667"/>
      <c r="M65" s="652"/>
      <c r="N65" s="652"/>
      <c r="P65" s="190"/>
      <c r="Q65" s="190"/>
      <c r="R65" s="190"/>
      <c r="S65" s="190"/>
      <c r="T65" s="190"/>
      <c r="U65" s="190"/>
      <c r="V65" s="190"/>
      <c r="W65" s="190"/>
    </row>
    <row r="66" spans="1:23" s="189" customFormat="1" ht="40.200000000000003" customHeight="1" x14ac:dyDescent="0.3">
      <c r="A66" s="678" t="str">
        <f t="shared" ca="1" si="7"/>
        <v>a1G3p000003GJ46EAG</v>
      </c>
      <c r="B66" s="674">
        <v>3</v>
      </c>
      <c r="C66" s="666" t="str">
        <f>IFERROR(VLOOKUP(B66,'Impact Indicators - Section B '!$A$9:$AF$52,32,FALSE),"")</f>
        <v/>
      </c>
      <c r="D66" s="676" t="str">
        <f t="shared" ref="D66" si="216">R66</f>
        <v/>
      </c>
      <c r="E66" s="676" t="str">
        <f t="shared" ref="E66" si="217">S66</f>
        <v/>
      </c>
      <c r="F66" s="194"/>
      <c r="G66" s="668" t="str">
        <f t="shared" ref="G66" ca="1" si="218">IF(OR(INDIRECT("'update Helper'!E"&amp;U66)=0,F66&lt;&gt;0,F67&lt;&gt;0),IF(IFERROR((F66/F67),"")="","",(F66/F67)),INDIRECT("'update Helper'!E"&amp;U66)/100)</f>
        <v/>
      </c>
      <c r="H66" s="670"/>
      <c r="I66" s="672"/>
      <c r="J66" s="651"/>
      <c r="K66" s="666" t="str">
        <f t="shared" ref="K66" si="219">W66</f>
        <v/>
      </c>
      <c r="L66" s="666" t="str">
        <f t="shared" ref="L66" si="220">V66</f>
        <v/>
      </c>
      <c r="M66" s="651"/>
      <c r="N66" s="651"/>
      <c r="P66" s="189">
        <f t="shared" ref="P66" si="221">IF(AND(EXACT(C66,C64),C64&lt;&gt;0),P64+1,0)</f>
        <v>8</v>
      </c>
      <c r="Q66" s="189" t="str">
        <f t="shared" ref="Q66" si="222">IF(C66&lt;&gt;"",C66&amp;"-"&amp;P66,"")</f>
        <v/>
      </c>
      <c r="R66" s="189" t="str">
        <f t="array" ref="R66">IFERROR(IF(INDEX('Disaggregation Records'!$E$3:$E$66,MATCH(RIGHT(Q66,255),RIGHT('Disaggregation Records'!$D$3:$D$66,255),0))=0,"",INDEX('Disaggregation Records'!$E$3:$E$66,MATCH(RIGHT(Q66,255),RIGHT('Disaggregation Records'!$D$3:$D$66,255),0))),"")</f>
        <v/>
      </c>
      <c r="S66" s="189" t="str">
        <f t="array" ref="S66">IFERROR(IF(INDEX('Disaggregation Records'!$F$3:$F$66,MATCH(RIGHT(Q66,255),RIGHT('Disaggregation Records'!$D$3:$D$66,255),0))=0,"",INDEX('Disaggregation Records'!$F$3:$F$66,MATCH(RIGHT(Q66,255),RIGHT('Disaggregation Records'!$D$3:$D$66,255),0))),"")</f>
        <v/>
      </c>
      <c r="T66" s="189" t="str">
        <f t="array" ref="T66">IFERROR(IF(INDEX('Disaggregation Records'!$H$3:$H$66,MATCH(RIGHT(Q66,255),RIGHT('Disaggregation Records'!$D$3:$D$66,255),0))=0,"",INDEX('Disaggregation Records'!$H$3:$H$66,MATCH(RIGHT(Q66,255),RIGHT('Disaggregation Records'!$D$3:$D$66,255),0))),"")</f>
        <v/>
      </c>
      <c r="U66" s="189">
        <f t="shared" ref="U66" si="223">U64+1</f>
        <v>1211</v>
      </c>
      <c r="V66" s="189" t="str">
        <f t="array" ref="V66">IFERROR(IF(INDEX('Disaggregation Records'!$I$3:$I$66,MATCH(RIGHT(Q66,255),RIGHT('Disaggregation Records'!$D$3:$D$66,255),0))=0,"",INDEX('Disaggregation Records'!$I$3:$I$66,MATCH(RIGHT(Q66,255),RIGHT('Disaggregation Records'!$D$3:$D$66,255),0))),"")</f>
        <v/>
      </c>
      <c r="W66" s="189" t="str">
        <f>IFERROR(INDEX('Reference Records'!O$3:O$15,MATCH(LEFT(C66,255),'Reference Records'!J$3:J$15,0)),"")</f>
        <v/>
      </c>
    </row>
    <row r="67" spans="1:23" s="190" customFormat="1" ht="40.200000000000003" customHeight="1" x14ac:dyDescent="0.3">
      <c r="A67" s="678"/>
      <c r="B67" s="675">
        <v>2.2894736842105301</v>
      </c>
      <c r="C67" s="667"/>
      <c r="D67" s="677"/>
      <c r="E67" s="677"/>
      <c r="F67" s="202"/>
      <c r="G67" s="669"/>
      <c r="H67" s="671"/>
      <c r="I67" s="673"/>
      <c r="J67" s="652"/>
      <c r="K67" s="667"/>
      <c r="L67" s="667"/>
      <c r="M67" s="652"/>
      <c r="N67" s="652"/>
    </row>
    <row r="68" spans="1:23" s="189" customFormat="1" ht="40.200000000000003" customHeight="1" x14ac:dyDescent="0.3">
      <c r="A68" s="678" t="str">
        <f t="shared" ca="1" si="7"/>
        <v>a1G3p000003GJ47EAG</v>
      </c>
      <c r="B68" s="674">
        <v>3</v>
      </c>
      <c r="C68" s="666" t="str">
        <f>IFERROR(VLOOKUP(B68,'Impact Indicators - Section B '!$A$9:$AF$52,32,FALSE),"")</f>
        <v/>
      </c>
      <c r="D68" s="676" t="str">
        <f t="shared" ref="D68" si="224">R68</f>
        <v/>
      </c>
      <c r="E68" s="676" t="str">
        <f t="shared" ref="E68" si="225">S68</f>
        <v/>
      </c>
      <c r="F68" s="194"/>
      <c r="G68" s="668" t="str">
        <f t="shared" ref="G68" ca="1" si="226">IF(OR(INDIRECT("'update Helper'!E"&amp;U68)=0,F68&lt;&gt;0,F69&lt;&gt;0),IF(IFERROR((F68/F69),"")="","",(F68/F69)),INDIRECT("'update Helper'!E"&amp;U68)/100)</f>
        <v/>
      </c>
      <c r="H68" s="670"/>
      <c r="I68" s="672"/>
      <c r="J68" s="651"/>
      <c r="K68" s="666" t="str">
        <f t="shared" ref="K68" si="227">W68</f>
        <v/>
      </c>
      <c r="L68" s="666" t="str">
        <f t="shared" ref="L68" si="228">V68</f>
        <v/>
      </c>
      <c r="M68" s="651"/>
      <c r="N68" s="651"/>
      <c r="P68" s="189">
        <f t="shared" ref="P68" si="229">IF(AND(EXACT(C68,C66),C66&lt;&gt;0),P66+1,0)</f>
        <v>9</v>
      </c>
      <c r="Q68" s="189" t="str">
        <f t="shared" ref="Q68" si="230">IF(C68&lt;&gt;"",C68&amp;"-"&amp;P68,"")</f>
        <v/>
      </c>
      <c r="R68" s="189" t="str">
        <f t="array" ref="R68">IFERROR(IF(INDEX('Disaggregation Records'!$E$3:$E$66,MATCH(RIGHT(Q68,255),RIGHT('Disaggregation Records'!$D$3:$D$66,255),0))=0,"",INDEX('Disaggregation Records'!$E$3:$E$66,MATCH(RIGHT(Q68,255),RIGHT('Disaggregation Records'!$D$3:$D$66,255),0))),"")</f>
        <v/>
      </c>
      <c r="S68" s="189" t="str">
        <f t="array" ref="S68">IFERROR(IF(INDEX('Disaggregation Records'!$F$3:$F$66,MATCH(RIGHT(Q68,255),RIGHT('Disaggregation Records'!$D$3:$D$66,255),0))=0,"",INDEX('Disaggregation Records'!$F$3:$F$66,MATCH(RIGHT(Q68,255),RIGHT('Disaggregation Records'!$D$3:$D$66,255),0))),"")</f>
        <v/>
      </c>
      <c r="T68" s="189" t="str">
        <f t="array" ref="T68">IFERROR(IF(INDEX('Disaggregation Records'!$H$3:$H$66,MATCH(RIGHT(Q68,255),RIGHT('Disaggregation Records'!$D$3:$D$66,255),0))=0,"",INDEX('Disaggregation Records'!$H$3:$H$66,MATCH(RIGHT(Q68,255),RIGHT('Disaggregation Records'!$D$3:$D$66,255),0))),"")</f>
        <v/>
      </c>
      <c r="U68" s="189">
        <f t="shared" ref="U68" si="231">U66+1</f>
        <v>1212</v>
      </c>
      <c r="V68" s="189" t="str">
        <f t="array" ref="V68">IFERROR(IF(INDEX('Disaggregation Records'!$I$3:$I$66,MATCH(RIGHT(Q68,255),RIGHT('Disaggregation Records'!$D$3:$D$66,255),0))=0,"",INDEX('Disaggregation Records'!$I$3:$I$66,MATCH(RIGHT(Q68,255),RIGHT('Disaggregation Records'!$D$3:$D$66,255),0))),"")</f>
        <v/>
      </c>
      <c r="W68" s="189" t="str">
        <f>IFERROR(INDEX('Reference Records'!O$3:O$15,MATCH(LEFT(C68,255),'Reference Records'!J$3:J$15,0)),"")</f>
        <v/>
      </c>
    </row>
    <row r="69" spans="1:23" s="190" customFormat="1" ht="40.200000000000003" customHeight="1" x14ac:dyDescent="0.3">
      <c r="A69" s="678"/>
      <c r="B69" s="675">
        <v>2.2894736842105301</v>
      </c>
      <c r="C69" s="667"/>
      <c r="D69" s="677"/>
      <c r="E69" s="677"/>
      <c r="F69" s="202"/>
      <c r="G69" s="669"/>
      <c r="H69" s="671"/>
      <c r="I69" s="673"/>
      <c r="J69" s="652"/>
      <c r="K69" s="667"/>
      <c r="L69" s="667"/>
      <c r="M69" s="652"/>
      <c r="N69" s="652"/>
    </row>
    <row r="70" spans="1:23" s="189" customFormat="1" ht="40.200000000000003" customHeight="1" x14ac:dyDescent="0.3">
      <c r="A70" s="678" t="str">
        <f t="shared" ca="1" si="7"/>
        <v>a1G3p000003GJ48EAG</v>
      </c>
      <c r="B70" s="674">
        <v>4</v>
      </c>
      <c r="C70" s="666" t="str">
        <f>IFERROR(VLOOKUP(B70,'Impact Indicators - Section B '!$A$9:$AF$52,32,FALSE),"")</f>
        <v/>
      </c>
      <c r="D70" s="676" t="str">
        <f t="shared" ref="D70" si="232">R70</f>
        <v/>
      </c>
      <c r="E70" s="676" t="str">
        <f t="shared" ref="E70" si="233">S70</f>
        <v/>
      </c>
      <c r="F70" s="194"/>
      <c r="G70" s="668" t="str">
        <f t="shared" ref="G70" ca="1" si="234">IF(OR(INDIRECT("'update Helper'!E"&amp;U70)=0,F70&lt;&gt;0,F71&lt;&gt;0),IF(IFERROR((F70/F71),"")="","",(F70/F71)),INDIRECT("'update Helper'!E"&amp;U70)/100)</f>
        <v/>
      </c>
      <c r="H70" s="670"/>
      <c r="I70" s="672"/>
      <c r="J70" s="651"/>
      <c r="K70" s="666" t="str">
        <f t="shared" ref="K70" si="235">W70</f>
        <v/>
      </c>
      <c r="L70" s="666" t="str">
        <f t="shared" ref="L70" si="236">V70</f>
        <v/>
      </c>
      <c r="M70" s="651"/>
      <c r="N70" s="651"/>
      <c r="P70" s="189">
        <f t="shared" ref="P70" si="237">IF(AND(EXACT(C70,C68),C68&lt;&gt;0),P68+1,0)</f>
        <v>10</v>
      </c>
      <c r="Q70" s="189" t="str">
        <f t="shared" ref="Q70" si="238">IF(C70&lt;&gt;"",C70&amp;"-"&amp;P70,"")</f>
        <v/>
      </c>
      <c r="R70" s="189" t="str">
        <f t="array" ref="R70">IFERROR(IF(INDEX('Disaggregation Records'!$E$3:$E$66,MATCH(RIGHT(Q70,255),RIGHT('Disaggregation Records'!$D$3:$D$66,255),0))=0,"",INDEX('Disaggregation Records'!$E$3:$E$66,MATCH(RIGHT(Q70,255),RIGHT('Disaggregation Records'!$D$3:$D$66,255),0))),"")</f>
        <v/>
      </c>
      <c r="S70" s="189" t="str">
        <f t="array" ref="S70">IFERROR(IF(INDEX('Disaggregation Records'!$F$3:$F$66,MATCH(RIGHT(Q70,255),RIGHT('Disaggregation Records'!$D$3:$D$66,255),0))=0,"",INDEX('Disaggregation Records'!$F$3:$F$66,MATCH(RIGHT(Q70,255),RIGHT('Disaggregation Records'!$D$3:$D$66,255),0))),"")</f>
        <v/>
      </c>
      <c r="T70" s="189" t="str">
        <f t="array" ref="T70">IFERROR(IF(INDEX('Disaggregation Records'!$H$3:$H$66,MATCH(RIGHT(Q70,255),RIGHT('Disaggregation Records'!$D$3:$D$66,255),0))=0,"",INDEX('Disaggregation Records'!$H$3:$H$66,MATCH(RIGHT(Q70,255),RIGHT('Disaggregation Records'!$D$3:$D$66,255),0))),"")</f>
        <v/>
      </c>
      <c r="U70" s="189">
        <f t="shared" ref="U70" si="239">U68+1</f>
        <v>1213</v>
      </c>
      <c r="V70" s="189" t="str">
        <f t="array" ref="V70">IFERROR(IF(INDEX('Disaggregation Records'!$I$3:$I$66,MATCH(RIGHT(Q70,255),RIGHT('Disaggregation Records'!$D$3:$D$66,255),0))=0,"",INDEX('Disaggregation Records'!$I$3:$I$66,MATCH(RIGHT(Q70,255),RIGHT('Disaggregation Records'!$D$3:$D$66,255),0))),"")</f>
        <v/>
      </c>
      <c r="W70" s="189" t="str">
        <f>IFERROR(INDEX('Reference Records'!O$3:O$15,MATCH(LEFT(C70,255),'Reference Records'!J$3:J$15,0)),"")</f>
        <v/>
      </c>
    </row>
    <row r="71" spans="1:23" s="189" customFormat="1" ht="40.200000000000003" customHeight="1" x14ac:dyDescent="0.3">
      <c r="A71" s="678"/>
      <c r="B71" s="675"/>
      <c r="C71" s="667"/>
      <c r="D71" s="677"/>
      <c r="E71" s="677"/>
      <c r="F71" s="202"/>
      <c r="G71" s="669"/>
      <c r="H71" s="671"/>
      <c r="I71" s="673"/>
      <c r="J71" s="652"/>
      <c r="K71" s="667"/>
      <c r="L71" s="667"/>
      <c r="M71" s="652"/>
      <c r="N71" s="652"/>
      <c r="P71" s="190"/>
      <c r="Q71" s="190"/>
      <c r="R71" s="190"/>
      <c r="S71" s="190"/>
      <c r="T71" s="190"/>
      <c r="U71" s="190"/>
      <c r="V71" s="190"/>
      <c r="W71" s="190"/>
    </row>
    <row r="72" spans="1:23" s="189" customFormat="1" ht="40.200000000000003" customHeight="1" x14ac:dyDescent="0.3">
      <c r="A72" s="678" t="str">
        <f t="shared" ca="1" si="7"/>
        <v>a1G3p000003GJ49EAG</v>
      </c>
      <c r="B72" s="674">
        <v>4</v>
      </c>
      <c r="C72" s="666" t="str">
        <f>IFERROR(VLOOKUP(B72,'Impact Indicators - Section B '!$A$9:$AF$52,32,FALSE),"")</f>
        <v/>
      </c>
      <c r="D72" s="676" t="str">
        <f t="shared" ref="D72" si="240">R72</f>
        <v/>
      </c>
      <c r="E72" s="676" t="str">
        <f t="shared" ref="E72" si="241">S72</f>
        <v/>
      </c>
      <c r="F72" s="194"/>
      <c r="G72" s="668" t="str">
        <f t="shared" ref="G72" ca="1" si="242">IF(OR(INDIRECT("'update Helper'!E"&amp;U72)=0,F72&lt;&gt;0,F73&lt;&gt;0),IF(IFERROR((F72/F73),"")="","",(F72/F73)),INDIRECT("'update Helper'!E"&amp;U72)/100)</f>
        <v/>
      </c>
      <c r="H72" s="670"/>
      <c r="I72" s="672"/>
      <c r="J72" s="651"/>
      <c r="K72" s="666" t="str">
        <f t="shared" ref="K72" si="243">W72</f>
        <v/>
      </c>
      <c r="L72" s="666" t="str">
        <f t="shared" ref="L72" si="244">V72</f>
        <v/>
      </c>
      <c r="M72" s="651"/>
      <c r="N72" s="651"/>
      <c r="P72" s="189">
        <f t="shared" ref="P72" si="245">IF(AND(EXACT(C72,C70),C70&lt;&gt;0),P70+1,0)</f>
        <v>11</v>
      </c>
      <c r="Q72" s="189" t="str">
        <f t="shared" ref="Q72" si="246">IF(C72&lt;&gt;"",C72&amp;"-"&amp;P72,"")</f>
        <v/>
      </c>
      <c r="R72" s="189" t="str">
        <f t="array" ref="R72">IFERROR(IF(INDEX('Disaggregation Records'!$E$3:$E$66,MATCH(RIGHT(Q72,255),RIGHT('Disaggregation Records'!$D$3:$D$66,255),0))=0,"",INDEX('Disaggregation Records'!$E$3:$E$66,MATCH(RIGHT(Q72,255),RIGHT('Disaggregation Records'!$D$3:$D$66,255),0))),"")</f>
        <v/>
      </c>
      <c r="S72" s="189" t="str">
        <f t="array" ref="S72">IFERROR(IF(INDEX('Disaggregation Records'!$F$3:$F$66,MATCH(RIGHT(Q72,255),RIGHT('Disaggregation Records'!$D$3:$D$66,255),0))=0,"",INDEX('Disaggregation Records'!$F$3:$F$66,MATCH(RIGHT(Q72,255),RIGHT('Disaggregation Records'!$D$3:$D$66,255),0))),"")</f>
        <v/>
      </c>
      <c r="T72" s="189" t="str">
        <f t="array" ref="T72">IFERROR(IF(INDEX('Disaggregation Records'!$H$3:$H$66,MATCH(RIGHT(Q72,255),RIGHT('Disaggregation Records'!$D$3:$D$66,255),0))=0,"",INDEX('Disaggregation Records'!$H$3:$H$66,MATCH(RIGHT(Q72,255),RIGHT('Disaggregation Records'!$D$3:$D$66,255),0))),"")</f>
        <v/>
      </c>
      <c r="U72" s="189">
        <f t="shared" ref="U72" si="247">U70+1</f>
        <v>1214</v>
      </c>
      <c r="V72" s="189" t="str">
        <f t="array" ref="V72">IFERROR(IF(INDEX('Disaggregation Records'!$I$3:$I$66,MATCH(RIGHT(Q72,255),RIGHT('Disaggregation Records'!$D$3:$D$66,255),0))=0,"",INDEX('Disaggregation Records'!$I$3:$I$66,MATCH(RIGHT(Q72,255),RIGHT('Disaggregation Records'!$D$3:$D$66,255),0))),"")</f>
        <v/>
      </c>
      <c r="W72" s="189" t="str">
        <f>IFERROR(INDEX('Reference Records'!O$3:O$15,MATCH(LEFT(C72,255),'Reference Records'!J$3:J$15,0)),"")</f>
        <v/>
      </c>
    </row>
    <row r="73" spans="1:23" s="190" customFormat="1" ht="40.200000000000003" customHeight="1" x14ac:dyDescent="0.3">
      <c r="A73" s="678"/>
      <c r="B73" s="675"/>
      <c r="C73" s="667"/>
      <c r="D73" s="677"/>
      <c r="E73" s="677"/>
      <c r="F73" s="202"/>
      <c r="G73" s="669"/>
      <c r="H73" s="671"/>
      <c r="I73" s="673"/>
      <c r="J73" s="652"/>
      <c r="K73" s="667"/>
      <c r="L73" s="667"/>
      <c r="M73" s="652"/>
      <c r="N73" s="652"/>
    </row>
    <row r="74" spans="1:23" s="189" customFormat="1" ht="40.200000000000003" customHeight="1" x14ac:dyDescent="0.3">
      <c r="A74" s="678" t="str">
        <f t="shared" ca="1" si="7"/>
        <v>a1G3p000003GJ4AEAW</v>
      </c>
      <c r="B74" s="674">
        <v>4</v>
      </c>
      <c r="C74" s="666" t="str">
        <f>IFERROR(VLOOKUP(B74,'Impact Indicators - Section B '!$A$9:$AF$52,32,FALSE),"")</f>
        <v/>
      </c>
      <c r="D74" s="676" t="str">
        <f t="shared" ref="D74" si="248">R74</f>
        <v/>
      </c>
      <c r="E74" s="676" t="str">
        <f t="shared" ref="E74" si="249">S74</f>
        <v/>
      </c>
      <c r="F74" s="194"/>
      <c r="G74" s="668" t="str">
        <f t="shared" ref="G74" ca="1" si="250">IF(OR(INDIRECT("'update Helper'!E"&amp;U74)=0,F74&lt;&gt;0,F75&lt;&gt;0),IF(IFERROR((F74/F75),"")="","",(F74/F75)),INDIRECT("'update Helper'!E"&amp;U74)/100)</f>
        <v/>
      </c>
      <c r="H74" s="670"/>
      <c r="I74" s="672"/>
      <c r="J74" s="651"/>
      <c r="K74" s="666" t="str">
        <f t="shared" ref="K74" si="251">W74</f>
        <v/>
      </c>
      <c r="L74" s="666" t="str">
        <f t="shared" ref="L74" si="252">V74</f>
        <v/>
      </c>
      <c r="M74" s="651"/>
      <c r="N74" s="651"/>
      <c r="P74" s="189">
        <f t="shared" ref="P74" si="253">IF(AND(EXACT(C74,C72),C72&lt;&gt;0),P72+1,0)</f>
        <v>12</v>
      </c>
      <c r="Q74" s="189" t="str">
        <f t="shared" ref="Q74" si="254">IF(C74&lt;&gt;"",C74&amp;"-"&amp;P74,"")</f>
        <v/>
      </c>
      <c r="R74" s="189" t="str">
        <f t="array" ref="R74">IFERROR(IF(INDEX('Disaggregation Records'!$E$3:$E$66,MATCH(RIGHT(Q74,255),RIGHT('Disaggregation Records'!$D$3:$D$66,255),0))=0,"",INDEX('Disaggregation Records'!$E$3:$E$66,MATCH(RIGHT(Q74,255),RIGHT('Disaggregation Records'!$D$3:$D$66,255),0))),"")</f>
        <v/>
      </c>
      <c r="S74" s="189" t="str">
        <f t="array" ref="S74">IFERROR(IF(INDEX('Disaggregation Records'!$F$3:$F$66,MATCH(RIGHT(Q74,255),RIGHT('Disaggregation Records'!$D$3:$D$66,255),0))=0,"",INDEX('Disaggregation Records'!$F$3:$F$66,MATCH(RIGHT(Q74,255),RIGHT('Disaggregation Records'!$D$3:$D$66,255),0))),"")</f>
        <v/>
      </c>
      <c r="T74" s="189" t="str">
        <f t="array" ref="T74">IFERROR(IF(INDEX('Disaggregation Records'!$H$3:$H$66,MATCH(RIGHT(Q74,255),RIGHT('Disaggregation Records'!$D$3:$D$66,255),0))=0,"",INDEX('Disaggregation Records'!$H$3:$H$66,MATCH(RIGHT(Q74,255),RIGHT('Disaggregation Records'!$D$3:$D$66,255),0))),"")</f>
        <v/>
      </c>
      <c r="U74" s="189">
        <f t="shared" ref="U74" si="255">U72+1</f>
        <v>1215</v>
      </c>
      <c r="V74" s="189" t="str">
        <f t="array" ref="V74">IFERROR(IF(INDEX('Disaggregation Records'!$I$3:$I$66,MATCH(RIGHT(Q74,255),RIGHT('Disaggregation Records'!$D$3:$D$66,255),0))=0,"",INDEX('Disaggregation Records'!$I$3:$I$66,MATCH(RIGHT(Q74,255),RIGHT('Disaggregation Records'!$D$3:$D$66,255),0))),"")</f>
        <v/>
      </c>
      <c r="W74" s="189" t="str">
        <f>IFERROR(INDEX('Reference Records'!O$3:O$15,MATCH(LEFT(C74,255),'Reference Records'!J$3:J$15,0)),"")</f>
        <v/>
      </c>
    </row>
    <row r="75" spans="1:23" s="190" customFormat="1" ht="40.200000000000003" customHeight="1" x14ac:dyDescent="0.3">
      <c r="A75" s="678"/>
      <c r="B75" s="675"/>
      <c r="C75" s="667"/>
      <c r="D75" s="677"/>
      <c r="E75" s="677"/>
      <c r="F75" s="202"/>
      <c r="G75" s="669"/>
      <c r="H75" s="671"/>
      <c r="I75" s="673"/>
      <c r="J75" s="652"/>
      <c r="K75" s="667"/>
      <c r="L75" s="667"/>
      <c r="M75" s="652"/>
      <c r="N75" s="652"/>
    </row>
    <row r="76" spans="1:23" s="189" customFormat="1" ht="40.200000000000003" customHeight="1" x14ac:dyDescent="0.3">
      <c r="A76" s="678" t="str">
        <f t="shared" ca="1" si="7"/>
        <v>a1G3p000003GJ4BEAW</v>
      </c>
      <c r="B76" s="674">
        <v>4</v>
      </c>
      <c r="C76" s="666" t="str">
        <f>IFERROR(VLOOKUP(B76,'Impact Indicators - Section B '!$A$9:$AF$52,32,FALSE),"")</f>
        <v/>
      </c>
      <c r="D76" s="676" t="str">
        <f t="shared" ref="D76" si="256">R76</f>
        <v/>
      </c>
      <c r="E76" s="676" t="str">
        <f t="shared" ref="E76" si="257">S76</f>
        <v/>
      </c>
      <c r="F76" s="194"/>
      <c r="G76" s="668" t="str">
        <f t="shared" ref="G76" ca="1" si="258">IF(OR(INDIRECT("'update Helper'!E"&amp;U76)=0,F76&lt;&gt;0,F77&lt;&gt;0),IF(IFERROR((F76/F77),"")="","",(F76/F77)),INDIRECT("'update Helper'!E"&amp;U76)/100)</f>
        <v/>
      </c>
      <c r="H76" s="670"/>
      <c r="I76" s="672"/>
      <c r="J76" s="651"/>
      <c r="K76" s="666" t="str">
        <f t="shared" ref="K76" si="259">W76</f>
        <v/>
      </c>
      <c r="L76" s="666" t="str">
        <f t="shared" ref="L76" si="260">V76</f>
        <v/>
      </c>
      <c r="M76" s="651"/>
      <c r="N76" s="651"/>
      <c r="P76" s="189">
        <f t="shared" ref="P76" si="261">IF(AND(EXACT(C76,C74),C74&lt;&gt;0),P74+1,0)</f>
        <v>13</v>
      </c>
      <c r="Q76" s="189" t="str">
        <f t="shared" ref="Q76" si="262">IF(C76&lt;&gt;"",C76&amp;"-"&amp;P76,"")</f>
        <v/>
      </c>
      <c r="R76" s="189" t="str">
        <f t="array" ref="R76">IFERROR(IF(INDEX('Disaggregation Records'!$E$3:$E$66,MATCH(RIGHT(Q76,255),RIGHT('Disaggregation Records'!$D$3:$D$66,255),0))=0,"",INDEX('Disaggregation Records'!$E$3:$E$66,MATCH(RIGHT(Q76,255),RIGHT('Disaggregation Records'!$D$3:$D$66,255),0))),"")</f>
        <v/>
      </c>
      <c r="S76" s="189" t="str">
        <f t="array" ref="S76">IFERROR(IF(INDEX('Disaggregation Records'!$F$3:$F$66,MATCH(RIGHT(Q76,255),RIGHT('Disaggregation Records'!$D$3:$D$66,255),0))=0,"",INDEX('Disaggregation Records'!$F$3:$F$66,MATCH(RIGHT(Q76,255),RIGHT('Disaggregation Records'!$D$3:$D$66,255),0))),"")</f>
        <v/>
      </c>
      <c r="T76" s="189" t="str">
        <f t="array" ref="T76">IFERROR(IF(INDEX('Disaggregation Records'!$H$3:$H$66,MATCH(RIGHT(Q76,255),RIGHT('Disaggregation Records'!$D$3:$D$66,255),0))=0,"",INDEX('Disaggregation Records'!$H$3:$H$66,MATCH(RIGHT(Q76,255),RIGHT('Disaggregation Records'!$D$3:$D$66,255),0))),"")</f>
        <v/>
      </c>
      <c r="U76" s="189">
        <f t="shared" ref="U76" si="263">U74+1</f>
        <v>1216</v>
      </c>
      <c r="V76" s="189" t="str">
        <f t="array" ref="V76">IFERROR(IF(INDEX('Disaggregation Records'!$I$3:$I$66,MATCH(RIGHT(Q76,255),RIGHT('Disaggregation Records'!$D$3:$D$66,255),0))=0,"",INDEX('Disaggregation Records'!$I$3:$I$66,MATCH(RIGHT(Q76,255),RIGHT('Disaggregation Records'!$D$3:$D$66,255),0))),"")</f>
        <v/>
      </c>
      <c r="W76" s="189" t="str">
        <f>IFERROR(INDEX('Reference Records'!O$3:O$15,MATCH(LEFT(C76,255),'Reference Records'!J$3:J$15,0)),"")</f>
        <v/>
      </c>
    </row>
    <row r="77" spans="1:23" s="189" customFormat="1" ht="40.200000000000003" customHeight="1" x14ac:dyDescent="0.3">
      <c r="A77" s="678"/>
      <c r="B77" s="675"/>
      <c r="C77" s="667"/>
      <c r="D77" s="677"/>
      <c r="E77" s="677"/>
      <c r="F77" s="202"/>
      <c r="G77" s="669"/>
      <c r="H77" s="671"/>
      <c r="I77" s="673"/>
      <c r="J77" s="652"/>
      <c r="K77" s="667"/>
      <c r="L77" s="667"/>
      <c r="M77" s="652"/>
      <c r="N77" s="652"/>
      <c r="P77" s="190"/>
      <c r="Q77" s="190"/>
      <c r="R77" s="190"/>
      <c r="S77" s="190"/>
      <c r="T77" s="190"/>
      <c r="U77" s="190"/>
      <c r="V77" s="190"/>
      <c r="W77" s="190"/>
    </row>
    <row r="78" spans="1:23" s="189" customFormat="1" ht="40.200000000000003" customHeight="1" x14ac:dyDescent="0.3">
      <c r="A78" s="678" t="str">
        <f t="shared" ref="A78:A140" ca="1" si="264">INDIRECT("'update Helper'!C"&amp;U78)</f>
        <v>a1G3p000003GJ4CEAW</v>
      </c>
      <c r="B78" s="674">
        <v>4</v>
      </c>
      <c r="C78" s="666" t="str">
        <f>IFERROR(VLOOKUP(B78,'Impact Indicators - Section B '!$A$9:$AF$52,32,FALSE),"")</f>
        <v/>
      </c>
      <c r="D78" s="676" t="str">
        <f t="shared" ref="D78" si="265">R78</f>
        <v/>
      </c>
      <c r="E78" s="676" t="str">
        <f t="shared" ref="E78" si="266">S78</f>
        <v/>
      </c>
      <c r="F78" s="194"/>
      <c r="G78" s="668" t="str">
        <f t="shared" ref="G78" ca="1" si="267">IF(OR(INDIRECT("'update Helper'!E"&amp;U78)=0,F78&lt;&gt;0,F79&lt;&gt;0),IF(IFERROR((F78/F79),"")="","",(F78/F79)),INDIRECT("'update Helper'!E"&amp;U78)/100)</f>
        <v/>
      </c>
      <c r="H78" s="670"/>
      <c r="I78" s="672"/>
      <c r="J78" s="651"/>
      <c r="K78" s="666" t="str">
        <f t="shared" ref="K78" si="268">W78</f>
        <v/>
      </c>
      <c r="L78" s="666" t="str">
        <f t="shared" ref="L78" si="269">V78</f>
        <v/>
      </c>
      <c r="M78" s="651"/>
      <c r="N78" s="651"/>
      <c r="P78" s="189">
        <f t="shared" ref="P78" si="270">IF(AND(EXACT(C78,C76),C76&lt;&gt;0),P76+1,0)</f>
        <v>14</v>
      </c>
      <c r="Q78" s="189" t="str">
        <f t="shared" ref="Q78" si="271">IF(C78&lt;&gt;"",C78&amp;"-"&amp;P78,"")</f>
        <v/>
      </c>
      <c r="R78" s="189" t="str">
        <f t="array" ref="R78">IFERROR(IF(INDEX('Disaggregation Records'!$E$3:$E$66,MATCH(RIGHT(Q78,255),RIGHT('Disaggregation Records'!$D$3:$D$66,255),0))=0,"",INDEX('Disaggregation Records'!$E$3:$E$66,MATCH(RIGHT(Q78,255),RIGHT('Disaggregation Records'!$D$3:$D$66,255),0))),"")</f>
        <v/>
      </c>
      <c r="S78" s="189" t="str">
        <f t="array" ref="S78">IFERROR(IF(INDEX('Disaggregation Records'!$F$3:$F$66,MATCH(RIGHT(Q78,255),RIGHT('Disaggregation Records'!$D$3:$D$66,255),0))=0,"",INDEX('Disaggregation Records'!$F$3:$F$66,MATCH(RIGHT(Q78,255),RIGHT('Disaggregation Records'!$D$3:$D$66,255),0))),"")</f>
        <v/>
      </c>
      <c r="T78" s="189" t="str">
        <f t="array" ref="T78">IFERROR(IF(INDEX('Disaggregation Records'!$H$3:$H$66,MATCH(RIGHT(Q78,255),RIGHT('Disaggregation Records'!$D$3:$D$66,255),0))=0,"",INDEX('Disaggregation Records'!$H$3:$H$66,MATCH(RIGHT(Q78,255),RIGHT('Disaggregation Records'!$D$3:$D$66,255),0))),"")</f>
        <v/>
      </c>
      <c r="U78" s="189">
        <f t="shared" ref="U78" si="272">U76+1</f>
        <v>1217</v>
      </c>
      <c r="V78" s="189" t="str">
        <f t="array" ref="V78">IFERROR(IF(INDEX('Disaggregation Records'!$I$3:$I$66,MATCH(RIGHT(Q78,255),RIGHT('Disaggregation Records'!$D$3:$D$66,255),0))=0,"",INDEX('Disaggregation Records'!$I$3:$I$66,MATCH(RIGHT(Q78,255),RIGHT('Disaggregation Records'!$D$3:$D$66,255),0))),"")</f>
        <v/>
      </c>
      <c r="W78" s="189" t="str">
        <f>IFERROR(INDEX('Reference Records'!O$3:O$15,MATCH(LEFT(C78,255),'Reference Records'!J$3:J$15,0)),"")</f>
        <v/>
      </c>
    </row>
    <row r="79" spans="1:23" s="190" customFormat="1" ht="40.200000000000003" customHeight="1" x14ac:dyDescent="0.3">
      <c r="A79" s="678"/>
      <c r="B79" s="675"/>
      <c r="C79" s="667"/>
      <c r="D79" s="677"/>
      <c r="E79" s="677"/>
      <c r="F79" s="202"/>
      <c r="G79" s="669"/>
      <c r="H79" s="671"/>
      <c r="I79" s="673"/>
      <c r="J79" s="652"/>
      <c r="K79" s="667"/>
      <c r="L79" s="667"/>
      <c r="M79" s="652"/>
      <c r="N79" s="652"/>
    </row>
    <row r="80" spans="1:23" s="189" customFormat="1" ht="40.200000000000003" customHeight="1" x14ac:dyDescent="0.3">
      <c r="A80" s="678" t="str">
        <f t="shared" ca="1" si="264"/>
        <v>a1G3p000003GJ4DEAW</v>
      </c>
      <c r="B80" s="674">
        <v>4</v>
      </c>
      <c r="C80" s="666" t="str">
        <f>IFERROR(VLOOKUP(B80,'Impact Indicators - Section B '!$A$9:$AF$52,32,FALSE),"")</f>
        <v/>
      </c>
      <c r="D80" s="676" t="str">
        <f t="shared" ref="D80" si="273">R80</f>
        <v/>
      </c>
      <c r="E80" s="676" t="str">
        <f t="shared" ref="E80" si="274">S80</f>
        <v/>
      </c>
      <c r="F80" s="194"/>
      <c r="G80" s="668" t="str">
        <f t="shared" ref="G80" ca="1" si="275">IF(OR(INDIRECT("'update Helper'!E"&amp;U80)=0,F80&lt;&gt;0,F81&lt;&gt;0),IF(IFERROR((F80/F81),"")="","",(F80/F81)),INDIRECT("'update Helper'!E"&amp;U80)/100)</f>
        <v/>
      </c>
      <c r="H80" s="670"/>
      <c r="I80" s="672"/>
      <c r="J80" s="651"/>
      <c r="K80" s="666" t="str">
        <f t="shared" ref="K80" si="276">W80</f>
        <v/>
      </c>
      <c r="L80" s="666" t="str">
        <f t="shared" ref="L80" si="277">V80</f>
        <v/>
      </c>
      <c r="M80" s="651"/>
      <c r="N80" s="651"/>
      <c r="P80" s="189">
        <f t="shared" ref="P80" si="278">IF(AND(EXACT(C80,C78),C78&lt;&gt;0),P78+1,0)</f>
        <v>15</v>
      </c>
      <c r="Q80" s="189" t="str">
        <f t="shared" ref="Q80" si="279">IF(C80&lt;&gt;"",C80&amp;"-"&amp;P80,"")</f>
        <v/>
      </c>
      <c r="R80" s="189" t="str">
        <f t="array" ref="R80">IFERROR(IF(INDEX('Disaggregation Records'!$E$3:$E$66,MATCH(RIGHT(Q80,255),RIGHT('Disaggregation Records'!$D$3:$D$66,255),0))=0,"",INDEX('Disaggregation Records'!$E$3:$E$66,MATCH(RIGHT(Q80,255),RIGHT('Disaggregation Records'!$D$3:$D$66,255),0))),"")</f>
        <v/>
      </c>
      <c r="S80" s="189" t="str">
        <f t="array" ref="S80">IFERROR(IF(INDEX('Disaggregation Records'!$F$3:$F$66,MATCH(RIGHT(Q80,255),RIGHT('Disaggregation Records'!$D$3:$D$66,255),0))=0,"",INDEX('Disaggregation Records'!$F$3:$F$66,MATCH(RIGHT(Q80,255),RIGHT('Disaggregation Records'!$D$3:$D$66,255),0))),"")</f>
        <v/>
      </c>
      <c r="T80" s="189" t="str">
        <f t="array" ref="T80">IFERROR(IF(INDEX('Disaggregation Records'!$H$3:$H$66,MATCH(RIGHT(Q80,255),RIGHT('Disaggregation Records'!$D$3:$D$66,255),0))=0,"",INDEX('Disaggregation Records'!$H$3:$H$66,MATCH(RIGHT(Q80,255),RIGHT('Disaggregation Records'!$D$3:$D$66,255),0))),"")</f>
        <v/>
      </c>
      <c r="U80" s="189">
        <f t="shared" ref="U80" si="280">U78+1</f>
        <v>1218</v>
      </c>
      <c r="V80" s="189" t="str">
        <f t="array" ref="V80">IFERROR(IF(INDEX('Disaggregation Records'!$I$3:$I$66,MATCH(RIGHT(Q80,255),RIGHT('Disaggregation Records'!$D$3:$D$66,255),0))=0,"",INDEX('Disaggregation Records'!$I$3:$I$66,MATCH(RIGHT(Q80,255),RIGHT('Disaggregation Records'!$D$3:$D$66,255),0))),"")</f>
        <v/>
      </c>
      <c r="W80" s="189" t="str">
        <f>IFERROR(INDEX('Reference Records'!O$3:O$15,MATCH(LEFT(C80,255),'Reference Records'!J$3:J$15,0)),"")</f>
        <v/>
      </c>
    </row>
    <row r="81" spans="1:23" s="190" customFormat="1" ht="40.200000000000003" customHeight="1" x14ac:dyDescent="0.3">
      <c r="A81" s="678"/>
      <c r="B81" s="675"/>
      <c r="C81" s="667"/>
      <c r="D81" s="677"/>
      <c r="E81" s="677"/>
      <c r="F81" s="202"/>
      <c r="G81" s="669"/>
      <c r="H81" s="671"/>
      <c r="I81" s="673"/>
      <c r="J81" s="652"/>
      <c r="K81" s="667"/>
      <c r="L81" s="667"/>
      <c r="M81" s="652"/>
      <c r="N81" s="652"/>
    </row>
    <row r="82" spans="1:23" s="189" customFormat="1" ht="40.200000000000003" customHeight="1" x14ac:dyDescent="0.3">
      <c r="A82" s="678" t="str">
        <f t="shared" ca="1" si="264"/>
        <v>a1G3p000003GJ4EEAW</v>
      </c>
      <c r="B82" s="674">
        <v>4</v>
      </c>
      <c r="C82" s="666" t="str">
        <f>IFERROR(VLOOKUP(B82,'Impact Indicators - Section B '!$A$9:$AF$52,32,FALSE),"")</f>
        <v/>
      </c>
      <c r="D82" s="676" t="str">
        <f t="shared" ref="D82" si="281">R82</f>
        <v/>
      </c>
      <c r="E82" s="676" t="str">
        <f t="shared" ref="E82" si="282">S82</f>
        <v/>
      </c>
      <c r="F82" s="194"/>
      <c r="G82" s="668" t="str">
        <f t="shared" ref="G82" ca="1" si="283">IF(OR(INDIRECT("'update Helper'!E"&amp;U82)=0,F82&lt;&gt;0,F83&lt;&gt;0),IF(IFERROR((F82/F83),"")="","",(F82/F83)),INDIRECT("'update Helper'!E"&amp;U82)/100)</f>
        <v/>
      </c>
      <c r="H82" s="670"/>
      <c r="I82" s="672"/>
      <c r="J82" s="651"/>
      <c r="K82" s="666" t="str">
        <f t="shared" ref="K82" si="284">W82</f>
        <v/>
      </c>
      <c r="L82" s="666" t="str">
        <f t="shared" ref="L82" si="285">V82</f>
        <v/>
      </c>
      <c r="M82" s="651"/>
      <c r="N82" s="651"/>
      <c r="P82" s="189">
        <f t="shared" ref="P82" si="286">IF(AND(EXACT(C82,C80),C80&lt;&gt;0),P80+1,0)</f>
        <v>16</v>
      </c>
      <c r="Q82" s="189" t="str">
        <f t="shared" ref="Q82" si="287">IF(C82&lt;&gt;"",C82&amp;"-"&amp;P82,"")</f>
        <v/>
      </c>
      <c r="R82" s="189" t="str">
        <f t="array" ref="R82">IFERROR(IF(INDEX('Disaggregation Records'!$E$3:$E$66,MATCH(RIGHT(Q82,255),RIGHT('Disaggregation Records'!$D$3:$D$66,255),0))=0,"",INDEX('Disaggregation Records'!$E$3:$E$66,MATCH(RIGHT(Q82,255),RIGHT('Disaggregation Records'!$D$3:$D$66,255),0))),"")</f>
        <v/>
      </c>
      <c r="S82" s="189" t="str">
        <f t="array" ref="S82">IFERROR(IF(INDEX('Disaggregation Records'!$F$3:$F$66,MATCH(RIGHT(Q82,255),RIGHT('Disaggregation Records'!$D$3:$D$66,255),0))=0,"",INDEX('Disaggregation Records'!$F$3:$F$66,MATCH(RIGHT(Q82,255),RIGHT('Disaggregation Records'!$D$3:$D$66,255),0))),"")</f>
        <v/>
      </c>
      <c r="T82" s="189" t="str">
        <f t="array" ref="T82">IFERROR(IF(INDEX('Disaggregation Records'!$H$3:$H$66,MATCH(RIGHT(Q82,255),RIGHT('Disaggregation Records'!$D$3:$D$66,255),0))=0,"",INDEX('Disaggregation Records'!$H$3:$H$66,MATCH(RIGHT(Q82,255),RIGHT('Disaggregation Records'!$D$3:$D$66,255),0))),"")</f>
        <v/>
      </c>
      <c r="U82" s="189">
        <f t="shared" ref="U82" si="288">U80+1</f>
        <v>1219</v>
      </c>
      <c r="V82" s="189" t="str">
        <f t="array" ref="V82">IFERROR(IF(INDEX('Disaggregation Records'!$I$3:$I$66,MATCH(RIGHT(Q82,255),RIGHT('Disaggregation Records'!$D$3:$D$66,255),0))=0,"",INDEX('Disaggregation Records'!$I$3:$I$66,MATCH(RIGHT(Q82,255),RIGHT('Disaggregation Records'!$D$3:$D$66,255),0))),"")</f>
        <v/>
      </c>
      <c r="W82" s="189" t="str">
        <f>IFERROR(INDEX('Reference Records'!O$3:O$15,MATCH(LEFT(C82,255),'Reference Records'!J$3:J$15,0)),"")</f>
        <v/>
      </c>
    </row>
    <row r="83" spans="1:23" s="189" customFormat="1" ht="40.200000000000003" customHeight="1" x14ac:dyDescent="0.3">
      <c r="A83" s="678"/>
      <c r="B83" s="675"/>
      <c r="C83" s="667"/>
      <c r="D83" s="677"/>
      <c r="E83" s="677"/>
      <c r="F83" s="202"/>
      <c r="G83" s="669"/>
      <c r="H83" s="671"/>
      <c r="I83" s="673"/>
      <c r="J83" s="652"/>
      <c r="K83" s="667"/>
      <c r="L83" s="667"/>
      <c r="M83" s="652"/>
      <c r="N83" s="652"/>
      <c r="P83" s="190"/>
      <c r="Q83" s="190"/>
      <c r="R83" s="190"/>
      <c r="S83" s="190"/>
      <c r="T83" s="190"/>
      <c r="U83" s="190"/>
      <c r="V83" s="190"/>
      <c r="W83" s="190"/>
    </row>
    <row r="84" spans="1:23" s="189" customFormat="1" ht="40.200000000000003" customHeight="1" x14ac:dyDescent="0.3">
      <c r="A84" s="678" t="str">
        <f t="shared" ca="1" si="264"/>
        <v>a1G3p000003GJ4FEAW</v>
      </c>
      <c r="B84" s="674">
        <v>4</v>
      </c>
      <c r="C84" s="666" t="str">
        <f>IFERROR(VLOOKUP(B84,'Impact Indicators - Section B '!$A$9:$AF$52,32,FALSE),"")</f>
        <v/>
      </c>
      <c r="D84" s="676" t="str">
        <f t="shared" ref="D84" si="289">R84</f>
        <v/>
      </c>
      <c r="E84" s="676" t="str">
        <f t="shared" ref="E84" si="290">S84</f>
        <v/>
      </c>
      <c r="F84" s="194"/>
      <c r="G84" s="668" t="str">
        <f t="shared" ref="G84" ca="1" si="291">IF(OR(INDIRECT("'update Helper'!E"&amp;U84)=0,F84&lt;&gt;0,F85&lt;&gt;0),IF(IFERROR((F84/F85),"")="","",(F84/F85)),INDIRECT("'update Helper'!E"&amp;U84)/100)</f>
        <v/>
      </c>
      <c r="H84" s="670"/>
      <c r="I84" s="672"/>
      <c r="J84" s="651"/>
      <c r="K84" s="666" t="str">
        <f t="shared" ref="K84" si="292">W84</f>
        <v/>
      </c>
      <c r="L84" s="666" t="str">
        <f t="shared" ref="L84" si="293">V84</f>
        <v/>
      </c>
      <c r="M84" s="651"/>
      <c r="N84" s="651"/>
      <c r="P84" s="189">
        <f t="shared" ref="P84" si="294">IF(AND(EXACT(C84,C82),C82&lt;&gt;0),P82+1,0)</f>
        <v>17</v>
      </c>
      <c r="Q84" s="189" t="str">
        <f t="shared" ref="Q84" si="295">IF(C84&lt;&gt;"",C84&amp;"-"&amp;P84,"")</f>
        <v/>
      </c>
      <c r="R84" s="189" t="str">
        <f t="array" ref="R84">IFERROR(IF(INDEX('Disaggregation Records'!$E$3:$E$66,MATCH(RIGHT(Q84,255),RIGHT('Disaggregation Records'!$D$3:$D$66,255),0))=0,"",INDEX('Disaggregation Records'!$E$3:$E$66,MATCH(RIGHT(Q84,255),RIGHT('Disaggregation Records'!$D$3:$D$66,255),0))),"")</f>
        <v/>
      </c>
      <c r="S84" s="189" t="str">
        <f t="array" ref="S84">IFERROR(IF(INDEX('Disaggregation Records'!$F$3:$F$66,MATCH(RIGHT(Q84,255),RIGHT('Disaggregation Records'!$D$3:$D$66,255),0))=0,"",INDEX('Disaggregation Records'!$F$3:$F$66,MATCH(RIGHT(Q84,255),RIGHT('Disaggregation Records'!$D$3:$D$66,255),0))),"")</f>
        <v/>
      </c>
      <c r="T84" s="189" t="str">
        <f t="array" ref="T84">IFERROR(IF(INDEX('Disaggregation Records'!$H$3:$H$66,MATCH(RIGHT(Q84,255),RIGHT('Disaggregation Records'!$D$3:$D$66,255),0))=0,"",INDEX('Disaggregation Records'!$H$3:$H$66,MATCH(RIGHT(Q84,255),RIGHT('Disaggregation Records'!$D$3:$D$66,255),0))),"")</f>
        <v/>
      </c>
      <c r="U84" s="189">
        <f t="shared" ref="U84" si="296">U82+1</f>
        <v>1220</v>
      </c>
      <c r="V84" s="189" t="str">
        <f t="array" ref="V84">IFERROR(IF(INDEX('Disaggregation Records'!$I$3:$I$66,MATCH(RIGHT(Q84,255),RIGHT('Disaggregation Records'!$D$3:$D$66,255),0))=0,"",INDEX('Disaggregation Records'!$I$3:$I$66,MATCH(RIGHT(Q84,255),RIGHT('Disaggregation Records'!$D$3:$D$66,255),0))),"")</f>
        <v/>
      </c>
      <c r="W84" s="189" t="str">
        <f>IFERROR(INDEX('Reference Records'!O$3:O$15,MATCH(LEFT(C84,255),'Reference Records'!J$3:J$15,0)),"")</f>
        <v/>
      </c>
    </row>
    <row r="85" spans="1:23" s="190" customFormat="1" ht="40.200000000000003" customHeight="1" x14ac:dyDescent="0.3">
      <c r="A85" s="678"/>
      <c r="B85" s="675"/>
      <c r="C85" s="667"/>
      <c r="D85" s="677"/>
      <c r="E85" s="677"/>
      <c r="F85" s="202"/>
      <c r="G85" s="669"/>
      <c r="H85" s="671"/>
      <c r="I85" s="673"/>
      <c r="J85" s="652"/>
      <c r="K85" s="667"/>
      <c r="L85" s="667"/>
      <c r="M85" s="652"/>
      <c r="N85" s="652"/>
    </row>
    <row r="86" spans="1:23" s="189" customFormat="1" ht="40.200000000000003" customHeight="1" x14ac:dyDescent="0.3">
      <c r="A86" s="678" t="str">
        <f t="shared" ca="1" si="264"/>
        <v>a1G3p000003GJ4GEAW</v>
      </c>
      <c r="B86" s="674">
        <v>4</v>
      </c>
      <c r="C86" s="666" t="str">
        <f>IFERROR(VLOOKUP(B86,'Impact Indicators - Section B '!$A$9:$AF$52,32,FALSE),"")</f>
        <v/>
      </c>
      <c r="D86" s="676" t="str">
        <f t="shared" ref="D86" si="297">R86</f>
        <v/>
      </c>
      <c r="E86" s="676" t="str">
        <f t="shared" ref="E86" si="298">S86</f>
        <v/>
      </c>
      <c r="F86" s="194"/>
      <c r="G86" s="668" t="str">
        <f t="shared" ref="G86" ca="1" si="299">IF(OR(INDIRECT("'update Helper'!E"&amp;U86)=0,F86&lt;&gt;0,F87&lt;&gt;0),IF(IFERROR((F86/F87),"")="","",(F86/F87)),INDIRECT("'update Helper'!E"&amp;U86)/100)</f>
        <v/>
      </c>
      <c r="H86" s="670"/>
      <c r="I86" s="672"/>
      <c r="J86" s="651"/>
      <c r="K86" s="666" t="str">
        <f t="shared" ref="K86" si="300">W86</f>
        <v/>
      </c>
      <c r="L86" s="666" t="str">
        <f t="shared" ref="L86" si="301">V86</f>
        <v/>
      </c>
      <c r="M86" s="651"/>
      <c r="N86" s="651"/>
      <c r="P86" s="189">
        <f t="shared" ref="P86" si="302">IF(AND(EXACT(C86,C84),C84&lt;&gt;0),P84+1,0)</f>
        <v>18</v>
      </c>
      <c r="Q86" s="189" t="str">
        <f t="shared" ref="Q86" si="303">IF(C86&lt;&gt;"",C86&amp;"-"&amp;P86,"")</f>
        <v/>
      </c>
      <c r="R86" s="189" t="str">
        <f t="array" ref="R86">IFERROR(IF(INDEX('Disaggregation Records'!$E$3:$E$66,MATCH(RIGHT(Q86,255),RIGHT('Disaggregation Records'!$D$3:$D$66,255),0))=0,"",INDEX('Disaggregation Records'!$E$3:$E$66,MATCH(RIGHT(Q86,255),RIGHT('Disaggregation Records'!$D$3:$D$66,255),0))),"")</f>
        <v/>
      </c>
      <c r="S86" s="189" t="str">
        <f t="array" ref="S86">IFERROR(IF(INDEX('Disaggregation Records'!$F$3:$F$66,MATCH(RIGHT(Q86,255),RIGHT('Disaggregation Records'!$D$3:$D$66,255),0))=0,"",INDEX('Disaggregation Records'!$F$3:$F$66,MATCH(RIGHT(Q86,255),RIGHT('Disaggregation Records'!$D$3:$D$66,255),0))),"")</f>
        <v/>
      </c>
      <c r="T86" s="189" t="str">
        <f t="array" ref="T86">IFERROR(IF(INDEX('Disaggregation Records'!$H$3:$H$66,MATCH(RIGHT(Q86,255),RIGHT('Disaggregation Records'!$D$3:$D$66,255),0))=0,"",INDEX('Disaggregation Records'!$H$3:$H$66,MATCH(RIGHT(Q86,255),RIGHT('Disaggregation Records'!$D$3:$D$66,255),0))),"")</f>
        <v/>
      </c>
      <c r="U86" s="189">
        <f t="shared" ref="U86" si="304">U84+1</f>
        <v>1221</v>
      </c>
      <c r="V86" s="189" t="str">
        <f t="array" ref="V86">IFERROR(IF(INDEX('Disaggregation Records'!$I$3:$I$66,MATCH(RIGHT(Q86,255),RIGHT('Disaggregation Records'!$D$3:$D$66,255),0))=0,"",INDEX('Disaggregation Records'!$I$3:$I$66,MATCH(RIGHT(Q86,255),RIGHT('Disaggregation Records'!$D$3:$D$66,255),0))),"")</f>
        <v/>
      </c>
      <c r="W86" s="189" t="str">
        <f>IFERROR(INDEX('Reference Records'!O$3:O$15,MATCH(LEFT(C86,255),'Reference Records'!J$3:J$15,0)),"")</f>
        <v/>
      </c>
    </row>
    <row r="87" spans="1:23" s="190" customFormat="1" ht="40.200000000000003" customHeight="1" x14ac:dyDescent="0.3">
      <c r="A87" s="678"/>
      <c r="B87" s="675"/>
      <c r="C87" s="667"/>
      <c r="D87" s="677"/>
      <c r="E87" s="677"/>
      <c r="F87" s="202"/>
      <c r="G87" s="669"/>
      <c r="H87" s="671"/>
      <c r="I87" s="673"/>
      <c r="J87" s="652"/>
      <c r="K87" s="667"/>
      <c r="L87" s="667"/>
      <c r="M87" s="652"/>
      <c r="N87" s="652"/>
    </row>
    <row r="88" spans="1:23" s="189" customFormat="1" ht="40.200000000000003" customHeight="1" x14ac:dyDescent="0.3">
      <c r="A88" s="678" t="str">
        <f t="shared" ca="1" si="264"/>
        <v>a1G3p000003GJ4HEAW</v>
      </c>
      <c r="B88" s="674">
        <v>4</v>
      </c>
      <c r="C88" s="666" t="str">
        <f>IFERROR(VLOOKUP(B88,'Impact Indicators - Section B '!$A$9:$AF$52,32,FALSE),"")</f>
        <v/>
      </c>
      <c r="D88" s="676" t="str">
        <f t="shared" ref="D88" si="305">R88</f>
        <v/>
      </c>
      <c r="E88" s="676" t="str">
        <f t="shared" ref="E88" si="306">S88</f>
        <v/>
      </c>
      <c r="F88" s="194"/>
      <c r="G88" s="668" t="str">
        <f t="shared" ref="G88" ca="1" si="307">IF(OR(INDIRECT("'update Helper'!E"&amp;U88)=0,F88&lt;&gt;0,F89&lt;&gt;0),IF(IFERROR((F88/F89),"")="","",(F88/F89)),INDIRECT("'update Helper'!E"&amp;U88)/100)</f>
        <v/>
      </c>
      <c r="H88" s="670"/>
      <c r="I88" s="672"/>
      <c r="J88" s="651"/>
      <c r="K88" s="666" t="str">
        <f t="shared" ref="K88" si="308">W88</f>
        <v/>
      </c>
      <c r="L88" s="666" t="str">
        <f t="shared" ref="L88" si="309">V88</f>
        <v/>
      </c>
      <c r="M88" s="651"/>
      <c r="N88" s="651"/>
      <c r="P88" s="189">
        <f t="shared" ref="P88" si="310">IF(AND(EXACT(C88,C86),C86&lt;&gt;0),P86+1,0)</f>
        <v>19</v>
      </c>
      <c r="Q88" s="189" t="str">
        <f t="shared" ref="Q88" si="311">IF(C88&lt;&gt;"",C88&amp;"-"&amp;P88,"")</f>
        <v/>
      </c>
      <c r="R88" s="189" t="str">
        <f t="array" ref="R88">IFERROR(IF(INDEX('Disaggregation Records'!$E$3:$E$66,MATCH(RIGHT(Q88,255),RIGHT('Disaggregation Records'!$D$3:$D$66,255),0))=0,"",INDEX('Disaggregation Records'!$E$3:$E$66,MATCH(RIGHT(Q88,255),RIGHT('Disaggregation Records'!$D$3:$D$66,255),0))),"")</f>
        <v/>
      </c>
      <c r="S88" s="189" t="str">
        <f t="array" ref="S88">IFERROR(IF(INDEX('Disaggregation Records'!$F$3:$F$66,MATCH(RIGHT(Q88,255),RIGHT('Disaggregation Records'!$D$3:$D$66,255),0))=0,"",INDEX('Disaggregation Records'!$F$3:$F$66,MATCH(RIGHT(Q88,255),RIGHT('Disaggregation Records'!$D$3:$D$66,255),0))),"")</f>
        <v/>
      </c>
      <c r="T88" s="189" t="str">
        <f t="array" ref="T88">IFERROR(IF(INDEX('Disaggregation Records'!$H$3:$H$66,MATCH(RIGHT(Q88,255),RIGHT('Disaggregation Records'!$D$3:$D$66,255),0))=0,"",INDEX('Disaggregation Records'!$H$3:$H$66,MATCH(RIGHT(Q88,255),RIGHT('Disaggregation Records'!$D$3:$D$66,255),0))),"")</f>
        <v/>
      </c>
      <c r="U88" s="189">
        <f t="shared" ref="U88" si="312">U86+1</f>
        <v>1222</v>
      </c>
      <c r="V88" s="189" t="str">
        <f t="array" ref="V88">IFERROR(IF(INDEX('Disaggregation Records'!$I$3:$I$66,MATCH(RIGHT(Q88,255),RIGHT('Disaggregation Records'!$D$3:$D$66,255),0))=0,"",INDEX('Disaggregation Records'!$I$3:$I$66,MATCH(RIGHT(Q88,255),RIGHT('Disaggregation Records'!$D$3:$D$66,255),0))),"")</f>
        <v/>
      </c>
      <c r="W88" s="189" t="str">
        <f>IFERROR(INDEX('Reference Records'!O$3:O$15,MATCH(LEFT(C88,255),'Reference Records'!J$3:J$15,0)),"")</f>
        <v/>
      </c>
    </row>
    <row r="89" spans="1:23" s="189" customFormat="1" ht="40.200000000000003" customHeight="1" x14ac:dyDescent="0.3">
      <c r="A89" s="678"/>
      <c r="B89" s="675"/>
      <c r="C89" s="667"/>
      <c r="D89" s="677"/>
      <c r="E89" s="677"/>
      <c r="F89" s="202"/>
      <c r="G89" s="669"/>
      <c r="H89" s="671"/>
      <c r="I89" s="673"/>
      <c r="J89" s="652"/>
      <c r="K89" s="667"/>
      <c r="L89" s="667"/>
      <c r="M89" s="652"/>
      <c r="N89" s="652"/>
      <c r="P89" s="190"/>
      <c r="Q89" s="190"/>
      <c r="R89" s="190"/>
      <c r="S89" s="190"/>
      <c r="T89" s="190"/>
      <c r="U89" s="190"/>
      <c r="V89" s="190"/>
      <c r="W89" s="190"/>
    </row>
    <row r="90" spans="1:23" s="189" customFormat="1" ht="40.200000000000003" customHeight="1" x14ac:dyDescent="0.3">
      <c r="A90" s="678" t="str">
        <f t="shared" ca="1" si="264"/>
        <v>a1G3p000003GJ4IEAW</v>
      </c>
      <c r="B90" s="674">
        <v>5</v>
      </c>
      <c r="C90" s="666" t="str">
        <f>IFERROR(VLOOKUP(B90,'Impact Indicators - Section B '!$A$9:$AF$52,32,FALSE),"")</f>
        <v/>
      </c>
      <c r="D90" s="676" t="str">
        <f t="shared" ref="D90" si="313">R90</f>
        <v/>
      </c>
      <c r="E90" s="676" t="str">
        <f t="shared" ref="E90" si="314">S90</f>
        <v/>
      </c>
      <c r="F90" s="194"/>
      <c r="G90" s="668" t="str">
        <f t="shared" ref="G90" ca="1" si="315">IF(OR(INDIRECT("'update Helper'!E"&amp;U90)=0,F90&lt;&gt;0,F91&lt;&gt;0),IF(IFERROR((F90/F91),"")="","",(F90/F91)),INDIRECT("'update Helper'!E"&amp;U90)/100)</f>
        <v/>
      </c>
      <c r="H90" s="670"/>
      <c r="I90" s="672"/>
      <c r="J90" s="651"/>
      <c r="K90" s="666" t="str">
        <f t="shared" ref="K90" si="316">W90</f>
        <v/>
      </c>
      <c r="L90" s="666" t="str">
        <f t="shared" ref="L90" si="317">V90</f>
        <v/>
      </c>
      <c r="M90" s="651"/>
      <c r="N90" s="651"/>
      <c r="P90" s="189">
        <f t="shared" ref="P90" si="318">IF(AND(EXACT(C90,C88),C88&lt;&gt;0),P88+1,0)</f>
        <v>20</v>
      </c>
      <c r="Q90" s="189" t="str">
        <f t="shared" ref="Q90" si="319">IF(C90&lt;&gt;"",C90&amp;"-"&amp;P90,"")</f>
        <v/>
      </c>
      <c r="R90" s="189" t="str">
        <f t="array" ref="R90">IFERROR(IF(INDEX('Disaggregation Records'!$E$3:$E$66,MATCH(RIGHT(Q90,255),RIGHT('Disaggregation Records'!$D$3:$D$66,255),0))=0,"",INDEX('Disaggregation Records'!$E$3:$E$66,MATCH(RIGHT(Q90,255),RIGHT('Disaggregation Records'!$D$3:$D$66,255),0))),"")</f>
        <v/>
      </c>
      <c r="S90" s="189" t="str">
        <f t="array" ref="S90">IFERROR(IF(INDEX('Disaggregation Records'!$F$3:$F$66,MATCH(RIGHT(Q90,255),RIGHT('Disaggregation Records'!$D$3:$D$66,255),0))=0,"",INDEX('Disaggregation Records'!$F$3:$F$66,MATCH(RIGHT(Q90,255),RIGHT('Disaggregation Records'!$D$3:$D$66,255),0))),"")</f>
        <v/>
      </c>
      <c r="T90" s="189" t="str">
        <f t="array" ref="T90">IFERROR(IF(INDEX('Disaggregation Records'!$H$3:$H$66,MATCH(RIGHT(Q90,255),RIGHT('Disaggregation Records'!$D$3:$D$66,255),0))=0,"",INDEX('Disaggregation Records'!$H$3:$H$66,MATCH(RIGHT(Q90,255),RIGHT('Disaggregation Records'!$D$3:$D$66,255),0))),"")</f>
        <v/>
      </c>
      <c r="U90" s="189">
        <f t="shared" ref="U90" si="320">U88+1</f>
        <v>1223</v>
      </c>
      <c r="V90" s="189" t="str">
        <f t="array" ref="V90">IFERROR(IF(INDEX('Disaggregation Records'!$I$3:$I$66,MATCH(RIGHT(Q90,255),RIGHT('Disaggregation Records'!$D$3:$D$66,255),0))=0,"",INDEX('Disaggregation Records'!$I$3:$I$66,MATCH(RIGHT(Q90,255),RIGHT('Disaggregation Records'!$D$3:$D$66,255),0))),"")</f>
        <v/>
      </c>
      <c r="W90" s="189" t="str">
        <f>IFERROR(INDEX('Reference Records'!O$3:O$15,MATCH(LEFT(C90,255),'Reference Records'!J$3:J$15,0)),"")</f>
        <v/>
      </c>
    </row>
    <row r="91" spans="1:23" s="190" customFormat="1" ht="40.200000000000003" customHeight="1" x14ac:dyDescent="0.3">
      <c r="A91" s="678"/>
      <c r="B91" s="675">
        <v>3.7556390977443699</v>
      </c>
      <c r="C91" s="667"/>
      <c r="D91" s="677"/>
      <c r="E91" s="677"/>
      <c r="F91" s="202"/>
      <c r="G91" s="669"/>
      <c r="H91" s="671"/>
      <c r="I91" s="673"/>
      <c r="J91" s="652"/>
      <c r="K91" s="667"/>
      <c r="L91" s="667"/>
      <c r="M91" s="652"/>
      <c r="N91" s="652"/>
    </row>
    <row r="92" spans="1:23" s="189" customFormat="1" ht="40.200000000000003" customHeight="1" x14ac:dyDescent="0.3">
      <c r="A92" s="678" t="str">
        <f t="shared" ca="1" si="264"/>
        <v>a1G3p000003GJ4JEAW</v>
      </c>
      <c r="B92" s="674">
        <v>5</v>
      </c>
      <c r="C92" s="666" t="str">
        <f>IFERROR(VLOOKUP(B92,'Impact Indicators - Section B '!$A$9:$AF$52,32,FALSE),"")</f>
        <v/>
      </c>
      <c r="D92" s="676" t="str">
        <f t="shared" ref="D92" si="321">R92</f>
        <v/>
      </c>
      <c r="E92" s="676" t="str">
        <f t="shared" ref="E92" si="322">S92</f>
        <v/>
      </c>
      <c r="F92" s="194"/>
      <c r="G92" s="668" t="str">
        <f t="shared" ref="G92" ca="1" si="323">IF(OR(INDIRECT("'update Helper'!E"&amp;U92)=0,F92&lt;&gt;0,F93&lt;&gt;0),IF(IFERROR((F92/F93),"")="","",(F92/F93)),INDIRECT("'update Helper'!E"&amp;U92)/100)</f>
        <v/>
      </c>
      <c r="H92" s="670"/>
      <c r="I92" s="672"/>
      <c r="J92" s="651"/>
      <c r="K92" s="666" t="str">
        <f t="shared" ref="K92" si="324">W92</f>
        <v/>
      </c>
      <c r="L92" s="666" t="str">
        <f t="shared" ref="L92" si="325">V92</f>
        <v/>
      </c>
      <c r="M92" s="651"/>
      <c r="N92" s="651"/>
      <c r="P92" s="189">
        <f t="shared" ref="P92" si="326">IF(AND(EXACT(C92,C90),C90&lt;&gt;0),P90+1,0)</f>
        <v>21</v>
      </c>
      <c r="Q92" s="189" t="str">
        <f t="shared" ref="Q92" si="327">IF(C92&lt;&gt;"",C92&amp;"-"&amp;P92,"")</f>
        <v/>
      </c>
      <c r="R92" s="189" t="str">
        <f t="array" ref="R92">IFERROR(IF(INDEX('Disaggregation Records'!$E$3:$E$66,MATCH(RIGHT(Q92,255),RIGHT('Disaggregation Records'!$D$3:$D$66,255),0))=0,"",INDEX('Disaggregation Records'!$E$3:$E$66,MATCH(RIGHT(Q92,255),RIGHT('Disaggregation Records'!$D$3:$D$66,255),0))),"")</f>
        <v/>
      </c>
      <c r="S92" s="189" t="str">
        <f t="array" ref="S92">IFERROR(IF(INDEX('Disaggregation Records'!$F$3:$F$66,MATCH(RIGHT(Q92,255),RIGHT('Disaggregation Records'!$D$3:$D$66,255),0))=0,"",INDEX('Disaggregation Records'!$F$3:$F$66,MATCH(RIGHT(Q92,255),RIGHT('Disaggregation Records'!$D$3:$D$66,255),0))),"")</f>
        <v/>
      </c>
      <c r="T92" s="189" t="str">
        <f t="array" ref="T92">IFERROR(IF(INDEX('Disaggregation Records'!$H$3:$H$66,MATCH(RIGHT(Q92,255),RIGHT('Disaggregation Records'!$D$3:$D$66,255),0))=0,"",INDEX('Disaggregation Records'!$H$3:$H$66,MATCH(RIGHT(Q92,255),RIGHT('Disaggregation Records'!$D$3:$D$66,255),0))),"")</f>
        <v/>
      </c>
      <c r="U92" s="189">
        <f t="shared" ref="U92" si="328">U90+1</f>
        <v>1224</v>
      </c>
      <c r="V92" s="189" t="str">
        <f t="array" ref="V92">IFERROR(IF(INDEX('Disaggregation Records'!$I$3:$I$66,MATCH(RIGHT(Q92,255),RIGHT('Disaggregation Records'!$D$3:$D$66,255),0))=0,"",INDEX('Disaggregation Records'!$I$3:$I$66,MATCH(RIGHT(Q92,255),RIGHT('Disaggregation Records'!$D$3:$D$66,255),0))),"")</f>
        <v/>
      </c>
      <c r="W92" s="189" t="str">
        <f>IFERROR(INDEX('Reference Records'!O$3:O$15,MATCH(LEFT(C92,255),'Reference Records'!J$3:J$15,0)),"")</f>
        <v/>
      </c>
    </row>
    <row r="93" spans="1:23" s="190" customFormat="1" ht="40.200000000000003" customHeight="1" x14ac:dyDescent="0.3">
      <c r="A93" s="678"/>
      <c r="B93" s="675">
        <v>3.7556390977443699</v>
      </c>
      <c r="C93" s="667"/>
      <c r="D93" s="677"/>
      <c r="E93" s="677"/>
      <c r="F93" s="202"/>
      <c r="G93" s="669"/>
      <c r="H93" s="671"/>
      <c r="I93" s="673"/>
      <c r="J93" s="652"/>
      <c r="K93" s="667"/>
      <c r="L93" s="667"/>
      <c r="M93" s="652"/>
      <c r="N93" s="652"/>
    </row>
    <row r="94" spans="1:23" s="189" customFormat="1" ht="40.200000000000003" customHeight="1" x14ac:dyDescent="0.3">
      <c r="A94" s="678" t="str">
        <f t="shared" ca="1" si="264"/>
        <v>a1G3p000003GJ4KEAW</v>
      </c>
      <c r="B94" s="674">
        <v>5</v>
      </c>
      <c r="C94" s="666" t="str">
        <f>IFERROR(VLOOKUP(B94,'Impact Indicators - Section B '!$A$9:$AF$52,32,FALSE),"")</f>
        <v/>
      </c>
      <c r="D94" s="676" t="str">
        <f t="shared" ref="D94" si="329">R94</f>
        <v/>
      </c>
      <c r="E94" s="676" t="str">
        <f t="shared" ref="E94" si="330">S94</f>
        <v/>
      </c>
      <c r="F94" s="194"/>
      <c r="G94" s="668" t="str">
        <f t="shared" ref="G94" ca="1" si="331">IF(OR(INDIRECT("'update Helper'!E"&amp;U94)=0,F94&lt;&gt;0,F95&lt;&gt;0),IF(IFERROR((F94/F95),"")="","",(F94/F95)),INDIRECT("'update Helper'!E"&amp;U94)/100)</f>
        <v/>
      </c>
      <c r="H94" s="670"/>
      <c r="I94" s="672"/>
      <c r="J94" s="651"/>
      <c r="K94" s="666" t="str">
        <f t="shared" ref="K94" si="332">W94</f>
        <v/>
      </c>
      <c r="L94" s="666" t="str">
        <f t="shared" ref="L94" si="333">V94</f>
        <v/>
      </c>
      <c r="M94" s="651"/>
      <c r="N94" s="651"/>
      <c r="P94" s="189">
        <f t="shared" ref="P94" si="334">IF(AND(EXACT(C94,C92),C92&lt;&gt;0),P92+1,0)</f>
        <v>22</v>
      </c>
      <c r="Q94" s="189" t="str">
        <f t="shared" ref="Q94" si="335">IF(C94&lt;&gt;"",C94&amp;"-"&amp;P94,"")</f>
        <v/>
      </c>
      <c r="R94" s="189" t="str">
        <f t="array" ref="R94">IFERROR(IF(INDEX('Disaggregation Records'!$E$3:$E$66,MATCH(RIGHT(Q94,255),RIGHT('Disaggregation Records'!$D$3:$D$66,255),0))=0,"",INDEX('Disaggregation Records'!$E$3:$E$66,MATCH(RIGHT(Q94,255),RIGHT('Disaggregation Records'!$D$3:$D$66,255),0))),"")</f>
        <v/>
      </c>
      <c r="S94" s="189" t="str">
        <f t="array" ref="S94">IFERROR(IF(INDEX('Disaggregation Records'!$F$3:$F$66,MATCH(RIGHT(Q94,255),RIGHT('Disaggregation Records'!$D$3:$D$66,255),0))=0,"",INDEX('Disaggregation Records'!$F$3:$F$66,MATCH(RIGHT(Q94,255),RIGHT('Disaggregation Records'!$D$3:$D$66,255),0))),"")</f>
        <v/>
      </c>
      <c r="T94" s="189" t="str">
        <f t="array" ref="T94">IFERROR(IF(INDEX('Disaggregation Records'!$H$3:$H$66,MATCH(RIGHT(Q94,255),RIGHT('Disaggregation Records'!$D$3:$D$66,255),0))=0,"",INDEX('Disaggregation Records'!$H$3:$H$66,MATCH(RIGHT(Q94,255),RIGHT('Disaggregation Records'!$D$3:$D$66,255),0))),"")</f>
        <v/>
      </c>
      <c r="U94" s="189">
        <f t="shared" ref="U94" si="336">U92+1</f>
        <v>1225</v>
      </c>
      <c r="V94" s="189" t="str">
        <f t="array" ref="V94">IFERROR(IF(INDEX('Disaggregation Records'!$I$3:$I$66,MATCH(RIGHT(Q94,255),RIGHT('Disaggregation Records'!$D$3:$D$66,255),0))=0,"",INDEX('Disaggregation Records'!$I$3:$I$66,MATCH(RIGHT(Q94,255),RIGHT('Disaggregation Records'!$D$3:$D$66,255),0))),"")</f>
        <v/>
      </c>
      <c r="W94" s="189" t="str">
        <f>IFERROR(INDEX('Reference Records'!O$3:O$15,MATCH(LEFT(C94,255),'Reference Records'!J$3:J$15,0)),"")</f>
        <v/>
      </c>
    </row>
    <row r="95" spans="1:23" s="189" customFormat="1" ht="40.200000000000003" customHeight="1" x14ac:dyDescent="0.3">
      <c r="A95" s="678"/>
      <c r="B95" s="675">
        <v>3.7556390977443699</v>
      </c>
      <c r="C95" s="667"/>
      <c r="D95" s="677"/>
      <c r="E95" s="677"/>
      <c r="F95" s="202"/>
      <c r="G95" s="669"/>
      <c r="H95" s="671"/>
      <c r="I95" s="673"/>
      <c r="J95" s="652"/>
      <c r="K95" s="667"/>
      <c r="L95" s="667"/>
      <c r="M95" s="652"/>
      <c r="N95" s="652"/>
      <c r="P95" s="190"/>
      <c r="Q95" s="190"/>
      <c r="R95" s="190"/>
      <c r="S95" s="190"/>
      <c r="T95" s="190"/>
      <c r="U95" s="190"/>
      <c r="V95" s="190"/>
      <c r="W95" s="190"/>
    </row>
    <row r="96" spans="1:23" s="189" customFormat="1" ht="40.200000000000003" customHeight="1" x14ac:dyDescent="0.3">
      <c r="A96" s="678" t="str">
        <f t="shared" ca="1" si="264"/>
        <v>a1G3p000003GJ4LEAW</v>
      </c>
      <c r="B96" s="674">
        <v>5</v>
      </c>
      <c r="C96" s="666" t="str">
        <f>IFERROR(VLOOKUP(B96,'Impact Indicators - Section B '!$A$9:$AF$52,32,FALSE),"")</f>
        <v/>
      </c>
      <c r="D96" s="676" t="str">
        <f t="shared" ref="D96" si="337">R96</f>
        <v/>
      </c>
      <c r="E96" s="676" t="str">
        <f t="shared" ref="E96" si="338">S96</f>
        <v/>
      </c>
      <c r="F96" s="194"/>
      <c r="G96" s="668" t="str">
        <f t="shared" ref="G96" ca="1" si="339">IF(OR(INDIRECT("'update Helper'!E"&amp;U96)=0,F96&lt;&gt;0,F97&lt;&gt;0),IF(IFERROR((F96/F97),"")="","",(F96/F97)),INDIRECT("'update Helper'!E"&amp;U96)/100)</f>
        <v/>
      </c>
      <c r="H96" s="670"/>
      <c r="I96" s="672"/>
      <c r="J96" s="651"/>
      <c r="K96" s="666" t="str">
        <f t="shared" ref="K96" si="340">W96</f>
        <v/>
      </c>
      <c r="L96" s="666" t="str">
        <f t="shared" ref="L96" si="341">V96</f>
        <v/>
      </c>
      <c r="M96" s="651"/>
      <c r="N96" s="651"/>
      <c r="P96" s="189">
        <f t="shared" ref="P96" si="342">IF(AND(EXACT(C96,C94),C94&lt;&gt;0),P94+1,0)</f>
        <v>23</v>
      </c>
      <c r="Q96" s="189" t="str">
        <f t="shared" ref="Q96" si="343">IF(C96&lt;&gt;"",C96&amp;"-"&amp;P96,"")</f>
        <v/>
      </c>
      <c r="R96" s="189" t="str">
        <f t="array" ref="R96">IFERROR(IF(INDEX('Disaggregation Records'!$E$3:$E$66,MATCH(RIGHT(Q96,255),RIGHT('Disaggregation Records'!$D$3:$D$66,255),0))=0,"",INDEX('Disaggregation Records'!$E$3:$E$66,MATCH(RIGHT(Q96,255),RIGHT('Disaggregation Records'!$D$3:$D$66,255),0))),"")</f>
        <v/>
      </c>
      <c r="S96" s="189" t="str">
        <f t="array" ref="S96">IFERROR(IF(INDEX('Disaggregation Records'!$F$3:$F$66,MATCH(RIGHT(Q96,255),RIGHT('Disaggregation Records'!$D$3:$D$66,255),0))=0,"",INDEX('Disaggregation Records'!$F$3:$F$66,MATCH(RIGHT(Q96,255),RIGHT('Disaggregation Records'!$D$3:$D$66,255),0))),"")</f>
        <v/>
      </c>
      <c r="T96" s="189" t="str">
        <f t="array" ref="T96">IFERROR(IF(INDEX('Disaggregation Records'!$H$3:$H$66,MATCH(RIGHT(Q96,255),RIGHT('Disaggregation Records'!$D$3:$D$66,255),0))=0,"",INDEX('Disaggregation Records'!$H$3:$H$66,MATCH(RIGHT(Q96,255),RIGHT('Disaggregation Records'!$D$3:$D$66,255),0))),"")</f>
        <v/>
      </c>
      <c r="U96" s="189">
        <f t="shared" ref="U96" si="344">U94+1</f>
        <v>1226</v>
      </c>
      <c r="V96" s="189" t="str">
        <f t="array" ref="V96">IFERROR(IF(INDEX('Disaggregation Records'!$I$3:$I$66,MATCH(RIGHT(Q96,255),RIGHT('Disaggregation Records'!$D$3:$D$66,255),0))=0,"",INDEX('Disaggregation Records'!$I$3:$I$66,MATCH(RIGHT(Q96,255),RIGHT('Disaggregation Records'!$D$3:$D$66,255),0))),"")</f>
        <v/>
      </c>
      <c r="W96" s="189" t="str">
        <f>IFERROR(INDEX('Reference Records'!O$3:O$15,MATCH(LEFT(C96,255),'Reference Records'!J$3:J$15,0)),"")</f>
        <v/>
      </c>
    </row>
    <row r="97" spans="1:23" s="190" customFormat="1" ht="40.200000000000003" customHeight="1" x14ac:dyDescent="0.3">
      <c r="A97" s="678"/>
      <c r="B97" s="675">
        <v>3.7556390977443699</v>
      </c>
      <c r="C97" s="667"/>
      <c r="D97" s="677"/>
      <c r="E97" s="677"/>
      <c r="F97" s="202"/>
      <c r="G97" s="669"/>
      <c r="H97" s="671"/>
      <c r="I97" s="673"/>
      <c r="J97" s="652"/>
      <c r="K97" s="667"/>
      <c r="L97" s="667"/>
      <c r="M97" s="652"/>
      <c r="N97" s="652"/>
    </row>
    <row r="98" spans="1:23" s="189" customFormat="1" ht="40.200000000000003" customHeight="1" x14ac:dyDescent="0.3">
      <c r="A98" s="678" t="str">
        <f t="shared" ca="1" si="264"/>
        <v>a1G3p000003GJ4MEAW</v>
      </c>
      <c r="B98" s="674">
        <v>5</v>
      </c>
      <c r="C98" s="666" t="str">
        <f>IFERROR(VLOOKUP(B98,'Impact Indicators - Section B '!$A$9:$AF$52,32,FALSE),"")</f>
        <v/>
      </c>
      <c r="D98" s="676" t="str">
        <f t="shared" ref="D98" si="345">R98</f>
        <v/>
      </c>
      <c r="E98" s="676" t="str">
        <f t="shared" ref="E98" si="346">S98</f>
        <v/>
      </c>
      <c r="F98" s="194"/>
      <c r="G98" s="668" t="str">
        <f t="shared" ref="G98" ca="1" si="347">IF(OR(INDIRECT("'update Helper'!E"&amp;U98)=0,F98&lt;&gt;0,F99&lt;&gt;0),IF(IFERROR((F98/F99),"")="","",(F98/F99)),INDIRECT("'update Helper'!E"&amp;U98)/100)</f>
        <v/>
      </c>
      <c r="H98" s="670"/>
      <c r="I98" s="672"/>
      <c r="J98" s="651"/>
      <c r="K98" s="666" t="str">
        <f t="shared" ref="K98" si="348">W98</f>
        <v/>
      </c>
      <c r="L98" s="666" t="str">
        <f t="shared" ref="L98" si="349">V98</f>
        <v/>
      </c>
      <c r="M98" s="651"/>
      <c r="N98" s="651"/>
      <c r="P98" s="189">
        <f t="shared" ref="P98" si="350">IF(AND(EXACT(C98,C96),C96&lt;&gt;0),P96+1,0)</f>
        <v>24</v>
      </c>
      <c r="Q98" s="189" t="str">
        <f t="shared" ref="Q98" si="351">IF(C98&lt;&gt;"",C98&amp;"-"&amp;P98,"")</f>
        <v/>
      </c>
      <c r="R98" s="189" t="str">
        <f t="array" ref="R98">IFERROR(IF(INDEX('Disaggregation Records'!$E$3:$E$66,MATCH(RIGHT(Q98,255),RIGHT('Disaggregation Records'!$D$3:$D$66,255),0))=0,"",INDEX('Disaggregation Records'!$E$3:$E$66,MATCH(RIGHT(Q98,255),RIGHT('Disaggregation Records'!$D$3:$D$66,255),0))),"")</f>
        <v/>
      </c>
      <c r="S98" s="189" t="str">
        <f t="array" ref="S98">IFERROR(IF(INDEX('Disaggregation Records'!$F$3:$F$66,MATCH(RIGHT(Q98,255),RIGHT('Disaggregation Records'!$D$3:$D$66,255),0))=0,"",INDEX('Disaggregation Records'!$F$3:$F$66,MATCH(RIGHT(Q98,255),RIGHT('Disaggregation Records'!$D$3:$D$66,255),0))),"")</f>
        <v/>
      </c>
      <c r="T98" s="189" t="str">
        <f t="array" ref="T98">IFERROR(IF(INDEX('Disaggregation Records'!$H$3:$H$66,MATCH(RIGHT(Q98,255),RIGHT('Disaggregation Records'!$D$3:$D$66,255),0))=0,"",INDEX('Disaggregation Records'!$H$3:$H$66,MATCH(RIGHT(Q98,255),RIGHT('Disaggregation Records'!$D$3:$D$66,255),0))),"")</f>
        <v/>
      </c>
      <c r="U98" s="189">
        <f t="shared" ref="U98" si="352">U96+1</f>
        <v>1227</v>
      </c>
      <c r="V98" s="189" t="str">
        <f t="array" ref="V98">IFERROR(IF(INDEX('Disaggregation Records'!$I$3:$I$66,MATCH(RIGHT(Q98,255),RIGHT('Disaggregation Records'!$D$3:$D$66,255),0))=0,"",INDEX('Disaggregation Records'!$I$3:$I$66,MATCH(RIGHT(Q98,255),RIGHT('Disaggregation Records'!$D$3:$D$66,255),0))),"")</f>
        <v/>
      </c>
      <c r="W98" s="189" t="str">
        <f>IFERROR(INDEX('Reference Records'!O$3:O$15,MATCH(LEFT(C98,255),'Reference Records'!J$3:J$15,0)),"")</f>
        <v/>
      </c>
    </row>
    <row r="99" spans="1:23" s="190" customFormat="1" ht="40.200000000000003" customHeight="1" x14ac:dyDescent="0.3">
      <c r="A99" s="678"/>
      <c r="B99" s="675">
        <v>3.7556390977443699</v>
      </c>
      <c r="C99" s="667"/>
      <c r="D99" s="677"/>
      <c r="E99" s="677"/>
      <c r="F99" s="202"/>
      <c r="G99" s="669"/>
      <c r="H99" s="671"/>
      <c r="I99" s="673"/>
      <c r="J99" s="652"/>
      <c r="K99" s="667"/>
      <c r="L99" s="667"/>
      <c r="M99" s="652"/>
      <c r="N99" s="652"/>
    </row>
    <row r="100" spans="1:23" s="189" customFormat="1" ht="40.200000000000003" customHeight="1" x14ac:dyDescent="0.3">
      <c r="A100" s="678" t="str">
        <f t="shared" ca="1" si="264"/>
        <v>a1G3p000003GJ4NEAW</v>
      </c>
      <c r="B100" s="674">
        <v>5</v>
      </c>
      <c r="C100" s="666" t="str">
        <f>IFERROR(VLOOKUP(B100,'Impact Indicators - Section B '!$A$9:$AF$52,32,FALSE),"")</f>
        <v/>
      </c>
      <c r="D100" s="676" t="str">
        <f t="shared" ref="D100" si="353">R100</f>
        <v/>
      </c>
      <c r="E100" s="676" t="str">
        <f t="shared" ref="E100" si="354">S100</f>
        <v/>
      </c>
      <c r="F100" s="194"/>
      <c r="G100" s="668" t="str">
        <f t="shared" ref="G100" ca="1" si="355">IF(OR(INDIRECT("'update Helper'!E"&amp;U100)=0,F100&lt;&gt;0,F101&lt;&gt;0),IF(IFERROR((F100/F101),"")="","",(F100/F101)),INDIRECT("'update Helper'!E"&amp;U100)/100)</f>
        <v/>
      </c>
      <c r="H100" s="670"/>
      <c r="I100" s="672"/>
      <c r="J100" s="651"/>
      <c r="K100" s="666" t="str">
        <f t="shared" ref="K100" si="356">W100</f>
        <v/>
      </c>
      <c r="L100" s="666" t="str">
        <f t="shared" ref="L100" si="357">V100</f>
        <v/>
      </c>
      <c r="M100" s="651"/>
      <c r="N100" s="651"/>
      <c r="P100" s="189">
        <f t="shared" ref="P100" si="358">IF(AND(EXACT(C100,C98),C98&lt;&gt;0),P98+1,0)</f>
        <v>25</v>
      </c>
      <c r="Q100" s="189" t="str">
        <f t="shared" ref="Q100" si="359">IF(C100&lt;&gt;"",C100&amp;"-"&amp;P100,"")</f>
        <v/>
      </c>
      <c r="R100" s="189" t="str">
        <f t="array" ref="R100">IFERROR(IF(INDEX('Disaggregation Records'!$E$3:$E$66,MATCH(RIGHT(Q100,255),RIGHT('Disaggregation Records'!$D$3:$D$66,255),0))=0,"",INDEX('Disaggregation Records'!$E$3:$E$66,MATCH(RIGHT(Q100,255),RIGHT('Disaggregation Records'!$D$3:$D$66,255),0))),"")</f>
        <v/>
      </c>
      <c r="S100" s="189" t="str">
        <f t="array" ref="S100">IFERROR(IF(INDEX('Disaggregation Records'!$F$3:$F$66,MATCH(RIGHT(Q100,255),RIGHT('Disaggregation Records'!$D$3:$D$66,255),0))=0,"",INDEX('Disaggregation Records'!$F$3:$F$66,MATCH(RIGHT(Q100,255),RIGHT('Disaggregation Records'!$D$3:$D$66,255),0))),"")</f>
        <v/>
      </c>
      <c r="T100" s="189" t="str">
        <f t="array" ref="T100">IFERROR(IF(INDEX('Disaggregation Records'!$H$3:$H$66,MATCH(RIGHT(Q100,255),RIGHT('Disaggregation Records'!$D$3:$D$66,255),0))=0,"",INDEX('Disaggregation Records'!$H$3:$H$66,MATCH(RIGHT(Q100,255),RIGHT('Disaggregation Records'!$D$3:$D$66,255),0))),"")</f>
        <v/>
      </c>
      <c r="U100" s="189">
        <f t="shared" ref="U100" si="360">U98+1</f>
        <v>1228</v>
      </c>
      <c r="V100" s="189" t="str">
        <f t="array" ref="V100">IFERROR(IF(INDEX('Disaggregation Records'!$I$3:$I$66,MATCH(RIGHT(Q100,255),RIGHT('Disaggregation Records'!$D$3:$D$66,255),0))=0,"",INDEX('Disaggregation Records'!$I$3:$I$66,MATCH(RIGHT(Q100,255),RIGHT('Disaggregation Records'!$D$3:$D$66,255),0))),"")</f>
        <v/>
      </c>
      <c r="W100" s="189" t="str">
        <f>IFERROR(INDEX('Reference Records'!O$3:O$15,MATCH(LEFT(C100,255),'Reference Records'!J$3:J$15,0)),"")</f>
        <v/>
      </c>
    </row>
    <row r="101" spans="1:23" s="189" customFormat="1" ht="40.200000000000003" customHeight="1" x14ac:dyDescent="0.3">
      <c r="A101" s="678"/>
      <c r="B101" s="675">
        <v>3.7556390977443699</v>
      </c>
      <c r="C101" s="667"/>
      <c r="D101" s="677"/>
      <c r="E101" s="677"/>
      <c r="F101" s="202"/>
      <c r="G101" s="669"/>
      <c r="H101" s="671"/>
      <c r="I101" s="673"/>
      <c r="J101" s="652"/>
      <c r="K101" s="667"/>
      <c r="L101" s="667"/>
      <c r="M101" s="652"/>
      <c r="N101" s="652"/>
      <c r="P101" s="190"/>
      <c r="Q101" s="190"/>
      <c r="R101" s="190"/>
      <c r="S101" s="190"/>
      <c r="T101" s="190"/>
      <c r="U101" s="190"/>
      <c r="V101" s="190"/>
      <c r="W101" s="190"/>
    </row>
    <row r="102" spans="1:23" s="189" customFormat="1" ht="40.200000000000003" customHeight="1" x14ac:dyDescent="0.3">
      <c r="A102" s="678" t="str">
        <f t="shared" ca="1" si="264"/>
        <v>a1G3p000003GJ4OEAW</v>
      </c>
      <c r="B102" s="674">
        <v>5</v>
      </c>
      <c r="C102" s="666" t="str">
        <f>IFERROR(VLOOKUP(B102,'Impact Indicators - Section B '!$A$9:$AF$52,32,FALSE),"")</f>
        <v/>
      </c>
      <c r="D102" s="676" t="str">
        <f t="shared" ref="D102" si="361">R102</f>
        <v/>
      </c>
      <c r="E102" s="676" t="str">
        <f t="shared" ref="E102" si="362">S102</f>
        <v/>
      </c>
      <c r="F102" s="194"/>
      <c r="G102" s="668" t="str">
        <f t="shared" ref="G102" ca="1" si="363">IF(OR(INDIRECT("'update Helper'!E"&amp;U102)=0,F102&lt;&gt;0,F103&lt;&gt;0),IF(IFERROR((F102/F103),"")="","",(F102/F103)),INDIRECT("'update Helper'!E"&amp;U102)/100)</f>
        <v/>
      </c>
      <c r="H102" s="670"/>
      <c r="I102" s="672"/>
      <c r="J102" s="651"/>
      <c r="K102" s="666" t="str">
        <f t="shared" ref="K102" si="364">W102</f>
        <v/>
      </c>
      <c r="L102" s="666" t="str">
        <f t="shared" ref="L102" si="365">V102</f>
        <v/>
      </c>
      <c r="M102" s="651"/>
      <c r="N102" s="651"/>
      <c r="P102" s="189">
        <f t="shared" ref="P102" si="366">IF(AND(EXACT(C102,C100),C100&lt;&gt;0),P100+1,0)</f>
        <v>26</v>
      </c>
      <c r="Q102" s="189" t="str">
        <f t="shared" ref="Q102" si="367">IF(C102&lt;&gt;"",C102&amp;"-"&amp;P102,"")</f>
        <v/>
      </c>
      <c r="R102" s="189" t="str">
        <f t="array" ref="R102">IFERROR(IF(INDEX('Disaggregation Records'!$E$3:$E$66,MATCH(RIGHT(Q102,255),RIGHT('Disaggregation Records'!$D$3:$D$66,255),0))=0,"",INDEX('Disaggregation Records'!$E$3:$E$66,MATCH(RIGHT(Q102,255),RIGHT('Disaggregation Records'!$D$3:$D$66,255),0))),"")</f>
        <v/>
      </c>
      <c r="S102" s="189" t="str">
        <f t="array" ref="S102">IFERROR(IF(INDEX('Disaggregation Records'!$F$3:$F$66,MATCH(RIGHT(Q102,255),RIGHT('Disaggregation Records'!$D$3:$D$66,255),0))=0,"",INDEX('Disaggregation Records'!$F$3:$F$66,MATCH(RIGHT(Q102,255),RIGHT('Disaggregation Records'!$D$3:$D$66,255),0))),"")</f>
        <v/>
      </c>
      <c r="T102" s="189" t="str">
        <f t="array" ref="T102">IFERROR(IF(INDEX('Disaggregation Records'!$H$3:$H$66,MATCH(RIGHT(Q102,255),RIGHT('Disaggregation Records'!$D$3:$D$66,255),0))=0,"",INDEX('Disaggregation Records'!$H$3:$H$66,MATCH(RIGHT(Q102,255),RIGHT('Disaggregation Records'!$D$3:$D$66,255),0))),"")</f>
        <v/>
      </c>
      <c r="U102" s="189">
        <f t="shared" ref="U102" si="368">U100+1</f>
        <v>1229</v>
      </c>
      <c r="V102" s="189" t="str">
        <f t="array" ref="V102">IFERROR(IF(INDEX('Disaggregation Records'!$I$3:$I$66,MATCH(RIGHT(Q102,255),RIGHT('Disaggregation Records'!$D$3:$D$66,255),0))=0,"",INDEX('Disaggregation Records'!$I$3:$I$66,MATCH(RIGHT(Q102,255),RIGHT('Disaggregation Records'!$D$3:$D$66,255),0))),"")</f>
        <v/>
      </c>
      <c r="W102" s="189" t="str">
        <f>IFERROR(INDEX('Reference Records'!O$3:O$15,MATCH(LEFT(C102,255),'Reference Records'!J$3:J$15,0)),"")</f>
        <v/>
      </c>
    </row>
    <row r="103" spans="1:23" s="190" customFormat="1" ht="40.200000000000003" customHeight="1" x14ac:dyDescent="0.3">
      <c r="A103" s="678"/>
      <c r="B103" s="675">
        <v>3.7556390977443699</v>
      </c>
      <c r="C103" s="667"/>
      <c r="D103" s="677"/>
      <c r="E103" s="677"/>
      <c r="F103" s="202"/>
      <c r="G103" s="669"/>
      <c r="H103" s="671"/>
      <c r="I103" s="673"/>
      <c r="J103" s="652"/>
      <c r="K103" s="667"/>
      <c r="L103" s="667"/>
      <c r="M103" s="652"/>
      <c r="N103" s="652"/>
    </row>
    <row r="104" spans="1:23" s="189" customFormat="1" ht="40.200000000000003" customHeight="1" x14ac:dyDescent="0.3">
      <c r="A104" s="678" t="str">
        <f t="shared" ca="1" si="264"/>
        <v>a1G3p000003GJ4PEAW</v>
      </c>
      <c r="B104" s="674">
        <v>5</v>
      </c>
      <c r="C104" s="666" t="str">
        <f>IFERROR(VLOOKUP(B104,'Impact Indicators - Section B '!$A$9:$AF$52,32,FALSE),"")</f>
        <v/>
      </c>
      <c r="D104" s="676" t="str">
        <f t="shared" ref="D104" si="369">R104</f>
        <v/>
      </c>
      <c r="E104" s="676" t="str">
        <f t="shared" ref="E104" si="370">S104</f>
        <v/>
      </c>
      <c r="F104" s="194"/>
      <c r="G104" s="668" t="str">
        <f t="shared" ref="G104" ca="1" si="371">IF(OR(INDIRECT("'update Helper'!E"&amp;U104)=0,F104&lt;&gt;0,F105&lt;&gt;0),IF(IFERROR((F104/F105),"")="","",(F104/F105)),INDIRECT("'update Helper'!E"&amp;U104)/100)</f>
        <v/>
      </c>
      <c r="H104" s="670"/>
      <c r="I104" s="672"/>
      <c r="J104" s="651"/>
      <c r="K104" s="666" t="str">
        <f t="shared" ref="K104" si="372">W104</f>
        <v/>
      </c>
      <c r="L104" s="666" t="str">
        <f t="shared" ref="L104" si="373">V104</f>
        <v/>
      </c>
      <c r="M104" s="651"/>
      <c r="N104" s="651"/>
      <c r="P104" s="189">
        <f t="shared" ref="P104" si="374">IF(AND(EXACT(C104,C102),C102&lt;&gt;0),P102+1,0)</f>
        <v>27</v>
      </c>
      <c r="Q104" s="189" t="str">
        <f t="shared" ref="Q104" si="375">IF(C104&lt;&gt;"",C104&amp;"-"&amp;P104,"")</f>
        <v/>
      </c>
      <c r="R104" s="189" t="str">
        <f t="array" ref="R104">IFERROR(IF(INDEX('Disaggregation Records'!$E$3:$E$66,MATCH(RIGHT(Q104,255),RIGHT('Disaggregation Records'!$D$3:$D$66,255),0))=0,"",INDEX('Disaggregation Records'!$E$3:$E$66,MATCH(RIGHT(Q104,255),RIGHT('Disaggregation Records'!$D$3:$D$66,255),0))),"")</f>
        <v/>
      </c>
      <c r="S104" s="189" t="str">
        <f t="array" ref="S104">IFERROR(IF(INDEX('Disaggregation Records'!$F$3:$F$66,MATCH(RIGHT(Q104,255),RIGHT('Disaggregation Records'!$D$3:$D$66,255),0))=0,"",INDEX('Disaggregation Records'!$F$3:$F$66,MATCH(RIGHT(Q104,255),RIGHT('Disaggregation Records'!$D$3:$D$66,255),0))),"")</f>
        <v/>
      </c>
      <c r="T104" s="189" t="str">
        <f t="array" ref="T104">IFERROR(IF(INDEX('Disaggregation Records'!$H$3:$H$66,MATCH(RIGHT(Q104,255),RIGHT('Disaggregation Records'!$D$3:$D$66,255),0))=0,"",INDEX('Disaggregation Records'!$H$3:$H$66,MATCH(RIGHT(Q104,255),RIGHT('Disaggregation Records'!$D$3:$D$66,255),0))),"")</f>
        <v/>
      </c>
      <c r="U104" s="189">
        <f t="shared" ref="U104" si="376">U102+1</f>
        <v>1230</v>
      </c>
      <c r="V104" s="189" t="str">
        <f t="array" ref="V104">IFERROR(IF(INDEX('Disaggregation Records'!$I$3:$I$66,MATCH(RIGHT(Q104,255),RIGHT('Disaggregation Records'!$D$3:$D$66,255),0))=0,"",INDEX('Disaggregation Records'!$I$3:$I$66,MATCH(RIGHT(Q104,255),RIGHT('Disaggregation Records'!$D$3:$D$66,255),0))),"")</f>
        <v/>
      </c>
      <c r="W104" s="189" t="str">
        <f>IFERROR(INDEX('Reference Records'!O$3:O$15,MATCH(LEFT(C104,255),'Reference Records'!J$3:J$15,0)),"")</f>
        <v/>
      </c>
    </row>
    <row r="105" spans="1:23" s="190" customFormat="1" ht="40.200000000000003" customHeight="1" x14ac:dyDescent="0.3">
      <c r="A105" s="678"/>
      <c r="B105" s="675">
        <v>3.7556390977443699</v>
      </c>
      <c r="C105" s="667"/>
      <c r="D105" s="677"/>
      <c r="E105" s="677"/>
      <c r="F105" s="202"/>
      <c r="G105" s="669"/>
      <c r="H105" s="671"/>
      <c r="I105" s="673"/>
      <c r="J105" s="652"/>
      <c r="K105" s="667"/>
      <c r="L105" s="667"/>
      <c r="M105" s="652"/>
      <c r="N105" s="652"/>
    </row>
    <row r="106" spans="1:23" s="189" customFormat="1" ht="40.200000000000003" customHeight="1" x14ac:dyDescent="0.3">
      <c r="A106" s="678" t="str">
        <f t="shared" ca="1" si="264"/>
        <v>a1G3p000003GJ4QEAW</v>
      </c>
      <c r="B106" s="674">
        <v>5</v>
      </c>
      <c r="C106" s="666" t="str">
        <f>IFERROR(VLOOKUP(B106,'Impact Indicators - Section B '!$A$9:$AF$52,32,FALSE),"")</f>
        <v/>
      </c>
      <c r="D106" s="676" t="str">
        <f t="shared" ref="D106" si="377">R106</f>
        <v/>
      </c>
      <c r="E106" s="676" t="str">
        <f t="shared" ref="E106" si="378">S106</f>
        <v/>
      </c>
      <c r="F106" s="194"/>
      <c r="G106" s="668" t="str">
        <f t="shared" ref="G106" ca="1" si="379">IF(OR(INDIRECT("'update Helper'!E"&amp;U106)=0,F106&lt;&gt;0,F107&lt;&gt;0),IF(IFERROR((F106/F107),"")="","",(F106/F107)),INDIRECT("'update Helper'!E"&amp;U106)/100)</f>
        <v/>
      </c>
      <c r="H106" s="670"/>
      <c r="I106" s="672"/>
      <c r="J106" s="651"/>
      <c r="K106" s="666" t="str">
        <f t="shared" ref="K106" si="380">W106</f>
        <v/>
      </c>
      <c r="L106" s="666" t="str">
        <f t="shared" ref="L106" si="381">V106</f>
        <v/>
      </c>
      <c r="M106" s="651"/>
      <c r="N106" s="651"/>
      <c r="P106" s="189">
        <f t="shared" ref="P106" si="382">IF(AND(EXACT(C106,C104),C104&lt;&gt;0),P104+1,0)</f>
        <v>28</v>
      </c>
      <c r="Q106" s="189" t="str">
        <f t="shared" ref="Q106" si="383">IF(C106&lt;&gt;"",C106&amp;"-"&amp;P106,"")</f>
        <v/>
      </c>
      <c r="R106" s="189" t="str">
        <f t="array" ref="R106">IFERROR(IF(INDEX('Disaggregation Records'!$E$3:$E$66,MATCH(RIGHT(Q106,255),RIGHT('Disaggregation Records'!$D$3:$D$66,255),0))=0,"",INDEX('Disaggregation Records'!$E$3:$E$66,MATCH(RIGHT(Q106,255),RIGHT('Disaggregation Records'!$D$3:$D$66,255),0))),"")</f>
        <v/>
      </c>
      <c r="S106" s="189" t="str">
        <f t="array" ref="S106">IFERROR(IF(INDEX('Disaggregation Records'!$F$3:$F$66,MATCH(RIGHT(Q106,255),RIGHT('Disaggregation Records'!$D$3:$D$66,255),0))=0,"",INDEX('Disaggregation Records'!$F$3:$F$66,MATCH(RIGHT(Q106,255),RIGHT('Disaggregation Records'!$D$3:$D$66,255),0))),"")</f>
        <v/>
      </c>
      <c r="T106" s="189" t="str">
        <f t="array" ref="T106">IFERROR(IF(INDEX('Disaggregation Records'!$H$3:$H$66,MATCH(RIGHT(Q106,255),RIGHT('Disaggregation Records'!$D$3:$D$66,255),0))=0,"",INDEX('Disaggregation Records'!$H$3:$H$66,MATCH(RIGHT(Q106,255),RIGHT('Disaggregation Records'!$D$3:$D$66,255),0))),"")</f>
        <v/>
      </c>
      <c r="U106" s="189">
        <f t="shared" ref="U106" si="384">U104+1</f>
        <v>1231</v>
      </c>
      <c r="V106" s="189" t="str">
        <f t="array" ref="V106">IFERROR(IF(INDEX('Disaggregation Records'!$I$3:$I$66,MATCH(RIGHT(Q106,255),RIGHT('Disaggregation Records'!$D$3:$D$66,255),0))=0,"",INDEX('Disaggregation Records'!$I$3:$I$66,MATCH(RIGHT(Q106,255),RIGHT('Disaggregation Records'!$D$3:$D$66,255),0))),"")</f>
        <v/>
      </c>
      <c r="W106" s="189" t="str">
        <f>IFERROR(INDEX('Reference Records'!O$3:O$15,MATCH(LEFT(C106,255),'Reference Records'!J$3:J$15,0)),"")</f>
        <v/>
      </c>
    </row>
    <row r="107" spans="1:23" s="189" customFormat="1" ht="40.200000000000003" customHeight="1" x14ac:dyDescent="0.3">
      <c r="A107" s="678"/>
      <c r="B107" s="675">
        <v>3.7556390977443699</v>
      </c>
      <c r="C107" s="667"/>
      <c r="D107" s="677"/>
      <c r="E107" s="677"/>
      <c r="F107" s="202"/>
      <c r="G107" s="669"/>
      <c r="H107" s="671"/>
      <c r="I107" s="673"/>
      <c r="J107" s="652"/>
      <c r="K107" s="667"/>
      <c r="L107" s="667"/>
      <c r="M107" s="652"/>
      <c r="N107" s="652"/>
      <c r="P107" s="190"/>
      <c r="Q107" s="190"/>
      <c r="R107" s="190"/>
      <c r="S107" s="190"/>
      <c r="T107" s="190"/>
      <c r="U107" s="190"/>
      <c r="V107" s="190"/>
      <c r="W107" s="190"/>
    </row>
    <row r="108" spans="1:23" s="189" customFormat="1" ht="40.200000000000003" customHeight="1" x14ac:dyDescent="0.3">
      <c r="A108" s="678" t="str">
        <f t="shared" ca="1" si="264"/>
        <v>a1G3p000003GJ4REAW</v>
      </c>
      <c r="B108" s="674">
        <v>5</v>
      </c>
      <c r="C108" s="666" t="str">
        <f>IFERROR(VLOOKUP(B108,'Impact Indicators - Section B '!$A$9:$AF$52,32,FALSE),"")</f>
        <v/>
      </c>
      <c r="D108" s="676" t="str">
        <f t="shared" ref="D108" si="385">R108</f>
        <v/>
      </c>
      <c r="E108" s="676" t="str">
        <f t="shared" ref="E108" si="386">S108</f>
        <v/>
      </c>
      <c r="F108" s="194"/>
      <c r="G108" s="668" t="str">
        <f t="shared" ref="G108" ca="1" si="387">IF(OR(INDIRECT("'update Helper'!E"&amp;U108)=0,F108&lt;&gt;0,F109&lt;&gt;0),IF(IFERROR((F108/F109),"")="","",(F108/F109)),INDIRECT("'update Helper'!E"&amp;U108)/100)</f>
        <v/>
      </c>
      <c r="H108" s="670"/>
      <c r="I108" s="672"/>
      <c r="J108" s="651"/>
      <c r="K108" s="666" t="str">
        <f t="shared" ref="K108" si="388">W108</f>
        <v/>
      </c>
      <c r="L108" s="666" t="str">
        <f t="shared" ref="L108" si="389">V108</f>
        <v/>
      </c>
      <c r="M108" s="651"/>
      <c r="N108" s="651"/>
      <c r="P108" s="189">
        <f t="shared" ref="P108" si="390">IF(AND(EXACT(C108,C106),C106&lt;&gt;0),P106+1,0)</f>
        <v>29</v>
      </c>
      <c r="Q108" s="189" t="str">
        <f t="shared" ref="Q108" si="391">IF(C108&lt;&gt;"",C108&amp;"-"&amp;P108,"")</f>
        <v/>
      </c>
      <c r="R108" s="189" t="str">
        <f t="array" ref="R108">IFERROR(IF(INDEX('Disaggregation Records'!$E$3:$E$66,MATCH(RIGHT(Q108,255),RIGHT('Disaggregation Records'!$D$3:$D$66,255),0))=0,"",INDEX('Disaggregation Records'!$E$3:$E$66,MATCH(RIGHT(Q108,255),RIGHT('Disaggregation Records'!$D$3:$D$66,255),0))),"")</f>
        <v/>
      </c>
      <c r="S108" s="189" t="str">
        <f t="array" ref="S108">IFERROR(IF(INDEX('Disaggregation Records'!$F$3:$F$66,MATCH(RIGHT(Q108,255),RIGHT('Disaggregation Records'!$D$3:$D$66,255),0))=0,"",INDEX('Disaggregation Records'!$F$3:$F$66,MATCH(RIGHT(Q108,255),RIGHT('Disaggregation Records'!$D$3:$D$66,255),0))),"")</f>
        <v/>
      </c>
      <c r="T108" s="189" t="str">
        <f t="array" ref="T108">IFERROR(IF(INDEX('Disaggregation Records'!$H$3:$H$66,MATCH(RIGHT(Q108,255),RIGHT('Disaggregation Records'!$D$3:$D$66,255),0))=0,"",INDEX('Disaggregation Records'!$H$3:$H$66,MATCH(RIGHT(Q108,255),RIGHT('Disaggregation Records'!$D$3:$D$66,255),0))),"")</f>
        <v/>
      </c>
      <c r="U108" s="189">
        <f t="shared" ref="U108" si="392">U106+1</f>
        <v>1232</v>
      </c>
      <c r="V108" s="189" t="str">
        <f t="array" ref="V108">IFERROR(IF(INDEX('Disaggregation Records'!$I$3:$I$66,MATCH(RIGHT(Q108,255),RIGHT('Disaggregation Records'!$D$3:$D$66,255),0))=0,"",INDEX('Disaggregation Records'!$I$3:$I$66,MATCH(RIGHT(Q108,255),RIGHT('Disaggregation Records'!$D$3:$D$66,255),0))),"")</f>
        <v/>
      </c>
      <c r="W108" s="189" t="str">
        <f>IFERROR(INDEX('Reference Records'!O$3:O$15,MATCH(LEFT(C108,255),'Reference Records'!J$3:J$15,0)),"")</f>
        <v/>
      </c>
    </row>
    <row r="109" spans="1:23" s="189" customFormat="1" ht="40.200000000000003" customHeight="1" x14ac:dyDescent="0.3">
      <c r="A109" s="678"/>
      <c r="B109" s="675">
        <v>3.7556390977443699</v>
      </c>
      <c r="C109" s="667"/>
      <c r="D109" s="677"/>
      <c r="E109" s="677"/>
      <c r="F109" s="202"/>
      <c r="G109" s="669"/>
      <c r="H109" s="671"/>
      <c r="I109" s="673"/>
      <c r="J109" s="652"/>
      <c r="K109" s="667"/>
      <c r="L109" s="667"/>
      <c r="M109" s="652"/>
      <c r="N109" s="652"/>
      <c r="P109" s="190"/>
      <c r="Q109" s="190"/>
      <c r="R109" s="190"/>
      <c r="S109" s="190"/>
      <c r="T109" s="190"/>
      <c r="U109" s="190"/>
      <c r="V109" s="190"/>
      <c r="W109" s="190"/>
    </row>
    <row r="110" spans="1:23" s="189" customFormat="1" ht="40.200000000000003" customHeight="1" x14ac:dyDescent="0.3">
      <c r="A110" s="678" t="str">
        <f t="shared" ca="1" si="264"/>
        <v>a1G3p000003GJ4SEAW</v>
      </c>
      <c r="B110" s="674">
        <v>6</v>
      </c>
      <c r="C110" s="666" t="str">
        <f>IFERROR(VLOOKUP(B110,'Impact Indicators - Section B '!$A$9:$AF$52,32,FALSE),"")</f>
        <v/>
      </c>
      <c r="D110" s="676" t="str">
        <f t="shared" ref="D110" si="393">R110</f>
        <v/>
      </c>
      <c r="E110" s="676" t="str">
        <f t="shared" ref="E110" si="394">S110</f>
        <v/>
      </c>
      <c r="F110" s="194"/>
      <c r="G110" s="668" t="str">
        <f t="shared" ref="G110" ca="1" si="395">IF(OR(INDIRECT("'update Helper'!E"&amp;U110)=0,F110&lt;&gt;0,F111&lt;&gt;0),IF(IFERROR((F110/F111),"")="","",(F110/F111)),INDIRECT("'update Helper'!E"&amp;U110)/100)</f>
        <v/>
      </c>
      <c r="H110" s="670"/>
      <c r="I110" s="672"/>
      <c r="J110" s="651"/>
      <c r="K110" s="666" t="str">
        <f t="shared" ref="K110" si="396">W110</f>
        <v/>
      </c>
      <c r="L110" s="666" t="str">
        <f t="shared" ref="L110" si="397">V110</f>
        <v/>
      </c>
      <c r="M110" s="651"/>
      <c r="N110" s="651"/>
      <c r="P110" s="189">
        <f t="shared" ref="P110" si="398">IF(AND(EXACT(C110,C108),C108&lt;&gt;0),P108+1,0)</f>
        <v>30</v>
      </c>
      <c r="Q110" s="189" t="str">
        <f t="shared" ref="Q110" si="399">IF(C110&lt;&gt;"",C110&amp;"-"&amp;P110,"")</f>
        <v/>
      </c>
      <c r="R110" s="189" t="str">
        <f t="array" ref="R110">IFERROR(IF(INDEX('Disaggregation Records'!$E$3:$E$66,MATCH(RIGHT(Q110,255),RIGHT('Disaggregation Records'!$D$3:$D$66,255),0))=0,"",INDEX('Disaggregation Records'!$E$3:$E$66,MATCH(RIGHT(Q110,255),RIGHT('Disaggregation Records'!$D$3:$D$66,255),0))),"")</f>
        <v/>
      </c>
      <c r="S110" s="189" t="str">
        <f t="array" ref="S110">IFERROR(IF(INDEX('Disaggregation Records'!$F$3:$F$66,MATCH(RIGHT(Q110,255),RIGHT('Disaggregation Records'!$D$3:$D$66,255),0))=0,"",INDEX('Disaggregation Records'!$F$3:$F$66,MATCH(RIGHT(Q110,255),RIGHT('Disaggregation Records'!$D$3:$D$66,255),0))),"")</f>
        <v/>
      </c>
      <c r="T110" s="189" t="str">
        <f t="array" ref="T110">IFERROR(IF(INDEX('Disaggregation Records'!$H$3:$H$66,MATCH(RIGHT(Q110,255),RIGHT('Disaggregation Records'!$D$3:$D$66,255),0))=0,"",INDEX('Disaggregation Records'!$H$3:$H$66,MATCH(RIGHT(Q110,255),RIGHT('Disaggregation Records'!$D$3:$D$66,255),0))),"")</f>
        <v/>
      </c>
      <c r="U110" s="189">
        <f t="shared" ref="U110" si="400">U108+1</f>
        <v>1233</v>
      </c>
      <c r="V110" s="189" t="str">
        <f t="array" ref="V110">IFERROR(IF(INDEX('Disaggregation Records'!$I$3:$I$66,MATCH(RIGHT(Q110,255),RIGHT('Disaggregation Records'!$D$3:$D$66,255),0))=0,"",INDEX('Disaggregation Records'!$I$3:$I$66,MATCH(RIGHT(Q110,255),RIGHT('Disaggregation Records'!$D$3:$D$66,255),0))),"")</f>
        <v/>
      </c>
      <c r="W110" s="189" t="str">
        <f>IFERROR(INDEX('Reference Records'!O$3:O$15,MATCH(LEFT(C110,255),'Reference Records'!J$3:J$15,0)),"")</f>
        <v/>
      </c>
    </row>
    <row r="111" spans="1:23" s="190" customFormat="1" ht="40.200000000000003" customHeight="1" x14ac:dyDescent="0.3">
      <c r="A111" s="678"/>
      <c r="B111" s="675">
        <v>4.5075187969924899</v>
      </c>
      <c r="C111" s="667"/>
      <c r="D111" s="677"/>
      <c r="E111" s="677"/>
      <c r="F111" s="202"/>
      <c r="G111" s="669"/>
      <c r="H111" s="671"/>
      <c r="I111" s="673"/>
      <c r="J111" s="652"/>
      <c r="K111" s="667"/>
      <c r="L111" s="667"/>
      <c r="M111" s="652"/>
      <c r="N111" s="652"/>
    </row>
    <row r="112" spans="1:23" s="189" customFormat="1" ht="40.200000000000003" customHeight="1" x14ac:dyDescent="0.3">
      <c r="A112" s="678" t="str">
        <f t="shared" ca="1" si="264"/>
        <v>a1G3p000003GJ4TEAW</v>
      </c>
      <c r="B112" s="674">
        <v>6</v>
      </c>
      <c r="C112" s="666" t="str">
        <f>IFERROR(VLOOKUP(B112,'Impact Indicators - Section B '!$A$9:$AF$52,32,FALSE),"")</f>
        <v/>
      </c>
      <c r="D112" s="676" t="str">
        <f t="shared" ref="D112" si="401">R112</f>
        <v/>
      </c>
      <c r="E112" s="676" t="str">
        <f t="shared" ref="E112" si="402">S112</f>
        <v/>
      </c>
      <c r="F112" s="194"/>
      <c r="G112" s="668" t="str">
        <f t="shared" ref="G112" ca="1" si="403">IF(OR(INDIRECT("'update Helper'!E"&amp;U112)=0,F112&lt;&gt;0,F113&lt;&gt;0),IF(IFERROR((F112/F113),"")="","",(F112/F113)),INDIRECT("'update Helper'!E"&amp;U112)/100)</f>
        <v/>
      </c>
      <c r="H112" s="670"/>
      <c r="I112" s="672"/>
      <c r="J112" s="651"/>
      <c r="K112" s="666" t="str">
        <f t="shared" ref="K112" si="404">W112</f>
        <v/>
      </c>
      <c r="L112" s="666" t="str">
        <f t="shared" ref="L112" si="405">V112</f>
        <v/>
      </c>
      <c r="M112" s="651"/>
      <c r="N112" s="651"/>
      <c r="P112" s="189">
        <f t="shared" ref="P112" si="406">IF(AND(EXACT(C112,C110),C110&lt;&gt;0),P110+1,0)</f>
        <v>31</v>
      </c>
      <c r="Q112" s="189" t="str">
        <f t="shared" ref="Q112" si="407">IF(C112&lt;&gt;"",C112&amp;"-"&amp;P112,"")</f>
        <v/>
      </c>
      <c r="R112" s="189" t="str">
        <f t="array" ref="R112">IFERROR(IF(INDEX('Disaggregation Records'!$E$3:$E$66,MATCH(RIGHT(Q112,255),RIGHT('Disaggregation Records'!$D$3:$D$66,255),0))=0,"",INDEX('Disaggregation Records'!$E$3:$E$66,MATCH(RIGHT(Q112,255),RIGHT('Disaggregation Records'!$D$3:$D$66,255),0))),"")</f>
        <v/>
      </c>
      <c r="S112" s="189" t="str">
        <f t="array" ref="S112">IFERROR(IF(INDEX('Disaggregation Records'!$F$3:$F$66,MATCH(RIGHT(Q112,255),RIGHT('Disaggregation Records'!$D$3:$D$66,255),0))=0,"",INDEX('Disaggregation Records'!$F$3:$F$66,MATCH(RIGHT(Q112,255),RIGHT('Disaggregation Records'!$D$3:$D$66,255),0))),"")</f>
        <v/>
      </c>
      <c r="T112" s="189" t="str">
        <f t="array" ref="T112">IFERROR(IF(INDEX('Disaggregation Records'!$H$3:$H$66,MATCH(RIGHT(Q112,255),RIGHT('Disaggregation Records'!$D$3:$D$66,255),0))=0,"",INDEX('Disaggregation Records'!$H$3:$H$66,MATCH(RIGHT(Q112,255),RIGHT('Disaggregation Records'!$D$3:$D$66,255),0))),"")</f>
        <v/>
      </c>
      <c r="U112" s="189">
        <f t="shared" ref="U112" si="408">U110+1</f>
        <v>1234</v>
      </c>
      <c r="V112" s="189" t="str">
        <f t="array" ref="V112">IFERROR(IF(INDEX('Disaggregation Records'!$I$3:$I$66,MATCH(RIGHT(Q112,255),RIGHT('Disaggregation Records'!$D$3:$D$66,255),0))=0,"",INDEX('Disaggregation Records'!$I$3:$I$66,MATCH(RIGHT(Q112,255),RIGHT('Disaggregation Records'!$D$3:$D$66,255),0))),"")</f>
        <v/>
      </c>
      <c r="W112" s="189" t="str">
        <f>IFERROR(INDEX('Reference Records'!O$3:O$15,MATCH(LEFT(C112,255),'Reference Records'!J$3:J$15,0)),"")</f>
        <v/>
      </c>
    </row>
    <row r="113" spans="1:23" s="190" customFormat="1" ht="40.200000000000003" customHeight="1" x14ac:dyDescent="0.3">
      <c r="A113" s="678"/>
      <c r="B113" s="675">
        <v>4.5075187969924899</v>
      </c>
      <c r="C113" s="667"/>
      <c r="D113" s="677"/>
      <c r="E113" s="677"/>
      <c r="F113" s="202"/>
      <c r="G113" s="669"/>
      <c r="H113" s="671"/>
      <c r="I113" s="673"/>
      <c r="J113" s="652"/>
      <c r="K113" s="667"/>
      <c r="L113" s="667"/>
      <c r="M113" s="652"/>
      <c r="N113" s="652"/>
    </row>
    <row r="114" spans="1:23" s="189" customFormat="1" ht="40.200000000000003" customHeight="1" x14ac:dyDescent="0.3">
      <c r="A114" s="678" t="str">
        <f t="shared" ca="1" si="264"/>
        <v>a1G3p000003GJ4UEAW</v>
      </c>
      <c r="B114" s="674">
        <v>6</v>
      </c>
      <c r="C114" s="666" t="str">
        <f>IFERROR(VLOOKUP(B114,'Impact Indicators - Section B '!$A$9:$AF$52,32,FALSE),"")</f>
        <v/>
      </c>
      <c r="D114" s="676" t="str">
        <f t="shared" ref="D114" si="409">R114</f>
        <v/>
      </c>
      <c r="E114" s="676" t="str">
        <f t="shared" ref="E114" si="410">S114</f>
        <v/>
      </c>
      <c r="F114" s="194"/>
      <c r="G114" s="668" t="str">
        <f t="shared" ref="G114" ca="1" si="411">IF(OR(INDIRECT("'update Helper'!E"&amp;U114)=0,F114&lt;&gt;0,F115&lt;&gt;0),IF(IFERROR((F114/F115),"")="","",(F114/F115)),INDIRECT("'update Helper'!E"&amp;U114)/100)</f>
        <v/>
      </c>
      <c r="H114" s="670"/>
      <c r="I114" s="672"/>
      <c r="J114" s="651"/>
      <c r="K114" s="666" t="str">
        <f t="shared" ref="K114" si="412">W114</f>
        <v/>
      </c>
      <c r="L114" s="666" t="str">
        <f t="shared" ref="L114" si="413">V114</f>
        <v/>
      </c>
      <c r="M114" s="651"/>
      <c r="N114" s="651"/>
      <c r="P114" s="189">
        <f t="shared" ref="P114" si="414">IF(AND(EXACT(C114,C112),C112&lt;&gt;0),P112+1,0)</f>
        <v>32</v>
      </c>
      <c r="Q114" s="189" t="str">
        <f t="shared" ref="Q114" si="415">IF(C114&lt;&gt;"",C114&amp;"-"&amp;P114,"")</f>
        <v/>
      </c>
      <c r="R114" s="189" t="str">
        <f t="array" ref="R114">IFERROR(IF(INDEX('Disaggregation Records'!$E$3:$E$66,MATCH(RIGHT(Q114,255),RIGHT('Disaggregation Records'!$D$3:$D$66,255),0))=0,"",INDEX('Disaggregation Records'!$E$3:$E$66,MATCH(RIGHT(Q114,255),RIGHT('Disaggregation Records'!$D$3:$D$66,255),0))),"")</f>
        <v/>
      </c>
      <c r="S114" s="189" t="str">
        <f t="array" ref="S114">IFERROR(IF(INDEX('Disaggregation Records'!$F$3:$F$66,MATCH(RIGHT(Q114,255),RIGHT('Disaggregation Records'!$D$3:$D$66,255),0))=0,"",INDEX('Disaggregation Records'!$F$3:$F$66,MATCH(RIGHT(Q114,255),RIGHT('Disaggregation Records'!$D$3:$D$66,255),0))),"")</f>
        <v/>
      </c>
      <c r="T114" s="189" t="str">
        <f t="array" ref="T114">IFERROR(IF(INDEX('Disaggregation Records'!$H$3:$H$66,MATCH(RIGHT(Q114,255),RIGHT('Disaggregation Records'!$D$3:$D$66,255),0))=0,"",INDEX('Disaggregation Records'!$H$3:$H$66,MATCH(RIGHT(Q114,255),RIGHT('Disaggregation Records'!$D$3:$D$66,255),0))),"")</f>
        <v/>
      </c>
      <c r="U114" s="189">
        <f t="shared" ref="U114" si="416">U112+1</f>
        <v>1235</v>
      </c>
      <c r="V114" s="189" t="str">
        <f t="array" ref="V114">IFERROR(IF(INDEX('Disaggregation Records'!$I$3:$I$66,MATCH(RIGHT(Q114,255),RIGHT('Disaggregation Records'!$D$3:$D$66,255),0))=0,"",INDEX('Disaggregation Records'!$I$3:$I$66,MATCH(RIGHT(Q114,255),RIGHT('Disaggregation Records'!$D$3:$D$66,255),0))),"")</f>
        <v/>
      </c>
      <c r="W114" s="189" t="str">
        <f>IFERROR(INDEX('Reference Records'!O$3:O$15,MATCH(LEFT(C114,255),'Reference Records'!J$3:J$15,0)),"")</f>
        <v/>
      </c>
    </row>
    <row r="115" spans="1:23" s="189" customFormat="1" ht="40.200000000000003" customHeight="1" x14ac:dyDescent="0.3">
      <c r="A115" s="678"/>
      <c r="B115" s="675">
        <v>4.5075187969924899</v>
      </c>
      <c r="C115" s="667"/>
      <c r="D115" s="677"/>
      <c r="E115" s="677"/>
      <c r="F115" s="202"/>
      <c r="G115" s="669"/>
      <c r="H115" s="671"/>
      <c r="I115" s="673"/>
      <c r="J115" s="652"/>
      <c r="K115" s="667"/>
      <c r="L115" s="667"/>
      <c r="M115" s="652"/>
      <c r="N115" s="652"/>
      <c r="P115" s="190"/>
      <c r="Q115" s="190"/>
      <c r="R115" s="190"/>
      <c r="S115" s="190"/>
      <c r="T115" s="190"/>
      <c r="U115" s="190"/>
      <c r="V115" s="190"/>
      <c r="W115" s="190"/>
    </row>
    <row r="116" spans="1:23" s="189" customFormat="1" ht="40.200000000000003" customHeight="1" x14ac:dyDescent="0.3">
      <c r="A116" s="678" t="str">
        <f t="shared" ca="1" si="264"/>
        <v>a1G3p000003GJ4VEAW</v>
      </c>
      <c r="B116" s="674">
        <v>6</v>
      </c>
      <c r="C116" s="666" t="str">
        <f>IFERROR(VLOOKUP(B116,'Impact Indicators - Section B '!$A$9:$AF$52,32,FALSE),"")</f>
        <v/>
      </c>
      <c r="D116" s="676" t="str">
        <f t="shared" ref="D116" si="417">R116</f>
        <v/>
      </c>
      <c r="E116" s="676" t="str">
        <f t="shared" ref="E116" si="418">S116</f>
        <v/>
      </c>
      <c r="F116" s="194"/>
      <c r="G116" s="668" t="str">
        <f t="shared" ref="G116" ca="1" si="419">IF(OR(INDIRECT("'update Helper'!E"&amp;U116)=0,F116&lt;&gt;0,F117&lt;&gt;0),IF(IFERROR((F116/F117),"")="","",(F116/F117)),INDIRECT("'update Helper'!E"&amp;U116)/100)</f>
        <v/>
      </c>
      <c r="H116" s="670"/>
      <c r="I116" s="672"/>
      <c r="J116" s="651"/>
      <c r="K116" s="666" t="str">
        <f t="shared" ref="K116" si="420">W116</f>
        <v/>
      </c>
      <c r="L116" s="666" t="str">
        <f t="shared" ref="L116" si="421">V116</f>
        <v/>
      </c>
      <c r="M116" s="651"/>
      <c r="N116" s="651"/>
      <c r="P116" s="189">
        <f t="shared" ref="P116" si="422">IF(AND(EXACT(C116,C114),C114&lt;&gt;0),P114+1,0)</f>
        <v>33</v>
      </c>
      <c r="Q116" s="189" t="str">
        <f t="shared" ref="Q116" si="423">IF(C116&lt;&gt;"",C116&amp;"-"&amp;P116,"")</f>
        <v/>
      </c>
      <c r="R116" s="189" t="str">
        <f t="array" ref="R116">IFERROR(IF(INDEX('Disaggregation Records'!$E$3:$E$66,MATCH(RIGHT(Q116,255),RIGHT('Disaggregation Records'!$D$3:$D$66,255),0))=0,"",INDEX('Disaggregation Records'!$E$3:$E$66,MATCH(RIGHT(Q116,255),RIGHT('Disaggregation Records'!$D$3:$D$66,255),0))),"")</f>
        <v/>
      </c>
      <c r="S116" s="189" t="str">
        <f t="array" ref="S116">IFERROR(IF(INDEX('Disaggregation Records'!$F$3:$F$66,MATCH(RIGHT(Q116,255),RIGHT('Disaggregation Records'!$D$3:$D$66,255),0))=0,"",INDEX('Disaggregation Records'!$F$3:$F$66,MATCH(RIGHT(Q116,255),RIGHT('Disaggregation Records'!$D$3:$D$66,255),0))),"")</f>
        <v/>
      </c>
      <c r="T116" s="189" t="str">
        <f t="array" ref="T116">IFERROR(IF(INDEX('Disaggregation Records'!$H$3:$H$66,MATCH(RIGHT(Q116,255),RIGHT('Disaggregation Records'!$D$3:$D$66,255),0))=0,"",INDEX('Disaggregation Records'!$H$3:$H$66,MATCH(RIGHT(Q116,255),RIGHT('Disaggregation Records'!$D$3:$D$66,255),0))),"")</f>
        <v/>
      </c>
      <c r="U116" s="189">
        <f t="shared" ref="U116" si="424">U114+1</f>
        <v>1236</v>
      </c>
      <c r="V116" s="189" t="str">
        <f t="array" ref="V116">IFERROR(IF(INDEX('Disaggregation Records'!$I$3:$I$66,MATCH(RIGHT(Q116,255),RIGHT('Disaggregation Records'!$D$3:$D$66,255),0))=0,"",INDEX('Disaggregation Records'!$I$3:$I$66,MATCH(RIGHT(Q116,255),RIGHT('Disaggregation Records'!$D$3:$D$66,255),0))),"")</f>
        <v/>
      </c>
      <c r="W116" s="189" t="str">
        <f>IFERROR(INDEX('Reference Records'!O$3:O$15,MATCH(LEFT(C116,255),'Reference Records'!J$3:J$15,0)),"")</f>
        <v/>
      </c>
    </row>
    <row r="117" spans="1:23" s="190" customFormat="1" ht="40.200000000000003" customHeight="1" x14ac:dyDescent="0.3">
      <c r="A117" s="678"/>
      <c r="B117" s="675">
        <v>4.5075187969924899</v>
      </c>
      <c r="C117" s="667"/>
      <c r="D117" s="677"/>
      <c r="E117" s="677"/>
      <c r="F117" s="202"/>
      <c r="G117" s="669"/>
      <c r="H117" s="671"/>
      <c r="I117" s="673"/>
      <c r="J117" s="652"/>
      <c r="K117" s="667"/>
      <c r="L117" s="667"/>
      <c r="M117" s="652"/>
      <c r="N117" s="652"/>
    </row>
    <row r="118" spans="1:23" s="189" customFormat="1" ht="40.200000000000003" customHeight="1" x14ac:dyDescent="0.3">
      <c r="A118" s="678" t="str">
        <f t="shared" ca="1" si="264"/>
        <v>a1G3p000003GJ4WEAW</v>
      </c>
      <c r="B118" s="674">
        <v>6</v>
      </c>
      <c r="C118" s="666" t="str">
        <f>IFERROR(VLOOKUP(B118,'Impact Indicators - Section B '!$A$9:$AF$52,32,FALSE),"")</f>
        <v/>
      </c>
      <c r="D118" s="676" t="str">
        <f t="shared" ref="D118" si="425">R118</f>
        <v/>
      </c>
      <c r="E118" s="676" t="str">
        <f t="shared" ref="E118" si="426">S118</f>
        <v/>
      </c>
      <c r="F118" s="194"/>
      <c r="G118" s="668" t="str">
        <f t="shared" ref="G118" ca="1" si="427">IF(OR(INDIRECT("'update Helper'!E"&amp;U118)=0,F118&lt;&gt;0,F119&lt;&gt;0),IF(IFERROR((F118/F119),"")="","",(F118/F119)),INDIRECT("'update Helper'!E"&amp;U118)/100)</f>
        <v/>
      </c>
      <c r="H118" s="670"/>
      <c r="I118" s="672"/>
      <c r="J118" s="651"/>
      <c r="K118" s="666" t="str">
        <f t="shared" ref="K118" si="428">W118</f>
        <v/>
      </c>
      <c r="L118" s="666" t="str">
        <f t="shared" ref="L118" si="429">V118</f>
        <v/>
      </c>
      <c r="M118" s="651"/>
      <c r="N118" s="651"/>
      <c r="P118" s="189">
        <f t="shared" ref="P118" si="430">IF(AND(EXACT(C118,C116),C116&lt;&gt;0),P116+1,0)</f>
        <v>34</v>
      </c>
      <c r="Q118" s="189" t="str">
        <f t="shared" ref="Q118" si="431">IF(C118&lt;&gt;"",C118&amp;"-"&amp;P118,"")</f>
        <v/>
      </c>
      <c r="R118" s="189" t="str">
        <f t="array" ref="R118">IFERROR(IF(INDEX('Disaggregation Records'!$E$3:$E$66,MATCH(RIGHT(Q118,255),RIGHT('Disaggregation Records'!$D$3:$D$66,255),0))=0,"",INDEX('Disaggregation Records'!$E$3:$E$66,MATCH(RIGHT(Q118,255),RIGHT('Disaggregation Records'!$D$3:$D$66,255),0))),"")</f>
        <v/>
      </c>
      <c r="S118" s="189" t="str">
        <f t="array" ref="S118">IFERROR(IF(INDEX('Disaggregation Records'!$F$3:$F$66,MATCH(RIGHT(Q118,255),RIGHT('Disaggregation Records'!$D$3:$D$66,255),0))=0,"",INDEX('Disaggregation Records'!$F$3:$F$66,MATCH(RIGHT(Q118,255),RIGHT('Disaggregation Records'!$D$3:$D$66,255),0))),"")</f>
        <v/>
      </c>
      <c r="T118" s="189" t="str">
        <f t="array" ref="T118">IFERROR(IF(INDEX('Disaggregation Records'!$H$3:$H$66,MATCH(RIGHT(Q118,255),RIGHT('Disaggregation Records'!$D$3:$D$66,255),0))=0,"",INDEX('Disaggregation Records'!$H$3:$H$66,MATCH(RIGHT(Q118,255),RIGHT('Disaggregation Records'!$D$3:$D$66,255),0))),"")</f>
        <v/>
      </c>
      <c r="U118" s="189">
        <f t="shared" ref="U118" si="432">U116+1</f>
        <v>1237</v>
      </c>
      <c r="V118" s="189" t="str">
        <f t="array" ref="V118">IFERROR(IF(INDEX('Disaggregation Records'!$I$3:$I$66,MATCH(RIGHT(Q118,255),RIGHT('Disaggregation Records'!$D$3:$D$66,255),0))=0,"",INDEX('Disaggregation Records'!$I$3:$I$66,MATCH(RIGHT(Q118,255),RIGHT('Disaggregation Records'!$D$3:$D$66,255),0))),"")</f>
        <v/>
      </c>
      <c r="W118" s="189" t="str">
        <f>IFERROR(INDEX('Reference Records'!O$3:O$15,MATCH(LEFT(C118,255),'Reference Records'!J$3:J$15,0)),"")</f>
        <v/>
      </c>
    </row>
    <row r="119" spans="1:23" s="190" customFormat="1" ht="40.200000000000003" customHeight="1" x14ac:dyDescent="0.3">
      <c r="A119" s="678"/>
      <c r="B119" s="675">
        <v>4.5075187969924899</v>
      </c>
      <c r="C119" s="667"/>
      <c r="D119" s="677"/>
      <c r="E119" s="677"/>
      <c r="F119" s="202"/>
      <c r="G119" s="669"/>
      <c r="H119" s="671"/>
      <c r="I119" s="673"/>
      <c r="J119" s="652"/>
      <c r="K119" s="667"/>
      <c r="L119" s="667"/>
      <c r="M119" s="652"/>
      <c r="N119" s="652"/>
    </row>
    <row r="120" spans="1:23" s="189" customFormat="1" ht="40.200000000000003" customHeight="1" x14ac:dyDescent="0.3">
      <c r="A120" s="678" t="str">
        <f t="shared" ca="1" si="264"/>
        <v>a1G3p000003GJ4XEAW</v>
      </c>
      <c r="B120" s="674">
        <v>6</v>
      </c>
      <c r="C120" s="666" t="str">
        <f>IFERROR(VLOOKUP(B120,'Impact Indicators - Section B '!$A$9:$AF$52,32,FALSE),"")</f>
        <v/>
      </c>
      <c r="D120" s="676" t="str">
        <f t="shared" ref="D120" si="433">R120</f>
        <v/>
      </c>
      <c r="E120" s="676" t="str">
        <f t="shared" ref="E120" si="434">S120</f>
        <v/>
      </c>
      <c r="F120" s="194"/>
      <c r="G120" s="668" t="str">
        <f t="shared" ref="G120" ca="1" si="435">IF(OR(INDIRECT("'update Helper'!E"&amp;U120)=0,F120&lt;&gt;0,F121&lt;&gt;0),IF(IFERROR((F120/F121),"")="","",(F120/F121)),INDIRECT("'update Helper'!E"&amp;U120)/100)</f>
        <v/>
      </c>
      <c r="H120" s="670"/>
      <c r="I120" s="672"/>
      <c r="J120" s="651"/>
      <c r="K120" s="666" t="str">
        <f t="shared" ref="K120" si="436">W120</f>
        <v/>
      </c>
      <c r="L120" s="666" t="str">
        <f t="shared" ref="L120" si="437">V120</f>
        <v/>
      </c>
      <c r="M120" s="651"/>
      <c r="N120" s="651"/>
      <c r="P120" s="189">
        <f t="shared" ref="P120" si="438">IF(AND(EXACT(C120,C118),C118&lt;&gt;0),P118+1,0)</f>
        <v>35</v>
      </c>
      <c r="Q120" s="189" t="str">
        <f t="shared" ref="Q120" si="439">IF(C120&lt;&gt;"",C120&amp;"-"&amp;P120,"")</f>
        <v/>
      </c>
      <c r="R120" s="189" t="str">
        <f t="array" ref="R120">IFERROR(IF(INDEX('Disaggregation Records'!$E$3:$E$66,MATCH(RIGHT(Q120,255),RIGHT('Disaggregation Records'!$D$3:$D$66,255),0))=0,"",INDEX('Disaggregation Records'!$E$3:$E$66,MATCH(RIGHT(Q120,255),RIGHT('Disaggregation Records'!$D$3:$D$66,255),0))),"")</f>
        <v/>
      </c>
      <c r="S120" s="189" t="str">
        <f t="array" ref="S120">IFERROR(IF(INDEX('Disaggregation Records'!$F$3:$F$66,MATCH(RIGHT(Q120,255),RIGHT('Disaggregation Records'!$D$3:$D$66,255),0))=0,"",INDEX('Disaggregation Records'!$F$3:$F$66,MATCH(RIGHT(Q120,255),RIGHT('Disaggregation Records'!$D$3:$D$66,255),0))),"")</f>
        <v/>
      </c>
      <c r="T120" s="189" t="str">
        <f t="array" ref="T120">IFERROR(IF(INDEX('Disaggregation Records'!$H$3:$H$66,MATCH(RIGHT(Q120,255),RIGHT('Disaggregation Records'!$D$3:$D$66,255),0))=0,"",INDEX('Disaggregation Records'!$H$3:$H$66,MATCH(RIGHT(Q120,255),RIGHT('Disaggregation Records'!$D$3:$D$66,255),0))),"")</f>
        <v/>
      </c>
      <c r="U120" s="189">
        <f t="shared" ref="U120" si="440">U118+1</f>
        <v>1238</v>
      </c>
      <c r="V120" s="189" t="str">
        <f t="array" ref="V120">IFERROR(IF(INDEX('Disaggregation Records'!$I$3:$I$66,MATCH(RIGHT(Q120,255),RIGHT('Disaggregation Records'!$D$3:$D$66,255),0))=0,"",INDEX('Disaggregation Records'!$I$3:$I$66,MATCH(RIGHT(Q120,255),RIGHT('Disaggregation Records'!$D$3:$D$66,255),0))),"")</f>
        <v/>
      </c>
      <c r="W120" s="189" t="str">
        <f>IFERROR(INDEX('Reference Records'!O$3:O$15,MATCH(LEFT(C120,255),'Reference Records'!J$3:J$15,0)),"")</f>
        <v/>
      </c>
    </row>
    <row r="121" spans="1:23" s="189" customFormat="1" ht="40.200000000000003" customHeight="1" x14ac:dyDescent="0.3">
      <c r="A121" s="678"/>
      <c r="B121" s="675">
        <v>4.5075187969924899</v>
      </c>
      <c r="C121" s="667"/>
      <c r="D121" s="677"/>
      <c r="E121" s="677"/>
      <c r="F121" s="202"/>
      <c r="G121" s="669"/>
      <c r="H121" s="671"/>
      <c r="I121" s="673"/>
      <c r="J121" s="652"/>
      <c r="K121" s="667"/>
      <c r="L121" s="667"/>
      <c r="M121" s="652"/>
      <c r="N121" s="652"/>
      <c r="P121" s="190"/>
      <c r="Q121" s="190"/>
      <c r="R121" s="190"/>
      <c r="S121" s="190"/>
      <c r="T121" s="190"/>
      <c r="U121" s="190"/>
      <c r="V121" s="190"/>
      <c r="W121" s="190"/>
    </row>
    <row r="122" spans="1:23" s="189" customFormat="1" ht="40.200000000000003" customHeight="1" x14ac:dyDescent="0.3">
      <c r="A122" s="678" t="str">
        <f t="shared" ca="1" si="264"/>
        <v>a1G3p000003GJ4YEAW</v>
      </c>
      <c r="B122" s="674">
        <v>6</v>
      </c>
      <c r="C122" s="666" t="str">
        <f>IFERROR(VLOOKUP(B122,'Impact Indicators - Section B '!$A$9:$AF$52,32,FALSE),"")</f>
        <v/>
      </c>
      <c r="D122" s="676" t="str">
        <f t="shared" ref="D122" si="441">R122</f>
        <v/>
      </c>
      <c r="E122" s="676" t="str">
        <f t="shared" ref="E122" si="442">S122</f>
        <v/>
      </c>
      <c r="F122" s="194"/>
      <c r="G122" s="668" t="str">
        <f t="shared" ref="G122" ca="1" si="443">IF(OR(INDIRECT("'update Helper'!E"&amp;U122)=0,F122&lt;&gt;0,F123&lt;&gt;0),IF(IFERROR((F122/F123),"")="","",(F122/F123)),INDIRECT("'update Helper'!E"&amp;U122)/100)</f>
        <v/>
      </c>
      <c r="H122" s="670"/>
      <c r="I122" s="672"/>
      <c r="J122" s="651"/>
      <c r="K122" s="666" t="str">
        <f t="shared" ref="K122" si="444">W122</f>
        <v/>
      </c>
      <c r="L122" s="666" t="str">
        <f t="shared" ref="L122" si="445">V122</f>
        <v/>
      </c>
      <c r="M122" s="651"/>
      <c r="N122" s="651"/>
      <c r="P122" s="189">
        <f t="shared" ref="P122" si="446">IF(AND(EXACT(C122,C120),C120&lt;&gt;0),P120+1,0)</f>
        <v>36</v>
      </c>
      <c r="Q122" s="189" t="str">
        <f t="shared" ref="Q122" si="447">IF(C122&lt;&gt;"",C122&amp;"-"&amp;P122,"")</f>
        <v/>
      </c>
      <c r="R122" s="189" t="str">
        <f t="array" ref="R122">IFERROR(IF(INDEX('Disaggregation Records'!$E$3:$E$66,MATCH(RIGHT(Q122,255),RIGHT('Disaggregation Records'!$D$3:$D$66,255),0))=0,"",INDEX('Disaggregation Records'!$E$3:$E$66,MATCH(RIGHT(Q122,255),RIGHT('Disaggregation Records'!$D$3:$D$66,255),0))),"")</f>
        <v/>
      </c>
      <c r="S122" s="189" t="str">
        <f t="array" ref="S122">IFERROR(IF(INDEX('Disaggregation Records'!$F$3:$F$66,MATCH(RIGHT(Q122,255),RIGHT('Disaggregation Records'!$D$3:$D$66,255),0))=0,"",INDEX('Disaggregation Records'!$F$3:$F$66,MATCH(RIGHT(Q122,255),RIGHT('Disaggregation Records'!$D$3:$D$66,255),0))),"")</f>
        <v/>
      </c>
      <c r="T122" s="189" t="str">
        <f t="array" ref="T122">IFERROR(IF(INDEX('Disaggregation Records'!$H$3:$H$66,MATCH(RIGHT(Q122,255),RIGHT('Disaggregation Records'!$D$3:$D$66,255),0))=0,"",INDEX('Disaggregation Records'!$H$3:$H$66,MATCH(RIGHT(Q122,255),RIGHT('Disaggregation Records'!$D$3:$D$66,255),0))),"")</f>
        <v/>
      </c>
      <c r="U122" s="189">
        <f t="shared" ref="U122" si="448">U120+1</f>
        <v>1239</v>
      </c>
      <c r="V122" s="189" t="str">
        <f t="array" ref="V122">IFERROR(IF(INDEX('Disaggregation Records'!$I$3:$I$66,MATCH(RIGHT(Q122,255),RIGHT('Disaggregation Records'!$D$3:$D$66,255),0))=0,"",INDEX('Disaggregation Records'!$I$3:$I$66,MATCH(RIGHT(Q122,255),RIGHT('Disaggregation Records'!$D$3:$D$66,255),0))),"")</f>
        <v/>
      </c>
      <c r="W122" s="189" t="str">
        <f>IFERROR(INDEX('Reference Records'!O$3:O$15,MATCH(LEFT(C122,255),'Reference Records'!J$3:J$15,0)),"")</f>
        <v/>
      </c>
    </row>
    <row r="123" spans="1:23" s="190" customFormat="1" ht="40.200000000000003" customHeight="1" x14ac:dyDescent="0.3">
      <c r="A123" s="678"/>
      <c r="B123" s="675">
        <v>4.5075187969924899</v>
      </c>
      <c r="C123" s="667"/>
      <c r="D123" s="677"/>
      <c r="E123" s="677"/>
      <c r="F123" s="202"/>
      <c r="G123" s="669"/>
      <c r="H123" s="671"/>
      <c r="I123" s="673"/>
      <c r="J123" s="652"/>
      <c r="K123" s="667"/>
      <c r="L123" s="667"/>
      <c r="M123" s="652"/>
      <c r="N123" s="652"/>
    </row>
    <row r="124" spans="1:23" s="189" customFormat="1" ht="40.200000000000003" customHeight="1" x14ac:dyDescent="0.3">
      <c r="A124" s="678" t="str">
        <f t="shared" ca="1" si="264"/>
        <v>a1G3p000003GJ4ZEAW</v>
      </c>
      <c r="B124" s="674">
        <v>6</v>
      </c>
      <c r="C124" s="666" t="str">
        <f>IFERROR(VLOOKUP(B124,'Impact Indicators - Section B '!$A$9:$AF$52,32,FALSE),"")</f>
        <v/>
      </c>
      <c r="D124" s="676" t="str">
        <f t="shared" ref="D124" si="449">R124</f>
        <v/>
      </c>
      <c r="E124" s="676" t="str">
        <f t="shared" ref="E124" si="450">S124</f>
        <v/>
      </c>
      <c r="F124" s="194"/>
      <c r="G124" s="668" t="str">
        <f t="shared" ref="G124" ca="1" si="451">IF(OR(INDIRECT("'update Helper'!E"&amp;U124)=0,F124&lt;&gt;0,F125&lt;&gt;0),IF(IFERROR((F124/F125),"")="","",(F124/F125)),INDIRECT("'update Helper'!E"&amp;U124)/100)</f>
        <v/>
      </c>
      <c r="H124" s="670"/>
      <c r="I124" s="672"/>
      <c r="J124" s="651"/>
      <c r="K124" s="666" t="str">
        <f t="shared" ref="K124" si="452">W124</f>
        <v/>
      </c>
      <c r="L124" s="666" t="str">
        <f t="shared" ref="L124" si="453">V124</f>
        <v/>
      </c>
      <c r="M124" s="651"/>
      <c r="N124" s="651"/>
      <c r="P124" s="189">
        <f t="shared" ref="P124" si="454">IF(AND(EXACT(C124,C122),C122&lt;&gt;0),P122+1,0)</f>
        <v>37</v>
      </c>
      <c r="Q124" s="189" t="str">
        <f t="shared" ref="Q124" si="455">IF(C124&lt;&gt;"",C124&amp;"-"&amp;P124,"")</f>
        <v/>
      </c>
      <c r="R124" s="189" t="str">
        <f t="array" ref="R124">IFERROR(IF(INDEX('Disaggregation Records'!$E$3:$E$66,MATCH(RIGHT(Q124,255),RIGHT('Disaggregation Records'!$D$3:$D$66,255),0))=0,"",INDEX('Disaggregation Records'!$E$3:$E$66,MATCH(RIGHT(Q124,255),RIGHT('Disaggregation Records'!$D$3:$D$66,255),0))),"")</f>
        <v/>
      </c>
      <c r="S124" s="189" t="str">
        <f t="array" ref="S124">IFERROR(IF(INDEX('Disaggregation Records'!$F$3:$F$66,MATCH(RIGHT(Q124,255),RIGHT('Disaggregation Records'!$D$3:$D$66,255),0))=0,"",INDEX('Disaggregation Records'!$F$3:$F$66,MATCH(RIGHT(Q124,255),RIGHT('Disaggregation Records'!$D$3:$D$66,255),0))),"")</f>
        <v/>
      </c>
      <c r="T124" s="189" t="str">
        <f t="array" ref="T124">IFERROR(IF(INDEX('Disaggregation Records'!$H$3:$H$66,MATCH(RIGHT(Q124,255),RIGHT('Disaggregation Records'!$D$3:$D$66,255),0))=0,"",INDEX('Disaggregation Records'!$H$3:$H$66,MATCH(RIGHT(Q124,255),RIGHT('Disaggregation Records'!$D$3:$D$66,255),0))),"")</f>
        <v/>
      </c>
      <c r="U124" s="189">
        <f t="shared" ref="U124" si="456">U122+1</f>
        <v>1240</v>
      </c>
      <c r="V124" s="189" t="str">
        <f t="array" ref="V124">IFERROR(IF(INDEX('Disaggregation Records'!$I$3:$I$66,MATCH(RIGHT(Q124,255),RIGHT('Disaggregation Records'!$D$3:$D$66,255),0))=0,"",INDEX('Disaggregation Records'!$I$3:$I$66,MATCH(RIGHT(Q124,255),RIGHT('Disaggregation Records'!$D$3:$D$66,255),0))),"")</f>
        <v/>
      </c>
      <c r="W124" s="189" t="str">
        <f>IFERROR(INDEX('Reference Records'!O$3:O$15,MATCH(LEFT(C124,255),'Reference Records'!J$3:J$15,0)),"")</f>
        <v/>
      </c>
    </row>
    <row r="125" spans="1:23" s="190" customFormat="1" ht="40.200000000000003" customHeight="1" x14ac:dyDescent="0.3">
      <c r="A125" s="678"/>
      <c r="B125" s="675">
        <v>4.5075187969924899</v>
      </c>
      <c r="C125" s="667"/>
      <c r="D125" s="677"/>
      <c r="E125" s="677"/>
      <c r="F125" s="202"/>
      <c r="G125" s="669"/>
      <c r="H125" s="671"/>
      <c r="I125" s="673"/>
      <c r="J125" s="652"/>
      <c r="K125" s="667"/>
      <c r="L125" s="667"/>
      <c r="M125" s="652"/>
      <c r="N125" s="652"/>
    </row>
    <row r="126" spans="1:23" s="189" customFormat="1" ht="40.200000000000003" customHeight="1" x14ac:dyDescent="0.3">
      <c r="A126" s="678" t="str">
        <f t="shared" ca="1" si="264"/>
        <v>a1G3p000003GJ4aEAG</v>
      </c>
      <c r="B126" s="674">
        <v>6</v>
      </c>
      <c r="C126" s="666" t="str">
        <f>IFERROR(VLOOKUP(B126,'Impact Indicators - Section B '!$A$9:$AF$52,32,FALSE),"")</f>
        <v/>
      </c>
      <c r="D126" s="676" t="str">
        <f t="shared" ref="D126" si="457">R126</f>
        <v/>
      </c>
      <c r="E126" s="676" t="str">
        <f t="shared" ref="E126" si="458">S126</f>
        <v/>
      </c>
      <c r="F126" s="194"/>
      <c r="G126" s="668" t="str">
        <f t="shared" ref="G126" ca="1" si="459">IF(OR(INDIRECT("'update Helper'!E"&amp;U126)=0,F126&lt;&gt;0,F127&lt;&gt;0),IF(IFERROR((F126/F127),"")="","",(F126/F127)),INDIRECT("'update Helper'!E"&amp;U126)/100)</f>
        <v/>
      </c>
      <c r="H126" s="670"/>
      <c r="I126" s="672"/>
      <c r="J126" s="651"/>
      <c r="K126" s="666" t="str">
        <f t="shared" ref="K126" si="460">W126</f>
        <v/>
      </c>
      <c r="L126" s="666" t="str">
        <f t="shared" ref="L126" si="461">V126</f>
        <v/>
      </c>
      <c r="M126" s="651"/>
      <c r="N126" s="651"/>
      <c r="P126" s="189">
        <f t="shared" ref="P126" si="462">IF(AND(EXACT(C126,C124),C124&lt;&gt;0),P124+1,0)</f>
        <v>38</v>
      </c>
      <c r="Q126" s="189" t="str">
        <f t="shared" ref="Q126" si="463">IF(C126&lt;&gt;"",C126&amp;"-"&amp;P126,"")</f>
        <v/>
      </c>
      <c r="R126" s="189" t="str">
        <f t="array" ref="R126">IFERROR(IF(INDEX('Disaggregation Records'!$E$3:$E$66,MATCH(RIGHT(Q126,255),RIGHT('Disaggregation Records'!$D$3:$D$66,255),0))=0,"",INDEX('Disaggregation Records'!$E$3:$E$66,MATCH(RIGHT(Q126,255),RIGHT('Disaggregation Records'!$D$3:$D$66,255),0))),"")</f>
        <v/>
      </c>
      <c r="S126" s="189" t="str">
        <f t="array" ref="S126">IFERROR(IF(INDEX('Disaggregation Records'!$F$3:$F$66,MATCH(RIGHT(Q126,255),RIGHT('Disaggregation Records'!$D$3:$D$66,255),0))=0,"",INDEX('Disaggregation Records'!$F$3:$F$66,MATCH(RIGHT(Q126,255),RIGHT('Disaggregation Records'!$D$3:$D$66,255),0))),"")</f>
        <v/>
      </c>
      <c r="T126" s="189" t="str">
        <f t="array" ref="T126">IFERROR(IF(INDEX('Disaggregation Records'!$H$3:$H$66,MATCH(RIGHT(Q126,255),RIGHT('Disaggregation Records'!$D$3:$D$66,255),0))=0,"",INDEX('Disaggregation Records'!$H$3:$H$66,MATCH(RIGHT(Q126,255),RIGHT('Disaggregation Records'!$D$3:$D$66,255),0))),"")</f>
        <v/>
      </c>
      <c r="U126" s="189">
        <f t="shared" ref="U126" si="464">U124+1</f>
        <v>1241</v>
      </c>
      <c r="V126" s="189" t="str">
        <f t="array" ref="V126">IFERROR(IF(INDEX('Disaggregation Records'!$I$3:$I$66,MATCH(RIGHT(Q126,255),RIGHT('Disaggregation Records'!$D$3:$D$66,255),0))=0,"",INDEX('Disaggregation Records'!$I$3:$I$66,MATCH(RIGHT(Q126,255),RIGHT('Disaggregation Records'!$D$3:$D$66,255),0))),"")</f>
        <v/>
      </c>
      <c r="W126" s="189" t="str">
        <f>IFERROR(INDEX('Reference Records'!O$3:O$15,MATCH(LEFT(C126,255),'Reference Records'!J$3:J$15,0)),"")</f>
        <v/>
      </c>
    </row>
    <row r="127" spans="1:23" s="189" customFormat="1" ht="40.200000000000003" customHeight="1" x14ac:dyDescent="0.3">
      <c r="A127" s="678"/>
      <c r="B127" s="675">
        <v>4.5075187969924899</v>
      </c>
      <c r="C127" s="667"/>
      <c r="D127" s="677"/>
      <c r="E127" s="677"/>
      <c r="F127" s="202"/>
      <c r="G127" s="669"/>
      <c r="H127" s="671"/>
      <c r="I127" s="673"/>
      <c r="J127" s="652"/>
      <c r="K127" s="667"/>
      <c r="L127" s="667"/>
      <c r="M127" s="652"/>
      <c r="N127" s="652"/>
      <c r="P127" s="190"/>
      <c r="Q127" s="190"/>
      <c r="R127" s="190"/>
      <c r="S127" s="190"/>
      <c r="T127" s="190"/>
      <c r="U127" s="190"/>
      <c r="V127" s="190"/>
      <c r="W127" s="190"/>
    </row>
    <row r="128" spans="1:23" s="189" customFormat="1" ht="40.200000000000003" customHeight="1" x14ac:dyDescent="0.3">
      <c r="A128" s="678" t="str">
        <f t="shared" ca="1" si="264"/>
        <v>a1G3p000003GJ4bEAG</v>
      </c>
      <c r="B128" s="674">
        <v>6</v>
      </c>
      <c r="C128" s="666" t="str">
        <f>IFERROR(VLOOKUP(B128,'Impact Indicators - Section B '!$A$9:$AF$52,32,FALSE),"")</f>
        <v/>
      </c>
      <c r="D128" s="676" t="str">
        <f t="shared" ref="D128" si="465">R128</f>
        <v/>
      </c>
      <c r="E128" s="676" t="str">
        <f t="shared" ref="E128" si="466">S128</f>
        <v/>
      </c>
      <c r="F128" s="194"/>
      <c r="G128" s="668" t="str">
        <f t="shared" ref="G128" ca="1" si="467">IF(OR(INDIRECT("'update Helper'!E"&amp;U128)=0,F128&lt;&gt;0,F129&lt;&gt;0),IF(IFERROR((F128/F129),"")="","",(F128/F129)),INDIRECT("'update Helper'!E"&amp;U128)/100)</f>
        <v/>
      </c>
      <c r="H128" s="670"/>
      <c r="I128" s="672"/>
      <c r="J128" s="651"/>
      <c r="K128" s="666" t="str">
        <f t="shared" ref="K128" si="468">W128</f>
        <v/>
      </c>
      <c r="L128" s="666" t="str">
        <f t="shared" ref="L128" si="469">V128</f>
        <v/>
      </c>
      <c r="M128" s="651"/>
      <c r="N128" s="651"/>
      <c r="P128" s="189">
        <f t="shared" ref="P128" si="470">IF(AND(EXACT(C128,C126),C126&lt;&gt;0),P126+1,0)</f>
        <v>39</v>
      </c>
      <c r="Q128" s="189" t="str">
        <f t="shared" ref="Q128" si="471">IF(C128&lt;&gt;"",C128&amp;"-"&amp;P128,"")</f>
        <v/>
      </c>
      <c r="R128" s="189" t="str">
        <f t="array" ref="R128">IFERROR(IF(INDEX('Disaggregation Records'!$E$3:$E$66,MATCH(RIGHT(Q128,255),RIGHT('Disaggregation Records'!$D$3:$D$66,255),0))=0,"",INDEX('Disaggregation Records'!$E$3:$E$66,MATCH(RIGHT(Q128,255),RIGHT('Disaggregation Records'!$D$3:$D$66,255),0))),"")</f>
        <v/>
      </c>
      <c r="S128" s="189" t="str">
        <f t="array" ref="S128">IFERROR(IF(INDEX('Disaggregation Records'!$F$3:$F$66,MATCH(RIGHT(Q128,255),RIGHT('Disaggregation Records'!$D$3:$D$66,255),0))=0,"",INDEX('Disaggregation Records'!$F$3:$F$66,MATCH(RIGHT(Q128,255),RIGHT('Disaggregation Records'!$D$3:$D$66,255),0))),"")</f>
        <v/>
      </c>
      <c r="T128" s="189" t="str">
        <f t="array" ref="T128">IFERROR(IF(INDEX('Disaggregation Records'!$H$3:$H$66,MATCH(RIGHT(Q128,255),RIGHT('Disaggregation Records'!$D$3:$D$66,255),0))=0,"",INDEX('Disaggregation Records'!$H$3:$H$66,MATCH(RIGHT(Q128,255),RIGHT('Disaggregation Records'!$D$3:$D$66,255),0))),"")</f>
        <v/>
      </c>
      <c r="U128" s="189">
        <f t="shared" ref="U128" si="472">U126+1</f>
        <v>1242</v>
      </c>
      <c r="V128" s="189" t="str">
        <f t="array" ref="V128">IFERROR(IF(INDEX('Disaggregation Records'!$I$3:$I$66,MATCH(RIGHT(Q128,255),RIGHT('Disaggregation Records'!$D$3:$D$66,255),0))=0,"",INDEX('Disaggregation Records'!$I$3:$I$66,MATCH(RIGHT(Q128,255),RIGHT('Disaggregation Records'!$D$3:$D$66,255),0))),"")</f>
        <v/>
      </c>
      <c r="W128" s="189" t="str">
        <f>IFERROR(INDEX('Reference Records'!O$3:O$15,MATCH(LEFT(C128,255),'Reference Records'!J$3:J$15,0)),"")</f>
        <v/>
      </c>
    </row>
    <row r="129" spans="1:23" s="190" customFormat="1" ht="40.200000000000003" customHeight="1" x14ac:dyDescent="0.3">
      <c r="A129" s="678"/>
      <c r="B129" s="675">
        <v>4.5075187969924899</v>
      </c>
      <c r="C129" s="667"/>
      <c r="D129" s="677"/>
      <c r="E129" s="677"/>
      <c r="F129" s="202"/>
      <c r="G129" s="669"/>
      <c r="H129" s="671"/>
      <c r="I129" s="673"/>
      <c r="J129" s="652"/>
      <c r="K129" s="667"/>
      <c r="L129" s="667"/>
      <c r="M129" s="652"/>
      <c r="N129" s="652"/>
    </row>
    <row r="130" spans="1:23" s="189" customFormat="1" ht="40.200000000000003" customHeight="1" x14ac:dyDescent="0.3">
      <c r="A130" s="678" t="str">
        <f t="shared" ca="1" si="264"/>
        <v>a1G3p000003GJ4cEAG</v>
      </c>
      <c r="B130" s="674">
        <v>7</v>
      </c>
      <c r="C130" s="666" t="str">
        <f>IFERROR(VLOOKUP(B130,'Impact Indicators - Section B '!$A$9:$AF$52,32,FALSE),"")</f>
        <v/>
      </c>
      <c r="D130" s="676" t="str">
        <f t="shared" ref="D130" si="473">R130</f>
        <v/>
      </c>
      <c r="E130" s="676" t="str">
        <f t="shared" ref="E130" si="474">S130</f>
        <v/>
      </c>
      <c r="F130" s="194"/>
      <c r="G130" s="668" t="str">
        <f t="shared" ref="G130" ca="1" si="475">IF(OR(INDIRECT("'update Helper'!E"&amp;U130)=0,F130&lt;&gt;0,F131&lt;&gt;0),IF(IFERROR((F130/F131),"")="","",(F130/F131)),INDIRECT("'update Helper'!E"&amp;U130)/100)</f>
        <v/>
      </c>
      <c r="H130" s="670"/>
      <c r="I130" s="672"/>
      <c r="J130" s="651"/>
      <c r="K130" s="666" t="str">
        <f t="shared" ref="K130" si="476">W130</f>
        <v/>
      </c>
      <c r="L130" s="666" t="str">
        <f t="shared" ref="L130" si="477">V130</f>
        <v/>
      </c>
      <c r="M130" s="651"/>
      <c r="N130" s="651"/>
      <c r="P130" s="189">
        <f t="shared" ref="P130" si="478">IF(AND(EXACT(C130,C128),C128&lt;&gt;0),P128+1,0)</f>
        <v>40</v>
      </c>
      <c r="Q130" s="189" t="str">
        <f t="shared" ref="Q130" si="479">IF(C130&lt;&gt;"",C130&amp;"-"&amp;P130,"")</f>
        <v/>
      </c>
      <c r="R130" s="189" t="str">
        <f t="array" ref="R130">IFERROR(IF(INDEX('Disaggregation Records'!$E$3:$E$66,MATCH(RIGHT(Q130,255),RIGHT('Disaggregation Records'!$D$3:$D$66,255),0))=0,"",INDEX('Disaggregation Records'!$E$3:$E$66,MATCH(RIGHT(Q130,255),RIGHT('Disaggregation Records'!$D$3:$D$66,255),0))),"")</f>
        <v/>
      </c>
      <c r="S130" s="189" t="str">
        <f t="array" ref="S130">IFERROR(IF(INDEX('Disaggregation Records'!$F$3:$F$66,MATCH(RIGHT(Q130,255),RIGHT('Disaggregation Records'!$D$3:$D$66,255),0))=0,"",INDEX('Disaggregation Records'!$F$3:$F$66,MATCH(RIGHT(Q130,255),RIGHT('Disaggregation Records'!$D$3:$D$66,255),0))),"")</f>
        <v/>
      </c>
      <c r="T130" s="189" t="str">
        <f t="array" ref="T130">IFERROR(IF(INDEX('Disaggregation Records'!$H$3:$H$66,MATCH(RIGHT(Q130,255),RIGHT('Disaggregation Records'!$D$3:$D$66,255),0))=0,"",INDEX('Disaggregation Records'!$H$3:$H$66,MATCH(RIGHT(Q130,255),RIGHT('Disaggregation Records'!$D$3:$D$66,255),0))),"")</f>
        <v/>
      </c>
      <c r="U130" s="189">
        <f t="shared" ref="U130" si="480">U128+1</f>
        <v>1243</v>
      </c>
      <c r="V130" s="189" t="str">
        <f t="array" ref="V130">IFERROR(IF(INDEX('Disaggregation Records'!$I$3:$I$66,MATCH(RIGHT(Q130,255),RIGHT('Disaggregation Records'!$D$3:$D$66,255),0))=0,"",INDEX('Disaggregation Records'!$I$3:$I$66,MATCH(RIGHT(Q130,255),RIGHT('Disaggregation Records'!$D$3:$D$66,255),0))),"")</f>
        <v/>
      </c>
      <c r="W130" s="189" t="str">
        <f>IFERROR(INDEX('Reference Records'!O$3:O$15,MATCH(LEFT(C130,255),'Reference Records'!J$3:J$15,0)),"")</f>
        <v/>
      </c>
    </row>
    <row r="131" spans="1:23" s="190" customFormat="1" ht="40.200000000000003" customHeight="1" x14ac:dyDescent="0.3">
      <c r="A131" s="678"/>
      <c r="B131" s="675">
        <v>5.2218045112781999</v>
      </c>
      <c r="C131" s="667"/>
      <c r="D131" s="677"/>
      <c r="E131" s="677"/>
      <c r="F131" s="202"/>
      <c r="G131" s="669"/>
      <c r="H131" s="671"/>
      <c r="I131" s="673"/>
      <c r="J131" s="652"/>
      <c r="K131" s="667"/>
      <c r="L131" s="667"/>
      <c r="M131" s="652"/>
      <c r="N131" s="652"/>
    </row>
    <row r="132" spans="1:23" s="189" customFormat="1" ht="40.200000000000003" customHeight="1" x14ac:dyDescent="0.3">
      <c r="A132" s="678" t="str">
        <f t="shared" ca="1" si="264"/>
        <v>a1G3p000003GJ4dEAG</v>
      </c>
      <c r="B132" s="674">
        <v>7</v>
      </c>
      <c r="C132" s="666" t="str">
        <f>IFERROR(VLOOKUP(B132,'Impact Indicators - Section B '!$A$9:$AF$52,32,FALSE),"")</f>
        <v/>
      </c>
      <c r="D132" s="676" t="str">
        <f t="shared" ref="D132" si="481">R132</f>
        <v/>
      </c>
      <c r="E132" s="676" t="str">
        <f t="shared" ref="E132" si="482">S132</f>
        <v/>
      </c>
      <c r="F132" s="194"/>
      <c r="G132" s="668" t="str">
        <f t="shared" ref="G132" ca="1" si="483">IF(OR(INDIRECT("'update Helper'!E"&amp;U132)=0,F132&lt;&gt;0,F133&lt;&gt;0),IF(IFERROR((F132/F133),"")="","",(F132/F133)),INDIRECT("'update Helper'!E"&amp;U132)/100)</f>
        <v/>
      </c>
      <c r="H132" s="670"/>
      <c r="I132" s="672"/>
      <c r="J132" s="651"/>
      <c r="K132" s="666" t="str">
        <f t="shared" ref="K132" si="484">W132</f>
        <v/>
      </c>
      <c r="L132" s="666" t="str">
        <f t="shared" ref="L132" si="485">V132</f>
        <v/>
      </c>
      <c r="M132" s="651"/>
      <c r="N132" s="651"/>
      <c r="P132" s="189">
        <f t="shared" ref="P132" si="486">IF(AND(EXACT(C132,C130),C130&lt;&gt;0),P130+1,0)</f>
        <v>41</v>
      </c>
      <c r="Q132" s="189" t="str">
        <f t="shared" ref="Q132" si="487">IF(C132&lt;&gt;"",C132&amp;"-"&amp;P132,"")</f>
        <v/>
      </c>
      <c r="R132" s="189" t="str">
        <f t="array" ref="R132">IFERROR(IF(INDEX('Disaggregation Records'!$E$3:$E$66,MATCH(RIGHT(Q132,255),RIGHT('Disaggregation Records'!$D$3:$D$66,255),0))=0,"",INDEX('Disaggregation Records'!$E$3:$E$66,MATCH(RIGHT(Q132,255),RIGHT('Disaggregation Records'!$D$3:$D$66,255),0))),"")</f>
        <v/>
      </c>
      <c r="S132" s="189" t="str">
        <f t="array" ref="S132">IFERROR(IF(INDEX('Disaggregation Records'!$F$3:$F$66,MATCH(RIGHT(Q132,255),RIGHT('Disaggregation Records'!$D$3:$D$66,255),0))=0,"",INDEX('Disaggregation Records'!$F$3:$F$66,MATCH(RIGHT(Q132,255),RIGHT('Disaggregation Records'!$D$3:$D$66,255),0))),"")</f>
        <v/>
      </c>
      <c r="T132" s="189" t="str">
        <f t="array" ref="T132">IFERROR(IF(INDEX('Disaggregation Records'!$H$3:$H$66,MATCH(RIGHT(Q132,255),RIGHT('Disaggregation Records'!$D$3:$D$66,255),0))=0,"",INDEX('Disaggregation Records'!$H$3:$H$66,MATCH(RIGHT(Q132,255),RIGHT('Disaggregation Records'!$D$3:$D$66,255),0))),"")</f>
        <v/>
      </c>
      <c r="U132" s="189">
        <f t="shared" ref="U132" si="488">U130+1</f>
        <v>1244</v>
      </c>
      <c r="V132" s="189" t="str">
        <f t="array" ref="V132">IFERROR(IF(INDEX('Disaggregation Records'!$I$3:$I$66,MATCH(RIGHT(Q132,255),RIGHT('Disaggregation Records'!$D$3:$D$66,255),0))=0,"",INDEX('Disaggregation Records'!$I$3:$I$66,MATCH(RIGHT(Q132,255),RIGHT('Disaggregation Records'!$D$3:$D$66,255),0))),"")</f>
        <v/>
      </c>
      <c r="W132" s="189" t="str">
        <f>IFERROR(INDEX('Reference Records'!O$3:O$15,MATCH(LEFT(C132,255),'Reference Records'!J$3:J$15,0)),"")</f>
        <v/>
      </c>
    </row>
    <row r="133" spans="1:23" s="189" customFormat="1" ht="40.200000000000003" customHeight="1" x14ac:dyDescent="0.3">
      <c r="A133" s="678"/>
      <c r="B133" s="675">
        <v>5.2218045112781999</v>
      </c>
      <c r="C133" s="667"/>
      <c r="D133" s="677"/>
      <c r="E133" s="677"/>
      <c r="F133" s="202"/>
      <c r="G133" s="669"/>
      <c r="H133" s="671"/>
      <c r="I133" s="673"/>
      <c r="J133" s="652"/>
      <c r="K133" s="667"/>
      <c r="L133" s="667"/>
      <c r="M133" s="652"/>
      <c r="N133" s="652"/>
      <c r="P133" s="190"/>
      <c r="Q133" s="190"/>
      <c r="R133" s="190"/>
      <c r="S133" s="190"/>
      <c r="T133" s="190"/>
      <c r="U133" s="190"/>
      <c r="V133" s="190"/>
      <c r="W133" s="190"/>
    </row>
    <row r="134" spans="1:23" s="189" customFormat="1" ht="40.200000000000003" customHeight="1" x14ac:dyDescent="0.3">
      <c r="A134" s="678" t="str">
        <f t="shared" ca="1" si="264"/>
        <v>a1G3p000003GJ4eEAG</v>
      </c>
      <c r="B134" s="674">
        <v>7</v>
      </c>
      <c r="C134" s="666" t="str">
        <f>IFERROR(VLOOKUP(B134,'Impact Indicators - Section B '!$A$9:$AF$52,32,FALSE),"")</f>
        <v/>
      </c>
      <c r="D134" s="676" t="str">
        <f t="shared" ref="D134" si="489">R134</f>
        <v/>
      </c>
      <c r="E134" s="676" t="str">
        <f t="shared" ref="E134" si="490">S134</f>
        <v/>
      </c>
      <c r="F134" s="194"/>
      <c r="G134" s="668" t="str">
        <f t="shared" ref="G134" ca="1" si="491">IF(OR(INDIRECT("'update Helper'!E"&amp;U134)=0,F134&lt;&gt;0,F135&lt;&gt;0),IF(IFERROR((F134/F135),"")="","",(F134/F135)),INDIRECT("'update Helper'!E"&amp;U134)/100)</f>
        <v/>
      </c>
      <c r="H134" s="670"/>
      <c r="I134" s="672"/>
      <c r="J134" s="651"/>
      <c r="K134" s="666" t="str">
        <f t="shared" ref="K134" si="492">W134</f>
        <v/>
      </c>
      <c r="L134" s="666" t="str">
        <f t="shared" ref="L134" si="493">V134</f>
        <v/>
      </c>
      <c r="M134" s="651"/>
      <c r="N134" s="651"/>
      <c r="P134" s="189">
        <f t="shared" ref="P134" si="494">IF(AND(EXACT(C134,C132),C132&lt;&gt;0),P132+1,0)</f>
        <v>42</v>
      </c>
      <c r="Q134" s="189" t="str">
        <f t="shared" ref="Q134" si="495">IF(C134&lt;&gt;"",C134&amp;"-"&amp;P134,"")</f>
        <v/>
      </c>
      <c r="R134" s="189" t="str">
        <f t="array" ref="R134">IFERROR(IF(INDEX('Disaggregation Records'!$E$3:$E$66,MATCH(RIGHT(Q134,255),RIGHT('Disaggregation Records'!$D$3:$D$66,255),0))=0,"",INDEX('Disaggregation Records'!$E$3:$E$66,MATCH(RIGHT(Q134,255),RIGHT('Disaggregation Records'!$D$3:$D$66,255),0))),"")</f>
        <v/>
      </c>
      <c r="S134" s="189" t="str">
        <f t="array" ref="S134">IFERROR(IF(INDEX('Disaggregation Records'!$F$3:$F$66,MATCH(RIGHT(Q134,255),RIGHT('Disaggregation Records'!$D$3:$D$66,255),0))=0,"",INDEX('Disaggregation Records'!$F$3:$F$66,MATCH(RIGHT(Q134,255),RIGHT('Disaggregation Records'!$D$3:$D$66,255),0))),"")</f>
        <v/>
      </c>
      <c r="T134" s="189" t="str">
        <f t="array" ref="T134">IFERROR(IF(INDEX('Disaggregation Records'!$H$3:$H$66,MATCH(RIGHT(Q134,255),RIGHT('Disaggregation Records'!$D$3:$D$66,255),0))=0,"",INDEX('Disaggregation Records'!$H$3:$H$66,MATCH(RIGHT(Q134,255),RIGHT('Disaggregation Records'!$D$3:$D$66,255),0))),"")</f>
        <v/>
      </c>
      <c r="U134" s="189">
        <f t="shared" ref="U134" si="496">U132+1</f>
        <v>1245</v>
      </c>
      <c r="V134" s="189" t="str">
        <f t="array" ref="V134">IFERROR(IF(INDEX('Disaggregation Records'!$I$3:$I$66,MATCH(RIGHT(Q134,255),RIGHT('Disaggregation Records'!$D$3:$D$66,255),0))=0,"",INDEX('Disaggregation Records'!$I$3:$I$66,MATCH(RIGHT(Q134,255),RIGHT('Disaggregation Records'!$D$3:$D$66,255),0))),"")</f>
        <v/>
      </c>
      <c r="W134" s="189" t="str">
        <f>IFERROR(INDEX('Reference Records'!O$3:O$15,MATCH(LEFT(C134,255),'Reference Records'!J$3:J$15,0)),"")</f>
        <v/>
      </c>
    </row>
    <row r="135" spans="1:23" s="190" customFormat="1" ht="40.200000000000003" customHeight="1" x14ac:dyDescent="0.3">
      <c r="A135" s="678"/>
      <c r="B135" s="675">
        <v>5.2218045112781999</v>
      </c>
      <c r="C135" s="667"/>
      <c r="D135" s="677"/>
      <c r="E135" s="677"/>
      <c r="F135" s="202"/>
      <c r="G135" s="669"/>
      <c r="H135" s="671"/>
      <c r="I135" s="673"/>
      <c r="J135" s="652"/>
      <c r="K135" s="667"/>
      <c r="L135" s="667"/>
      <c r="M135" s="652"/>
      <c r="N135" s="652"/>
    </row>
    <row r="136" spans="1:23" s="189" customFormat="1" ht="40.200000000000003" customHeight="1" x14ac:dyDescent="0.3">
      <c r="A136" s="678" t="str">
        <f t="shared" ca="1" si="264"/>
        <v>a1G3p000003GJ4fEAG</v>
      </c>
      <c r="B136" s="674">
        <v>7</v>
      </c>
      <c r="C136" s="666" t="str">
        <f>IFERROR(VLOOKUP(B136,'Impact Indicators - Section B '!$A$9:$AF$52,32,FALSE),"")</f>
        <v/>
      </c>
      <c r="D136" s="676" t="str">
        <f t="shared" ref="D136" si="497">R136</f>
        <v/>
      </c>
      <c r="E136" s="676" t="str">
        <f t="shared" ref="E136" si="498">S136</f>
        <v/>
      </c>
      <c r="F136" s="194"/>
      <c r="G136" s="668" t="str">
        <f t="shared" ref="G136" ca="1" si="499">IF(OR(INDIRECT("'update Helper'!E"&amp;U136)=0,F136&lt;&gt;0,F137&lt;&gt;0),IF(IFERROR((F136/F137),"")="","",(F136/F137)),INDIRECT("'update Helper'!E"&amp;U136)/100)</f>
        <v/>
      </c>
      <c r="H136" s="670"/>
      <c r="I136" s="672"/>
      <c r="J136" s="651"/>
      <c r="K136" s="666" t="str">
        <f t="shared" ref="K136" si="500">W136</f>
        <v/>
      </c>
      <c r="L136" s="666" t="str">
        <f t="shared" ref="L136" si="501">V136</f>
        <v/>
      </c>
      <c r="M136" s="651"/>
      <c r="N136" s="651"/>
      <c r="P136" s="189">
        <f t="shared" ref="P136" si="502">IF(AND(EXACT(C136,C134),C134&lt;&gt;0),P134+1,0)</f>
        <v>43</v>
      </c>
      <c r="Q136" s="189" t="str">
        <f t="shared" ref="Q136" si="503">IF(C136&lt;&gt;"",C136&amp;"-"&amp;P136,"")</f>
        <v/>
      </c>
      <c r="R136" s="189" t="str">
        <f t="array" ref="R136">IFERROR(IF(INDEX('Disaggregation Records'!$E$3:$E$66,MATCH(RIGHT(Q136,255),RIGHT('Disaggregation Records'!$D$3:$D$66,255),0))=0,"",INDEX('Disaggregation Records'!$E$3:$E$66,MATCH(RIGHT(Q136,255),RIGHT('Disaggregation Records'!$D$3:$D$66,255),0))),"")</f>
        <v/>
      </c>
      <c r="S136" s="189" t="str">
        <f t="array" ref="S136">IFERROR(IF(INDEX('Disaggregation Records'!$F$3:$F$66,MATCH(RIGHT(Q136,255),RIGHT('Disaggregation Records'!$D$3:$D$66,255),0))=0,"",INDEX('Disaggregation Records'!$F$3:$F$66,MATCH(RIGHT(Q136,255),RIGHT('Disaggregation Records'!$D$3:$D$66,255),0))),"")</f>
        <v/>
      </c>
      <c r="T136" s="189" t="str">
        <f t="array" ref="T136">IFERROR(IF(INDEX('Disaggregation Records'!$H$3:$H$66,MATCH(RIGHT(Q136,255),RIGHT('Disaggregation Records'!$D$3:$D$66,255),0))=0,"",INDEX('Disaggregation Records'!$H$3:$H$66,MATCH(RIGHT(Q136,255),RIGHT('Disaggregation Records'!$D$3:$D$66,255),0))),"")</f>
        <v/>
      </c>
      <c r="U136" s="189">
        <f t="shared" ref="U136" si="504">U134+1</f>
        <v>1246</v>
      </c>
      <c r="V136" s="189" t="str">
        <f t="array" ref="V136">IFERROR(IF(INDEX('Disaggregation Records'!$I$3:$I$66,MATCH(RIGHT(Q136,255),RIGHT('Disaggregation Records'!$D$3:$D$66,255),0))=0,"",INDEX('Disaggregation Records'!$I$3:$I$66,MATCH(RIGHT(Q136,255),RIGHT('Disaggregation Records'!$D$3:$D$66,255),0))),"")</f>
        <v/>
      </c>
      <c r="W136" s="189" t="str">
        <f>IFERROR(INDEX('Reference Records'!O$3:O$15,MATCH(LEFT(C136,255),'Reference Records'!J$3:J$15,0)),"")</f>
        <v/>
      </c>
    </row>
    <row r="137" spans="1:23" s="190" customFormat="1" ht="40.200000000000003" customHeight="1" x14ac:dyDescent="0.3">
      <c r="A137" s="678"/>
      <c r="B137" s="675">
        <v>5.2218045112781999</v>
      </c>
      <c r="C137" s="667"/>
      <c r="D137" s="677"/>
      <c r="E137" s="677"/>
      <c r="F137" s="202"/>
      <c r="G137" s="669"/>
      <c r="H137" s="671"/>
      <c r="I137" s="673"/>
      <c r="J137" s="652"/>
      <c r="K137" s="667"/>
      <c r="L137" s="667"/>
      <c r="M137" s="652"/>
      <c r="N137" s="652"/>
    </row>
    <row r="138" spans="1:23" s="189" customFormat="1" ht="40.200000000000003" customHeight="1" x14ac:dyDescent="0.3">
      <c r="A138" s="678" t="str">
        <f t="shared" ca="1" si="264"/>
        <v>a1G3p000003GJ4gEAG</v>
      </c>
      <c r="B138" s="674">
        <v>7</v>
      </c>
      <c r="C138" s="666" t="str">
        <f>IFERROR(VLOOKUP(B138,'Impact Indicators - Section B '!$A$9:$AF$52,32,FALSE),"")</f>
        <v/>
      </c>
      <c r="D138" s="676" t="str">
        <f t="shared" ref="D138" si="505">R138</f>
        <v/>
      </c>
      <c r="E138" s="676" t="str">
        <f t="shared" ref="E138" si="506">S138</f>
        <v/>
      </c>
      <c r="F138" s="194"/>
      <c r="G138" s="668" t="str">
        <f t="shared" ref="G138" ca="1" si="507">IF(OR(INDIRECT("'update Helper'!E"&amp;U138)=0,F138&lt;&gt;0,F139&lt;&gt;0),IF(IFERROR((F138/F139),"")="","",(F138/F139)),INDIRECT("'update Helper'!E"&amp;U138)/100)</f>
        <v/>
      </c>
      <c r="H138" s="670"/>
      <c r="I138" s="672"/>
      <c r="J138" s="651"/>
      <c r="K138" s="666" t="str">
        <f t="shared" ref="K138" si="508">W138</f>
        <v/>
      </c>
      <c r="L138" s="666" t="str">
        <f t="shared" ref="L138" si="509">V138</f>
        <v/>
      </c>
      <c r="M138" s="651"/>
      <c r="N138" s="651"/>
      <c r="P138" s="189">
        <f t="shared" ref="P138" si="510">IF(AND(EXACT(C138,C136),C136&lt;&gt;0),P136+1,0)</f>
        <v>44</v>
      </c>
      <c r="Q138" s="189" t="str">
        <f t="shared" ref="Q138" si="511">IF(C138&lt;&gt;"",C138&amp;"-"&amp;P138,"")</f>
        <v/>
      </c>
      <c r="R138" s="189" t="str">
        <f t="array" ref="R138">IFERROR(IF(INDEX('Disaggregation Records'!$E$3:$E$66,MATCH(RIGHT(Q138,255),RIGHT('Disaggregation Records'!$D$3:$D$66,255),0))=0,"",INDEX('Disaggregation Records'!$E$3:$E$66,MATCH(RIGHT(Q138,255),RIGHT('Disaggregation Records'!$D$3:$D$66,255),0))),"")</f>
        <v/>
      </c>
      <c r="S138" s="189" t="str">
        <f t="array" ref="S138">IFERROR(IF(INDEX('Disaggregation Records'!$F$3:$F$66,MATCH(RIGHT(Q138,255),RIGHT('Disaggregation Records'!$D$3:$D$66,255),0))=0,"",INDEX('Disaggregation Records'!$F$3:$F$66,MATCH(RIGHT(Q138,255),RIGHT('Disaggregation Records'!$D$3:$D$66,255),0))),"")</f>
        <v/>
      </c>
      <c r="T138" s="189" t="str">
        <f t="array" ref="T138">IFERROR(IF(INDEX('Disaggregation Records'!$H$3:$H$66,MATCH(RIGHT(Q138,255),RIGHT('Disaggregation Records'!$D$3:$D$66,255),0))=0,"",INDEX('Disaggregation Records'!$H$3:$H$66,MATCH(RIGHT(Q138,255),RIGHT('Disaggregation Records'!$D$3:$D$66,255),0))),"")</f>
        <v/>
      </c>
      <c r="U138" s="189">
        <f t="shared" ref="U138" si="512">U136+1</f>
        <v>1247</v>
      </c>
      <c r="V138" s="189" t="str">
        <f t="array" ref="V138">IFERROR(IF(INDEX('Disaggregation Records'!$I$3:$I$66,MATCH(RIGHT(Q138,255),RIGHT('Disaggregation Records'!$D$3:$D$66,255),0))=0,"",INDEX('Disaggregation Records'!$I$3:$I$66,MATCH(RIGHT(Q138,255),RIGHT('Disaggregation Records'!$D$3:$D$66,255),0))),"")</f>
        <v/>
      </c>
      <c r="W138" s="189" t="str">
        <f>IFERROR(INDEX('Reference Records'!O$3:O$15,MATCH(LEFT(C138,255),'Reference Records'!J$3:J$15,0)),"")</f>
        <v/>
      </c>
    </row>
    <row r="139" spans="1:23" s="189" customFormat="1" ht="40.200000000000003" customHeight="1" x14ac:dyDescent="0.3">
      <c r="A139" s="678"/>
      <c r="B139" s="675">
        <v>5.2218045112781999</v>
      </c>
      <c r="C139" s="667"/>
      <c r="D139" s="677"/>
      <c r="E139" s="677"/>
      <c r="F139" s="202"/>
      <c r="G139" s="669"/>
      <c r="H139" s="671"/>
      <c r="I139" s="673"/>
      <c r="J139" s="652"/>
      <c r="K139" s="667"/>
      <c r="L139" s="667"/>
      <c r="M139" s="652"/>
      <c r="N139" s="652"/>
      <c r="P139" s="190"/>
      <c r="Q139" s="190"/>
      <c r="R139" s="190"/>
      <c r="S139" s="190"/>
      <c r="T139" s="190"/>
      <c r="U139" s="190"/>
      <c r="V139" s="190"/>
      <c r="W139" s="190"/>
    </row>
    <row r="140" spans="1:23" s="189" customFormat="1" ht="40.200000000000003" customHeight="1" x14ac:dyDescent="0.3">
      <c r="A140" s="678" t="str">
        <f t="shared" ca="1" si="264"/>
        <v>a1G3p000003GJ4hEAG</v>
      </c>
      <c r="B140" s="674">
        <v>7</v>
      </c>
      <c r="C140" s="666" t="str">
        <f>IFERROR(VLOOKUP(B140,'Impact Indicators - Section B '!$A$9:$AF$52,32,FALSE),"")</f>
        <v/>
      </c>
      <c r="D140" s="676" t="str">
        <f t="shared" ref="D140" si="513">R140</f>
        <v/>
      </c>
      <c r="E140" s="676" t="str">
        <f t="shared" ref="E140" si="514">S140</f>
        <v/>
      </c>
      <c r="F140" s="194"/>
      <c r="G140" s="668" t="str">
        <f t="shared" ref="G140" ca="1" si="515">IF(OR(INDIRECT("'update Helper'!E"&amp;U140)=0,F140&lt;&gt;0,F141&lt;&gt;0),IF(IFERROR((F140/F141),"")="","",(F140/F141)),INDIRECT("'update Helper'!E"&amp;U140)/100)</f>
        <v/>
      </c>
      <c r="H140" s="670"/>
      <c r="I140" s="672"/>
      <c r="J140" s="651"/>
      <c r="K140" s="666" t="str">
        <f t="shared" ref="K140" si="516">W140</f>
        <v/>
      </c>
      <c r="L140" s="666" t="str">
        <f t="shared" ref="L140" si="517">V140</f>
        <v/>
      </c>
      <c r="M140" s="651"/>
      <c r="N140" s="651"/>
      <c r="P140" s="189">
        <f t="shared" ref="P140" si="518">IF(AND(EXACT(C140,C138),C138&lt;&gt;0),P138+1,0)</f>
        <v>45</v>
      </c>
      <c r="Q140" s="189" t="str">
        <f t="shared" ref="Q140" si="519">IF(C140&lt;&gt;"",C140&amp;"-"&amp;P140,"")</f>
        <v/>
      </c>
      <c r="R140" s="189" t="str">
        <f t="array" ref="R140">IFERROR(IF(INDEX('Disaggregation Records'!$E$3:$E$66,MATCH(RIGHT(Q140,255),RIGHT('Disaggregation Records'!$D$3:$D$66,255),0))=0,"",INDEX('Disaggregation Records'!$E$3:$E$66,MATCH(RIGHT(Q140,255),RIGHT('Disaggregation Records'!$D$3:$D$66,255),0))),"")</f>
        <v/>
      </c>
      <c r="S140" s="189" t="str">
        <f t="array" ref="S140">IFERROR(IF(INDEX('Disaggregation Records'!$F$3:$F$66,MATCH(RIGHT(Q140,255),RIGHT('Disaggregation Records'!$D$3:$D$66,255),0))=0,"",INDEX('Disaggregation Records'!$F$3:$F$66,MATCH(RIGHT(Q140,255),RIGHT('Disaggregation Records'!$D$3:$D$66,255),0))),"")</f>
        <v/>
      </c>
      <c r="T140" s="189" t="str">
        <f t="array" ref="T140">IFERROR(IF(INDEX('Disaggregation Records'!$H$3:$H$66,MATCH(RIGHT(Q140,255),RIGHT('Disaggregation Records'!$D$3:$D$66,255),0))=0,"",INDEX('Disaggregation Records'!$H$3:$H$66,MATCH(RIGHT(Q140,255),RIGHT('Disaggregation Records'!$D$3:$D$66,255),0))),"")</f>
        <v/>
      </c>
      <c r="U140" s="189">
        <f t="shared" ref="U140" si="520">U138+1</f>
        <v>1248</v>
      </c>
      <c r="V140" s="189" t="str">
        <f t="array" ref="V140">IFERROR(IF(INDEX('Disaggregation Records'!$I$3:$I$66,MATCH(RIGHT(Q140,255),RIGHT('Disaggregation Records'!$D$3:$D$66,255),0))=0,"",INDEX('Disaggregation Records'!$I$3:$I$66,MATCH(RIGHT(Q140,255),RIGHT('Disaggregation Records'!$D$3:$D$66,255),0))),"")</f>
        <v/>
      </c>
      <c r="W140" s="189" t="str">
        <f>IFERROR(INDEX('Reference Records'!O$3:O$15,MATCH(LEFT(C140,255),'Reference Records'!J$3:J$15,0)),"")</f>
        <v/>
      </c>
    </row>
    <row r="141" spans="1:23" s="190" customFormat="1" ht="40.200000000000003" customHeight="1" x14ac:dyDescent="0.3">
      <c r="A141" s="678"/>
      <c r="B141" s="675">
        <v>5.2218045112781999</v>
      </c>
      <c r="C141" s="667"/>
      <c r="D141" s="677"/>
      <c r="E141" s="677"/>
      <c r="F141" s="202"/>
      <c r="G141" s="669"/>
      <c r="H141" s="671"/>
      <c r="I141" s="673"/>
      <c r="J141" s="652"/>
      <c r="K141" s="667"/>
      <c r="L141" s="667"/>
      <c r="M141" s="652"/>
      <c r="N141" s="652"/>
    </row>
    <row r="142" spans="1:23" s="189" customFormat="1" ht="40.200000000000003" customHeight="1" x14ac:dyDescent="0.3">
      <c r="A142" s="678" t="str">
        <f t="shared" ref="A142:A204" ca="1" si="521">INDIRECT("'update Helper'!C"&amp;U142)</f>
        <v>a1G3p000003GJ4iEAG</v>
      </c>
      <c r="B142" s="674">
        <v>7</v>
      </c>
      <c r="C142" s="666" t="str">
        <f>IFERROR(VLOOKUP(B142,'Impact Indicators - Section B '!$A$9:$AF$52,32,FALSE),"")</f>
        <v/>
      </c>
      <c r="D142" s="676" t="str">
        <f t="shared" ref="D142" si="522">R142</f>
        <v/>
      </c>
      <c r="E142" s="676" t="str">
        <f t="shared" ref="E142" si="523">S142</f>
        <v/>
      </c>
      <c r="F142" s="194"/>
      <c r="G142" s="668" t="str">
        <f t="shared" ref="G142" ca="1" si="524">IF(OR(INDIRECT("'update Helper'!E"&amp;U142)=0,F142&lt;&gt;0,F143&lt;&gt;0),IF(IFERROR((F142/F143),"")="","",(F142/F143)),INDIRECT("'update Helper'!E"&amp;U142)/100)</f>
        <v/>
      </c>
      <c r="H142" s="670"/>
      <c r="I142" s="672"/>
      <c r="J142" s="651"/>
      <c r="K142" s="666" t="str">
        <f t="shared" ref="K142" si="525">W142</f>
        <v/>
      </c>
      <c r="L142" s="666" t="str">
        <f t="shared" ref="L142" si="526">V142</f>
        <v/>
      </c>
      <c r="M142" s="651"/>
      <c r="N142" s="651"/>
      <c r="P142" s="189">
        <f t="shared" ref="P142" si="527">IF(AND(EXACT(C142,C140),C140&lt;&gt;0),P140+1,0)</f>
        <v>46</v>
      </c>
      <c r="Q142" s="189" t="str">
        <f t="shared" ref="Q142" si="528">IF(C142&lt;&gt;"",C142&amp;"-"&amp;P142,"")</f>
        <v/>
      </c>
      <c r="R142" s="189" t="str">
        <f t="array" ref="R142">IFERROR(IF(INDEX('Disaggregation Records'!$E$3:$E$66,MATCH(RIGHT(Q142,255),RIGHT('Disaggregation Records'!$D$3:$D$66,255),0))=0,"",INDEX('Disaggregation Records'!$E$3:$E$66,MATCH(RIGHT(Q142,255),RIGHT('Disaggregation Records'!$D$3:$D$66,255),0))),"")</f>
        <v/>
      </c>
      <c r="S142" s="189" t="str">
        <f t="array" ref="S142">IFERROR(IF(INDEX('Disaggregation Records'!$F$3:$F$66,MATCH(RIGHT(Q142,255),RIGHT('Disaggregation Records'!$D$3:$D$66,255),0))=0,"",INDEX('Disaggregation Records'!$F$3:$F$66,MATCH(RIGHT(Q142,255),RIGHT('Disaggregation Records'!$D$3:$D$66,255),0))),"")</f>
        <v/>
      </c>
      <c r="T142" s="189" t="str">
        <f t="array" ref="T142">IFERROR(IF(INDEX('Disaggregation Records'!$H$3:$H$66,MATCH(RIGHT(Q142,255),RIGHT('Disaggregation Records'!$D$3:$D$66,255),0))=0,"",INDEX('Disaggregation Records'!$H$3:$H$66,MATCH(RIGHT(Q142,255),RIGHT('Disaggregation Records'!$D$3:$D$66,255),0))),"")</f>
        <v/>
      </c>
      <c r="U142" s="189">
        <f t="shared" ref="U142" si="529">U140+1</f>
        <v>1249</v>
      </c>
      <c r="V142" s="189" t="str">
        <f t="array" ref="V142">IFERROR(IF(INDEX('Disaggregation Records'!$I$3:$I$66,MATCH(RIGHT(Q142,255),RIGHT('Disaggregation Records'!$D$3:$D$66,255),0))=0,"",INDEX('Disaggregation Records'!$I$3:$I$66,MATCH(RIGHT(Q142,255),RIGHT('Disaggregation Records'!$D$3:$D$66,255),0))),"")</f>
        <v/>
      </c>
      <c r="W142" s="189" t="str">
        <f>IFERROR(INDEX('Reference Records'!O$3:O$15,MATCH(LEFT(C142,255),'Reference Records'!J$3:J$15,0)),"")</f>
        <v/>
      </c>
    </row>
    <row r="143" spans="1:23" s="190" customFormat="1" ht="40.200000000000003" customHeight="1" x14ac:dyDescent="0.3">
      <c r="A143" s="678"/>
      <c r="B143" s="675">
        <v>5.2218045112781999</v>
      </c>
      <c r="C143" s="667"/>
      <c r="D143" s="677"/>
      <c r="E143" s="677"/>
      <c r="F143" s="202"/>
      <c r="G143" s="669"/>
      <c r="H143" s="671"/>
      <c r="I143" s="673"/>
      <c r="J143" s="652"/>
      <c r="K143" s="667"/>
      <c r="L143" s="667"/>
      <c r="M143" s="652"/>
      <c r="N143" s="652"/>
    </row>
    <row r="144" spans="1:23" s="189" customFormat="1" ht="40.200000000000003" customHeight="1" x14ac:dyDescent="0.3">
      <c r="A144" s="678" t="str">
        <f t="shared" ca="1" si="521"/>
        <v>a1G3p000003GJ4jEAG</v>
      </c>
      <c r="B144" s="674">
        <v>7</v>
      </c>
      <c r="C144" s="666" t="str">
        <f>IFERROR(VLOOKUP(B144,'Impact Indicators - Section B '!$A$9:$AF$52,32,FALSE),"")</f>
        <v/>
      </c>
      <c r="D144" s="676" t="str">
        <f t="shared" ref="D144" si="530">R144</f>
        <v/>
      </c>
      <c r="E144" s="676" t="str">
        <f t="shared" ref="E144" si="531">S144</f>
        <v/>
      </c>
      <c r="F144" s="194"/>
      <c r="G144" s="668" t="str">
        <f t="shared" ref="G144" ca="1" si="532">IF(OR(INDIRECT("'update Helper'!E"&amp;U144)=0,F144&lt;&gt;0,F145&lt;&gt;0),IF(IFERROR((F144/F145),"")="","",(F144/F145)),INDIRECT("'update Helper'!E"&amp;U144)/100)</f>
        <v/>
      </c>
      <c r="H144" s="670"/>
      <c r="I144" s="672"/>
      <c r="J144" s="651"/>
      <c r="K144" s="666" t="str">
        <f t="shared" ref="K144" si="533">W144</f>
        <v/>
      </c>
      <c r="L144" s="666" t="str">
        <f t="shared" ref="L144" si="534">V144</f>
        <v/>
      </c>
      <c r="M144" s="651"/>
      <c r="N144" s="651"/>
      <c r="P144" s="189">
        <f t="shared" ref="P144" si="535">IF(AND(EXACT(C144,C142),C142&lt;&gt;0),P142+1,0)</f>
        <v>47</v>
      </c>
      <c r="Q144" s="189" t="str">
        <f t="shared" ref="Q144" si="536">IF(C144&lt;&gt;"",C144&amp;"-"&amp;P144,"")</f>
        <v/>
      </c>
      <c r="R144" s="189" t="str">
        <f t="array" ref="R144">IFERROR(IF(INDEX('Disaggregation Records'!$E$3:$E$66,MATCH(RIGHT(Q144,255),RIGHT('Disaggregation Records'!$D$3:$D$66,255),0))=0,"",INDEX('Disaggregation Records'!$E$3:$E$66,MATCH(RIGHT(Q144,255),RIGHT('Disaggregation Records'!$D$3:$D$66,255),0))),"")</f>
        <v/>
      </c>
      <c r="S144" s="189" t="str">
        <f t="array" ref="S144">IFERROR(IF(INDEX('Disaggregation Records'!$F$3:$F$66,MATCH(RIGHT(Q144,255),RIGHT('Disaggregation Records'!$D$3:$D$66,255),0))=0,"",INDEX('Disaggregation Records'!$F$3:$F$66,MATCH(RIGHT(Q144,255),RIGHT('Disaggregation Records'!$D$3:$D$66,255),0))),"")</f>
        <v/>
      </c>
      <c r="T144" s="189" t="str">
        <f t="array" ref="T144">IFERROR(IF(INDEX('Disaggregation Records'!$H$3:$H$66,MATCH(RIGHT(Q144,255),RIGHT('Disaggregation Records'!$D$3:$D$66,255),0))=0,"",INDEX('Disaggregation Records'!$H$3:$H$66,MATCH(RIGHT(Q144,255),RIGHT('Disaggregation Records'!$D$3:$D$66,255),0))),"")</f>
        <v/>
      </c>
      <c r="U144" s="189">
        <f t="shared" ref="U144" si="537">U142+1</f>
        <v>1250</v>
      </c>
      <c r="V144" s="189" t="str">
        <f t="array" ref="V144">IFERROR(IF(INDEX('Disaggregation Records'!$I$3:$I$66,MATCH(RIGHT(Q144,255),RIGHT('Disaggregation Records'!$D$3:$D$66,255),0))=0,"",INDEX('Disaggregation Records'!$I$3:$I$66,MATCH(RIGHT(Q144,255),RIGHT('Disaggregation Records'!$D$3:$D$66,255),0))),"")</f>
        <v/>
      </c>
      <c r="W144" s="189" t="str">
        <f>IFERROR(INDEX('Reference Records'!O$3:O$15,MATCH(LEFT(C144,255),'Reference Records'!J$3:J$15,0)),"")</f>
        <v/>
      </c>
    </row>
    <row r="145" spans="1:23" s="189" customFormat="1" ht="40.200000000000003" customHeight="1" x14ac:dyDescent="0.3">
      <c r="A145" s="678"/>
      <c r="B145" s="675">
        <v>5.2218045112781999</v>
      </c>
      <c r="C145" s="667"/>
      <c r="D145" s="677"/>
      <c r="E145" s="677"/>
      <c r="F145" s="202"/>
      <c r="G145" s="669"/>
      <c r="H145" s="671"/>
      <c r="I145" s="673"/>
      <c r="J145" s="652"/>
      <c r="K145" s="667"/>
      <c r="L145" s="667"/>
      <c r="M145" s="652"/>
      <c r="N145" s="652"/>
      <c r="P145" s="190"/>
      <c r="Q145" s="190"/>
      <c r="R145" s="190"/>
      <c r="S145" s="190"/>
      <c r="T145" s="190"/>
      <c r="U145" s="190"/>
      <c r="V145" s="190"/>
      <c r="W145" s="190"/>
    </row>
    <row r="146" spans="1:23" s="189" customFormat="1" ht="40.200000000000003" customHeight="1" x14ac:dyDescent="0.3">
      <c r="A146" s="678" t="str">
        <f t="shared" ca="1" si="521"/>
        <v>a1G3p000003GJ4kEAG</v>
      </c>
      <c r="B146" s="674">
        <v>7</v>
      </c>
      <c r="C146" s="666" t="str">
        <f>IFERROR(VLOOKUP(B146,'Impact Indicators - Section B '!$A$9:$AF$52,32,FALSE),"")</f>
        <v/>
      </c>
      <c r="D146" s="676" t="str">
        <f t="shared" ref="D146" si="538">R146</f>
        <v/>
      </c>
      <c r="E146" s="676" t="str">
        <f t="shared" ref="E146" si="539">S146</f>
        <v/>
      </c>
      <c r="F146" s="194"/>
      <c r="G146" s="668" t="str">
        <f t="shared" ref="G146" ca="1" si="540">IF(OR(INDIRECT("'update Helper'!E"&amp;U146)=0,F146&lt;&gt;0,F147&lt;&gt;0),IF(IFERROR((F146/F147),"")="","",(F146/F147)),INDIRECT("'update Helper'!E"&amp;U146)/100)</f>
        <v/>
      </c>
      <c r="H146" s="670"/>
      <c r="I146" s="672"/>
      <c r="J146" s="651"/>
      <c r="K146" s="666" t="str">
        <f t="shared" ref="K146" si="541">W146</f>
        <v/>
      </c>
      <c r="L146" s="666" t="str">
        <f t="shared" ref="L146" si="542">V146</f>
        <v/>
      </c>
      <c r="M146" s="651"/>
      <c r="N146" s="651"/>
      <c r="P146" s="189">
        <f t="shared" ref="P146" si="543">IF(AND(EXACT(C146,C144),C144&lt;&gt;0),P144+1,0)</f>
        <v>48</v>
      </c>
      <c r="Q146" s="189" t="str">
        <f t="shared" ref="Q146" si="544">IF(C146&lt;&gt;"",C146&amp;"-"&amp;P146,"")</f>
        <v/>
      </c>
      <c r="R146" s="189" t="str">
        <f t="array" ref="R146">IFERROR(IF(INDEX('Disaggregation Records'!$E$3:$E$66,MATCH(RIGHT(Q146,255),RIGHT('Disaggregation Records'!$D$3:$D$66,255),0))=0,"",INDEX('Disaggregation Records'!$E$3:$E$66,MATCH(RIGHT(Q146,255),RIGHT('Disaggregation Records'!$D$3:$D$66,255),0))),"")</f>
        <v/>
      </c>
      <c r="S146" s="189" t="str">
        <f t="array" ref="S146">IFERROR(IF(INDEX('Disaggregation Records'!$F$3:$F$66,MATCH(RIGHT(Q146,255),RIGHT('Disaggregation Records'!$D$3:$D$66,255),0))=0,"",INDEX('Disaggregation Records'!$F$3:$F$66,MATCH(RIGHT(Q146,255),RIGHT('Disaggregation Records'!$D$3:$D$66,255),0))),"")</f>
        <v/>
      </c>
      <c r="T146" s="189" t="str">
        <f t="array" ref="T146">IFERROR(IF(INDEX('Disaggregation Records'!$H$3:$H$66,MATCH(RIGHT(Q146,255),RIGHT('Disaggregation Records'!$D$3:$D$66,255),0))=0,"",INDEX('Disaggregation Records'!$H$3:$H$66,MATCH(RIGHT(Q146,255),RIGHT('Disaggregation Records'!$D$3:$D$66,255),0))),"")</f>
        <v/>
      </c>
      <c r="U146" s="189">
        <f t="shared" ref="U146" si="545">U144+1</f>
        <v>1251</v>
      </c>
      <c r="V146" s="189" t="str">
        <f t="array" ref="V146">IFERROR(IF(INDEX('Disaggregation Records'!$I$3:$I$66,MATCH(RIGHT(Q146,255),RIGHT('Disaggregation Records'!$D$3:$D$66,255),0))=0,"",INDEX('Disaggregation Records'!$I$3:$I$66,MATCH(RIGHT(Q146,255),RIGHT('Disaggregation Records'!$D$3:$D$66,255),0))),"")</f>
        <v/>
      </c>
      <c r="W146" s="189" t="str">
        <f>IFERROR(INDEX('Reference Records'!O$3:O$15,MATCH(LEFT(C146,255),'Reference Records'!J$3:J$15,0)),"")</f>
        <v/>
      </c>
    </row>
    <row r="147" spans="1:23" s="190" customFormat="1" ht="40.200000000000003" customHeight="1" x14ac:dyDescent="0.3">
      <c r="A147" s="678"/>
      <c r="B147" s="675">
        <v>5.2218045112781999</v>
      </c>
      <c r="C147" s="667"/>
      <c r="D147" s="677"/>
      <c r="E147" s="677"/>
      <c r="F147" s="202"/>
      <c r="G147" s="669"/>
      <c r="H147" s="671"/>
      <c r="I147" s="673"/>
      <c r="J147" s="652"/>
      <c r="K147" s="667"/>
      <c r="L147" s="667"/>
      <c r="M147" s="652"/>
      <c r="N147" s="652"/>
    </row>
    <row r="148" spans="1:23" s="189" customFormat="1" ht="40.200000000000003" customHeight="1" x14ac:dyDescent="0.3">
      <c r="A148" s="678" t="str">
        <f t="shared" ca="1" si="521"/>
        <v>a1G3p000003GJ4lEAG</v>
      </c>
      <c r="B148" s="674">
        <v>7</v>
      </c>
      <c r="C148" s="666" t="str">
        <f>IFERROR(VLOOKUP(B148,'Impact Indicators - Section B '!$A$9:$AF$52,32,FALSE),"")</f>
        <v/>
      </c>
      <c r="D148" s="676" t="str">
        <f t="shared" ref="D148" si="546">R148</f>
        <v/>
      </c>
      <c r="E148" s="676" t="str">
        <f t="shared" ref="E148" si="547">S148</f>
        <v/>
      </c>
      <c r="F148" s="194"/>
      <c r="G148" s="668" t="str">
        <f t="shared" ref="G148" ca="1" si="548">IF(OR(INDIRECT("'update Helper'!E"&amp;U148)=0,F148&lt;&gt;0,F149&lt;&gt;0),IF(IFERROR((F148/F149),"")="","",(F148/F149)),INDIRECT("'update Helper'!E"&amp;U148)/100)</f>
        <v/>
      </c>
      <c r="H148" s="670"/>
      <c r="I148" s="672"/>
      <c r="J148" s="651"/>
      <c r="K148" s="666" t="str">
        <f t="shared" ref="K148" si="549">W148</f>
        <v/>
      </c>
      <c r="L148" s="666" t="str">
        <f t="shared" ref="L148" si="550">V148</f>
        <v/>
      </c>
      <c r="M148" s="651"/>
      <c r="N148" s="651"/>
      <c r="P148" s="189">
        <f t="shared" ref="P148" si="551">IF(AND(EXACT(C148,C146),C146&lt;&gt;0),P146+1,0)</f>
        <v>49</v>
      </c>
      <c r="Q148" s="189" t="str">
        <f t="shared" ref="Q148" si="552">IF(C148&lt;&gt;"",C148&amp;"-"&amp;P148,"")</f>
        <v/>
      </c>
      <c r="R148" s="189" t="str">
        <f t="array" ref="R148">IFERROR(IF(INDEX('Disaggregation Records'!$E$3:$E$66,MATCH(RIGHT(Q148,255),RIGHT('Disaggregation Records'!$D$3:$D$66,255),0))=0,"",INDEX('Disaggregation Records'!$E$3:$E$66,MATCH(RIGHT(Q148,255),RIGHT('Disaggregation Records'!$D$3:$D$66,255),0))),"")</f>
        <v/>
      </c>
      <c r="S148" s="189" t="str">
        <f t="array" ref="S148">IFERROR(IF(INDEX('Disaggregation Records'!$F$3:$F$66,MATCH(RIGHT(Q148,255),RIGHT('Disaggregation Records'!$D$3:$D$66,255),0))=0,"",INDEX('Disaggregation Records'!$F$3:$F$66,MATCH(RIGHT(Q148,255),RIGHT('Disaggregation Records'!$D$3:$D$66,255),0))),"")</f>
        <v/>
      </c>
      <c r="T148" s="189" t="str">
        <f t="array" ref="T148">IFERROR(IF(INDEX('Disaggregation Records'!$H$3:$H$66,MATCH(RIGHT(Q148,255),RIGHT('Disaggregation Records'!$D$3:$D$66,255),0))=0,"",INDEX('Disaggregation Records'!$H$3:$H$66,MATCH(RIGHT(Q148,255),RIGHT('Disaggregation Records'!$D$3:$D$66,255),0))),"")</f>
        <v/>
      </c>
      <c r="U148" s="189">
        <f t="shared" ref="U148" si="553">U146+1</f>
        <v>1252</v>
      </c>
      <c r="V148" s="189" t="str">
        <f t="array" ref="V148">IFERROR(IF(INDEX('Disaggregation Records'!$I$3:$I$66,MATCH(RIGHT(Q148,255),RIGHT('Disaggregation Records'!$D$3:$D$66,255),0))=0,"",INDEX('Disaggregation Records'!$I$3:$I$66,MATCH(RIGHT(Q148,255),RIGHT('Disaggregation Records'!$D$3:$D$66,255),0))),"")</f>
        <v/>
      </c>
      <c r="W148" s="189" t="str">
        <f>IFERROR(INDEX('Reference Records'!O$3:O$15,MATCH(LEFT(C148,255),'Reference Records'!J$3:J$15,0)),"")</f>
        <v/>
      </c>
    </row>
    <row r="149" spans="1:23" s="190" customFormat="1" ht="40.200000000000003" customHeight="1" x14ac:dyDescent="0.3">
      <c r="A149" s="678"/>
      <c r="B149" s="675">
        <v>5.2218045112781999</v>
      </c>
      <c r="C149" s="667"/>
      <c r="D149" s="677"/>
      <c r="E149" s="677"/>
      <c r="F149" s="202"/>
      <c r="G149" s="669"/>
      <c r="H149" s="671"/>
      <c r="I149" s="673"/>
      <c r="J149" s="652"/>
      <c r="K149" s="667"/>
      <c r="L149" s="667"/>
      <c r="M149" s="652"/>
      <c r="N149" s="652"/>
    </row>
    <row r="150" spans="1:23" s="189" customFormat="1" ht="40.200000000000003" customHeight="1" x14ac:dyDescent="0.3">
      <c r="A150" s="678" t="str">
        <f t="shared" ca="1" si="521"/>
        <v>a1G3p000003GJ4mEAG</v>
      </c>
      <c r="B150" s="674">
        <v>8</v>
      </c>
      <c r="C150" s="666" t="str">
        <f>IFERROR(VLOOKUP(B150,'Impact Indicators - Section B '!$A$9:$AF$52,32,FALSE),"")</f>
        <v/>
      </c>
      <c r="D150" s="676" t="str">
        <f t="shared" ref="D150" si="554">R150</f>
        <v/>
      </c>
      <c r="E150" s="676" t="str">
        <f t="shared" ref="E150" si="555">S150</f>
        <v/>
      </c>
      <c r="F150" s="194"/>
      <c r="G150" s="668" t="str">
        <f t="shared" ref="G150" ca="1" si="556">IF(OR(INDIRECT("'update Helper'!E"&amp;U150)=0,F150&lt;&gt;0,F151&lt;&gt;0),IF(IFERROR((F150/F151),"")="","",(F150/F151)),INDIRECT("'update Helper'!E"&amp;U150)/100)</f>
        <v/>
      </c>
      <c r="H150" s="670"/>
      <c r="I150" s="672"/>
      <c r="J150" s="651"/>
      <c r="K150" s="666" t="str">
        <f t="shared" ref="K150" si="557">W150</f>
        <v/>
      </c>
      <c r="L150" s="666" t="str">
        <f t="shared" ref="L150" si="558">V150</f>
        <v/>
      </c>
      <c r="M150" s="651"/>
      <c r="N150" s="651"/>
      <c r="P150" s="189">
        <f t="shared" ref="P150" si="559">IF(AND(EXACT(C150,C148),C148&lt;&gt;0),P148+1,0)</f>
        <v>50</v>
      </c>
      <c r="Q150" s="189" t="str">
        <f t="shared" ref="Q150" si="560">IF(C150&lt;&gt;"",C150&amp;"-"&amp;P150,"")</f>
        <v/>
      </c>
      <c r="R150" s="189" t="str">
        <f t="array" ref="R150">IFERROR(IF(INDEX('Disaggregation Records'!$E$3:$E$66,MATCH(RIGHT(Q150,255),RIGHT('Disaggregation Records'!$D$3:$D$66,255),0))=0,"",INDEX('Disaggregation Records'!$E$3:$E$66,MATCH(RIGHT(Q150,255),RIGHT('Disaggregation Records'!$D$3:$D$66,255),0))),"")</f>
        <v/>
      </c>
      <c r="S150" s="189" t="str">
        <f t="array" ref="S150">IFERROR(IF(INDEX('Disaggregation Records'!$F$3:$F$66,MATCH(RIGHT(Q150,255),RIGHT('Disaggregation Records'!$D$3:$D$66,255),0))=0,"",INDEX('Disaggregation Records'!$F$3:$F$66,MATCH(RIGHT(Q150,255),RIGHT('Disaggregation Records'!$D$3:$D$66,255),0))),"")</f>
        <v/>
      </c>
      <c r="T150" s="189" t="str">
        <f t="array" ref="T150">IFERROR(IF(INDEX('Disaggregation Records'!$H$3:$H$66,MATCH(RIGHT(Q150,255),RIGHT('Disaggregation Records'!$D$3:$D$66,255),0))=0,"",INDEX('Disaggregation Records'!$H$3:$H$66,MATCH(RIGHT(Q150,255),RIGHT('Disaggregation Records'!$D$3:$D$66,255),0))),"")</f>
        <v/>
      </c>
      <c r="U150" s="189">
        <f t="shared" ref="U150" si="561">U148+1</f>
        <v>1253</v>
      </c>
      <c r="V150" s="189" t="str">
        <f t="array" ref="V150">IFERROR(IF(INDEX('Disaggregation Records'!$I$3:$I$66,MATCH(RIGHT(Q150,255),RIGHT('Disaggregation Records'!$D$3:$D$66,255),0))=0,"",INDEX('Disaggregation Records'!$I$3:$I$66,MATCH(RIGHT(Q150,255),RIGHT('Disaggregation Records'!$D$3:$D$66,255),0))),"")</f>
        <v/>
      </c>
      <c r="W150" s="189" t="str">
        <f>IFERROR(INDEX('Reference Records'!O$3:O$15,MATCH(LEFT(C150,255),'Reference Records'!J$3:J$15,0)),"")</f>
        <v/>
      </c>
    </row>
    <row r="151" spans="1:23" s="189" customFormat="1" ht="40.200000000000003" customHeight="1" x14ac:dyDescent="0.3">
      <c r="A151" s="678"/>
      <c r="B151" s="675">
        <v>5.9736842105263204</v>
      </c>
      <c r="C151" s="667"/>
      <c r="D151" s="677"/>
      <c r="E151" s="677"/>
      <c r="F151" s="202"/>
      <c r="G151" s="669"/>
      <c r="H151" s="671"/>
      <c r="I151" s="673"/>
      <c r="J151" s="652"/>
      <c r="K151" s="667"/>
      <c r="L151" s="667"/>
      <c r="M151" s="652"/>
      <c r="N151" s="652"/>
      <c r="P151" s="190"/>
      <c r="Q151" s="190"/>
      <c r="R151" s="190"/>
      <c r="S151" s="190"/>
      <c r="T151" s="190"/>
      <c r="U151" s="190"/>
      <c r="V151" s="190"/>
      <c r="W151" s="190"/>
    </row>
    <row r="152" spans="1:23" s="189" customFormat="1" ht="40.200000000000003" customHeight="1" x14ac:dyDescent="0.3">
      <c r="A152" s="678" t="str">
        <f t="shared" ca="1" si="521"/>
        <v>a1G3p000003GJ4nEAG</v>
      </c>
      <c r="B152" s="674">
        <v>8</v>
      </c>
      <c r="C152" s="666" t="str">
        <f>IFERROR(VLOOKUP(B152,'Impact Indicators - Section B '!$A$9:$AF$52,32,FALSE),"")</f>
        <v/>
      </c>
      <c r="D152" s="676" t="str">
        <f t="shared" ref="D152" si="562">R152</f>
        <v/>
      </c>
      <c r="E152" s="676" t="str">
        <f t="shared" ref="E152" si="563">S152</f>
        <v/>
      </c>
      <c r="F152" s="194"/>
      <c r="G152" s="668" t="str">
        <f t="shared" ref="G152" ca="1" si="564">IF(OR(INDIRECT("'update Helper'!E"&amp;U152)=0,F152&lt;&gt;0,F153&lt;&gt;0),IF(IFERROR((F152/F153),"")="","",(F152/F153)),INDIRECT("'update Helper'!E"&amp;U152)/100)</f>
        <v/>
      </c>
      <c r="H152" s="670"/>
      <c r="I152" s="672"/>
      <c r="J152" s="651"/>
      <c r="K152" s="666" t="str">
        <f t="shared" ref="K152" si="565">W152</f>
        <v/>
      </c>
      <c r="L152" s="666" t="str">
        <f t="shared" ref="L152" si="566">V152</f>
        <v/>
      </c>
      <c r="M152" s="651"/>
      <c r="N152" s="651"/>
      <c r="P152" s="189">
        <f t="shared" ref="P152" si="567">IF(AND(EXACT(C152,C150),C150&lt;&gt;0),P150+1,0)</f>
        <v>51</v>
      </c>
      <c r="Q152" s="189" t="str">
        <f t="shared" ref="Q152" si="568">IF(C152&lt;&gt;"",C152&amp;"-"&amp;P152,"")</f>
        <v/>
      </c>
      <c r="R152" s="189" t="str">
        <f t="array" ref="R152">IFERROR(IF(INDEX('Disaggregation Records'!$E$3:$E$66,MATCH(RIGHT(Q152,255),RIGHT('Disaggregation Records'!$D$3:$D$66,255),0))=0,"",INDEX('Disaggregation Records'!$E$3:$E$66,MATCH(RIGHT(Q152,255),RIGHT('Disaggregation Records'!$D$3:$D$66,255),0))),"")</f>
        <v/>
      </c>
      <c r="S152" s="189" t="str">
        <f t="array" ref="S152">IFERROR(IF(INDEX('Disaggregation Records'!$F$3:$F$66,MATCH(RIGHT(Q152,255),RIGHT('Disaggregation Records'!$D$3:$D$66,255),0))=0,"",INDEX('Disaggregation Records'!$F$3:$F$66,MATCH(RIGHT(Q152,255),RIGHT('Disaggregation Records'!$D$3:$D$66,255),0))),"")</f>
        <v/>
      </c>
      <c r="T152" s="189" t="str">
        <f t="array" ref="T152">IFERROR(IF(INDEX('Disaggregation Records'!$H$3:$H$66,MATCH(RIGHT(Q152,255),RIGHT('Disaggregation Records'!$D$3:$D$66,255),0))=0,"",INDEX('Disaggregation Records'!$H$3:$H$66,MATCH(RIGHT(Q152,255),RIGHT('Disaggregation Records'!$D$3:$D$66,255),0))),"")</f>
        <v/>
      </c>
      <c r="U152" s="189">
        <f t="shared" ref="U152" si="569">U150+1</f>
        <v>1254</v>
      </c>
      <c r="V152" s="189" t="str">
        <f t="array" ref="V152">IFERROR(IF(INDEX('Disaggregation Records'!$I$3:$I$66,MATCH(RIGHT(Q152,255),RIGHT('Disaggregation Records'!$D$3:$D$66,255),0))=0,"",INDEX('Disaggregation Records'!$I$3:$I$66,MATCH(RIGHT(Q152,255),RIGHT('Disaggregation Records'!$D$3:$D$66,255),0))),"")</f>
        <v/>
      </c>
      <c r="W152" s="189" t="str">
        <f>IFERROR(INDEX('Reference Records'!O$3:O$15,MATCH(LEFT(C152,255),'Reference Records'!J$3:J$15,0)),"")</f>
        <v/>
      </c>
    </row>
    <row r="153" spans="1:23" s="190" customFormat="1" ht="40.200000000000003" customHeight="1" x14ac:dyDescent="0.3">
      <c r="A153" s="678"/>
      <c r="B153" s="675">
        <v>5.9736842105263204</v>
      </c>
      <c r="C153" s="667"/>
      <c r="D153" s="677"/>
      <c r="E153" s="677"/>
      <c r="F153" s="202"/>
      <c r="G153" s="669"/>
      <c r="H153" s="671"/>
      <c r="I153" s="673"/>
      <c r="J153" s="652"/>
      <c r="K153" s="667"/>
      <c r="L153" s="667"/>
      <c r="M153" s="652"/>
      <c r="N153" s="652"/>
    </row>
    <row r="154" spans="1:23" s="189" customFormat="1" ht="40.200000000000003" customHeight="1" x14ac:dyDescent="0.3">
      <c r="A154" s="678" t="str">
        <f t="shared" ca="1" si="521"/>
        <v>a1G3p000003GJ4oEAG</v>
      </c>
      <c r="B154" s="674">
        <v>8</v>
      </c>
      <c r="C154" s="666" t="str">
        <f>IFERROR(VLOOKUP(B154,'Impact Indicators - Section B '!$A$9:$AF$52,32,FALSE),"")</f>
        <v/>
      </c>
      <c r="D154" s="676" t="str">
        <f t="shared" ref="D154" si="570">R154</f>
        <v/>
      </c>
      <c r="E154" s="676" t="str">
        <f t="shared" ref="E154" si="571">S154</f>
        <v/>
      </c>
      <c r="F154" s="194"/>
      <c r="G154" s="668" t="str">
        <f t="shared" ref="G154" ca="1" si="572">IF(OR(INDIRECT("'update Helper'!E"&amp;U154)=0,F154&lt;&gt;0,F155&lt;&gt;0),IF(IFERROR((F154/F155),"")="","",(F154/F155)),INDIRECT("'update Helper'!E"&amp;U154)/100)</f>
        <v/>
      </c>
      <c r="H154" s="670"/>
      <c r="I154" s="672"/>
      <c r="J154" s="651"/>
      <c r="K154" s="666" t="str">
        <f t="shared" ref="K154" si="573">W154</f>
        <v/>
      </c>
      <c r="L154" s="666" t="str">
        <f t="shared" ref="L154" si="574">V154</f>
        <v/>
      </c>
      <c r="M154" s="651"/>
      <c r="N154" s="651"/>
      <c r="P154" s="189">
        <f t="shared" ref="P154" si="575">IF(AND(EXACT(C154,C152),C152&lt;&gt;0),P152+1,0)</f>
        <v>52</v>
      </c>
      <c r="Q154" s="189" t="str">
        <f t="shared" ref="Q154" si="576">IF(C154&lt;&gt;"",C154&amp;"-"&amp;P154,"")</f>
        <v/>
      </c>
      <c r="R154" s="189" t="str">
        <f t="array" ref="R154">IFERROR(IF(INDEX('Disaggregation Records'!$E$3:$E$66,MATCH(RIGHT(Q154,255),RIGHT('Disaggregation Records'!$D$3:$D$66,255),0))=0,"",INDEX('Disaggregation Records'!$E$3:$E$66,MATCH(RIGHT(Q154,255),RIGHT('Disaggregation Records'!$D$3:$D$66,255),0))),"")</f>
        <v/>
      </c>
      <c r="S154" s="189" t="str">
        <f t="array" ref="S154">IFERROR(IF(INDEX('Disaggregation Records'!$F$3:$F$66,MATCH(RIGHT(Q154,255),RIGHT('Disaggregation Records'!$D$3:$D$66,255),0))=0,"",INDEX('Disaggregation Records'!$F$3:$F$66,MATCH(RIGHT(Q154,255),RIGHT('Disaggregation Records'!$D$3:$D$66,255),0))),"")</f>
        <v/>
      </c>
      <c r="T154" s="189" t="str">
        <f t="array" ref="T154">IFERROR(IF(INDEX('Disaggregation Records'!$H$3:$H$66,MATCH(RIGHT(Q154,255),RIGHT('Disaggregation Records'!$D$3:$D$66,255),0))=0,"",INDEX('Disaggregation Records'!$H$3:$H$66,MATCH(RIGHT(Q154,255),RIGHT('Disaggregation Records'!$D$3:$D$66,255),0))),"")</f>
        <v/>
      </c>
      <c r="U154" s="189">
        <f t="shared" ref="U154" si="577">U152+1</f>
        <v>1255</v>
      </c>
      <c r="V154" s="189" t="str">
        <f t="array" ref="V154">IFERROR(IF(INDEX('Disaggregation Records'!$I$3:$I$66,MATCH(RIGHT(Q154,255),RIGHT('Disaggregation Records'!$D$3:$D$66,255),0))=0,"",INDEX('Disaggregation Records'!$I$3:$I$66,MATCH(RIGHT(Q154,255),RIGHT('Disaggregation Records'!$D$3:$D$66,255),0))),"")</f>
        <v/>
      </c>
      <c r="W154" s="189" t="str">
        <f>IFERROR(INDEX('Reference Records'!O$3:O$15,MATCH(LEFT(C154,255),'Reference Records'!J$3:J$15,0)),"")</f>
        <v/>
      </c>
    </row>
    <row r="155" spans="1:23" s="190" customFormat="1" ht="40.200000000000003" customHeight="1" x14ac:dyDescent="0.3">
      <c r="A155" s="678"/>
      <c r="B155" s="675">
        <v>5.9736842105263204</v>
      </c>
      <c r="C155" s="667"/>
      <c r="D155" s="677"/>
      <c r="E155" s="677"/>
      <c r="F155" s="202"/>
      <c r="G155" s="669"/>
      <c r="H155" s="671"/>
      <c r="I155" s="673"/>
      <c r="J155" s="652"/>
      <c r="K155" s="667"/>
      <c r="L155" s="667"/>
      <c r="M155" s="652"/>
      <c r="N155" s="652"/>
    </row>
    <row r="156" spans="1:23" s="189" customFormat="1" ht="40.200000000000003" customHeight="1" x14ac:dyDescent="0.3">
      <c r="A156" s="678" t="str">
        <f t="shared" ca="1" si="521"/>
        <v>a1G3p000003GJ4pEAG</v>
      </c>
      <c r="B156" s="674">
        <v>8</v>
      </c>
      <c r="C156" s="666" t="str">
        <f>IFERROR(VLOOKUP(B156,'Impact Indicators - Section B '!$A$9:$AF$52,32,FALSE),"")</f>
        <v/>
      </c>
      <c r="D156" s="676" t="str">
        <f t="shared" ref="D156" si="578">R156</f>
        <v/>
      </c>
      <c r="E156" s="676" t="str">
        <f t="shared" ref="E156" si="579">S156</f>
        <v/>
      </c>
      <c r="F156" s="194"/>
      <c r="G156" s="668" t="str">
        <f t="shared" ref="G156" ca="1" si="580">IF(OR(INDIRECT("'update Helper'!E"&amp;U156)=0,F156&lt;&gt;0,F157&lt;&gt;0),IF(IFERROR((F156/F157),"")="","",(F156/F157)),INDIRECT("'update Helper'!E"&amp;U156)/100)</f>
        <v/>
      </c>
      <c r="H156" s="670"/>
      <c r="I156" s="672"/>
      <c r="J156" s="651"/>
      <c r="K156" s="666" t="str">
        <f t="shared" ref="K156" si="581">W156</f>
        <v/>
      </c>
      <c r="L156" s="666" t="str">
        <f t="shared" ref="L156" si="582">V156</f>
        <v/>
      </c>
      <c r="M156" s="651"/>
      <c r="N156" s="651"/>
      <c r="P156" s="189">
        <f t="shared" ref="P156" si="583">IF(AND(EXACT(C156,C154),C154&lt;&gt;0),P154+1,0)</f>
        <v>53</v>
      </c>
      <c r="Q156" s="189" t="str">
        <f t="shared" ref="Q156" si="584">IF(C156&lt;&gt;"",C156&amp;"-"&amp;P156,"")</f>
        <v/>
      </c>
      <c r="R156" s="189" t="str">
        <f t="array" ref="R156">IFERROR(IF(INDEX('Disaggregation Records'!$E$3:$E$66,MATCH(RIGHT(Q156,255),RIGHT('Disaggregation Records'!$D$3:$D$66,255),0))=0,"",INDEX('Disaggregation Records'!$E$3:$E$66,MATCH(RIGHT(Q156,255),RIGHT('Disaggregation Records'!$D$3:$D$66,255),0))),"")</f>
        <v/>
      </c>
      <c r="S156" s="189" t="str">
        <f t="array" ref="S156">IFERROR(IF(INDEX('Disaggregation Records'!$F$3:$F$66,MATCH(RIGHT(Q156,255),RIGHT('Disaggregation Records'!$D$3:$D$66,255),0))=0,"",INDEX('Disaggregation Records'!$F$3:$F$66,MATCH(RIGHT(Q156,255),RIGHT('Disaggregation Records'!$D$3:$D$66,255),0))),"")</f>
        <v/>
      </c>
      <c r="T156" s="189" t="str">
        <f t="array" ref="T156">IFERROR(IF(INDEX('Disaggregation Records'!$H$3:$H$66,MATCH(RIGHT(Q156,255),RIGHT('Disaggregation Records'!$D$3:$D$66,255),0))=0,"",INDEX('Disaggregation Records'!$H$3:$H$66,MATCH(RIGHT(Q156,255),RIGHT('Disaggregation Records'!$D$3:$D$66,255),0))),"")</f>
        <v/>
      </c>
      <c r="U156" s="189">
        <f t="shared" ref="U156" si="585">U154+1</f>
        <v>1256</v>
      </c>
      <c r="V156" s="189" t="str">
        <f t="array" ref="V156">IFERROR(IF(INDEX('Disaggregation Records'!$I$3:$I$66,MATCH(RIGHT(Q156,255),RIGHT('Disaggregation Records'!$D$3:$D$66,255),0))=0,"",INDEX('Disaggregation Records'!$I$3:$I$66,MATCH(RIGHT(Q156,255),RIGHT('Disaggregation Records'!$D$3:$D$66,255),0))),"")</f>
        <v/>
      </c>
      <c r="W156" s="189" t="str">
        <f>IFERROR(INDEX('Reference Records'!O$3:O$15,MATCH(LEFT(C156,255),'Reference Records'!J$3:J$15,0)),"")</f>
        <v/>
      </c>
    </row>
    <row r="157" spans="1:23" s="189" customFormat="1" ht="40.200000000000003" customHeight="1" x14ac:dyDescent="0.3">
      <c r="A157" s="678"/>
      <c r="B157" s="675">
        <v>5.9736842105263204</v>
      </c>
      <c r="C157" s="667"/>
      <c r="D157" s="677"/>
      <c r="E157" s="677"/>
      <c r="F157" s="202"/>
      <c r="G157" s="669"/>
      <c r="H157" s="671"/>
      <c r="I157" s="673"/>
      <c r="J157" s="652"/>
      <c r="K157" s="667"/>
      <c r="L157" s="667"/>
      <c r="M157" s="652"/>
      <c r="N157" s="652"/>
      <c r="P157" s="190"/>
      <c r="Q157" s="190"/>
      <c r="R157" s="190"/>
      <c r="S157" s="190"/>
      <c r="T157" s="190"/>
      <c r="U157" s="190"/>
      <c r="V157" s="190"/>
      <c r="W157" s="190"/>
    </row>
    <row r="158" spans="1:23" s="189" customFormat="1" ht="40.200000000000003" customHeight="1" x14ac:dyDescent="0.3">
      <c r="A158" s="678" t="str">
        <f t="shared" ca="1" si="521"/>
        <v>a1G3p000003GJ4qEAG</v>
      </c>
      <c r="B158" s="674">
        <v>8</v>
      </c>
      <c r="C158" s="666" t="str">
        <f>IFERROR(VLOOKUP(B158,'Impact Indicators - Section B '!$A$9:$AF$52,32,FALSE),"")</f>
        <v/>
      </c>
      <c r="D158" s="676" t="str">
        <f t="shared" ref="D158" si="586">R158</f>
        <v/>
      </c>
      <c r="E158" s="676" t="str">
        <f t="shared" ref="E158" si="587">S158</f>
        <v/>
      </c>
      <c r="F158" s="194"/>
      <c r="G158" s="668" t="str">
        <f t="shared" ref="G158" ca="1" si="588">IF(OR(INDIRECT("'update Helper'!E"&amp;U158)=0,F158&lt;&gt;0,F159&lt;&gt;0),IF(IFERROR((F158/F159),"")="","",(F158/F159)),INDIRECT("'update Helper'!E"&amp;U158)/100)</f>
        <v/>
      </c>
      <c r="H158" s="670"/>
      <c r="I158" s="672"/>
      <c r="J158" s="651"/>
      <c r="K158" s="666" t="str">
        <f t="shared" ref="K158" si="589">W158</f>
        <v/>
      </c>
      <c r="L158" s="666" t="str">
        <f t="shared" ref="L158" si="590">V158</f>
        <v/>
      </c>
      <c r="M158" s="651"/>
      <c r="N158" s="651"/>
      <c r="P158" s="189">
        <f t="shared" ref="P158" si="591">IF(AND(EXACT(C158,C156),C156&lt;&gt;0),P156+1,0)</f>
        <v>54</v>
      </c>
      <c r="Q158" s="189" t="str">
        <f t="shared" ref="Q158" si="592">IF(C158&lt;&gt;"",C158&amp;"-"&amp;P158,"")</f>
        <v/>
      </c>
      <c r="R158" s="189" t="str">
        <f t="array" ref="R158">IFERROR(IF(INDEX('Disaggregation Records'!$E$3:$E$66,MATCH(RIGHT(Q158,255),RIGHT('Disaggregation Records'!$D$3:$D$66,255),0))=0,"",INDEX('Disaggregation Records'!$E$3:$E$66,MATCH(RIGHT(Q158,255),RIGHT('Disaggregation Records'!$D$3:$D$66,255),0))),"")</f>
        <v/>
      </c>
      <c r="S158" s="189" t="str">
        <f t="array" ref="S158">IFERROR(IF(INDEX('Disaggregation Records'!$F$3:$F$66,MATCH(RIGHT(Q158,255),RIGHT('Disaggregation Records'!$D$3:$D$66,255),0))=0,"",INDEX('Disaggregation Records'!$F$3:$F$66,MATCH(RIGHT(Q158,255),RIGHT('Disaggregation Records'!$D$3:$D$66,255),0))),"")</f>
        <v/>
      </c>
      <c r="T158" s="189" t="str">
        <f t="array" ref="T158">IFERROR(IF(INDEX('Disaggregation Records'!$H$3:$H$66,MATCH(RIGHT(Q158,255),RIGHT('Disaggregation Records'!$D$3:$D$66,255),0))=0,"",INDEX('Disaggregation Records'!$H$3:$H$66,MATCH(RIGHT(Q158,255),RIGHT('Disaggregation Records'!$D$3:$D$66,255),0))),"")</f>
        <v/>
      </c>
      <c r="U158" s="189">
        <f t="shared" ref="U158" si="593">U156+1</f>
        <v>1257</v>
      </c>
      <c r="V158" s="189" t="str">
        <f t="array" ref="V158">IFERROR(IF(INDEX('Disaggregation Records'!$I$3:$I$66,MATCH(RIGHT(Q158,255),RIGHT('Disaggregation Records'!$D$3:$D$66,255),0))=0,"",INDEX('Disaggregation Records'!$I$3:$I$66,MATCH(RIGHT(Q158,255),RIGHT('Disaggregation Records'!$D$3:$D$66,255),0))),"")</f>
        <v/>
      </c>
      <c r="W158" s="189" t="str">
        <f>IFERROR(INDEX('Reference Records'!O$3:O$15,MATCH(LEFT(C158,255),'Reference Records'!J$3:J$15,0)),"")</f>
        <v/>
      </c>
    </row>
    <row r="159" spans="1:23" s="189" customFormat="1" ht="40.200000000000003" customHeight="1" x14ac:dyDescent="0.3">
      <c r="A159" s="678"/>
      <c r="B159" s="675">
        <v>5.9736842105263204</v>
      </c>
      <c r="C159" s="667"/>
      <c r="D159" s="677"/>
      <c r="E159" s="677"/>
      <c r="F159" s="202"/>
      <c r="G159" s="669"/>
      <c r="H159" s="671"/>
      <c r="I159" s="673"/>
      <c r="J159" s="652"/>
      <c r="K159" s="667"/>
      <c r="L159" s="667"/>
      <c r="M159" s="652"/>
      <c r="N159" s="652"/>
      <c r="P159" s="190"/>
      <c r="Q159" s="190"/>
      <c r="R159" s="190"/>
      <c r="S159" s="190"/>
      <c r="T159" s="190"/>
      <c r="U159" s="190"/>
      <c r="V159" s="190"/>
      <c r="W159" s="190"/>
    </row>
    <row r="160" spans="1:23" s="189" customFormat="1" ht="40.200000000000003" customHeight="1" x14ac:dyDescent="0.3">
      <c r="A160" s="678" t="str">
        <f t="shared" ca="1" si="521"/>
        <v>a1G3p000003GJ4rEAG</v>
      </c>
      <c r="B160" s="674">
        <v>8</v>
      </c>
      <c r="C160" s="666" t="str">
        <f>IFERROR(VLOOKUP(B160,'Impact Indicators - Section B '!$A$9:$AF$52,32,FALSE),"")</f>
        <v/>
      </c>
      <c r="D160" s="676" t="str">
        <f t="shared" ref="D160" si="594">R160</f>
        <v/>
      </c>
      <c r="E160" s="676" t="str">
        <f t="shared" ref="E160" si="595">S160</f>
        <v/>
      </c>
      <c r="F160" s="194"/>
      <c r="G160" s="668" t="str">
        <f t="shared" ref="G160" ca="1" si="596">IF(OR(INDIRECT("'update Helper'!E"&amp;U160)=0,F160&lt;&gt;0,F161&lt;&gt;0),IF(IFERROR((F160/F161),"")="","",(F160/F161)),INDIRECT("'update Helper'!E"&amp;U160)/100)</f>
        <v/>
      </c>
      <c r="H160" s="670"/>
      <c r="I160" s="672"/>
      <c r="J160" s="651"/>
      <c r="K160" s="666" t="str">
        <f t="shared" ref="K160" si="597">W160</f>
        <v/>
      </c>
      <c r="L160" s="666" t="str">
        <f t="shared" ref="L160" si="598">V160</f>
        <v/>
      </c>
      <c r="M160" s="651"/>
      <c r="N160" s="651"/>
      <c r="P160" s="189">
        <f t="shared" ref="P160" si="599">IF(AND(EXACT(C160,C158),C158&lt;&gt;0),P158+1,0)</f>
        <v>55</v>
      </c>
      <c r="Q160" s="189" t="str">
        <f t="shared" ref="Q160" si="600">IF(C160&lt;&gt;"",C160&amp;"-"&amp;P160,"")</f>
        <v/>
      </c>
      <c r="R160" s="189" t="str">
        <f t="array" ref="R160">IFERROR(IF(INDEX('Disaggregation Records'!$E$3:$E$66,MATCH(RIGHT(Q160,255),RIGHT('Disaggregation Records'!$D$3:$D$66,255),0))=0,"",INDEX('Disaggregation Records'!$E$3:$E$66,MATCH(RIGHT(Q160,255),RIGHT('Disaggregation Records'!$D$3:$D$66,255),0))),"")</f>
        <v/>
      </c>
      <c r="S160" s="189" t="str">
        <f t="array" ref="S160">IFERROR(IF(INDEX('Disaggregation Records'!$F$3:$F$66,MATCH(RIGHT(Q160,255),RIGHT('Disaggregation Records'!$D$3:$D$66,255),0))=0,"",INDEX('Disaggregation Records'!$F$3:$F$66,MATCH(RIGHT(Q160,255),RIGHT('Disaggregation Records'!$D$3:$D$66,255),0))),"")</f>
        <v/>
      </c>
      <c r="T160" s="189" t="str">
        <f t="array" ref="T160">IFERROR(IF(INDEX('Disaggregation Records'!$H$3:$H$66,MATCH(RIGHT(Q160,255),RIGHT('Disaggregation Records'!$D$3:$D$66,255),0))=0,"",INDEX('Disaggregation Records'!$H$3:$H$66,MATCH(RIGHT(Q160,255),RIGHT('Disaggregation Records'!$D$3:$D$66,255),0))),"")</f>
        <v/>
      </c>
      <c r="U160" s="189">
        <f t="shared" ref="U160" si="601">U158+1</f>
        <v>1258</v>
      </c>
      <c r="V160" s="189" t="str">
        <f t="array" ref="V160">IFERROR(IF(INDEX('Disaggregation Records'!$I$3:$I$66,MATCH(RIGHT(Q160,255),RIGHT('Disaggregation Records'!$D$3:$D$66,255),0))=0,"",INDEX('Disaggregation Records'!$I$3:$I$66,MATCH(RIGHT(Q160,255),RIGHT('Disaggregation Records'!$D$3:$D$66,255),0))),"")</f>
        <v/>
      </c>
      <c r="W160" s="189" t="str">
        <f>IFERROR(INDEX('Reference Records'!O$3:O$15,MATCH(LEFT(C160,255),'Reference Records'!J$3:J$15,0)),"")</f>
        <v/>
      </c>
    </row>
    <row r="161" spans="1:23" s="190" customFormat="1" ht="40.200000000000003" customHeight="1" x14ac:dyDescent="0.3">
      <c r="A161" s="678"/>
      <c r="B161" s="675">
        <v>5.9736842105263204</v>
      </c>
      <c r="C161" s="667"/>
      <c r="D161" s="677"/>
      <c r="E161" s="677"/>
      <c r="F161" s="202"/>
      <c r="G161" s="669"/>
      <c r="H161" s="671"/>
      <c r="I161" s="673"/>
      <c r="J161" s="652"/>
      <c r="K161" s="667"/>
      <c r="L161" s="667"/>
      <c r="M161" s="652"/>
      <c r="N161" s="652"/>
    </row>
    <row r="162" spans="1:23" s="189" customFormat="1" ht="40.200000000000003" customHeight="1" x14ac:dyDescent="0.3">
      <c r="A162" s="678" t="str">
        <f t="shared" ca="1" si="521"/>
        <v>a1G3p000003GJ4sEAG</v>
      </c>
      <c r="B162" s="674">
        <v>8</v>
      </c>
      <c r="C162" s="666" t="str">
        <f>IFERROR(VLOOKUP(B162,'Impact Indicators - Section B '!$A$9:$AF$52,32,FALSE),"")</f>
        <v/>
      </c>
      <c r="D162" s="676" t="str">
        <f t="shared" ref="D162" si="602">R162</f>
        <v/>
      </c>
      <c r="E162" s="676" t="str">
        <f t="shared" ref="E162" si="603">S162</f>
        <v/>
      </c>
      <c r="F162" s="194"/>
      <c r="G162" s="668" t="str">
        <f t="shared" ref="G162" ca="1" si="604">IF(OR(INDIRECT("'update Helper'!E"&amp;U162)=0,F162&lt;&gt;0,F163&lt;&gt;0),IF(IFERROR((F162/F163),"")="","",(F162/F163)),INDIRECT("'update Helper'!E"&amp;U162)/100)</f>
        <v/>
      </c>
      <c r="H162" s="670"/>
      <c r="I162" s="672"/>
      <c r="J162" s="651"/>
      <c r="K162" s="666" t="str">
        <f t="shared" ref="K162" si="605">W162</f>
        <v/>
      </c>
      <c r="L162" s="666" t="str">
        <f t="shared" ref="L162" si="606">V162</f>
        <v/>
      </c>
      <c r="M162" s="651"/>
      <c r="N162" s="651"/>
      <c r="P162" s="189">
        <f t="shared" ref="P162" si="607">IF(AND(EXACT(C162,C160),C160&lt;&gt;0),P160+1,0)</f>
        <v>56</v>
      </c>
      <c r="Q162" s="189" t="str">
        <f t="shared" ref="Q162" si="608">IF(C162&lt;&gt;"",C162&amp;"-"&amp;P162,"")</f>
        <v/>
      </c>
      <c r="R162" s="189" t="str">
        <f t="array" ref="R162">IFERROR(IF(INDEX('Disaggregation Records'!$E$3:$E$66,MATCH(RIGHT(Q162,255),RIGHT('Disaggregation Records'!$D$3:$D$66,255),0))=0,"",INDEX('Disaggregation Records'!$E$3:$E$66,MATCH(RIGHT(Q162,255),RIGHT('Disaggregation Records'!$D$3:$D$66,255),0))),"")</f>
        <v/>
      </c>
      <c r="S162" s="189" t="str">
        <f t="array" ref="S162">IFERROR(IF(INDEX('Disaggregation Records'!$F$3:$F$66,MATCH(RIGHT(Q162,255),RIGHT('Disaggregation Records'!$D$3:$D$66,255),0))=0,"",INDEX('Disaggregation Records'!$F$3:$F$66,MATCH(RIGHT(Q162,255),RIGHT('Disaggregation Records'!$D$3:$D$66,255),0))),"")</f>
        <v/>
      </c>
      <c r="T162" s="189" t="str">
        <f t="array" ref="T162">IFERROR(IF(INDEX('Disaggregation Records'!$H$3:$H$66,MATCH(RIGHT(Q162,255),RIGHT('Disaggregation Records'!$D$3:$D$66,255),0))=0,"",INDEX('Disaggregation Records'!$H$3:$H$66,MATCH(RIGHT(Q162,255),RIGHT('Disaggregation Records'!$D$3:$D$66,255),0))),"")</f>
        <v/>
      </c>
      <c r="U162" s="189">
        <f t="shared" ref="U162" si="609">U160+1</f>
        <v>1259</v>
      </c>
      <c r="V162" s="189" t="str">
        <f t="array" ref="V162">IFERROR(IF(INDEX('Disaggregation Records'!$I$3:$I$66,MATCH(RIGHT(Q162,255),RIGHT('Disaggregation Records'!$D$3:$D$66,255),0))=0,"",INDEX('Disaggregation Records'!$I$3:$I$66,MATCH(RIGHT(Q162,255),RIGHT('Disaggregation Records'!$D$3:$D$66,255),0))),"")</f>
        <v/>
      </c>
      <c r="W162" s="189" t="str">
        <f>IFERROR(INDEX('Reference Records'!O$3:O$15,MATCH(LEFT(C162,255),'Reference Records'!J$3:J$15,0)),"")</f>
        <v/>
      </c>
    </row>
    <row r="163" spans="1:23" s="190" customFormat="1" ht="40.200000000000003" customHeight="1" x14ac:dyDescent="0.3">
      <c r="A163" s="678"/>
      <c r="B163" s="675">
        <v>5.9736842105263204</v>
      </c>
      <c r="C163" s="667"/>
      <c r="D163" s="677"/>
      <c r="E163" s="677"/>
      <c r="F163" s="202"/>
      <c r="G163" s="669"/>
      <c r="H163" s="671"/>
      <c r="I163" s="673"/>
      <c r="J163" s="652"/>
      <c r="K163" s="667"/>
      <c r="L163" s="667"/>
      <c r="M163" s="652"/>
      <c r="N163" s="652"/>
    </row>
    <row r="164" spans="1:23" s="189" customFormat="1" ht="40.200000000000003" customHeight="1" x14ac:dyDescent="0.3">
      <c r="A164" s="678" t="str">
        <f t="shared" ca="1" si="521"/>
        <v>a1G3p000003GJ4tEAG</v>
      </c>
      <c r="B164" s="674">
        <v>8</v>
      </c>
      <c r="C164" s="666" t="str">
        <f>IFERROR(VLOOKUP(B164,'Impact Indicators - Section B '!$A$9:$AF$52,32,FALSE),"")</f>
        <v/>
      </c>
      <c r="D164" s="676" t="str">
        <f t="shared" ref="D164" si="610">R164</f>
        <v/>
      </c>
      <c r="E164" s="676" t="str">
        <f t="shared" ref="E164" si="611">S164</f>
        <v/>
      </c>
      <c r="F164" s="194"/>
      <c r="G164" s="668" t="str">
        <f t="shared" ref="G164" ca="1" si="612">IF(OR(INDIRECT("'update Helper'!E"&amp;U164)=0,F164&lt;&gt;0,F165&lt;&gt;0),IF(IFERROR((F164/F165),"")="","",(F164/F165)),INDIRECT("'update Helper'!E"&amp;U164)/100)</f>
        <v/>
      </c>
      <c r="H164" s="670"/>
      <c r="I164" s="672"/>
      <c r="J164" s="651"/>
      <c r="K164" s="666" t="str">
        <f t="shared" ref="K164" si="613">W164</f>
        <v/>
      </c>
      <c r="L164" s="666" t="str">
        <f t="shared" ref="L164" si="614">V164</f>
        <v/>
      </c>
      <c r="M164" s="651"/>
      <c r="N164" s="651"/>
      <c r="P164" s="189">
        <f t="shared" ref="P164" si="615">IF(AND(EXACT(C164,C162),C162&lt;&gt;0),P162+1,0)</f>
        <v>57</v>
      </c>
      <c r="Q164" s="189" t="str">
        <f t="shared" ref="Q164" si="616">IF(C164&lt;&gt;"",C164&amp;"-"&amp;P164,"")</f>
        <v/>
      </c>
      <c r="R164" s="189" t="str">
        <f t="array" ref="R164">IFERROR(IF(INDEX('Disaggregation Records'!$E$3:$E$66,MATCH(RIGHT(Q164,255),RIGHT('Disaggregation Records'!$D$3:$D$66,255),0))=0,"",INDEX('Disaggregation Records'!$E$3:$E$66,MATCH(RIGHT(Q164,255),RIGHT('Disaggregation Records'!$D$3:$D$66,255),0))),"")</f>
        <v/>
      </c>
      <c r="S164" s="189" t="str">
        <f t="array" ref="S164">IFERROR(IF(INDEX('Disaggregation Records'!$F$3:$F$66,MATCH(RIGHT(Q164,255),RIGHT('Disaggregation Records'!$D$3:$D$66,255),0))=0,"",INDEX('Disaggregation Records'!$F$3:$F$66,MATCH(RIGHT(Q164,255),RIGHT('Disaggregation Records'!$D$3:$D$66,255),0))),"")</f>
        <v/>
      </c>
      <c r="T164" s="189" t="str">
        <f t="array" ref="T164">IFERROR(IF(INDEX('Disaggregation Records'!$H$3:$H$66,MATCH(RIGHT(Q164,255),RIGHT('Disaggregation Records'!$D$3:$D$66,255),0))=0,"",INDEX('Disaggregation Records'!$H$3:$H$66,MATCH(RIGHT(Q164,255),RIGHT('Disaggregation Records'!$D$3:$D$66,255),0))),"")</f>
        <v/>
      </c>
      <c r="U164" s="189">
        <f t="shared" ref="U164" si="617">U162+1</f>
        <v>1260</v>
      </c>
      <c r="V164" s="189" t="str">
        <f t="array" ref="V164">IFERROR(IF(INDEX('Disaggregation Records'!$I$3:$I$66,MATCH(RIGHT(Q164,255),RIGHT('Disaggregation Records'!$D$3:$D$66,255),0))=0,"",INDEX('Disaggregation Records'!$I$3:$I$66,MATCH(RIGHT(Q164,255),RIGHT('Disaggregation Records'!$D$3:$D$66,255),0))),"")</f>
        <v/>
      </c>
      <c r="W164" s="189" t="str">
        <f>IFERROR(INDEX('Reference Records'!O$3:O$15,MATCH(LEFT(C164,255),'Reference Records'!J$3:J$15,0)),"")</f>
        <v/>
      </c>
    </row>
    <row r="165" spans="1:23" s="189" customFormat="1" ht="40.200000000000003" customHeight="1" x14ac:dyDescent="0.3">
      <c r="A165" s="678"/>
      <c r="B165" s="675">
        <v>5.9736842105263204</v>
      </c>
      <c r="C165" s="667"/>
      <c r="D165" s="677"/>
      <c r="E165" s="677"/>
      <c r="F165" s="202"/>
      <c r="G165" s="669"/>
      <c r="H165" s="671"/>
      <c r="I165" s="673"/>
      <c r="J165" s="652"/>
      <c r="K165" s="667"/>
      <c r="L165" s="667"/>
      <c r="M165" s="652"/>
      <c r="N165" s="652"/>
      <c r="P165" s="190"/>
      <c r="Q165" s="190"/>
      <c r="R165" s="190"/>
      <c r="S165" s="190"/>
      <c r="T165" s="190"/>
      <c r="U165" s="190"/>
      <c r="V165" s="190"/>
      <c r="W165" s="190"/>
    </row>
    <row r="166" spans="1:23" s="189" customFormat="1" ht="40.200000000000003" customHeight="1" x14ac:dyDescent="0.3">
      <c r="A166" s="678" t="str">
        <f t="shared" ca="1" si="521"/>
        <v>a1G3p000003GJ4uEAG</v>
      </c>
      <c r="B166" s="674">
        <v>8</v>
      </c>
      <c r="C166" s="666" t="str">
        <f>IFERROR(VLOOKUP(B166,'Impact Indicators - Section B '!$A$9:$AF$52,32,FALSE),"")</f>
        <v/>
      </c>
      <c r="D166" s="676" t="str">
        <f t="shared" ref="D166" si="618">R166</f>
        <v/>
      </c>
      <c r="E166" s="676" t="str">
        <f t="shared" ref="E166" si="619">S166</f>
        <v/>
      </c>
      <c r="F166" s="194"/>
      <c r="G166" s="668" t="str">
        <f t="shared" ref="G166" ca="1" si="620">IF(OR(INDIRECT("'update Helper'!E"&amp;U166)=0,F166&lt;&gt;0,F167&lt;&gt;0),IF(IFERROR((F166/F167),"")="","",(F166/F167)),INDIRECT("'update Helper'!E"&amp;U166)/100)</f>
        <v/>
      </c>
      <c r="H166" s="670"/>
      <c r="I166" s="672"/>
      <c r="J166" s="651"/>
      <c r="K166" s="666" t="str">
        <f t="shared" ref="K166" si="621">W166</f>
        <v/>
      </c>
      <c r="L166" s="666" t="str">
        <f t="shared" ref="L166" si="622">V166</f>
        <v/>
      </c>
      <c r="M166" s="651"/>
      <c r="N166" s="651"/>
      <c r="P166" s="189">
        <f t="shared" ref="P166" si="623">IF(AND(EXACT(C166,C164),C164&lt;&gt;0),P164+1,0)</f>
        <v>58</v>
      </c>
      <c r="Q166" s="189" t="str">
        <f t="shared" ref="Q166" si="624">IF(C166&lt;&gt;"",C166&amp;"-"&amp;P166,"")</f>
        <v/>
      </c>
      <c r="R166" s="189" t="str">
        <f t="array" ref="R166">IFERROR(IF(INDEX('Disaggregation Records'!$E$3:$E$66,MATCH(RIGHT(Q166,255),RIGHT('Disaggregation Records'!$D$3:$D$66,255),0))=0,"",INDEX('Disaggregation Records'!$E$3:$E$66,MATCH(RIGHT(Q166,255),RIGHT('Disaggregation Records'!$D$3:$D$66,255),0))),"")</f>
        <v/>
      </c>
      <c r="S166" s="189" t="str">
        <f t="array" ref="S166">IFERROR(IF(INDEX('Disaggregation Records'!$F$3:$F$66,MATCH(RIGHT(Q166,255),RIGHT('Disaggregation Records'!$D$3:$D$66,255),0))=0,"",INDEX('Disaggregation Records'!$F$3:$F$66,MATCH(RIGHT(Q166,255),RIGHT('Disaggregation Records'!$D$3:$D$66,255),0))),"")</f>
        <v/>
      </c>
      <c r="T166" s="189" t="str">
        <f t="array" ref="T166">IFERROR(IF(INDEX('Disaggregation Records'!$H$3:$H$66,MATCH(RIGHT(Q166,255),RIGHT('Disaggregation Records'!$D$3:$D$66,255),0))=0,"",INDEX('Disaggregation Records'!$H$3:$H$66,MATCH(RIGHT(Q166,255),RIGHT('Disaggregation Records'!$D$3:$D$66,255),0))),"")</f>
        <v/>
      </c>
      <c r="U166" s="189">
        <f t="shared" ref="U166" si="625">U164+1</f>
        <v>1261</v>
      </c>
      <c r="V166" s="189" t="str">
        <f t="array" ref="V166">IFERROR(IF(INDEX('Disaggregation Records'!$I$3:$I$66,MATCH(RIGHT(Q166,255),RIGHT('Disaggregation Records'!$D$3:$D$66,255),0))=0,"",INDEX('Disaggregation Records'!$I$3:$I$66,MATCH(RIGHT(Q166,255),RIGHT('Disaggregation Records'!$D$3:$D$66,255),0))),"")</f>
        <v/>
      </c>
      <c r="W166" s="189" t="str">
        <f>IFERROR(INDEX('Reference Records'!O$3:O$15,MATCH(LEFT(C166,255),'Reference Records'!J$3:J$15,0)),"")</f>
        <v/>
      </c>
    </row>
    <row r="167" spans="1:23" s="190" customFormat="1" ht="40.200000000000003" customHeight="1" x14ac:dyDescent="0.3">
      <c r="A167" s="678"/>
      <c r="B167" s="675">
        <v>5.9736842105263204</v>
      </c>
      <c r="C167" s="667"/>
      <c r="D167" s="677"/>
      <c r="E167" s="677"/>
      <c r="F167" s="202"/>
      <c r="G167" s="669"/>
      <c r="H167" s="671"/>
      <c r="I167" s="673"/>
      <c r="J167" s="652"/>
      <c r="K167" s="667"/>
      <c r="L167" s="667"/>
      <c r="M167" s="652"/>
      <c r="N167" s="652"/>
    </row>
    <row r="168" spans="1:23" s="189" customFormat="1" ht="40.200000000000003" customHeight="1" x14ac:dyDescent="0.3">
      <c r="A168" s="678" t="str">
        <f t="shared" ca="1" si="521"/>
        <v>a1G3p000003GJ4vEAG</v>
      </c>
      <c r="B168" s="674">
        <v>8</v>
      </c>
      <c r="C168" s="666" t="str">
        <f>IFERROR(VLOOKUP(B168,'Impact Indicators - Section B '!$A$9:$AF$52,32,FALSE),"")</f>
        <v/>
      </c>
      <c r="D168" s="676" t="str">
        <f t="shared" ref="D168" si="626">R168</f>
        <v/>
      </c>
      <c r="E168" s="676" t="str">
        <f t="shared" ref="E168" si="627">S168</f>
        <v/>
      </c>
      <c r="F168" s="194"/>
      <c r="G168" s="668" t="str">
        <f t="shared" ref="G168" ca="1" si="628">IF(OR(INDIRECT("'update Helper'!E"&amp;U168)=0,F168&lt;&gt;0,F169&lt;&gt;0),IF(IFERROR((F168/F169),"")="","",(F168/F169)),INDIRECT("'update Helper'!E"&amp;U168)/100)</f>
        <v/>
      </c>
      <c r="H168" s="670"/>
      <c r="I168" s="672"/>
      <c r="J168" s="651"/>
      <c r="K168" s="666" t="str">
        <f t="shared" ref="K168" si="629">W168</f>
        <v/>
      </c>
      <c r="L168" s="666" t="str">
        <f t="shared" ref="L168" si="630">V168</f>
        <v/>
      </c>
      <c r="M168" s="651"/>
      <c r="N168" s="651"/>
      <c r="P168" s="189">
        <f t="shared" ref="P168" si="631">IF(AND(EXACT(C168,C166),C166&lt;&gt;0),P166+1,0)</f>
        <v>59</v>
      </c>
      <c r="Q168" s="189" t="str">
        <f t="shared" ref="Q168" si="632">IF(C168&lt;&gt;"",C168&amp;"-"&amp;P168,"")</f>
        <v/>
      </c>
      <c r="R168" s="189" t="str">
        <f t="array" ref="R168">IFERROR(IF(INDEX('Disaggregation Records'!$E$3:$E$66,MATCH(RIGHT(Q168,255),RIGHT('Disaggregation Records'!$D$3:$D$66,255),0))=0,"",INDEX('Disaggregation Records'!$E$3:$E$66,MATCH(RIGHT(Q168,255),RIGHT('Disaggregation Records'!$D$3:$D$66,255),0))),"")</f>
        <v/>
      </c>
      <c r="S168" s="189" t="str">
        <f t="array" ref="S168">IFERROR(IF(INDEX('Disaggregation Records'!$F$3:$F$66,MATCH(RIGHT(Q168,255),RIGHT('Disaggregation Records'!$D$3:$D$66,255),0))=0,"",INDEX('Disaggregation Records'!$F$3:$F$66,MATCH(RIGHT(Q168,255),RIGHT('Disaggregation Records'!$D$3:$D$66,255),0))),"")</f>
        <v/>
      </c>
      <c r="T168" s="189" t="str">
        <f t="array" ref="T168">IFERROR(IF(INDEX('Disaggregation Records'!$H$3:$H$66,MATCH(RIGHT(Q168,255),RIGHT('Disaggregation Records'!$D$3:$D$66,255),0))=0,"",INDEX('Disaggregation Records'!$H$3:$H$66,MATCH(RIGHT(Q168,255),RIGHT('Disaggregation Records'!$D$3:$D$66,255),0))),"")</f>
        <v/>
      </c>
      <c r="U168" s="189">
        <f t="shared" ref="U168" si="633">U166+1</f>
        <v>1262</v>
      </c>
      <c r="V168" s="189" t="str">
        <f t="array" ref="V168">IFERROR(IF(INDEX('Disaggregation Records'!$I$3:$I$66,MATCH(RIGHT(Q168,255),RIGHT('Disaggregation Records'!$D$3:$D$66,255),0))=0,"",INDEX('Disaggregation Records'!$I$3:$I$66,MATCH(RIGHT(Q168,255),RIGHT('Disaggregation Records'!$D$3:$D$66,255),0))),"")</f>
        <v/>
      </c>
      <c r="W168" s="189" t="str">
        <f>IFERROR(INDEX('Reference Records'!O$3:O$15,MATCH(LEFT(C168,255),'Reference Records'!J$3:J$15,0)),"")</f>
        <v/>
      </c>
    </row>
    <row r="169" spans="1:23" s="190" customFormat="1" ht="40.200000000000003" customHeight="1" x14ac:dyDescent="0.3">
      <c r="A169" s="678"/>
      <c r="B169" s="675">
        <v>5.9736842105263204</v>
      </c>
      <c r="C169" s="667"/>
      <c r="D169" s="677"/>
      <c r="E169" s="677"/>
      <c r="F169" s="202"/>
      <c r="G169" s="669"/>
      <c r="H169" s="671"/>
      <c r="I169" s="673"/>
      <c r="J169" s="652"/>
      <c r="K169" s="667"/>
      <c r="L169" s="667"/>
      <c r="M169" s="652"/>
      <c r="N169" s="652"/>
    </row>
    <row r="170" spans="1:23" s="189" customFormat="1" ht="40.200000000000003" customHeight="1" x14ac:dyDescent="0.3">
      <c r="A170" s="678" t="str">
        <f t="shared" ca="1" si="521"/>
        <v>a1G3p000003GJ4wEAG</v>
      </c>
      <c r="B170" s="674">
        <v>9</v>
      </c>
      <c r="C170" s="666" t="str">
        <f>IFERROR(VLOOKUP(B170,'Impact Indicators - Section B '!$A$9:$AF$52,32,FALSE),"")</f>
        <v/>
      </c>
      <c r="D170" s="676" t="str">
        <f t="shared" ref="D170" si="634">R170</f>
        <v/>
      </c>
      <c r="E170" s="676" t="str">
        <f t="shared" ref="E170" si="635">S170</f>
        <v/>
      </c>
      <c r="F170" s="194"/>
      <c r="G170" s="668" t="str">
        <f t="shared" ref="G170" ca="1" si="636">IF(OR(INDIRECT("'update Helper'!E"&amp;U170)=0,F170&lt;&gt;0,F171&lt;&gt;0),IF(IFERROR((F170/F171),"")="","",(F170/F171)),INDIRECT("'update Helper'!E"&amp;U170)/100)</f>
        <v/>
      </c>
      <c r="H170" s="670"/>
      <c r="I170" s="672"/>
      <c r="J170" s="651"/>
      <c r="K170" s="666" t="str">
        <f t="shared" ref="K170" si="637">W170</f>
        <v/>
      </c>
      <c r="L170" s="666" t="str">
        <f t="shared" ref="L170" si="638">V170</f>
        <v/>
      </c>
      <c r="M170" s="651"/>
      <c r="N170" s="651"/>
      <c r="P170" s="189">
        <f t="shared" ref="P170" si="639">IF(AND(EXACT(C170,C168),C168&lt;&gt;0),P168+1,0)</f>
        <v>60</v>
      </c>
      <c r="Q170" s="189" t="str">
        <f t="shared" ref="Q170" si="640">IF(C170&lt;&gt;"",C170&amp;"-"&amp;P170,"")</f>
        <v/>
      </c>
      <c r="R170" s="189" t="str">
        <f t="array" ref="R170">IFERROR(IF(INDEX('Disaggregation Records'!$E$3:$E$66,MATCH(RIGHT(Q170,255),RIGHT('Disaggregation Records'!$D$3:$D$66,255),0))=0,"",INDEX('Disaggregation Records'!$E$3:$E$66,MATCH(RIGHT(Q170,255),RIGHT('Disaggregation Records'!$D$3:$D$66,255),0))),"")</f>
        <v/>
      </c>
      <c r="S170" s="189" t="str">
        <f t="array" ref="S170">IFERROR(IF(INDEX('Disaggregation Records'!$F$3:$F$66,MATCH(RIGHT(Q170,255),RIGHT('Disaggregation Records'!$D$3:$D$66,255),0))=0,"",INDEX('Disaggregation Records'!$F$3:$F$66,MATCH(RIGHT(Q170,255),RIGHT('Disaggregation Records'!$D$3:$D$66,255),0))),"")</f>
        <v/>
      </c>
      <c r="T170" s="189" t="str">
        <f t="array" ref="T170">IFERROR(IF(INDEX('Disaggregation Records'!$H$3:$H$66,MATCH(RIGHT(Q170,255),RIGHT('Disaggregation Records'!$D$3:$D$66,255),0))=0,"",INDEX('Disaggregation Records'!$H$3:$H$66,MATCH(RIGHT(Q170,255),RIGHT('Disaggregation Records'!$D$3:$D$66,255),0))),"")</f>
        <v/>
      </c>
      <c r="U170" s="189">
        <f t="shared" ref="U170" si="641">U168+1</f>
        <v>1263</v>
      </c>
      <c r="V170" s="189" t="str">
        <f t="array" ref="V170">IFERROR(IF(INDEX('Disaggregation Records'!$I$3:$I$66,MATCH(RIGHT(Q170,255),RIGHT('Disaggregation Records'!$D$3:$D$66,255),0))=0,"",INDEX('Disaggregation Records'!$I$3:$I$66,MATCH(RIGHT(Q170,255),RIGHT('Disaggregation Records'!$D$3:$D$66,255),0))),"")</f>
        <v/>
      </c>
      <c r="W170" s="189" t="str">
        <f>IFERROR(INDEX('Reference Records'!O$3:O$15,MATCH(LEFT(C170,255),'Reference Records'!J$3:J$15,0)),"")</f>
        <v/>
      </c>
    </row>
    <row r="171" spans="1:23" s="189" customFormat="1" ht="40.200000000000003" customHeight="1" x14ac:dyDescent="0.3">
      <c r="A171" s="678"/>
      <c r="B171" s="675">
        <v>6.6879699248120303</v>
      </c>
      <c r="C171" s="667"/>
      <c r="D171" s="677"/>
      <c r="E171" s="677"/>
      <c r="F171" s="202"/>
      <c r="G171" s="669"/>
      <c r="H171" s="671"/>
      <c r="I171" s="673"/>
      <c r="J171" s="652"/>
      <c r="K171" s="667"/>
      <c r="L171" s="667"/>
      <c r="M171" s="652"/>
      <c r="N171" s="652"/>
      <c r="P171" s="190"/>
      <c r="Q171" s="190"/>
      <c r="R171" s="190"/>
      <c r="S171" s="190"/>
      <c r="T171" s="190"/>
      <c r="U171" s="190"/>
      <c r="V171" s="190"/>
      <c r="W171" s="190"/>
    </row>
    <row r="172" spans="1:23" s="189" customFormat="1" ht="40.200000000000003" customHeight="1" x14ac:dyDescent="0.3">
      <c r="A172" s="678" t="str">
        <f t="shared" ca="1" si="521"/>
        <v>a1G3p000003GJ4xEAG</v>
      </c>
      <c r="B172" s="674">
        <v>9</v>
      </c>
      <c r="C172" s="666" t="str">
        <f>IFERROR(VLOOKUP(B172,'Impact Indicators - Section B '!$A$9:$AF$52,32,FALSE),"")</f>
        <v/>
      </c>
      <c r="D172" s="676" t="str">
        <f t="shared" ref="D172" si="642">R172</f>
        <v/>
      </c>
      <c r="E172" s="676" t="str">
        <f t="shared" ref="E172" si="643">S172</f>
        <v/>
      </c>
      <c r="F172" s="194"/>
      <c r="G172" s="668" t="str">
        <f t="shared" ref="G172" ca="1" si="644">IF(OR(INDIRECT("'update Helper'!E"&amp;U172)=0,F172&lt;&gt;0,F173&lt;&gt;0),IF(IFERROR((F172/F173),"")="","",(F172/F173)),INDIRECT("'update Helper'!E"&amp;U172)/100)</f>
        <v/>
      </c>
      <c r="H172" s="670"/>
      <c r="I172" s="672"/>
      <c r="J172" s="651"/>
      <c r="K172" s="666" t="str">
        <f t="shared" ref="K172" si="645">W172</f>
        <v/>
      </c>
      <c r="L172" s="666" t="str">
        <f t="shared" ref="L172" si="646">V172</f>
        <v/>
      </c>
      <c r="M172" s="651"/>
      <c r="N172" s="651"/>
      <c r="P172" s="189">
        <f t="shared" ref="P172" si="647">IF(AND(EXACT(C172,C170),C170&lt;&gt;0),P170+1,0)</f>
        <v>61</v>
      </c>
      <c r="Q172" s="189" t="str">
        <f t="shared" ref="Q172" si="648">IF(C172&lt;&gt;"",C172&amp;"-"&amp;P172,"")</f>
        <v/>
      </c>
      <c r="R172" s="189" t="str">
        <f t="array" ref="R172">IFERROR(IF(INDEX('Disaggregation Records'!$E$3:$E$66,MATCH(RIGHT(Q172,255),RIGHT('Disaggregation Records'!$D$3:$D$66,255),0))=0,"",INDEX('Disaggregation Records'!$E$3:$E$66,MATCH(RIGHT(Q172,255),RIGHT('Disaggregation Records'!$D$3:$D$66,255),0))),"")</f>
        <v/>
      </c>
      <c r="S172" s="189" t="str">
        <f t="array" ref="S172">IFERROR(IF(INDEX('Disaggregation Records'!$F$3:$F$66,MATCH(RIGHT(Q172,255),RIGHT('Disaggregation Records'!$D$3:$D$66,255),0))=0,"",INDEX('Disaggregation Records'!$F$3:$F$66,MATCH(RIGHT(Q172,255),RIGHT('Disaggregation Records'!$D$3:$D$66,255),0))),"")</f>
        <v/>
      </c>
      <c r="T172" s="189" t="str">
        <f t="array" ref="T172">IFERROR(IF(INDEX('Disaggregation Records'!$H$3:$H$66,MATCH(RIGHT(Q172,255),RIGHT('Disaggregation Records'!$D$3:$D$66,255),0))=0,"",INDEX('Disaggregation Records'!$H$3:$H$66,MATCH(RIGHT(Q172,255),RIGHT('Disaggregation Records'!$D$3:$D$66,255),0))),"")</f>
        <v/>
      </c>
      <c r="U172" s="189">
        <f t="shared" ref="U172" si="649">U170+1</f>
        <v>1264</v>
      </c>
      <c r="V172" s="189" t="str">
        <f t="array" ref="V172">IFERROR(IF(INDEX('Disaggregation Records'!$I$3:$I$66,MATCH(RIGHT(Q172,255),RIGHT('Disaggregation Records'!$D$3:$D$66,255),0))=0,"",INDEX('Disaggregation Records'!$I$3:$I$66,MATCH(RIGHT(Q172,255),RIGHT('Disaggregation Records'!$D$3:$D$66,255),0))),"")</f>
        <v/>
      </c>
      <c r="W172" s="189" t="str">
        <f>IFERROR(INDEX('Reference Records'!O$3:O$15,MATCH(LEFT(C172,255),'Reference Records'!J$3:J$15,0)),"")</f>
        <v/>
      </c>
    </row>
    <row r="173" spans="1:23" s="190" customFormat="1" ht="40.200000000000003" customHeight="1" x14ac:dyDescent="0.3">
      <c r="A173" s="678"/>
      <c r="B173" s="675">
        <v>6.6879699248120303</v>
      </c>
      <c r="C173" s="667"/>
      <c r="D173" s="677"/>
      <c r="E173" s="677"/>
      <c r="F173" s="202"/>
      <c r="G173" s="669"/>
      <c r="H173" s="671"/>
      <c r="I173" s="673"/>
      <c r="J173" s="652"/>
      <c r="K173" s="667"/>
      <c r="L173" s="667"/>
      <c r="M173" s="652"/>
      <c r="N173" s="652"/>
    </row>
    <row r="174" spans="1:23" s="189" customFormat="1" ht="40.200000000000003" customHeight="1" x14ac:dyDescent="0.3">
      <c r="A174" s="678" t="str">
        <f t="shared" ca="1" si="521"/>
        <v>a1G3p000003GJ4yEAG</v>
      </c>
      <c r="B174" s="674">
        <v>9</v>
      </c>
      <c r="C174" s="666" t="str">
        <f>IFERROR(VLOOKUP(B174,'Impact Indicators - Section B '!$A$9:$AF$52,32,FALSE),"")</f>
        <v/>
      </c>
      <c r="D174" s="676" t="str">
        <f t="shared" ref="D174" si="650">R174</f>
        <v/>
      </c>
      <c r="E174" s="676" t="str">
        <f t="shared" ref="E174" si="651">S174</f>
        <v/>
      </c>
      <c r="F174" s="194"/>
      <c r="G174" s="668" t="str">
        <f t="shared" ref="G174" ca="1" si="652">IF(OR(INDIRECT("'update Helper'!E"&amp;U174)=0,F174&lt;&gt;0,F175&lt;&gt;0),IF(IFERROR((F174/F175),"")="","",(F174/F175)),INDIRECT("'update Helper'!E"&amp;U174)/100)</f>
        <v/>
      </c>
      <c r="H174" s="670"/>
      <c r="I174" s="672"/>
      <c r="J174" s="651"/>
      <c r="K174" s="666" t="str">
        <f t="shared" ref="K174" si="653">W174</f>
        <v/>
      </c>
      <c r="L174" s="666" t="str">
        <f t="shared" ref="L174" si="654">V174</f>
        <v/>
      </c>
      <c r="M174" s="651"/>
      <c r="N174" s="651"/>
      <c r="P174" s="189">
        <f t="shared" ref="P174" si="655">IF(AND(EXACT(C174,C172),C172&lt;&gt;0),P172+1,0)</f>
        <v>62</v>
      </c>
      <c r="Q174" s="189" t="str">
        <f t="shared" ref="Q174" si="656">IF(C174&lt;&gt;"",C174&amp;"-"&amp;P174,"")</f>
        <v/>
      </c>
      <c r="R174" s="189" t="str">
        <f t="array" ref="R174">IFERROR(IF(INDEX('Disaggregation Records'!$E$3:$E$66,MATCH(RIGHT(Q174,255),RIGHT('Disaggregation Records'!$D$3:$D$66,255),0))=0,"",INDEX('Disaggregation Records'!$E$3:$E$66,MATCH(RIGHT(Q174,255),RIGHT('Disaggregation Records'!$D$3:$D$66,255),0))),"")</f>
        <v/>
      </c>
      <c r="S174" s="189" t="str">
        <f t="array" ref="S174">IFERROR(IF(INDEX('Disaggregation Records'!$F$3:$F$66,MATCH(RIGHT(Q174,255),RIGHT('Disaggregation Records'!$D$3:$D$66,255),0))=0,"",INDEX('Disaggregation Records'!$F$3:$F$66,MATCH(RIGHT(Q174,255),RIGHT('Disaggregation Records'!$D$3:$D$66,255),0))),"")</f>
        <v/>
      </c>
      <c r="T174" s="189" t="str">
        <f t="array" ref="T174">IFERROR(IF(INDEX('Disaggregation Records'!$H$3:$H$66,MATCH(RIGHT(Q174,255),RIGHT('Disaggregation Records'!$D$3:$D$66,255),0))=0,"",INDEX('Disaggregation Records'!$H$3:$H$66,MATCH(RIGHT(Q174,255),RIGHT('Disaggregation Records'!$D$3:$D$66,255),0))),"")</f>
        <v/>
      </c>
      <c r="U174" s="189">
        <f t="shared" ref="U174" si="657">U172+1</f>
        <v>1265</v>
      </c>
      <c r="V174" s="189" t="str">
        <f t="array" ref="V174">IFERROR(IF(INDEX('Disaggregation Records'!$I$3:$I$66,MATCH(RIGHT(Q174,255),RIGHT('Disaggregation Records'!$D$3:$D$66,255),0))=0,"",INDEX('Disaggregation Records'!$I$3:$I$66,MATCH(RIGHT(Q174,255),RIGHT('Disaggregation Records'!$D$3:$D$66,255),0))),"")</f>
        <v/>
      </c>
      <c r="W174" s="189" t="str">
        <f>IFERROR(INDEX('Reference Records'!O$3:O$15,MATCH(LEFT(C174,255),'Reference Records'!J$3:J$15,0)),"")</f>
        <v/>
      </c>
    </row>
    <row r="175" spans="1:23" s="190" customFormat="1" ht="40.200000000000003" customHeight="1" x14ac:dyDescent="0.3">
      <c r="A175" s="678"/>
      <c r="B175" s="675">
        <v>6.6879699248120303</v>
      </c>
      <c r="C175" s="667"/>
      <c r="D175" s="677"/>
      <c r="E175" s="677"/>
      <c r="F175" s="202"/>
      <c r="G175" s="669"/>
      <c r="H175" s="671"/>
      <c r="I175" s="673"/>
      <c r="J175" s="652"/>
      <c r="K175" s="667"/>
      <c r="L175" s="667"/>
      <c r="M175" s="652"/>
      <c r="N175" s="652"/>
    </row>
    <row r="176" spans="1:23" s="189" customFormat="1" ht="40.200000000000003" customHeight="1" x14ac:dyDescent="0.3">
      <c r="A176" s="678" t="str">
        <f t="shared" ca="1" si="521"/>
        <v>a1G3p000003GJ4zEAG</v>
      </c>
      <c r="B176" s="674">
        <v>9</v>
      </c>
      <c r="C176" s="666" t="str">
        <f>IFERROR(VLOOKUP(B176,'Impact Indicators - Section B '!$A$9:$AF$52,32,FALSE),"")</f>
        <v/>
      </c>
      <c r="D176" s="676" t="str">
        <f t="shared" ref="D176" si="658">R176</f>
        <v/>
      </c>
      <c r="E176" s="676" t="str">
        <f t="shared" ref="E176" si="659">S176</f>
        <v/>
      </c>
      <c r="F176" s="194"/>
      <c r="G176" s="668" t="str">
        <f t="shared" ref="G176" ca="1" si="660">IF(OR(INDIRECT("'update Helper'!E"&amp;U176)=0,F176&lt;&gt;0,F177&lt;&gt;0),IF(IFERROR((F176/F177),"")="","",(F176/F177)),INDIRECT("'update Helper'!E"&amp;U176)/100)</f>
        <v/>
      </c>
      <c r="H176" s="670"/>
      <c r="I176" s="672"/>
      <c r="J176" s="651"/>
      <c r="K176" s="666" t="str">
        <f t="shared" ref="K176" si="661">W176</f>
        <v/>
      </c>
      <c r="L176" s="666" t="str">
        <f t="shared" ref="L176" si="662">V176</f>
        <v/>
      </c>
      <c r="M176" s="651"/>
      <c r="N176" s="651"/>
      <c r="P176" s="189">
        <f t="shared" ref="P176" si="663">IF(AND(EXACT(C176,C174),C174&lt;&gt;0),P174+1,0)</f>
        <v>63</v>
      </c>
      <c r="Q176" s="189" t="str">
        <f t="shared" ref="Q176" si="664">IF(C176&lt;&gt;"",C176&amp;"-"&amp;P176,"")</f>
        <v/>
      </c>
      <c r="R176" s="189" t="str">
        <f t="array" ref="R176">IFERROR(IF(INDEX('Disaggregation Records'!$E$3:$E$66,MATCH(RIGHT(Q176,255),RIGHT('Disaggregation Records'!$D$3:$D$66,255),0))=0,"",INDEX('Disaggregation Records'!$E$3:$E$66,MATCH(RIGHT(Q176,255),RIGHT('Disaggregation Records'!$D$3:$D$66,255),0))),"")</f>
        <v/>
      </c>
      <c r="S176" s="189" t="str">
        <f t="array" ref="S176">IFERROR(IF(INDEX('Disaggregation Records'!$F$3:$F$66,MATCH(RIGHT(Q176,255),RIGHT('Disaggregation Records'!$D$3:$D$66,255),0))=0,"",INDEX('Disaggregation Records'!$F$3:$F$66,MATCH(RIGHT(Q176,255),RIGHT('Disaggregation Records'!$D$3:$D$66,255),0))),"")</f>
        <v/>
      </c>
      <c r="T176" s="189" t="str">
        <f t="array" ref="T176">IFERROR(IF(INDEX('Disaggregation Records'!$H$3:$H$66,MATCH(RIGHT(Q176,255),RIGHT('Disaggregation Records'!$D$3:$D$66,255),0))=0,"",INDEX('Disaggregation Records'!$H$3:$H$66,MATCH(RIGHT(Q176,255),RIGHT('Disaggregation Records'!$D$3:$D$66,255),0))),"")</f>
        <v/>
      </c>
      <c r="U176" s="189">
        <f t="shared" ref="U176" si="665">U174+1</f>
        <v>1266</v>
      </c>
      <c r="V176" s="189" t="str">
        <f t="array" ref="V176">IFERROR(IF(INDEX('Disaggregation Records'!$I$3:$I$66,MATCH(RIGHT(Q176,255),RIGHT('Disaggregation Records'!$D$3:$D$66,255),0))=0,"",INDEX('Disaggregation Records'!$I$3:$I$66,MATCH(RIGHT(Q176,255),RIGHT('Disaggregation Records'!$D$3:$D$66,255),0))),"")</f>
        <v/>
      </c>
      <c r="W176" s="189" t="str">
        <f>IFERROR(INDEX('Reference Records'!O$3:O$15,MATCH(LEFT(C176,255),'Reference Records'!J$3:J$15,0)),"")</f>
        <v/>
      </c>
    </row>
    <row r="177" spans="1:23" s="189" customFormat="1" ht="40.200000000000003" customHeight="1" x14ac:dyDescent="0.3">
      <c r="A177" s="678"/>
      <c r="B177" s="675">
        <v>6.6879699248120303</v>
      </c>
      <c r="C177" s="667"/>
      <c r="D177" s="677"/>
      <c r="E177" s="677"/>
      <c r="F177" s="202"/>
      <c r="G177" s="669"/>
      <c r="H177" s="671"/>
      <c r="I177" s="673"/>
      <c r="J177" s="652"/>
      <c r="K177" s="667"/>
      <c r="L177" s="667"/>
      <c r="M177" s="652"/>
      <c r="N177" s="652"/>
      <c r="P177" s="190"/>
      <c r="Q177" s="190"/>
      <c r="R177" s="190"/>
      <c r="S177" s="190"/>
      <c r="T177" s="190"/>
      <c r="U177" s="190"/>
      <c r="V177" s="190"/>
      <c r="W177" s="190"/>
    </row>
    <row r="178" spans="1:23" s="189" customFormat="1" ht="40.200000000000003" customHeight="1" x14ac:dyDescent="0.3">
      <c r="A178" s="678" t="str">
        <f t="shared" ca="1" si="521"/>
        <v>a1G3p000003GJ50EAG</v>
      </c>
      <c r="B178" s="674">
        <v>9</v>
      </c>
      <c r="C178" s="666" t="str">
        <f>IFERROR(VLOOKUP(B178,'Impact Indicators - Section B '!$A$9:$AF$52,32,FALSE),"")</f>
        <v/>
      </c>
      <c r="D178" s="676" t="str">
        <f t="shared" ref="D178" si="666">R178</f>
        <v/>
      </c>
      <c r="E178" s="676" t="str">
        <f t="shared" ref="E178" si="667">S178</f>
        <v/>
      </c>
      <c r="F178" s="194"/>
      <c r="G178" s="668" t="str">
        <f t="shared" ref="G178" ca="1" si="668">IF(OR(INDIRECT("'update Helper'!E"&amp;U178)=0,F178&lt;&gt;0,F179&lt;&gt;0),IF(IFERROR((F178/F179),"")="","",(F178/F179)),INDIRECT("'update Helper'!E"&amp;U178)/100)</f>
        <v/>
      </c>
      <c r="H178" s="670"/>
      <c r="I178" s="672"/>
      <c r="J178" s="651"/>
      <c r="K178" s="666" t="str">
        <f t="shared" ref="K178" si="669">W178</f>
        <v/>
      </c>
      <c r="L178" s="666" t="str">
        <f t="shared" ref="L178" si="670">V178</f>
        <v/>
      </c>
      <c r="M178" s="651"/>
      <c r="N178" s="651"/>
      <c r="P178" s="189">
        <f t="shared" ref="P178" si="671">IF(AND(EXACT(C178,C176),C176&lt;&gt;0),P176+1,0)</f>
        <v>64</v>
      </c>
      <c r="Q178" s="189" t="str">
        <f t="shared" ref="Q178" si="672">IF(C178&lt;&gt;"",C178&amp;"-"&amp;P178,"")</f>
        <v/>
      </c>
      <c r="R178" s="189" t="str">
        <f t="array" ref="R178">IFERROR(IF(INDEX('Disaggregation Records'!$E$3:$E$66,MATCH(RIGHT(Q178,255),RIGHT('Disaggregation Records'!$D$3:$D$66,255),0))=0,"",INDEX('Disaggregation Records'!$E$3:$E$66,MATCH(RIGHT(Q178,255),RIGHT('Disaggregation Records'!$D$3:$D$66,255),0))),"")</f>
        <v/>
      </c>
      <c r="S178" s="189" t="str">
        <f t="array" ref="S178">IFERROR(IF(INDEX('Disaggregation Records'!$F$3:$F$66,MATCH(RIGHT(Q178,255),RIGHT('Disaggregation Records'!$D$3:$D$66,255),0))=0,"",INDEX('Disaggregation Records'!$F$3:$F$66,MATCH(RIGHT(Q178,255),RIGHT('Disaggregation Records'!$D$3:$D$66,255),0))),"")</f>
        <v/>
      </c>
      <c r="T178" s="189" t="str">
        <f t="array" ref="T178">IFERROR(IF(INDEX('Disaggregation Records'!$H$3:$H$66,MATCH(RIGHT(Q178,255),RIGHT('Disaggregation Records'!$D$3:$D$66,255),0))=0,"",INDEX('Disaggregation Records'!$H$3:$H$66,MATCH(RIGHT(Q178,255),RIGHT('Disaggregation Records'!$D$3:$D$66,255),0))),"")</f>
        <v/>
      </c>
      <c r="U178" s="189">
        <f t="shared" ref="U178" si="673">U176+1</f>
        <v>1267</v>
      </c>
      <c r="V178" s="189" t="str">
        <f t="array" ref="V178">IFERROR(IF(INDEX('Disaggregation Records'!$I$3:$I$66,MATCH(RIGHT(Q178,255),RIGHT('Disaggregation Records'!$D$3:$D$66,255),0))=0,"",INDEX('Disaggregation Records'!$I$3:$I$66,MATCH(RIGHT(Q178,255),RIGHT('Disaggregation Records'!$D$3:$D$66,255),0))),"")</f>
        <v/>
      </c>
      <c r="W178" s="189" t="str">
        <f>IFERROR(INDEX('Reference Records'!O$3:O$15,MATCH(LEFT(C178,255),'Reference Records'!J$3:J$15,0)),"")</f>
        <v/>
      </c>
    </row>
    <row r="179" spans="1:23" s="190" customFormat="1" ht="40.200000000000003" customHeight="1" x14ac:dyDescent="0.3">
      <c r="A179" s="678"/>
      <c r="B179" s="675">
        <v>6.6879699248120303</v>
      </c>
      <c r="C179" s="667"/>
      <c r="D179" s="677"/>
      <c r="E179" s="677"/>
      <c r="F179" s="202"/>
      <c r="G179" s="669"/>
      <c r="H179" s="671"/>
      <c r="I179" s="673"/>
      <c r="J179" s="652"/>
      <c r="K179" s="667"/>
      <c r="L179" s="667"/>
      <c r="M179" s="652"/>
      <c r="N179" s="652"/>
    </row>
    <row r="180" spans="1:23" s="189" customFormat="1" ht="40.200000000000003" customHeight="1" x14ac:dyDescent="0.3">
      <c r="A180" s="678" t="str">
        <f t="shared" ca="1" si="521"/>
        <v>a1G3p000003GJ51EAG</v>
      </c>
      <c r="B180" s="674">
        <v>9</v>
      </c>
      <c r="C180" s="666" t="str">
        <f>IFERROR(VLOOKUP(B180,'Impact Indicators - Section B '!$A$9:$AF$52,32,FALSE),"")</f>
        <v/>
      </c>
      <c r="D180" s="676" t="str">
        <f t="shared" ref="D180" si="674">R180</f>
        <v/>
      </c>
      <c r="E180" s="676" t="str">
        <f t="shared" ref="E180" si="675">S180</f>
        <v/>
      </c>
      <c r="F180" s="194"/>
      <c r="G180" s="668" t="str">
        <f t="shared" ref="G180" ca="1" si="676">IF(OR(INDIRECT("'update Helper'!E"&amp;U180)=0,F180&lt;&gt;0,F181&lt;&gt;0),IF(IFERROR((F180/F181),"")="","",(F180/F181)),INDIRECT("'update Helper'!E"&amp;U180)/100)</f>
        <v/>
      </c>
      <c r="H180" s="670"/>
      <c r="I180" s="672"/>
      <c r="J180" s="651"/>
      <c r="K180" s="666" t="str">
        <f t="shared" ref="K180" si="677">W180</f>
        <v/>
      </c>
      <c r="L180" s="666" t="str">
        <f t="shared" ref="L180" si="678">V180</f>
        <v/>
      </c>
      <c r="M180" s="651"/>
      <c r="N180" s="651"/>
      <c r="P180" s="189">
        <f t="shared" ref="P180" si="679">IF(AND(EXACT(C180,C178),C178&lt;&gt;0),P178+1,0)</f>
        <v>65</v>
      </c>
      <c r="Q180" s="189" t="str">
        <f t="shared" ref="Q180" si="680">IF(C180&lt;&gt;"",C180&amp;"-"&amp;P180,"")</f>
        <v/>
      </c>
      <c r="R180" s="189" t="str">
        <f t="array" ref="R180">IFERROR(IF(INDEX('Disaggregation Records'!$E$3:$E$66,MATCH(RIGHT(Q180,255),RIGHT('Disaggregation Records'!$D$3:$D$66,255),0))=0,"",INDEX('Disaggregation Records'!$E$3:$E$66,MATCH(RIGHT(Q180,255),RIGHT('Disaggregation Records'!$D$3:$D$66,255),0))),"")</f>
        <v/>
      </c>
      <c r="S180" s="189" t="str">
        <f t="array" ref="S180">IFERROR(IF(INDEX('Disaggregation Records'!$F$3:$F$66,MATCH(RIGHT(Q180,255),RIGHT('Disaggregation Records'!$D$3:$D$66,255),0))=0,"",INDEX('Disaggregation Records'!$F$3:$F$66,MATCH(RIGHT(Q180,255),RIGHT('Disaggregation Records'!$D$3:$D$66,255),0))),"")</f>
        <v/>
      </c>
      <c r="T180" s="189" t="str">
        <f t="array" ref="T180">IFERROR(IF(INDEX('Disaggregation Records'!$H$3:$H$66,MATCH(RIGHT(Q180,255),RIGHT('Disaggregation Records'!$D$3:$D$66,255),0))=0,"",INDEX('Disaggregation Records'!$H$3:$H$66,MATCH(RIGHT(Q180,255),RIGHT('Disaggregation Records'!$D$3:$D$66,255),0))),"")</f>
        <v/>
      </c>
      <c r="U180" s="189">
        <f t="shared" ref="U180" si="681">U178+1</f>
        <v>1268</v>
      </c>
      <c r="V180" s="189" t="str">
        <f t="array" ref="V180">IFERROR(IF(INDEX('Disaggregation Records'!$I$3:$I$66,MATCH(RIGHT(Q180,255),RIGHT('Disaggregation Records'!$D$3:$D$66,255),0))=0,"",INDEX('Disaggregation Records'!$I$3:$I$66,MATCH(RIGHT(Q180,255),RIGHT('Disaggregation Records'!$D$3:$D$66,255),0))),"")</f>
        <v/>
      </c>
      <c r="W180" s="189" t="str">
        <f>IFERROR(INDEX('Reference Records'!O$3:O$15,MATCH(LEFT(C180,255),'Reference Records'!J$3:J$15,0)),"")</f>
        <v/>
      </c>
    </row>
    <row r="181" spans="1:23" s="190" customFormat="1" ht="40.200000000000003" customHeight="1" x14ac:dyDescent="0.3">
      <c r="A181" s="678"/>
      <c r="B181" s="675">
        <v>6.6879699248120303</v>
      </c>
      <c r="C181" s="667"/>
      <c r="D181" s="677"/>
      <c r="E181" s="677"/>
      <c r="F181" s="202"/>
      <c r="G181" s="669"/>
      <c r="H181" s="671"/>
      <c r="I181" s="673"/>
      <c r="J181" s="652"/>
      <c r="K181" s="667"/>
      <c r="L181" s="667"/>
      <c r="M181" s="652"/>
      <c r="N181" s="652"/>
    </row>
    <row r="182" spans="1:23" s="189" customFormat="1" ht="40.200000000000003" customHeight="1" x14ac:dyDescent="0.3">
      <c r="A182" s="678" t="str">
        <f t="shared" ca="1" si="521"/>
        <v>a1G3p000003GJ52EAG</v>
      </c>
      <c r="B182" s="674">
        <v>9</v>
      </c>
      <c r="C182" s="666" t="str">
        <f>IFERROR(VLOOKUP(B182,'Impact Indicators - Section B '!$A$9:$AF$52,32,FALSE),"")</f>
        <v/>
      </c>
      <c r="D182" s="676" t="str">
        <f t="shared" ref="D182" si="682">R182</f>
        <v/>
      </c>
      <c r="E182" s="676" t="str">
        <f t="shared" ref="E182" si="683">S182</f>
        <v/>
      </c>
      <c r="F182" s="194"/>
      <c r="G182" s="668" t="str">
        <f t="shared" ref="G182" ca="1" si="684">IF(OR(INDIRECT("'update Helper'!E"&amp;U182)=0,F182&lt;&gt;0,F183&lt;&gt;0),IF(IFERROR((F182/F183),"")="","",(F182/F183)),INDIRECT("'update Helper'!E"&amp;U182)/100)</f>
        <v/>
      </c>
      <c r="H182" s="670"/>
      <c r="I182" s="672"/>
      <c r="J182" s="651"/>
      <c r="K182" s="666" t="str">
        <f t="shared" ref="K182" si="685">W182</f>
        <v/>
      </c>
      <c r="L182" s="666" t="str">
        <f t="shared" ref="L182" si="686">V182</f>
        <v/>
      </c>
      <c r="M182" s="651"/>
      <c r="N182" s="651"/>
      <c r="P182" s="189">
        <f t="shared" ref="P182" si="687">IF(AND(EXACT(C182,C180),C180&lt;&gt;0),P180+1,0)</f>
        <v>66</v>
      </c>
      <c r="Q182" s="189" t="str">
        <f t="shared" ref="Q182" si="688">IF(C182&lt;&gt;"",C182&amp;"-"&amp;P182,"")</f>
        <v/>
      </c>
      <c r="R182" s="189" t="str">
        <f t="array" ref="R182">IFERROR(IF(INDEX('Disaggregation Records'!$E$3:$E$66,MATCH(RIGHT(Q182,255),RIGHT('Disaggregation Records'!$D$3:$D$66,255),0))=0,"",INDEX('Disaggregation Records'!$E$3:$E$66,MATCH(RIGHT(Q182,255),RIGHT('Disaggregation Records'!$D$3:$D$66,255),0))),"")</f>
        <v/>
      </c>
      <c r="S182" s="189" t="str">
        <f t="array" ref="S182">IFERROR(IF(INDEX('Disaggregation Records'!$F$3:$F$66,MATCH(RIGHT(Q182,255),RIGHT('Disaggregation Records'!$D$3:$D$66,255),0))=0,"",INDEX('Disaggregation Records'!$F$3:$F$66,MATCH(RIGHT(Q182,255),RIGHT('Disaggregation Records'!$D$3:$D$66,255),0))),"")</f>
        <v/>
      </c>
      <c r="T182" s="189" t="str">
        <f t="array" ref="T182">IFERROR(IF(INDEX('Disaggregation Records'!$H$3:$H$66,MATCH(RIGHT(Q182,255),RIGHT('Disaggregation Records'!$D$3:$D$66,255),0))=0,"",INDEX('Disaggregation Records'!$H$3:$H$66,MATCH(RIGHT(Q182,255),RIGHT('Disaggregation Records'!$D$3:$D$66,255),0))),"")</f>
        <v/>
      </c>
      <c r="U182" s="189">
        <f t="shared" ref="U182" si="689">U180+1</f>
        <v>1269</v>
      </c>
      <c r="V182" s="189" t="str">
        <f t="array" ref="V182">IFERROR(IF(INDEX('Disaggregation Records'!$I$3:$I$66,MATCH(RIGHT(Q182,255),RIGHT('Disaggregation Records'!$D$3:$D$66,255),0))=0,"",INDEX('Disaggregation Records'!$I$3:$I$66,MATCH(RIGHT(Q182,255),RIGHT('Disaggregation Records'!$D$3:$D$66,255),0))),"")</f>
        <v/>
      </c>
      <c r="W182" s="189" t="str">
        <f>IFERROR(INDEX('Reference Records'!O$3:O$15,MATCH(LEFT(C182,255),'Reference Records'!J$3:J$15,0)),"")</f>
        <v/>
      </c>
    </row>
    <row r="183" spans="1:23" s="189" customFormat="1" ht="40.200000000000003" customHeight="1" x14ac:dyDescent="0.3">
      <c r="A183" s="678"/>
      <c r="B183" s="675">
        <v>6.6879699248120303</v>
      </c>
      <c r="C183" s="667"/>
      <c r="D183" s="677"/>
      <c r="E183" s="677"/>
      <c r="F183" s="202"/>
      <c r="G183" s="669"/>
      <c r="H183" s="671"/>
      <c r="I183" s="673"/>
      <c r="J183" s="652"/>
      <c r="K183" s="667"/>
      <c r="L183" s="667"/>
      <c r="M183" s="652"/>
      <c r="N183" s="652"/>
      <c r="P183" s="190"/>
      <c r="Q183" s="190"/>
      <c r="R183" s="190"/>
      <c r="S183" s="190"/>
      <c r="T183" s="190"/>
      <c r="U183" s="190"/>
      <c r="V183" s="190"/>
      <c r="W183" s="190"/>
    </row>
    <row r="184" spans="1:23" s="189" customFormat="1" ht="40.200000000000003" customHeight="1" x14ac:dyDescent="0.3">
      <c r="A184" s="678" t="str">
        <f t="shared" ca="1" si="521"/>
        <v>a1G3p000003GJ53EAG</v>
      </c>
      <c r="B184" s="674">
        <v>9</v>
      </c>
      <c r="C184" s="666" t="str">
        <f>IFERROR(VLOOKUP(B184,'Impact Indicators - Section B '!$A$9:$AF$52,32,FALSE),"")</f>
        <v/>
      </c>
      <c r="D184" s="676" t="str">
        <f t="shared" ref="D184" si="690">R184</f>
        <v/>
      </c>
      <c r="E184" s="676" t="str">
        <f t="shared" ref="E184" si="691">S184</f>
        <v/>
      </c>
      <c r="F184" s="194"/>
      <c r="G184" s="668" t="str">
        <f t="shared" ref="G184" ca="1" si="692">IF(OR(INDIRECT("'update Helper'!E"&amp;U184)=0,F184&lt;&gt;0,F185&lt;&gt;0),IF(IFERROR((F184/F185),"")="","",(F184/F185)),INDIRECT("'update Helper'!E"&amp;U184)/100)</f>
        <v/>
      </c>
      <c r="H184" s="670"/>
      <c r="I184" s="672"/>
      <c r="J184" s="651"/>
      <c r="K184" s="666" t="str">
        <f t="shared" ref="K184" si="693">W184</f>
        <v/>
      </c>
      <c r="L184" s="666" t="str">
        <f t="shared" ref="L184" si="694">V184</f>
        <v/>
      </c>
      <c r="M184" s="651"/>
      <c r="N184" s="651"/>
      <c r="P184" s="189">
        <f t="shared" ref="P184" si="695">IF(AND(EXACT(C184,C182),C182&lt;&gt;0),P182+1,0)</f>
        <v>67</v>
      </c>
      <c r="Q184" s="189" t="str">
        <f t="shared" ref="Q184" si="696">IF(C184&lt;&gt;"",C184&amp;"-"&amp;P184,"")</f>
        <v/>
      </c>
      <c r="R184" s="189" t="str">
        <f t="array" ref="R184">IFERROR(IF(INDEX('Disaggregation Records'!$E$3:$E$66,MATCH(RIGHT(Q184,255),RIGHT('Disaggregation Records'!$D$3:$D$66,255),0))=0,"",INDEX('Disaggregation Records'!$E$3:$E$66,MATCH(RIGHT(Q184,255),RIGHT('Disaggregation Records'!$D$3:$D$66,255),0))),"")</f>
        <v/>
      </c>
      <c r="S184" s="189" t="str">
        <f t="array" ref="S184">IFERROR(IF(INDEX('Disaggregation Records'!$F$3:$F$66,MATCH(RIGHT(Q184,255),RIGHT('Disaggregation Records'!$D$3:$D$66,255),0))=0,"",INDEX('Disaggregation Records'!$F$3:$F$66,MATCH(RIGHT(Q184,255),RIGHT('Disaggregation Records'!$D$3:$D$66,255),0))),"")</f>
        <v/>
      </c>
      <c r="T184" s="189" t="str">
        <f t="array" ref="T184">IFERROR(IF(INDEX('Disaggregation Records'!$H$3:$H$66,MATCH(RIGHT(Q184,255),RIGHT('Disaggregation Records'!$D$3:$D$66,255),0))=0,"",INDEX('Disaggregation Records'!$H$3:$H$66,MATCH(RIGHT(Q184,255),RIGHT('Disaggregation Records'!$D$3:$D$66,255),0))),"")</f>
        <v/>
      </c>
      <c r="U184" s="189">
        <f t="shared" ref="U184" si="697">U182+1</f>
        <v>1270</v>
      </c>
      <c r="V184" s="189" t="str">
        <f t="array" ref="V184">IFERROR(IF(INDEX('Disaggregation Records'!$I$3:$I$66,MATCH(RIGHT(Q184,255),RIGHT('Disaggregation Records'!$D$3:$D$66,255),0))=0,"",INDEX('Disaggregation Records'!$I$3:$I$66,MATCH(RIGHT(Q184,255),RIGHT('Disaggregation Records'!$D$3:$D$66,255),0))),"")</f>
        <v/>
      </c>
      <c r="W184" s="189" t="str">
        <f>IFERROR(INDEX('Reference Records'!O$3:O$15,MATCH(LEFT(C184,255),'Reference Records'!J$3:J$15,0)),"")</f>
        <v/>
      </c>
    </row>
    <row r="185" spans="1:23" s="190" customFormat="1" ht="40.200000000000003" customHeight="1" x14ac:dyDescent="0.3">
      <c r="A185" s="678"/>
      <c r="B185" s="675">
        <v>6.6879699248120303</v>
      </c>
      <c r="C185" s="667"/>
      <c r="D185" s="677"/>
      <c r="E185" s="677"/>
      <c r="F185" s="202"/>
      <c r="G185" s="669"/>
      <c r="H185" s="671"/>
      <c r="I185" s="673"/>
      <c r="J185" s="652"/>
      <c r="K185" s="667"/>
      <c r="L185" s="667"/>
      <c r="M185" s="652"/>
      <c r="N185" s="652"/>
    </row>
    <row r="186" spans="1:23" s="189" customFormat="1" ht="40.200000000000003" customHeight="1" x14ac:dyDescent="0.3">
      <c r="A186" s="678" t="str">
        <f t="shared" ca="1" si="521"/>
        <v>a1G3p000003GJ54EAG</v>
      </c>
      <c r="B186" s="674">
        <v>9</v>
      </c>
      <c r="C186" s="666" t="str">
        <f>IFERROR(VLOOKUP(B186,'Impact Indicators - Section B '!$A$9:$AF$52,32,FALSE),"")</f>
        <v/>
      </c>
      <c r="D186" s="676" t="str">
        <f t="shared" ref="D186" si="698">R186</f>
        <v/>
      </c>
      <c r="E186" s="676" t="str">
        <f t="shared" ref="E186" si="699">S186</f>
        <v/>
      </c>
      <c r="F186" s="194"/>
      <c r="G186" s="668" t="str">
        <f t="shared" ref="G186" ca="1" si="700">IF(OR(INDIRECT("'update Helper'!E"&amp;U186)=0,F186&lt;&gt;0,F187&lt;&gt;0),IF(IFERROR((F186/F187),"")="","",(F186/F187)),INDIRECT("'update Helper'!E"&amp;U186)/100)</f>
        <v/>
      </c>
      <c r="H186" s="670"/>
      <c r="I186" s="672"/>
      <c r="J186" s="651"/>
      <c r="K186" s="666" t="str">
        <f t="shared" ref="K186" si="701">W186</f>
        <v/>
      </c>
      <c r="L186" s="666" t="str">
        <f t="shared" ref="L186" si="702">V186</f>
        <v/>
      </c>
      <c r="M186" s="651"/>
      <c r="N186" s="651"/>
      <c r="P186" s="189">
        <f t="shared" ref="P186" si="703">IF(AND(EXACT(C186,C184),C184&lt;&gt;0),P184+1,0)</f>
        <v>68</v>
      </c>
      <c r="Q186" s="189" t="str">
        <f t="shared" ref="Q186" si="704">IF(C186&lt;&gt;"",C186&amp;"-"&amp;P186,"")</f>
        <v/>
      </c>
      <c r="R186" s="189" t="str">
        <f t="array" ref="R186">IFERROR(IF(INDEX('Disaggregation Records'!$E$3:$E$66,MATCH(RIGHT(Q186,255),RIGHT('Disaggregation Records'!$D$3:$D$66,255),0))=0,"",INDEX('Disaggregation Records'!$E$3:$E$66,MATCH(RIGHT(Q186,255),RIGHT('Disaggregation Records'!$D$3:$D$66,255),0))),"")</f>
        <v/>
      </c>
      <c r="S186" s="189" t="str">
        <f t="array" ref="S186">IFERROR(IF(INDEX('Disaggregation Records'!$F$3:$F$66,MATCH(RIGHT(Q186,255),RIGHT('Disaggregation Records'!$D$3:$D$66,255),0))=0,"",INDEX('Disaggregation Records'!$F$3:$F$66,MATCH(RIGHT(Q186,255),RIGHT('Disaggregation Records'!$D$3:$D$66,255),0))),"")</f>
        <v/>
      </c>
      <c r="T186" s="189" t="str">
        <f t="array" ref="T186">IFERROR(IF(INDEX('Disaggregation Records'!$H$3:$H$66,MATCH(RIGHT(Q186,255),RIGHT('Disaggregation Records'!$D$3:$D$66,255),0))=0,"",INDEX('Disaggregation Records'!$H$3:$H$66,MATCH(RIGHT(Q186,255),RIGHT('Disaggregation Records'!$D$3:$D$66,255),0))),"")</f>
        <v/>
      </c>
      <c r="U186" s="189">
        <f t="shared" ref="U186" si="705">U184+1</f>
        <v>1271</v>
      </c>
      <c r="V186" s="189" t="str">
        <f t="array" ref="V186">IFERROR(IF(INDEX('Disaggregation Records'!$I$3:$I$66,MATCH(RIGHT(Q186,255),RIGHT('Disaggregation Records'!$D$3:$D$66,255),0))=0,"",INDEX('Disaggregation Records'!$I$3:$I$66,MATCH(RIGHT(Q186,255),RIGHT('Disaggregation Records'!$D$3:$D$66,255),0))),"")</f>
        <v/>
      </c>
      <c r="W186" s="189" t="str">
        <f>IFERROR(INDEX('Reference Records'!O$3:O$15,MATCH(LEFT(C186,255),'Reference Records'!J$3:J$15,0)),"")</f>
        <v/>
      </c>
    </row>
    <row r="187" spans="1:23" s="190" customFormat="1" ht="40.200000000000003" customHeight="1" x14ac:dyDescent="0.3">
      <c r="A187" s="678"/>
      <c r="B187" s="675">
        <v>6.6879699248120303</v>
      </c>
      <c r="C187" s="667"/>
      <c r="D187" s="677"/>
      <c r="E187" s="677"/>
      <c r="F187" s="202"/>
      <c r="G187" s="669"/>
      <c r="H187" s="671"/>
      <c r="I187" s="673"/>
      <c r="J187" s="652"/>
      <c r="K187" s="667"/>
      <c r="L187" s="667"/>
      <c r="M187" s="652"/>
      <c r="N187" s="652"/>
    </row>
    <row r="188" spans="1:23" s="189" customFormat="1" ht="40.200000000000003" customHeight="1" x14ac:dyDescent="0.3">
      <c r="A188" s="678" t="str">
        <f t="shared" ca="1" si="521"/>
        <v>a1G3p000003GJ55EAG</v>
      </c>
      <c r="B188" s="674">
        <v>9</v>
      </c>
      <c r="C188" s="666" t="str">
        <f>IFERROR(VLOOKUP(B188,'Impact Indicators - Section B '!$A$9:$AF$52,32,FALSE),"")</f>
        <v/>
      </c>
      <c r="D188" s="676" t="str">
        <f t="shared" ref="D188" si="706">R188</f>
        <v/>
      </c>
      <c r="E188" s="676" t="str">
        <f t="shared" ref="E188" si="707">S188</f>
        <v/>
      </c>
      <c r="F188" s="194"/>
      <c r="G188" s="668" t="str">
        <f t="shared" ref="G188" ca="1" si="708">IF(OR(INDIRECT("'update Helper'!E"&amp;U188)=0,F188&lt;&gt;0,F189&lt;&gt;0),IF(IFERROR((F188/F189),"")="","",(F188/F189)),INDIRECT("'update Helper'!E"&amp;U188)/100)</f>
        <v/>
      </c>
      <c r="H188" s="670"/>
      <c r="I188" s="672"/>
      <c r="J188" s="651"/>
      <c r="K188" s="666" t="str">
        <f t="shared" ref="K188" si="709">W188</f>
        <v/>
      </c>
      <c r="L188" s="666" t="str">
        <f t="shared" ref="L188" si="710">V188</f>
        <v/>
      </c>
      <c r="M188" s="651"/>
      <c r="N188" s="651"/>
      <c r="P188" s="189">
        <f t="shared" ref="P188" si="711">IF(AND(EXACT(C188,C186),C186&lt;&gt;0),P186+1,0)</f>
        <v>69</v>
      </c>
      <c r="Q188" s="189" t="str">
        <f t="shared" ref="Q188" si="712">IF(C188&lt;&gt;"",C188&amp;"-"&amp;P188,"")</f>
        <v/>
      </c>
      <c r="R188" s="189" t="str">
        <f t="array" ref="R188">IFERROR(IF(INDEX('Disaggregation Records'!$E$3:$E$66,MATCH(RIGHT(Q188,255),RIGHT('Disaggregation Records'!$D$3:$D$66,255),0))=0,"",INDEX('Disaggregation Records'!$E$3:$E$66,MATCH(RIGHT(Q188,255),RIGHT('Disaggregation Records'!$D$3:$D$66,255),0))),"")</f>
        <v/>
      </c>
      <c r="S188" s="189" t="str">
        <f t="array" ref="S188">IFERROR(IF(INDEX('Disaggregation Records'!$F$3:$F$66,MATCH(RIGHT(Q188,255),RIGHT('Disaggregation Records'!$D$3:$D$66,255),0))=0,"",INDEX('Disaggregation Records'!$F$3:$F$66,MATCH(RIGHT(Q188,255),RIGHT('Disaggregation Records'!$D$3:$D$66,255),0))),"")</f>
        <v/>
      </c>
      <c r="T188" s="189" t="str">
        <f t="array" ref="T188">IFERROR(IF(INDEX('Disaggregation Records'!$H$3:$H$66,MATCH(RIGHT(Q188,255),RIGHT('Disaggregation Records'!$D$3:$D$66,255),0))=0,"",INDEX('Disaggregation Records'!$H$3:$H$66,MATCH(RIGHT(Q188,255),RIGHT('Disaggregation Records'!$D$3:$D$66,255),0))),"")</f>
        <v/>
      </c>
      <c r="U188" s="189">
        <f t="shared" ref="U188" si="713">U186+1</f>
        <v>1272</v>
      </c>
      <c r="V188" s="189" t="str">
        <f t="array" ref="V188">IFERROR(IF(INDEX('Disaggregation Records'!$I$3:$I$66,MATCH(RIGHT(Q188,255),RIGHT('Disaggregation Records'!$D$3:$D$66,255),0))=0,"",INDEX('Disaggregation Records'!$I$3:$I$66,MATCH(RIGHT(Q188,255),RIGHT('Disaggregation Records'!$D$3:$D$66,255),0))),"")</f>
        <v/>
      </c>
      <c r="W188" s="189" t="str">
        <f>IFERROR(INDEX('Reference Records'!O$3:O$15,MATCH(LEFT(C188,255),'Reference Records'!J$3:J$15,0)),"")</f>
        <v/>
      </c>
    </row>
    <row r="189" spans="1:23" s="189" customFormat="1" ht="40.200000000000003" customHeight="1" x14ac:dyDescent="0.3">
      <c r="A189" s="678"/>
      <c r="B189" s="675">
        <v>6.6879699248120303</v>
      </c>
      <c r="C189" s="667"/>
      <c r="D189" s="677"/>
      <c r="E189" s="677"/>
      <c r="F189" s="202"/>
      <c r="G189" s="669"/>
      <c r="H189" s="671"/>
      <c r="I189" s="673"/>
      <c r="J189" s="652"/>
      <c r="K189" s="667"/>
      <c r="L189" s="667"/>
      <c r="M189" s="652"/>
      <c r="N189" s="652"/>
      <c r="P189" s="190"/>
      <c r="Q189" s="190"/>
      <c r="R189" s="190"/>
      <c r="S189" s="190"/>
      <c r="T189" s="190"/>
      <c r="U189" s="190"/>
      <c r="V189" s="190"/>
      <c r="W189" s="190"/>
    </row>
    <row r="190" spans="1:23" s="189" customFormat="1" ht="40.200000000000003" customHeight="1" x14ac:dyDescent="0.3">
      <c r="A190" s="678" t="str">
        <f t="shared" ca="1" si="521"/>
        <v>a1G3p000003GJ56EAG</v>
      </c>
      <c r="B190" s="674">
        <v>10</v>
      </c>
      <c r="C190" s="666" t="str">
        <f>IFERROR(VLOOKUP(B190,'Impact Indicators - Section B '!$A$9:$AF$52,32,FALSE),"")</f>
        <v/>
      </c>
      <c r="D190" s="676" t="str">
        <f t="shared" ref="D190" si="714">R190</f>
        <v/>
      </c>
      <c r="E190" s="676" t="str">
        <f t="shared" ref="E190" si="715">S190</f>
        <v/>
      </c>
      <c r="F190" s="194"/>
      <c r="G190" s="668" t="str">
        <f t="shared" ref="G190" ca="1" si="716">IF(OR(INDIRECT("'update Helper'!E"&amp;U190)=0,F190&lt;&gt;0,F191&lt;&gt;0),IF(IFERROR((F190/F191),"")="","",(F190/F191)),INDIRECT("'update Helper'!E"&amp;U190)/100)</f>
        <v/>
      </c>
      <c r="H190" s="670"/>
      <c r="I190" s="672"/>
      <c r="J190" s="651"/>
      <c r="K190" s="666" t="str">
        <f t="shared" ref="K190" si="717">W190</f>
        <v/>
      </c>
      <c r="L190" s="666" t="str">
        <f t="shared" ref="L190" si="718">V190</f>
        <v/>
      </c>
      <c r="M190" s="651"/>
      <c r="N190" s="651"/>
      <c r="P190" s="189">
        <f t="shared" ref="P190" si="719">IF(AND(EXACT(C190,C188),C188&lt;&gt;0),P188+1,0)</f>
        <v>70</v>
      </c>
      <c r="Q190" s="189" t="str">
        <f t="shared" ref="Q190" si="720">IF(C190&lt;&gt;"",C190&amp;"-"&amp;P190,"")</f>
        <v/>
      </c>
      <c r="R190" s="189" t="str">
        <f t="array" ref="R190">IFERROR(IF(INDEX('Disaggregation Records'!$E$3:$E$66,MATCH(RIGHT(Q190,255),RIGHT('Disaggregation Records'!$D$3:$D$66,255),0))=0,"",INDEX('Disaggregation Records'!$E$3:$E$66,MATCH(RIGHT(Q190,255),RIGHT('Disaggregation Records'!$D$3:$D$66,255),0))),"")</f>
        <v/>
      </c>
      <c r="S190" s="189" t="str">
        <f t="array" ref="S190">IFERROR(IF(INDEX('Disaggregation Records'!$F$3:$F$66,MATCH(RIGHT(Q190,255),RIGHT('Disaggregation Records'!$D$3:$D$66,255),0))=0,"",INDEX('Disaggregation Records'!$F$3:$F$66,MATCH(RIGHT(Q190,255),RIGHT('Disaggregation Records'!$D$3:$D$66,255),0))),"")</f>
        <v/>
      </c>
      <c r="T190" s="189" t="str">
        <f t="array" ref="T190">IFERROR(IF(INDEX('Disaggregation Records'!$H$3:$H$66,MATCH(RIGHT(Q190,255),RIGHT('Disaggregation Records'!$D$3:$D$66,255),0))=0,"",INDEX('Disaggregation Records'!$H$3:$H$66,MATCH(RIGHT(Q190,255),RIGHT('Disaggregation Records'!$D$3:$D$66,255),0))),"")</f>
        <v/>
      </c>
      <c r="U190" s="189">
        <f t="shared" ref="U190" si="721">U188+1</f>
        <v>1273</v>
      </c>
      <c r="V190" s="189" t="str">
        <f t="array" ref="V190">IFERROR(IF(INDEX('Disaggregation Records'!$I$3:$I$66,MATCH(RIGHT(Q190,255),RIGHT('Disaggregation Records'!$D$3:$D$66,255),0))=0,"",INDEX('Disaggregation Records'!$I$3:$I$66,MATCH(RIGHT(Q190,255),RIGHT('Disaggregation Records'!$D$3:$D$66,255),0))),"")</f>
        <v/>
      </c>
      <c r="W190" s="189" t="str">
        <f>IFERROR(INDEX('Reference Records'!O$3:O$15,MATCH(LEFT(C190,255),'Reference Records'!J$3:J$15,0)),"")</f>
        <v/>
      </c>
    </row>
    <row r="191" spans="1:23" s="190" customFormat="1" ht="40.200000000000003" customHeight="1" x14ac:dyDescent="0.3">
      <c r="A191" s="678"/>
      <c r="B191" s="675">
        <v>7.4398496240601597</v>
      </c>
      <c r="C191" s="667"/>
      <c r="D191" s="677"/>
      <c r="E191" s="677"/>
      <c r="F191" s="202"/>
      <c r="G191" s="669"/>
      <c r="H191" s="671"/>
      <c r="I191" s="673"/>
      <c r="J191" s="652"/>
      <c r="K191" s="667"/>
      <c r="L191" s="667"/>
      <c r="M191" s="652"/>
      <c r="N191" s="652"/>
    </row>
    <row r="192" spans="1:23" s="189" customFormat="1" ht="40.200000000000003" customHeight="1" x14ac:dyDescent="0.3">
      <c r="A192" s="678" t="str">
        <f t="shared" ca="1" si="521"/>
        <v>a1G3p000003GJ57EAG</v>
      </c>
      <c r="B192" s="674">
        <v>10</v>
      </c>
      <c r="C192" s="666" t="str">
        <f>IFERROR(VLOOKUP(B192,'Impact Indicators - Section B '!$A$9:$AF$52,32,FALSE),"")</f>
        <v/>
      </c>
      <c r="D192" s="676" t="str">
        <f t="shared" ref="D192" si="722">R192</f>
        <v/>
      </c>
      <c r="E192" s="676" t="str">
        <f t="shared" ref="E192" si="723">S192</f>
        <v/>
      </c>
      <c r="F192" s="194"/>
      <c r="G192" s="668" t="str">
        <f t="shared" ref="G192" ca="1" si="724">IF(OR(INDIRECT("'update Helper'!E"&amp;U192)=0,F192&lt;&gt;0,F193&lt;&gt;0),IF(IFERROR((F192/F193),"")="","",(F192/F193)),INDIRECT("'update Helper'!E"&amp;U192)/100)</f>
        <v/>
      </c>
      <c r="H192" s="670"/>
      <c r="I192" s="672"/>
      <c r="J192" s="651"/>
      <c r="K192" s="666" t="str">
        <f t="shared" ref="K192" si="725">W192</f>
        <v/>
      </c>
      <c r="L192" s="666" t="str">
        <f t="shared" ref="L192" si="726">V192</f>
        <v/>
      </c>
      <c r="M192" s="651"/>
      <c r="N192" s="651"/>
      <c r="P192" s="189">
        <f t="shared" ref="P192" si="727">IF(AND(EXACT(C192,C190),C190&lt;&gt;0),P190+1,0)</f>
        <v>71</v>
      </c>
      <c r="Q192" s="189" t="str">
        <f t="shared" ref="Q192" si="728">IF(C192&lt;&gt;"",C192&amp;"-"&amp;P192,"")</f>
        <v/>
      </c>
      <c r="R192" s="189" t="str">
        <f t="array" ref="R192">IFERROR(IF(INDEX('Disaggregation Records'!$E$3:$E$66,MATCH(RIGHT(Q192,255),RIGHT('Disaggregation Records'!$D$3:$D$66,255),0))=0,"",INDEX('Disaggregation Records'!$E$3:$E$66,MATCH(RIGHT(Q192,255),RIGHT('Disaggregation Records'!$D$3:$D$66,255),0))),"")</f>
        <v/>
      </c>
      <c r="S192" s="189" t="str">
        <f t="array" ref="S192">IFERROR(IF(INDEX('Disaggregation Records'!$F$3:$F$66,MATCH(RIGHT(Q192,255),RIGHT('Disaggregation Records'!$D$3:$D$66,255),0))=0,"",INDEX('Disaggregation Records'!$F$3:$F$66,MATCH(RIGHT(Q192,255),RIGHT('Disaggregation Records'!$D$3:$D$66,255),0))),"")</f>
        <v/>
      </c>
      <c r="T192" s="189" t="str">
        <f t="array" ref="T192">IFERROR(IF(INDEX('Disaggregation Records'!$H$3:$H$66,MATCH(RIGHT(Q192,255),RIGHT('Disaggregation Records'!$D$3:$D$66,255),0))=0,"",INDEX('Disaggregation Records'!$H$3:$H$66,MATCH(RIGHT(Q192,255),RIGHT('Disaggregation Records'!$D$3:$D$66,255),0))),"")</f>
        <v/>
      </c>
      <c r="U192" s="189">
        <f t="shared" ref="U192" si="729">U190+1</f>
        <v>1274</v>
      </c>
      <c r="V192" s="189" t="str">
        <f t="array" ref="V192">IFERROR(IF(INDEX('Disaggregation Records'!$I$3:$I$66,MATCH(RIGHT(Q192,255),RIGHT('Disaggregation Records'!$D$3:$D$66,255),0))=0,"",INDEX('Disaggregation Records'!$I$3:$I$66,MATCH(RIGHT(Q192,255),RIGHT('Disaggregation Records'!$D$3:$D$66,255),0))),"")</f>
        <v/>
      </c>
      <c r="W192" s="189" t="str">
        <f>IFERROR(INDEX('Reference Records'!O$3:O$15,MATCH(LEFT(C192,255),'Reference Records'!J$3:J$15,0)),"")</f>
        <v/>
      </c>
    </row>
    <row r="193" spans="1:23" s="190" customFormat="1" ht="40.200000000000003" customHeight="1" x14ac:dyDescent="0.3">
      <c r="A193" s="678"/>
      <c r="B193" s="675">
        <v>7.4398496240601597</v>
      </c>
      <c r="C193" s="667"/>
      <c r="D193" s="677"/>
      <c r="E193" s="677"/>
      <c r="F193" s="202"/>
      <c r="G193" s="669"/>
      <c r="H193" s="671"/>
      <c r="I193" s="673"/>
      <c r="J193" s="652"/>
      <c r="K193" s="667"/>
      <c r="L193" s="667"/>
      <c r="M193" s="652"/>
      <c r="N193" s="652"/>
    </row>
    <row r="194" spans="1:23" s="189" customFormat="1" ht="40.200000000000003" customHeight="1" x14ac:dyDescent="0.3">
      <c r="A194" s="678" t="str">
        <f t="shared" ca="1" si="521"/>
        <v>a1G3p000003GJ58EAG</v>
      </c>
      <c r="B194" s="674">
        <v>10</v>
      </c>
      <c r="C194" s="666" t="str">
        <f>IFERROR(VLOOKUP(B194,'Impact Indicators - Section B '!$A$9:$AF$52,32,FALSE),"")</f>
        <v/>
      </c>
      <c r="D194" s="676" t="str">
        <f t="shared" ref="D194" si="730">R194</f>
        <v/>
      </c>
      <c r="E194" s="676" t="str">
        <f t="shared" ref="E194" si="731">S194</f>
        <v/>
      </c>
      <c r="F194" s="194"/>
      <c r="G194" s="668" t="str">
        <f t="shared" ref="G194" ca="1" si="732">IF(OR(INDIRECT("'update Helper'!E"&amp;U194)=0,F194&lt;&gt;0,F195&lt;&gt;0),IF(IFERROR((F194/F195),"")="","",(F194/F195)),INDIRECT("'update Helper'!E"&amp;U194)/100)</f>
        <v/>
      </c>
      <c r="H194" s="670"/>
      <c r="I194" s="672"/>
      <c r="J194" s="651"/>
      <c r="K194" s="666" t="str">
        <f t="shared" ref="K194" si="733">W194</f>
        <v/>
      </c>
      <c r="L194" s="666" t="str">
        <f t="shared" ref="L194" si="734">V194</f>
        <v/>
      </c>
      <c r="M194" s="651"/>
      <c r="N194" s="651"/>
      <c r="P194" s="189">
        <f t="shared" ref="P194" si="735">IF(AND(EXACT(C194,C192),C192&lt;&gt;0),P192+1,0)</f>
        <v>72</v>
      </c>
      <c r="Q194" s="189" t="str">
        <f t="shared" ref="Q194" si="736">IF(C194&lt;&gt;"",C194&amp;"-"&amp;P194,"")</f>
        <v/>
      </c>
      <c r="R194" s="189" t="str">
        <f t="array" ref="R194">IFERROR(IF(INDEX('Disaggregation Records'!$E$3:$E$66,MATCH(RIGHT(Q194,255),RIGHT('Disaggregation Records'!$D$3:$D$66,255),0))=0,"",INDEX('Disaggregation Records'!$E$3:$E$66,MATCH(RIGHT(Q194,255),RIGHT('Disaggregation Records'!$D$3:$D$66,255),0))),"")</f>
        <v/>
      </c>
      <c r="S194" s="189" t="str">
        <f t="array" ref="S194">IFERROR(IF(INDEX('Disaggregation Records'!$F$3:$F$66,MATCH(RIGHT(Q194,255),RIGHT('Disaggregation Records'!$D$3:$D$66,255),0))=0,"",INDEX('Disaggregation Records'!$F$3:$F$66,MATCH(RIGHT(Q194,255),RIGHT('Disaggregation Records'!$D$3:$D$66,255),0))),"")</f>
        <v/>
      </c>
      <c r="T194" s="189" t="str">
        <f t="array" ref="T194">IFERROR(IF(INDEX('Disaggregation Records'!$H$3:$H$66,MATCH(RIGHT(Q194,255),RIGHT('Disaggregation Records'!$D$3:$D$66,255),0))=0,"",INDEX('Disaggregation Records'!$H$3:$H$66,MATCH(RIGHT(Q194,255),RIGHT('Disaggregation Records'!$D$3:$D$66,255),0))),"")</f>
        <v/>
      </c>
      <c r="U194" s="189">
        <f t="shared" ref="U194" si="737">U192+1</f>
        <v>1275</v>
      </c>
      <c r="V194" s="189" t="str">
        <f t="array" ref="V194">IFERROR(IF(INDEX('Disaggregation Records'!$I$3:$I$66,MATCH(RIGHT(Q194,255),RIGHT('Disaggregation Records'!$D$3:$D$66,255),0))=0,"",INDEX('Disaggregation Records'!$I$3:$I$66,MATCH(RIGHT(Q194,255),RIGHT('Disaggregation Records'!$D$3:$D$66,255),0))),"")</f>
        <v/>
      </c>
      <c r="W194" s="189" t="str">
        <f>IFERROR(INDEX('Reference Records'!O$3:O$15,MATCH(LEFT(C194,255),'Reference Records'!J$3:J$15,0)),"")</f>
        <v/>
      </c>
    </row>
    <row r="195" spans="1:23" s="189" customFormat="1" ht="40.200000000000003" customHeight="1" x14ac:dyDescent="0.3">
      <c r="A195" s="678"/>
      <c r="B195" s="675">
        <v>7.4398496240601597</v>
      </c>
      <c r="C195" s="667"/>
      <c r="D195" s="677"/>
      <c r="E195" s="677"/>
      <c r="F195" s="202"/>
      <c r="G195" s="669"/>
      <c r="H195" s="671"/>
      <c r="I195" s="673"/>
      <c r="J195" s="652"/>
      <c r="K195" s="667"/>
      <c r="L195" s="667"/>
      <c r="M195" s="652"/>
      <c r="N195" s="652"/>
      <c r="P195" s="190"/>
      <c r="Q195" s="190"/>
      <c r="R195" s="190"/>
      <c r="S195" s="190"/>
      <c r="T195" s="190"/>
      <c r="U195" s="190"/>
      <c r="V195" s="190"/>
      <c r="W195" s="190"/>
    </row>
    <row r="196" spans="1:23" s="189" customFormat="1" ht="40.200000000000003" customHeight="1" x14ac:dyDescent="0.3">
      <c r="A196" s="678" t="str">
        <f t="shared" ca="1" si="521"/>
        <v>a1G3p000003GJ59EAG</v>
      </c>
      <c r="B196" s="674">
        <v>10</v>
      </c>
      <c r="C196" s="666" t="str">
        <f>IFERROR(VLOOKUP(B196,'Impact Indicators - Section B '!$A$9:$AF$52,32,FALSE),"")</f>
        <v/>
      </c>
      <c r="D196" s="676" t="str">
        <f t="shared" ref="D196" si="738">R196</f>
        <v/>
      </c>
      <c r="E196" s="676" t="str">
        <f t="shared" ref="E196" si="739">S196</f>
        <v/>
      </c>
      <c r="F196" s="194"/>
      <c r="G196" s="668" t="str">
        <f t="shared" ref="G196" ca="1" si="740">IF(OR(INDIRECT("'update Helper'!E"&amp;U196)=0,F196&lt;&gt;0,F197&lt;&gt;0),IF(IFERROR((F196/F197),"")="","",(F196/F197)),INDIRECT("'update Helper'!E"&amp;U196)/100)</f>
        <v/>
      </c>
      <c r="H196" s="670"/>
      <c r="I196" s="672"/>
      <c r="J196" s="651"/>
      <c r="K196" s="666" t="str">
        <f t="shared" ref="K196" si="741">W196</f>
        <v/>
      </c>
      <c r="L196" s="666" t="str">
        <f t="shared" ref="L196" si="742">V196</f>
        <v/>
      </c>
      <c r="M196" s="651"/>
      <c r="N196" s="651"/>
      <c r="P196" s="189">
        <f t="shared" ref="P196" si="743">IF(AND(EXACT(C196,C194),C194&lt;&gt;0),P194+1,0)</f>
        <v>73</v>
      </c>
      <c r="Q196" s="189" t="str">
        <f t="shared" ref="Q196" si="744">IF(C196&lt;&gt;"",C196&amp;"-"&amp;P196,"")</f>
        <v/>
      </c>
      <c r="R196" s="189" t="str">
        <f t="array" ref="R196">IFERROR(IF(INDEX('Disaggregation Records'!$E$3:$E$66,MATCH(RIGHT(Q196,255),RIGHT('Disaggregation Records'!$D$3:$D$66,255),0))=0,"",INDEX('Disaggregation Records'!$E$3:$E$66,MATCH(RIGHT(Q196,255),RIGHT('Disaggregation Records'!$D$3:$D$66,255),0))),"")</f>
        <v/>
      </c>
      <c r="S196" s="189" t="str">
        <f t="array" ref="S196">IFERROR(IF(INDEX('Disaggregation Records'!$F$3:$F$66,MATCH(RIGHT(Q196,255),RIGHT('Disaggregation Records'!$D$3:$D$66,255),0))=0,"",INDEX('Disaggregation Records'!$F$3:$F$66,MATCH(RIGHT(Q196,255),RIGHT('Disaggregation Records'!$D$3:$D$66,255),0))),"")</f>
        <v/>
      </c>
      <c r="T196" s="189" t="str">
        <f t="array" ref="T196">IFERROR(IF(INDEX('Disaggregation Records'!$H$3:$H$66,MATCH(RIGHT(Q196,255),RIGHT('Disaggregation Records'!$D$3:$D$66,255),0))=0,"",INDEX('Disaggregation Records'!$H$3:$H$66,MATCH(RIGHT(Q196,255),RIGHT('Disaggregation Records'!$D$3:$D$66,255),0))),"")</f>
        <v/>
      </c>
      <c r="U196" s="189">
        <f t="shared" ref="U196" si="745">U194+1</f>
        <v>1276</v>
      </c>
      <c r="V196" s="189" t="str">
        <f t="array" ref="V196">IFERROR(IF(INDEX('Disaggregation Records'!$I$3:$I$66,MATCH(RIGHT(Q196,255),RIGHT('Disaggregation Records'!$D$3:$D$66,255),0))=0,"",INDEX('Disaggregation Records'!$I$3:$I$66,MATCH(RIGHT(Q196,255),RIGHT('Disaggregation Records'!$D$3:$D$66,255),0))),"")</f>
        <v/>
      </c>
      <c r="W196" s="189" t="str">
        <f>IFERROR(INDEX('Reference Records'!O$3:O$15,MATCH(LEFT(C196,255),'Reference Records'!J$3:J$15,0)),"")</f>
        <v/>
      </c>
    </row>
    <row r="197" spans="1:23" s="190" customFormat="1" ht="40.200000000000003" customHeight="1" x14ac:dyDescent="0.3">
      <c r="A197" s="678"/>
      <c r="B197" s="675">
        <v>7.4398496240601597</v>
      </c>
      <c r="C197" s="667"/>
      <c r="D197" s="677"/>
      <c r="E197" s="677"/>
      <c r="F197" s="202"/>
      <c r="G197" s="669"/>
      <c r="H197" s="671"/>
      <c r="I197" s="673"/>
      <c r="J197" s="652"/>
      <c r="K197" s="667"/>
      <c r="L197" s="667"/>
      <c r="M197" s="652"/>
      <c r="N197" s="652"/>
    </row>
    <row r="198" spans="1:23" s="189" customFormat="1" ht="40.200000000000003" customHeight="1" x14ac:dyDescent="0.3">
      <c r="A198" s="678" t="str">
        <f t="shared" ca="1" si="521"/>
        <v>a1G3p000003GJ5AEAW</v>
      </c>
      <c r="B198" s="674">
        <v>10</v>
      </c>
      <c r="C198" s="666" t="str">
        <f>IFERROR(VLOOKUP(B198,'Impact Indicators - Section B '!$A$9:$AF$52,32,FALSE),"")</f>
        <v/>
      </c>
      <c r="D198" s="676" t="str">
        <f t="shared" ref="D198" si="746">R198</f>
        <v/>
      </c>
      <c r="E198" s="676" t="str">
        <f t="shared" ref="E198" si="747">S198</f>
        <v/>
      </c>
      <c r="F198" s="194"/>
      <c r="G198" s="668" t="str">
        <f t="shared" ref="G198" ca="1" si="748">IF(OR(INDIRECT("'update Helper'!E"&amp;U198)=0,F198&lt;&gt;0,F199&lt;&gt;0),IF(IFERROR((F198/F199),"")="","",(F198/F199)),INDIRECT("'update Helper'!E"&amp;U198)/100)</f>
        <v/>
      </c>
      <c r="H198" s="670"/>
      <c r="I198" s="672"/>
      <c r="J198" s="651"/>
      <c r="K198" s="666" t="str">
        <f t="shared" ref="K198" si="749">W198</f>
        <v/>
      </c>
      <c r="L198" s="666" t="str">
        <f t="shared" ref="L198" si="750">V198</f>
        <v/>
      </c>
      <c r="M198" s="651"/>
      <c r="N198" s="651"/>
      <c r="P198" s="189">
        <f t="shared" ref="P198" si="751">IF(AND(EXACT(C198,C196),C196&lt;&gt;0),P196+1,0)</f>
        <v>74</v>
      </c>
      <c r="Q198" s="189" t="str">
        <f t="shared" ref="Q198" si="752">IF(C198&lt;&gt;"",C198&amp;"-"&amp;P198,"")</f>
        <v/>
      </c>
      <c r="R198" s="189" t="str">
        <f t="array" ref="R198">IFERROR(IF(INDEX('Disaggregation Records'!$E$3:$E$66,MATCH(RIGHT(Q198,255),RIGHT('Disaggregation Records'!$D$3:$D$66,255),0))=0,"",INDEX('Disaggregation Records'!$E$3:$E$66,MATCH(RIGHT(Q198,255),RIGHT('Disaggregation Records'!$D$3:$D$66,255),0))),"")</f>
        <v/>
      </c>
      <c r="S198" s="189" t="str">
        <f t="array" ref="S198">IFERROR(IF(INDEX('Disaggregation Records'!$F$3:$F$66,MATCH(RIGHT(Q198,255),RIGHT('Disaggregation Records'!$D$3:$D$66,255),0))=0,"",INDEX('Disaggregation Records'!$F$3:$F$66,MATCH(RIGHT(Q198,255),RIGHT('Disaggregation Records'!$D$3:$D$66,255),0))),"")</f>
        <v/>
      </c>
      <c r="T198" s="189" t="str">
        <f t="array" ref="T198">IFERROR(IF(INDEX('Disaggregation Records'!$H$3:$H$66,MATCH(RIGHT(Q198,255),RIGHT('Disaggregation Records'!$D$3:$D$66,255),0))=0,"",INDEX('Disaggregation Records'!$H$3:$H$66,MATCH(RIGHT(Q198,255),RIGHT('Disaggregation Records'!$D$3:$D$66,255),0))),"")</f>
        <v/>
      </c>
      <c r="U198" s="189">
        <f t="shared" ref="U198" si="753">U196+1</f>
        <v>1277</v>
      </c>
      <c r="V198" s="189" t="str">
        <f t="array" ref="V198">IFERROR(IF(INDEX('Disaggregation Records'!$I$3:$I$66,MATCH(RIGHT(Q198,255),RIGHT('Disaggregation Records'!$D$3:$D$66,255),0))=0,"",INDEX('Disaggregation Records'!$I$3:$I$66,MATCH(RIGHT(Q198,255),RIGHT('Disaggregation Records'!$D$3:$D$66,255),0))),"")</f>
        <v/>
      </c>
      <c r="W198" s="189" t="str">
        <f>IFERROR(INDEX('Reference Records'!O$3:O$15,MATCH(LEFT(C198,255),'Reference Records'!J$3:J$15,0)),"")</f>
        <v/>
      </c>
    </row>
    <row r="199" spans="1:23" s="190" customFormat="1" ht="40.200000000000003" customHeight="1" x14ac:dyDescent="0.3">
      <c r="A199" s="678"/>
      <c r="B199" s="675">
        <v>7.4398496240601597</v>
      </c>
      <c r="C199" s="667"/>
      <c r="D199" s="677"/>
      <c r="E199" s="677"/>
      <c r="F199" s="202"/>
      <c r="G199" s="669"/>
      <c r="H199" s="671"/>
      <c r="I199" s="673"/>
      <c r="J199" s="652"/>
      <c r="K199" s="667"/>
      <c r="L199" s="667"/>
      <c r="M199" s="652"/>
      <c r="N199" s="652"/>
    </row>
    <row r="200" spans="1:23" s="189" customFormat="1" ht="40.200000000000003" customHeight="1" x14ac:dyDescent="0.3">
      <c r="A200" s="678" t="str">
        <f t="shared" ca="1" si="521"/>
        <v>a1G3p000003GJ5BEAW</v>
      </c>
      <c r="B200" s="674">
        <v>10</v>
      </c>
      <c r="C200" s="666" t="str">
        <f>IFERROR(VLOOKUP(B200,'Impact Indicators - Section B '!$A$9:$AF$52,32,FALSE),"")</f>
        <v/>
      </c>
      <c r="D200" s="676" t="str">
        <f t="shared" ref="D200" si="754">R200</f>
        <v/>
      </c>
      <c r="E200" s="676" t="str">
        <f t="shared" ref="E200" si="755">S200</f>
        <v/>
      </c>
      <c r="F200" s="194"/>
      <c r="G200" s="668" t="str">
        <f t="shared" ref="G200" ca="1" si="756">IF(OR(INDIRECT("'update Helper'!E"&amp;U200)=0,F200&lt;&gt;0,F201&lt;&gt;0),IF(IFERROR((F200/F201),"")="","",(F200/F201)),INDIRECT("'update Helper'!E"&amp;U200)/100)</f>
        <v/>
      </c>
      <c r="H200" s="670"/>
      <c r="I200" s="672"/>
      <c r="J200" s="651"/>
      <c r="K200" s="666" t="str">
        <f t="shared" ref="K200" si="757">W200</f>
        <v/>
      </c>
      <c r="L200" s="666" t="str">
        <f t="shared" ref="L200" si="758">V200</f>
        <v/>
      </c>
      <c r="M200" s="651"/>
      <c r="N200" s="651"/>
      <c r="P200" s="189">
        <f t="shared" ref="P200" si="759">IF(AND(EXACT(C200,C198),C198&lt;&gt;0),P198+1,0)</f>
        <v>75</v>
      </c>
      <c r="Q200" s="189" t="str">
        <f t="shared" ref="Q200" si="760">IF(C200&lt;&gt;"",C200&amp;"-"&amp;P200,"")</f>
        <v/>
      </c>
      <c r="R200" s="189" t="str">
        <f t="array" ref="R200">IFERROR(IF(INDEX('Disaggregation Records'!$E$3:$E$66,MATCH(RIGHT(Q200,255),RIGHT('Disaggregation Records'!$D$3:$D$66,255),0))=0,"",INDEX('Disaggregation Records'!$E$3:$E$66,MATCH(RIGHT(Q200,255),RIGHT('Disaggregation Records'!$D$3:$D$66,255),0))),"")</f>
        <v/>
      </c>
      <c r="S200" s="189" t="str">
        <f t="array" ref="S200">IFERROR(IF(INDEX('Disaggregation Records'!$F$3:$F$66,MATCH(RIGHT(Q200,255),RIGHT('Disaggregation Records'!$D$3:$D$66,255),0))=0,"",INDEX('Disaggregation Records'!$F$3:$F$66,MATCH(RIGHT(Q200,255),RIGHT('Disaggregation Records'!$D$3:$D$66,255),0))),"")</f>
        <v/>
      </c>
      <c r="T200" s="189" t="str">
        <f t="array" ref="T200">IFERROR(IF(INDEX('Disaggregation Records'!$H$3:$H$66,MATCH(RIGHT(Q200,255),RIGHT('Disaggregation Records'!$D$3:$D$66,255),0))=0,"",INDEX('Disaggregation Records'!$H$3:$H$66,MATCH(RIGHT(Q200,255),RIGHT('Disaggregation Records'!$D$3:$D$66,255),0))),"")</f>
        <v/>
      </c>
      <c r="U200" s="189">
        <f t="shared" ref="U200" si="761">U198+1</f>
        <v>1278</v>
      </c>
      <c r="V200" s="189" t="str">
        <f t="array" ref="V200">IFERROR(IF(INDEX('Disaggregation Records'!$I$3:$I$66,MATCH(RIGHT(Q200,255),RIGHT('Disaggregation Records'!$D$3:$D$66,255),0))=0,"",INDEX('Disaggregation Records'!$I$3:$I$66,MATCH(RIGHT(Q200,255),RIGHT('Disaggregation Records'!$D$3:$D$66,255),0))),"")</f>
        <v/>
      </c>
      <c r="W200" s="189" t="str">
        <f>IFERROR(INDEX('Reference Records'!O$3:O$15,MATCH(LEFT(C200,255),'Reference Records'!J$3:J$15,0)),"")</f>
        <v/>
      </c>
    </row>
    <row r="201" spans="1:23" s="189" customFormat="1" ht="40.200000000000003" customHeight="1" x14ac:dyDescent="0.3">
      <c r="A201" s="678"/>
      <c r="B201" s="675">
        <v>7.4398496240601597</v>
      </c>
      <c r="C201" s="667"/>
      <c r="D201" s="677"/>
      <c r="E201" s="677"/>
      <c r="F201" s="202"/>
      <c r="G201" s="669"/>
      <c r="H201" s="671"/>
      <c r="I201" s="673"/>
      <c r="J201" s="652"/>
      <c r="K201" s="667"/>
      <c r="L201" s="667"/>
      <c r="M201" s="652"/>
      <c r="N201" s="652"/>
      <c r="P201" s="190"/>
      <c r="Q201" s="190"/>
      <c r="R201" s="190"/>
      <c r="S201" s="190"/>
      <c r="T201" s="190"/>
      <c r="U201" s="190"/>
      <c r="V201" s="190"/>
      <c r="W201" s="190"/>
    </row>
    <row r="202" spans="1:23" s="189" customFormat="1" ht="40.200000000000003" customHeight="1" x14ac:dyDescent="0.3">
      <c r="A202" s="678" t="str">
        <f t="shared" ca="1" si="521"/>
        <v>a1G3p000003GJ5CEAW</v>
      </c>
      <c r="B202" s="674">
        <v>10</v>
      </c>
      <c r="C202" s="666" t="str">
        <f>IFERROR(VLOOKUP(B202,'Impact Indicators - Section B '!$A$9:$AF$52,32,FALSE),"")</f>
        <v/>
      </c>
      <c r="D202" s="676" t="str">
        <f t="shared" ref="D202" si="762">R202</f>
        <v/>
      </c>
      <c r="E202" s="676" t="str">
        <f t="shared" ref="E202" si="763">S202</f>
        <v/>
      </c>
      <c r="F202" s="194"/>
      <c r="G202" s="668" t="str">
        <f t="shared" ref="G202" ca="1" si="764">IF(OR(INDIRECT("'update Helper'!E"&amp;U202)=0,F202&lt;&gt;0,F203&lt;&gt;0),IF(IFERROR((F202/F203),"")="","",(F202/F203)),INDIRECT("'update Helper'!E"&amp;U202)/100)</f>
        <v/>
      </c>
      <c r="H202" s="670"/>
      <c r="I202" s="672"/>
      <c r="J202" s="651"/>
      <c r="K202" s="666" t="str">
        <f t="shared" ref="K202" si="765">W202</f>
        <v/>
      </c>
      <c r="L202" s="666" t="str">
        <f t="shared" ref="L202" si="766">V202</f>
        <v/>
      </c>
      <c r="M202" s="651"/>
      <c r="N202" s="651"/>
      <c r="P202" s="189">
        <f t="shared" ref="P202" si="767">IF(AND(EXACT(C202,C200),C200&lt;&gt;0),P200+1,0)</f>
        <v>76</v>
      </c>
      <c r="Q202" s="189" t="str">
        <f t="shared" ref="Q202" si="768">IF(C202&lt;&gt;"",C202&amp;"-"&amp;P202,"")</f>
        <v/>
      </c>
      <c r="R202" s="189" t="str">
        <f t="array" ref="R202">IFERROR(IF(INDEX('Disaggregation Records'!$E$3:$E$66,MATCH(RIGHT(Q202,255),RIGHT('Disaggregation Records'!$D$3:$D$66,255),0))=0,"",INDEX('Disaggregation Records'!$E$3:$E$66,MATCH(RIGHT(Q202,255),RIGHT('Disaggregation Records'!$D$3:$D$66,255),0))),"")</f>
        <v/>
      </c>
      <c r="S202" s="189" t="str">
        <f t="array" ref="S202">IFERROR(IF(INDEX('Disaggregation Records'!$F$3:$F$66,MATCH(RIGHT(Q202,255),RIGHT('Disaggregation Records'!$D$3:$D$66,255),0))=0,"",INDEX('Disaggregation Records'!$F$3:$F$66,MATCH(RIGHT(Q202,255),RIGHT('Disaggregation Records'!$D$3:$D$66,255),0))),"")</f>
        <v/>
      </c>
      <c r="T202" s="189" t="str">
        <f t="array" ref="T202">IFERROR(IF(INDEX('Disaggregation Records'!$H$3:$H$66,MATCH(RIGHT(Q202,255),RIGHT('Disaggregation Records'!$D$3:$D$66,255),0))=0,"",INDEX('Disaggregation Records'!$H$3:$H$66,MATCH(RIGHT(Q202,255),RIGHT('Disaggregation Records'!$D$3:$D$66,255),0))),"")</f>
        <v/>
      </c>
      <c r="U202" s="189">
        <f t="shared" ref="U202" si="769">U200+1</f>
        <v>1279</v>
      </c>
      <c r="V202" s="189" t="str">
        <f t="array" ref="V202">IFERROR(IF(INDEX('Disaggregation Records'!$I$3:$I$66,MATCH(RIGHT(Q202,255),RIGHT('Disaggregation Records'!$D$3:$D$66,255),0))=0,"",INDEX('Disaggregation Records'!$I$3:$I$66,MATCH(RIGHT(Q202,255),RIGHT('Disaggregation Records'!$D$3:$D$66,255),0))),"")</f>
        <v/>
      </c>
      <c r="W202" s="189" t="str">
        <f>IFERROR(INDEX('Reference Records'!O$3:O$15,MATCH(LEFT(C202,255),'Reference Records'!J$3:J$15,0)),"")</f>
        <v/>
      </c>
    </row>
    <row r="203" spans="1:23" s="190" customFormat="1" ht="40.200000000000003" customHeight="1" x14ac:dyDescent="0.3">
      <c r="A203" s="678"/>
      <c r="B203" s="675">
        <v>7.4398496240601597</v>
      </c>
      <c r="C203" s="667"/>
      <c r="D203" s="677"/>
      <c r="E203" s="677"/>
      <c r="F203" s="202"/>
      <c r="G203" s="669"/>
      <c r="H203" s="671"/>
      <c r="I203" s="673"/>
      <c r="J203" s="652"/>
      <c r="K203" s="667"/>
      <c r="L203" s="667"/>
      <c r="M203" s="652"/>
      <c r="N203" s="652"/>
    </row>
    <row r="204" spans="1:23" s="189" customFormat="1" ht="40.200000000000003" customHeight="1" x14ac:dyDescent="0.3">
      <c r="A204" s="678" t="str">
        <f t="shared" ca="1" si="521"/>
        <v>a1G3p000003GJ5DEAW</v>
      </c>
      <c r="B204" s="674">
        <v>10</v>
      </c>
      <c r="C204" s="666" t="str">
        <f>IFERROR(VLOOKUP(B204,'Impact Indicators - Section B '!$A$9:$AF$52,32,FALSE),"")</f>
        <v/>
      </c>
      <c r="D204" s="676" t="str">
        <f t="shared" ref="D204" si="770">R204</f>
        <v/>
      </c>
      <c r="E204" s="676" t="str">
        <f t="shared" ref="E204" si="771">S204</f>
        <v/>
      </c>
      <c r="F204" s="194"/>
      <c r="G204" s="668" t="str">
        <f t="shared" ref="G204" ca="1" si="772">IF(OR(INDIRECT("'update Helper'!E"&amp;U204)=0,F204&lt;&gt;0,F205&lt;&gt;0),IF(IFERROR((F204/F205),"")="","",(F204/F205)),INDIRECT("'update Helper'!E"&amp;U204)/100)</f>
        <v/>
      </c>
      <c r="H204" s="670"/>
      <c r="I204" s="672"/>
      <c r="J204" s="651"/>
      <c r="K204" s="666" t="str">
        <f t="shared" ref="K204" si="773">W204</f>
        <v/>
      </c>
      <c r="L204" s="666" t="str">
        <f t="shared" ref="L204" si="774">V204</f>
        <v/>
      </c>
      <c r="M204" s="651"/>
      <c r="N204" s="651"/>
      <c r="P204" s="189">
        <f t="shared" ref="P204" si="775">IF(AND(EXACT(C204,C202),C202&lt;&gt;0),P202+1,0)</f>
        <v>77</v>
      </c>
      <c r="Q204" s="189" t="str">
        <f t="shared" ref="Q204" si="776">IF(C204&lt;&gt;"",C204&amp;"-"&amp;P204,"")</f>
        <v/>
      </c>
      <c r="R204" s="189" t="str">
        <f t="array" ref="R204">IFERROR(IF(INDEX('Disaggregation Records'!$E$3:$E$66,MATCH(RIGHT(Q204,255),RIGHT('Disaggregation Records'!$D$3:$D$66,255),0))=0,"",INDEX('Disaggregation Records'!$E$3:$E$66,MATCH(RIGHT(Q204,255),RIGHT('Disaggregation Records'!$D$3:$D$66,255),0))),"")</f>
        <v/>
      </c>
      <c r="S204" s="189" t="str">
        <f t="array" ref="S204">IFERROR(IF(INDEX('Disaggregation Records'!$F$3:$F$66,MATCH(RIGHT(Q204,255),RIGHT('Disaggregation Records'!$D$3:$D$66,255),0))=0,"",INDEX('Disaggregation Records'!$F$3:$F$66,MATCH(RIGHT(Q204,255),RIGHT('Disaggregation Records'!$D$3:$D$66,255),0))),"")</f>
        <v/>
      </c>
      <c r="T204" s="189" t="str">
        <f t="array" ref="T204">IFERROR(IF(INDEX('Disaggregation Records'!$H$3:$H$66,MATCH(RIGHT(Q204,255),RIGHT('Disaggregation Records'!$D$3:$D$66,255),0))=0,"",INDEX('Disaggregation Records'!$H$3:$H$66,MATCH(RIGHT(Q204,255),RIGHT('Disaggregation Records'!$D$3:$D$66,255),0))),"")</f>
        <v/>
      </c>
      <c r="U204" s="189">
        <f t="shared" ref="U204" si="777">U202+1</f>
        <v>1280</v>
      </c>
      <c r="V204" s="189" t="str">
        <f t="array" ref="V204">IFERROR(IF(INDEX('Disaggregation Records'!$I$3:$I$66,MATCH(RIGHT(Q204,255),RIGHT('Disaggregation Records'!$D$3:$D$66,255),0))=0,"",INDEX('Disaggregation Records'!$I$3:$I$66,MATCH(RIGHT(Q204,255),RIGHT('Disaggregation Records'!$D$3:$D$66,255),0))),"")</f>
        <v/>
      </c>
      <c r="W204" s="189" t="str">
        <f>IFERROR(INDEX('Reference Records'!O$3:O$15,MATCH(LEFT(C204,255),'Reference Records'!J$3:J$15,0)),"")</f>
        <v/>
      </c>
    </row>
    <row r="205" spans="1:23" s="190" customFormat="1" ht="40.200000000000003" customHeight="1" x14ac:dyDescent="0.3">
      <c r="A205" s="678"/>
      <c r="B205" s="675">
        <v>7.4398496240601597</v>
      </c>
      <c r="C205" s="667"/>
      <c r="D205" s="677"/>
      <c r="E205" s="677"/>
      <c r="F205" s="202"/>
      <c r="G205" s="669"/>
      <c r="H205" s="671"/>
      <c r="I205" s="673"/>
      <c r="J205" s="652"/>
      <c r="K205" s="667"/>
      <c r="L205" s="667"/>
      <c r="M205" s="652"/>
      <c r="N205" s="652"/>
    </row>
    <row r="206" spans="1:23" s="189" customFormat="1" ht="40.200000000000003" customHeight="1" x14ac:dyDescent="0.3">
      <c r="A206" s="678" t="str">
        <f t="shared" ref="A206:A268" ca="1" si="778">INDIRECT("'update Helper'!C"&amp;U206)</f>
        <v>a1G3p000003GJ5EEAW</v>
      </c>
      <c r="B206" s="674">
        <v>10</v>
      </c>
      <c r="C206" s="666" t="str">
        <f>IFERROR(VLOOKUP(B206,'Impact Indicators - Section B '!$A$9:$AF$52,32,FALSE),"")</f>
        <v/>
      </c>
      <c r="D206" s="676" t="str">
        <f t="shared" ref="D206" si="779">R206</f>
        <v/>
      </c>
      <c r="E206" s="676" t="str">
        <f t="shared" ref="E206" si="780">S206</f>
        <v/>
      </c>
      <c r="F206" s="194"/>
      <c r="G206" s="668" t="str">
        <f t="shared" ref="G206" ca="1" si="781">IF(OR(INDIRECT("'update Helper'!E"&amp;U206)=0,F206&lt;&gt;0,F207&lt;&gt;0),IF(IFERROR((F206/F207),"")="","",(F206/F207)),INDIRECT("'update Helper'!E"&amp;U206)/100)</f>
        <v/>
      </c>
      <c r="H206" s="670"/>
      <c r="I206" s="672"/>
      <c r="J206" s="651"/>
      <c r="K206" s="666" t="str">
        <f t="shared" ref="K206" si="782">W206</f>
        <v/>
      </c>
      <c r="L206" s="666" t="str">
        <f t="shared" ref="L206" si="783">V206</f>
        <v/>
      </c>
      <c r="M206" s="651"/>
      <c r="N206" s="651"/>
      <c r="P206" s="189">
        <f t="shared" ref="P206" si="784">IF(AND(EXACT(C206,C204),C204&lt;&gt;0),P204+1,0)</f>
        <v>78</v>
      </c>
      <c r="Q206" s="189" t="str">
        <f t="shared" ref="Q206" si="785">IF(C206&lt;&gt;"",C206&amp;"-"&amp;P206,"")</f>
        <v/>
      </c>
      <c r="R206" s="189" t="str">
        <f t="array" ref="R206">IFERROR(IF(INDEX('Disaggregation Records'!$E$3:$E$66,MATCH(RIGHT(Q206,255),RIGHT('Disaggregation Records'!$D$3:$D$66,255),0))=0,"",INDEX('Disaggregation Records'!$E$3:$E$66,MATCH(RIGHT(Q206,255),RIGHT('Disaggregation Records'!$D$3:$D$66,255),0))),"")</f>
        <v/>
      </c>
      <c r="S206" s="189" t="str">
        <f t="array" ref="S206">IFERROR(IF(INDEX('Disaggregation Records'!$F$3:$F$66,MATCH(RIGHT(Q206,255),RIGHT('Disaggregation Records'!$D$3:$D$66,255),0))=0,"",INDEX('Disaggregation Records'!$F$3:$F$66,MATCH(RIGHT(Q206,255),RIGHT('Disaggregation Records'!$D$3:$D$66,255),0))),"")</f>
        <v/>
      </c>
      <c r="T206" s="189" t="str">
        <f t="array" ref="T206">IFERROR(IF(INDEX('Disaggregation Records'!$H$3:$H$66,MATCH(RIGHT(Q206,255),RIGHT('Disaggregation Records'!$D$3:$D$66,255),0))=0,"",INDEX('Disaggregation Records'!$H$3:$H$66,MATCH(RIGHT(Q206,255),RIGHT('Disaggregation Records'!$D$3:$D$66,255),0))),"")</f>
        <v/>
      </c>
      <c r="U206" s="189">
        <f t="shared" ref="U206" si="786">U204+1</f>
        <v>1281</v>
      </c>
      <c r="V206" s="189" t="str">
        <f t="array" ref="V206">IFERROR(IF(INDEX('Disaggregation Records'!$I$3:$I$66,MATCH(RIGHT(Q206,255),RIGHT('Disaggregation Records'!$D$3:$D$66,255),0))=0,"",INDEX('Disaggregation Records'!$I$3:$I$66,MATCH(RIGHT(Q206,255),RIGHT('Disaggregation Records'!$D$3:$D$66,255),0))),"")</f>
        <v/>
      </c>
      <c r="W206" s="189" t="str">
        <f>IFERROR(INDEX('Reference Records'!O$3:O$15,MATCH(LEFT(C206,255),'Reference Records'!J$3:J$15,0)),"")</f>
        <v/>
      </c>
    </row>
    <row r="207" spans="1:23" s="189" customFormat="1" ht="40.200000000000003" customHeight="1" x14ac:dyDescent="0.3">
      <c r="A207" s="678"/>
      <c r="B207" s="675">
        <v>7.4398496240601597</v>
      </c>
      <c r="C207" s="667"/>
      <c r="D207" s="677"/>
      <c r="E207" s="677"/>
      <c r="F207" s="202"/>
      <c r="G207" s="669"/>
      <c r="H207" s="671"/>
      <c r="I207" s="673"/>
      <c r="J207" s="652"/>
      <c r="K207" s="667"/>
      <c r="L207" s="667"/>
      <c r="M207" s="652"/>
      <c r="N207" s="652"/>
      <c r="P207" s="190"/>
      <c r="Q207" s="190"/>
      <c r="R207" s="190"/>
      <c r="S207" s="190"/>
      <c r="T207" s="190"/>
      <c r="U207" s="190"/>
      <c r="V207" s="190"/>
      <c r="W207" s="190"/>
    </row>
    <row r="208" spans="1:23" s="189" customFormat="1" ht="40.200000000000003" customHeight="1" x14ac:dyDescent="0.3">
      <c r="A208" s="678" t="str">
        <f t="shared" ca="1" si="778"/>
        <v>a1G3p000003GJ5FEAW</v>
      </c>
      <c r="B208" s="674">
        <v>10</v>
      </c>
      <c r="C208" s="666" t="str">
        <f>IFERROR(VLOOKUP(B208,'Impact Indicators - Section B '!$A$9:$AF$52,32,FALSE),"")</f>
        <v/>
      </c>
      <c r="D208" s="676" t="str">
        <f t="shared" ref="D208" si="787">R208</f>
        <v/>
      </c>
      <c r="E208" s="676" t="str">
        <f t="shared" ref="E208" si="788">S208</f>
        <v/>
      </c>
      <c r="F208" s="194"/>
      <c r="G208" s="668" t="str">
        <f t="shared" ref="G208" ca="1" si="789">IF(OR(INDIRECT("'update Helper'!E"&amp;U208)=0,F208&lt;&gt;0,F209&lt;&gt;0),IF(IFERROR((F208/F209),"")="","",(F208/F209)),INDIRECT("'update Helper'!E"&amp;U208)/100)</f>
        <v/>
      </c>
      <c r="H208" s="670"/>
      <c r="I208" s="672"/>
      <c r="J208" s="651"/>
      <c r="K208" s="666" t="str">
        <f t="shared" ref="K208" si="790">W208</f>
        <v/>
      </c>
      <c r="L208" s="666" t="str">
        <f t="shared" ref="L208" si="791">V208</f>
        <v/>
      </c>
      <c r="M208" s="651"/>
      <c r="N208" s="651"/>
      <c r="P208" s="189">
        <f t="shared" ref="P208" si="792">IF(AND(EXACT(C208,C206),C206&lt;&gt;0),P206+1,0)</f>
        <v>79</v>
      </c>
      <c r="Q208" s="189" t="str">
        <f t="shared" ref="Q208" si="793">IF(C208&lt;&gt;"",C208&amp;"-"&amp;P208,"")</f>
        <v/>
      </c>
      <c r="R208" s="189" t="str">
        <f t="array" ref="R208">IFERROR(IF(INDEX('Disaggregation Records'!$E$3:$E$66,MATCH(RIGHT(Q208,255),RIGHT('Disaggregation Records'!$D$3:$D$66,255),0))=0,"",INDEX('Disaggregation Records'!$E$3:$E$66,MATCH(RIGHT(Q208,255),RIGHT('Disaggregation Records'!$D$3:$D$66,255),0))),"")</f>
        <v/>
      </c>
      <c r="S208" s="189" t="str">
        <f t="array" ref="S208">IFERROR(IF(INDEX('Disaggregation Records'!$F$3:$F$66,MATCH(RIGHT(Q208,255),RIGHT('Disaggregation Records'!$D$3:$D$66,255),0))=0,"",INDEX('Disaggregation Records'!$F$3:$F$66,MATCH(RIGHT(Q208,255),RIGHT('Disaggregation Records'!$D$3:$D$66,255),0))),"")</f>
        <v/>
      </c>
      <c r="T208" s="189" t="str">
        <f t="array" ref="T208">IFERROR(IF(INDEX('Disaggregation Records'!$H$3:$H$66,MATCH(RIGHT(Q208,255),RIGHT('Disaggregation Records'!$D$3:$D$66,255),0))=0,"",INDEX('Disaggregation Records'!$H$3:$H$66,MATCH(RIGHT(Q208,255),RIGHT('Disaggregation Records'!$D$3:$D$66,255),0))),"")</f>
        <v/>
      </c>
      <c r="U208" s="189">
        <f t="shared" ref="U208" si="794">U206+1</f>
        <v>1282</v>
      </c>
      <c r="V208" s="189" t="str">
        <f t="array" ref="V208">IFERROR(IF(INDEX('Disaggregation Records'!$I$3:$I$66,MATCH(RIGHT(Q208,255),RIGHT('Disaggregation Records'!$D$3:$D$66,255),0))=0,"",INDEX('Disaggregation Records'!$I$3:$I$66,MATCH(RIGHT(Q208,255),RIGHT('Disaggregation Records'!$D$3:$D$66,255),0))),"")</f>
        <v/>
      </c>
      <c r="W208" s="189" t="str">
        <f>IFERROR(INDEX('Reference Records'!O$3:O$15,MATCH(LEFT(C208,255),'Reference Records'!J$3:J$15,0)),"")</f>
        <v/>
      </c>
    </row>
    <row r="209" spans="1:23" s="189" customFormat="1" ht="40.200000000000003" customHeight="1" x14ac:dyDescent="0.3">
      <c r="A209" s="678"/>
      <c r="B209" s="675">
        <v>7.4398496240601597</v>
      </c>
      <c r="C209" s="667"/>
      <c r="D209" s="677"/>
      <c r="E209" s="677"/>
      <c r="F209" s="202"/>
      <c r="G209" s="669"/>
      <c r="H209" s="671"/>
      <c r="I209" s="673"/>
      <c r="J209" s="652"/>
      <c r="K209" s="667"/>
      <c r="L209" s="667"/>
      <c r="M209" s="652"/>
      <c r="N209" s="652"/>
      <c r="P209" s="190"/>
      <c r="Q209" s="190"/>
      <c r="R209" s="190"/>
      <c r="S209" s="190"/>
      <c r="T209" s="190"/>
      <c r="U209" s="190"/>
      <c r="V209" s="190"/>
      <c r="W209" s="190"/>
    </row>
    <row r="210" spans="1:23" s="189" customFormat="1" ht="40.200000000000003" customHeight="1" x14ac:dyDescent="0.3">
      <c r="A210" s="678" t="str">
        <f t="shared" ca="1" si="778"/>
        <v>a1G3p000003GJ5GEAW</v>
      </c>
      <c r="B210" s="674">
        <v>11</v>
      </c>
      <c r="C210" s="666" t="str">
        <f>IFERROR(VLOOKUP(B210,'Impact Indicators - Section B '!$A$9:$AF$52,32,FALSE),"")</f>
        <v/>
      </c>
      <c r="D210" s="676" t="str">
        <f t="shared" ref="D210" si="795">R210</f>
        <v/>
      </c>
      <c r="E210" s="676" t="str">
        <f t="shared" ref="E210" si="796">S210</f>
        <v/>
      </c>
      <c r="F210" s="194"/>
      <c r="G210" s="668" t="str">
        <f t="shared" ref="G210" ca="1" si="797">IF(OR(INDIRECT("'update Helper'!E"&amp;U210)=0,F210&lt;&gt;0,F211&lt;&gt;0),IF(IFERROR((F210/F211),"")="","",(F210/F211)),INDIRECT("'update Helper'!E"&amp;U210)/100)</f>
        <v/>
      </c>
      <c r="H210" s="670"/>
      <c r="I210" s="672"/>
      <c r="J210" s="651"/>
      <c r="K210" s="666" t="str">
        <f t="shared" ref="K210" si="798">W210</f>
        <v/>
      </c>
      <c r="L210" s="666" t="str">
        <f t="shared" ref="L210" si="799">V210</f>
        <v/>
      </c>
      <c r="M210" s="651"/>
      <c r="N210" s="651"/>
      <c r="P210" s="189">
        <f t="shared" ref="P210" si="800">IF(AND(EXACT(C210,C208),C208&lt;&gt;0),P208+1,0)</f>
        <v>80</v>
      </c>
      <c r="Q210" s="189" t="str">
        <f t="shared" ref="Q210" si="801">IF(C210&lt;&gt;"",C210&amp;"-"&amp;P210,"")</f>
        <v/>
      </c>
      <c r="R210" s="189" t="str">
        <f t="array" ref="R210">IFERROR(IF(INDEX('Disaggregation Records'!$E$3:$E$66,MATCH(RIGHT(Q210,255),RIGHT('Disaggregation Records'!$D$3:$D$66,255),0))=0,"",INDEX('Disaggregation Records'!$E$3:$E$66,MATCH(RIGHT(Q210,255),RIGHT('Disaggregation Records'!$D$3:$D$66,255),0))),"")</f>
        <v/>
      </c>
      <c r="S210" s="189" t="str">
        <f t="array" ref="S210">IFERROR(IF(INDEX('Disaggregation Records'!$F$3:$F$66,MATCH(RIGHT(Q210,255),RIGHT('Disaggregation Records'!$D$3:$D$66,255),0))=0,"",INDEX('Disaggregation Records'!$F$3:$F$66,MATCH(RIGHT(Q210,255),RIGHT('Disaggregation Records'!$D$3:$D$66,255),0))),"")</f>
        <v/>
      </c>
      <c r="T210" s="189" t="str">
        <f t="array" ref="T210">IFERROR(IF(INDEX('Disaggregation Records'!$H$3:$H$66,MATCH(RIGHT(Q210,255),RIGHT('Disaggregation Records'!$D$3:$D$66,255),0))=0,"",INDEX('Disaggregation Records'!$H$3:$H$66,MATCH(RIGHT(Q210,255),RIGHT('Disaggregation Records'!$D$3:$D$66,255),0))),"")</f>
        <v/>
      </c>
      <c r="U210" s="189">
        <f t="shared" ref="U210" si="802">U208+1</f>
        <v>1283</v>
      </c>
      <c r="V210" s="189" t="str">
        <f t="array" ref="V210">IFERROR(IF(INDEX('Disaggregation Records'!$I$3:$I$66,MATCH(RIGHT(Q210,255),RIGHT('Disaggregation Records'!$D$3:$D$66,255),0))=0,"",INDEX('Disaggregation Records'!$I$3:$I$66,MATCH(RIGHT(Q210,255),RIGHT('Disaggregation Records'!$D$3:$D$66,255),0))),"")</f>
        <v/>
      </c>
      <c r="W210" s="189" t="str">
        <f>IFERROR(INDEX('Reference Records'!O$3:O$15,MATCH(LEFT(C210,255),'Reference Records'!J$3:J$15,0)),"")</f>
        <v/>
      </c>
    </row>
    <row r="211" spans="1:23" s="190" customFormat="1" ht="40.200000000000003" customHeight="1" x14ac:dyDescent="0.3">
      <c r="A211" s="678"/>
      <c r="B211" s="675">
        <v>8.1541353383458706</v>
      </c>
      <c r="C211" s="667"/>
      <c r="D211" s="677"/>
      <c r="E211" s="677"/>
      <c r="F211" s="202"/>
      <c r="G211" s="669"/>
      <c r="H211" s="671"/>
      <c r="I211" s="673"/>
      <c r="J211" s="652"/>
      <c r="K211" s="667"/>
      <c r="L211" s="667"/>
      <c r="M211" s="652"/>
      <c r="N211" s="652"/>
    </row>
    <row r="212" spans="1:23" s="189" customFormat="1" ht="40.200000000000003" customHeight="1" x14ac:dyDescent="0.3">
      <c r="A212" s="678" t="str">
        <f t="shared" ca="1" si="778"/>
        <v>a1G3p000003GJ5HEAW</v>
      </c>
      <c r="B212" s="674">
        <v>11</v>
      </c>
      <c r="C212" s="666" t="str">
        <f>IFERROR(VLOOKUP(B212,'Impact Indicators - Section B '!$A$9:$AF$52,32,FALSE),"")</f>
        <v/>
      </c>
      <c r="D212" s="676" t="str">
        <f t="shared" ref="D212" si="803">R212</f>
        <v/>
      </c>
      <c r="E212" s="676" t="str">
        <f t="shared" ref="E212" si="804">S212</f>
        <v/>
      </c>
      <c r="F212" s="194"/>
      <c r="G212" s="668" t="str">
        <f t="shared" ref="G212" ca="1" si="805">IF(OR(INDIRECT("'update Helper'!E"&amp;U212)=0,F212&lt;&gt;0,F213&lt;&gt;0),IF(IFERROR((F212/F213),"")="","",(F212/F213)),INDIRECT("'update Helper'!E"&amp;U212)/100)</f>
        <v/>
      </c>
      <c r="H212" s="670"/>
      <c r="I212" s="672"/>
      <c r="J212" s="651"/>
      <c r="K212" s="666" t="str">
        <f t="shared" ref="K212" si="806">W212</f>
        <v/>
      </c>
      <c r="L212" s="666" t="str">
        <f t="shared" ref="L212" si="807">V212</f>
        <v/>
      </c>
      <c r="M212" s="651"/>
      <c r="N212" s="651"/>
      <c r="P212" s="189">
        <f t="shared" ref="P212" si="808">IF(AND(EXACT(C212,C210),C210&lt;&gt;0),P210+1,0)</f>
        <v>81</v>
      </c>
      <c r="Q212" s="189" t="str">
        <f t="shared" ref="Q212" si="809">IF(C212&lt;&gt;"",C212&amp;"-"&amp;P212,"")</f>
        <v/>
      </c>
      <c r="R212" s="189" t="str">
        <f t="array" ref="R212">IFERROR(IF(INDEX('Disaggregation Records'!$E$3:$E$66,MATCH(RIGHT(Q212,255),RIGHT('Disaggregation Records'!$D$3:$D$66,255),0))=0,"",INDEX('Disaggregation Records'!$E$3:$E$66,MATCH(RIGHT(Q212,255),RIGHT('Disaggregation Records'!$D$3:$D$66,255),0))),"")</f>
        <v/>
      </c>
      <c r="S212" s="189" t="str">
        <f t="array" ref="S212">IFERROR(IF(INDEX('Disaggregation Records'!$F$3:$F$66,MATCH(RIGHT(Q212,255),RIGHT('Disaggregation Records'!$D$3:$D$66,255),0))=0,"",INDEX('Disaggregation Records'!$F$3:$F$66,MATCH(RIGHT(Q212,255),RIGHT('Disaggregation Records'!$D$3:$D$66,255),0))),"")</f>
        <v/>
      </c>
      <c r="T212" s="189" t="str">
        <f t="array" ref="T212">IFERROR(IF(INDEX('Disaggregation Records'!$H$3:$H$66,MATCH(RIGHT(Q212,255),RIGHT('Disaggregation Records'!$D$3:$D$66,255),0))=0,"",INDEX('Disaggregation Records'!$H$3:$H$66,MATCH(RIGHT(Q212,255),RIGHT('Disaggregation Records'!$D$3:$D$66,255),0))),"")</f>
        <v/>
      </c>
      <c r="U212" s="189">
        <f t="shared" ref="U212" si="810">U210+1</f>
        <v>1284</v>
      </c>
      <c r="V212" s="189" t="str">
        <f t="array" ref="V212">IFERROR(IF(INDEX('Disaggregation Records'!$I$3:$I$66,MATCH(RIGHT(Q212,255),RIGHT('Disaggregation Records'!$D$3:$D$66,255),0))=0,"",INDEX('Disaggregation Records'!$I$3:$I$66,MATCH(RIGHT(Q212,255),RIGHT('Disaggregation Records'!$D$3:$D$66,255),0))),"")</f>
        <v/>
      </c>
      <c r="W212" s="189" t="str">
        <f>IFERROR(INDEX('Reference Records'!O$3:O$15,MATCH(LEFT(C212,255),'Reference Records'!J$3:J$15,0)),"")</f>
        <v/>
      </c>
    </row>
    <row r="213" spans="1:23" s="190" customFormat="1" ht="40.200000000000003" customHeight="1" x14ac:dyDescent="0.3">
      <c r="A213" s="678"/>
      <c r="B213" s="675">
        <v>8.1541353383458706</v>
      </c>
      <c r="C213" s="667"/>
      <c r="D213" s="677"/>
      <c r="E213" s="677"/>
      <c r="F213" s="202"/>
      <c r="G213" s="669"/>
      <c r="H213" s="671"/>
      <c r="I213" s="673"/>
      <c r="J213" s="652"/>
      <c r="K213" s="667"/>
      <c r="L213" s="667"/>
      <c r="M213" s="652"/>
      <c r="N213" s="652"/>
    </row>
    <row r="214" spans="1:23" s="189" customFormat="1" ht="40.200000000000003" customHeight="1" x14ac:dyDescent="0.3">
      <c r="A214" s="678" t="str">
        <f t="shared" ca="1" si="778"/>
        <v>a1G3p000003GJ5IEAW</v>
      </c>
      <c r="B214" s="674">
        <v>11</v>
      </c>
      <c r="C214" s="666" t="str">
        <f>IFERROR(VLOOKUP(B214,'Impact Indicators - Section B '!$A$9:$AF$52,32,FALSE),"")</f>
        <v/>
      </c>
      <c r="D214" s="676" t="str">
        <f t="shared" ref="D214" si="811">R214</f>
        <v/>
      </c>
      <c r="E214" s="676" t="str">
        <f t="shared" ref="E214" si="812">S214</f>
        <v/>
      </c>
      <c r="F214" s="194"/>
      <c r="G214" s="668" t="str">
        <f t="shared" ref="G214" ca="1" si="813">IF(OR(INDIRECT("'update Helper'!E"&amp;U214)=0,F214&lt;&gt;0,F215&lt;&gt;0),IF(IFERROR((F214/F215),"")="","",(F214/F215)),INDIRECT("'update Helper'!E"&amp;U214)/100)</f>
        <v/>
      </c>
      <c r="H214" s="670"/>
      <c r="I214" s="672"/>
      <c r="J214" s="651"/>
      <c r="K214" s="666" t="str">
        <f t="shared" ref="K214" si="814">W214</f>
        <v/>
      </c>
      <c r="L214" s="666" t="str">
        <f t="shared" ref="L214" si="815">V214</f>
        <v/>
      </c>
      <c r="M214" s="651"/>
      <c r="N214" s="651"/>
      <c r="P214" s="189">
        <f t="shared" ref="P214" si="816">IF(AND(EXACT(C214,C212),C212&lt;&gt;0),P212+1,0)</f>
        <v>82</v>
      </c>
      <c r="Q214" s="189" t="str">
        <f t="shared" ref="Q214" si="817">IF(C214&lt;&gt;"",C214&amp;"-"&amp;P214,"")</f>
        <v/>
      </c>
      <c r="R214" s="189" t="str">
        <f t="array" ref="R214">IFERROR(IF(INDEX('Disaggregation Records'!$E$3:$E$66,MATCH(RIGHT(Q214,255),RIGHT('Disaggregation Records'!$D$3:$D$66,255),0))=0,"",INDEX('Disaggregation Records'!$E$3:$E$66,MATCH(RIGHT(Q214,255),RIGHT('Disaggregation Records'!$D$3:$D$66,255),0))),"")</f>
        <v/>
      </c>
      <c r="S214" s="189" t="str">
        <f t="array" ref="S214">IFERROR(IF(INDEX('Disaggregation Records'!$F$3:$F$66,MATCH(RIGHT(Q214,255),RIGHT('Disaggregation Records'!$D$3:$D$66,255),0))=0,"",INDEX('Disaggregation Records'!$F$3:$F$66,MATCH(RIGHT(Q214,255),RIGHT('Disaggregation Records'!$D$3:$D$66,255),0))),"")</f>
        <v/>
      </c>
      <c r="T214" s="189" t="str">
        <f t="array" ref="T214">IFERROR(IF(INDEX('Disaggregation Records'!$H$3:$H$66,MATCH(RIGHT(Q214,255),RIGHT('Disaggregation Records'!$D$3:$D$66,255),0))=0,"",INDEX('Disaggregation Records'!$H$3:$H$66,MATCH(RIGHT(Q214,255),RIGHT('Disaggregation Records'!$D$3:$D$66,255),0))),"")</f>
        <v/>
      </c>
      <c r="U214" s="189">
        <f t="shared" ref="U214" si="818">U212+1</f>
        <v>1285</v>
      </c>
      <c r="V214" s="189" t="str">
        <f t="array" ref="V214">IFERROR(IF(INDEX('Disaggregation Records'!$I$3:$I$66,MATCH(RIGHT(Q214,255),RIGHT('Disaggregation Records'!$D$3:$D$66,255),0))=0,"",INDEX('Disaggregation Records'!$I$3:$I$66,MATCH(RIGHT(Q214,255),RIGHT('Disaggregation Records'!$D$3:$D$66,255),0))),"")</f>
        <v/>
      </c>
      <c r="W214" s="189" t="str">
        <f>IFERROR(INDEX('Reference Records'!O$3:O$15,MATCH(LEFT(C214,255),'Reference Records'!J$3:J$15,0)),"")</f>
        <v/>
      </c>
    </row>
    <row r="215" spans="1:23" s="189" customFormat="1" ht="40.200000000000003" customHeight="1" x14ac:dyDescent="0.3">
      <c r="A215" s="678"/>
      <c r="B215" s="675">
        <v>8.1541353383458706</v>
      </c>
      <c r="C215" s="667"/>
      <c r="D215" s="677"/>
      <c r="E215" s="677"/>
      <c r="F215" s="202"/>
      <c r="G215" s="669"/>
      <c r="H215" s="671"/>
      <c r="I215" s="673"/>
      <c r="J215" s="652"/>
      <c r="K215" s="667"/>
      <c r="L215" s="667"/>
      <c r="M215" s="652"/>
      <c r="N215" s="652"/>
      <c r="P215" s="190"/>
      <c r="Q215" s="190"/>
      <c r="R215" s="190"/>
      <c r="S215" s="190"/>
      <c r="T215" s="190"/>
      <c r="U215" s="190"/>
      <c r="V215" s="190"/>
      <c r="W215" s="190"/>
    </row>
    <row r="216" spans="1:23" s="189" customFormat="1" ht="40.200000000000003" customHeight="1" x14ac:dyDescent="0.3">
      <c r="A216" s="678" t="str">
        <f t="shared" ca="1" si="778"/>
        <v>a1G3p000003GJ5JEAW</v>
      </c>
      <c r="B216" s="674">
        <v>11</v>
      </c>
      <c r="C216" s="666" t="str">
        <f>IFERROR(VLOOKUP(B216,'Impact Indicators - Section B '!$A$9:$AF$52,32,FALSE),"")</f>
        <v/>
      </c>
      <c r="D216" s="676" t="str">
        <f t="shared" ref="D216" si="819">R216</f>
        <v/>
      </c>
      <c r="E216" s="676" t="str">
        <f t="shared" ref="E216" si="820">S216</f>
        <v/>
      </c>
      <c r="F216" s="194"/>
      <c r="G216" s="668" t="str">
        <f t="shared" ref="G216" ca="1" si="821">IF(OR(INDIRECT("'update Helper'!E"&amp;U216)=0,F216&lt;&gt;0,F217&lt;&gt;0),IF(IFERROR((F216/F217),"")="","",(F216/F217)),INDIRECT("'update Helper'!E"&amp;U216)/100)</f>
        <v/>
      </c>
      <c r="H216" s="670"/>
      <c r="I216" s="672"/>
      <c r="J216" s="651"/>
      <c r="K216" s="666" t="str">
        <f t="shared" ref="K216" si="822">W216</f>
        <v/>
      </c>
      <c r="L216" s="666" t="str">
        <f t="shared" ref="L216" si="823">V216</f>
        <v/>
      </c>
      <c r="M216" s="651"/>
      <c r="N216" s="651"/>
      <c r="P216" s="189">
        <f t="shared" ref="P216" si="824">IF(AND(EXACT(C216,C214),C214&lt;&gt;0),P214+1,0)</f>
        <v>83</v>
      </c>
      <c r="Q216" s="189" t="str">
        <f t="shared" ref="Q216" si="825">IF(C216&lt;&gt;"",C216&amp;"-"&amp;P216,"")</f>
        <v/>
      </c>
      <c r="R216" s="189" t="str">
        <f t="array" ref="R216">IFERROR(IF(INDEX('Disaggregation Records'!$E$3:$E$66,MATCH(RIGHT(Q216,255),RIGHT('Disaggregation Records'!$D$3:$D$66,255),0))=0,"",INDEX('Disaggregation Records'!$E$3:$E$66,MATCH(RIGHT(Q216,255),RIGHT('Disaggregation Records'!$D$3:$D$66,255),0))),"")</f>
        <v/>
      </c>
      <c r="S216" s="189" t="str">
        <f t="array" ref="S216">IFERROR(IF(INDEX('Disaggregation Records'!$F$3:$F$66,MATCH(RIGHT(Q216,255),RIGHT('Disaggregation Records'!$D$3:$D$66,255),0))=0,"",INDEX('Disaggregation Records'!$F$3:$F$66,MATCH(RIGHT(Q216,255),RIGHT('Disaggregation Records'!$D$3:$D$66,255),0))),"")</f>
        <v/>
      </c>
      <c r="T216" s="189" t="str">
        <f t="array" ref="T216">IFERROR(IF(INDEX('Disaggregation Records'!$H$3:$H$66,MATCH(RIGHT(Q216,255),RIGHT('Disaggregation Records'!$D$3:$D$66,255),0))=0,"",INDEX('Disaggregation Records'!$H$3:$H$66,MATCH(RIGHT(Q216,255),RIGHT('Disaggregation Records'!$D$3:$D$66,255),0))),"")</f>
        <v/>
      </c>
      <c r="U216" s="189">
        <f t="shared" ref="U216" si="826">U214+1</f>
        <v>1286</v>
      </c>
      <c r="V216" s="189" t="str">
        <f t="array" ref="V216">IFERROR(IF(INDEX('Disaggregation Records'!$I$3:$I$66,MATCH(RIGHT(Q216,255),RIGHT('Disaggregation Records'!$D$3:$D$66,255),0))=0,"",INDEX('Disaggregation Records'!$I$3:$I$66,MATCH(RIGHT(Q216,255),RIGHT('Disaggregation Records'!$D$3:$D$66,255),0))),"")</f>
        <v/>
      </c>
      <c r="W216" s="189" t="str">
        <f>IFERROR(INDEX('Reference Records'!O$3:O$15,MATCH(LEFT(C216,255),'Reference Records'!J$3:J$15,0)),"")</f>
        <v/>
      </c>
    </row>
    <row r="217" spans="1:23" s="190" customFormat="1" ht="40.200000000000003" customHeight="1" x14ac:dyDescent="0.3">
      <c r="A217" s="678"/>
      <c r="B217" s="675">
        <v>8.1541353383458706</v>
      </c>
      <c r="C217" s="667"/>
      <c r="D217" s="677"/>
      <c r="E217" s="677"/>
      <c r="F217" s="202"/>
      <c r="G217" s="669"/>
      <c r="H217" s="671"/>
      <c r="I217" s="673"/>
      <c r="J217" s="652"/>
      <c r="K217" s="667"/>
      <c r="L217" s="667"/>
      <c r="M217" s="652"/>
      <c r="N217" s="652"/>
    </row>
    <row r="218" spans="1:23" s="189" customFormat="1" ht="40.200000000000003" customHeight="1" x14ac:dyDescent="0.3">
      <c r="A218" s="678" t="str">
        <f t="shared" ca="1" si="778"/>
        <v>a1G3p000003GJ5KEAW</v>
      </c>
      <c r="B218" s="674">
        <v>11</v>
      </c>
      <c r="C218" s="666" t="str">
        <f>IFERROR(VLOOKUP(B218,'Impact Indicators - Section B '!$A$9:$AF$52,32,FALSE),"")</f>
        <v/>
      </c>
      <c r="D218" s="676" t="str">
        <f t="shared" ref="D218" si="827">R218</f>
        <v/>
      </c>
      <c r="E218" s="676" t="str">
        <f t="shared" ref="E218" si="828">S218</f>
        <v/>
      </c>
      <c r="F218" s="194"/>
      <c r="G218" s="668" t="str">
        <f t="shared" ref="G218" ca="1" si="829">IF(OR(INDIRECT("'update Helper'!E"&amp;U218)=0,F218&lt;&gt;0,F219&lt;&gt;0),IF(IFERROR((F218/F219),"")="","",(F218/F219)),INDIRECT("'update Helper'!E"&amp;U218)/100)</f>
        <v/>
      </c>
      <c r="H218" s="670"/>
      <c r="I218" s="672"/>
      <c r="J218" s="651"/>
      <c r="K218" s="666" t="str">
        <f t="shared" ref="K218" si="830">W218</f>
        <v/>
      </c>
      <c r="L218" s="666" t="str">
        <f t="shared" ref="L218" si="831">V218</f>
        <v/>
      </c>
      <c r="M218" s="651"/>
      <c r="N218" s="651"/>
      <c r="P218" s="189">
        <f t="shared" ref="P218" si="832">IF(AND(EXACT(C218,C216),C216&lt;&gt;0),P216+1,0)</f>
        <v>84</v>
      </c>
      <c r="Q218" s="189" t="str">
        <f t="shared" ref="Q218" si="833">IF(C218&lt;&gt;"",C218&amp;"-"&amp;P218,"")</f>
        <v/>
      </c>
      <c r="R218" s="189" t="str">
        <f t="array" ref="R218">IFERROR(IF(INDEX('Disaggregation Records'!$E$3:$E$66,MATCH(RIGHT(Q218,255),RIGHT('Disaggregation Records'!$D$3:$D$66,255),0))=0,"",INDEX('Disaggregation Records'!$E$3:$E$66,MATCH(RIGHT(Q218,255),RIGHT('Disaggregation Records'!$D$3:$D$66,255),0))),"")</f>
        <v/>
      </c>
      <c r="S218" s="189" t="str">
        <f t="array" ref="S218">IFERROR(IF(INDEX('Disaggregation Records'!$F$3:$F$66,MATCH(RIGHT(Q218,255),RIGHT('Disaggregation Records'!$D$3:$D$66,255),0))=0,"",INDEX('Disaggregation Records'!$F$3:$F$66,MATCH(RIGHT(Q218,255),RIGHT('Disaggregation Records'!$D$3:$D$66,255),0))),"")</f>
        <v/>
      </c>
      <c r="T218" s="189" t="str">
        <f t="array" ref="T218">IFERROR(IF(INDEX('Disaggregation Records'!$H$3:$H$66,MATCH(RIGHT(Q218,255),RIGHT('Disaggregation Records'!$D$3:$D$66,255),0))=0,"",INDEX('Disaggregation Records'!$H$3:$H$66,MATCH(RIGHT(Q218,255),RIGHT('Disaggregation Records'!$D$3:$D$66,255),0))),"")</f>
        <v/>
      </c>
      <c r="U218" s="189">
        <f t="shared" ref="U218" si="834">U216+1</f>
        <v>1287</v>
      </c>
      <c r="V218" s="189" t="str">
        <f t="array" ref="V218">IFERROR(IF(INDEX('Disaggregation Records'!$I$3:$I$66,MATCH(RIGHT(Q218,255),RIGHT('Disaggregation Records'!$D$3:$D$66,255),0))=0,"",INDEX('Disaggregation Records'!$I$3:$I$66,MATCH(RIGHT(Q218,255),RIGHT('Disaggregation Records'!$D$3:$D$66,255),0))),"")</f>
        <v/>
      </c>
      <c r="W218" s="189" t="str">
        <f>IFERROR(INDEX('Reference Records'!O$3:O$15,MATCH(LEFT(C218,255),'Reference Records'!J$3:J$15,0)),"")</f>
        <v/>
      </c>
    </row>
    <row r="219" spans="1:23" s="190" customFormat="1" ht="40.200000000000003" customHeight="1" x14ac:dyDescent="0.3">
      <c r="A219" s="678"/>
      <c r="B219" s="675">
        <v>8.1541353383458706</v>
      </c>
      <c r="C219" s="667"/>
      <c r="D219" s="677"/>
      <c r="E219" s="677"/>
      <c r="F219" s="202"/>
      <c r="G219" s="669"/>
      <c r="H219" s="671"/>
      <c r="I219" s="673"/>
      <c r="J219" s="652"/>
      <c r="K219" s="667"/>
      <c r="L219" s="667"/>
      <c r="M219" s="652"/>
      <c r="N219" s="652"/>
    </row>
    <row r="220" spans="1:23" s="189" customFormat="1" ht="40.200000000000003" customHeight="1" x14ac:dyDescent="0.3">
      <c r="A220" s="678" t="str">
        <f t="shared" ca="1" si="778"/>
        <v>a1G3p000003GJ5LEAW</v>
      </c>
      <c r="B220" s="674">
        <v>11</v>
      </c>
      <c r="C220" s="666" t="str">
        <f>IFERROR(VLOOKUP(B220,'Impact Indicators - Section B '!$A$9:$AF$52,32,FALSE),"")</f>
        <v/>
      </c>
      <c r="D220" s="676" t="str">
        <f t="shared" ref="D220" si="835">R220</f>
        <v/>
      </c>
      <c r="E220" s="676" t="str">
        <f t="shared" ref="E220" si="836">S220</f>
        <v/>
      </c>
      <c r="F220" s="194"/>
      <c r="G220" s="668" t="str">
        <f t="shared" ref="G220" ca="1" si="837">IF(OR(INDIRECT("'update Helper'!E"&amp;U220)=0,F220&lt;&gt;0,F221&lt;&gt;0),IF(IFERROR((F220/F221),"")="","",(F220/F221)),INDIRECT("'update Helper'!E"&amp;U220)/100)</f>
        <v/>
      </c>
      <c r="H220" s="670"/>
      <c r="I220" s="672"/>
      <c r="J220" s="651"/>
      <c r="K220" s="666" t="str">
        <f t="shared" ref="K220" si="838">W220</f>
        <v/>
      </c>
      <c r="L220" s="666" t="str">
        <f t="shared" ref="L220" si="839">V220</f>
        <v/>
      </c>
      <c r="M220" s="651"/>
      <c r="N220" s="651"/>
      <c r="P220" s="189">
        <f t="shared" ref="P220" si="840">IF(AND(EXACT(C220,C218),C218&lt;&gt;0),P218+1,0)</f>
        <v>85</v>
      </c>
      <c r="Q220" s="189" t="str">
        <f t="shared" ref="Q220" si="841">IF(C220&lt;&gt;"",C220&amp;"-"&amp;P220,"")</f>
        <v/>
      </c>
      <c r="R220" s="189" t="str">
        <f t="array" ref="R220">IFERROR(IF(INDEX('Disaggregation Records'!$E$3:$E$66,MATCH(RIGHT(Q220,255),RIGHT('Disaggregation Records'!$D$3:$D$66,255),0))=0,"",INDEX('Disaggregation Records'!$E$3:$E$66,MATCH(RIGHT(Q220,255),RIGHT('Disaggregation Records'!$D$3:$D$66,255),0))),"")</f>
        <v/>
      </c>
      <c r="S220" s="189" t="str">
        <f t="array" ref="S220">IFERROR(IF(INDEX('Disaggregation Records'!$F$3:$F$66,MATCH(RIGHT(Q220,255),RIGHT('Disaggregation Records'!$D$3:$D$66,255),0))=0,"",INDEX('Disaggregation Records'!$F$3:$F$66,MATCH(RIGHT(Q220,255),RIGHT('Disaggregation Records'!$D$3:$D$66,255),0))),"")</f>
        <v/>
      </c>
      <c r="T220" s="189" t="str">
        <f t="array" ref="T220">IFERROR(IF(INDEX('Disaggregation Records'!$H$3:$H$66,MATCH(RIGHT(Q220,255),RIGHT('Disaggregation Records'!$D$3:$D$66,255),0))=0,"",INDEX('Disaggregation Records'!$H$3:$H$66,MATCH(RIGHT(Q220,255),RIGHT('Disaggregation Records'!$D$3:$D$66,255),0))),"")</f>
        <v/>
      </c>
      <c r="U220" s="189">
        <f t="shared" ref="U220" si="842">U218+1</f>
        <v>1288</v>
      </c>
      <c r="V220" s="189" t="str">
        <f t="array" ref="V220">IFERROR(IF(INDEX('Disaggregation Records'!$I$3:$I$66,MATCH(RIGHT(Q220,255),RIGHT('Disaggregation Records'!$D$3:$D$66,255),0))=0,"",INDEX('Disaggregation Records'!$I$3:$I$66,MATCH(RIGHT(Q220,255),RIGHT('Disaggregation Records'!$D$3:$D$66,255),0))),"")</f>
        <v/>
      </c>
      <c r="W220" s="189" t="str">
        <f>IFERROR(INDEX('Reference Records'!O$3:O$15,MATCH(LEFT(C220,255),'Reference Records'!J$3:J$15,0)),"")</f>
        <v/>
      </c>
    </row>
    <row r="221" spans="1:23" s="189" customFormat="1" ht="40.200000000000003" customHeight="1" x14ac:dyDescent="0.3">
      <c r="A221" s="678"/>
      <c r="B221" s="675">
        <v>8.1541353383458706</v>
      </c>
      <c r="C221" s="667"/>
      <c r="D221" s="677"/>
      <c r="E221" s="677"/>
      <c r="F221" s="202"/>
      <c r="G221" s="669"/>
      <c r="H221" s="671"/>
      <c r="I221" s="673"/>
      <c r="J221" s="652"/>
      <c r="K221" s="667"/>
      <c r="L221" s="667"/>
      <c r="M221" s="652"/>
      <c r="N221" s="652"/>
      <c r="P221" s="190"/>
      <c r="Q221" s="190"/>
      <c r="R221" s="190"/>
      <c r="S221" s="190"/>
      <c r="T221" s="190"/>
      <c r="U221" s="190"/>
      <c r="V221" s="190"/>
      <c r="W221" s="190"/>
    </row>
    <row r="222" spans="1:23" s="189" customFormat="1" ht="40.200000000000003" customHeight="1" x14ac:dyDescent="0.3">
      <c r="A222" s="678" t="str">
        <f t="shared" ca="1" si="778"/>
        <v>a1G3p000003GJ5MEAW</v>
      </c>
      <c r="B222" s="674">
        <v>11</v>
      </c>
      <c r="C222" s="666" t="str">
        <f>IFERROR(VLOOKUP(B222,'Impact Indicators - Section B '!$A$9:$AF$52,32,FALSE),"")</f>
        <v/>
      </c>
      <c r="D222" s="676" t="str">
        <f t="shared" ref="D222" si="843">R222</f>
        <v/>
      </c>
      <c r="E222" s="676" t="str">
        <f t="shared" ref="E222" si="844">S222</f>
        <v/>
      </c>
      <c r="F222" s="194"/>
      <c r="G222" s="668" t="str">
        <f t="shared" ref="G222" ca="1" si="845">IF(OR(INDIRECT("'update Helper'!E"&amp;U222)=0,F222&lt;&gt;0,F223&lt;&gt;0),IF(IFERROR((F222/F223),"")="","",(F222/F223)),INDIRECT("'update Helper'!E"&amp;U222)/100)</f>
        <v/>
      </c>
      <c r="H222" s="670"/>
      <c r="I222" s="672"/>
      <c r="J222" s="651"/>
      <c r="K222" s="666" t="str">
        <f t="shared" ref="K222" si="846">W222</f>
        <v/>
      </c>
      <c r="L222" s="666" t="str">
        <f t="shared" ref="L222" si="847">V222</f>
        <v/>
      </c>
      <c r="M222" s="651"/>
      <c r="N222" s="651"/>
      <c r="P222" s="189">
        <f t="shared" ref="P222" si="848">IF(AND(EXACT(C222,C220),C220&lt;&gt;0),P220+1,0)</f>
        <v>86</v>
      </c>
      <c r="Q222" s="189" t="str">
        <f t="shared" ref="Q222" si="849">IF(C222&lt;&gt;"",C222&amp;"-"&amp;P222,"")</f>
        <v/>
      </c>
      <c r="R222" s="189" t="str">
        <f t="array" ref="R222">IFERROR(IF(INDEX('Disaggregation Records'!$E$3:$E$66,MATCH(RIGHT(Q222,255),RIGHT('Disaggregation Records'!$D$3:$D$66,255),0))=0,"",INDEX('Disaggregation Records'!$E$3:$E$66,MATCH(RIGHT(Q222,255),RIGHT('Disaggregation Records'!$D$3:$D$66,255),0))),"")</f>
        <v/>
      </c>
      <c r="S222" s="189" t="str">
        <f t="array" ref="S222">IFERROR(IF(INDEX('Disaggregation Records'!$F$3:$F$66,MATCH(RIGHT(Q222,255),RIGHT('Disaggregation Records'!$D$3:$D$66,255),0))=0,"",INDEX('Disaggregation Records'!$F$3:$F$66,MATCH(RIGHT(Q222,255),RIGHT('Disaggregation Records'!$D$3:$D$66,255),0))),"")</f>
        <v/>
      </c>
      <c r="T222" s="189" t="str">
        <f t="array" ref="T222">IFERROR(IF(INDEX('Disaggregation Records'!$H$3:$H$66,MATCH(RIGHT(Q222,255),RIGHT('Disaggregation Records'!$D$3:$D$66,255),0))=0,"",INDEX('Disaggregation Records'!$H$3:$H$66,MATCH(RIGHT(Q222,255),RIGHT('Disaggregation Records'!$D$3:$D$66,255),0))),"")</f>
        <v/>
      </c>
      <c r="U222" s="189">
        <f t="shared" ref="U222" si="850">U220+1</f>
        <v>1289</v>
      </c>
      <c r="V222" s="189" t="str">
        <f t="array" ref="V222">IFERROR(IF(INDEX('Disaggregation Records'!$I$3:$I$66,MATCH(RIGHT(Q222,255),RIGHT('Disaggregation Records'!$D$3:$D$66,255),0))=0,"",INDEX('Disaggregation Records'!$I$3:$I$66,MATCH(RIGHT(Q222,255),RIGHT('Disaggregation Records'!$D$3:$D$66,255),0))),"")</f>
        <v/>
      </c>
      <c r="W222" s="189" t="str">
        <f>IFERROR(INDEX('Reference Records'!O$3:O$15,MATCH(LEFT(C222,255),'Reference Records'!J$3:J$15,0)),"")</f>
        <v/>
      </c>
    </row>
    <row r="223" spans="1:23" s="190" customFormat="1" ht="40.200000000000003" customHeight="1" x14ac:dyDescent="0.3">
      <c r="A223" s="678"/>
      <c r="B223" s="675">
        <v>8.1541353383458706</v>
      </c>
      <c r="C223" s="667"/>
      <c r="D223" s="677"/>
      <c r="E223" s="677"/>
      <c r="F223" s="202"/>
      <c r="G223" s="669"/>
      <c r="H223" s="671"/>
      <c r="I223" s="673"/>
      <c r="J223" s="652"/>
      <c r="K223" s="667"/>
      <c r="L223" s="667"/>
      <c r="M223" s="652"/>
      <c r="N223" s="652"/>
    </row>
    <row r="224" spans="1:23" s="189" customFormat="1" ht="40.200000000000003" customHeight="1" x14ac:dyDescent="0.3">
      <c r="A224" s="678" t="str">
        <f t="shared" ca="1" si="778"/>
        <v>a1G3p000003GJ5NEAW</v>
      </c>
      <c r="B224" s="674">
        <v>11</v>
      </c>
      <c r="C224" s="666" t="str">
        <f>IFERROR(VLOOKUP(B224,'Impact Indicators - Section B '!$A$9:$AF$52,32,FALSE),"")</f>
        <v/>
      </c>
      <c r="D224" s="676" t="str">
        <f t="shared" ref="D224" si="851">R224</f>
        <v/>
      </c>
      <c r="E224" s="676" t="str">
        <f t="shared" ref="E224" si="852">S224</f>
        <v/>
      </c>
      <c r="F224" s="194"/>
      <c r="G224" s="668" t="str">
        <f t="shared" ref="G224" ca="1" si="853">IF(OR(INDIRECT("'update Helper'!E"&amp;U224)=0,F224&lt;&gt;0,F225&lt;&gt;0),IF(IFERROR((F224/F225),"")="","",(F224/F225)),INDIRECT("'update Helper'!E"&amp;U224)/100)</f>
        <v/>
      </c>
      <c r="H224" s="670"/>
      <c r="I224" s="672"/>
      <c r="J224" s="651"/>
      <c r="K224" s="666" t="str">
        <f t="shared" ref="K224" si="854">W224</f>
        <v/>
      </c>
      <c r="L224" s="666" t="str">
        <f t="shared" ref="L224" si="855">V224</f>
        <v/>
      </c>
      <c r="M224" s="651"/>
      <c r="N224" s="651"/>
      <c r="P224" s="189">
        <f t="shared" ref="P224" si="856">IF(AND(EXACT(C224,C222),C222&lt;&gt;0),P222+1,0)</f>
        <v>87</v>
      </c>
      <c r="Q224" s="189" t="str">
        <f t="shared" ref="Q224" si="857">IF(C224&lt;&gt;"",C224&amp;"-"&amp;P224,"")</f>
        <v/>
      </c>
      <c r="R224" s="189" t="str">
        <f t="array" ref="R224">IFERROR(IF(INDEX('Disaggregation Records'!$E$3:$E$66,MATCH(RIGHT(Q224,255),RIGHT('Disaggregation Records'!$D$3:$D$66,255),0))=0,"",INDEX('Disaggregation Records'!$E$3:$E$66,MATCH(RIGHT(Q224,255),RIGHT('Disaggregation Records'!$D$3:$D$66,255),0))),"")</f>
        <v/>
      </c>
      <c r="S224" s="189" t="str">
        <f t="array" ref="S224">IFERROR(IF(INDEX('Disaggregation Records'!$F$3:$F$66,MATCH(RIGHT(Q224,255),RIGHT('Disaggregation Records'!$D$3:$D$66,255),0))=0,"",INDEX('Disaggregation Records'!$F$3:$F$66,MATCH(RIGHT(Q224,255),RIGHT('Disaggregation Records'!$D$3:$D$66,255),0))),"")</f>
        <v/>
      </c>
      <c r="T224" s="189" t="str">
        <f t="array" ref="T224">IFERROR(IF(INDEX('Disaggregation Records'!$H$3:$H$66,MATCH(RIGHT(Q224,255),RIGHT('Disaggregation Records'!$D$3:$D$66,255),0))=0,"",INDEX('Disaggregation Records'!$H$3:$H$66,MATCH(RIGHT(Q224,255),RIGHT('Disaggregation Records'!$D$3:$D$66,255),0))),"")</f>
        <v/>
      </c>
      <c r="U224" s="189">
        <f t="shared" ref="U224" si="858">U222+1</f>
        <v>1290</v>
      </c>
      <c r="V224" s="189" t="str">
        <f t="array" ref="V224">IFERROR(IF(INDEX('Disaggregation Records'!$I$3:$I$66,MATCH(RIGHT(Q224,255),RIGHT('Disaggregation Records'!$D$3:$D$66,255),0))=0,"",INDEX('Disaggregation Records'!$I$3:$I$66,MATCH(RIGHT(Q224,255),RIGHT('Disaggregation Records'!$D$3:$D$66,255),0))),"")</f>
        <v/>
      </c>
      <c r="W224" s="189" t="str">
        <f>IFERROR(INDEX('Reference Records'!O$3:O$15,MATCH(LEFT(C224,255),'Reference Records'!J$3:J$15,0)),"")</f>
        <v/>
      </c>
    </row>
    <row r="225" spans="1:23" s="190" customFormat="1" ht="40.200000000000003" customHeight="1" x14ac:dyDescent="0.3">
      <c r="A225" s="678"/>
      <c r="B225" s="675">
        <v>8.1541353383458706</v>
      </c>
      <c r="C225" s="667"/>
      <c r="D225" s="677"/>
      <c r="E225" s="677"/>
      <c r="F225" s="202"/>
      <c r="G225" s="669"/>
      <c r="H225" s="671"/>
      <c r="I225" s="673"/>
      <c r="J225" s="652"/>
      <c r="K225" s="667"/>
      <c r="L225" s="667"/>
      <c r="M225" s="652"/>
      <c r="N225" s="652"/>
    </row>
    <row r="226" spans="1:23" s="189" customFormat="1" ht="40.200000000000003" customHeight="1" x14ac:dyDescent="0.3">
      <c r="A226" s="678" t="str">
        <f t="shared" ca="1" si="778"/>
        <v>a1G3p000003GJ5OEAW</v>
      </c>
      <c r="B226" s="674">
        <v>11</v>
      </c>
      <c r="C226" s="666" t="str">
        <f>IFERROR(VLOOKUP(B226,'Impact Indicators - Section B '!$A$9:$AF$52,32,FALSE),"")</f>
        <v/>
      </c>
      <c r="D226" s="676" t="str">
        <f t="shared" ref="D226" si="859">R226</f>
        <v/>
      </c>
      <c r="E226" s="676" t="str">
        <f t="shared" ref="E226" si="860">S226</f>
        <v/>
      </c>
      <c r="F226" s="194"/>
      <c r="G226" s="668" t="str">
        <f t="shared" ref="G226" ca="1" si="861">IF(OR(INDIRECT("'update Helper'!E"&amp;U226)=0,F226&lt;&gt;0,F227&lt;&gt;0),IF(IFERROR((F226/F227),"")="","",(F226/F227)),INDIRECT("'update Helper'!E"&amp;U226)/100)</f>
        <v/>
      </c>
      <c r="H226" s="670"/>
      <c r="I226" s="672"/>
      <c r="J226" s="651"/>
      <c r="K226" s="666" t="str">
        <f t="shared" ref="K226" si="862">W226</f>
        <v/>
      </c>
      <c r="L226" s="666" t="str">
        <f t="shared" ref="L226" si="863">V226</f>
        <v/>
      </c>
      <c r="M226" s="651"/>
      <c r="N226" s="651"/>
      <c r="P226" s="189">
        <f t="shared" ref="P226" si="864">IF(AND(EXACT(C226,C224),C224&lt;&gt;0),P224+1,0)</f>
        <v>88</v>
      </c>
      <c r="Q226" s="189" t="str">
        <f t="shared" ref="Q226" si="865">IF(C226&lt;&gt;"",C226&amp;"-"&amp;P226,"")</f>
        <v/>
      </c>
      <c r="R226" s="189" t="str">
        <f t="array" ref="R226">IFERROR(IF(INDEX('Disaggregation Records'!$E$3:$E$66,MATCH(RIGHT(Q226,255),RIGHT('Disaggregation Records'!$D$3:$D$66,255),0))=0,"",INDEX('Disaggregation Records'!$E$3:$E$66,MATCH(RIGHT(Q226,255),RIGHT('Disaggregation Records'!$D$3:$D$66,255),0))),"")</f>
        <v/>
      </c>
      <c r="S226" s="189" t="str">
        <f t="array" ref="S226">IFERROR(IF(INDEX('Disaggregation Records'!$F$3:$F$66,MATCH(RIGHT(Q226,255),RIGHT('Disaggregation Records'!$D$3:$D$66,255),0))=0,"",INDEX('Disaggregation Records'!$F$3:$F$66,MATCH(RIGHT(Q226,255),RIGHT('Disaggregation Records'!$D$3:$D$66,255),0))),"")</f>
        <v/>
      </c>
      <c r="T226" s="189" t="str">
        <f t="array" ref="T226">IFERROR(IF(INDEX('Disaggregation Records'!$H$3:$H$66,MATCH(RIGHT(Q226,255),RIGHT('Disaggregation Records'!$D$3:$D$66,255),0))=0,"",INDEX('Disaggregation Records'!$H$3:$H$66,MATCH(RIGHT(Q226,255),RIGHT('Disaggregation Records'!$D$3:$D$66,255),0))),"")</f>
        <v/>
      </c>
      <c r="U226" s="189">
        <f t="shared" ref="U226" si="866">U224+1</f>
        <v>1291</v>
      </c>
      <c r="V226" s="189" t="str">
        <f t="array" ref="V226">IFERROR(IF(INDEX('Disaggregation Records'!$I$3:$I$66,MATCH(RIGHT(Q226,255),RIGHT('Disaggregation Records'!$D$3:$D$66,255),0))=0,"",INDEX('Disaggregation Records'!$I$3:$I$66,MATCH(RIGHT(Q226,255),RIGHT('Disaggregation Records'!$D$3:$D$66,255),0))),"")</f>
        <v/>
      </c>
      <c r="W226" s="189" t="str">
        <f>IFERROR(INDEX('Reference Records'!O$3:O$15,MATCH(LEFT(C226,255),'Reference Records'!J$3:J$15,0)),"")</f>
        <v/>
      </c>
    </row>
    <row r="227" spans="1:23" s="189" customFormat="1" ht="40.200000000000003" customHeight="1" x14ac:dyDescent="0.3">
      <c r="A227" s="678"/>
      <c r="B227" s="675">
        <v>8.1541353383458706</v>
      </c>
      <c r="C227" s="667"/>
      <c r="D227" s="677"/>
      <c r="E227" s="677"/>
      <c r="F227" s="202"/>
      <c r="G227" s="669"/>
      <c r="H227" s="671"/>
      <c r="I227" s="673"/>
      <c r="J227" s="652"/>
      <c r="K227" s="667"/>
      <c r="L227" s="667"/>
      <c r="M227" s="652"/>
      <c r="N227" s="652"/>
      <c r="P227" s="190"/>
      <c r="Q227" s="190"/>
      <c r="R227" s="190"/>
      <c r="S227" s="190"/>
      <c r="T227" s="190"/>
      <c r="U227" s="190"/>
      <c r="V227" s="190"/>
      <c r="W227" s="190"/>
    </row>
    <row r="228" spans="1:23" s="189" customFormat="1" ht="40.200000000000003" customHeight="1" x14ac:dyDescent="0.3">
      <c r="A228" s="678" t="str">
        <f t="shared" ca="1" si="778"/>
        <v>a1G3p000003GJ5PEAW</v>
      </c>
      <c r="B228" s="674">
        <v>11</v>
      </c>
      <c r="C228" s="666" t="str">
        <f>IFERROR(VLOOKUP(B228,'Impact Indicators - Section B '!$A$9:$AF$52,32,FALSE),"")</f>
        <v/>
      </c>
      <c r="D228" s="676" t="str">
        <f t="shared" ref="D228" si="867">R228</f>
        <v/>
      </c>
      <c r="E228" s="676" t="str">
        <f t="shared" ref="E228" si="868">S228</f>
        <v/>
      </c>
      <c r="F228" s="194"/>
      <c r="G228" s="668" t="str">
        <f t="shared" ref="G228" ca="1" si="869">IF(OR(INDIRECT("'update Helper'!E"&amp;U228)=0,F228&lt;&gt;0,F229&lt;&gt;0),IF(IFERROR((F228/F229),"")="","",(F228/F229)),INDIRECT("'update Helper'!E"&amp;U228)/100)</f>
        <v/>
      </c>
      <c r="H228" s="670"/>
      <c r="I228" s="672"/>
      <c r="J228" s="651"/>
      <c r="K228" s="666" t="str">
        <f t="shared" ref="K228" si="870">W228</f>
        <v/>
      </c>
      <c r="L228" s="666" t="str">
        <f t="shared" ref="L228" si="871">V228</f>
        <v/>
      </c>
      <c r="M228" s="651"/>
      <c r="N228" s="651"/>
      <c r="P228" s="189">
        <f t="shared" ref="P228" si="872">IF(AND(EXACT(C228,C226),C226&lt;&gt;0),P226+1,0)</f>
        <v>89</v>
      </c>
      <c r="Q228" s="189" t="str">
        <f t="shared" ref="Q228" si="873">IF(C228&lt;&gt;"",C228&amp;"-"&amp;P228,"")</f>
        <v/>
      </c>
      <c r="R228" s="189" t="str">
        <f t="array" ref="R228">IFERROR(IF(INDEX('Disaggregation Records'!$E$3:$E$66,MATCH(RIGHT(Q228,255),RIGHT('Disaggregation Records'!$D$3:$D$66,255),0))=0,"",INDEX('Disaggregation Records'!$E$3:$E$66,MATCH(RIGHT(Q228,255),RIGHT('Disaggregation Records'!$D$3:$D$66,255),0))),"")</f>
        <v/>
      </c>
      <c r="S228" s="189" t="str">
        <f t="array" ref="S228">IFERROR(IF(INDEX('Disaggregation Records'!$F$3:$F$66,MATCH(RIGHT(Q228,255),RIGHT('Disaggregation Records'!$D$3:$D$66,255),0))=0,"",INDEX('Disaggregation Records'!$F$3:$F$66,MATCH(RIGHT(Q228,255),RIGHT('Disaggregation Records'!$D$3:$D$66,255),0))),"")</f>
        <v/>
      </c>
      <c r="T228" s="189" t="str">
        <f t="array" ref="T228">IFERROR(IF(INDEX('Disaggregation Records'!$H$3:$H$66,MATCH(RIGHT(Q228,255),RIGHT('Disaggregation Records'!$D$3:$D$66,255),0))=0,"",INDEX('Disaggregation Records'!$H$3:$H$66,MATCH(RIGHT(Q228,255),RIGHT('Disaggregation Records'!$D$3:$D$66,255),0))),"")</f>
        <v/>
      </c>
      <c r="U228" s="189">
        <f t="shared" ref="U228" si="874">U226+1</f>
        <v>1292</v>
      </c>
      <c r="V228" s="189" t="str">
        <f t="array" ref="V228">IFERROR(IF(INDEX('Disaggregation Records'!$I$3:$I$66,MATCH(RIGHT(Q228,255),RIGHT('Disaggregation Records'!$D$3:$D$66,255),0))=0,"",INDEX('Disaggregation Records'!$I$3:$I$66,MATCH(RIGHT(Q228,255),RIGHT('Disaggregation Records'!$D$3:$D$66,255),0))),"")</f>
        <v/>
      </c>
      <c r="W228" s="189" t="str">
        <f>IFERROR(INDEX('Reference Records'!O$3:O$15,MATCH(LEFT(C228,255),'Reference Records'!J$3:J$15,0)),"")</f>
        <v/>
      </c>
    </row>
    <row r="229" spans="1:23" s="190" customFormat="1" ht="40.200000000000003" customHeight="1" x14ac:dyDescent="0.3">
      <c r="A229" s="678"/>
      <c r="B229" s="675">
        <v>8.1541353383458706</v>
      </c>
      <c r="C229" s="667"/>
      <c r="D229" s="677"/>
      <c r="E229" s="677"/>
      <c r="F229" s="202"/>
      <c r="G229" s="669"/>
      <c r="H229" s="671"/>
      <c r="I229" s="673"/>
      <c r="J229" s="652"/>
      <c r="K229" s="667"/>
      <c r="L229" s="667"/>
      <c r="M229" s="652"/>
      <c r="N229" s="652"/>
    </row>
    <row r="230" spans="1:23" s="189" customFormat="1" ht="40.200000000000003" customHeight="1" x14ac:dyDescent="0.3">
      <c r="A230" s="678" t="str">
        <f t="shared" ca="1" si="778"/>
        <v>a1G3p000003GJ5QEAW</v>
      </c>
      <c r="B230" s="674">
        <v>12</v>
      </c>
      <c r="C230" s="666" t="str">
        <f>IFERROR(VLOOKUP(B230,'Impact Indicators - Section B '!$A$9:$AF$52,32,FALSE),"")</f>
        <v/>
      </c>
      <c r="D230" s="676" t="str">
        <f t="shared" ref="D230" si="875">R230</f>
        <v/>
      </c>
      <c r="E230" s="676" t="str">
        <f t="shared" ref="E230" si="876">S230</f>
        <v/>
      </c>
      <c r="F230" s="194"/>
      <c r="G230" s="668" t="str">
        <f t="shared" ref="G230" ca="1" si="877">IF(OR(INDIRECT("'update Helper'!E"&amp;U230)=0,F230&lt;&gt;0,F231&lt;&gt;0),IF(IFERROR((F230/F231),"")="","",(F230/F231)),INDIRECT("'update Helper'!E"&amp;U230)/100)</f>
        <v/>
      </c>
      <c r="H230" s="670"/>
      <c r="I230" s="672"/>
      <c r="J230" s="651"/>
      <c r="K230" s="666" t="str">
        <f t="shared" ref="K230" si="878">W230</f>
        <v/>
      </c>
      <c r="L230" s="666" t="str">
        <f t="shared" ref="L230" si="879">V230</f>
        <v/>
      </c>
      <c r="M230" s="651"/>
      <c r="N230" s="651"/>
      <c r="P230" s="189">
        <f t="shared" ref="P230" si="880">IF(AND(EXACT(C230,C228),C228&lt;&gt;0),P228+1,0)</f>
        <v>90</v>
      </c>
      <c r="Q230" s="189" t="str">
        <f t="shared" ref="Q230" si="881">IF(C230&lt;&gt;"",C230&amp;"-"&amp;P230,"")</f>
        <v/>
      </c>
      <c r="R230" s="189" t="str">
        <f t="array" ref="R230">IFERROR(IF(INDEX('Disaggregation Records'!$E$3:$E$66,MATCH(RIGHT(Q230,255),RIGHT('Disaggregation Records'!$D$3:$D$66,255),0))=0,"",INDEX('Disaggregation Records'!$E$3:$E$66,MATCH(RIGHT(Q230,255),RIGHT('Disaggregation Records'!$D$3:$D$66,255),0))),"")</f>
        <v/>
      </c>
      <c r="S230" s="189" t="str">
        <f t="array" ref="S230">IFERROR(IF(INDEX('Disaggregation Records'!$F$3:$F$66,MATCH(RIGHT(Q230,255),RIGHT('Disaggregation Records'!$D$3:$D$66,255),0))=0,"",INDEX('Disaggregation Records'!$F$3:$F$66,MATCH(RIGHT(Q230,255),RIGHT('Disaggregation Records'!$D$3:$D$66,255),0))),"")</f>
        <v/>
      </c>
      <c r="T230" s="189" t="str">
        <f t="array" ref="T230">IFERROR(IF(INDEX('Disaggregation Records'!$H$3:$H$66,MATCH(RIGHT(Q230,255),RIGHT('Disaggregation Records'!$D$3:$D$66,255),0))=0,"",INDEX('Disaggregation Records'!$H$3:$H$66,MATCH(RIGHT(Q230,255),RIGHT('Disaggregation Records'!$D$3:$D$66,255),0))),"")</f>
        <v/>
      </c>
      <c r="U230" s="189">
        <f t="shared" ref="U230" si="882">U228+1</f>
        <v>1293</v>
      </c>
      <c r="V230" s="189" t="str">
        <f t="array" ref="V230">IFERROR(IF(INDEX('Disaggregation Records'!$I$3:$I$66,MATCH(RIGHT(Q230,255),RIGHT('Disaggregation Records'!$D$3:$D$66,255),0))=0,"",INDEX('Disaggregation Records'!$I$3:$I$66,MATCH(RIGHT(Q230,255),RIGHT('Disaggregation Records'!$D$3:$D$66,255),0))),"")</f>
        <v/>
      </c>
      <c r="W230" s="189" t="str">
        <f>IFERROR(INDEX('Reference Records'!O$3:O$15,MATCH(LEFT(C230,255),'Reference Records'!J$3:J$15,0)),"")</f>
        <v/>
      </c>
    </row>
    <row r="231" spans="1:23" s="190" customFormat="1" ht="40.200000000000003" customHeight="1" x14ac:dyDescent="0.3">
      <c r="A231" s="678"/>
      <c r="B231" s="675">
        <v>8.9060150375939902</v>
      </c>
      <c r="C231" s="667"/>
      <c r="D231" s="677"/>
      <c r="E231" s="677"/>
      <c r="F231" s="202"/>
      <c r="G231" s="669"/>
      <c r="H231" s="671"/>
      <c r="I231" s="673"/>
      <c r="J231" s="652"/>
      <c r="K231" s="667"/>
      <c r="L231" s="667"/>
      <c r="M231" s="652"/>
      <c r="N231" s="652"/>
    </row>
    <row r="232" spans="1:23" s="189" customFormat="1" ht="40.200000000000003" customHeight="1" x14ac:dyDescent="0.3">
      <c r="A232" s="678" t="str">
        <f t="shared" ca="1" si="778"/>
        <v>a1G3p000003GJ5REAW</v>
      </c>
      <c r="B232" s="674">
        <v>12</v>
      </c>
      <c r="C232" s="666" t="str">
        <f>IFERROR(VLOOKUP(B232,'Impact Indicators - Section B '!$A$9:$AF$52,32,FALSE),"")</f>
        <v/>
      </c>
      <c r="D232" s="676" t="str">
        <f t="shared" ref="D232" si="883">R232</f>
        <v/>
      </c>
      <c r="E232" s="676" t="str">
        <f t="shared" ref="E232" si="884">S232</f>
        <v/>
      </c>
      <c r="F232" s="194"/>
      <c r="G232" s="668" t="str">
        <f t="shared" ref="G232" ca="1" si="885">IF(OR(INDIRECT("'update Helper'!E"&amp;U232)=0,F232&lt;&gt;0,F233&lt;&gt;0),IF(IFERROR((F232/F233),"")="","",(F232/F233)),INDIRECT("'update Helper'!E"&amp;U232)/100)</f>
        <v/>
      </c>
      <c r="H232" s="670"/>
      <c r="I232" s="672"/>
      <c r="J232" s="651"/>
      <c r="K232" s="666" t="str">
        <f t="shared" ref="K232" si="886">W232</f>
        <v/>
      </c>
      <c r="L232" s="666" t="str">
        <f t="shared" ref="L232" si="887">V232</f>
        <v/>
      </c>
      <c r="M232" s="651"/>
      <c r="N232" s="651"/>
      <c r="P232" s="189">
        <f t="shared" ref="P232" si="888">IF(AND(EXACT(C232,C230),C230&lt;&gt;0),P230+1,0)</f>
        <v>91</v>
      </c>
      <c r="Q232" s="189" t="str">
        <f t="shared" ref="Q232" si="889">IF(C232&lt;&gt;"",C232&amp;"-"&amp;P232,"")</f>
        <v/>
      </c>
      <c r="R232" s="189" t="str">
        <f t="array" ref="R232">IFERROR(IF(INDEX('Disaggregation Records'!$E$3:$E$66,MATCH(RIGHT(Q232,255),RIGHT('Disaggregation Records'!$D$3:$D$66,255),0))=0,"",INDEX('Disaggregation Records'!$E$3:$E$66,MATCH(RIGHT(Q232,255),RIGHT('Disaggregation Records'!$D$3:$D$66,255),0))),"")</f>
        <v/>
      </c>
      <c r="S232" s="189" t="str">
        <f t="array" ref="S232">IFERROR(IF(INDEX('Disaggregation Records'!$F$3:$F$66,MATCH(RIGHT(Q232,255),RIGHT('Disaggregation Records'!$D$3:$D$66,255),0))=0,"",INDEX('Disaggregation Records'!$F$3:$F$66,MATCH(RIGHT(Q232,255),RIGHT('Disaggregation Records'!$D$3:$D$66,255),0))),"")</f>
        <v/>
      </c>
      <c r="T232" s="189" t="str">
        <f t="array" ref="T232">IFERROR(IF(INDEX('Disaggregation Records'!$H$3:$H$66,MATCH(RIGHT(Q232,255),RIGHT('Disaggregation Records'!$D$3:$D$66,255),0))=0,"",INDEX('Disaggregation Records'!$H$3:$H$66,MATCH(RIGHT(Q232,255),RIGHT('Disaggregation Records'!$D$3:$D$66,255),0))),"")</f>
        <v/>
      </c>
      <c r="U232" s="189">
        <f t="shared" ref="U232" si="890">U230+1</f>
        <v>1294</v>
      </c>
      <c r="V232" s="189" t="str">
        <f t="array" ref="V232">IFERROR(IF(INDEX('Disaggregation Records'!$I$3:$I$66,MATCH(RIGHT(Q232,255),RIGHT('Disaggregation Records'!$D$3:$D$66,255),0))=0,"",INDEX('Disaggregation Records'!$I$3:$I$66,MATCH(RIGHT(Q232,255),RIGHT('Disaggregation Records'!$D$3:$D$66,255),0))),"")</f>
        <v/>
      </c>
      <c r="W232" s="189" t="str">
        <f>IFERROR(INDEX('Reference Records'!O$3:O$15,MATCH(LEFT(C232,255),'Reference Records'!J$3:J$15,0)),"")</f>
        <v/>
      </c>
    </row>
    <row r="233" spans="1:23" s="189" customFormat="1" ht="40.200000000000003" customHeight="1" x14ac:dyDescent="0.3">
      <c r="A233" s="678"/>
      <c r="B233" s="675">
        <v>8.9060150375939902</v>
      </c>
      <c r="C233" s="667"/>
      <c r="D233" s="677"/>
      <c r="E233" s="677"/>
      <c r="F233" s="202"/>
      <c r="G233" s="669"/>
      <c r="H233" s="671"/>
      <c r="I233" s="673"/>
      <c r="J233" s="652"/>
      <c r="K233" s="667"/>
      <c r="L233" s="667"/>
      <c r="M233" s="652"/>
      <c r="N233" s="652"/>
      <c r="P233" s="190"/>
      <c r="Q233" s="190"/>
      <c r="R233" s="190"/>
      <c r="S233" s="190"/>
      <c r="T233" s="190"/>
      <c r="U233" s="190"/>
      <c r="V233" s="190"/>
      <c r="W233" s="190"/>
    </row>
    <row r="234" spans="1:23" s="189" customFormat="1" ht="40.200000000000003" customHeight="1" x14ac:dyDescent="0.3">
      <c r="A234" s="678" t="str">
        <f t="shared" ca="1" si="778"/>
        <v>a1G3p000003GJ5SEAW</v>
      </c>
      <c r="B234" s="674">
        <v>12</v>
      </c>
      <c r="C234" s="666" t="str">
        <f>IFERROR(VLOOKUP(B234,'Impact Indicators - Section B '!$A$9:$AF$52,32,FALSE),"")</f>
        <v/>
      </c>
      <c r="D234" s="676" t="str">
        <f t="shared" ref="D234" si="891">R234</f>
        <v/>
      </c>
      <c r="E234" s="676" t="str">
        <f t="shared" ref="E234" si="892">S234</f>
        <v/>
      </c>
      <c r="F234" s="194"/>
      <c r="G234" s="668" t="str">
        <f t="shared" ref="G234" ca="1" si="893">IF(OR(INDIRECT("'update Helper'!E"&amp;U234)=0,F234&lt;&gt;0,F235&lt;&gt;0),IF(IFERROR((F234/F235),"")="","",(F234/F235)),INDIRECT("'update Helper'!E"&amp;U234)/100)</f>
        <v/>
      </c>
      <c r="H234" s="670"/>
      <c r="I234" s="672"/>
      <c r="J234" s="651"/>
      <c r="K234" s="666" t="str">
        <f t="shared" ref="K234" si="894">W234</f>
        <v/>
      </c>
      <c r="L234" s="666" t="str">
        <f t="shared" ref="L234" si="895">V234</f>
        <v/>
      </c>
      <c r="M234" s="651"/>
      <c r="N234" s="651"/>
      <c r="P234" s="189">
        <f t="shared" ref="P234" si="896">IF(AND(EXACT(C234,C232),C232&lt;&gt;0),P232+1,0)</f>
        <v>92</v>
      </c>
      <c r="Q234" s="189" t="str">
        <f t="shared" ref="Q234" si="897">IF(C234&lt;&gt;"",C234&amp;"-"&amp;P234,"")</f>
        <v/>
      </c>
      <c r="R234" s="189" t="str">
        <f t="array" ref="R234">IFERROR(IF(INDEX('Disaggregation Records'!$E$3:$E$66,MATCH(RIGHT(Q234,255),RIGHT('Disaggregation Records'!$D$3:$D$66,255),0))=0,"",INDEX('Disaggregation Records'!$E$3:$E$66,MATCH(RIGHT(Q234,255),RIGHT('Disaggregation Records'!$D$3:$D$66,255),0))),"")</f>
        <v/>
      </c>
      <c r="S234" s="189" t="str">
        <f t="array" ref="S234">IFERROR(IF(INDEX('Disaggregation Records'!$F$3:$F$66,MATCH(RIGHT(Q234,255),RIGHT('Disaggregation Records'!$D$3:$D$66,255),0))=0,"",INDEX('Disaggregation Records'!$F$3:$F$66,MATCH(RIGHT(Q234,255),RIGHT('Disaggregation Records'!$D$3:$D$66,255),0))),"")</f>
        <v/>
      </c>
      <c r="T234" s="189" t="str">
        <f t="array" ref="T234">IFERROR(IF(INDEX('Disaggregation Records'!$H$3:$H$66,MATCH(RIGHT(Q234,255),RIGHT('Disaggregation Records'!$D$3:$D$66,255),0))=0,"",INDEX('Disaggregation Records'!$H$3:$H$66,MATCH(RIGHT(Q234,255),RIGHT('Disaggregation Records'!$D$3:$D$66,255),0))),"")</f>
        <v/>
      </c>
      <c r="U234" s="189">
        <f t="shared" ref="U234" si="898">U232+1</f>
        <v>1295</v>
      </c>
      <c r="V234" s="189" t="str">
        <f t="array" ref="V234">IFERROR(IF(INDEX('Disaggregation Records'!$I$3:$I$66,MATCH(RIGHT(Q234,255),RIGHT('Disaggregation Records'!$D$3:$D$66,255),0))=0,"",INDEX('Disaggregation Records'!$I$3:$I$66,MATCH(RIGHT(Q234,255),RIGHT('Disaggregation Records'!$D$3:$D$66,255),0))),"")</f>
        <v/>
      </c>
      <c r="W234" s="189" t="str">
        <f>IFERROR(INDEX('Reference Records'!O$3:O$15,MATCH(LEFT(C234,255),'Reference Records'!J$3:J$15,0)),"")</f>
        <v/>
      </c>
    </row>
    <row r="235" spans="1:23" s="190" customFormat="1" ht="40.200000000000003" customHeight="1" x14ac:dyDescent="0.3">
      <c r="A235" s="678"/>
      <c r="B235" s="675">
        <v>8.9060150375939902</v>
      </c>
      <c r="C235" s="667"/>
      <c r="D235" s="677"/>
      <c r="E235" s="677"/>
      <c r="F235" s="202"/>
      <c r="G235" s="669"/>
      <c r="H235" s="671"/>
      <c r="I235" s="673"/>
      <c r="J235" s="652"/>
      <c r="K235" s="667"/>
      <c r="L235" s="667"/>
      <c r="M235" s="652"/>
      <c r="N235" s="652"/>
    </row>
    <row r="236" spans="1:23" s="189" customFormat="1" ht="40.200000000000003" customHeight="1" x14ac:dyDescent="0.3">
      <c r="A236" s="678" t="str">
        <f t="shared" ca="1" si="778"/>
        <v>a1G3p000003GJ5TEAW</v>
      </c>
      <c r="B236" s="674">
        <v>12</v>
      </c>
      <c r="C236" s="666" t="str">
        <f>IFERROR(VLOOKUP(B236,'Impact Indicators - Section B '!$A$9:$AF$52,32,FALSE),"")</f>
        <v/>
      </c>
      <c r="D236" s="676" t="str">
        <f t="shared" ref="D236" si="899">R236</f>
        <v/>
      </c>
      <c r="E236" s="676" t="str">
        <f t="shared" ref="E236" si="900">S236</f>
        <v/>
      </c>
      <c r="F236" s="194"/>
      <c r="G236" s="668" t="str">
        <f t="shared" ref="G236" ca="1" si="901">IF(OR(INDIRECT("'update Helper'!E"&amp;U236)=0,F236&lt;&gt;0,F237&lt;&gt;0),IF(IFERROR((F236/F237),"")="","",(F236/F237)),INDIRECT("'update Helper'!E"&amp;U236)/100)</f>
        <v/>
      </c>
      <c r="H236" s="670"/>
      <c r="I236" s="672"/>
      <c r="J236" s="651"/>
      <c r="K236" s="666" t="str">
        <f t="shared" ref="K236" si="902">W236</f>
        <v/>
      </c>
      <c r="L236" s="666" t="str">
        <f t="shared" ref="L236" si="903">V236</f>
        <v/>
      </c>
      <c r="M236" s="651"/>
      <c r="N236" s="651"/>
      <c r="P236" s="189">
        <f t="shared" ref="P236" si="904">IF(AND(EXACT(C236,C234),C234&lt;&gt;0),P234+1,0)</f>
        <v>93</v>
      </c>
      <c r="Q236" s="189" t="str">
        <f t="shared" ref="Q236" si="905">IF(C236&lt;&gt;"",C236&amp;"-"&amp;P236,"")</f>
        <v/>
      </c>
      <c r="R236" s="189" t="str">
        <f t="array" ref="R236">IFERROR(IF(INDEX('Disaggregation Records'!$E$3:$E$66,MATCH(RIGHT(Q236,255),RIGHT('Disaggregation Records'!$D$3:$D$66,255),0))=0,"",INDEX('Disaggregation Records'!$E$3:$E$66,MATCH(RIGHT(Q236,255),RIGHT('Disaggregation Records'!$D$3:$D$66,255),0))),"")</f>
        <v/>
      </c>
      <c r="S236" s="189" t="str">
        <f t="array" ref="S236">IFERROR(IF(INDEX('Disaggregation Records'!$F$3:$F$66,MATCH(RIGHT(Q236,255),RIGHT('Disaggregation Records'!$D$3:$D$66,255),0))=0,"",INDEX('Disaggregation Records'!$F$3:$F$66,MATCH(RIGHT(Q236,255),RIGHT('Disaggregation Records'!$D$3:$D$66,255),0))),"")</f>
        <v/>
      </c>
      <c r="T236" s="189" t="str">
        <f t="array" ref="T236">IFERROR(IF(INDEX('Disaggregation Records'!$H$3:$H$66,MATCH(RIGHT(Q236,255),RIGHT('Disaggregation Records'!$D$3:$D$66,255),0))=0,"",INDEX('Disaggregation Records'!$H$3:$H$66,MATCH(RIGHT(Q236,255),RIGHT('Disaggregation Records'!$D$3:$D$66,255),0))),"")</f>
        <v/>
      </c>
      <c r="U236" s="189">
        <f t="shared" ref="U236" si="906">U234+1</f>
        <v>1296</v>
      </c>
      <c r="V236" s="189" t="str">
        <f t="array" ref="V236">IFERROR(IF(INDEX('Disaggregation Records'!$I$3:$I$66,MATCH(RIGHT(Q236,255),RIGHT('Disaggregation Records'!$D$3:$D$66,255),0))=0,"",INDEX('Disaggregation Records'!$I$3:$I$66,MATCH(RIGHT(Q236,255),RIGHT('Disaggregation Records'!$D$3:$D$66,255),0))),"")</f>
        <v/>
      </c>
      <c r="W236" s="189" t="str">
        <f>IFERROR(INDEX('Reference Records'!O$3:O$15,MATCH(LEFT(C236,255),'Reference Records'!J$3:J$15,0)),"")</f>
        <v/>
      </c>
    </row>
    <row r="237" spans="1:23" s="190" customFormat="1" ht="40.200000000000003" customHeight="1" x14ac:dyDescent="0.3">
      <c r="A237" s="678"/>
      <c r="B237" s="675">
        <v>8.9060150375939902</v>
      </c>
      <c r="C237" s="667"/>
      <c r="D237" s="677"/>
      <c r="E237" s="677"/>
      <c r="F237" s="202"/>
      <c r="G237" s="669"/>
      <c r="H237" s="671"/>
      <c r="I237" s="673"/>
      <c r="J237" s="652"/>
      <c r="K237" s="667"/>
      <c r="L237" s="667"/>
      <c r="M237" s="652"/>
      <c r="N237" s="652"/>
    </row>
    <row r="238" spans="1:23" s="189" customFormat="1" ht="40.200000000000003" customHeight="1" x14ac:dyDescent="0.3">
      <c r="A238" s="678" t="str">
        <f t="shared" ca="1" si="778"/>
        <v>a1G3p000003GJ5UEAW</v>
      </c>
      <c r="B238" s="674">
        <v>12</v>
      </c>
      <c r="C238" s="666" t="str">
        <f>IFERROR(VLOOKUP(B238,'Impact Indicators - Section B '!$A$9:$AF$52,32,FALSE),"")</f>
        <v/>
      </c>
      <c r="D238" s="676" t="str">
        <f t="shared" ref="D238" si="907">R238</f>
        <v/>
      </c>
      <c r="E238" s="676" t="str">
        <f t="shared" ref="E238" si="908">S238</f>
        <v/>
      </c>
      <c r="F238" s="194"/>
      <c r="G238" s="668" t="str">
        <f t="shared" ref="G238" ca="1" si="909">IF(OR(INDIRECT("'update Helper'!E"&amp;U238)=0,F238&lt;&gt;0,F239&lt;&gt;0),IF(IFERROR((F238/F239),"")="","",(F238/F239)),INDIRECT("'update Helper'!E"&amp;U238)/100)</f>
        <v/>
      </c>
      <c r="H238" s="670"/>
      <c r="I238" s="672"/>
      <c r="J238" s="651"/>
      <c r="K238" s="666" t="str">
        <f t="shared" ref="K238" si="910">W238</f>
        <v/>
      </c>
      <c r="L238" s="666" t="str">
        <f t="shared" ref="L238" si="911">V238</f>
        <v/>
      </c>
      <c r="M238" s="651"/>
      <c r="N238" s="651"/>
      <c r="P238" s="189">
        <f t="shared" ref="P238" si="912">IF(AND(EXACT(C238,C236),C236&lt;&gt;0),P236+1,0)</f>
        <v>94</v>
      </c>
      <c r="Q238" s="189" t="str">
        <f t="shared" ref="Q238" si="913">IF(C238&lt;&gt;"",C238&amp;"-"&amp;P238,"")</f>
        <v/>
      </c>
      <c r="R238" s="189" t="str">
        <f t="array" ref="R238">IFERROR(IF(INDEX('Disaggregation Records'!$E$3:$E$66,MATCH(RIGHT(Q238,255),RIGHT('Disaggregation Records'!$D$3:$D$66,255),0))=0,"",INDEX('Disaggregation Records'!$E$3:$E$66,MATCH(RIGHT(Q238,255),RIGHT('Disaggregation Records'!$D$3:$D$66,255),0))),"")</f>
        <v/>
      </c>
      <c r="S238" s="189" t="str">
        <f t="array" ref="S238">IFERROR(IF(INDEX('Disaggregation Records'!$F$3:$F$66,MATCH(RIGHT(Q238,255),RIGHT('Disaggregation Records'!$D$3:$D$66,255),0))=0,"",INDEX('Disaggregation Records'!$F$3:$F$66,MATCH(RIGHT(Q238,255),RIGHT('Disaggregation Records'!$D$3:$D$66,255),0))),"")</f>
        <v/>
      </c>
      <c r="T238" s="189" t="str">
        <f t="array" ref="T238">IFERROR(IF(INDEX('Disaggregation Records'!$H$3:$H$66,MATCH(RIGHT(Q238,255),RIGHT('Disaggregation Records'!$D$3:$D$66,255),0))=0,"",INDEX('Disaggregation Records'!$H$3:$H$66,MATCH(RIGHT(Q238,255),RIGHT('Disaggregation Records'!$D$3:$D$66,255),0))),"")</f>
        <v/>
      </c>
      <c r="U238" s="189">
        <f t="shared" ref="U238" si="914">U236+1</f>
        <v>1297</v>
      </c>
      <c r="V238" s="189" t="str">
        <f t="array" ref="V238">IFERROR(IF(INDEX('Disaggregation Records'!$I$3:$I$66,MATCH(RIGHT(Q238,255),RIGHT('Disaggregation Records'!$D$3:$D$66,255),0))=0,"",INDEX('Disaggregation Records'!$I$3:$I$66,MATCH(RIGHT(Q238,255),RIGHT('Disaggregation Records'!$D$3:$D$66,255),0))),"")</f>
        <v/>
      </c>
      <c r="W238" s="189" t="str">
        <f>IFERROR(INDEX('Reference Records'!O$3:O$15,MATCH(LEFT(C238,255),'Reference Records'!J$3:J$15,0)),"")</f>
        <v/>
      </c>
    </row>
    <row r="239" spans="1:23" s="189" customFormat="1" ht="40.200000000000003" customHeight="1" x14ac:dyDescent="0.3">
      <c r="A239" s="678"/>
      <c r="B239" s="675">
        <v>8.9060150375939902</v>
      </c>
      <c r="C239" s="667"/>
      <c r="D239" s="677"/>
      <c r="E239" s="677"/>
      <c r="F239" s="202"/>
      <c r="G239" s="669"/>
      <c r="H239" s="671"/>
      <c r="I239" s="673"/>
      <c r="J239" s="652"/>
      <c r="K239" s="667"/>
      <c r="L239" s="667"/>
      <c r="M239" s="652"/>
      <c r="N239" s="652"/>
      <c r="P239" s="190"/>
      <c r="Q239" s="190"/>
      <c r="R239" s="190"/>
      <c r="S239" s="190"/>
      <c r="T239" s="190"/>
      <c r="U239" s="190"/>
      <c r="V239" s="190"/>
      <c r="W239" s="190"/>
    </row>
    <row r="240" spans="1:23" s="189" customFormat="1" ht="40.200000000000003" customHeight="1" x14ac:dyDescent="0.3">
      <c r="A240" s="678" t="str">
        <f t="shared" ca="1" si="778"/>
        <v>a1G3p000003GJ5VEAW</v>
      </c>
      <c r="B240" s="674">
        <v>12</v>
      </c>
      <c r="C240" s="666" t="str">
        <f>IFERROR(VLOOKUP(B240,'Impact Indicators - Section B '!$A$9:$AF$52,32,FALSE),"")</f>
        <v/>
      </c>
      <c r="D240" s="676" t="str">
        <f t="shared" ref="D240" si="915">R240</f>
        <v/>
      </c>
      <c r="E240" s="676" t="str">
        <f t="shared" ref="E240" si="916">S240</f>
        <v/>
      </c>
      <c r="F240" s="194"/>
      <c r="G240" s="668" t="str">
        <f t="shared" ref="G240" ca="1" si="917">IF(OR(INDIRECT("'update Helper'!E"&amp;U240)=0,F240&lt;&gt;0,F241&lt;&gt;0),IF(IFERROR((F240/F241),"")="","",(F240/F241)),INDIRECT("'update Helper'!E"&amp;U240)/100)</f>
        <v/>
      </c>
      <c r="H240" s="670"/>
      <c r="I240" s="672"/>
      <c r="J240" s="651"/>
      <c r="K240" s="666" t="str">
        <f t="shared" ref="K240" si="918">W240</f>
        <v/>
      </c>
      <c r="L240" s="666" t="str">
        <f t="shared" ref="L240" si="919">V240</f>
        <v/>
      </c>
      <c r="M240" s="651"/>
      <c r="N240" s="651"/>
      <c r="P240" s="189">
        <f t="shared" ref="P240" si="920">IF(AND(EXACT(C240,C238),C238&lt;&gt;0),P238+1,0)</f>
        <v>95</v>
      </c>
      <c r="Q240" s="189" t="str">
        <f t="shared" ref="Q240" si="921">IF(C240&lt;&gt;"",C240&amp;"-"&amp;P240,"")</f>
        <v/>
      </c>
      <c r="R240" s="189" t="str">
        <f t="array" ref="R240">IFERROR(IF(INDEX('Disaggregation Records'!$E$3:$E$66,MATCH(RIGHT(Q240,255),RIGHT('Disaggregation Records'!$D$3:$D$66,255),0))=0,"",INDEX('Disaggregation Records'!$E$3:$E$66,MATCH(RIGHT(Q240,255),RIGHT('Disaggregation Records'!$D$3:$D$66,255),0))),"")</f>
        <v/>
      </c>
      <c r="S240" s="189" t="str">
        <f t="array" ref="S240">IFERROR(IF(INDEX('Disaggregation Records'!$F$3:$F$66,MATCH(RIGHT(Q240,255),RIGHT('Disaggregation Records'!$D$3:$D$66,255),0))=0,"",INDEX('Disaggregation Records'!$F$3:$F$66,MATCH(RIGHT(Q240,255),RIGHT('Disaggregation Records'!$D$3:$D$66,255),0))),"")</f>
        <v/>
      </c>
      <c r="T240" s="189" t="str">
        <f t="array" ref="T240">IFERROR(IF(INDEX('Disaggregation Records'!$H$3:$H$66,MATCH(RIGHT(Q240,255),RIGHT('Disaggregation Records'!$D$3:$D$66,255),0))=0,"",INDEX('Disaggregation Records'!$H$3:$H$66,MATCH(RIGHT(Q240,255),RIGHT('Disaggregation Records'!$D$3:$D$66,255),0))),"")</f>
        <v/>
      </c>
      <c r="U240" s="189">
        <f t="shared" ref="U240" si="922">U238+1</f>
        <v>1298</v>
      </c>
      <c r="V240" s="189" t="str">
        <f t="array" ref="V240">IFERROR(IF(INDEX('Disaggregation Records'!$I$3:$I$66,MATCH(RIGHT(Q240,255),RIGHT('Disaggregation Records'!$D$3:$D$66,255),0))=0,"",INDEX('Disaggregation Records'!$I$3:$I$66,MATCH(RIGHT(Q240,255),RIGHT('Disaggregation Records'!$D$3:$D$66,255),0))),"")</f>
        <v/>
      </c>
      <c r="W240" s="189" t="str">
        <f>IFERROR(INDEX('Reference Records'!O$3:O$15,MATCH(LEFT(C240,255),'Reference Records'!J$3:J$15,0)),"")</f>
        <v/>
      </c>
    </row>
    <row r="241" spans="1:23" s="190" customFormat="1" ht="40.200000000000003" customHeight="1" x14ac:dyDescent="0.3">
      <c r="A241" s="678"/>
      <c r="B241" s="675">
        <v>8.9060150375939902</v>
      </c>
      <c r="C241" s="667"/>
      <c r="D241" s="677"/>
      <c r="E241" s="677"/>
      <c r="F241" s="202"/>
      <c r="G241" s="669"/>
      <c r="H241" s="671"/>
      <c r="I241" s="673"/>
      <c r="J241" s="652"/>
      <c r="K241" s="667"/>
      <c r="L241" s="667"/>
      <c r="M241" s="652"/>
      <c r="N241" s="652"/>
    </row>
    <row r="242" spans="1:23" s="189" customFormat="1" ht="40.200000000000003" customHeight="1" x14ac:dyDescent="0.3">
      <c r="A242" s="678" t="str">
        <f t="shared" ca="1" si="778"/>
        <v>a1G3p000003GJ5WEAW</v>
      </c>
      <c r="B242" s="674">
        <v>12</v>
      </c>
      <c r="C242" s="666" t="str">
        <f>IFERROR(VLOOKUP(B242,'Impact Indicators - Section B '!$A$9:$AF$52,32,FALSE),"")</f>
        <v/>
      </c>
      <c r="D242" s="676" t="str">
        <f t="shared" ref="D242" si="923">R242</f>
        <v/>
      </c>
      <c r="E242" s="676" t="str">
        <f t="shared" ref="E242" si="924">S242</f>
        <v/>
      </c>
      <c r="F242" s="194"/>
      <c r="G242" s="668" t="str">
        <f t="shared" ref="G242" ca="1" si="925">IF(OR(INDIRECT("'update Helper'!E"&amp;U242)=0,F242&lt;&gt;0,F243&lt;&gt;0),IF(IFERROR((F242/F243),"")="","",(F242/F243)),INDIRECT("'update Helper'!E"&amp;U242)/100)</f>
        <v/>
      </c>
      <c r="H242" s="670"/>
      <c r="I242" s="672"/>
      <c r="J242" s="651"/>
      <c r="K242" s="666" t="str">
        <f t="shared" ref="K242" si="926">W242</f>
        <v/>
      </c>
      <c r="L242" s="666" t="str">
        <f t="shared" ref="L242" si="927">V242</f>
        <v/>
      </c>
      <c r="M242" s="651"/>
      <c r="N242" s="651"/>
      <c r="P242" s="189">
        <f t="shared" ref="P242" si="928">IF(AND(EXACT(C242,C240),C240&lt;&gt;0),P240+1,0)</f>
        <v>96</v>
      </c>
      <c r="Q242" s="189" t="str">
        <f t="shared" ref="Q242" si="929">IF(C242&lt;&gt;"",C242&amp;"-"&amp;P242,"")</f>
        <v/>
      </c>
      <c r="R242" s="189" t="str">
        <f t="array" ref="R242">IFERROR(IF(INDEX('Disaggregation Records'!$E$3:$E$66,MATCH(RIGHT(Q242,255),RIGHT('Disaggregation Records'!$D$3:$D$66,255),0))=0,"",INDEX('Disaggregation Records'!$E$3:$E$66,MATCH(RIGHT(Q242,255),RIGHT('Disaggregation Records'!$D$3:$D$66,255),0))),"")</f>
        <v/>
      </c>
      <c r="S242" s="189" t="str">
        <f t="array" ref="S242">IFERROR(IF(INDEX('Disaggregation Records'!$F$3:$F$66,MATCH(RIGHT(Q242,255),RIGHT('Disaggregation Records'!$D$3:$D$66,255),0))=0,"",INDEX('Disaggregation Records'!$F$3:$F$66,MATCH(RIGHT(Q242,255),RIGHT('Disaggregation Records'!$D$3:$D$66,255),0))),"")</f>
        <v/>
      </c>
      <c r="T242" s="189" t="str">
        <f t="array" ref="T242">IFERROR(IF(INDEX('Disaggregation Records'!$H$3:$H$66,MATCH(RIGHT(Q242,255),RIGHT('Disaggregation Records'!$D$3:$D$66,255),0))=0,"",INDEX('Disaggregation Records'!$H$3:$H$66,MATCH(RIGHT(Q242,255),RIGHT('Disaggregation Records'!$D$3:$D$66,255),0))),"")</f>
        <v/>
      </c>
      <c r="U242" s="189">
        <f t="shared" ref="U242" si="930">U240+1</f>
        <v>1299</v>
      </c>
      <c r="V242" s="189" t="str">
        <f t="array" ref="V242">IFERROR(IF(INDEX('Disaggregation Records'!$I$3:$I$66,MATCH(RIGHT(Q242,255),RIGHT('Disaggregation Records'!$D$3:$D$66,255),0))=0,"",INDEX('Disaggregation Records'!$I$3:$I$66,MATCH(RIGHT(Q242,255),RIGHT('Disaggregation Records'!$D$3:$D$66,255),0))),"")</f>
        <v/>
      </c>
      <c r="W242" s="189" t="str">
        <f>IFERROR(INDEX('Reference Records'!O$3:O$15,MATCH(LEFT(C242,255),'Reference Records'!J$3:J$15,0)),"")</f>
        <v/>
      </c>
    </row>
    <row r="243" spans="1:23" s="190" customFormat="1" ht="40.200000000000003" customHeight="1" x14ac:dyDescent="0.3">
      <c r="A243" s="678"/>
      <c r="B243" s="675">
        <v>8.9060150375939902</v>
      </c>
      <c r="C243" s="667"/>
      <c r="D243" s="677"/>
      <c r="E243" s="677"/>
      <c r="F243" s="202"/>
      <c r="G243" s="669"/>
      <c r="H243" s="671"/>
      <c r="I243" s="673"/>
      <c r="J243" s="652"/>
      <c r="K243" s="667"/>
      <c r="L243" s="667"/>
      <c r="M243" s="652"/>
      <c r="N243" s="652"/>
    </row>
    <row r="244" spans="1:23" s="189" customFormat="1" ht="40.200000000000003" customHeight="1" x14ac:dyDescent="0.3">
      <c r="A244" s="678" t="str">
        <f t="shared" ca="1" si="778"/>
        <v>a1G3p000003GJ5XEAW</v>
      </c>
      <c r="B244" s="674">
        <v>12</v>
      </c>
      <c r="C244" s="666" t="str">
        <f>IFERROR(VLOOKUP(B244,'Impact Indicators - Section B '!$A$9:$AF$52,32,FALSE),"")</f>
        <v/>
      </c>
      <c r="D244" s="676" t="str">
        <f t="shared" ref="D244" si="931">R244</f>
        <v/>
      </c>
      <c r="E244" s="676" t="str">
        <f t="shared" ref="E244" si="932">S244</f>
        <v/>
      </c>
      <c r="F244" s="194"/>
      <c r="G244" s="668" t="str">
        <f t="shared" ref="G244" ca="1" si="933">IF(OR(INDIRECT("'update Helper'!E"&amp;U244)=0,F244&lt;&gt;0,F245&lt;&gt;0),IF(IFERROR((F244/F245),"")="","",(F244/F245)),INDIRECT("'update Helper'!E"&amp;U244)/100)</f>
        <v/>
      </c>
      <c r="H244" s="670"/>
      <c r="I244" s="672"/>
      <c r="J244" s="651"/>
      <c r="K244" s="666" t="str">
        <f t="shared" ref="K244" si="934">W244</f>
        <v/>
      </c>
      <c r="L244" s="666" t="str">
        <f t="shared" ref="L244" si="935">V244</f>
        <v/>
      </c>
      <c r="M244" s="651"/>
      <c r="N244" s="651"/>
      <c r="P244" s="189">
        <f t="shared" ref="P244" si="936">IF(AND(EXACT(C244,C242),C242&lt;&gt;0),P242+1,0)</f>
        <v>97</v>
      </c>
      <c r="Q244" s="189" t="str">
        <f t="shared" ref="Q244" si="937">IF(C244&lt;&gt;"",C244&amp;"-"&amp;P244,"")</f>
        <v/>
      </c>
      <c r="R244" s="189" t="str">
        <f t="array" ref="R244">IFERROR(IF(INDEX('Disaggregation Records'!$E$3:$E$66,MATCH(RIGHT(Q244,255),RIGHT('Disaggregation Records'!$D$3:$D$66,255),0))=0,"",INDEX('Disaggregation Records'!$E$3:$E$66,MATCH(RIGHT(Q244,255),RIGHT('Disaggregation Records'!$D$3:$D$66,255),0))),"")</f>
        <v/>
      </c>
      <c r="S244" s="189" t="str">
        <f t="array" ref="S244">IFERROR(IF(INDEX('Disaggregation Records'!$F$3:$F$66,MATCH(RIGHT(Q244,255),RIGHT('Disaggregation Records'!$D$3:$D$66,255),0))=0,"",INDEX('Disaggregation Records'!$F$3:$F$66,MATCH(RIGHT(Q244,255),RIGHT('Disaggregation Records'!$D$3:$D$66,255),0))),"")</f>
        <v/>
      </c>
      <c r="T244" s="189" t="str">
        <f t="array" ref="T244">IFERROR(IF(INDEX('Disaggregation Records'!$H$3:$H$66,MATCH(RIGHT(Q244,255),RIGHT('Disaggregation Records'!$D$3:$D$66,255),0))=0,"",INDEX('Disaggregation Records'!$H$3:$H$66,MATCH(RIGHT(Q244,255),RIGHT('Disaggregation Records'!$D$3:$D$66,255),0))),"")</f>
        <v/>
      </c>
      <c r="U244" s="189">
        <f t="shared" ref="U244" si="938">U242+1</f>
        <v>1300</v>
      </c>
      <c r="V244" s="189" t="str">
        <f t="array" ref="V244">IFERROR(IF(INDEX('Disaggregation Records'!$I$3:$I$66,MATCH(RIGHT(Q244,255),RIGHT('Disaggregation Records'!$D$3:$D$66,255),0))=0,"",INDEX('Disaggregation Records'!$I$3:$I$66,MATCH(RIGHT(Q244,255),RIGHT('Disaggregation Records'!$D$3:$D$66,255),0))),"")</f>
        <v/>
      </c>
      <c r="W244" s="189" t="str">
        <f>IFERROR(INDEX('Reference Records'!O$3:O$15,MATCH(LEFT(C244,255),'Reference Records'!J$3:J$15,0)),"")</f>
        <v/>
      </c>
    </row>
    <row r="245" spans="1:23" s="189" customFormat="1" ht="40.200000000000003" customHeight="1" x14ac:dyDescent="0.3">
      <c r="A245" s="678"/>
      <c r="B245" s="675">
        <v>8.9060150375939902</v>
      </c>
      <c r="C245" s="667"/>
      <c r="D245" s="677"/>
      <c r="E245" s="677"/>
      <c r="F245" s="202"/>
      <c r="G245" s="669"/>
      <c r="H245" s="671"/>
      <c r="I245" s="673"/>
      <c r="J245" s="652"/>
      <c r="K245" s="667"/>
      <c r="L245" s="667"/>
      <c r="M245" s="652"/>
      <c r="N245" s="652"/>
      <c r="P245" s="190"/>
      <c r="Q245" s="190"/>
      <c r="R245" s="190"/>
      <c r="S245" s="190"/>
      <c r="T245" s="190"/>
      <c r="U245" s="190"/>
      <c r="V245" s="190"/>
      <c r="W245" s="190"/>
    </row>
    <row r="246" spans="1:23" s="189" customFormat="1" ht="40.200000000000003" customHeight="1" x14ac:dyDescent="0.3">
      <c r="A246" s="678" t="str">
        <f t="shared" ca="1" si="778"/>
        <v>a1G3p000003GJ5YEAW</v>
      </c>
      <c r="B246" s="674">
        <v>12</v>
      </c>
      <c r="C246" s="666" t="str">
        <f>IFERROR(VLOOKUP(B246,'Impact Indicators - Section B '!$A$9:$AF$52,32,FALSE),"")</f>
        <v/>
      </c>
      <c r="D246" s="676" t="str">
        <f t="shared" ref="D246" si="939">R246</f>
        <v/>
      </c>
      <c r="E246" s="676" t="str">
        <f t="shared" ref="E246" si="940">S246</f>
        <v/>
      </c>
      <c r="F246" s="194"/>
      <c r="G246" s="668" t="str">
        <f t="shared" ref="G246" ca="1" si="941">IF(OR(INDIRECT("'update Helper'!E"&amp;U246)=0,F246&lt;&gt;0,F247&lt;&gt;0),IF(IFERROR((F246/F247),"")="","",(F246/F247)),INDIRECT("'update Helper'!E"&amp;U246)/100)</f>
        <v/>
      </c>
      <c r="H246" s="670"/>
      <c r="I246" s="672"/>
      <c r="J246" s="651"/>
      <c r="K246" s="666" t="str">
        <f t="shared" ref="K246" si="942">W246</f>
        <v/>
      </c>
      <c r="L246" s="666" t="str">
        <f t="shared" ref="L246" si="943">V246</f>
        <v/>
      </c>
      <c r="M246" s="651"/>
      <c r="N246" s="651"/>
      <c r="P246" s="189">
        <f t="shared" ref="P246" si="944">IF(AND(EXACT(C246,C244),C244&lt;&gt;0),P244+1,0)</f>
        <v>98</v>
      </c>
      <c r="Q246" s="189" t="str">
        <f t="shared" ref="Q246" si="945">IF(C246&lt;&gt;"",C246&amp;"-"&amp;P246,"")</f>
        <v/>
      </c>
      <c r="R246" s="189" t="str">
        <f t="array" ref="R246">IFERROR(IF(INDEX('Disaggregation Records'!$E$3:$E$66,MATCH(RIGHT(Q246,255),RIGHT('Disaggregation Records'!$D$3:$D$66,255),0))=0,"",INDEX('Disaggregation Records'!$E$3:$E$66,MATCH(RIGHT(Q246,255),RIGHT('Disaggregation Records'!$D$3:$D$66,255),0))),"")</f>
        <v/>
      </c>
      <c r="S246" s="189" t="str">
        <f t="array" ref="S246">IFERROR(IF(INDEX('Disaggregation Records'!$F$3:$F$66,MATCH(RIGHT(Q246,255),RIGHT('Disaggregation Records'!$D$3:$D$66,255),0))=0,"",INDEX('Disaggregation Records'!$F$3:$F$66,MATCH(RIGHT(Q246,255),RIGHT('Disaggregation Records'!$D$3:$D$66,255),0))),"")</f>
        <v/>
      </c>
      <c r="T246" s="189" t="str">
        <f t="array" ref="T246">IFERROR(IF(INDEX('Disaggregation Records'!$H$3:$H$66,MATCH(RIGHT(Q246,255),RIGHT('Disaggregation Records'!$D$3:$D$66,255),0))=0,"",INDEX('Disaggregation Records'!$H$3:$H$66,MATCH(RIGHT(Q246,255),RIGHT('Disaggregation Records'!$D$3:$D$66,255),0))),"")</f>
        <v/>
      </c>
      <c r="U246" s="189">
        <f t="shared" ref="U246" si="946">U244+1</f>
        <v>1301</v>
      </c>
      <c r="V246" s="189" t="str">
        <f t="array" ref="V246">IFERROR(IF(INDEX('Disaggregation Records'!$I$3:$I$66,MATCH(RIGHT(Q246,255),RIGHT('Disaggregation Records'!$D$3:$D$66,255),0))=0,"",INDEX('Disaggregation Records'!$I$3:$I$66,MATCH(RIGHT(Q246,255),RIGHT('Disaggregation Records'!$D$3:$D$66,255),0))),"")</f>
        <v/>
      </c>
      <c r="W246" s="189" t="str">
        <f>IFERROR(INDEX('Reference Records'!O$3:O$15,MATCH(LEFT(C246,255),'Reference Records'!J$3:J$15,0)),"")</f>
        <v/>
      </c>
    </row>
    <row r="247" spans="1:23" s="190" customFormat="1" ht="40.200000000000003" customHeight="1" x14ac:dyDescent="0.3">
      <c r="A247" s="678"/>
      <c r="B247" s="675">
        <v>8.9060150375939902</v>
      </c>
      <c r="C247" s="667"/>
      <c r="D247" s="677"/>
      <c r="E247" s="677"/>
      <c r="F247" s="202"/>
      <c r="G247" s="669"/>
      <c r="H247" s="671"/>
      <c r="I247" s="673"/>
      <c r="J247" s="652"/>
      <c r="K247" s="667"/>
      <c r="L247" s="667"/>
      <c r="M247" s="652"/>
      <c r="N247" s="652"/>
    </row>
    <row r="248" spans="1:23" s="189" customFormat="1" ht="40.200000000000003" customHeight="1" x14ac:dyDescent="0.3">
      <c r="A248" s="678" t="str">
        <f t="shared" ca="1" si="778"/>
        <v>a1G3p000003GJ5ZEAW</v>
      </c>
      <c r="B248" s="674">
        <v>12</v>
      </c>
      <c r="C248" s="666" t="str">
        <f>IFERROR(VLOOKUP(B248,'Impact Indicators - Section B '!$A$9:$AF$52,32,FALSE),"")</f>
        <v/>
      </c>
      <c r="D248" s="676" t="str">
        <f t="shared" ref="D248" si="947">R248</f>
        <v/>
      </c>
      <c r="E248" s="676" t="str">
        <f t="shared" ref="E248" si="948">S248</f>
        <v/>
      </c>
      <c r="F248" s="194"/>
      <c r="G248" s="668" t="str">
        <f t="shared" ref="G248" ca="1" si="949">IF(OR(INDIRECT("'update Helper'!E"&amp;U248)=0,F248&lt;&gt;0,F249&lt;&gt;0),IF(IFERROR((F248/F249),"")="","",(F248/F249)),INDIRECT("'update Helper'!E"&amp;U248)/100)</f>
        <v/>
      </c>
      <c r="H248" s="670"/>
      <c r="I248" s="672"/>
      <c r="J248" s="651"/>
      <c r="K248" s="666" t="str">
        <f t="shared" ref="K248" si="950">W248</f>
        <v/>
      </c>
      <c r="L248" s="666" t="str">
        <f t="shared" ref="L248" si="951">V248</f>
        <v/>
      </c>
      <c r="M248" s="651"/>
      <c r="N248" s="651"/>
      <c r="P248" s="189">
        <f t="shared" ref="P248" si="952">IF(AND(EXACT(C248,C246),C246&lt;&gt;0),P246+1,0)</f>
        <v>99</v>
      </c>
      <c r="Q248" s="189" t="str">
        <f t="shared" ref="Q248" si="953">IF(C248&lt;&gt;"",C248&amp;"-"&amp;P248,"")</f>
        <v/>
      </c>
      <c r="R248" s="189" t="str">
        <f t="array" ref="R248">IFERROR(IF(INDEX('Disaggregation Records'!$E$3:$E$66,MATCH(RIGHT(Q248,255),RIGHT('Disaggregation Records'!$D$3:$D$66,255),0))=0,"",INDEX('Disaggregation Records'!$E$3:$E$66,MATCH(RIGHT(Q248,255),RIGHT('Disaggregation Records'!$D$3:$D$66,255),0))),"")</f>
        <v/>
      </c>
      <c r="S248" s="189" t="str">
        <f t="array" ref="S248">IFERROR(IF(INDEX('Disaggregation Records'!$F$3:$F$66,MATCH(RIGHT(Q248,255),RIGHT('Disaggregation Records'!$D$3:$D$66,255),0))=0,"",INDEX('Disaggregation Records'!$F$3:$F$66,MATCH(RIGHT(Q248,255),RIGHT('Disaggregation Records'!$D$3:$D$66,255),0))),"")</f>
        <v/>
      </c>
      <c r="T248" s="189" t="str">
        <f t="array" ref="T248">IFERROR(IF(INDEX('Disaggregation Records'!$H$3:$H$66,MATCH(RIGHT(Q248,255),RIGHT('Disaggregation Records'!$D$3:$D$66,255),0))=0,"",INDEX('Disaggregation Records'!$H$3:$H$66,MATCH(RIGHT(Q248,255),RIGHT('Disaggregation Records'!$D$3:$D$66,255),0))),"")</f>
        <v/>
      </c>
      <c r="U248" s="189">
        <f t="shared" ref="U248" si="954">U246+1</f>
        <v>1302</v>
      </c>
      <c r="V248" s="189" t="str">
        <f t="array" ref="V248">IFERROR(IF(INDEX('Disaggregation Records'!$I$3:$I$66,MATCH(RIGHT(Q248,255),RIGHT('Disaggregation Records'!$D$3:$D$66,255),0))=0,"",INDEX('Disaggregation Records'!$I$3:$I$66,MATCH(RIGHT(Q248,255),RIGHT('Disaggregation Records'!$D$3:$D$66,255),0))),"")</f>
        <v/>
      </c>
      <c r="W248" s="189" t="str">
        <f>IFERROR(INDEX('Reference Records'!O$3:O$15,MATCH(LEFT(C248,255),'Reference Records'!J$3:J$15,0)),"")</f>
        <v/>
      </c>
    </row>
    <row r="249" spans="1:23" s="190" customFormat="1" ht="40.200000000000003" customHeight="1" x14ac:dyDescent="0.3">
      <c r="A249" s="678"/>
      <c r="B249" s="675">
        <v>8.9060150375939902</v>
      </c>
      <c r="C249" s="667"/>
      <c r="D249" s="677"/>
      <c r="E249" s="677"/>
      <c r="F249" s="202"/>
      <c r="G249" s="669"/>
      <c r="H249" s="671"/>
      <c r="I249" s="673"/>
      <c r="J249" s="652"/>
      <c r="K249" s="667"/>
      <c r="L249" s="667"/>
      <c r="M249" s="652"/>
      <c r="N249" s="652"/>
    </row>
    <row r="250" spans="1:23" s="189" customFormat="1" ht="40.200000000000003" customHeight="1" x14ac:dyDescent="0.3">
      <c r="A250" s="678" t="str">
        <f t="shared" ca="1" si="778"/>
        <v>a1G3p000003GJ5aEAG</v>
      </c>
      <c r="B250" s="674">
        <v>13</v>
      </c>
      <c r="C250" s="666" t="str">
        <f>IFERROR(VLOOKUP(B250,'Impact Indicators - Section B '!$A$9:$AF$52,32,FALSE),"")</f>
        <v/>
      </c>
      <c r="D250" s="676" t="str">
        <f t="shared" ref="D250" si="955">R250</f>
        <v/>
      </c>
      <c r="E250" s="676" t="str">
        <f t="shared" ref="E250" si="956">S250</f>
        <v/>
      </c>
      <c r="F250" s="194"/>
      <c r="G250" s="668" t="str">
        <f t="shared" ref="G250" ca="1" si="957">IF(OR(INDIRECT("'update Helper'!E"&amp;U250)=0,F250&lt;&gt;0,F251&lt;&gt;0),IF(IFERROR((F250/F251),"")="","",(F250/F251)),INDIRECT("'update Helper'!E"&amp;U250)/100)</f>
        <v/>
      </c>
      <c r="H250" s="670"/>
      <c r="I250" s="672"/>
      <c r="J250" s="651"/>
      <c r="K250" s="666" t="str">
        <f t="shared" ref="K250" si="958">W250</f>
        <v/>
      </c>
      <c r="L250" s="666" t="str">
        <f t="shared" ref="L250" si="959">V250</f>
        <v/>
      </c>
      <c r="M250" s="651"/>
      <c r="N250" s="651"/>
      <c r="P250" s="189">
        <f t="shared" ref="P250" si="960">IF(AND(EXACT(C250,C248),C248&lt;&gt;0),P248+1,0)</f>
        <v>100</v>
      </c>
      <c r="Q250" s="189" t="str">
        <f t="shared" ref="Q250" si="961">IF(C250&lt;&gt;"",C250&amp;"-"&amp;P250,"")</f>
        <v/>
      </c>
      <c r="R250" s="189" t="str">
        <f t="array" ref="R250">IFERROR(IF(INDEX('Disaggregation Records'!$E$3:$E$66,MATCH(RIGHT(Q250,255),RIGHT('Disaggregation Records'!$D$3:$D$66,255),0))=0,"",INDEX('Disaggregation Records'!$E$3:$E$66,MATCH(RIGHT(Q250,255),RIGHT('Disaggregation Records'!$D$3:$D$66,255),0))),"")</f>
        <v/>
      </c>
      <c r="S250" s="189" t="str">
        <f t="array" ref="S250">IFERROR(IF(INDEX('Disaggregation Records'!$F$3:$F$66,MATCH(RIGHT(Q250,255),RIGHT('Disaggregation Records'!$D$3:$D$66,255),0))=0,"",INDEX('Disaggregation Records'!$F$3:$F$66,MATCH(RIGHT(Q250,255),RIGHT('Disaggregation Records'!$D$3:$D$66,255),0))),"")</f>
        <v/>
      </c>
      <c r="T250" s="189" t="str">
        <f t="array" ref="T250">IFERROR(IF(INDEX('Disaggregation Records'!$H$3:$H$66,MATCH(RIGHT(Q250,255),RIGHT('Disaggregation Records'!$D$3:$D$66,255),0))=0,"",INDEX('Disaggregation Records'!$H$3:$H$66,MATCH(RIGHT(Q250,255),RIGHT('Disaggregation Records'!$D$3:$D$66,255),0))),"")</f>
        <v/>
      </c>
      <c r="U250" s="189">
        <f t="shared" ref="U250" si="962">U248+1</f>
        <v>1303</v>
      </c>
      <c r="V250" s="189" t="str">
        <f t="array" ref="V250">IFERROR(IF(INDEX('Disaggregation Records'!$I$3:$I$66,MATCH(RIGHT(Q250,255),RIGHT('Disaggregation Records'!$D$3:$D$66,255),0))=0,"",INDEX('Disaggregation Records'!$I$3:$I$66,MATCH(RIGHT(Q250,255),RIGHT('Disaggregation Records'!$D$3:$D$66,255),0))),"")</f>
        <v/>
      </c>
      <c r="W250" s="189" t="str">
        <f>IFERROR(INDEX('Reference Records'!O$3:O$15,MATCH(LEFT(C250,255),'Reference Records'!J$3:J$15,0)),"")</f>
        <v/>
      </c>
    </row>
    <row r="251" spans="1:23" s="189" customFormat="1" ht="40.200000000000003" customHeight="1" x14ac:dyDescent="0.3">
      <c r="A251" s="678"/>
      <c r="B251" s="675">
        <v>9.6203007518797108</v>
      </c>
      <c r="C251" s="667"/>
      <c r="D251" s="677"/>
      <c r="E251" s="677"/>
      <c r="F251" s="202"/>
      <c r="G251" s="669"/>
      <c r="H251" s="671"/>
      <c r="I251" s="673"/>
      <c r="J251" s="652"/>
      <c r="K251" s="667"/>
      <c r="L251" s="667"/>
      <c r="M251" s="652"/>
      <c r="N251" s="652"/>
      <c r="P251" s="190"/>
      <c r="Q251" s="190"/>
      <c r="R251" s="190"/>
      <c r="S251" s="190"/>
      <c r="T251" s="190"/>
      <c r="U251" s="190"/>
      <c r="V251" s="190"/>
      <c r="W251" s="190"/>
    </row>
    <row r="252" spans="1:23" s="189" customFormat="1" ht="40.200000000000003" customHeight="1" x14ac:dyDescent="0.3">
      <c r="A252" s="678" t="str">
        <f t="shared" ca="1" si="778"/>
        <v>a1G3p000003GJ5bEAG</v>
      </c>
      <c r="B252" s="674">
        <v>13</v>
      </c>
      <c r="C252" s="666" t="str">
        <f>IFERROR(VLOOKUP(B252,'Impact Indicators - Section B '!$A$9:$AF$52,32,FALSE),"")</f>
        <v/>
      </c>
      <c r="D252" s="676" t="str">
        <f t="shared" ref="D252" si="963">R252</f>
        <v/>
      </c>
      <c r="E252" s="676" t="str">
        <f t="shared" ref="E252" si="964">S252</f>
        <v/>
      </c>
      <c r="F252" s="194"/>
      <c r="G252" s="668" t="str">
        <f t="shared" ref="G252" ca="1" si="965">IF(OR(INDIRECT("'update Helper'!E"&amp;U252)=0,F252&lt;&gt;0,F253&lt;&gt;0),IF(IFERROR((F252/F253),"")="","",(F252/F253)),INDIRECT("'update Helper'!E"&amp;U252)/100)</f>
        <v/>
      </c>
      <c r="H252" s="670"/>
      <c r="I252" s="672"/>
      <c r="J252" s="651"/>
      <c r="K252" s="666" t="str">
        <f t="shared" ref="K252" si="966">W252</f>
        <v/>
      </c>
      <c r="L252" s="666" t="str">
        <f t="shared" ref="L252" si="967">V252</f>
        <v/>
      </c>
      <c r="M252" s="651"/>
      <c r="N252" s="651"/>
      <c r="P252" s="189">
        <f t="shared" ref="P252" si="968">IF(AND(EXACT(C252,C250),C250&lt;&gt;0),P250+1,0)</f>
        <v>101</v>
      </c>
      <c r="Q252" s="189" t="str">
        <f t="shared" ref="Q252" si="969">IF(C252&lt;&gt;"",C252&amp;"-"&amp;P252,"")</f>
        <v/>
      </c>
      <c r="R252" s="189" t="str">
        <f t="array" ref="R252">IFERROR(IF(INDEX('Disaggregation Records'!$E$3:$E$66,MATCH(RIGHT(Q252,255),RIGHT('Disaggregation Records'!$D$3:$D$66,255),0))=0,"",INDEX('Disaggregation Records'!$E$3:$E$66,MATCH(RIGHT(Q252,255),RIGHT('Disaggregation Records'!$D$3:$D$66,255),0))),"")</f>
        <v/>
      </c>
      <c r="S252" s="189" t="str">
        <f t="array" ref="S252">IFERROR(IF(INDEX('Disaggregation Records'!$F$3:$F$66,MATCH(RIGHT(Q252,255),RIGHT('Disaggregation Records'!$D$3:$D$66,255),0))=0,"",INDEX('Disaggregation Records'!$F$3:$F$66,MATCH(RIGHT(Q252,255),RIGHT('Disaggregation Records'!$D$3:$D$66,255),0))),"")</f>
        <v/>
      </c>
      <c r="T252" s="189" t="str">
        <f t="array" ref="T252">IFERROR(IF(INDEX('Disaggregation Records'!$H$3:$H$66,MATCH(RIGHT(Q252,255),RIGHT('Disaggregation Records'!$D$3:$D$66,255),0))=0,"",INDEX('Disaggregation Records'!$H$3:$H$66,MATCH(RIGHT(Q252,255),RIGHT('Disaggregation Records'!$D$3:$D$66,255),0))),"")</f>
        <v/>
      </c>
      <c r="U252" s="189">
        <f t="shared" ref="U252" si="970">U250+1</f>
        <v>1304</v>
      </c>
      <c r="V252" s="189" t="str">
        <f t="array" ref="V252">IFERROR(IF(INDEX('Disaggregation Records'!$I$3:$I$66,MATCH(RIGHT(Q252,255),RIGHT('Disaggregation Records'!$D$3:$D$66,255),0))=0,"",INDEX('Disaggregation Records'!$I$3:$I$66,MATCH(RIGHT(Q252,255),RIGHT('Disaggregation Records'!$D$3:$D$66,255),0))),"")</f>
        <v/>
      </c>
      <c r="W252" s="189" t="str">
        <f>IFERROR(INDEX('Reference Records'!O$3:O$15,MATCH(LEFT(C252,255),'Reference Records'!J$3:J$15,0)),"")</f>
        <v/>
      </c>
    </row>
    <row r="253" spans="1:23" s="190" customFormat="1" ht="40.200000000000003" customHeight="1" x14ac:dyDescent="0.3">
      <c r="A253" s="678"/>
      <c r="B253" s="675">
        <v>9.6203007518797108</v>
      </c>
      <c r="C253" s="667"/>
      <c r="D253" s="677"/>
      <c r="E253" s="677"/>
      <c r="F253" s="202"/>
      <c r="G253" s="669"/>
      <c r="H253" s="671"/>
      <c r="I253" s="673"/>
      <c r="J253" s="652"/>
      <c r="K253" s="667"/>
      <c r="L253" s="667"/>
      <c r="M253" s="652"/>
      <c r="N253" s="652"/>
    </row>
    <row r="254" spans="1:23" s="189" customFormat="1" ht="40.200000000000003" customHeight="1" x14ac:dyDescent="0.3">
      <c r="A254" s="678" t="str">
        <f t="shared" ca="1" si="778"/>
        <v>a1G3p000003GJ5cEAG</v>
      </c>
      <c r="B254" s="674">
        <v>13</v>
      </c>
      <c r="C254" s="666" t="str">
        <f>IFERROR(VLOOKUP(B254,'Impact Indicators - Section B '!$A$9:$AF$52,32,FALSE),"")</f>
        <v/>
      </c>
      <c r="D254" s="676" t="str">
        <f t="shared" ref="D254" si="971">R254</f>
        <v/>
      </c>
      <c r="E254" s="676" t="str">
        <f t="shared" ref="E254" si="972">S254</f>
        <v/>
      </c>
      <c r="F254" s="194"/>
      <c r="G254" s="668" t="str">
        <f t="shared" ref="G254" ca="1" si="973">IF(OR(INDIRECT("'update Helper'!E"&amp;U254)=0,F254&lt;&gt;0,F255&lt;&gt;0),IF(IFERROR((F254/F255),"")="","",(F254/F255)),INDIRECT("'update Helper'!E"&amp;U254)/100)</f>
        <v/>
      </c>
      <c r="H254" s="670"/>
      <c r="I254" s="672"/>
      <c r="J254" s="651"/>
      <c r="K254" s="666" t="str">
        <f t="shared" ref="K254" si="974">W254</f>
        <v/>
      </c>
      <c r="L254" s="666" t="str">
        <f t="shared" ref="L254" si="975">V254</f>
        <v/>
      </c>
      <c r="M254" s="651"/>
      <c r="N254" s="651"/>
      <c r="P254" s="189">
        <f t="shared" ref="P254" si="976">IF(AND(EXACT(C254,C252),C252&lt;&gt;0),P252+1,0)</f>
        <v>102</v>
      </c>
      <c r="Q254" s="189" t="str">
        <f t="shared" ref="Q254" si="977">IF(C254&lt;&gt;"",C254&amp;"-"&amp;P254,"")</f>
        <v/>
      </c>
      <c r="R254" s="189" t="str">
        <f t="array" ref="R254">IFERROR(IF(INDEX('Disaggregation Records'!$E$3:$E$66,MATCH(RIGHT(Q254,255),RIGHT('Disaggregation Records'!$D$3:$D$66,255),0))=0,"",INDEX('Disaggregation Records'!$E$3:$E$66,MATCH(RIGHT(Q254,255),RIGHT('Disaggregation Records'!$D$3:$D$66,255),0))),"")</f>
        <v/>
      </c>
      <c r="S254" s="189" t="str">
        <f t="array" ref="S254">IFERROR(IF(INDEX('Disaggregation Records'!$F$3:$F$66,MATCH(RIGHT(Q254,255),RIGHT('Disaggregation Records'!$D$3:$D$66,255),0))=0,"",INDEX('Disaggregation Records'!$F$3:$F$66,MATCH(RIGHT(Q254,255),RIGHT('Disaggregation Records'!$D$3:$D$66,255),0))),"")</f>
        <v/>
      </c>
      <c r="T254" s="189" t="str">
        <f t="array" ref="T254">IFERROR(IF(INDEX('Disaggregation Records'!$H$3:$H$66,MATCH(RIGHT(Q254,255),RIGHT('Disaggregation Records'!$D$3:$D$66,255),0))=0,"",INDEX('Disaggregation Records'!$H$3:$H$66,MATCH(RIGHT(Q254,255),RIGHT('Disaggregation Records'!$D$3:$D$66,255),0))),"")</f>
        <v/>
      </c>
      <c r="U254" s="189">
        <f t="shared" ref="U254" si="978">U252+1</f>
        <v>1305</v>
      </c>
      <c r="V254" s="189" t="str">
        <f t="array" ref="V254">IFERROR(IF(INDEX('Disaggregation Records'!$I$3:$I$66,MATCH(RIGHT(Q254,255),RIGHT('Disaggregation Records'!$D$3:$D$66,255),0))=0,"",INDEX('Disaggregation Records'!$I$3:$I$66,MATCH(RIGHT(Q254,255),RIGHT('Disaggregation Records'!$D$3:$D$66,255),0))),"")</f>
        <v/>
      </c>
      <c r="W254" s="189" t="str">
        <f>IFERROR(INDEX('Reference Records'!O$3:O$15,MATCH(LEFT(C254,255),'Reference Records'!J$3:J$15,0)),"")</f>
        <v/>
      </c>
    </row>
    <row r="255" spans="1:23" s="190" customFormat="1" ht="40.200000000000003" customHeight="1" x14ac:dyDescent="0.3">
      <c r="A255" s="678"/>
      <c r="B255" s="675">
        <v>9.6203007518797108</v>
      </c>
      <c r="C255" s="667"/>
      <c r="D255" s="677"/>
      <c r="E255" s="677"/>
      <c r="F255" s="202"/>
      <c r="G255" s="669"/>
      <c r="H255" s="671"/>
      <c r="I255" s="673"/>
      <c r="J255" s="652"/>
      <c r="K255" s="667"/>
      <c r="L255" s="667"/>
      <c r="M255" s="652"/>
      <c r="N255" s="652"/>
    </row>
    <row r="256" spans="1:23" s="189" customFormat="1" ht="40.200000000000003" customHeight="1" x14ac:dyDescent="0.3">
      <c r="A256" s="678" t="str">
        <f t="shared" ca="1" si="778"/>
        <v>a1G3p000003GJ5dEAG</v>
      </c>
      <c r="B256" s="674">
        <v>13</v>
      </c>
      <c r="C256" s="666" t="str">
        <f>IFERROR(VLOOKUP(B256,'Impact Indicators - Section B '!$A$9:$AF$52,32,FALSE),"")</f>
        <v/>
      </c>
      <c r="D256" s="676" t="str">
        <f t="shared" ref="D256" si="979">R256</f>
        <v/>
      </c>
      <c r="E256" s="676" t="str">
        <f t="shared" ref="E256" si="980">S256</f>
        <v/>
      </c>
      <c r="F256" s="194"/>
      <c r="G256" s="668" t="str">
        <f t="shared" ref="G256" ca="1" si="981">IF(OR(INDIRECT("'update Helper'!E"&amp;U256)=0,F256&lt;&gt;0,F257&lt;&gt;0),IF(IFERROR((F256/F257),"")="","",(F256/F257)),INDIRECT("'update Helper'!E"&amp;U256)/100)</f>
        <v/>
      </c>
      <c r="H256" s="670"/>
      <c r="I256" s="672"/>
      <c r="J256" s="651"/>
      <c r="K256" s="666" t="str">
        <f t="shared" ref="K256" si="982">W256</f>
        <v/>
      </c>
      <c r="L256" s="666" t="str">
        <f t="shared" ref="L256" si="983">V256</f>
        <v/>
      </c>
      <c r="M256" s="651"/>
      <c r="N256" s="651"/>
      <c r="P256" s="189">
        <f t="shared" ref="P256" si="984">IF(AND(EXACT(C256,C254),C254&lt;&gt;0),P254+1,0)</f>
        <v>103</v>
      </c>
      <c r="Q256" s="189" t="str">
        <f t="shared" ref="Q256" si="985">IF(C256&lt;&gt;"",C256&amp;"-"&amp;P256,"")</f>
        <v/>
      </c>
      <c r="R256" s="189" t="str">
        <f t="array" ref="R256">IFERROR(IF(INDEX('Disaggregation Records'!$E$3:$E$66,MATCH(RIGHT(Q256,255),RIGHT('Disaggregation Records'!$D$3:$D$66,255),0))=0,"",INDEX('Disaggregation Records'!$E$3:$E$66,MATCH(RIGHT(Q256,255),RIGHT('Disaggregation Records'!$D$3:$D$66,255),0))),"")</f>
        <v/>
      </c>
      <c r="S256" s="189" t="str">
        <f t="array" ref="S256">IFERROR(IF(INDEX('Disaggregation Records'!$F$3:$F$66,MATCH(RIGHT(Q256,255),RIGHT('Disaggregation Records'!$D$3:$D$66,255),0))=0,"",INDEX('Disaggregation Records'!$F$3:$F$66,MATCH(RIGHT(Q256,255),RIGHT('Disaggregation Records'!$D$3:$D$66,255),0))),"")</f>
        <v/>
      </c>
      <c r="T256" s="189" t="str">
        <f t="array" ref="T256">IFERROR(IF(INDEX('Disaggregation Records'!$H$3:$H$66,MATCH(RIGHT(Q256,255),RIGHT('Disaggregation Records'!$D$3:$D$66,255),0))=0,"",INDEX('Disaggregation Records'!$H$3:$H$66,MATCH(RIGHT(Q256,255),RIGHT('Disaggregation Records'!$D$3:$D$66,255),0))),"")</f>
        <v/>
      </c>
      <c r="U256" s="189">
        <f t="shared" ref="U256" si="986">U254+1</f>
        <v>1306</v>
      </c>
      <c r="V256" s="189" t="str">
        <f t="array" ref="V256">IFERROR(IF(INDEX('Disaggregation Records'!$I$3:$I$66,MATCH(RIGHT(Q256,255),RIGHT('Disaggregation Records'!$D$3:$D$66,255),0))=0,"",INDEX('Disaggregation Records'!$I$3:$I$66,MATCH(RIGHT(Q256,255),RIGHT('Disaggregation Records'!$D$3:$D$66,255),0))),"")</f>
        <v/>
      </c>
      <c r="W256" s="189" t="str">
        <f>IFERROR(INDEX('Reference Records'!O$3:O$15,MATCH(LEFT(C256,255),'Reference Records'!J$3:J$15,0)),"")</f>
        <v/>
      </c>
    </row>
    <row r="257" spans="1:23" s="189" customFormat="1" ht="40.200000000000003" customHeight="1" x14ac:dyDescent="0.3">
      <c r="A257" s="678"/>
      <c r="B257" s="675">
        <v>9.6203007518797108</v>
      </c>
      <c r="C257" s="667"/>
      <c r="D257" s="677"/>
      <c r="E257" s="677"/>
      <c r="F257" s="202"/>
      <c r="G257" s="669"/>
      <c r="H257" s="671"/>
      <c r="I257" s="673"/>
      <c r="J257" s="652"/>
      <c r="K257" s="667"/>
      <c r="L257" s="667"/>
      <c r="M257" s="652"/>
      <c r="N257" s="652"/>
      <c r="P257" s="190"/>
      <c r="Q257" s="190"/>
      <c r="R257" s="190"/>
      <c r="S257" s="190"/>
      <c r="T257" s="190"/>
      <c r="U257" s="190"/>
      <c r="V257" s="190"/>
      <c r="W257" s="190"/>
    </row>
    <row r="258" spans="1:23" s="189" customFormat="1" ht="40.200000000000003" customHeight="1" x14ac:dyDescent="0.3">
      <c r="A258" s="678" t="str">
        <f t="shared" ca="1" si="778"/>
        <v>a1G3p000003GJ5eEAG</v>
      </c>
      <c r="B258" s="674">
        <v>13</v>
      </c>
      <c r="C258" s="666" t="str">
        <f>IFERROR(VLOOKUP(B258,'Impact Indicators - Section B '!$A$9:$AF$52,32,FALSE),"")</f>
        <v/>
      </c>
      <c r="D258" s="676" t="str">
        <f t="shared" ref="D258" si="987">R258</f>
        <v/>
      </c>
      <c r="E258" s="676" t="str">
        <f t="shared" ref="E258" si="988">S258</f>
        <v/>
      </c>
      <c r="F258" s="194"/>
      <c r="G258" s="668" t="str">
        <f t="shared" ref="G258" ca="1" si="989">IF(OR(INDIRECT("'update Helper'!E"&amp;U258)=0,F258&lt;&gt;0,F259&lt;&gt;0),IF(IFERROR((F258/F259),"")="","",(F258/F259)),INDIRECT("'update Helper'!E"&amp;U258)/100)</f>
        <v/>
      </c>
      <c r="H258" s="670"/>
      <c r="I258" s="672"/>
      <c r="J258" s="651"/>
      <c r="K258" s="666" t="str">
        <f t="shared" ref="K258" si="990">W258</f>
        <v/>
      </c>
      <c r="L258" s="666" t="str">
        <f t="shared" ref="L258" si="991">V258</f>
        <v/>
      </c>
      <c r="M258" s="651"/>
      <c r="N258" s="651"/>
      <c r="P258" s="189">
        <f t="shared" ref="P258" si="992">IF(AND(EXACT(C258,C256),C256&lt;&gt;0),P256+1,0)</f>
        <v>104</v>
      </c>
      <c r="Q258" s="189" t="str">
        <f t="shared" ref="Q258" si="993">IF(C258&lt;&gt;"",C258&amp;"-"&amp;P258,"")</f>
        <v/>
      </c>
      <c r="R258" s="189" t="str">
        <f t="array" ref="R258">IFERROR(IF(INDEX('Disaggregation Records'!$E$3:$E$66,MATCH(RIGHT(Q258,255),RIGHT('Disaggregation Records'!$D$3:$D$66,255),0))=0,"",INDEX('Disaggregation Records'!$E$3:$E$66,MATCH(RIGHT(Q258,255),RIGHT('Disaggregation Records'!$D$3:$D$66,255),0))),"")</f>
        <v/>
      </c>
      <c r="S258" s="189" t="str">
        <f t="array" ref="S258">IFERROR(IF(INDEX('Disaggregation Records'!$F$3:$F$66,MATCH(RIGHT(Q258,255),RIGHT('Disaggregation Records'!$D$3:$D$66,255),0))=0,"",INDEX('Disaggregation Records'!$F$3:$F$66,MATCH(RIGHT(Q258,255),RIGHT('Disaggregation Records'!$D$3:$D$66,255),0))),"")</f>
        <v/>
      </c>
      <c r="T258" s="189" t="str">
        <f t="array" ref="T258">IFERROR(IF(INDEX('Disaggregation Records'!$H$3:$H$66,MATCH(RIGHT(Q258,255),RIGHT('Disaggregation Records'!$D$3:$D$66,255),0))=0,"",INDEX('Disaggregation Records'!$H$3:$H$66,MATCH(RIGHT(Q258,255),RIGHT('Disaggregation Records'!$D$3:$D$66,255),0))),"")</f>
        <v/>
      </c>
      <c r="U258" s="189">
        <f t="shared" ref="U258" si="994">U256+1</f>
        <v>1307</v>
      </c>
      <c r="V258" s="189" t="str">
        <f t="array" ref="V258">IFERROR(IF(INDEX('Disaggregation Records'!$I$3:$I$66,MATCH(RIGHT(Q258,255),RIGHT('Disaggregation Records'!$D$3:$D$66,255),0))=0,"",INDEX('Disaggregation Records'!$I$3:$I$66,MATCH(RIGHT(Q258,255),RIGHT('Disaggregation Records'!$D$3:$D$66,255),0))),"")</f>
        <v/>
      </c>
      <c r="W258" s="189" t="str">
        <f>IFERROR(INDEX('Reference Records'!O$3:O$15,MATCH(LEFT(C258,255),'Reference Records'!J$3:J$15,0)),"")</f>
        <v/>
      </c>
    </row>
    <row r="259" spans="1:23" s="189" customFormat="1" ht="40.200000000000003" customHeight="1" x14ac:dyDescent="0.3">
      <c r="A259" s="678"/>
      <c r="B259" s="675">
        <v>9.6203007518797108</v>
      </c>
      <c r="C259" s="667"/>
      <c r="D259" s="677"/>
      <c r="E259" s="677"/>
      <c r="F259" s="202"/>
      <c r="G259" s="669"/>
      <c r="H259" s="671"/>
      <c r="I259" s="673"/>
      <c r="J259" s="652"/>
      <c r="K259" s="667"/>
      <c r="L259" s="667"/>
      <c r="M259" s="652"/>
      <c r="N259" s="652"/>
      <c r="P259" s="190"/>
      <c r="Q259" s="190"/>
      <c r="R259" s="190"/>
      <c r="S259" s="190"/>
      <c r="T259" s="190"/>
      <c r="U259" s="190"/>
      <c r="V259" s="190"/>
      <c r="W259" s="190"/>
    </row>
    <row r="260" spans="1:23" s="189" customFormat="1" ht="40.200000000000003" customHeight="1" x14ac:dyDescent="0.3">
      <c r="A260" s="678" t="str">
        <f t="shared" ca="1" si="778"/>
        <v>a1G3p000003GJ5fEAG</v>
      </c>
      <c r="B260" s="674">
        <v>13</v>
      </c>
      <c r="C260" s="666" t="str">
        <f>IFERROR(VLOOKUP(B260,'Impact Indicators - Section B '!$A$9:$AF$52,32,FALSE),"")</f>
        <v/>
      </c>
      <c r="D260" s="676" t="str">
        <f t="shared" ref="D260" si="995">R260</f>
        <v/>
      </c>
      <c r="E260" s="676" t="str">
        <f t="shared" ref="E260" si="996">S260</f>
        <v/>
      </c>
      <c r="F260" s="194"/>
      <c r="G260" s="668" t="str">
        <f t="shared" ref="G260" ca="1" si="997">IF(OR(INDIRECT("'update Helper'!E"&amp;U260)=0,F260&lt;&gt;0,F261&lt;&gt;0),IF(IFERROR((F260/F261),"")="","",(F260/F261)),INDIRECT("'update Helper'!E"&amp;U260)/100)</f>
        <v/>
      </c>
      <c r="H260" s="670"/>
      <c r="I260" s="672"/>
      <c r="J260" s="651"/>
      <c r="K260" s="666" t="str">
        <f t="shared" ref="K260" si="998">W260</f>
        <v/>
      </c>
      <c r="L260" s="666" t="str">
        <f t="shared" ref="L260" si="999">V260</f>
        <v/>
      </c>
      <c r="M260" s="651"/>
      <c r="N260" s="651"/>
      <c r="P260" s="189">
        <f t="shared" ref="P260" si="1000">IF(AND(EXACT(C260,C258),C258&lt;&gt;0),P258+1,0)</f>
        <v>105</v>
      </c>
      <c r="Q260" s="189" t="str">
        <f t="shared" ref="Q260" si="1001">IF(C260&lt;&gt;"",C260&amp;"-"&amp;P260,"")</f>
        <v/>
      </c>
      <c r="R260" s="189" t="str">
        <f t="array" ref="R260">IFERROR(IF(INDEX('Disaggregation Records'!$E$3:$E$66,MATCH(RIGHT(Q260,255),RIGHT('Disaggregation Records'!$D$3:$D$66,255),0))=0,"",INDEX('Disaggregation Records'!$E$3:$E$66,MATCH(RIGHT(Q260,255),RIGHT('Disaggregation Records'!$D$3:$D$66,255),0))),"")</f>
        <v/>
      </c>
      <c r="S260" s="189" t="str">
        <f t="array" ref="S260">IFERROR(IF(INDEX('Disaggregation Records'!$F$3:$F$66,MATCH(RIGHT(Q260,255),RIGHT('Disaggregation Records'!$D$3:$D$66,255),0))=0,"",INDEX('Disaggregation Records'!$F$3:$F$66,MATCH(RIGHT(Q260,255),RIGHT('Disaggregation Records'!$D$3:$D$66,255),0))),"")</f>
        <v/>
      </c>
      <c r="T260" s="189" t="str">
        <f t="array" ref="T260">IFERROR(IF(INDEX('Disaggregation Records'!$H$3:$H$66,MATCH(RIGHT(Q260,255),RIGHT('Disaggregation Records'!$D$3:$D$66,255),0))=0,"",INDEX('Disaggregation Records'!$H$3:$H$66,MATCH(RIGHT(Q260,255),RIGHT('Disaggregation Records'!$D$3:$D$66,255),0))),"")</f>
        <v/>
      </c>
      <c r="U260" s="189">
        <f t="shared" ref="U260" si="1002">U258+1</f>
        <v>1308</v>
      </c>
      <c r="V260" s="189" t="str">
        <f t="array" ref="V260">IFERROR(IF(INDEX('Disaggregation Records'!$I$3:$I$66,MATCH(RIGHT(Q260,255),RIGHT('Disaggregation Records'!$D$3:$D$66,255),0))=0,"",INDEX('Disaggregation Records'!$I$3:$I$66,MATCH(RIGHT(Q260,255),RIGHT('Disaggregation Records'!$D$3:$D$66,255),0))),"")</f>
        <v/>
      </c>
      <c r="W260" s="189" t="str">
        <f>IFERROR(INDEX('Reference Records'!O$3:O$15,MATCH(LEFT(C260,255),'Reference Records'!J$3:J$15,0)),"")</f>
        <v/>
      </c>
    </row>
    <row r="261" spans="1:23" s="189" customFormat="1" ht="40.200000000000003" customHeight="1" x14ac:dyDescent="0.3">
      <c r="A261" s="678"/>
      <c r="B261" s="675">
        <v>9.6203007518797108</v>
      </c>
      <c r="C261" s="667"/>
      <c r="D261" s="677"/>
      <c r="E261" s="677"/>
      <c r="F261" s="202"/>
      <c r="G261" s="669"/>
      <c r="H261" s="671"/>
      <c r="I261" s="673"/>
      <c r="J261" s="652"/>
      <c r="K261" s="667"/>
      <c r="L261" s="667"/>
      <c r="M261" s="652"/>
      <c r="N261" s="652"/>
      <c r="P261" s="190"/>
      <c r="Q261" s="190"/>
      <c r="R261" s="190"/>
      <c r="S261" s="190"/>
      <c r="T261" s="190"/>
      <c r="U261" s="190"/>
      <c r="V261" s="190"/>
      <c r="W261" s="190"/>
    </row>
    <row r="262" spans="1:23" s="189" customFormat="1" ht="40.200000000000003" customHeight="1" x14ac:dyDescent="0.3">
      <c r="A262" s="678" t="str">
        <f t="shared" ca="1" si="778"/>
        <v>a1G3p000003GJ5gEAG</v>
      </c>
      <c r="B262" s="674">
        <v>13</v>
      </c>
      <c r="C262" s="666" t="str">
        <f>IFERROR(VLOOKUP(B262,'Impact Indicators - Section B '!$A$9:$AF$52,32,FALSE),"")</f>
        <v/>
      </c>
      <c r="D262" s="676" t="str">
        <f t="shared" ref="D262" si="1003">R262</f>
        <v/>
      </c>
      <c r="E262" s="676" t="str">
        <f t="shared" ref="E262" si="1004">S262</f>
        <v/>
      </c>
      <c r="F262" s="194"/>
      <c r="G262" s="668" t="str">
        <f t="shared" ref="G262" ca="1" si="1005">IF(OR(INDIRECT("'update Helper'!E"&amp;U262)=0,F262&lt;&gt;0,F263&lt;&gt;0),IF(IFERROR((F262/F263),"")="","",(F262/F263)),INDIRECT("'update Helper'!E"&amp;U262)/100)</f>
        <v/>
      </c>
      <c r="H262" s="670"/>
      <c r="I262" s="672"/>
      <c r="J262" s="651"/>
      <c r="K262" s="666" t="str">
        <f t="shared" ref="K262" si="1006">W262</f>
        <v/>
      </c>
      <c r="L262" s="666" t="str">
        <f t="shared" ref="L262" si="1007">V262</f>
        <v/>
      </c>
      <c r="M262" s="651"/>
      <c r="N262" s="651"/>
      <c r="P262" s="189">
        <f t="shared" ref="P262" si="1008">IF(AND(EXACT(C262,C260),C260&lt;&gt;0),P260+1,0)</f>
        <v>106</v>
      </c>
      <c r="Q262" s="189" t="str">
        <f t="shared" ref="Q262" si="1009">IF(C262&lt;&gt;"",C262&amp;"-"&amp;P262,"")</f>
        <v/>
      </c>
      <c r="R262" s="189" t="str">
        <f t="array" ref="R262">IFERROR(IF(INDEX('Disaggregation Records'!$E$3:$E$66,MATCH(RIGHT(Q262,255),RIGHT('Disaggregation Records'!$D$3:$D$66,255),0))=0,"",INDEX('Disaggregation Records'!$E$3:$E$66,MATCH(RIGHT(Q262,255),RIGHT('Disaggregation Records'!$D$3:$D$66,255),0))),"")</f>
        <v/>
      </c>
      <c r="S262" s="189" t="str">
        <f t="array" ref="S262">IFERROR(IF(INDEX('Disaggregation Records'!$F$3:$F$66,MATCH(RIGHT(Q262,255),RIGHT('Disaggregation Records'!$D$3:$D$66,255),0))=0,"",INDEX('Disaggregation Records'!$F$3:$F$66,MATCH(RIGHT(Q262,255),RIGHT('Disaggregation Records'!$D$3:$D$66,255),0))),"")</f>
        <v/>
      </c>
      <c r="T262" s="189" t="str">
        <f t="array" ref="T262">IFERROR(IF(INDEX('Disaggregation Records'!$H$3:$H$66,MATCH(RIGHT(Q262,255),RIGHT('Disaggregation Records'!$D$3:$D$66,255),0))=0,"",INDEX('Disaggregation Records'!$H$3:$H$66,MATCH(RIGHT(Q262,255),RIGHT('Disaggregation Records'!$D$3:$D$66,255),0))),"")</f>
        <v/>
      </c>
      <c r="U262" s="189">
        <f t="shared" ref="U262" si="1010">U260+1</f>
        <v>1309</v>
      </c>
      <c r="V262" s="189" t="str">
        <f t="array" ref="V262">IFERROR(IF(INDEX('Disaggregation Records'!$I$3:$I$66,MATCH(RIGHT(Q262,255),RIGHT('Disaggregation Records'!$D$3:$D$66,255),0))=0,"",INDEX('Disaggregation Records'!$I$3:$I$66,MATCH(RIGHT(Q262,255),RIGHT('Disaggregation Records'!$D$3:$D$66,255),0))),"")</f>
        <v/>
      </c>
      <c r="W262" s="189" t="str">
        <f>IFERROR(INDEX('Reference Records'!O$3:O$15,MATCH(LEFT(C262,255),'Reference Records'!J$3:J$15,0)),"")</f>
        <v/>
      </c>
    </row>
    <row r="263" spans="1:23" s="189" customFormat="1" ht="40.200000000000003" customHeight="1" x14ac:dyDescent="0.3">
      <c r="A263" s="678"/>
      <c r="B263" s="675">
        <v>9.6203007518797108</v>
      </c>
      <c r="C263" s="667"/>
      <c r="D263" s="677"/>
      <c r="E263" s="677"/>
      <c r="F263" s="202"/>
      <c r="G263" s="669"/>
      <c r="H263" s="671"/>
      <c r="I263" s="673"/>
      <c r="J263" s="652"/>
      <c r="K263" s="667"/>
      <c r="L263" s="667"/>
      <c r="M263" s="652"/>
      <c r="N263" s="652"/>
      <c r="P263" s="190"/>
      <c r="Q263" s="190"/>
      <c r="R263" s="190"/>
      <c r="S263" s="190"/>
      <c r="T263" s="190"/>
      <c r="U263" s="190"/>
      <c r="V263" s="190"/>
      <c r="W263" s="190"/>
    </row>
    <row r="264" spans="1:23" s="189" customFormat="1" ht="40.200000000000003" customHeight="1" x14ac:dyDescent="0.3">
      <c r="A264" s="678" t="str">
        <f t="shared" ca="1" si="778"/>
        <v>a1G3p000003GJ5hEAG</v>
      </c>
      <c r="B264" s="674">
        <v>13</v>
      </c>
      <c r="C264" s="666" t="str">
        <f>IFERROR(VLOOKUP(B264,'Impact Indicators - Section B '!$A$9:$AF$52,32,FALSE),"")</f>
        <v/>
      </c>
      <c r="D264" s="676" t="str">
        <f t="shared" ref="D264" si="1011">R264</f>
        <v/>
      </c>
      <c r="E264" s="676" t="str">
        <f t="shared" ref="E264" si="1012">S264</f>
        <v/>
      </c>
      <c r="F264" s="194"/>
      <c r="G264" s="668" t="str">
        <f t="shared" ref="G264" ca="1" si="1013">IF(OR(INDIRECT("'update Helper'!E"&amp;U264)=0,F264&lt;&gt;0,F265&lt;&gt;0),IF(IFERROR((F264/F265),"")="","",(F264/F265)),INDIRECT("'update Helper'!E"&amp;U264)/100)</f>
        <v/>
      </c>
      <c r="H264" s="670"/>
      <c r="I264" s="672"/>
      <c r="J264" s="651"/>
      <c r="K264" s="666" t="str">
        <f t="shared" ref="K264" si="1014">W264</f>
        <v/>
      </c>
      <c r="L264" s="666" t="str">
        <f t="shared" ref="L264" si="1015">V264</f>
        <v/>
      </c>
      <c r="M264" s="651"/>
      <c r="N264" s="651"/>
      <c r="P264" s="189">
        <f t="shared" ref="P264" si="1016">IF(AND(EXACT(C264,C262),C262&lt;&gt;0),P262+1,0)</f>
        <v>107</v>
      </c>
      <c r="Q264" s="189" t="str">
        <f t="shared" ref="Q264" si="1017">IF(C264&lt;&gt;"",C264&amp;"-"&amp;P264,"")</f>
        <v/>
      </c>
      <c r="R264" s="189" t="str">
        <f t="array" ref="R264">IFERROR(IF(INDEX('Disaggregation Records'!$E$3:$E$66,MATCH(RIGHT(Q264,255),RIGHT('Disaggregation Records'!$D$3:$D$66,255),0))=0,"",INDEX('Disaggregation Records'!$E$3:$E$66,MATCH(RIGHT(Q264,255),RIGHT('Disaggregation Records'!$D$3:$D$66,255),0))),"")</f>
        <v/>
      </c>
      <c r="S264" s="189" t="str">
        <f t="array" ref="S264">IFERROR(IF(INDEX('Disaggregation Records'!$F$3:$F$66,MATCH(RIGHT(Q264,255),RIGHT('Disaggregation Records'!$D$3:$D$66,255),0))=0,"",INDEX('Disaggregation Records'!$F$3:$F$66,MATCH(RIGHT(Q264,255),RIGHT('Disaggregation Records'!$D$3:$D$66,255),0))),"")</f>
        <v/>
      </c>
      <c r="T264" s="189" t="str">
        <f t="array" ref="T264">IFERROR(IF(INDEX('Disaggregation Records'!$H$3:$H$66,MATCH(RIGHT(Q264,255),RIGHT('Disaggregation Records'!$D$3:$D$66,255),0))=0,"",INDEX('Disaggregation Records'!$H$3:$H$66,MATCH(RIGHT(Q264,255),RIGHT('Disaggregation Records'!$D$3:$D$66,255),0))),"")</f>
        <v/>
      </c>
      <c r="U264" s="189">
        <f t="shared" ref="U264" si="1018">U262+1</f>
        <v>1310</v>
      </c>
      <c r="V264" s="189" t="str">
        <f t="array" ref="V264">IFERROR(IF(INDEX('Disaggregation Records'!$I$3:$I$66,MATCH(RIGHT(Q264,255),RIGHT('Disaggregation Records'!$D$3:$D$66,255),0))=0,"",INDEX('Disaggregation Records'!$I$3:$I$66,MATCH(RIGHT(Q264,255),RIGHT('Disaggregation Records'!$D$3:$D$66,255),0))),"")</f>
        <v/>
      </c>
      <c r="W264" s="189" t="str">
        <f>IFERROR(INDEX('Reference Records'!O$3:O$15,MATCH(LEFT(C264,255),'Reference Records'!J$3:J$15,0)),"")</f>
        <v/>
      </c>
    </row>
    <row r="265" spans="1:23" s="189" customFormat="1" ht="40.200000000000003" customHeight="1" x14ac:dyDescent="0.3">
      <c r="A265" s="678"/>
      <c r="B265" s="675">
        <v>9.6203007518797108</v>
      </c>
      <c r="C265" s="667"/>
      <c r="D265" s="677"/>
      <c r="E265" s="677"/>
      <c r="F265" s="202"/>
      <c r="G265" s="669"/>
      <c r="H265" s="671"/>
      <c r="I265" s="673"/>
      <c r="J265" s="652"/>
      <c r="K265" s="667"/>
      <c r="L265" s="667"/>
      <c r="M265" s="652"/>
      <c r="N265" s="652"/>
      <c r="P265" s="190"/>
      <c r="Q265" s="190"/>
      <c r="R265" s="190"/>
      <c r="S265" s="190"/>
      <c r="T265" s="190"/>
      <c r="U265" s="190"/>
      <c r="V265" s="190"/>
      <c r="W265" s="190"/>
    </row>
    <row r="266" spans="1:23" s="189" customFormat="1" ht="40.200000000000003" customHeight="1" x14ac:dyDescent="0.3">
      <c r="A266" s="678" t="str">
        <f t="shared" ca="1" si="778"/>
        <v>a1G3p000003GJ5iEAG</v>
      </c>
      <c r="B266" s="674">
        <v>13</v>
      </c>
      <c r="C266" s="666" t="str">
        <f>IFERROR(VLOOKUP(B266,'Impact Indicators - Section B '!$A$9:$AF$52,32,FALSE),"")</f>
        <v/>
      </c>
      <c r="D266" s="676" t="str">
        <f t="shared" ref="D266" si="1019">R266</f>
        <v/>
      </c>
      <c r="E266" s="676" t="str">
        <f t="shared" ref="E266" si="1020">S266</f>
        <v/>
      </c>
      <c r="F266" s="194"/>
      <c r="G266" s="668" t="str">
        <f t="shared" ref="G266" ca="1" si="1021">IF(OR(INDIRECT("'update Helper'!E"&amp;U266)=0,F266&lt;&gt;0,F267&lt;&gt;0),IF(IFERROR((F266/F267),"")="","",(F266/F267)),INDIRECT("'update Helper'!E"&amp;U266)/100)</f>
        <v/>
      </c>
      <c r="H266" s="670"/>
      <c r="I266" s="672"/>
      <c r="J266" s="651"/>
      <c r="K266" s="666" t="str">
        <f t="shared" ref="K266" si="1022">W266</f>
        <v/>
      </c>
      <c r="L266" s="666" t="str">
        <f t="shared" ref="L266" si="1023">V266</f>
        <v/>
      </c>
      <c r="M266" s="651"/>
      <c r="N266" s="651"/>
      <c r="P266" s="189">
        <f t="shared" ref="P266" si="1024">IF(AND(EXACT(C266,C264),C264&lt;&gt;0),P264+1,0)</f>
        <v>108</v>
      </c>
      <c r="Q266" s="189" t="str">
        <f t="shared" ref="Q266" si="1025">IF(C266&lt;&gt;"",C266&amp;"-"&amp;P266,"")</f>
        <v/>
      </c>
      <c r="R266" s="189" t="str">
        <f t="array" ref="R266">IFERROR(IF(INDEX('Disaggregation Records'!$E$3:$E$66,MATCH(RIGHT(Q266,255),RIGHT('Disaggregation Records'!$D$3:$D$66,255),0))=0,"",INDEX('Disaggregation Records'!$E$3:$E$66,MATCH(RIGHT(Q266,255),RIGHT('Disaggregation Records'!$D$3:$D$66,255),0))),"")</f>
        <v/>
      </c>
      <c r="S266" s="189" t="str">
        <f t="array" ref="S266">IFERROR(IF(INDEX('Disaggregation Records'!$F$3:$F$66,MATCH(RIGHT(Q266,255),RIGHT('Disaggregation Records'!$D$3:$D$66,255),0))=0,"",INDEX('Disaggregation Records'!$F$3:$F$66,MATCH(RIGHT(Q266,255),RIGHT('Disaggregation Records'!$D$3:$D$66,255),0))),"")</f>
        <v/>
      </c>
      <c r="T266" s="189" t="str">
        <f t="array" ref="T266">IFERROR(IF(INDEX('Disaggregation Records'!$H$3:$H$66,MATCH(RIGHT(Q266,255),RIGHT('Disaggregation Records'!$D$3:$D$66,255),0))=0,"",INDEX('Disaggregation Records'!$H$3:$H$66,MATCH(RIGHT(Q266,255),RIGHT('Disaggregation Records'!$D$3:$D$66,255),0))),"")</f>
        <v/>
      </c>
      <c r="U266" s="189">
        <f t="shared" ref="U266" si="1026">U264+1</f>
        <v>1311</v>
      </c>
      <c r="V266" s="189" t="str">
        <f t="array" ref="V266">IFERROR(IF(INDEX('Disaggregation Records'!$I$3:$I$66,MATCH(RIGHT(Q266,255),RIGHT('Disaggregation Records'!$D$3:$D$66,255),0))=0,"",INDEX('Disaggregation Records'!$I$3:$I$66,MATCH(RIGHT(Q266,255),RIGHT('Disaggregation Records'!$D$3:$D$66,255),0))),"")</f>
        <v/>
      </c>
      <c r="W266" s="189" t="str">
        <f>IFERROR(INDEX('Reference Records'!O$3:O$15,MATCH(LEFT(C266,255),'Reference Records'!J$3:J$15,0)),"")</f>
        <v/>
      </c>
    </row>
    <row r="267" spans="1:23" s="189" customFormat="1" ht="40.200000000000003" customHeight="1" x14ac:dyDescent="0.3">
      <c r="A267" s="678"/>
      <c r="B267" s="675">
        <v>9.6203007518797108</v>
      </c>
      <c r="C267" s="667"/>
      <c r="D267" s="677"/>
      <c r="E267" s="677"/>
      <c r="F267" s="202"/>
      <c r="G267" s="669"/>
      <c r="H267" s="671"/>
      <c r="I267" s="673"/>
      <c r="J267" s="652"/>
      <c r="K267" s="667"/>
      <c r="L267" s="667"/>
      <c r="M267" s="652"/>
      <c r="N267" s="652"/>
      <c r="P267" s="190"/>
      <c r="Q267" s="190"/>
      <c r="R267" s="190"/>
      <c r="S267" s="190"/>
      <c r="T267" s="190"/>
      <c r="U267" s="190"/>
      <c r="V267" s="190"/>
      <c r="W267" s="190"/>
    </row>
    <row r="268" spans="1:23" s="189" customFormat="1" ht="40.200000000000003" customHeight="1" x14ac:dyDescent="0.3">
      <c r="A268" s="678" t="str">
        <f t="shared" ca="1" si="778"/>
        <v>a1G3p000003GJ5jEAG</v>
      </c>
      <c r="B268" s="674">
        <v>13</v>
      </c>
      <c r="C268" s="666" t="str">
        <f>IFERROR(VLOOKUP(B268,'Impact Indicators - Section B '!$A$9:$AF$52,32,FALSE),"")</f>
        <v/>
      </c>
      <c r="D268" s="676" t="str">
        <f t="shared" ref="D268" si="1027">R268</f>
        <v/>
      </c>
      <c r="E268" s="676" t="str">
        <f t="shared" ref="E268" si="1028">S268</f>
        <v/>
      </c>
      <c r="F268" s="194"/>
      <c r="G268" s="668" t="str">
        <f t="shared" ref="G268" ca="1" si="1029">IF(OR(INDIRECT("'update Helper'!E"&amp;U268)=0,F268&lt;&gt;0,F269&lt;&gt;0),IF(IFERROR((F268/F269),"")="","",(F268/F269)),INDIRECT("'update Helper'!E"&amp;U268)/100)</f>
        <v/>
      </c>
      <c r="H268" s="670"/>
      <c r="I268" s="672"/>
      <c r="J268" s="651"/>
      <c r="K268" s="666" t="str">
        <f t="shared" ref="K268" si="1030">W268</f>
        <v/>
      </c>
      <c r="L268" s="666" t="str">
        <f t="shared" ref="L268" si="1031">V268</f>
        <v/>
      </c>
      <c r="M268" s="651"/>
      <c r="N268" s="651"/>
      <c r="P268" s="189">
        <f t="shared" ref="P268" si="1032">IF(AND(EXACT(C268,C266),C266&lt;&gt;0),P266+1,0)</f>
        <v>109</v>
      </c>
      <c r="Q268" s="189" t="str">
        <f t="shared" ref="Q268" si="1033">IF(C268&lt;&gt;"",C268&amp;"-"&amp;P268,"")</f>
        <v/>
      </c>
      <c r="R268" s="189" t="str">
        <f t="array" ref="R268">IFERROR(IF(INDEX('Disaggregation Records'!$E$3:$E$66,MATCH(RIGHT(Q268,255),RIGHT('Disaggregation Records'!$D$3:$D$66,255),0))=0,"",INDEX('Disaggregation Records'!$E$3:$E$66,MATCH(RIGHT(Q268,255),RIGHT('Disaggregation Records'!$D$3:$D$66,255),0))),"")</f>
        <v/>
      </c>
      <c r="S268" s="189" t="str">
        <f t="array" ref="S268">IFERROR(IF(INDEX('Disaggregation Records'!$F$3:$F$66,MATCH(RIGHT(Q268,255),RIGHT('Disaggregation Records'!$D$3:$D$66,255),0))=0,"",INDEX('Disaggregation Records'!$F$3:$F$66,MATCH(RIGHT(Q268,255),RIGHT('Disaggregation Records'!$D$3:$D$66,255),0))),"")</f>
        <v/>
      </c>
      <c r="T268" s="189" t="str">
        <f t="array" ref="T268">IFERROR(IF(INDEX('Disaggregation Records'!$H$3:$H$66,MATCH(RIGHT(Q268,255),RIGHT('Disaggregation Records'!$D$3:$D$66,255),0))=0,"",INDEX('Disaggregation Records'!$H$3:$H$66,MATCH(RIGHT(Q268,255),RIGHT('Disaggregation Records'!$D$3:$D$66,255),0))),"")</f>
        <v/>
      </c>
      <c r="U268" s="189">
        <f t="shared" ref="U268" si="1034">U266+1</f>
        <v>1312</v>
      </c>
      <c r="V268" s="189" t="str">
        <f t="array" ref="V268">IFERROR(IF(INDEX('Disaggregation Records'!$I$3:$I$66,MATCH(RIGHT(Q268,255),RIGHT('Disaggregation Records'!$D$3:$D$66,255),0))=0,"",INDEX('Disaggregation Records'!$I$3:$I$66,MATCH(RIGHT(Q268,255),RIGHT('Disaggregation Records'!$D$3:$D$66,255),0))),"")</f>
        <v/>
      </c>
      <c r="W268" s="189" t="str">
        <f>IFERROR(INDEX('Reference Records'!O$3:O$15,MATCH(LEFT(C268,255),'Reference Records'!J$3:J$15,0)),"")</f>
        <v/>
      </c>
    </row>
    <row r="269" spans="1:23" s="189" customFormat="1" ht="40.200000000000003" customHeight="1" x14ac:dyDescent="0.3">
      <c r="A269" s="678"/>
      <c r="B269" s="675">
        <v>9.6203007518797108</v>
      </c>
      <c r="C269" s="667"/>
      <c r="D269" s="677"/>
      <c r="E269" s="677"/>
      <c r="F269" s="202"/>
      <c r="G269" s="669"/>
      <c r="H269" s="671"/>
      <c r="I269" s="673"/>
      <c r="J269" s="652"/>
      <c r="K269" s="667"/>
      <c r="L269" s="667"/>
      <c r="M269" s="652"/>
      <c r="N269" s="652"/>
      <c r="P269" s="190"/>
      <c r="Q269" s="190"/>
      <c r="R269" s="190"/>
      <c r="S269" s="190"/>
      <c r="T269" s="190"/>
      <c r="U269" s="190"/>
      <c r="V269" s="190"/>
      <c r="W269" s="190"/>
    </row>
    <row r="270" spans="1:23" s="189" customFormat="1" ht="40.200000000000003" customHeight="1" x14ac:dyDescent="0.3">
      <c r="A270" s="678" t="str">
        <f t="shared" ref="A270:A308" ca="1" si="1035">INDIRECT("'update Helper'!C"&amp;U270)</f>
        <v>a1G3p000003GJ5kEAG</v>
      </c>
      <c r="B270" s="674">
        <v>14</v>
      </c>
      <c r="C270" s="666" t="str">
        <f>IFERROR(VLOOKUP(B270,'Impact Indicators - Section B '!$A$9:$AF$52,32,FALSE),"")</f>
        <v/>
      </c>
      <c r="D270" s="676" t="str">
        <f t="shared" ref="D270" si="1036">R270</f>
        <v/>
      </c>
      <c r="E270" s="676" t="str">
        <f t="shared" ref="E270" si="1037">S270</f>
        <v/>
      </c>
      <c r="F270" s="194"/>
      <c r="G270" s="668" t="str">
        <f t="shared" ref="G270" ca="1" si="1038">IF(OR(INDIRECT("'update Helper'!E"&amp;U270)=0,F270&lt;&gt;0,F271&lt;&gt;0),IF(IFERROR((F270/F271),"")="","",(F270/F271)),INDIRECT("'update Helper'!E"&amp;U270)/100)</f>
        <v/>
      </c>
      <c r="H270" s="670"/>
      <c r="I270" s="672"/>
      <c r="J270" s="651"/>
      <c r="K270" s="666" t="str">
        <f t="shared" ref="K270" si="1039">W270</f>
        <v/>
      </c>
      <c r="L270" s="666" t="str">
        <f t="shared" ref="L270" si="1040">V270</f>
        <v/>
      </c>
      <c r="M270" s="651"/>
      <c r="N270" s="651"/>
      <c r="P270" s="189">
        <f t="shared" ref="P270" si="1041">IF(AND(EXACT(C270,C268),C268&lt;&gt;0),P268+1,0)</f>
        <v>110</v>
      </c>
      <c r="Q270" s="189" t="str">
        <f t="shared" ref="Q270" si="1042">IF(C270&lt;&gt;"",C270&amp;"-"&amp;P270,"")</f>
        <v/>
      </c>
      <c r="R270" s="189" t="str">
        <f t="array" ref="R270">IFERROR(IF(INDEX('Disaggregation Records'!$E$3:$E$66,MATCH(RIGHT(Q270,255),RIGHT('Disaggregation Records'!$D$3:$D$66,255),0))=0,"",INDEX('Disaggregation Records'!$E$3:$E$66,MATCH(RIGHT(Q270,255),RIGHT('Disaggregation Records'!$D$3:$D$66,255),0))),"")</f>
        <v/>
      </c>
      <c r="S270" s="189" t="str">
        <f t="array" ref="S270">IFERROR(IF(INDEX('Disaggregation Records'!$F$3:$F$66,MATCH(RIGHT(Q270,255),RIGHT('Disaggregation Records'!$D$3:$D$66,255),0))=0,"",INDEX('Disaggregation Records'!$F$3:$F$66,MATCH(RIGHT(Q270,255),RIGHT('Disaggregation Records'!$D$3:$D$66,255),0))),"")</f>
        <v/>
      </c>
      <c r="T270" s="189" t="str">
        <f t="array" ref="T270">IFERROR(IF(INDEX('Disaggregation Records'!$H$3:$H$66,MATCH(RIGHT(Q270,255),RIGHT('Disaggregation Records'!$D$3:$D$66,255),0))=0,"",INDEX('Disaggregation Records'!$H$3:$H$66,MATCH(RIGHT(Q270,255),RIGHT('Disaggregation Records'!$D$3:$D$66,255),0))),"")</f>
        <v/>
      </c>
      <c r="U270" s="189">
        <f t="shared" ref="U270" si="1043">U268+1</f>
        <v>1313</v>
      </c>
      <c r="V270" s="189" t="str">
        <f t="array" ref="V270">IFERROR(IF(INDEX('Disaggregation Records'!$I$3:$I$66,MATCH(RIGHT(Q270,255),RIGHT('Disaggregation Records'!$D$3:$D$66,255),0))=0,"",INDEX('Disaggregation Records'!$I$3:$I$66,MATCH(RIGHT(Q270,255),RIGHT('Disaggregation Records'!$D$3:$D$66,255),0))),"")</f>
        <v/>
      </c>
      <c r="W270" s="189" t="str">
        <f>IFERROR(INDEX('Reference Records'!O$3:O$15,MATCH(LEFT(C270,255),'Reference Records'!J$3:J$15,0)),"")</f>
        <v/>
      </c>
    </row>
    <row r="271" spans="1:23" s="189" customFormat="1" ht="40.200000000000003" customHeight="1" x14ac:dyDescent="0.3">
      <c r="A271" s="678"/>
      <c r="B271" s="675">
        <v>10.3721804511278</v>
      </c>
      <c r="C271" s="667"/>
      <c r="D271" s="677"/>
      <c r="E271" s="677"/>
      <c r="F271" s="202"/>
      <c r="G271" s="669"/>
      <c r="H271" s="671"/>
      <c r="I271" s="673"/>
      <c r="J271" s="652"/>
      <c r="K271" s="667"/>
      <c r="L271" s="667"/>
      <c r="M271" s="652"/>
      <c r="N271" s="652"/>
      <c r="P271" s="190"/>
      <c r="Q271" s="190"/>
      <c r="R271" s="190"/>
      <c r="S271" s="190"/>
      <c r="T271" s="190"/>
      <c r="U271" s="190"/>
      <c r="V271" s="190"/>
      <c r="W271" s="190"/>
    </row>
    <row r="272" spans="1:23" s="189" customFormat="1" ht="40.200000000000003" customHeight="1" x14ac:dyDescent="0.3">
      <c r="A272" s="678" t="str">
        <f t="shared" ca="1" si="1035"/>
        <v>a1G3p000003GJ5lEAG</v>
      </c>
      <c r="B272" s="674">
        <v>14</v>
      </c>
      <c r="C272" s="666" t="str">
        <f>IFERROR(VLOOKUP(B272,'Impact Indicators - Section B '!$A$9:$AF$52,32,FALSE),"")</f>
        <v/>
      </c>
      <c r="D272" s="676" t="str">
        <f t="shared" ref="D272" si="1044">R272</f>
        <v/>
      </c>
      <c r="E272" s="676" t="str">
        <f t="shared" ref="E272" si="1045">S272</f>
        <v/>
      </c>
      <c r="F272" s="194"/>
      <c r="G272" s="668" t="str">
        <f t="shared" ref="G272" ca="1" si="1046">IF(OR(INDIRECT("'update Helper'!E"&amp;U272)=0,F272&lt;&gt;0,F273&lt;&gt;0),IF(IFERROR((F272/F273),"")="","",(F272/F273)),INDIRECT("'update Helper'!E"&amp;U272)/100)</f>
        <v/>
      </c>
      <c r="H272" s="670"/>
      <c r="I272" s="672"/>
      <c r="J272" s="651"/>
      <c r="K272" s="666" t="str">
        <f t="shared" ref="K272" si="1047">W272</f>
        <v/>
      </c>
      <c r="L272" s="666" t="str">
        <f t="shared" ref="L272" si="1048">V272</f>
        <v/>
      </c>
      <c r="M272" s="651"/>
      <c r="N272" s="651"/>
      <c r="P272" s="189">
        <f t="shared" ref="P272" si="1049">IF(AND(EXACT(C272,C270),C270&lt;&gt;0),P270+1,0)</f>
        <v>111</v>
      </c>
      <c r="Q272" s="189" t="str">
        <f t="shared" ref="Q272" si="1050">IF(C272&lt;&gt;"",C272&amp;"-"&amp;P272,"")</f>
        <v/>
      </c>
      <c r="R272" s="189" t="str">
        <f t="array" ref="R272">IFERROR(IF(INDEX('Disaggregation Records'!$E$3:$E$66,MATCH(RIGHT(Q272,255),RIGHT('Disaggregation Records'!$D$3:$D$66,255),0))=0,"",INDEX('Disaggregation Records'!$E$3:$E$66,MATCH(RIGHT(Q272,255),RIGHT('Disaggregation Records'!$D$3:$D$66,255),0))),"")</f>
        <v/>
      </c>
      <c r="S272" s="189" t="str">
        <f t="array" ref="S272">IFERROR(IF(INDEX('Disaggregation Records'!$F$3:$F$66,MATCH(RIGHT(Q272,255),RIGHT('Disaggregation Records'!$D$3:$D$66,255),0))=0,"",INDEX('Disaggregation Records'!$F$3:$F$66,MATCH(RIGHT(Q272,255),RIGHT('Disaggregation Records'!$D$3:$D$66,255),0))),"")</f>
        <v/>
      </c>
      <c r="T272" s="189" t="str">
        <f t="array" ref="T272">IFERROR(IF(INDEX('Disaggregation Records'!$H$3:$H$66,MATCH(RIGHT(Q272,255),RIGHT('Disaggregation Records'!$D$3:$D$66,255),0))=0,"",INDEX('Disaggregation Records'!$H$3:$H$66,MATCH(RIGHT(Q272,255),RIGHT('Disaggregation Records'!$D$3:$D$66,255),0))),"")</f>
        <v/>
      </c>
      <c r="U272" s="189">
        <f t="shared" ref="U272" si="1051">U270+1</f>
        <v>1314</v>
      </c>
      <c r="V272" s="189" t="str">
        <f t="array" ref="V272">IFERROR(IF(INDEX('Disaggregation Records'!$I$3:$I$66,MATCH(RIGHT(Q272,255),RIGHT('Disaggregation Records'!$D$3:$D$66,255),0))=0,"",INDEX('Disaggregation Records'!$I$3:$I$66,MATCH(RIGHT(Q272,255),RIGHT('Disaggregation Records'!$D$3:$D$66,255),0))),"")</f>
        <v/>
      </c>
      <c r="W272" s="189" t="str">
        <f>IFERROR(INDEX('Reference Records'!O$3:O$15,MATCH(LEFT(C272,255),'Reference Records'!J$3:J$15,0)),"")</f>
        <v/>
      </c>
    </row>
    <row r="273" spans="1:23" s="189" customFormat="1" ht="40.200000000000003" customHeight="1" x14ac:dyDescent="0.3">
      <c r="A273" s="678"/>
      <c r="B273" s="675">
        <v>10.3721804511278</v>
      </c>
      <c r="C273" s="667"/>
      <c r="D273" s="677"/>
      <c r="E273" s="677"/>
      <c r="F273" s="202"/>
      <c r="G273" s="669"/>
      <c r="H273" s="671"/>
      <c r="I273" s="673"/>
      <c r="J273" s="652"/>
      <c r="K273" s="667"/>
      <c r="L273" s="667"/>
      <c r="M273" s="652"/>
      <c r="N273" s="652"/>
      <c r="P273" s="190"/>
      <c r="Q273" s="190"/>
      <c r="R273" s="190"/>
      <c r="S273" s="190"/>
      <c r="T273" s="190"/>
      <c r="U273" s="190"/>
      <c r="V273" s="190"/>
      <c r="W273" s="190"/>
    </row>
    <row r="274" spans="1:23" s="189" customFormat="1" ht="40.200000000000003" customHeight="1" x14ac:dyDescent="0.3">
      <c r="A274" s="678" t="str">
        <f t="shared" ca="1" si="1035"/>
        <v>a1G3p000003GJ5mEAG</v>
      </c>
      <c r="B274" s="674">
        <v>14</v>
      </c>
      <c r="C274" s="666" t="str">
        <f>IFERROR(VLOOKUP(B274,'Impact Indicators - Section B '!$A$9:$AF$52,32,FALSE),"")</f>
        <v/>
      </c>
      <c r="D274" s="676" t="str">
        <f t="shared" ref="D274" si="1052">R274</f>
        <v/>
      </c>
      <c r="E274" s="676" t="str">
        <f t="shared" ref="E274" si="1053">S274</f>
        <v/>
      </c>
      <c r="F274" s="194"/>
      <c r="G274" s="668" t="str">
        <f t="shared" ref="G274" ca="1" si="1054">IF(OR(INDIRECT("'update Helper'!E"&amp;U274)=0,F274&lt;&gt;0,F275&lt;&gt;0),IF(IFERROR((F274/F275),"")="","",(F274/F275)),INDIRECT("'update Helper'!E"&amp;U274)/100)</f>
        <v/>
      </c>
      <c r="H274" s="670"/>
      <c r="I274" s="672"/>
      <c r="J274" s="651"/>
      <c r="K274" s="666" t="str">
        <f t="shared" ref="K274" si="1055">W274</f>
        <v/>
      </c>
      <c r="L274" s="666" t="str">
        <f t="shared" ref="L274" si="1056">V274</f>
        <v/>
      </c>
      <c r="M274" s="651"/>
      <c r="N274" s="651"/>
      <c r="P274" s="189">
        <f t="shared" ref="P274" si="1057">IF(AND(EXACT(C274,C272),C272&lt;&gt;0),P272+1,0)</f>
        <v>112</v>
      </c>
      <c r="Q274" s="189" t="str">
        <f t="shared" ref="Q274" si="1058">IF(C274&lt;&gt;"",C274&amp;"-"&amp;P274,"")</f>
        <v/>
      </c>
      <c r="R274" s="189" t="str">
        <f t="array" ref="R274">IFERROR(IF(INDEX('Disaggregation Records'!$E$3:$E$66,MATCH(RIGHT(Q274,255),RIGHT('Disaggregation Records'!$D$3:$D$66,255),0))=0,"",INDEX('Disaggregation Records'!$E$3:$E$66,MATCH(RIGHT(Q274,255),RIGHT('Disaggregation Records'!$D$3:$D$66,255),0))),"")</f>
        <v/>
      </c>
      <c r="S274" s="189" t="str">
        <f t="array" ref="S274">IFERROR(IF(INDEX('Disaggregation Records'!$F$3:$F$66,MATCH(RIGHT(Q274,255),RIGHT('Disaggregation Records'!$D$3:$D$66,255),0))=0,"",INDEX('Disaggregation Records'!$F$3:$F$66,MATCH(RIGHT(Q274,255),RIGHT('Disaggregation Records'!$D$3:$D$66,255),0))),"")</f>
        <v/>
      </c>
      <c r="T274" s="189" t="str">
        <f t="array" ref="T274">IFERROR(IF(INDEX('Disaggregation Records'!$H$3:$H$66,MATCH(RIGHT(Q274,255),RIGHT('Disaggregation Records'!$D$3:$D$66,255),0))=0,"",INDEX('Disaggregation Records'!$H$3:$H$66,MATCH(RIGHT(Q274,255),RIGHT('Disaggregation Records'!$D$3:$D$66,255),0))),"")</f>
        <v/>
      </c>
      <c r="U274" s="189">
        <f t="shared" ref="U274" si="1059">U272+1</f>
        <v>1315</v>
      </c>
      <c r="V274" s="189" t="str">
        <f t="array" ref="V274">IFERROR(IF(INDEX('Disaggregation Records'!$I$3:$I$66,MATCH(RIGHT(Q274,255),RIGHT('Disaggregation Records'!$D$3:$D$66,255),0))=0,"",INDEX('Disaggregation Records'!$I$3:$I$66,MATCH(RIGHT(Q274,255),RIGHT('Disaggregation Records'!$D$3:$D$66,255),0))),"")</f>
        <v/>
      </c>
      <c r="W274" s="189" t="str">
        <f>IFERROR(INDEX('Reference Records'!O$3:O$15,MATCH(LEFT(C274,255),'Reference Records'!J$3:J$15,0)),"")</f>
        <v/>
      </c>
    </row>
    <row r="275" spans="1:23" s="189" customFormat="1" ht="40.200000000000003" customHeight="1" x14ac:dyDescent="0.3">
      <c r="A275" s="678"/>
      <c r="B275" s="675">
        <v>10.3721804511278</v>
      </c>
      <c r="C275" s="667"/>
      <c r="D275" s="677"/>
      <c r="E275" s="677"/>
      <c r="F275" s="202"/>
      <c r="G275" s="669"/>
      <c r="H275" s="671"/>
      <c r="I275" s="673"/>
      <c r="J275" s="652"/>
      <c r="K275" s="667"/>
      <c r="L275" s="667"/>
      <c r="M275" s="652"/>
      <c r="N275" s="652"/>
      <c r="P275" s="190"/>
      <c r="Q275" s="190"/>
      <c r="R275" s="190"/>
      <c r="S275" s="190"/>
      <c r="T275" s="190"/>
      <c r="U275" s="190"/>
      <c r="V275" s="190"/>
      <c r="W275" s="190"/>
    </row>
    <row r="276" spans="1:23" s="189" customFormat="1" ht="40.200000000000003" customHeight="1" x14ac:dyDescent="0.3">
      <c r="A276" s="678" t="str">
        <f t="shared" ca="1" si="1035"/>
        <v>a1G3p000003GJ5nEAG</v>
      </c>
      <c r="B276" s="674">
        <v>14</v>
      </c>
      <c r="C276" s="666" t="str">
        <f>IFERROR(VLOOKUP(B276,'Impact Indicators - Section B '!$A$9:$AF$52,32,FALSE),"")</f>
        <v/>
      </c>
      <c r="D276" s="676" t="str">
        <f t="shared" ref="D276" si="1060">R276</f>
        <v/>
      </c>
      <c r="E276" s="676" t="str">
        <f t="shared" ref="E276" si="1061">S276</f>
        <v/>
      </c>
      <c r="F276" s="194"/>
      <c r="G276" s="668" t="str">
        <f t="shared" ref="G276" ca="1" si="1062">IF(OR(INDIRECT("'update Helper'!E"&amp;U276)=0,F276&lt;&gt;0,F277&lt;&gt;0),IF(IFERROR((F276/F277),"")="","",(F276/F277)),INDIRECT("'update Helper'!E"&amp;U276)/100)</f>
        <v/>
      </c>
      <c r="H276" s="670"/>
      <c r="I276" s="672"/>
      <c r="J276" s="651"/>
      <c r="K276" s="666" t="str">
        <f t="shared" ref="K276" si="1063">W276</f>
        <v/>
      </c>
      <c r="L276" s="666" t="str">
        <f t="shared" ref="L276" si="1064">V276</f>
        <v/>
      </c>
      <c r="M276" s="651"/>
      <c r="N276" s="651"/>
      <c r="P276" s="189">
        <f t="shared" ref="P276" si="1065">IF(AND(EXACT(C276,C274),C274&lt;&gt;0),P274+1,0)</f>
        <v>113</v>
      </c>
      <c r="Q276" s="189" t="str">
        <f t="shared" ref="Q276" si="1066">IF(C276&lt;&gt;"",C276&amp;"-"&amp;P276,"")</f>
        <v/>
      </c>
      <c r="R276" s="189" t="str">
        <f t="array" ref="R276">IFERROR(IF(INDEX('Disaggregation Records'!$E$3:$E$66,MATCH(RIGHT(Q276,255),RIGHT('Disaggregation Records'!$D$3:$D$66,255),0))=0,"",INDEX('Disaggregation Records'!$E$3:$E$66,MATCH(RIGHT(Q276,255),RIGHT('Disaggregation Records'!$D$3:$D$66,255),0))),"")</f>
        <v/>
      </c>
      <c r="S276" s="189" t="str">
        <f t="array" ref="S276">IFERROR(IF(INDEX('Disaggregation Records'!$F$3:$F$66,MATCH(RIGHT(Q276,255),RIGHT('Disaggregation Records'!$D$3:$D$66,255),0))=0,"",INDEX('Disaggregation Records'!$F$3:$F$66,MATCH(RIGHT(Q276,255),RIGHT('Disaggregation Records'!$D$3:$D$66,255),0))),"")</f>
        <v/>
      </c>
      <c r="T276" s="189" t="str">
        <f t="array" ref="T276">IFERROR(IF(INDEX('Disaggregation Records'!$H$3:$H$66,MATCH(RIGHT(Q276,255),RIGHT('Disaggregation Records'!$D$3:$D$66,255),0))=0,"",INDEX('Disaggregation Records'!$H$3:$H$66,MATCH(RIGHT(Q276,255),RIGHT('Disaggregation Records'!$D$3:$D$66,255),0))),"")</f>
        <v/>
      </c>
      <c r="U276" s="189">
        <f t="shared" ref="U276" si="1067">U274+1</f>
        <v>1316</v>
      </c>
      <c r="V276" s="189" t="str">
        <f t="array" ref="V276">IFERROR(IF(INDEX('Disaggregation Records'!$I$3:$I$66,MATCH(RIGHT(Q276,255),RIGHT('Disaggregation Records'!$D$3:$D$66,255),0))=0,"",INDEX('Disaggregation Records'!$I$3:$I$66,MATCH(RIGHT(Q276,255),RIGHT('Disaggregation Records'!$D$3:$D$66,255),0))),"")</f>
        <v/>
      </c>
      <c r="W276" s="189" t="str">
        <f>IFERROR(INDEX('Reference Records'!O$3:O$15,MATCH(LEFT(C276,255),'Reference Records'!J$3:J$15,0)),"")</f>
        <v/>
      </c>
    </row>
    <row r="277" spans="1:23" s="189" customFormat="1" ht="40.200000000000003" customHeight="1" x14ac:dyDescent="0.3">
      <c r="A277" s="678"/>
      <c r="B277" s="675">
        <v>10.3721804511278</v>
      </c>
      <c r="C277" s="667"/>
      <c r="D277" s="677"/>
      <c r="E277" s="677"/>
      <c r="F277" s="202"/>
      <c r="G277" s="669"/>
      <c r="H277" s="671"/>
      <c r="I277" s="673"/>
      <c r="J277" s="652"/>
      <c r="K277" s="667"/>
      <c r="L277" s="667"/>
      <c r="M277" s="652"/>
      <c r="N277" s="652"/>
      <c r="P277" s="190"/>
      <c r="Q277" s="190"/>
      <c r="R277" s="190"/>
      <c r="S277" s="190"/>
      <c r="T277" s="190"/>
      <c r="U277" s="190"/>
      <c r="V277" s="190"/>
      <c r="W277" s="190"/>
    </row>
    <row r="278" spans="1:23" s="189" customFormat="1" ht="40.200000000000003" customHeight="1" x14ac:dyDescent="0.3">
      <c r="A278" s="678" t="str">
        <f t="shared" ca="1" si="1035"/>
        <v>a1G3p000003GJ5oEAG</v>
      </c>
      <c r="B278" s="674">
        <v>14</v>
      </c>
      <c r="C278" s="666" t="str">
        <f>IFERROR(VLOOKUP(B278,'Impact Indicators - Section B '!$A$9:$AF$52,32,FALSE),"")</f>
        <v/>
      </c>
      <c r="D278" s="676" t="str">
        <f t="shared" ref="D278" si="1068">R278</f>
        <v/>
      </c>
      <c r="E278" s="676" t="str">
        <f t="shared" ref="E278" si="1069">S278</f>
        <v/>
      </c>
      <c r="F278" s="194"/>
      <c r="G278" s="668" t="str">
        <f t="shared" ref="G278" ca="1" si="1070">IF(OR(INDIRECT("'update Helper'!E"&amp;U278)=0,F278&lt;&gt;0,F279&lt;&gt;0),IF(IFERROR((F278/F279),"")="","",(F278/F279)),INDIRECT("'update Helper'!E"&amp;U278)/100)</f>
        <v/>
      </c>
      <c r="H278" s="670"/>
      <c r="I278" s="672"/>
      <c r="J278" s="651"/>
      <c r="K278" s="666" t="str">
        <f t="shared" ref="K278" si="1071">W278</f>
        <v/>
      </c>
      <c r="L278" s="666" t="str">
        <f t="shared" ref="L278" si="1072">V278</f>
        <v/>
      </c>
      <c r="M278" s="651"/>
      <c r="N278" s="651"/>
      <c r="P278" s="189">
        <f t="shared" ref="P278" si="1073">IF(AND(EXACT(C278,C276),C276&lt;&gt;0),P276+1,0)</f>
        <v>114</v>
      </c>
      <c r="Q278" s="189" t="str">
        <f t="shared" ref="Q278" si="1074">IF(C278&lt;&gt;"",C278&amp;"-"&amp;P278,"")</f>
        <v/>
      </c>
      <c r="R278" s="189" t="str">
        <f t="array" ref="R278">IFERROR(IF(INDEX('Disaggregation Records'!$E$3:$E$66,MATCH(RIGHT(Q278,255),RIGHT('Disaggregation Records'!$D$3:$D$66,255),0))=0,"",INDEX('Disaggregation Records'!$E$3:$E$66,MATCH(RIGHT(Q278,255),RIGHT('Disaggregation Records'!$D$3:$D$66,255),0))),"")</f>
        <v/>
      </c>
      <c r="S278" s="189" t="str">
        <f t="array" ref="S278">IFERROR(IF(INDEX('Disaggregation Records'!$F$3:$F$66,MATCH(RIGHT(Q278,255),RIGHT('Disaggregation Records'!$D$3:$D$66,255),0))=0,"",INDEX('Disaggregation Records'!$F$3:$F$66,MATCH(RIGHT(Q278,255),RIGHT('Disaggregation Records'!$D$3:$D$66,255),0))),"")</f>
        <v/>
      </c>
      <c r="T278" s="189" t="str">
        <f t="array" ref="T278">IFERROR(IF(INDEX('Disaggregation Records'!$H$3:$H$66,MATCH(RIGHT(Q278,255),RIGHT('Disaggregation Records'!$D$3:$D$66,255),0))=0,"",INDEX('Disaggregation Records'!$H$3:$H$66,MATCH(RIGHT(Q278,255),RIGHT('Disaggregation Records'!$D$3:$D$66,255),0))),"")</f>
        <v/>
      </c>
      <c r="U278" s="189">
        <f t="shared" ref="U278" si="1075">U276+1</f>
        <v>1317</v>
      </c>
      <c r="V278" s="189" t="str">
        <f t="array" ref="V278">IFERROR(IF(INDEX('Disaggregation Records'!$I$3:$I$66,MATCH(RIGHT(Q278,255),RIGHT('Disaggregation Records'!$D$3:$D$66,255),0))=0,"",INDEX('Disaggregation Records'!$I$3:$I$66,MATCH(RIGHT(Q278,255),RIGHT('Disaggregation Records'!$D$3:$D$66,255),0))),"")</f>
        <v/>
      </c>
      <c r="W278" s="189" t="str">
        <f>IFERROR(INDEX('Reference Records'!O$3:O$15,MATCH(LEFT(C278,255),'Reference Records'!J$3:J$15,0)),"")</f>
        <v/>
      </c>
    </row>
    <row r="279" spans="1:23" s="189" customFormat="1" ht="40.200000000000003" customHeight="1" x14ac:dyDescent="0.3">
      <c r="A279" s="678"/>
      <c r="B279" s="675">
        <v>10.3721804511278</v>
      </c>
      <c r="C279" s="667"/>
      <c r="D279" s="677"/>
      <c r="E279" s="677"/>
      <c r="F279" s="202"/>
      <c r="G279" s="669"/>
      <c r="H279" s="671"/>
      <c r="I279" s="673"/>
      <c r="J279" s="652"/>
      <c r="K279" s="667"/>
      <c r="L279" s="667"/>
      <c r="M279" s="652"/>
      <c r="N279" s="652"/>
      <c r="P279" s="190"/>
      <c r="Q279" s="190"/>
      <c r="R279" s="190"/>
      <c r="S279" s="190"/>
      <c r="T279" s="190"/>
      <c r="U279" s="190"/>
      <c r="V279" s="190"/>
      <c r="W279" s="190"/>
    </row>
    <row r="280" spans="1:23" s="189" customFormat="1" ht="40.200000000000003" customHeight="1" x14ac:dyDescent="0.3">
      <c r="A280" s="678" t="str">
        <f t="shared" ca="1" si="1035"/>
        <v>a1G3p000003GJ5pEAG</v>
      </c>
      <c r="B280" s="674">
        <v>14</v>
      </c>
      <c r="C280" s="666" t="str">
        <f>IFERROR(VLOOKUP(B280,'Impact Indicators - Section B '!$A$9:$AF$52,32,FALSE),"")</f>
        <v/>
      </c>
      <c r="D280" s="676" t="str">
        <f t="shared" ref="D280" si="1076">R280</f>
        <v/>
      </c>
      <c r="E280" s="676" t="str">
        <f t="shared" ref="E280" si="1077">S280</f>
        <v/>
      </c>
      <c r="F280" s="194"/>
      <c r="G280" s="668" t="str">
        <f t="shared" ref="G280" ca="1" si="1078">IF(OR(INDIRECT("'update Helper'!E"&amp;U280)=0,F280&lt;&gt;0,F281&lt;&gt;0),IF(IFERROR((F280/F281),"")="","",(F280/F281)),INDIRECT("'update Helper'!E"&amp;U280)/100)</f>
        <v/>
      </c>
      <c r="H280" s="670"/>
      <c r="I280" s="672"/>
      <c r="J280" s="651"/>
      <c r="K280" s="666" t="str">
        <f t="shared" ref="K280" si="1079">W280</f>
        <v/>
      </c>
      <c r="L280" s="666" t="str">
        <f t="shared" ref="L280" si="1080">V280</f>
        <v/>
      </c>
      <c r="M280" s="651"/>
      <c r="N280" s="651"/>
      <c r="P280" s="189">
        <f t="shared" ref="P280" si="1081">IF(AND(EXACT(C280,C278),C278&lt;&gt;0),P278+1,0)</f>
        <v>115</v>
      </c>
      <c r="Q280" s="189" t="str">
        <f t="shared" ref="Q280" si="1082">IF(C280&lt;&gt;"",C280&amp;"-"&amp;P280,"")</f>
        <v/>
      </c>
      <c r="R280" s="189" t="str">
        <f t="array" ref="R280">IFERROR(IF(INDEX('Disaggregation Records'!$E$3:$E$66,MATCH(RIGHT(Q280,255),RIGHT('Disaggregation Records'!$D$3:$D$66,255),0))=0,"",INDEX('Disaggregation Records'!$E$3:$E$66,MATCH(RIGHT(Q280,255),RIGHT('Disaggregation Records'!$D$3:$D$66,255),0))),"")</f>
        <v/>
      </c>
      <c r="S280" s="189" t="str">
        <f t="array" ref="S280">IFERROR(IF(INDEX('Disaggregation Records'!$F$3:$F$66,MATCH(RIGHT(Q280,255),RIGHT('Disaggregation Records'!$D$3:$D$66,255),0))=0,"",INDEX('Disaggregation Records'!$F$3:$F$66,MATCH(RIGHT(Q280,255),RIGHT('Disaggregation Records'!$D$3:$D$66,255),0))),"")</f>
        <v/>
      </c>
      <c r="T280" s="189" t="str">
        <f t="array" ref="T280">IFERROR(IF(INDEX('Disaggregation Records'!$H$3:$H$66,MATCH(RIGHT(Q280,255),RIGHT('Disaggregation Records'!$D$3:$D$66,255),0))=0,"",INDEX('Disaggregation Records'!$H$3:$H$66,MATCH(RIGHT(Q280,255),RIGHT('Disaggregation Records'!$D$3:$D$66,255),0))),"")</f>
        <v/>
      </c>
      <c r="U280" s="189">
        <f t="shared" ref="U280" si="1083">U278+1</f>
        <v>1318</v>
      </c>
      <c r="V280" s="189" t="str">
        <f t="array" ref="V280">IFERROR(IF(INDEX('Disaggregation Records'!$I$3:$I$66,MATCH(RIGHT(Q280,255),RIGHT('Disaggregation Records'!$D$3:$D$66,255),0))=0,"",INDEX('Disaggregation Records'!$I$3:$I$66,MATCH(RIGHT(Q280,255),RIGHT('Disaggregation Records'!$D$3:$D$66,255),0))),"")</f>
        <v/>
      </c>
      <c r="W280" s="189" t="str">
        <f>IFERROR(INDEX('Reference Records'!O$3:O$15,MATCH(LEFT(C280,255),'Reference Records'!J$3:J$15,0)),"")</f>
        <v/>
      </c>
    </row>
    <row r="281" spans="1:23" s="189" customFormat="1" ht="40.200000000000003" customHeight="1" x14ac:dyDescent="0.3">
      <c r="A281" s="678"/>
      <c r="B281" s="675">
        <v>10.3721804511278</v>
      </c>
      <c r="C281" s="667"/>
      <c r="D281" s="677"/>
      <c r="E281" s="677"/>
      <c r="F281" s="202"/>
      <c r="G281" s="669"/>
      <c r="H281" s="671"/>
      <c r="I281" s="673"/>
      <c r="J281" s="652"/>
      <c r="K281" s="667"/>
      <c r="L281" s="667"/>
      <c r="M281" s="652"/>
      <c r="N281" s="652"/>
      <c r="P281" s="190"/>
      <c r="Q281" s="190"/>
      <c r="R281" s="190"/>
      <c r="S281" s="190"/>
      <c r="T281" s="190"/>
      <c r="U281" s="190"/>
      <c r="V281" s="190"/>
      <c r="W281" s="190"/>
    </row>
    <row r="282" spans="1:23" s="189" customFormat="1" ht="40.200000000000003" customHeight="1" x14ac:dyDescent="0.3">
      <c r="A282" s="678" t="str">
        <f t="shared" ca="1" si="1035"/>
        <v>a1G3p000003GJ5qEAG</v>
      </c>
      <c r="B282" s="674">
        <v>14</v>
      </c>
      <c r="C282" s="666" t="str">
        <f>IFERROR(VLOOKUP(B282,'Impact Indicators - Section B '!$A$9:$AF$52,32,FALSE),"")</f>
        <v/>
      </c>
      <c r="D282" s="676" t="str">
        <f t="shared" ref="D282" si="1084">R282</f>
        <v/>
      </c>
      <c r="E282" s="676" t="str">
        <f t="shared" ref="E282" si="1085">S282</f>
        <v/>
      </c>
      <c r="F282" s="194"/>
      <c r="G282" s="668" t="str">
        <f t="shared" ref="G282" ca="1" si="1086">IF(OR(INDIRECT("'update Helper'!E"&amp;U282)=0,F282&lt;&gt;0,F283&lt;&gt;0),IF(IFERROR((F282/F283),"")="","",(F282/F283)),INDIRECT("'update Helper'!E"&amp;U282)/100)</f>
        <v/>
      </c>
      <c r="H282" s="670"/>
      <c r="I282" s="672"/>
      <c r="J282" s="651"/>
      <c r="K282" s="666" t="str">
        <f t="shared" ref="K282" si="1087">W282</f>
        <v/>
      </c>
      <c r="L282" s="666" t="str">
        <f t="shared" ref="L282" si="1088">V282</f>
        <v/>
      </c>
      <c r="M282" s="651"/>
      <c r="N282" s="651"/>
      <c r="P282" s="189">
        <f t="shared" ref="P282" si="1089">IF(AND(EXACT(C282,C280),C280&lt;&gt;0),P280+1,0)</f>
        <v>116</v>
      </c>
      <c r="Q282" s="189" t="str">
        <f t="shared" ref="Q282" si="1090">IF(C282&lt;&gt;"",C282&amp;"-"&amp;P282,"")</f>
        <v/>
      </c>
      <c r="R282" s="189" t="str">
        <f t="array" ref="R282">IFERROR(IF(INDEX('Disaggregation Records'!$E$3:$E$66,MATCH(RIGHT(Q282,255),RIGHT('Disaggregation Records'!$D$3:$D$66,255),0))=0,"",INDEX('Disaggregation Records'!$E$3:$E$66,MATCH(RIGHT(Q282,255),RIGHT('Disaggregation Records'!$D$3:$D$66,255),0))),"")</f>
        <v/>
      </c>
      <c r="S282" s="189" t="str">
        <f t="array" ref="S282">IFERROR(IF(INDEX('Disaggregation Records'!$F$3:$F$66,MATCH(RIGHT(Q282,255),RIGHT('Disaggregation Records'!$D$3:$D$66,255),0))=0,"",INDEX('Disaggregation Records'!$F$3:$F$66,MATCH(RIGHT(Q282,255),RIGHT('Disaggregation Records'!$D$3:$D$66,255),0))),"")</f>
        <v/>
      </c>
      <c r="T282" s="189" t="str">
        <f t="array" ref="T282">IFERROR(IF(INDEX('Disaggregation Records'!$H$3:$H$66,MATCH(RIGHT(Q282,255),RIGHT('Disaggregation Records'!$D$3:$D$66,255),0))=0,"",INDEX('Disaggregation Records'!$H$3:$H$66,MATCH(RIGHT(Q282,255),RIGHT('Disaggregation Records'!$D$3:$D$66,255),0))),"")</f>
        <v/>
      </c>
      <c r="U282" s="189">
        <f t="shared" ref="U282" si="1091">U280+1</f>
        <v>1319</v>
      </c>
      <c r="V282" s="189" t="str">
        <f t="array" ref="V282">IFERROR(IF(INDEX('Disaggregation Records'!$I$3:$I$66,MATCH(RIGHT(Q282,255),RIGHT('Disaggregation Records'!$D$3:$D$66,255),0))=0,"",INDEX('Disaggregation Records'!$I$3:$I$66,MATCH(RIGHT(Q282,255),RIGHT('Disaggregation Records'!$D$3:$D$66,255),0))),"")</f>
        <v/>
      </c>
      <c r="W282" s="189" t="str">
        <f>IFERROR(INDEX('Reference Records'!O$3:O$15,MATCH(LEFT(C282,255),'Reference Records'!J$3:J$15,0)),"")</f>
        <v/>
      </c>
    </row>
    <row r="283" spans="1:23" s="189" customFormat="1" ht="40.200000000000003" customHeight="1" x14ac:dyDescent="0.3">
      <c r="A283" s="678"/>
      <c r="B283" s="675">
        <v>10.3721804511278</v>
      </c>
      <c r="C283" s="667"/>
      <c r="D283" s="677"/>
      <c r="E283" s="677"/>
      <c r="F283" s="202"/>
      <c r="G283" s="669"/>
      <c r="H283" s="671"/>
      <c r="I283" s="673"/>
      <c r="J283" s="652"/>
      <c r="K283" s="667"/>
      <c r="L283" s="667"/>
      <c r="M283" s="652"/>
      <c r="N283" s="652"/>
      <c r="P283" s="190"/>
      <c r="Q283" s="190"/>
      <c r="R283" s="190"/>
      <c r="S283" s="190"/>
      <c r="T283" s="190"/>
      <c r="U283" s="190"/>
      <c r="V283" s="190"/>
      <c r="W283" s="190"/>
    </row>
    <row r="284" spans="1:23" s="189" customFormat="1" ht="40.200000000000003" customHeight="1" x14ac:dyDescent="0.3">
      <c r="A284" s="678" t="str">
        <f t="shared" ca="1" si="1035"/>
        <v>a1G3p000003GJ5rEAG</v>
      </c>
      <c r="B284" s="674">
        <v>14</v>
      </c>
      <c r="C284" s="666" t="str">
        <f>IFERROR(VLOOKUP(B284,'Impact Indicators - Section B '!$A$9:$AF$52,32,FALSE),"")</f>
        <v/>
      </c>
      <c r="D284" s="676" t="str">
        <f t="shared" ref="D284" si="1092">R284</f>
        <v/>
      </c>
      <c r="E284" s="676" t="str">
        <f t="shared" ref="E284" si="1093">S284</f>
        <v/>
      </c>
      <c r="F284" s="194"/>
      <c r="G284" s="668" t="str">
        <f t="shared" ref="G284" ca="1" si="1094">IF(OR(INDIRECT("'update Helper'!E"&amp;U284)=0,F284&lt;&gt;0,F285&lt;&gt;0),IF(IFERROR((F284/F285),"")="","",(F284/F285)),INDIRECT("'update Helper'!E"&amp;U284)/100)</f>
        <v/>
      </c>
      <c r="H284" s="670"/>
      <c r="I284" s="672"/>
      <c r="J284" s="651"/>
      <c r="K284" s="666" t="str">
        <f t="shared" ref="K284" si="1095">W284</f>
        <v/>
      </c>
      <c r="L284" s="666" t="str">
        <f t="shared" ref="L284" si="1096">V284</f>
        <v/>
      </c>
      <c r="M284" s="651"/>
      <c r="N284" s="651"/>
      <c r="P284" s="189">
        <f t="shared" ref="P284" si="1097">IF(AND(EXACT(C284,C282),C282&lt;&gt;0),P282+1,0)</f>
        <v>117</v>
      </c>
      <c r="Q284" s="189" t="str">
        <f t="shared" ref="Q284" si="1098">IF(C284&lt;&gt;"",C284&amp;"-"&amp;P284,"")</f>
        <v/>
      </c>
      <c r="R284" s="189" t="str">
        <f t="array" ref="R284">IFERROR(IF(INDEX('Disaggregation Records'!$E$3:$E$66,MATCH(RIGHT(Q284,255),RIGHT('Disaggregation Records'!$D$3:$D$66,255),0))=0,"",INDEX('Disaggregation Records'!$E$3:$E$66,MATCH(RIGHT(Q284,255),RIGHT('Disaggregation Records'!$D$3:$D$66,255),0))),"")</f>
        <v/>
      </c>
      <c r="S284" s="189" t="str">
        <f t="array" ref="S284">IFERROR(IF(INDEX('Disaggregation Records'!$F$3:$F$66,MATCH(RIGHT(Q284,255),RIGHT('Disaggregation Records'!$D$3:$D$66,255),0))=0,"",INDEX('Disaggregation Records'!$F$3:$F$66,MATCH(RIGHT(Q284,255),RIGHT('Disaggregation Records'!$D$3:$D$66,255),0))),"")</f>
        <v/>
      </c>
      <c r="T284" s="189" t="str">
        <f t="array" ref="T284">IFERROR(IF(INDEX('Disaggregation Records'!$H$3:$H$66,MATCH(RIGHT(Q284,255),RIGHT('Disaggregation Records'!$D$3:$D$66,255),0))=0,"",INDEX('Disaggregation Records'!$H$3:$H$66,MATCH(RIGHT(Q284,255),RIGHT('Disaggregation Records'!$D$3:$D$66,255),0))),"")</f>
        <v/>
      </c>
      <c r="U284" s="189">
        <f t="shared" ref="U284" si="1099">U282+1</f>
        <v>1320</v>
      </c>
      <c r="V284" s="189" t="str">
        <f t="array" ref="V284">IFERROR(IF(INDEX('Disaggregation Records'!$I$3:$I$66,MATCH(RIGHT(Q284,255),RIGHT('Disaggregation Records'!$D$3:$D$66,255),0))=0,"",INDEX('Disaggregation Records'!$I$3:$I$66,MATCH(RIGHT(Q284,255),RIGHT('Disaggregation Records'!$D$3:$D$66,255),0))),"")</f>
        <v/>
      </c>
      <c r="W284" s="189" t="str">
        <f>IFERROR(INDEX('Reference Records'!O$3:O$15,MATCH(LEFT(C284,255),'Reference Records'!J$3:J$15,0)),"")</f>
        <v/>
      </c>
    </row>
    <row r="285" spans="1:23" s="189" customFormat="1" ht="40.200000000000003" customHeight="1" x14ac:dyDescent="0.3">
      <c r="A285" s="678"/>
      <c r="B285" s="675">
        <v>10.3721804511278</v>
      </c>
      <c r="C285" s="667"/>
      <c r="D285" s="677"/>
      <c r="E285" s="677"/>
      <c r="F285" s="202"/>
      <c r="G285" s="669"/>
      <c r="H285" s="671"/>
      <c r="I285" s="673"/>
      <c r="J285" s="652"/>
      <c r="K285" s="667"/>
      <c r="L285" s="667"/>
      <c r="M285" s="652"/>
      <c r="N285" s="652"/>
      <c r="P285" s="190"/>
      <c r="Q285" s="190"/>
      <c r="R285" s="190"/>
      <c r="S285" s="190"/>
      <c r="T285" s="190"/>
      <c r="U285" s="190"/>
      <c r="V285" s="190"/>
      <c r="W285" s="190"/>
    </row>
    <row r="286" spans="1:23" s="189" customFormat="1" ht="40.200000000000003" customHeight="1" x14ac:dyDescent="0.3">
      <c r="A286" s="678" t="str">
        <f t="shared" ca="1" si="1035"/>
        <v>a1G3p000003GJ5sEAG</v>
      </c>
      <c r="B286" s="674">
        <v>14</v>
      </c>
      <c r="C286" s="666" t="str">
        <f>IFERROR(VLOOKUP(B286,'Impact Indicators - Section B '!$A$9:$AF$52,32,FALSE),"")</f>
        <v/>
      </c>
      <c r="D286" s="676" t="str">
        <f t="shared" ref="D286" si="1100">R286</f>
        <v/>
      </c>
      <c r="E286" s="676" t="str">
        <f t="shared" ref="E286" si="1101">S286</f>
        <v/>
      </c>
      <c r="F286" s="194"/>
      <c r="G286" s="668" t="str">
        <f t="shared" ref="G286" ca="1" si="1102">IF(OR(INDIRECT("'update Helper'!E"&amp;U286)=0,F286&lt;&gt;0,F287&lt;&gt;0),IF(IFERROR((F286/F287),"")="","",(F286/F287)),INDIRECT("'update Helper'!E"&amp;U286)/100)</f>
        <v/>
      </c>
      <c r="H286" s="670"/>
      <c r="I286" s="672"/>
      <c r="J286" s="651"/>
      <c r="K286" s="666" t="str">
        <f t="shared" ref="K286" si="1103">W286</f>
        <v/>
      </c>
      <c r="L286" s="666" t="str">
        <f t="shared" ref="L286" si="1104">V286</f>
        <v/>
      </c>
      <c r="M286" s="651"/>
      <c r="N286" s="651"/>
      <c r="P286" s="189">
        <f t="shared" ref="P286" si="1105">IF(AND(EXACT(C286,C284),C284&lt;&gt;0),P284+1,0)</f>
        <v>118</v>
      </c>
      <c r="Q286" s="189" t="str">
        <f t="shared" ref="Q286" si="1106">IF(C286&lt;&gt;"",C286&amp;"-"&amp;P286,"")</f>
        <v/>
      </c>
      <c r="R286" s="189" t="str">
        <f t="array" ref="R286">IFERROR(IF(INDEX('Disaggregation Records'!$E$3:$E$66,MATCH(RIGHT(Q286,255),RIGHT('Disaggregation Records'!$D$3:$D$66,255),0))=0,"",INDEX('Disaggregation Records'!$E$3:$E$66,MATCH(RIGHT(Q286,255),RIGHT('Disaggregation Records'!$D$3:$D$66,255),0))),"")</f>
        <v/>
      </c>
      <c r="S286" s="189" t="str">
        <f t="array" ref="S286">IFERROR(IF(INDEX('Disaggregation Records'!$F$3:$F$66,MATCH(RIGHT(Q286,255),RIGHT('Disaggregation Records'!$D$3:$D$66,255),0))=0,"",INDEX('Disaggregation Records'!$F$3:$F$66,MATCH(RIGHT(Q286,255),RIGHT('Disaggregation Records'!$D$3:$D$66,255),0))),"")</f>
        <v/>
      </c>
      <c r="T286" s="189" t="str">
        <f t="array" ref="T286">IFERROR(IF(INDEX('Disaggregation Records'!$H$3:$H$66,MATCH(RIGHT(Q286,255),RIGHT('Disaggregation Records'!$D$3:$D$66,255),0))=0,"",INDEX('Disaggregation Records'!$H$3:$H$66,MATCH(RIGHT(Q286,255),RIGHT('Disaggregation Records'!$D$3:$D$66,255),0))),"")</f>
        <v/>
      </c>
      <c r="U286" s="189">
        <f t="shared" ref="U286" si="1107">U284+1</f>
        <v>1321</v>
      </c>
      <c r="V286" s="189" t="str">
        <f t="array" ref="V286">IFERROR(IF(INDEX('Disaggregation Records'!$I$3:$I$66,MATCH(RIGHT(Q286,255),RIGHT('Disaggregation Records'!$D$3:$D$66,255),0))=0,"",INDEX('Disaggregation Records'!$I$3:$I$66,MATCH(RIGHT(Q286,255),RIGHT('Disaggregation Records'!$D$3:$D$66,255),0))),"")</f>
        <v/>
      </c>
      <c r="W286" s="189" t="str">
        <f>IFERROR(INDEX('Reference Records'!O$3:O$15,MATCH(LEFT(C286,255),'Reference Records'!J$3:J$15,0)),"")</f>
        <v/>
      </c>
    </row>
    <row r="287" spans="1:23" s="189" customFormat="1" ht="40.200000000000003" customHeight="1" x14ac:dyDescent="0.3">
      <c r="A287" s="678"/>
      <c r="B287" s="675">
        <v>10.3721804511278</v>
      </c>
      <c r="C287" s="667"/>
      <c r="D287" s="677"/>
      <c r="E287" s="677"/>
      <c r="F287" s="202"/>
      <c r="G287" s="669"/>
      <c r="H287" s="671"/>
      <c r="I287" s="673"/>
      <c r="J287" s="652"/>
      <c r="K287" s="667"/>
      <c r="L287" s="667"/>
      <c r="M287" s="652"/>
      <c r="N287" s="652"/>
      <c r="P287" s="190"/>
      <c r="Q287" s="190"/>
      <c r="R287" s="190"/>
      <c r="S287" s="190"/>
      <c r="T287" s="190"/>
      <c r="U287" s="190"/>
      <c r="V287" s="190"/>
      <c r="W287" s="190"/>
    </row>
    <row r="288" spans="1:23" s="189" customFormat="1" ht="40.200000000000003" customHeight="1" x14ac:dyDescent="0.3">
      <c r="A288" s="678" t="str">
        <f t="shared" ca="1" si="1035"/>
        <v>a1G3p000003GJ5tEAG</v>
      </c>
      <c r="B288" s="674">
        <v>14</v>
      </c>
      <c r="C288" s="666" t="str">
        <f>IFERROR(VLOOKUP(B288,'Impact Indicators - Section B '!$A$9:$AF$52,32,FALSE),"")</f>
        <v/>
      </c>
      <c r="D288" s="676" t="str">
        <f t="shared" ref="D288" si="1108">R288</f>
        <v/>
      </c>
      <c r="E288" s="676" t="str">
        <f t="shared" ref="E288" si="1109">S288</f>
        <v/>
      </c>
      <c r="F288" s="194"/>
      <c r="G288" s="668" t="str">
        <f t="shared" ref="G288" ca="1" si="1110">IF(OR(INDIRECT("'update Helper'!E"&amp;U288)=0,F288&lt;&gt;0,F289&lt;&gt;0),IF(IFERROR((F288/F289),"")="","",(F288/F289)),INDIRECT("'update Helper'!E"&amp;U288)/100)</f>
        <v/>
      </c>
      <c r="H288" s="670"/>
      <c r="I288" s="672"/>
      <c r="J288" s="651"/>
      <c r="K288" s="666" t="str">
        <f t="shared" ref="K288" si="1111">W288</f>
        <v/>
      </c>
      <c r="L288" s="666" t="str">
        <f t="shared" ref="L288" si="1112">V288</f>
        <v/>
      </c>
      <c r="M288" s="651"/>
      <c r="N288" s="651"/>
      <c r="P288" s="189">
        <f t="shared" ref="P288" si="1113">IF(AND(EXACT(C288,C286),C286&lt;&gt;0),P286+1,0)</f>
        <v>119</v>
      </c>
      <c r="Q288" s="189" t="str">
        <f t="shared" ref="Q288" si="1114">IF(C288&lt;&gt;"",C288&amp;"-"&amp;P288,"")</f>
        <v/>
      </c>
      <c r="R288" s="189" t="str">
        <f t="array" ref="R288">IFERROR(IF(INDEX('Disaggregation Records'!$E$3:$E$66,MATCH(RIGHT(Q288,255),RIGHT('Disaggregation Records'!$D$3:$D$66,255),0))=0,"",INDEX('Disaggregation Records'!$E$3:$E$66,MATCH(RIGHT(Q288,255),RIGHT('Disaggregation Records'!$D$3:$D$66,255),0))),"")</f>
        <v/>
      </c>
      <c r="S288" s="189" t="str">
        <f t="array" ref="S288">IFERROR(IF(INDEX('Disaggregation Records'!$F$3:$F$66,MATCH(RIGHT(Q288,255),RIGHT('Disaggregation Records'!$D$3:$D$66,255),0))=0,"",INDEX('Disaggregation Records'!$F$3:$F$66,MATCH(RIGHT(Q288,255),RIGHT('Disaggregation Records'!$D$3:$D$66,255),0))),"")</f>
        <v/>
      </c>
      <c r="T288" s="189" t="str">
        <f t="array" ref="T288">IFERROR(IF(INDEX('Disaggregation Records'!$H$3:$H$66,MATCH(RIGHT(Q288,255),RIGHT('Disaggregation Records'!$D$3:$D$66,255),0))=0,"",INDEX('Disaggregation Records'!$H$3:$H$66,MATCH(RIGHT(Q288,255),RIGHT('Disaggregation Records'!$D$3:$D$66,255),0))),"")</f>
        <v/>
      </c>
      <c r="U288" s="189">
        <f t="shared" ref="U288" si="1115">U286+1</f>
        <v>1322</v>
      </c>
      <c r="V288" s="189" t="str">
        <f t="array" ref="V288">IFERROR(IF(INDEX('Disaggregation Records'!$I$3:$I$66,MATCH(RIGHT(Q288,255),RIGHT('Disaggregation Records'!$D$3:$D$66,255),0))=0,"",INDEX('Disaggregation Records'!$I$3:$I$66,MATCH(RIGHT(Q288,255),RIGHT('Disaggregation Records'!$D$3:$D$66,255),0))),"")</f>
        <v/>
      </c>
      <c r="W288" s="189" t="str">
        <f>IFERROR(INDEX('Reference Records'!O$3:O$15,MATCH(LEFT(C288,255),'Reference Records'!J$3:J$15,0)),"")</f>
        <v/>
      </c>
    </row>
    <row r="289" spans="1:23" s="189" customFormat="1" ht="40.200000000000003" customHeight="1" x14ac:dyDescent="0.3">
      <c r="A289" s="678"/>
      <c r="B289" s="675">
        <v>10.3721804511278</v>
      </c>
      <c r="C289" s="667"/>
      <c r="D289" s="677"/>
      <c r="E289" s="677"/>
      <c r="F289" s="202"/>
      <c r="G289" s="669"/>
      <c r="H289" s="671"/>
      <c r="I289" s="673"/>
      <c r="J289" s="652"/>
      <c r="K289" s="667"/>
      <c r="L289" s="667"/>
      <c r="M289" s="652"/>
      <c r="N289" s="652"/>
      <c r="P289" s="190"/>
      <c r="Q289" s="190"/>
      <c r="R289" s="190"/>
      <c r="S289" s="190"/>
      <c r="T289" s="190"/>
      <c r="U289" s="190"/>
      <c r="V289" s="190"/>
      <c r="W289" s="190"/>
    </row>
    <row r="290" spans="1:23" s="189" customFormat="1" ht="40.200000000000003" customHeight="1" x14ac:dyDescent="0.3">
      <c r="A290" s="678" t="str">
        <f t="shared" ca="1" si="1035"/>
        <v>a1G3p000003GJ5uEAG</v>
      </c>
      <c r="B290" s="674">
        <v>15</v>
      </c>
      <c r="C290" s="666" t="str">
        <f>IFERROR(VLOOKUP(B290,'Impact Indicators - Section B '!$A$9:$AF$52,32,FALSE),"")</f>
        <v/>
      </c>
      <c r="D290" s="676" t="str">
        <f t="shared" ref="D290" si="1116">R290</f>
        <v/>
      </c>
      <c r="E290" s="676" t="str">
        <f t="shared" ref="E290" si="1117">S290</f>
        <v/>
      </c>
      <c r="F290" s="194"/>
      <c r="G290" s="668" t="str">
        <f t="shared" ref="G290" ca="1" si="1118">IF(OR(INDIRECT("'update Helper'!E"&amp;U290)=0,F290&lt;&gt;0,F291&lt;&gt;0),IF(IFERROR((F290/F291),"")="","",(F290/F291)),INDIRECT("'update Helper'!E"&amp;U290)/100)</f>
        <v/>
      </c>
      <c r="H290" s="670"/>
      <c r="I290" s="672"/>
      <c r="J290" s="651"/>
      <c r="K290" s="666" t="str">
        <f t="shared" ref="K290" si="1119">W290</f>
        <v/>
      </c>
      <c r="L290" s="666" t="str">
        <f t="shared" ref="L290" si="1120">V290</f>
        <v/>
      </c>
      <c r="M290" s="651"/>
      <c r="N290" s="651"/>
      <c r="P290" s="189">
        <f t="shared" ref="P290" si="1121">IF(AND(EXACT(C290,C288),C288&lt;&gt;0),P288+1,0)</f>
        <v>120</v>
      </c>
      <c r="Q290" s="189" t="str">
        <f t="shared" ref="Q290" si="1122">IF(C290&lt;&gt;"",C290&amp;"-"&amp;P290,"")</f>
        <v/>
      </c>
      <c r="R290" s="189" t="str">
        <f t="array" ref="R290">IFERROR(IF(INDEX('Disaggregation Records'!$E$3:$E$66,MATCH(RIGHT(Q290,255),RIGHT('Disaggregation Records'!$D$3:$D$66,255),0))=0,"",INDEX('Disaggregation Records'!$E$3:$E$66,MATCH(RIGHT(Q290,255),RIGHT('Disaggregation Records'!$D$3:$D$66,255),0))),"")</f>
        <v/>
      </c>
      <c r="S290" s="189" t="str">
        <f t="array" ref="S290">IFERROR(IF(INDEX('Disaggregation Records'!$F$3:$F$66,MATCH(RIGHT(Q290,255),RIGHT('Disaggregation Records'!$D$3:$D$66,255),0))=0,"",INDEX('Disaggregation Records'!$F$3:$F$66,MATCH(RIGHT(Q290,255),RIGHT('Disaggregation Records'!$D$3:$D$66,255),0))),"")</f>
        <v/>
      </c>
      <c r="T290" s="189" t="str">
        <f t="array" ref="T290">IFERROR(IF(INDEX('Disaggregation Records'!$H$3:$H$66,MATCH(RIGHT(Q290,255),RIGHT('Disaggregation Records'!$D$3:$D$66,255),0))=0,"",INDEX('Disaggregation Records'!$H$3:$H$66,MATCH(RIGHT(Q290,255),RIGHT('Disaggregation Records'!$D$3:$D$66,255),0))),"")</f>
        <v/>
      </c>
      <c r="U290" s="189">
        <f t="shared" ref="U290" si="1123">U288+1</f>
        <v>1323</v>
      </c>
      <c r="V290" s="189" t="str">
        <f t="array" ref="V290">IFERROR(IF(INDEX('Disaggregation Records'!$I$3:$I$66,MATCH(RIGHT(Q290,255),RIGHT('Disaggregation Records'!$D$3:$D$66,255),0))=0,"",INDEX('Disaggregation Records'!$I$3:$I$66,MATCH(RIGHT(Q290,255),RIGHT('Disaggregation Records'!$D$3:$D$66,255),0))),"")</f>
        <v/>
      </c>
      <c r="W290" s="189" t="str">
        <f>IFERROR(INDEX('Reference Records'!O$3:O$15,MATCH(LEFT(C290,255),'Reference Records'!J$3:J$15,0)),"")</f>
        <v/>
      </c>
    </row>
    <row r="291" spans="1:23" s="189" customFormat="1" ht="40.200000000000003" customHeight="1" x14ac:dyDescent="0.3">
      <c r="A291" s="678"/>
      <c r="B291" s="675"/>
      <c r="C291" s="667"/>
      <c r="D291" s="677"/>
      <c r="E291" s="677"/>
      <c r="F291" s="202"/>
      <c r="G291" s="669"/>
      <c r="H291" s="671"/>
      <c r="I291" s="673"/>
      <c r="J291" s="652"/>
      <c r="K291" s="667"/>
      <c r="L291" s="667"/>
      <c r="M291" s="652"/>
      <c r="N291" s="652"/>
      <c r="P291" s="190"/>
      <c r="Q291" s="190"/>
      <c r="R291" s="190"/>
      <c r="S291" s="190"/>
      <c r="T291" s="190"/>
      <c r="U291" s="190"/>
      <c r="V291" s="190"/>
      <c r="W291" s="190"/>
    </row>
    <row r="292" spans="1:23" s="189" customFormat="1" ht="40.200000000000003" customHeight="1" x14ac:dyDescent="0.3">
      <c r="A292" s="678" t="str">
        <f t="shared" ca="1" si="1035"/>
        <v>a1G3p000003GJ5vEAG</v>
      </c>
      <c r="B292" s="674">
        <v>15</v>
      </c>
      <c r="C292" s="666" t="str">
        <f>IFERROR(VLOOKUP(B292,'Impact Indicators - Section B '!$A$9:$AF$52,32,FALSE),"")</f>
        <v/>
      </c>
      <c r="D292" s="676" t="str">
        <f t="shared" ref="D292" si="1124">R292</f>
        <v/>
      </c>
      <c r="E292" s="676" t="str">
        <f t="shared" ref="E292" si="1125">S292</f>
        <v/>
      </c>
      <c r="F292" s="194"/>
      <c r="G292" s="668" t="str">
        <f t="shared" ref="G292" ca="1" si="1126">IF(OR(INDIRECT("'update Helper'!E"&amp;U292)=0,F292&lt;&gt;0,F293&lt;&gt;0),IF(IFERROR((F292/F293),"")="","",(F292/F293)),INDIRECT("'update Helper'!E"&amp;U292)/100)</f>
        <v/>
      </c>
      <c r="H292" s="670"/>
      <c r="I292" s="672"/>
      <c r="J292" s="651"/>
      <c r="K292" s="666" t="str">
        <f t="shared" ref="K292" si="1127">W292</f>
        <v/>
      </c>
      <c r="L292" s="666" t="str">
        <f t="shared" ref="L292" si="1128">V292</f>
        <v/>
      </c>
      <c r="M292" s="651"/>
      <c r="N292" s="651"/>
      <c r="P292" s="189">
        <f t="shared" ref="P292" si="1129">IF(AND(EXACT(C292,C290),C290&lt;&gt;0),P290+1,0)</f>
        <v>121</v>
      </c>
      <c r="Q292" s="189" t="str">
        <f t="shared" ref="Q292" si="1130">IF(C292&lt;&gt;"",C292&amp;"-"&amp;P292,"")</f>
        <v/>
      </c>
      <c r="R292" s="189" t="str">
        <f t="array" ref="R292">IFERROR(IF(INDEX('Disaggregation Records'!$E$3:$E$66,MATCH(RIGHT(Q292,255),RIGHT('Disaggregation Records'!$D$3:$D$66,255),0))=0,"",INDEX('Disaggregation Records'!$E$3:$E$66,MATCH(RIGHT(Q292,255),RIGHT('Disaggregation Records'!$D$3:$D$66,255),0))),"")</f>
        <v/>
      </c>
      <c r="S292" s="189" t="str">
        <f t="array" ref="S292">IFERROR(IF(INDEX('Disaggregation Records'!$F$3:$F$66,MATCH(RIGHT(Q292,255),RIGHT('Disaggregation Records'!$D$3:$D$66,255),0))=0,"",INDEX('Disaggregation Records'!$F$3:$F$66,MATCH(RIGHT(Q292,255),RIGHT('Disaggregation Records'!$D$3:$D$66,255),0))),"")</f>
        <v/>
      </c>
      <c r="T292" s="189" t="str">
        <f t="array" ref="T292">IFERROR(IF(INDEX('Disaggregation Records'!$H$3:$H$66,MATCH(RIGHT(Q292,255),RIGHT('Disaggregation Records'!$D$3:$D$66,255),0))=0,"",INDEX('Disaggregation Records'!$H$3:$H$66,MATCH(RIGHT(Q292,255),RIGHT('Disaggregation Records'!$D$3:$D$66,255),0))),"")</f>
        <v/>
      </c>
      <c r="U292" s="189">
        <f t="shared" ref="U292" si="1131">U290+1</f>
        <v>1324</v>
      </c>
      <c r="V292" s="189" t="str">
        <f t="array" ref="V292">IFERROR(IF(INDEX('Disaggregation Records'!$I$3:$I$66,MATCH(RIGHT(Q292,255),RIGHT('Disaggregation Records'!$D$3:$D$66,255),0))=0,"",INDEX('Disaggregation Records'!$I$3:$I$66,MATCH(RIGHT(Q292,255),RIGHT('Disaggregation Records'!$D$3:$D$66,255),0))),"")</f>
        <v/>
      </c>
      <c r="W292" s="189" t="str">
        <f>IFERROR(INDEX('Reference Records'!O$3:O$15,MATCH(LEFT(C292,255),'Reference Records'!J$3:J$15,0)),"")</f>
        <v/>
      </c>
    </row>
    <row r="293" spans="1:23" s="189" customFormat="1" ht="40.200000000000003" customHeight="1" x14ac:dyDescent="0.3">
      <c r="A293" s="678"/>
      <c r="B293" s="675"/>
      <c r="C293" s="667"/>
      <c r="D293" s="677"/>
      <c r="E293" s="677"/>
      <c r="F293" s="202"/>
      <c r="G293" s="669"/>
      <c r="H293" s="671"/>
      <c r="I293" s="673"/>
      <c r="J293" s="652"/>
      <c r="K293" s="667"/>
      <c r="L293" s="667"/>
      <c r="M293" s="652"/>
      <c r="N293" s="652"/>
      <c r="P293" s="190"/>
      <c r="Q293" s="190"/>
      <c r="R293" s="190"/>
      <c r="S293" s="190"/>
      <c r="T293" s="190"/>
      <c r="U293" s="190"/>
      <c r="V293" s="190"/>
      <c r="W293" s="190"/>
    </row>
    <row r="294" spans="1:23" s="189" customFormat="1" ht="40.200000000000003" customHeight="1" x14ac:dyDescent="0.3">
      <c r="A294" s="678" t="str">
        <f t="shared" ca="1" si="1035"/>
        <v>a1G3p000003GJ5wEAG</v>
      </c>
      <c r="B294" s="674">
        <v>15</v>
      </c>
      <c r="C294" s="666" t="str">
        <f>IFERROR(VLOOKUP(B294,'Impact Indicators - Section B '!$A$9:$AF$52,32,FALSE),"")</f>
        <v/>
      </c>
      <c r="D294" s="676" t="str">
        <f t="shared" ref="D294" si="1132">R294</f>
        <v/>
      </c>
      <c r="E294" s="676" t="str">
        <f t="shared" ref="E294" si="1133">S294</f>
        <v/>
      </c>
      <c r="F294" s="194"/>
      <c r="G294" s="668" t="str">
        <f t="shared" ref="G294" ca="1" si="1134">IF(OR(INDIRECT("'update Helper'!E"&amp;U294)=0,F294&lt;&gt;0,F295&lt;&gt;0),IF(IFERROR((F294/F295),"")="","",(F294/F295)),INDIRECT("'update Helper'!E"&amp;U294)/100)</f>
        <v/>
      </c>
      <c r="H294" s="670"/>
      <c r="I294" s="672"/>
      <c r="J294" s="651"/>
      <c r="K294" s="666" t="str">
        <f t="shared" ref="K294" si="1135">W294</f>
        <v/>
      </c>
      <c r="L294" s="666" t="str">
        <f t="shared" ref="L294" si="1136">V294</f>
        <v/>
      </c>
      <c r="M294" s="651"/>
      <c r="N294" s="651"/>
      <c r="P294" s="189">
        <f t="shared" ref="P294" si="1137">IF(AND(EXACT(C294,C292),C292&lt;&gt;0),P292+1,0)</f>
        <v>122</v>
      </c>
      <c r="Q294" s="189" t="str">
        <f t="shared" ref="Q294" si="1138">IF(C294&lt;&gt;"",C294&amp;"-"&amp;P294,"")</f>
        <v/>
      </c>
      <c r="R294" s="189" t="str">
        <f t="array" ref="R294">IFERROR(IF(INDEX('Disaggregation Records'!$E$3:$E$66,MATCH(RIGHT(Q294,255),RIGHT('Disaggregation Records'!$D$3:$D$66,255),0))=0,"",INDEX('Disaggregation Records'!$E$3:$E$66,MATCH(RIGHT(Q294,255),RIGHT('Disaggregation Records'!$D$3:$D$66,255),0))),"")</f>
        <v/>
      </c>
      <c r="S294" s="189" t="str">
        <f t="array" ref="S294">IFERROR(IF(INDEX('Disaggregation Records'!$F$3:$F$66,MATCH(RIGHT(Q294,255),RIGHT('Disaggregation Records'!$D$3:$D$66,255),0))=0,"",INDEX('Disaggregation Records'!$F$3:$F$66,MATCH(RIGHT(Q294,255),RIGHT('Disaggregation Records'!$D$3:$D$66,255),0))),"")</f>
        <v/>
      </c>
      <c r="T294" s="189" t="str">
        <f t="array" ref="T294">IFERROR(IF(INDEX('Disaggregation Records'!$H$3:$H$66,MATCH(RIGHT(Q294,255),RIGHT('Disaggregation Records'!$D$3:$D$66,255),0))=0,"",INDEX('Disaggregation Records'!$H$3:$H$66,MATCH(RIGHT(Q294,255),RIGHT('Disaggregation Records'!$D$3:$D$66,255),0))),"")</f>
        <v/>
      </c>
      <c r="U294" s="189">
        <f t="shared" ref="U294" si="1139">U292+1</f>
        <v>1325</v>
      </c>
      <c r="V294" s="189" t="str">
        <f t="array" ref="V294">IFERROR(IF(INDEX('Disaggregation Records'!$I$3:$I$66,MATCH(RIGHT(Q294,255),RIGHT('Disaggregation Records'!$D$3:$D$66,255),0))=0,"",INDEX('Disaggregation Records'!$I$3:$I$66,MATCH(RIGHT(Q294,255),RIGHT('Disaggregation Records'!$D$3:$D$66,255),0))),"")</f>
        <v/>
      </c>
      <c r="W294" s="189" t="str">
        <f>IFERROR(INDEX('Reference Records'!O$3:O$15,MATCH(LEFT(C294,255),'Reference Records'!J$3:J$15,0)),"")</f>
        <v/>
      </c>
    </row>
    <row r="295" spans="1:23" s="189" customFormat="1" ht="40.200000000000003" customHeight="1" x14ac:dyDescent="0.3">
      <c r="A295" s="678"/>
      <c r="B295" s="675"/>
      <c r="C295" s="667"/>
      <c r="D295" s="677"/>
      <c r="E295" s="677"/>
      <c r="F295" s="202"/>
      <c r="G295" s="669"/>
      <c r="H295" s="671"/>
      <c r="I295" s="673"/>
      <c r="J295" s="652"/>
      <c r="K295" s="667"/>
      <c r="L295" s="667"/>
      <c r="M295" s="652"/>
      <c r="N295" s="652"/>
      <c r="P295" s="190"/>
      <c r="Q295" s="190"/>
      <c r="R295" s="190"/>
      <c r="S295" s="190"/>
      <c r="T295" s="190"/>
      <c r="U295" s="190"/>
      <c r="V295" s="190"/>
      <c r="W295" s="190"/>
    </row>
    <row r="296" spans="1:23" s="189" customFormat="1" ht="40.200000000000003" customHeight="1" x14ac:dyDescent="0.3">
      <c r="A296" s="678" t="str">
        <f t="shared" ca="1" si="1035"/>
        <v>a1G3p000003GJ5xEAG</v>
      </c>
      <c r="B296" s="674">
        <v>15</v>
      </c>
      <c r="C296" s="666" t="str">
        <f>IFERROR(VLOOKUP(B296,'Impact Indicators - Section B '!$A$9:$AF$52,32,FALSE),"")</f>
        <v/>
      </c>
      <c r="D296" s="676" t="str">
        <f t="shared" ref="D296" si="1140">R296</f>
        <v/>
      </c>
      <c r="E296" s="676" t="str">
        <f t="shared" ref="E296" si="1141">S296</f>
        <v/>
      </c>
      <c r="F296" s="194"/>
      <c r="G296" s="668" t="str">
        <f t="shared" ref="G296" ca="1" si="1142">IF(OR(INDIRECT("'update Helper'!E"&amp;U296)=0,F296&lt;&gt;0,F297&lt;&gt;0),IF(IFERROR((F296/F297),"")="","",(F296/F297)),INDIRECT("'update Helper'!E"&amp;U296)/100)</f>
        <v/>
      </c>
      <c r="H296" s="670"/>
      <c r="I296" s="672"/>
      <c r="J296" s="651"/>
      <c r="K296" s="666" t="str">
        <f t="shared" ref="K296" si="1143">W296</f>
        <v/>
      </c>
      <c r="L296" s="666" t="str">
        <f t="shared" ref="L296" si="1144">V296</f>
        <v/>
      </c>
      <c r="M296" s="651"/>
      <c r="N296" s="651"/>
      <c r="P296" s="189">
        <f t="shared" ref="P296" si="1145">IF(AND(EXACT(C296,C294),C294&lt;&gt;0),P294+1,0)</f>
        <v>123</v>
      </c>
      <c r="Q296" s="189" t="str">
        <f t="shared" ref="Q296" si="1146">IF(C296&lt;&gt;"",C296&amp;"-"&amp;P296,"")</f>
        <v/>
      </c>
      <c r="R296" s="189" t="str">
        <f t="array" ref="R296">IFERROR(IF(INDEX('Disaggregation Records'!$E$3:$E$66,MATCH(RIGHT(Q296,255),RIGHT('Disaggregation Records'!$D$3:$D$66,255),0))=0,"",INDEX('Disaggregation Records'!$E$3:$E$66,MATCH(RIGHT(Q296,255),RIGHT('Disaggregation Records'!$D$3:$D$66,255),0))),"")</f>
        <v/>
      </c>
      <c r="S296" s="189" t="str">
        <f t="array" ref="S296">IFERROR(IF(INDEX('Disaggregation Records'!$F$3:$F$66,MATCH(RIGHT(Q296,255),RIGHT('Disaggregation Records'!$D$3:$D$66,255),0))=0,"",INDEX('Disaggregation Records'!$F$3:$F$66,MATCH(RIGHT(Q296,255),RIGHT('Disaggregation Records'!$D$3:$D$66,255),0))),"")</f>
        <v/>
      </c>
      <c r="T296" s="189" t="str">
        <f t="array" ref="T296">IFERROR(IF(INDEX('Disaggregation Records'!$H$3:$H$66,MATCH(RIGHT(Q296,255),RIGHT('Disaggregation Records'!$D$3:$D$66,255),0))=0,"",INDEX('Disaggregation Records'!$H$3:$H$66,MATCH(RIGHT(Q296,255),RIGHT('Disaggregation Records'!$D$3:$D$66,255),0))),"")</f>
        <v/>
      </c>
      <c r="U296" s="189">
        <f t="shared" ref="U296" si="1147">U294+1</f>
        <v>1326</v>
      </c>
      <c r="V296" s="189" t="str">
        <f t="array" ref="V296">IFERROR(IF(INDEX('Disaggregation Records'!$I$3:$I$66,MATCH(RIGHT(Q296,255),RIGHT('Disaggregation Records'!$D$3:$D$66,255),0))=0,"",INDEX('Disaggregation Records'!$I$3:$I$66,MATCH(RIGHT(Q296,255),RIGHT('Disaggregation Records'!$D$3:$D$66,255),0))),"")</f>
        <v/>
      </c>
      <c r="W296" s="189" t="str">
        <f>IFERROR(INDEX('Reference Records'!O$3:O$15,MATCH(LEFT(C296,255),'Reference Records'!J$3:J$15,0)),"")</f>
        <v/>
      </c>
    </row>
    <row r="297" spans="1:23" s="189" customFormat="1" ht="40.200000000000003" customHeight="1" x14ac:dyDescent="0.3">
      <c r="A297" s="678"/>
      <c r="B297" s="675"/>
      <c r="C297" s="667"/>
      <c r="D297" s="677"/>
      <c r="E297" s="677"/>
      <c r="F297" s="202"/>
      <c r="G297" s="669"/>
      <c r="H297" s="671"/>
      <c r="I297" s="673"/>
      <c r="J297" s="652"/>
      <c r="K297" s="667"/>
      <c r="L297" s="667"/>
      <c r="M297" s="652"/>
      <c r="N297" s="652"/>
      <c r="P297" s="190"/>
      <c r="Q297" s="190"/>
      <c r="R297" s="190"/>
      <c r="S297" s="190"/>
      <c r="T297" s="190"/>
      <c r="U297" s="190"/>
      <c r="V297" s="190"/>
      <c r="W297" s="190"/>
    </row>
    <row r="298" spans="1:23" s="189" customFormat="1" ht="40.200000000000003" customHeight="1" x14ac:dyDescent="0.3">
      <c r="A298" s="678" t="str">
        <f t="shared" ca="1" si="1035"/>
        <v>a1G3p000003GJ5yEAG</v>
      </c>
      <c r="B298" s="674">
        <v>15</v>
      </c>
      <c r="C298" s="666" t="str">
        <f>IFERROR(VLOOKUP(B298,'Impact Indicators - Section B '!$A$9:$AF$52,32,FALSE),"")</f>
        <v/>
      </c>
      <c r="D298" s="676" t="str">
        <f t="shared" ref="D298" si="1148">R298</f>
        <v/>
      </c>
      <c r="E298" s="676" t="str">
        <f t="shared" ref="E298" si="1149">S298</f>
        <v/>
      </c>
      <c r="F298" s="194"/>
      <c r="G298" s="668" t="str">
        <f t="shared" ref="G298" ca="1" si="1150">IF(OR(INDIRECT("'update Helper'!E"&amp;U298)=0,F298&lt;&gt;0,F299&lt;&gt;0),IF(IFERROR((F298/F299),"")="","",(F298/F299)),INDIRECT("'update Helper'!E"&amp;U298)/100)</f>
        <v/>
      </c>
      <c r="H298" s="670"/>
      <c r="I298" s="672"/>
      <c r="J298" s="651"/>
      <c r="K298" s="666" t="str">
        <f t="shared" ref="K298" si="1151">W298</f>
        <v/>
      </c>
      <c r="L298" s="666" t="str">
        <f t="shared" ref="L298" si="1152">V298</f>
        <v/>
      </c>
      <c r="M298" s="651"/>
      <c r="N298" s="651"/>
      <c r="P298" s="189">
        <f t="shared" ref="P298" si="1153">IF(AND(EXACT(C298,C296),C296&lt;&gt;0),P296+1,0)</f>
        <v>124</v>
      </c>
      <c r="Q298" s="189" t="str">
        <f t="shared" ref="Q298" si="1154">IF(C298&lt;&gt;"",C298&amp;"-"&amp;P298,"")</f>
        <v/>
      </c>
      <c r="R298" s="189" t="str">
        <f t="array" ref="R298">IFERROR(IF(INDEX('Disaggregation Records'!$E$3:$E$66,MATCH(RIGHT(Q298,255),RIGHT('Disaggregation Records'!$D$3:$D$66,255),0))=0,"",INDEX('Disaggregation Records'!$E$3:$E$66,MATCH(RIGHT(Q298,255),RIGHT('Disaggregation Records'!$D$3:$D$66,255),0))),"")</f>
        <v/>
      </c>
      <c r="S298" s="189" t="str">
        <f t="array" ref="S298">IFERROR(IF(INDEX('Disaggregation Records'!$F$3:$F$66,MATCH(RIGHT(Q298,255),RIGHT('Disaggregation Records'!$D$3:$D$66,255),0))=0,"",INDEX('Disaggregation Records'!$F$3:$F$66,MATCH(RIGHT(Q298,255),RIGHT('Disaggregation Records'!$D$3:$D$66,255),0))),"")</f>
        <v/>
      </c>
      <c r="T298" s="189" t="str">
        <f t="array" ref="T298">IFERROR(IF(INDEX('Disaggregation Records'!$H$3:$H$66,MATCH(RIGHT(Q298,255),RIGHT('Disaggregation Records'!$D$3:$D$66,255),0))=0,"",INDEX('Disaggregation Records'!$H$3:$H$66,MATCH(RIGHT(Q298,255),RIGHT('Disaggregation Records'!$D$3:$D$66,255),0))),"")</f>
        <v/>
      </c>
      <c r="U298" s="189">
        <f t="shared" ref="U298" si="1155">U296+1</f>
        <v>1327</v>
      </c>
      <c r="V298" s="189" t="str">
        <f t="array" ref="V298">IFERROR(IF(INDEX('Disaggregation Records'!$I$3:$I$66,MATCH(RIGHT(Q298,255),RIGHT('Disaggregation Records'!$D$3:$D$66,255),0))=0,"",INDEX('Disaggregation Records'!$I$3:$I$66,MATCH(RIGHT(Q298,255),RIGHT('Disaggregation Records'!$D$3:$D$66,255),0))),"")</f>
        <v/>
      </c>
      <c r="W298" s="189" t="str">
        <f>IFERROR(INDEX('Reference Records'!O$3:O$15,MATCH(LEFT(C298,255),'Reference Records'!J$3:J$15,0)),"")</f>
        <v/>
      </c>
    </row>
    <row r="299" spans="1:23" s="189" customFormat="1" ht="40.200000000000003" customHeight="1" x14ac:dyDescent="0.3">
      <c r="A299" s="678"/>
      <c r="B299" s="675"/>
      <c r="C299" s="667"/>
      <c r="D299" s="677"/>
      <c r="E299" s="677"/>
      <c r="F299" s="202"/>
      <c r="G299" s="669"/>
      <c r="H299" s="671"/>
      <c r="I299" s="673"/>
      <c r="J299" s="652"/>
      <c r="K299" s="667"/>
      <c r="L299" s="667"/>
      <c r="M299" s="652"/>
      <c r="N299" s="652"/>
      <c r="P299" s="190"/>
      <c r="Q299" s="190"/>
      <c r="R299" s="190"/>
      <c r="S299" s="190"/>
      <c r="T299" s="190"/>
      <c r="U299" s="190"/>
      <c r="V299" s="190"/>
      <c r="W299" s="190"/>
    </row>
    <row r="300" spans="1:23" s="189" customFormat="1" ht="40.200000000000003" customHeight="1" x14ac:dyDescent="0.3">
      <c r="A300" s="678" t="str">
        <f t="shared" ca="1" si="1035"/>
        <v>a1G3p000003GJ5zEAG</v>
      </c>
      <c r="B300" s="674">
        <v>15</v>
      </c>
      <c r="C300" s="666" t="str">
        <f>IFERROR(VLOOKUP(B300,'Impact Indicators - Section B '!$A$9:$AF$52,32,FALSE),"")</f>
        <v/>
      </c>
      <c r="D300" s="676" t="str">
        <f t="shared" ref="D300" si="1156">R300</f>
        <v/>
      </c>
      <c r="E300" s="676" t="str">
        <f t="shared" ref="E300" si="1157">S300</f>
        <v/>
      </c>
      <c r="F300" s="194"/>
      <c r="G300" s="668" t="str">
        <f t="shared" ref="G300" ca="1" si="1158">IF(OR(INDIRECT("'update Helper'!E"&amp;U300)=0,F300&lt;&gt;0,F301&lt;&gt;0),IF(IFERROR((F300/F301),"")="","",(F300/F301)),INDIRECT("'update Helper'!E"&amp;U300)/100)</f>
        <v/>
      </c>
      <c r="H300" s="670"/>
      <c r="I300" s="672"/>
      <c r="J300" s="651"/>
      <c r="K300" s="666" t="str">
        <f t="shared" ref="K300" si="1159">W300</f>
        <v/>
      </c>
      <c r="L300" s="666" t="str">
        <f t="shared" ref="L300" si="1160">V300</f>
        <v/>
      </c>
      <c r="M300" s="651"/>
      <c r="N300" s="651"/>
      <c r="P300" s="189">
        <f t="shared" ref="P300" si="1161">IF(AND(EXACT(C300,C298),C298&lt;&gt;0),P298+1,0)</f>
        <v>125</v>
      </c>
      <c r="Q300" s="189" t="str">
        <f t="shared" ref="Q300" si="1162">IF(C300&lt;&gt;"",C300&amp;"-"&amp;P300,"")</f>
        <v/>
      </c>
      <c r="R300" s="189" t="str">
        <f t="array" ref="R300">IFERROR(IF(INDEX('Disaggregation Records'!$E$3:$E$66,MATCH(RIGHT(Q300,255),RIGHT('Disaggregation Records'!$D$3:$D$66,255),0))=0,"",INDEX('Disaggregation Records'!$E$3:$E$66,MATCH(RIGHT(Q300,255),RIGHT('Disaggregation Records'!$D$3:$D$66,255),0))),"")</f>
        <v/>
      </c>
      <c r="S300" s="189" t="str">
        <f t="array" ref="S300">IFERROR(IF(INDEX('Disaggregation Records'!$F$3:$F$66,MATCH(RIGHT(Q300,255),RIGHT('Disaggregation Records'!$D$3:$D$66,255),0))=0,"",INDEX('Disaggregation Records'!$F$3:$F$66,MATCH(RIGHT(Q300,255),RIGHT('Disaggregation Records'!$D$3:$D$66,255),0))),"")</f>
        <v/>
      </c>
      <c r="T300" s="189" t="str">
        <f t="array" ref="T300">IFERROR(IF(INDEX('Disaggregation Records'!$H$3:$H$66,MATCH(RIGHT(Q300,255),RIGHT('Disaggregation Records'!$D$3:$D$66,255),0))=0,"",INDEX('Disaggregation Records'!$H$3:$H$66,MATCH(RIGHT(Q300,255),RIGHT('Disaggregation Records'!$D$3:$D$66,255),0))),"")</f>
        <v/>
      </c>
      <c r="U300" s="189">
        <f t="shared" ref="U300" si="1163">U298+1</f>
        <v>1328</v>
      </c>
      <c r="V300" s="189" t="str">
        <f t="array" ref="V300">IFERROR(IF(INDEX('Disaggregation Records'!$I$3:$I$66,MATCH(RIGHT(Q300,255),RIGHT('Disaggregation Records'!$D$3:$D$66,255),0))=0,"",INDEX('Disaggregation Records'!$I$3:$I$66,MATCH(RIGHT(Q300,255),RIGHT('Disaggregation Records'!$D$3:$D$66,255),0))),"")</f>
        <v/>
      </c>
      <c r="W300" s="189" t="str">
        <f>IFERROR(INDEX('Reference Records'!O$3:O$15,MATCH(LEFT(C300,255),'Reference Records'!J$3:J$15,0)),"")</f>
        <v/>
      </c>
    </row>
    <row r="301" spans="1:23" s="189" customFormat="1" ht="40.200000000000003" customHeight="1" x14ac:dyDescent="0.3">
      <c r="A301" s="678"/>
      <c r="B301" s="675"/>
      <c r="C301" s="667"/>
      <c r="D301" s="677"/>
      <c r="E301" s="677"/>
      <c r="F301" s="202"/>
      <c r="G301" s="669"/>
      <c r="H301" s="671"/>
      <c r="I301" s="673"/>
      <c r="J301" s="652"/>
      <c r="K301" s="667"/>
      <c r="L301" s="667"/>
      <c r="M301" s="652"/>
      <c r="N301" s="652"/>
      <c r="P301" s="190"/>
      <c r="Q301" s="190"/>
      <c r="R301" s="190"/>
      <c r="S301" s="190"/>
      <c r="T301" s="190"/>
      <c r="U301" s="190"/>
      <c r="V301" s="190"/>
      <c r="W301" s="190"/>
    </row>
    <row r="302" spans="1:23" s="189" customFormat="1" ht="40.200000000000003" customHeight="1" x14ac:dyDescent="0.3">
      <c r="A302" s="678" t="str">
        <f t="shared" ca="1" si="1035"/>
        <v>a1G3p000003GJ60EAG</v>
      </c>
      <c r="B302" s="674">
        <v>15</v>
      </c>
      <c r="C302" s="666" t="str">
        <f>IFERROR(VLOOKUP(B302,'Impact Indicators - Section B '!$A$9:$AF$52,32,FALSE),"")</f>
        <v/>
      </c>
      <c r="D302" s="676" t="str">
        <f t="shared" ref="D302" si="1164">R302</f>
        <v/>
      </c>
      <c r="E302" s="676" t="str">
        <f t="shared" ref="E302" si="1165">S302</f>
        <v/>
      </c>
      <c r="F302" s="194"/>
      <c r="G302" s="668" t="str">
        <f t="shared" ref="G302" ca="1" si="1166">IF(OR(INDIRECT("'update Helper'!E"&amp;U302)=0,F302&lt;&gt;0,F303&lt;&gt;0),IF(IFERROR((F302/F303),"")="","",(F302/F303)),INDIRECT("'update Helper'!E"&amp;U302)/100)</f>
        <v/>
      </c>
      <c r="H302" s="670"/>
      <c r="I302" s="672"/>
      <c r="J302" s="651"/>
      <c r="K302" s="666" t="str">
        <f t="shared" ref="K302" si="1167">W302</f>
        <v/>
      </c>
      <c r="L302" s="666" t="str">
        <f t="shared" ref="L302" si="1168">V302</f>
        <v/>
      </c>
      <c r="M302" s="651"/>
      <c r="N302" s="651"/>
      <c r="P302" s="189">
        <f t="shared" ref="P302" si="1169">IF(AND(EXACT(C302,C300),C300&lt;&gt;0),P300+1,0)</f>
        <v>126</v>
      </c>
      <c r="Q302" s="189" t="str">
        <f t="shared" ref="Q302" si="1170">IF(C302&lt;&gt;"",C302&amp;"-"&amp;P302,"")</f>
        <v/>
      </c>
      <c r="R302" s="189" t="str">
        <f t="array" ref="R302">IFERROR(IF(INDEX('Disaggregation Records'!$E$3:$E$66,MATCH(RIGHT(Q302,255),RIGHT('Disaggregation Records'!$D$3:$D$66,255),0))=0,"",INDEX('Disaggregation Records'!$E$3:$E$66,MATCH(RIGHT(Q302,255),RIGHT('Disaggregation Records'!$D$3:$D$66,255),0))),"")</f>
        <v/>
      </c>
      <c r="S302" s="189" t="str">
        <f t="array" ref="S302">IFERROR(IF(INDEX('Disaggregation Records'!$F$3:$F$66,MATCH(RIGHT(Q302,255),RIGHT('Disaggregation Records'!$D$3:$D$66,255),0))=0,"",INDEX('Disaggregation Records'!$F$3:$F$66,MATCH(RIGHT(Q302,255),RIGHT('Disaggregation Records'!$D$3:$D$66,255),0))),"")</f>
        <v/>
      </c>
      <c r="T302" s="189" t="str">
        <f t="array" ref="T302">IFERROR(IF(INDEX('Disaggregation Records'!$H$3:$H$66,MATCH(RIGHT(Q302,255),RIGHT('Disaggregation Records'!$D$3:$D$66,255),0))=0,"",INDEX('Disaggregation Records'!$H$3:$H$66,MATCH(RIGHT(Q302,255),RIGHT('Disaggregation Records'!$D$3:$D$66,255),0))),"")</f>
        <v/>
      </c>
      <c r="U302" s="189">
        <f t="shared" ref="U302" si="1171">U300+1</f>
        <v>1329</v>
      </c>
      <c r="V302" s="189" t="str">
        <f t="array" ref="V302">IFERROR(IF(INDEX('Disaggregation Records'!$I$3:$I$66,MATCH(RIGHT(Q302,255),RIGHT('Disaggregation Records'!$D$3:$D$66,255),0))=0,"",INDEX('Disaggregation Records'!$I$3:$I$66,MATCH(RIGHT(Q302,255),RIGHT('Disaggregation Records'!$D$3:$D$66,255),0))),"")</f>
        <v/>
      </c>
      <c r="W302" s="189" t="str">
        <f>IFERROR(INDEX('Reference Records'!O$3:O$15,MATCH(LEFT(C302,255),'Reference Records'!J$3:J$15,0)),"")</f>
        <v/>
      </c>
    </row>
    <row r="303" spans="1:23" s="189" customFormat="1" ht="40.200000000000003" customHeight="1" x14ac:dyDescent="0.3">
      <c r="A303" s="678"/>
      <c r="B303" s="675"/>
      <c r="C303" s="667"/>
      <c r="D303" s="677"/>
      <c r="E303" s="677"/>
      <c r="F303" s="202"/>
      <c r="G303" s="669"/>
      <c r="H303" s="671"/>
      <c r="I303" s="673"/>
      <c r="J303" s="652"/>
      <c r="K303" s="667"/>
      <c r="L303" s="667"/>
      <c r="M303" s="652"/>
      <c r="N303" s="652"/>
      <c r="P303" s="190"/>
      <c r="Q303" s="190"/>
      <c r="R303" s="190"/>
      <c r="S303" s="190"/>
      <c r="T303" s="190"/>
      <c r="U303" s="190"/>
      <c r="V303" s="190"/>
      <c r="W303" s="190"/>
    </row>
    <row r="304" spans="1:23" s="189" customFormat="1" ht="40.200000000000003" customHeight="1" x14ac:dyDescent="0.3">
      <c r="A304" s="678" t="str">
        <f t="shared" ca="1" si="1035"/>
        <v>a1G3p000003GJ61EAG</v>
      </c>
      <c r="B304" s="674">
        <v>15</v>
      </c>
      <c r="C304" s="666" t="str">
        <f>IFERROR(VLOOKUP(B304,'Impact Indicators - Section B '!$A$9:$AF$52,32,FALSE),"")</f>
        <v/>
      </c>
      <c r="D304" s="676" t="str">
        <f t="shared" ref="D304" si="1172">R304</f>
        <v/>
      </c>
      <c r="E304" s="676" t="str">
        <f t="shared" ref="E304" si="1173">S304</f>
        <v/>
      </c>
      <c r="F304" s="194"/>
      <c r="G304" s="668" t="str">
        <f t="shared" ref="G304" ca="1" si="1174">IF(OR(INDIRECT("'update Helper'!E"&amp;U304)=0,F304&lt;&gt;0,F305&lt;&gt;0),IF(IFERROR((F304/F305),"")="","",(F304/F305)),INDIRECT("'update Helper'!E"&amp;U304)/100)</f>
        <v/>
      </c>
      <c r="H304" s="670"/>
      <c r="I304" s="672"/>
      <c r="J304" s="651"/>
      <c r="K304" s="666" t="str">
        <f t="shared" ref="K304" si="1175">W304</f>
        <v/>
      </c>
      <c r="L304" s="666" t="str">
        <f t="shared" ref="L304" si="1176">V304</f>
        <v/>
      </c>
      <c r="M304" s="651"/>
      <c r="N304" s="651"/>
      <c r="P304" s="189">
        <f t="shared" ref="P304" si="1177">IF(AND(EXACT(C304,C302),C302&lt;&gt;0),P302+1,0)</f>
        <v>127</v>
      </c>
      <c r="Q304" s="189" t="str">
        <f t="shared" ref="Q304" si="1178">IF(C304&lt;&gt;"",C304&amp;"-"&amp;P304,"")</f>
        <v/>
      </c>
      <c r="R304" s="189" t="str">
        <f t="array" ref="R304">IFERROR(IF(INDEX('Disaggregation Records'!$E$3:$E$66,MATCH(RIGHT(Q304,255),RIGHT('Disaggregation Records'!$D$3:$D$66,255),0))=0,"",INDEX('Disaggregation Records'!$E$3:$E$66,MATCH(RIGHT(Q304,255),RIGHT('Disaggregation Records'!$D$3:$D$66,255),0))),"")</f>
        <v/>
      </c>
      <c r="S304" s="189" t="str">
        <f t="array" ref="S304">IFERROR(IF(INDEX('Disaggregation Records'!$F$3:$F$66,MATCH(RIGHT(Q304,255),RIGHT('Disaggregation Records'!$D$3:$D$66,255),0))=0,"",INDEX('Disaggregation Records'!$F$3:$F$66,MATCH(RIGHT(Q304,255),RIGHT('Disaggregation Records'!$D$3:$D$66,255),0))),"")</f>
        <v/>
      </c>
      <c r="T304" s="189" t="str">
        <f t="array" ref="T304">IFERROR(IF(INDEX('Disaggregation Records'!$H$3:$H$66,MATCH(RIGHT(Q304,255),RIGHT('Disaggregation Records'!$D$3:$D$66,255),0))=0,"",INDEX('Disaggregation Records'!$H$3:$H$66,MATCH(RIGHT(Q304,255),RIGHT('Disaggregation Records'!$D$3:$D$66,255),0))),"")</f>
        <v/>
      </c>
      <c r="U304" s="189">
        <f t="shared" ref="U304" si="1179">U302+1</f>
        <v>1330</v>
      </c>
      <c r="V304" s="189" t="str">
        <f t="array" ref="V304">IFERROR(IF(INDEX('Disaggregation Records'!$I$3:$I$66,MATCH(RIGHT(Q304,255),RIGHT('Disaggregation Records'!$D$3:$D$66,255),0))=0,"",INDEX('Disaggregation Records'!$I$3:$I$66,MATCH(RIGHT(Q304,255),RIGHT('Disaggregation Records'!$D$3:$D$66,255),0))),"")</f>
        <v/>
      </c>
      <c r="W304" s="189" t="str">
        <f>IFERROR(INDEX('Reference Records'!O$3:O$15,MATCH(LEFT(C304,255),'Reference Records'!J$3:J$15,0)),"")</f>
        <v/>
      </c>
    </row>
    <row r="305" spans="1:23" s="189" customFormat="1" ht="40.200000000000003" customHeight="1" x14ac:dyDescent="0.3">
      <c r="A305" s="678"/>
      <c r="B305" s="675"/>
      <c r="C305" s="667"/>
      <c r="D305" s="677"/>
      <c r="E305" s="677"/>
      <c r="F305" s="202"/>
      <c r="G305" s="669"/>
      <c r="H305" s="671"/>
      <c r="I305" s="673"/>
      <c r="J305" s="652"/>
      <c r="K305" s="667"/>
      <c r="L305" s="667"/>
      <c r="M305" s="652"/>
      <c r="N305" s="652"/>
      <c r="P305" s="190"/>
      <c r="Q305" s="190"/>
      <c r="R305" s="190"/>
      <c r="S305" s="190"/>
      <c r="T305" s="190"/>
      <c r="U305" s="190"/>
      <c r="V305" s="190"/>
      <c r="W305" s="190"/>
    </row>
    <row r="306" spans="1:23" s="189" customFormat="1" ht="40.200000000000003" customHeight="1" x14ac:dyDescent="0.3">
      <c r="A306" s="678" t="str">
        <f t="shared" ca="1" si="1035"/>
        <v>a1G3p000003GJ62EAG</v>
      </c>
      <c r="B306" s="674">
        <v>15</v>
      </c>
      <c r="C306" s="666" t="str">
        <f>IFERROR(VLOOKUP(B306,'Impact Indicators - Section B '!$A$9:$AF$52,32,FALSE),"")</f>
        <v/>
      </c>
      <c r="D306" s="676" t="str">
        <f t="shared" ref="D306" si="1180">R306</f>
        <v/>
      </c>
      <c r="E306" s="676" t="str">
        <f t="shared" ref="E306" si="1181">S306</f>
        <v/>
      </c>
      <c r="F306" s="194"/>
      <c r="G306" s="668" t="str">
        <f t="shared" ref="G306" ca="1" si="1182">IF(OR(INDIRECT("'update Helper'!E"&amp;U306)=0,F306&lt;&gt;0,F307&lt;&gt;0),IF(IFERROR((F306/F307),"")="","",(F306/F307)),INDIRECT("'update Helper'!E"&amp;U306)/100)</f>
        <v/>
      </c>
      <c r="H306" s="670"/>
      <c r="I306" s="672"/>
      <c r="J306" s="651"/>
      <c r="K306" s="666" t="str">
        <f t="shared" ref="K306" si="1183">W306</f>
        <v/>
      </c>
      <c r="L306" s="666" t="str">
        <f t="shared" ref="L306" si="1184">V306</f>
        <v/>
      </c>
      <c r="M306" s="651"/>
      <c r="N306" s="651"/>
      <c r="P306" s="189">
        <f t="shared" ref="P306" si="1185">IF(AND(EXACT(C306,C304),C304&lt;&gt;0),P304+1,0)</f>
        <v>128</v>
      </c>
      <c r="Q306" s="189" t="str">
        <f t="shared" ref="Q306" si="1186">IF(C306&lt;&gt;"",C306&amp;"-"&amp;P306,"")</f>
        <v/>
      </c>
      <c r="R306" s="189" t="str">
        <f t="array" ref="R306">IFERROR(IF(INDEX('Disaggregation Records'!$E$3:$E$66,MATCH(RIGHT(Q306,255),RIGHT('Disaggregation Records'!$D$3:$D$66,255),0))=0,"",INDEX('Disaggregation Records'!$E$3:$E$66,MATCH(RIGHT(Q306,255),RIGHT('Disaggregation Records'!$D$3:$D$66,255),0))),"")</f>
        <v/>
      </c>
      <c r="S306" s="189" t="str">
        <f t="array" ref="S306">IFERROR(IF(INDEX('Disaggregation Records'!$F$3:$F$66,MATCH(RIGHT(Q306,255),RIGHT('Disaggregation Records'!$D$3:$D$66,255),0))=0,"",INDEX('Disaggregation Records'!$F$3:$F$66,MATCH(RIGHT(Q306,255),RIGHT('Disaggregation Records'!$D$3:$D$66,255),0))),"")</f>
        <v/>
      </c>
      <c r="T306" s="189" t="str">
        <f t="array" ref="T306">IFERROR(IF(INDEX('Disaggregation Records'!$H$3:$H$66,MATCH(RIGHT(Q306,255),RIGHT('Disaggregation Records'!$D$3:$D$66,255),0))=0,"",INDEX('Disaggregation Records'!$H$3:$H$66,MATCH(RIGHT(Q306,255),RIGHT('Disaggregation Records'!$D$3:$D$66,255),0))),"")</f>
        <v/>
      </c>
      <c r="U306" s="189">
        <f t="shared" ref="U306" si="1187">U304+1</f>
        <v>1331</v>
      </c>
      <c r="V306" s="189" t="str">
        <f t="array" ref="V306">IFERROR(IF(INDEX('Disaggregation Records'!$I$3:$I$66,MATCH(RIGHT(Q306,255),RIGHT('Disaggregation Records'!$D$3:$D$66,255),0))=0,"",INDEX('Disaggregation Records'!$I$3:$I$66,MATCH(RIGHT(Q306,255),RIGHT('Disaggregation Records'!$D$3:$D$66,255),0))),"")</f>
        <v/>
      </c>
      <c r="W306" s="189" t="str">
        <f>IFERROR(INDEX('Reference Records'!O$3:O$15,MATCH(LEFT(C306,255),'Reference Records'!J$3:J$15,0)),"")</f>
        <v/>
      </c>
    </row>
    <row r="307" spans="1:23" s="189" customFormat="1" ht="40.200000000000003" customHeight="1" x14ac:dyDescent="0.3">
      <c r="A307" s="678"/>
      <c r="B307" s="675"/>
      <c r="C307" s="667"/>
      <c r="D307" s="677"/>
      <c r="E307" s="677"/>
      <c r="F307" s="202"/>
      <c r="G307" s="669"/>
      <c r="H307" s="671"/>
      <c r="I307" s="673"/>
      <c r="J307" s="652"/>
      <c r="K307" s="667"/>
      <c r="L307" s="667"/>
      <c r="M307" s="652"/>
      <c r="N307" s="652"/>
      <c r="P307" s="190"/>
      <c r="Q307" s="190"/>
      <c r="R307" s="190"/>
      <c r="S307" s="190"/>
      <c r="T307" s="190"/>
      <c r="U307" s="190"/>
      <c r="V307" s="190"/>
      <c r="W307" s="190"/>
    </row>
    <row r="308" spans="1:23" s="189" customFormat="1" ht="40.200000000000003" customHeight="1" x14ac:dyDescent="0.3">
      <c r="A308" s="678" t="str">
        <f t="shared" ca="1" si="1035"/>
        <v>a1G3p000003GJ63EAG</v>
      </c>
      <c r="B308" s="674">
        <v>15</v>
      </c>
      <c r="C308" s="666" t="str">
        <f>IFERROR(VLOOKUP(B308,'Impact Indicators - Section B '!$A$9:$AF$52,32,FALSE),"")</f>
        <v/>
      </c>
      <c r="D308" s="676" t="str">
        <f t="shared" ref="D308" si="1188">R308</f>
        <v/>
      </c>
      <c r="E308" s="676" t="str">
        <f t="shared" ref="E308" si="1189">S308</f>
        <v/>
      </c>
      <c r="F308" s="194"/>
      <c r="G308" s="668" t="str">
        <f t="shared" ref="G308" ca="1" si="1190">IF(OR(INDIRECT("'update Helper'!E"&amp;U308)=0,F308&lt;&gt;0,F309&lt;&gt;0),IF(IFERROR((F308/F309),"")="","",(F308/F309)),INDIRECT("'update Helper'!E"&amp;U308)/100)</f>
        <v/>
      </c>
      <c r="H308" s="670"/>
      <c r="I308" s="672"/>
      <c r="J308" s="651"/>
      <c r="K308" s="666" t="str">
        <f t="shared" ref="K308" si="1191">W308</f>
        <v/>
      </c>
      <c r="L308" s="666" t="str">
        <f t="shared" ref="L308" si="1192">V308</f>
        <v/>
      </c>
      <c r="M308" s="651"/>
      <c r="N308" s="651"/>
      <c r="P308" s="189">
        <f t="shared" ref="P308" si="1193">IF(AND(EXACT(C308,C306),C306&lt;&gt;0),P306+1,0)</f>
        <v>129</v>
      </c>
      <c r="Q308" s="189" t="str">
        <f t="shared" ref="Q308" si="1194">IF(C308&lt;&gt;"",C308&amp;"-"&amp;P308,"")</f>
        <v/>
      </c>
      <c r="R308" s="189" t="str">
        <f t="array" ref="R308">IFERROR(IF(INDEX('Disaggregation Records'!$E$3:$E$66,MATCH(RIGHT(Q308,255),RIGHT('Disaggregation Records'!$D$3:$D$66,255),0))=0,"",INDEX('Disaggregation Records'!$E$3:$E$66,MATCH(RIGHT(Q308,255),RIGHT('Disaggregation Records'!$D$3:$D$66,255),0))),"")</f>
        <v/>
      </c>
      <c r="S308" s="189" t="str">
        <f t="array" ref="S308">IFERROR(IF(INDEX('Disaggregation Records'!$F$3:$F$66,MATCH(RIGHT(Q308,255),RIGHT('Disaggregation Records'!$D$3:$D$66,255),0))=0,"",INDEX('Disaggregation Records'!$F$3:$F$66,MATCH(RIGHT(Q308,255),RIGHT('Disaggregation Records'!$D$3:$D$66,255),0))),"")</f>
        <v/>
      </c>
      <c r="T308" s="189" t="str">
        <f t="array" ref="T308">IFERROR(IF(INDEX('Disaggregation Records'!$H$3:$H$66,MATCH(RIGHT(Q308,255),RIGHT('Disaggregation Records'!$D$3:$D$66,255),0))=0,"",INDEX('Disaggregation Records'!$H$3:$H$66,MATCH(RIGHT(Q308,255),RIGHT('Disaggregation Records'!$D$3:$D$66,255),0))),"")</f>
        <v/>
      </c>
      <c r="U308" s="189">
        <f t="shared" ref="U308" si="1195">U306+1</f>
        <v>1332</v>
      </c>
      <c r="V308" s="189" t="str">
        <f t="array" ref="V308">IFERROR(IF(INDEX('Disaggregation Records'!$I$3:$I$66,MATCH(RIGHT(Q308,255),RIGHT('Disaggregation Records'!$D$3:$D$66,255),0))=0,"",INDEX('Disaggregation Records'!$I$3:$I$66,MATCH(RIGHT(Q308,255),RIGHT('Disaggregation Records'!$D$3:$D$66,255),0))),"")</f>
        <v/>
      </c>
      <c r="W308" s="189" t="str">
        <f>IFERROR(INDEX('Reference Records'!O$3:O$15,MATCH(LEFT(C308,255),'Reference Records'!J$3:J$15,0)),"")</f>
        <v/>
      </c>
    </row>
    <row r="309" spans="1:23" s="189" customFormat="1" ht="40.200000000000003" customHeight="1" x14ac:dyDescent="0.3">
      <c r="A309" s="678"/>
      <c r="B309" s="675"/>
      <c r="C309" s="667"/>
      <c r="D309" s="677"/>
      <c r="E309" s="677"/>
      <c r="F309" s="202"/>
      <c r="G309" s="669"/>
      <c r="H309" s="671"/>
      <c r="I309" s="673"/>
      <c r="J309" s="652"/>
      <c r="K309" s="667"/>
      <c r="L309" s="667"/>
      <c r="M309" s="652"/>
      <c r="N309" s="652"/>
      <c r="P309" s="190"/>
      <c r="Q309" s="190"/>
      <c r="R309" s="190"/>
      <c r="S309" s="190"/>
      <c r="T309" s="190"/>
      <c r="U309" s="190"/>
      <c r="V309" s="190"/>
      <c r="W309" s="190"/>
    </row>
    <row r="310" spans="1:23" s="189" customFormat="1" ht="40.200000000000003" customHeight="1" x14ac:dyDescent="0.3">
      <c r="A310" s="172"/>
      <c r="B310" s="330"/>
      <c r="C310" s="331"/>
      <c r="D310" s="332"/>
      <c r="E310" s="332"/>
      <c r="F310" s="333"/>
      <c r="G310" s="334"/>
      <c r="H310" s="335"/>
      <c r="I310" s="336"/>
      <c r="J310" s="337"/>
      <c r="K310" s="337"/>
      <c r="L310" s="337"/>
      <c r="M310" s="337"/>
      <c r="N310" s="337"/>
    </row>
    <row r="311" spans="1:23" s="189" customFormat="1" ht="40.200000000000003" customHeight="1" x14ac:dyDescent="0.3">
      <c r="A311" s="172"/>
      <c r="B311" s="330"/>
      <c r="C311" s="331"/>
      <c r="D311" s="332"/>
      <c r="E311" s="332"/>
      <c r="F311" s="333"/>
      <c r="G311" s="334"/>
      <c r="H311" s="335"/>
      <c r="I311" s="336"/>
      <c r="J311" s="337"/>
      <c r="K311" s="337"/>
      <c r="L311" s="337"/>
      <c r="M311" s="337"/>
      <c r="N311" s="337"/>
    </row>
    <row r="312" spans="1:23" s="189" customFormat="1" ht="40.200000000000003" customHeight="1" x14ac:dyDescent="0.3">
      <c r="A312" s="172"/>
      <c r="B312" s="330"/>
      <c r="C312" s="331"/>
      <c r="D312" s="332"/>
      <c r="E312" s="332"/>
      <c r="F312" s="333"/>
      <c r="G312" s="334"/>
      <c r="H312" s="335"/>
      <c r="I312" s="336"/>
      <c r="J312" s="337"/>
      <c r="K312" s="337"/>
      <c r="L312" s="337"/>
      <c r="M312" s="337"/>
      <c r="N312" s="337"/>
    </row>
    <row r="313" spans="1:23" s="156" customFormat="1" x14ac:dyDescent="0.3">
      <c r="A313" s="193"/>
      <c r="B313" s="172"/>
      <c r="C313" s="193"/>
      <c r="D313" s="193"/>
      <c r="E313" s="193"/>
      <c r="F313" s="193"/>
      <c r="G313" s="193"/>
      <c r="H313" s="193"/>
      <c r="I313" s="193"/>
      <c r="J313" s="193"/>
      <c r="K313" s="193"/>
      <c r="L313" s="193"/>
      <c r="M313" s="193"/>
    </row>
    <row r="314" spans="1:23" ht="16.2" customHeight="1" x14ac:dyDescent="0.3">
      <c r="B314" s="683" t="str">
        <f ca="1">Translations!A76</f>
        <v xml:space="preserve">Désagrégation de l'indicateur de résultat </v>
      </c>
      <c r="C314" s="684"/>
      <c r="D314" s="684"/>
      <c r="E314" s="684"/>
      <c r="F314" s="684"/>
      <c r="G314" s="684"/>
      <c r="H314" s="684"/>
      <c r="I314" s="684"/>
      <c r="J314" s="684"/>
      <c r="K314" s="681"/>
      <c r="L314" s="682"/>
      <c r="M314" s="682"/>
      <c r="N314" s="682"/>
    </row>
    <row r="315" spans="1:23" ht="45" customHeight="1" x14ac:dyDescent="0.3">
      <c r="A315" s="232" t="s">
        <v>346</v>
      </c>
      <c r="B315" s="247" t="str">
        <f ca="1">Translations!A77</f>
        <v>Numéro de l'indicateur de résultat</v>
      </c>
      <c r="C315" s="247" t="str">
        <f ca="1">Translations!A79</f>
        <v xml:space="preserve">Nom de l'indicateur de résultats </v>
      </c>
      <c r="D315" s="247" t="str">
        <f ca="1">Translations!$A$74</f>
        <v>Catégorie</v>
      </c>
      <c r="E315" s="247" t="str">
        <f ca="1">Translations!$A$75</f>
        <v>Désagrégation</v>
      </c>
      <c r="F315" s="247" t="s">
        <v>812</v>
      </c>
      <c r="G315" s="247" t="str">
        <f ca="1">Translations!$A$41</f>
        <v>Référence %</v>
      </c>
      <c r="H315" s="247" t="s">
        <v>440</v>
      </c>
      <c r="I315" s="247" t="s">
        <v>442</v>
      </c>
      <c r="J315" s="247" t="s">
        <v>411</v>
      </c>
      <c r="K315" s="247" t="str">
        <f ca="1">Translations!A79 &amp; " (EN)"</f>
        <v>Nom de l'indicateur de résultats  (EN)</v>
      </c>
      <c r="L315" s="247" t="str">
        <f ca="1">Translations!$A$74 &amp; " (EN)"</f>
        <v>Catégorie (EN)</v>
      </c>
      <c r="M315" s="247" t="s">
        <v>8013</v>
      </c>
      <c r="N315" s="247" t="s">
        <v>8014</v>
      </c>
      <c r="Q315" s="338"/>
      <c r="R315" s="338"/>
      <c r="S315" s="338"/>
      <c r="T315" s="189"/>
    </row>
    <row r="316" spans="1:23" s="189" customFormat="1" ht="40.200000000000003" customHeight="1" x14ac:dyDescent="0.3">
      <c r="A316" s="678" t="str">
        <f ca="1">INDIRECT("'update Helper'!C"&amp;U316)</f>
        <v>a1V3p000004fwtWEAQ</v>
      </c>
      <c r="B316" s="674">
        <v>1</v>
      </c>
      <c r="C316" s="666" t="str">
        <f>IFERROR(VLOOKUP(B316,'Outcome Indicators - Section C '!$A$9:$AF$70,32,FALSE),"")</f>
        <v>HIV O-4a⁽ᴹ⁾ Pourcentage d’hommes qui indiquent avoir utilisé un préservatif lors de leur dernier rapport anal avec un partenaire occasionel</v>
      </c>
      <c r="D316" s="676" t="str">
        <f>R316</f>
        <v>Age</v>
      </c>
      <c r="E316" s="676" t="str">
        <f>S316</f>
        <v>25+</v>
      </c>
      <c r="F316" s="194"/>
      <c r="G316" s="668" t="str">
        <f ca="1">IF(OR(INDIRECT("'update Helper'!E"&amp;U316)=0,F316&lt;&gt;0,F317&lt;&gt;0),IF(IFERROR((F316/F317),"")="","",(F316/F317)),INDIRECT("'update Helper'!E"&amp;U316)/100)</f>
        <v/>
      </c>
      <c r="H316" s="670"/>
      <c r="I316" s="672"/>
      <c r="J316" s="651"/>
      <c r="K316" s="666" t="str">
        <f>W316</f>
        <v>HIV O-4a⁽ᴹ⁾ Percentage of men reporting the use of a condom the last time they had anal sex with a non regular partner</v>
      </c>
      <c r="L316" s="666" t="str">
        <f>V316</f>
        <v>Age</v>
      </c>
      <c r="M316" s="651"/>
      <c r="N316" s="651"/>
      <c r="P316" s="189">
        <f>IF(AND(EXACT(C316,C314),C314&lt;&gt;0),P314+1,0)</f>
        <v>0</v>
      </c>
      <c r="Q316" s="189" t="str">
        <f>IF(C316&lt;&gt;"",C316&amp;"-"&amp;P316,"")</f>
        <v>HIV O-4a⁽ᴹ⁾ Pourcentage d’hommes qui indiquent avoir utilisé un préservatif lors de leur dernier rapport anal avec un partenaire occasionel-0</v>
      </c>
      <c r="R316" s="189" t="str">
        <f t="array" ref="R316">IFERROR(IF(INDEX('Disaggregation Records'!$E$69:$E$152,MATCH(RIGHT(Q316,255),RIGHT('Disaggregation Records'!$D$69:$D$152,255),0))=0,"",INDEX('Disaggregation Records'!$E$69:$E$152,MATCH(RIGHT(Q316,255),RIGHT('Disaggregation Records'!$D$69:$D$152,255),0))),"")</f>
        <v>Age</v>
      </c>
      <c r="S316" s="189" t="str">
        <f t="array" ref="S316">IFERROR(IF(INDEX('Disaggregation Records'!$F$69:$F$152,MATCH(RIGHT(Q316,255),RIGHT('Disaggregation Records'!$D$69:$D$152,255),0))=0,"",INDEX('Disaggregation Records'!$F$69:$F$152,MATCH(RIGHT(Q316,255),RIGHT('Disaggregation Records'!$D$69:$D$152,255),0))),"")</f>
        <v>25+</v>
      </c>
      <c r="T316" s="189" t="str">
        <f t="array" ref="T316">IFERROR(IF(INDEX('Disaggregation Records'!$H$69:$H$152,MATCH(RIGHT(Q316,255),RIGHT('Disaggregation Records'!$D$69:$D$152,255),0))=0,"",INDEX('Disaggregation Records'!$H$69:$H$152,MATCH(RIGHT(Q316,255),RIGHT('Disaggregation Records'!$D$69:$D$152,255),0))),"")</f>
        <v>IDR-00671</v>
      </c>
      <c r="U316" s="189">
        <f>ROW(Outcome_Indicator_Disaggregation)+3</f>
        <v>879</v>
      </c>
      <c r="V316" s="189" t="str">
        <f t="array" ref="V316">IFERROR(IF(INDEX('Disaggregation Records'!$I$69:$I$152,MATCH(RIGHT(Q316,255),RIGHT('Disaggregation Records'!$D$69:$D$152,255),0))=0,"",INDEX('Disaggregation Records'!$I$69:$I$152,MATCH(RIGHT(Q316,255),RIGHT('Disaggregation Records'!$D$69:$D$152,255),0))),"")</f>
        <v>Age</v>
      </c>
      <c r="W316" s="189" t="str">
        <f>IFERROR(INDEX('Reference Records'!P$19:P$56,MATCH(LEFT(C316,255),'Reference Records'!J$19:J$56,0)),"")</f>
        <v>HIV O-4a⁽ᴹ⁾ Percentage of men reporting the use of a condom the last time they had anal sex with a non regular partner</v>
      </c>
    </row>
    <row r="317" spans="1:23" s="189" customFormat="1" ht="40.200000000000003" customHeight="1" x14ac:dyDescent="0.3">
      <c r="A317" s="678"/>
      <c r="B317" s="675"/>
      <c r="C317" s="667"/>
      <c r="D317" s="677"/>
      <c r="E317" s="677"/>
      <c r="F317" s="202"/>
      <c r="G317" s="669"/>
      <c r="H317" s="671"/>
      <c r="I317" s="673"/>
      <c r="J317" s="652"/>
      <c r="K317" s="667"/>
      <c r="L317" s="667"/>
      <c r="M317" s="652"/>
      <c r="N317" s="652"/>
      <c r="V317" s="189" t="str">
        <f t="array" ref="V317">IFERROR(IF(INDEX('Disaggregation Records'!$I$69:$I$152,MATCH(RIGHT(Q317,255),RIGHT('Disaggregation Records'!$D$69:$D$152,255),0))=0,"",INDEX('Disaggregation Records'!$I$69:$I$152,MATCH(RIGHT(Q317,255),RIGHT('Disaggregation Records'!$D$69:$D$152,255),0))),"")</f>
        <v/>
      </c>
    </row>
    <row r="318" spans="1:23" s="189" customFormat="1" ht="40.200000000000003" customHeight="1" x14ac:dyDescent="0.3">
      <c r="A318" s="678" t="str">
        <f t="shared" ref="A318" ca="1" si="1196">INDIRECT("'update Helper'!C"&amp;U318)</f>
        <v>a1V3p000004fwtXEAQ</v>
      </c>
      <c r="B318" s="674">
        <v>1</v>
      </c>
      <c r="C318" s="666" t="str">
        <f>IFERROR(VLOOKUP(B318,'Outcome Indicators - Section C '!$A$9:$AF$70,32,FALSE),"")</f>
        <v>HIV O-4a⁽ᴹ⁾ Pourcentage d’hommes qui indiquent avoir utilisé un préservatif lors de leur dernier rapport anal avec un partenaire occasionel</v>
      </c>
      <c r="D318" s="676" t="str">
        <f t="shared" ref="D318" si="1197">R318</f>
        <v>Age</v>
      </c>
      <c r="E318" s="676" t="str">
        <f t="shared" ref="E318" si="1198">S318</f>
        <v>&lt;25</v>
      </c>
      <c r="F318" s="194"/>
      <c r="G318" s="668" t="str">
        <f t="shared" ref="G318" ca="1" si="1199">IF(OR(INDIRECT("'update Helper'!E"&amp;U318)=0,F318&lt;&gt;0,F319&lt;&gt;0),IF(IFERROR((F318/F319),"")="","",(F318/F319)),INDIRECT("'update Helper'!E"&amp;U318)/100)</f>
        <v/>
      </c>
      <c r="H318" s="670"/>
      <c r="I318" s="672"/>
      <c r="J318" s="651"/>
      <c r="K318" s="666" t="str">
        <f t="shared" ref="K318" si="1200">W318</f>
        <v>HIV O-4a⁽ᴹ⁾ Percentage of men reporting the use of a condom the last time they had anal sex with a non regular partner</v>
      </c>
      <c r="L318" s="666" t="str">
        <f t="shared" ref="L318" si="1201">V318</f>
        <v>Age</v>
      </c>
      <c r="M318" s="651"/>
      <c r="N318" s="651"/>
      <c r="P318" s="189">
        <f>IF(AND(EXACT(C318,C316),C316&lt;&gt;0),P316+1,0)</f>
        <v>1</v>
      </c>
      <c r="Q318" s="189" t="str">
        <f>IF(C318&lt;&gt;"",C318&amp;"-"&amp;P318,"")</f>
        <v>HIV O-4a⁽ᴹ⁾ Pourcentage d’hommes qui indiquent avoir utilisé un préservatif lors de leur dernier rapport anal avec un partenaire occasionel-1</v>
      </c>
      <c r="R318" s="189" t="str">
        <f t="array" ref="R318">IFERROR(IF(INDEX('Disaggregation Records'!$E$69:$E$152,MATCH(RIGHT(Q318,255),RIGHT('Disaggregation Records'!$D$69:$D$152,255),0))=0,"",INDEX('Disaggregation Records'!$E$69:$E$152,MATCH(RIGHT(Q318,255),RIGHT('Disaggregation Records'!$D$69:$D$152,255),0))),"")</f>
        <v>Age</v>
      </c>
      <c r="S318" s="189" t="str">
        <f t="array" ref="S318">IFERROR(IF(INDEX('Disaggregation Records'!$F$69:$F$152,MATCH(RIGHT(Q318,255),RIGHT('Disaggregation Records'!$D$69:$D$152,255),0))=0,"",INDEX('Disaggregation Records'!$F$69:$F$152,MATCH(RIGHT(Q318,255),RIGHT('Disaggregation Records'!$D$69:$D$152,255),0))),"")</f>
        <v>&lt;25</v>
      </c>
      <c r="T318" s="189" t="str">
        <f t="array" ref="T318">IFERROR(IF(INDEX('Disaggregation Records'!$H$69:$H$152,MATCH(RIGHT(Q318,255),RIGHT('Disaggregation Records'!$D$69:$D$152,255),0))=0,"",INDEX('Disaggregation Records'!$H$69:$H$152,MATCH(RIGHT(Q318,255),RIGHT('Disaggregation Records'!$D$69:$D$152,255),0))),"")</f>
        <v>IDR-00670</v>
      </c>
      <c r="U318" s="189">
        <f>U316+1</f>
        <v>880</v>
      </c>
      <c r="V318" s="189" t="str">
        <f t="array" ref="V318">IFERROR(IF(INDEX('Disaggregation Records'!$I$69:$I$152,MATCH(RIGHT(Q318,255),RIGHT('Disaggregation Records'!$D$69:$D$152,255),0))=0,"",INDEX('Disaggregation Records'!$I$69:$I$152,MATCH(RIGHT(Q318,255),RIGHT('Disaggregation Records'!$D$69:$D$152,255),0))),"")</f>
        <v>Age</v>
      </c>
      <c r="W318" s="189" t="str">
        <f>IFERROR(INDEX('Reference Records'!P$19:P$56,MATCH(LEFT(C318,255),'Reference Records'!J$19:J$56,0)),"")</f>
        <v>HIV O-4a⁽ᴹ⁾ Percentage of men reporting the use of a condom the last time they had anal sex with a non regular partner</v>
      </c>
    </row>
    <row r="319" spans="1:23" s="189" customFormat="1" ht="40.200000000000003" customHeight="1" x14ac:dyDescent="0.3">
      <c r="A319" s="678"/>
      <c r="B319" s="675"/>
      <c r="C319" s="667"/>
      <c r="D319" s="677"/>
      <c r="E319" s="677"/>
      <c r="F319" s="202"/>
      <c r="G319" s="669"/>
      <c r="H319" s="671"/>
      <c r="I319" s="673"/>
      <c r="J319" s="652"/>
      <c r="K319" s="667"/>
      <c r="L319" s="667"/>
      <c r="M319" s="652"/>
      <c r="N319" s="652"/>
      <c r="V319" s="189" t="str">
        <f t="array" ref="V319">IFERROR(IF(INDEX('Disaggregation Records'!$I$69:$I$152,MATCH(RIGHT(Q319,255),RIGHT('Disaggregation Records'!$D$69:$D$152,255),0))=0,"",INDEX('Disaggregation Records'!$I$69:$I$152,MATCH(RIGHT(Q319,255),RIGHT('Disaggregation Records'!$D$69:$D$152,255),0))),"")</f>
        <v/>
      </c>
    </row>
    <row r="320" spans="1:23" s="189" customFormat="1" ht="40.200000000000003" customHeight="1" x14ac:dyDescent="0.3">
      <c r="A320" s="678" t="str">
        <f t="shared" ref="A320" ca="1" si="1202">INDIRECT("'update Helper'!C"&amp;U320)</f>
        <v>a1V3p000004fwtYEAQ</v>
      </c>
      <c r="B320" s="674">
        <v>1</v>
      </c>
      <c r="C320" s="666" t="str">
        <f>IFERROR(VLOOKUP(B320,'Outcome Indicators - Section C '!$A$9:$AF$70,32,FALSE),"")</f>
        <v>HIV O-4a⁽ᴹ⁾ Pourcentage d’hommes qui indiquent avoir utilisé un préservatif lors de leur dernier rapport anal avec un partenaire occasionel</v>
      </c>
      <c r="D320" s="676" t="str">
        <f t="shared" ref="D320" si="1203">R320</f>
        <v/>
      </c>
      <c r="E320" s="676" t="str">
        <f t="shared" ref="E320" si="1204">S320</f>
        <v/>
      </c>
      <c r="F320" s="194"/>
      <c r="G320" s="668" t="str">
        <f t="shared" ref="G320" ca="1" si="1205">IF(OR(INDIRECT("'update Helper'!E"&amp;U320)=0,F320&lt;&gt;0,F321&lt;&gt;0),IF(IFERROR((F320/F321),"")="","",(F320/F321)),INDIRECT("'update Helper'!E"&amp;U320)/100)</f>
        <v/>
      </c>
      <c r="H320" s="670"/>
      <c r="I320" s="672"/>
      <c r="J320" s="651"/>
      <c r="K320" s="666" t="str">
        <f t="shared" ref="K320" si="1206">W320</f>
        <v>HIV O-4a⁽ᴹ⁾ Percentage of men reporting the use of a condom the last time they had anal sex with a non regular partner</v>
      </c>
      <c r="L320" s="666" t="str">
        <f t="shared" ref="L320" si="1207">V320</f>
        <v/>
      </c>
      <c r="M320" s="651"/>
      <c r="N320" s="651"/>
      <c r="P320" s="189">
        <f t="shared" ref="P320" si="1208">IF(AND(EXACT(C320,C318),C318&lt;&gt;0),P318+1,0)</f>
        <v>2</v>
      </c>
      <c r="Q320" s="189" t="str">
        <f t="shared" ref="Q320" si="1209">IF(C320&lt;&gt;"",C320&amp;"-"&amp;P320,"")</f>
        <v>HIV O-4a⁽ᴹ⁾ Pourcentage d’hommes qui indiquent avoir utilisé un préservatif lors de leur dernier rapport anal avec un partenaire occasionel-2</v>
      </c>
      <c r="R320" s="189" t="str">
        <f t="array" ref="R320">IFERROR(IF(INDEX('Disaggregation Records'!$E$69:$E$152,MATCH(RIGHT(Q320,255),RIGHT('Disaggregation Records'!$D$69:$D$152,255),0))=0,"",INDEX('Disaggregation Records'!$E$69:$E$152,MATCH(RIGHT(Q320,255),RIGHT('Disaggregation Records'!$D$69:$D$152,255),0))),"")</f>
        <v/>
      </c>
      <c r="S320" s="189" t="str">
        <f t="array" ref="S320">IFERROR(IF(INDEX('Disaggregation Records'!$F$69:$F$152,MATCH(RIGHT(Q320,255),RIGHT('Disaggregation Records'!$D$69:$D$152,255),0))=0,"",INDEX('Disaggregation Records'!$F$69:$F$152,MATCH(RIGHT(Q320,255),RIGHT('Disaggregation Records'!$D$69:$D$152,255),0))),"")</f>
        <v/>
      </c>
      <c r="T320" s="189" t="str">
        <f t="array" ref="T320">IFERROR(IF(INDEX('Disaggregation Records'!$H$69:$H$152,MATCH(RIGHT(Q320,255),RIGHT('Disaggregation Records'!$D$69:$D$152,255),0))=0,"",INDEX('Disaggregation Records'!$H$69:$H$152,MATCH(RIGHT(Q320,255),RIGHT('Disaggregation Records'!$D$69:$D$152,255),0))),"")</f>
        <v/>
      </c>
      <c r="U320" s="189">
        <f t="shared" ref="U320" si="1210">U318+1</f>
        <v>881</v>
      </c>
      <c r="V320" s="189" t="str">
        <f t="array" ref="V320">IFERROR(IF(INDEX('Disaggregation Records'!$I$69:$I$152,MATCH(RIGHT(Q320,255),RIGHT('Disaggregation Records'!$D$69:$D$152,255),0))=0,"",INDEX('Disaggregation Records'!$I$69:$I$152,MATCH(RIGHT(Q320,255),RIGHT('Disaggregation Records'!$D$69:$D$152,255),0))),"")</f>
        <v/>
      </c>
      <c r="W320" s="189" t="str">
        <f>IFERROR(INDEX('Reference Records'!P$19:P$56,MATCH(LEFT(C320,255),'Reference Records'!J$19:J$56,0)),"")</f>
        <v>HIV O-4a⁽ᴹ⁾ Percentage of men reporting the use of a condom the last time they had anal sex with a non regular partner</v>
      </c>
    </row>
    <row r="321" spans="1:23" s="189" customFormat="1" ht="40.200000000000003" customHeight="1" x14ac:dyDescent="0.3">
      <c r="A321" s="678"/>
      <c r="B321" s="675"/>
      <c r="C321" s="667"/>
      <c r="D321" s="677"/>
      <c r="E321" s="677"/>
      <c r="F321" s="202"/>
      <c r="G321" s="669"/>
      <c r="H321" s="671"/>
      <c r="I321" s="673"/>
      <c r="J321" s="652"/>
      <c r="K321" s="667"/>
      <c r="L321" s="667"/>
      <c r="M321" s="652"/>
      <c r="N321" s="652"/>
      <c r="V321" s="189" t="str">
        <f t="array" ref="V321">IFERROR(IF(INDEX('Disaggregation Records'!$I$69:$I$152,MATCH(RIGHT(Q321,255),RIGHT('Disaggregation Records'!$D$69:$D$152,255),0))=0,"",INDEX('Disaggregation Records'!$I$69:$I$152,MATCH(RIGHT(Q321,255),RIGHT('Disaggregation Records'!$D$69:$D$152,255),0))),"")</f>
        <v/>
      </c>
    </row>
    <row r="322" spans="1:23" s="189" customFormat="1" ht="40.200000000000003" customHeight="1" x14ac:dyDescent="0.3">
      <c r="A322" s="678" t="str">
        <f t="shared" ref="A322" ca="1" si="1211">INDIRECT("'update Helper'!C"&amp;U322)</f>
        <v>a1V3p000004fwtZEAQ</v>
      </c>
      <c r="B322" s="674">
        <v>1</v>
      </c>
      <c r="C322" s="666" t="str">
        <f>IFERROR(VLOOKUP(B322,'Outcome Indicators - Section C '!$A$9:$AF$70,32,FALSE),"")</f>
        <v>HIV O-4a⁽ᴹ⁾ Pourcentage d’hommes qui indiquent avoir utilisé un préservatif lors de leur dernier rapport anal avec un partenaire occasionel</v>
      </c>
      <c r="D322" s="676" t="str">
        <f t="shared" ref="D322" si="1212">R322</f>
        <v/>
      </c>
      <c r="E322" s="676" t="str">
        <f t="shared" ref="E322" si="1213">S322</f>
        <v/>
      </c>
      <c r="F322" s="194"/>
      <c r="G322" s="668" t="str">
        <f t="shared" ref="G322" ca="1" si="1214">IF(OR(INDIRECT("'update Helper'!E"&amp;U322)=0,F322&lt;&gt;0,F323&lt;&gt;0),IF(IFERROR((F322/F323),"")="","",(F322/F323)),INDIRECT("'update Helper'!E"&amp;U322)/100)</f>
        <v/>
      </c>
      <c r="H322" s="670"/>
      <c r="I322" s="672"/>
      <c r="J322" s="651"/>
      <c r="K322" s="666" t="str">
        <f t="shared" ref="K322" si="1215">W322</f>
        <v>HIV O-4a⁽ᴹ⁾ Percentage of men reporting the use of a condom the last time they had anal sex with a non regular partner</v>
      </c>
      <c r="L322" s="666" t="str">
        <f t="shared" ref="L322" si="1216">V322</f>
        <v/>
      </c>
      <c r="M322" s="651"/>
      <c r="N322" s="651"/>
      <c r="P322" s="189">
        <f t="shared" ref="P322" si="1217">IF(AND(EXACT(C322,C320),C320&lt;&gt;0),P320+1,0)</f>
        <v>3</v>
      </c>
      <c r="Q322" s="189" t="str">
        <f t="shared" ref="Q322" si="1218">IF(C322&lt;&gt;"",C322&amp;"-"&amp;P322,"")</f>
        <v>HIV O-4a⁽ᴹ⁾ Pourcentage d’hommes qui indiquent avoir utilisé un préservatif lors de leur dernier rapport anal avec un partenaire occasionel-3</v>
      </c>
      <c r="R322" s="189" t="str">
        <f t="array" ref="R322">IFERROR(IF(INDEX('Disaggregation Records'!$E$69:$E$152,MATCH(RIGHT(Q322,255),RIGHT('Disaggregation Records'!$D$69:$D$152,255),0))=0,"",INDEX('Disaggregation Records'!$E$69:$E$152,MATCH(RIGHT(Q322,255),RIGHT('Disaggregation Records'!$D$69:$D$152,255),0))),"")</f>
        <v/>
      </c>
      <c r="S322" s="189" t="str">
        <f t="array" ref="S322">IFERROR(IF(INDEX('Disaggregation Records'!$F$69:$F$152,MATCH(RIGHT(Q322,255),RIGHT('Disaggregation Records'!$D$69:$D$152,255),0))=0,"",INDEX('Disaggregation Records'!$F$69:$F$152,MATCH(RIGHT(Q322,255),RIGHT('Disaggregation Records'!$D$69:$D$152,255),0))),"")</f>
        <v/>
      </c>
      <c r="T322" s="189" t="str">
        <f t="array" ref="T322">IFERROR(IF(INDEX('Disaggregation Records'!$H$69:$H$152,MATCH(RIGHT(Q322,255),RIGHT('Disaggregation Records'!$D$69:$D$152,255),0))=0,"",INDEX('Disaggregation Records'!$H$69:$H$152,MATCH(RIGHT(Q322,255),RIGHT('Disaggregation Records'!$D$69:$D$152,255),0))),"")</f>
        <v/>
      </c>
      <c r="U322" s="189">
        <f t="shared" ref="U322" si="1219">U320+1</f>
        <v>882</v>
      </c>
      <c r="V322" s="189" t="str">
        <f t="array" ref="V322">IFERROR(IF(INDEX('Disaggregation Records'!$I$69:$I$152,MATCH(RIGHT(Q322,255),RIGHT('Disaggregation Records'!$D$69:$D$152,255),0))=0,"",INDEX('Disaggregation Records'!$I$69:$I$152,MATCH(RIGHT(Q322,255),RIGHT('Disaggregation Records'!$D$69:$D$152,255),0))),"")</f>
        <v/>
      </c>
      <c r="W322" s="189" t="str">
        <f>IFERROR(INDEX('Reference Records'!P$19:P$56,MATCH(LEFT(C322,255),'Reference Records'!J$19:J$56,0)),"")</f>
        <v>HIV O-4a⁽ᴹ⁾ Percentage of men reporting the use of a condom the last time they had anal sex with a non regular partner</v>
      </c>
    </row>
    <row r="323" spans="1:23" s="189" customFormat="1" ht="40.200000000000003" customHeight="1" x14ac:dyDescent="0.3">
      <c r="A323" s="678"/>
      <c r="B323" s="675"/>
      <c r="C323" s="667"/>
      <c r="D323" s="677"/>
      <c r="E323" s="677"/>
      <c r="F323" s="202"/>
      <c r="G323" s="669"/>
      <c r="H323" s="671"/>
      <c r="I323" s="673"/>
      <c r="J323" s="652"/>
      <c r="K323" s="667"/>
      <c r="L323" s="667"/>
      <c r="M323" s="652"/>
      <c r="N323" s="652"/>
      <c r="V323" s="189" t="str">
        <f t="array" ref="V323">IFERROR(IF(INDEX('Disaggregation Records'!$I$69:$I$152,MATCH(RIGHT(Q323,255),RIGHT('Disaggregation Records'!$D$69:$D$152,255),0))=0,"",INDEX('Disaggregation Records'!$I$69:$I$152,MATCH(RIGHT(Q323,255),RIGHT('Disaggregation Records'!$D$69:$D$152,255),0))),"")</f>
        <v/>
      </c>
    </row>
    <row r="324" spans="1:23" s="189" customFormat="1" ht="40.200000000000003" customHeight="1" x14ac:dyDescent="0.3">
      <c r="A324" s="678" t="str">
        <f t="shared" ref="A324" ca="1" si="1220">INDIRECT("'update Helper'!C"&amp;U324)</f>
        <v>a1V3p000004fwtaEAA</v>
      </c>
      <c r="B324" s="674">
        <v>1</v>
      </c>
      <c r="C324" s="666" t="str">
        <f>IFERROR(VLOOKUP(B324,'Outcome Indicators - Section C '!$A$9:$AF$70,32,FALSE),"")</f>
        <v>HIV O-4a⁽ᴹ⁾ Pourcentage d’hommes qui indiquent avoir utilisé un préservatif lors de leur dernier rapport anal avec un partenaire occasionel</v>
      </c>
      <c r="D324" s="676" t="str">
        <f t="shared" ref="D324" si="1221">R324</f>
        <v/>
      </c>
      <c r="E324" s="676" t="str">
        <f t="shared" ref="E324" si="1222">S324</f>
        <v/>
      </c>
      <c r="F324" s="194"/>
      <c r="G324" s="668" t="str">
        <f t="shared" ref="G324" ca="1" si="1223">IF(OR(INDIRECT("'update Helper'!E"&amp;U324)=0,F324&lt;&gt;0,F325&lt;&gt;0),IF(IFERROR((F324/F325),"")="","",(F324/F325)),INDIRECT("'update Helper'!E"&amp;U324)/100)</f>
        <v/>
      </c>
      <c r="H324" s="670"/>
      <c r="I324" s="672"/>
      <c r="J324" s="651"/>
      <c r="K324" s="666" t="str">
        <f t="shared" ref="K324" si="1224">W324</f>
        <v>HIV O-4a⁽ᴹ⁾ Percentage of men reporting the use of a condom the last time they had anal sex with a non regular partner</v>
      </c>
      <c r="L324" s="666" t="str">
        <f t="shared" ref="L324" si="1225">V324</f>
        <v/>
      </c>
      <c r="M324" s="651"/>
      <c r="N324" s="651"/>
      <c r="P324" s="189">
        <f t="shared" ref="P324" si="1226">IF(AND(EXACT(C324,C322),C322&lt;&gt;0),P322+1,0)</f>
        <v>4</v>
      </c>
      <c r="Q324" s="189" t="str">
        <f t="shared" ref="Q324" si="1227">IF(C324&lt;&gt;"",C324&amp;"-"&amp;P324,"")</f>
        <v>HIV O-4a⁽ᴹ⁾ Pourcentage d’hommes qui indiquent avoir utilisé un préservatif lors de leur dernier rapport anal avec un partenaire occasionel-4</v>
      </c>
      <c r="R324" s="189" t="str">
        <f t="array" ref="R324">IFERROR(IF(INDEX('Disaggregation Records'!$E$69:$E$152,MATCH(RIGHT(Q324,255),RIGHT('Disaggregation Records'!$D$69:$D$152,255),0))=0,"",INDEX('Disaggregation Records'!$E$69:$E$152,MATCH(RIGHT(Q324,255),RIGHT('Disaggregation Records'!$D$69:$D$152,255),0))),"")</f>
        <v/>
      </c>
      <c r="S324" s="189" t="str">
        <f t="array" ref="S324">IFERROR(IF(INDEX('Disaggregation Records'!$F$69:$F$152,MATCH(RIGHT(Q324,255),RIGHT('Disaggregation Records'!$D$69:$D$152,255),0))=0,"",INDEX('Disaggregation Records'!$F$69:$F$152,MATCH(RIGHT(Q324,255),RIGHT('Disaggregation Records'!$D$69:$D$152,255),0))),"")</f>
        <v/>
      </c>
      <c r="T324" s="189" t="str">
        <f t="array" ref="T324">IFERROR(IF(INDEX('Disaggregation Records'!$H$69:$H$152,MATCH(RIGHT(Q324,255),RIGHT('Disaggregation Records'!$D$69:$D$152,255),0))=0,"",INDEX('Disaggregation Records'!$H$69:$H$152,MATCH(RIGHT(Q324,255),RIGHT('Disaggregation Records'!$D$69:$D$152,255),0))),"")</f>
        <v/>
      </c>
      <c r="U324" s="189">
        <f t="shared" ref="U324" si="1228">U322+1</f>
        <v>883</v>
      </c>
      <c r="V324" s="189" t="str">
        <f t="array" ref="V324">IFERROR(IF(INDEX('Disaggregation Records'!$I$69:$I$152,MATCH(RIGHT(Q324,255),RIGHT('Disaggregation Records'!$D$69:$D$152,255),0))=0,"",INDEX('Disaggregation Records'!$I$69:$I$152,MATCH(RIGHT(Q324,255),RIGHT('Disaggregation Records'!$D$69:$D$152,255),0))),"")</f>
        <v/>
      </c>
      <c r="W324" s="189" t="str">
        <f>IFERROR(INDEX('Reference Records'!P$19:P$56,MATCH(LEFT(C324,255),'Reference Records'!J$19:J$56,0)),"")</f>
        <v>HIV O-4a⁽ᴹ⁾ Percentage of men reporting the use of a condom the last time they had anal sex with a non regular partner</v>
      </c>
    </row>
    <row r="325" spans="1:23" s="189" customFormat="1" ht="40.200000000000003" customHeight="1" x14ac:dyDescent="0.3">
      <c r="A325" s="678"/>
      <c r="B325" s="675"/>
      <c r="C325" s="667"/>
      <c r="D325" s="677"/>
      <c r="E325" s="677"/>
      <c r="F325" s="202"/>
      <c r="G325" s="669"/>
      <c r="H325" s="671"/>
      <c r="I325" s="673"/>
      <c r="J325" s="652"/>
      <c r="K325" s="667"/>
      <c r="L325" s="667"/>
      <c r="M325" s="652"/>
      <c r="N325" s="652"/>
      <c r="V325" s="189" t="str">
        <f t="array" ref="V325">IFERROR(IF(INDEX('Disaggregation Records'!$I$69:$I$152,MATCH(RIGHT(Q325,255),RIGHT('Disaggregation Records'!$D$69:$D$152,255),0))=0,"",INDEX('Disaggregation Records'!$I$69:$I$152,MATCH(RIGHT(Q325,255),RIGHT('Disaggregation Records'!$D$69:$D$152,255),0))),"")</f>
        <v/>
      </c>
    </row>
    <row r="326" spans="1:23" s="189" customFormat="1" ht="40.200000000000003" customHeight="1" x14ac:dyDescent="0.3">
      <c r="A326" s="678" t="str">
        <f t="shared" ref="A326" ca="1" si="1229">INDIRECT("'update Helper'!C"&amp;U326)</f>
        <v>a1V3p000004fwtbEAA</v>
      </c>
      <c r="B326" s="674">
        <v>1</v>
      </c>
      <c r="C326" s="666" t="str">
        <f>IFERROR(VLOOKUP(B326,'Outcome Indicators - Section C '!$A$9:$AF$70,32,FALSE),"")</f>
        <v>HIV O-4a⁽ᴹ⁾ Pourcentage d’hommes qui indiquent avoir utilisé un préservatif lors de leur dernier rapport anal avec un partenaire occasionel</v>
      </c>
      <c r="D326" s="676" t="str">
        <f t="shared" ref="D326" si="1230">R326</f>
        <v/>
      </c>
      <c r="E326" s="676" t="str">
        <f t="shared" ref="E326" si="1231">S326</f>
        <v/>
      </c>
      <c r="F326" s="194"/>
      <c r="G326" s="668" t="str">
        <f t="shared" ref="G326" ca="1" si="1232">IF(OR(INDIRECT("'update Helper'!E"&amp;U326)=0,F326&lt;&gt;0,F327&lt;&gt;0),IF(IFERROR((F326/F327),"")="","",(F326/F327)),INDIRECT("'update Helper'!E"&amp;U326)/100)</f>
        <v/>
      </c>
      <c r="H326" s="670"/>
      <c r="I326" s="672"/>
      <c r="J326" s="651"/>
      <c r="K326" s="666" t="str">
        <f t="shared" ref="K326" si="1233">W326</f>
        <v>HIV O-4a⁽ᴹ⁾ Percentage of men reporting the use of a condom the last time they had anal sex with a non regular partner</v>
      </c>
      <c r="L326" s="666" t="str">
        <f t="shared" ref="L326" si="1234">V326</f>
        <v/>
      </c>
      <c r="M326" s="651"/>
      <c r="N326" s="651"/>
      <c r="P326" s="189">
        <f t="shared" ref="P326" si="1235">IF(AND(EXACT(C326,C324),C324&lt;&gt;0),P324+1,0)</f>
        <v>5</v>
      </c>
      <c r="Q326" s="189" t="str">
        <f t="shared" ref="Q326" si="1236">IF(C326&lt;&gt;"",C326&amp;"-"&amp;P326,"")</f>
        <v>HIV O-4a⁽ᴹ⁾ Pourcentage d’hommes qui indiquent avoir utilisé un préservatif lors de leur dernier rapport anal avec un partenaire occasionel-5</v>
      </c>
      <c r="R326" s="189" t="str">
        <f t="array" ref="R326">IFERROR(IF(INDEX('Disaggregation Records'!$E$69:$E$152,MATCH(RIGHT(Q326,255),RIGHT('Disaggregation Records'!$D$69:$D$152,255),0))=0,"",INDEX('Disaggregation Records'!$E$69:$E$152,MATCH(RIGHT(Q326,255),RIGHT('Disaggregation Records'!$D$69:$D$152,255),0))),"")</f>
        <v/>
      </c>
      <c r="S326" s="189" t="str">
        <f t="array" ref="S326">IFERROR(IF(INDEX('Disaggregation Records'!$F$69:$F$152,MATCH(RIGHT(Q326,255),RIGHT('Disaggregation Records'!$D$69:$D$152,255),0))=0,"",INDEX('Disaggregation Records'!$F$69:$F$152,MATCH(RIGHT(Q326,255),RIGHT('Disaggregation Records'!$D$69:$D$152,255),0))),"")</f>
        <v/>
      </c>
      <c r="T326" s="189" t="str">
        <f t="array" ref="T326">IFERROR(IF(INDEX('Disaggregation Records'!$H$69:$H$152,MATCH(RIGHT(Q326,255),RIGHT('Disaggregation Records'!$D$69:$D$152,255),0))=0,"",INDEX('Disaggregation Records'!$H$69:$H$152,MATCH(RIGHT(Q326,255),RIGHT('Disaggregation Records'!$D$69:$D$152,255),0))),"")</f>
        <v/>
      </c>
      <c r="U326" s="189">
        <f t="shared" ref="U326" si="1237">U324+1</f>
        <v>884</v>
      </c>
      <c r="V326" s="189" t="str">
        <f t="array" ref="V326">IFERROR(IF(INDEX('Disaggregation Records'!$I$69:$I$152,MATCH(RIGHT(Q326,255),RIGHT('Disaggregation Records'!$D$69:$D$152,255),0))=0,"",INDEX('Disaggregation Records'!$I$69:$I$152,MATCH(RIGHT(Q326,255),RIGHT('Disaggregation Records'!$D$69:$D$152,255),0))),"")</f>
        <v/>
      </c>
      <c r="W326" s="189" t="str">
        <f>IFERROR(INDEX('Reference Records'!P$19:P$56,MATCH(LEFT(C326,255),'Reference Records'!J$19:J$56,0)),"")</f>
        <v>HIV O-4a⁽ᴹ⁾ Percentage of men reporting the use of a condom the last time they had anal sex with a non regular partner</v>
      </c>
    </row>
    <row r="327" spans="1:23" s="189" customFormat="1" ht="40.200000000000003" customHeight="1" x14ac:dyDescent="0.3">
      <c r="A327" s="678"/>
      <c r="B327" s="675"/>
      <c r="C327" s="667"/>
      <c r="D327" s="677"/>
      <c r="E327" s="677"/>
      <c r="F327" s="202"/>
      <c r="G327" s="669"/>
      <c r="H327" s="671"/>
      <c r="I327" s="673"/>
      <c r="J327" s="652"/>
      <c r="K327" s="667"/>
      <c r="L327" s="667"/>
      <c r="M327" s="652"/>
      <c r="N327" s="652"/>
      <c r="V327" s="189" t="str">
        <f t="array" ref="V327">IFERROR(IF(INDEX('Disaggregation Records'!$I$69:$I$152,MATCH(RIGHT(Q327,255),RIGHT('Disaggregation Records'!$D$69:$D$152,255),0))=0,"",INDEX('Disaggregation Records'!$I$69:$I$152,MATCH(RIGHT(Q327,255),RIGHT('Disaggregation Records'!$D$69:$D$152,255),0))),"")</f>
        <v/>
      </c>
    </row>
    <row r="328" spans="1:23" s="189" customFormat="1" ht="40.200000000000003" customHeight="1" x14ac:dyDescent="0.3">
      <c r="A328" s="678" t="str">
        <f t="shared" ref="A328" ca="1" si="1238">INDIRECT("'update Helper'!C"&amp;U328)</f>
        <v>a1V3p000004fwtcEAA</v>
      </c>
      <c r="B328" s="674">
        <v>1</v>
      </c>
      <c r="C328" s="666" t="str">
        <f>IFERROR(VLOOKUP(B328,'Outcome Indicators - Section C '!$A$9:$AF$70,32,FALSE),"")</f>
        <v>HIV O-4a⁽ᴹ⁾ Pourcentage d’hommes qui indiquent avoir utilisé un préservatif lors de leur dernier rapport anal avec un partenaire occasionel</v>
      </c>
      <c r="D328" s="676" t="str">
        <f t="shared" ref="D328" si="1239">R328</f>
        <v/>
      </c>
      <c r="E328" s="676" t="str">
        <f t="shared" ref="E328" si="1240">S328</f>
        <v/>
      </c>
      <c r="F328" s="194"/>
      <c r="G328" s="668" t="str">
        <f t="shared" ref="G328" ca="1" si="1241">IF(OR(INDIRECT("'update Helper'!E"&amp;U328)=0,F328&lt;&gt;0,F329&lt;&gt;0),IF(IFERROR((F328/F329),"")="","",(F328/F329)),INDIRECT("'update Helper'!E"&amp;U328)/100)</f>
        <v/>
      </c>
      <c r="H328" s="670"/>
      <c r="I328" s="672"/>
      <c r="J328" s="651"/>
      <c r="K328" s="666" t="str">
        <f t="shared" ref="K328" si="1242">W328</f>
        <v>HIV O-4a⁽ᴹ⁾ Percentage of men reporting the use of a condom the last time they had anal sex with a non regular partner</v>
      </c>
      <c r="L328" s="666" t="str">
        <f t="shared" ref="L328" si="1243">V328</f>
        <v/>
      </c>
      <c r="M328" s="651"/>
      <c r="N328" s="651"/>
      <c r="P328" s="189">
        <f t="shared" ref="P328" si="1244">IF(AND(EXACT(C328,C326),C326&lt;&gt;0),P326+1,0)</f>
        <v>6</v>
      </c>
      <c r="Q328" s="189" t="str">
        <f t="shared" ref="Q328" si="1245">IF(C328&lt;&gt;"",C328&amp;"-"&amp;P328,"")</f>
        <v>HIV O-4a⁽ᴹ⁾ Pourcentage d’hommes qui indiquent avoir utilisé un préservatif lors de leur dernier rapport anal avec un partenaire occasionel-6</v>
      </c>
      <c r="R328" s="189" t="str">
        <f t="array" ref="R328">IFERROR(IF(INDEX('Disaggregation Records'!$E$69:$E$152,MATCH(RIGHT(Q328,255),RIGHT('Disaggregation Records'!$D$69:$D$152,255),0))=0,"",INDEX('Disaggregation Records'!$E$69:$E$152,MATCH(RIGHT(Q328,255),RIGHT('Disaggregation Records'!$D$69:$D$152,255),0))),"")</f>
        <v/>
      </c>
      <c r="S328" s="189" t="str">
        <f t="array" ref="S328">IFERROR(IF(INDEX('Disaggregation Records'!$F$69:$F$152,MATCH(RIGHT(Q328,255),RIGHT('Disaggregation Records'!$D$69:$D$152,255),0))=0,"",INDEX('Disaggregation Records'!$F$69:$F$152,MATCH(RIGHT(Q328,255),RIGHT('Disaggregation Records'!$D$69:$D$152,255),0))),"")</f>
        <v/>
      </c>
      <c r="T328" s="189" t="str">
        <f t="array" ref="T328">IFERROR(IF(INDEX('Disaggregation Records'!$H$69:$H$152,MATCH(RIGHT(Q328,255),RIGHT('Disaggregation Records'!$D$69:$D$152,255),0))=0,"",INDEX('Disaggregation Records'!$H$69:$H$152,MATCH(RIGHT(Q328,255),RIGHT('Disaggregation Records'!$D$69:$D$152,255),0))),"")</f>
        <v/>
      </c>
      <c r="U328" s="189">
        <f t="shared" ref="U328" si="1246">U326+1</f>
        <v>885</v>
      </c>
      <c r="V328" s="189" t="str">
        <f t="array" ref="V328">IFERROR(IF(INDEX('Disaggregation Records'!$I$69:$I$152,MATCH(RIGHT(Q328,255),RIGHT('Disaggregation Records'!$D$69:$D$152,255),0))=0,"",INDEX('Disaggregation Records'!$I$69:$I$152,MATCH(RIGHT(Q328,255),RIGHT('Disaggregation Records'!$D$69:$D$152,255),0))),"")</f>
        <v/>
      </c>
      <c r="W328" s="189" t="str">
        <f>IFERROR(INDEX('Reference Records'!P$19:P$56,MATCH(LEFT(C328,255),'Reference Records'!J$19:J$56,0)),"")</f>
        <v>HIV O-4a⁽ᴹ⁾ Percentage of men reporting the use of a condom the last time they had anal sex with a non regular partner</v>
      </c>
    </row>
    <row r="329" spans="1:23" s="189" customFormat="1" ht="40.200000000000003" customHeight="1" x14ac:dyDescent="0.3">
      <c r="A329" s="678"/>
      <c r="B329" s="675"/>
      <c r="C329" s="667"/>
      <c r="D329" s="677"/>
      <c r="E329" s="677"/>
      <c r="F329" s="202"/>
      <c r="G329" s="669"/>
      <c r="H329" s="671"/>
      <c r="I329" s="673"/>
      <c r="J329" s="652"/>
      <c r="K329" s="667"/>
      <c r="L329" s="667"/>
      <c r="M329" s="652"/>
      <c r="N329" s="652"/>
      <c r="V329" s="189" t="str">
        <f t="array" ref="V329">IFERROR(IF(INDEX('Disaggregation Records'!$I$69:$I$152,MATCH(RIGHT(Q329,255),RIGHT('Disaggregation Records'!$D$69:$D$152,255),0))=0,"",INDEX('Disaggregation Records'!$I$69:$I$152,MATCH(RIGHT(Q329,255),RIGHT('Disaggregation Records'!$D$69:$D$152,255),0))),"")</f>
        <v/>
      </c>
    </row>
    <row r="330" spans="1:23" s="189" customFormat="1" ht="40.200000000000003" customHeight="1" x14ac:dyDescent="0.3">
      <c r="A330" s="678" t="str">
        <f t="shared" ref="A330" ca="1" si="1247">INDIRECT("'update Helper'!C"&amp;U330)</f>
        <v>a1V3p000004fwtdEAA</v>
      </c>
      <c r="B330" s="674">
        <v>1</v>
      </c>
      <c r="C330" s="666" t="str">
        <f>IFERROR(VLOOKUP(B330,'Outcome Indicators - Section C '!$A$9:$AF$70,32,FALSE),"")</f>
        <v>HIV O-4a⁽ᴹ⁾ Pourcentage d’hommes qui indiquent avoir utilisé un préservatif lors de leur dernier rapport anal avec un partenaire occasionel</v>
      </c>
      <c r="D330" s="676" t="str">
        <f t="shared" ref="D330" si="1248">R330</f>
        <v/>
      </c>
      <c r="E330" s="676" t="str">
        <f t="shared" ref="E330" si="1249">S330</f>
        <v/>
      </c>
      <c r="F330" s="194"/>
      <c r="G330" s="668" t="str">
        <f t="shared" ref="G330" ca="1" si="1250">IF(OR(INDIRECT("'update Helper'!E"&amp;U330)=0,F330&lt;&gt;0,F331&lt;&gt;0),IF(IFERROR((F330/F331),"")="","",(F330/F331)),INDIRECT("'update Helper'!E"&amp;U330)/100)</f>
        <v/>
      </c>
      <c r="H330" s="670"/>
      <c r="I330" s="672"/>
      <c r="J330" s="651"/>
      <c r="K330" s="666" t="str">
        <f t="shared" ref="K330" si="1251">W330</f>
        <v>HIV O-4a⁽ᴹ⁾ Percentage of men reporting the use of a condom the last time they had anal sex with a non regular partner</v>
      </c>
      <c r="L330" s="666" t="str">
        <f t="shared" ref="L330" si="1252">V330</f>
        <v/>
      </c>
      <c r="M330" s="651"/>
      <c r="N330" s="651"/>
      <c r="P330" s="189">
        <f t="shared" ref="P330" si="1253">IF(AND(EXACT(C330,C328),C328&lt;&gt;0),P328+1,0)</f>
        <v>7</v>
      </c>
      <c r="Q330" s="189" t="str">
        <f t="shared" ref="Q330" si="1254">IF(C330&lt;&gt;"",C330&amp;"-"&amp;P330,"")</f>
        <v>HIV O-4a⁽ᴹ⁾ Pourcentage d’hommes qui indiquent avoir utilisé un préservatif lors de leur dernier rapport anal avec un partenaire occasionel-7</v>
      </c>
      <c r="R330" s="189" t="str">
        <f t="array" ref="R330">IFERROR(IF(INDEX('Disaggregation Records'!$E$69:$E$152,MATCH(RIGHT(Q330,255),RIGHT('Disaggregation Records'!$D$69:$D$152,255),0))=0,"",INDEX('Disaggregation Records'!$E$69:$E$152,MATCH(RIGHT(Q330,255),RIGHT('Disaggregation Records'!$D$69:$D$152,255),0))),"")</f>
        <v/>
      </c>
      <c r="S330" s="189" t="str">
        <f t="array" ref="S330">IFERROR(IF(INDEX('Disaggregation Records'!$F$69:$F$152,MATCH(RIGHT(Q330,255),RIGHT('Disaggregation Records'!$D$69:$D$152,255),0))=0,"",INDEX('Disaggregation Records'!$F$69:$F$152,MATCH(RIGHT(Q330,255),RIGHT('Disaggregation Records'!$D$69:$D$152,255),0))),"")</f>
        <v/>
      </c>
      <c r="T330" s="189" t="str">
        <f t="array" ref="T330">IFERROR(IF(INDEX('Disaggregation Records'!$H$69:$H$152,MATCH(RIGHT(Q330,255),RIGHT('Disaggregation Records'!$D$69:$D$152,255),0))=0,"",INDEX('Disaggregation Records'!$H$69:$H$152,MATCH(RIGHT(Q330,255),RIGHT('Disaggregation Records'!$D$69:$D$152,255),0))),"")</f>
        <v/>
      </c>
      <c r="U330" s="189">
        <f t="shared" ref="U330" si="1255">U328+1</f>
        <v>886</v>
      </c>
      <c r="V330" s="189" t="str">
        <f t="array" ref="V330">IFERROR(IF(INDEX('Disaggregation Records'!$I$69:$I$152,MATCH(RIGHT(Q330,255),RIGHT('Disaggregation Records'!$D$69:$D$152,255),0))=0,"",INDEX('Disaggregation Records'!$I$69:$I$152,MATCH(RIGHT(Q330,255),RIGHT('Disaggregation Records'!$D$69:$D$152,255),0))),"")</f>
        <v/>
      </c>
      <c r="W330" s="189" t="str">
        <f>IFERROR(INDEX('Reference Records'!P$19:P$56,MATCH(LEFT(C330,255),'Reference Records'!J$19:J$56,0)),"")</f>
        <v>HIV O-4a⁽ᴹ⁾ Percentage of men reporting the use of a condom the last time they had anal sex with a non regular partner</v>
      </c>
    </row>
    <row r="331" spans="1:23" s="189" customFormat="1" ht="40.200000000000003" customHeight="1" x14ac:dyDescent="0.3">
      <c r="A331" s="678"/>
      <c r="B331" s="675"/>
      <c r="C331" s="667"/>
      <c r="D331" s="677"/>
      <c r="E331" s="677"/>
      <c r="F331" s="202"/>
      <c r="G331" s="669"/>
      <c r="H331" s="671"/>
      <c r="I331" s="673"/>
      <c r="J331" s="652"/>
      <c r="K331" s="667"/>
      <c r="L331" s="667"/>
      <c r="M331" s="652"/>
      <c r="N331" s="652"/>
      <c r="V331" s="189" t="str">
        <f t="array" ref="V331">IFERROR(IF(INDEX('Disaggregation Records'!$I$69:$I$152,MATCH(RIGHT(Q331,255),RIGHT('Disaggregation Records'!$D$69:$D$152,255),0))=0,"",INDEX('Disaggregation Records'!$I$69:$I$152,MATCH(RIGHT(Q331,255),RIGHT('Disaggregation Records'!$D$69:$D$152,255),0))),"")</f>
        <v/>
      </c>
    </row>
    <row r="332" spans="1:23" s="189" customFormat="1" ht="40.200000000000003" customHeight="1" x14ac:dyDescent="0.3">
      <c r="A332" s="678" t="str">
        <f t="shared" ref="A332" ca="1" si="1256">INDIRECT("'update Helper'!C"&amp;U332)</f>
        <v>a1V3p000004fwteEAA</v>
      </c>
      <c r="B332" s="674">
        <v>1</v>
      </c>
      <c r="C332" s="666" t="str">
        <f>IFERROR(VLOOKUP(B332,'Outcome Indicators - Section C '!$A$9:$AF$70,32,FALSE),"")</f>
        <v>HIV O-4a⁽ᴹ⁾ Pourcentage d’hommes qui indiquent avoir utilisé un préservatif lors de leur dernier rapport anal avec un partenaire occasionel</v>
      </c>
      <c r="D332" s="676" t="str">
        <f t="shared" ref="D332" si="1257">R332</f>
        <v/>
      </c>
      <c r="E332" s="676" t="str">
        <f t="shared" ref="E332" si="1258">S332</f>
        <v/>
      </c>
      <c r="F332" s="194"/>
      <c r="G332" s="668" t="str">
        <f t="shared" ref="G332" ca="1" si="1259">IF(OR(INDIRECT("'update Helper'!E"&amp;U332)=0,F332&lt;&gt;0,F333&lt;&gt;0),IF(IFERROR((F332/F333),"")="","",(F332/F333)),INDIRECT("'update Helper'!E"&amp;U332)/100)</f>
        <v/>
      </c>
      <c r="H332" s="670"/>
      <c r="I332" s="672"/>
      <c r="J332" s="651"/>
      <c r="K332" s="666" t="str">
        <f t="shared" ref="K332" si="1260">W332</f>
        <v>HIV O-4a⁽ᴹ⁾ Percentage of men reporting the use of a condom the last time they had anal sex with a non regular partner</v>
      </c>
      <c r="L332" s="666" t="str">
        <f t="shared" ref="L332" si="1261">V332</f>
        <v/>
      </c>
      <c r="M332" s="651"/>
      <c r="N332" s="651"/>
      <c r="P332" s="189">
        <f t="shared" ref="P332" si="1262">IF(AND(EXACT(C332,C330),C330&lt;&gt;0),P330+1,0)</f>
        <v>8</v>
      </c>
      <c r="Q332" s="189" t="str">
        <f t="shared" ref="Q332" si="1263">IF(C332&lt;&gt;"",C332&amp;"-"&amp;P332,"")</f>
        <v>HIV O-4a⁽ᴹ⁾ Pourcentage d’hommes qui indiquent avoir utilisé un préservatif lors de leur dernier rapport anal avec un partenaire occasionel-8</v>
      </c>
      <c r="R332" s="189" t="str">
        <f t="array" ref="R332">IFERROR(IF(INDEX('Disaggregation Records'!$E$69:$E$152,MATCH(RIGHT(Q332,255),RIGHT('Disaggregation Records'!$D$69:$D$152,255),0))=0,"",INDEX('Disaggregation Records'!$E$69:$E$152,MATCH(RIGHT(Q332,255),RIGHT('Disaggregation Records'!$D$69:$D$152,255),0))),"")</f>
        <v/>
      </c>
      <c r="S332" s="189" t="str">
        <f t="array" ref="S332">IFERROR(IF(INDEX('Disaggregation Records'!$F$69:$F$152,MATCH(RIGHT(Q332,255),RIGHT('Disaggregation Records'!$D$69:$D$152,255),0))=0,"",INDEX('Disaggregation Records'!$F$69:$F$152,MATCH(RIGHT(Q332,255),RIGHT('Disaggregation Records'!$D$69:$D$152,255),0))),"")</f>
        <v/>
      </c>
      <c r="T332" s="189" t="str">
        <f t="array" ref="T332">IFERROR(IF(INDEX('Disaggregation Records'!$H$69:$H$152,MATCH(RIGHT(Q332,255),RIGHT('Disaggregation Records'!$D$69:$D$152,255),0))=0,"",INDEX('Disaggregation Records'!$H$69:$H$152,MATCH(RIGHT(Q332,255),RIGHT('Disaggregation Records'!$D$69:$D$152,255),0))),"")</f>
        <v/>
      </c>
      <c r="U332" s="189">
        <f t="shared" ref="U332" si="1264">U330+1</f>
        <v>887</v>
      </c>
      <c r="V332" s="189" t="str">
        <f t="array" ref="V332">IFERROR(IF(INDEX('Disaggregation Records'!$I$69:$I$152,MATCH(RIGHT(Q332,255),RIGHT('Disaggregation Records'!$D$69:$D$152,255),0))=0,"",INDEX('Disaggregation Records'!$I$69:$I$152,MATCH(RIGHT(Q332,255),RIGHT('Disaggregation Records'!$D$69:$D$152,255),0))),"")</f>
        <v/>
      </c>
      <c r="W332" s="189" t="str">
        <f>IFERROR(INDEX('Reference Records'!P$19:P$56,MATCH(LEFT(C332,255),'Reference Records'!J$19:J$56,0)),"")</f>
        <v>HIV O-4a⁽ᴹ⁾ Percentage of men reporting the use of a condom the last time they had anal sex with a non regular partner</v>
      </c>
    </row>
    <row r="333" spans="1:23" s="189" customFormat="1" ht="40.200000000000003" customHeight="1" x14ac:dyDescent="0.3">
      <c r="A333" s="678"/>
      <c r="B333" s="675"/>
      <c r="C333" s="667"/>
      <c r="D333" s="677"/>
      <c r="E333" s="677"/>
      <c r="F333" s="202"/>
      <c r="G333" s="669"/>
      <c r="H333" s="671"/>
      <c r="I333" s="673"/>
      <c r="J333" s="652"/>
      <c r="K333" s="667"/>
      <c r="L333" s="667"/>
      <c r="M333" s="652"/>
      <c r="N333" s="652"/>
      <c r="V333" s="189" t="str">
        <f t="array" ref="V333">IFERROR(IF(INDEX('Disaggregation Records'!$I$69:$I$152,MATCH(RIGHT(Q333,255),RIGHT('Disaggregation Records'!$D$69:$D$152,255),0))=0,"",INDEX('Disaggregation Records'!$I$69:$I$152,MATCH(RIGHT(Q333,255),RIGHT('Disaggregation Records'!$D$69:$D$152,255),0))),"")</f>
        <v/>
      </c>
    </row>
    <row r="334" spans="1:23" s="189" customFormat="1" ht="40.200000000000003" customHeight="1" x14ac:dyDescent="0.3">
      <c r="A334" s="678" t="str">
        <f t="shared" ref="A334" ca="1" si="1265">INDIRECT("'update Helper'!C"&amp;U334)</f>
        <v>a1V3p000004fwtfEAA</v>
      </c>
      <c r="B334" s="674">
        <v>1</v>
      </c>
      <c r="C334" s="666" t="str">
        <f>IFERROR(VLOOKUP(B334,'Outcome Indicators - Section C '!$A$9:$AF$70,32,FALSE),"")</f>
        <v>HIV O-4a⁽ᴹ⁾ Pourcentage d’hommes qui indiquent avoir utilisé un préservatif lors de leur dernier rapport anal avec un partenaire occasionel</v>
      </c>
      <c r="D334" s="676" t="str">
        <f t="shared" ref="D334" si="1266">R334</f>
        <v/>
      </c>
      <c r="E334" s="676" t="str">
        <f t="shared" ref="E334" si="1267">S334</f>
        <v/>
      </c>
      <c r="F334" s="194"/>
      <c r="G334" s="668" t="str">
        <f t="shared" ref="G334" ca="1" si="1268">IF(OR(INDIRECT("'update Helper'!E"&amp;U334)=0,F334&lt;&gt;0,F335&lt;&gt;0),IF(IFERROR((F334/F335),"")="","",(F334/F335)),INDIRECT("'update Helper'!E"&amp;U334)/100)</f>
        <v/>
      </c>
      <c r="H334" s="670"/>
      <c r="I334" s="672"/>
      <c r="J334" s="651"/>
      <c r="K334" s="666" t="str">
        <f t="shared" ref="K334" si="1269">W334</f>
        <v>HIV O-4a⁽ᴹ⁾ Percentage of men reporting the use of a condom the last time they had anal sex with a non regular partner</v>
      </c>
      <c r="L334" s="666" t="str">
        <f t="shared" ref="L334" si="1270">V334</f>
        <v/>
      </c>
      <c r="M334" s="651"/>
      <c r="N334" s="651"/>
      <c r="P334" s="189">
        <f t="shared" ref="P334" si="1271">IF(AND(EXACT(C334,C332),C332&lt;&gt;0),P332+1,0)</f>
        <v>9</v>
      </c>
      <c r="Q334" s="189" t="str">
        <f t="shared" ref="Q334" si="1272">IF(C334&lt;&gt;"",C334&amp;"-"&amp;P334,"")</f>
        <v>HIV O-4a⁽ᴹ⁾ Pourcentage d’hommes qui indiquent avoir utilisé un préservatif lors de leur dernier rapport anal avec un partenaire occasionel-9</v>
      </c>
      <c r="R334" s="189" t="str">
        <f t="array" ref="R334">IFERROR(IF(INDEX('Disaggregation Records'!$E$69:$E$152,MATCH(RIGHT(Q334,255),RIGHT('Disaggregation Records'!$D$69:$D$152,255),0))=0,"",INDEX('Disaggregation Records'!$E$69:$E$152,MATCH(RIGHT(Q334,255),RIGHT('Disaggregation Records'!$D$69:$D$152,255),0))),"")</f>
        <v/>
      </c>
      <c r="S334" s="189" t="str">
        <f t="array" ref="S334">IFERROR(IF(INDEX('Disaggregation Records'!$F$69:$F$152,MATCH(RIGHT(Q334,255),RIGHT('Disaggregation Records'!$D$69:$D$152,255),0))=0,"",INDEX('Disaggregation Records'!$F$69:$F$152,MATCH(RIGHT(Q334,255),RIGHT('Disaggregation Records'!$D$69:$D$152,255),0))),"")</f>
        <v/>
      </c>
      <c r="T334" s="189" t="str">
        <f t="array" ref="T334">IFERROR(IF(INDEX('Disaggregation Records'!$H$69:$H$152,MATCH(RIGHT(Q334,255),RIGHT('Disaggregation Records'!$D$69:$D$152,255),0))=0,"",INDEX('Disaggregation Records'!$H$69:$H$152,MATCH(RIGHT(Q334,255),RIGHT('Disaggregation Records'!$D$69:$D$152,255),0))),"")</f>
        <v/>
      </c>
      <c r="U334" s="189">
        <f t="shared" ref="U334" si="1273">U332+1</f>
        <v>888</v>
      </c>
      <c r="V334" s="189" t="str">
        <f t="array" ref="V334">IFERROR(IF(INDEX('Disaggregation Records'!$I$69:$I$152,MATCH(RIGHT(Q334,255),RIGHT('Disaggregation Records'!$D$69:$D$152,255),0))=0,"",INDEX('Disaggregation Records'!$I$69:$I$152,MATCH(RIGHT(Q334,255),RIGHT('Disaggregation Records'!$D$69:$D$152,255),0))),"")</f>
        <v/>
      </c>
      <c r="W334" s="189" t="str">
        <f>IFERROR(INDEX('Reference Records'!P$19:P$56,MATCH(LEFT(C334,255),'Reference Records'!J$19:J$56,0)),"")</f>
        <v>HIV O-4a⁽ᴹ⁾ Percentage of men reporting the use of a condom the last time they had anal sex with a non regular partner</v>
      </c>
    </row>
    <row r="335" spans="1:23" s="189" customFormat="1" ht="40.200000000000003" customHeight="1" x14ac:dyDescent="0.3">
      <c r="A335" s="678"/>
      <c r="B335" s="675"/>
      <c r="C335" s="667"/>
      <c r="D335" s="677"/>
      <c r="E335" s="677"/>
      <c r="F335" s="202"/>
      <c r="G335" s="669"/>
      <c r="H335" s="671"/>
      <c r="I335" s="673"/>
      <c r="J335" s="652"/>
      <c r="K335" s="667"/>
      <c r="L335" s="667"/>
      <c r="M335" s="652"/>
      <c r="N335" s="652"/>
      <c r="V335" s="189" t="str">
        <f t="array" ref="V335">IFERROR(IF(INDEX('Disaggregation Records'!$I$69:$I$152,MATCH(RIGHT(Q335,255),RIGHT('Disaggregation Records'!$D$69:$D$152,255),0))=0,"",INDEX('Disaggregation Records'!$I$69:$I$152,MATCH(RIGHT(Q335,255),RIGHT('Disaggregation Records'!$D$69:$D$152,255),0))),"")</f>
        <v/>
      </c>
    </row>
    <row r="336" spans="1:23" s="189" customFormat="1" ht="40.200000000000003" customHeight="1" x14ac:dyDescent="0.3">
      <c r="A336" s="678" t="str">
        <f t="shared" ref="A336" ca="1" si="1274">INDIRECT("'update Helper'!C"&amp;U336)</f>
        <v>a1V3p000004fwtgEAA</v>
      </c>
      <c r="B336" s="674">
        <v>2</v>
      </c>
      <c r="C336" s="666" t="str">
        <f>IFERROR(VLOOKUP(B336,'Outcome Indicators - Section C '!$A$9:$AF$70,32,FALSE),"")</f>
        <v>HIV O-5⁽ᴹ⁾ Pourcentage de professionnels du sexe qui indiquent avoir utilisé un préservatif avec leur dernier client</v>
      </c>
      <c r="D336" s="676" t="str">
        <f t="shared" ref="D336" si="1275">R336</f>
        <v>Sexe</v>
      </c>
      <c r="E336" s="676" t="str">
        <f t="shared" ref="E336" si="1276">S336</f>
        <v>Transgenre</v>
      </c>
      <c r="F336" s="194"/>
      <c r="G336" s="668" t="str">
        <f t="shared" ref="G336" ca="1" si="1277">IF(OR(INDIRECT("'update Helper'!E"&amp;U336)=0,F336&lt;&gt;0,F337&lt;&gt;0),IF(IFERROR((F336/F337),"")="","",(F336/F337)),INDIRECT("'update Helper'!E"&amp;U336)/100)</f>
        <v/>
      </c>
      <c r="H336" s="670"/>
      <c r="I336" s="672"/>
      <c r="J336" s="651"/>
      <c r="K336" s="666" t="str">
        <f t="shared" ref="K336" si="1278">W336</f>
        <v>HIV O-5⁽ᴹ⁾ Percentage of sex workers reporting the use of a condom with their most recent client</v>
      </c>
      <c r="L336" s="666" t="str">
        <f t="shared" ref="L336" si="1279">V336</f>
        <v>Gender</v>
      </c>
      <c r="M336" s="651"/>
      <c r="N336" s="651"/>
      <c r="P336" s="189">
        <f t="shared" ref="P336" si="1280">IF(AND(EXACT(C336,C334),C334&lt;&gt;0),P334+1,0)</f>
        <v>0</v>
      </c>
      <c r="Q336" s="189" t="str">
        <f t="shared" ref="Q336" si="1281">IF(C336&lt;&gt;"",C336&amp;"-"&amp;P336,"")</f>
        <v>HIV O-5⁽ᴹ⁾ Pourcentage de professionnels du sexe qui indiquent avoir utilisé un préservatif avec leur dernier client-0</v>
      </c>
      <c r="R336" s="189" t="str">
        <f t="array" ref="R336">IFERROR(IF(INDEX('Disaggregation Records'!$E$69:$E$152,MATCH(RIGHT(Q336,255),RIGHT('Disaggregation Records'!$D$69:$D$152,255),0))=0,"",INDEX('Disaggregation Records'!$E$69:$E$152,MATCH(RIGHT(Q336,255),RIGHT('Disaggregation Records'!$D$69:$D$152,255),0))),"")</f>
        <v>Sexe</v>
      </c>
      <c r="S336" s="189" t="str">
        <f t="array" ref="S336">IFERROR(IF(INDEX('Disaggregation Records'!$F$69:$F$152,MATCH(RIGHT(Q336,255),RIGHT('Disaggregation Records'!$D$69:$D$152,255),0))=0,"",INDEX('Disaggregation Records'!$F$69:$F$152,MATCH(RIGHT(Q336,255),RIGHT('Disaggregation Records'!$D$69:$D$152,255),0))),"")</f>
        <v>Transgenre</v>
      </c>
      <c r="T336" s="189" t="str">
        <f t="array" ref="T336">IFERROR(IF(INDEX('Disaggregation Records'!$H$69:$H$152,MATCH(RIGHT(Q336,255),RIGHT('Disaggregation Records'!$D$69:$D$152,255),0))=0,"",INDEX('Disaggregation Records'!$H$69:$H$152,MATCH(RIGHT(Q336,255),RIGHT('Disaggregation Records'!$D$69:$D$152,255),0))),"")</f>
        <v>IDR-00786</v>
      </c>
      <c r="U336" s="189">
        <f t="shared" ref="U336" si="1282">U334+1</f>
        <v>889</v>
      </c>
      <c r="V336" s="189" t="str">
        <f t="array" ref="V336">IFERROR(IF(INDEX('Disaggregation Records'!$I$69:$I$152,MATCH(RIGHT(Q336,255),RIGHT('Disaggregation Records'!$D$69:$D$152,255),0))=0,"",INDEX('Disaggregation Records'!$I$69:$I$152,MATCH(RIGHT(Q336,255),RIGHT('Disaggregation Records'!$D$69:$D$152,255),0))),"")</f>
        <v>Gender</v>
      </c>
      <c r="W336" s="189" t="str">
        <f>IFERROR(INDEX('Reference Records'!P$19:P$56,MATCH(LEFT(C336,255),'Reference Records'!J$19:J$56,0)),"")</f>
        <v>HIV O-5⁽ᴹ⁾ Percentage of sex workers reporting the use of a condom with their most recent client</v>
      </c>
    </row>
    <row r="337" spans="1:23" s="189" customFormat="1" ht="40.200000000000003" customHeight="1" x14ac:dyDescent="0.3">
      <c r="A337" s="678"/>
      <c r="B337" s="675"/>
      <c r="C337" s="667"/>
      <c r="D337" s="677"/>
      <c r="E337" s="677"/>
      <c r="F337" s="202"/>
      <c r="G337" s="669"/>
      <c r="H337" s="671"/>
      <c r="I337" s="673"/>
      <c r="J337" s="652"/>
      <c r="K337" s="667"/>
      <c r="L337" s="667"/>
      <c r="M337" s="652"/>
      <c r="N337" s="652"/>
      <c r="V337" s="189" t="str">
        <f t="array" ref="V337">IFERROR(IF(INDEX('Disaggregation Records'!$I$69:$I$152,MATCH(RIGHT(Q337,255),RIGHT('Disaggregation Records'!$D$69:$D$152,255),0))=0,"",INDEX('Disaggregation Records'!$I$69:$I$152,MATCH(RIGHT(Q337,255),RIGHT('Disaggregation Records'!$D$69:$D$152,255),0))),"")</f>
        <v/>
      </c>
    </row>
    <row r="338" spans="1:23" s="189" customFormat="1" ht="40.200000000000003" customHeight="1" x14ac:dyDescent="0.3">
      <c r="A338" s="678" t="str">
        <f t="shared" ref="A338" ca="1" si="1283">INDIRECT("'update Helper'!C"&amp;U338)</f>
        <v>a1V3p000004fwthEAA</v>
      </c>
      <c r="B338" s="674">
        <v>2</v>
      </c>
      <c r="C338" s="666" t="str">
        <f>IFERROR(VLOOKUP(B338,'Outcome Indicators - Section C '!$A$9:$AF$70,32,FALSE),"")</f>
        <v>HIV O-5⁽ᴹ⁾ Pourcentage de professionnels du sexe qui indiquent avoir utilisé un préservatif avec leur dernier client</v>
      </c>
      <c r="D338" s="676" t="str">
        <f t="shared" ref="D338" si="1284">R338</f>
        <v>Sexe</v>
      </c>
      <c r="E338" s="676" t="str">
        <f t="shared" ref="E338" si="1285">S338</f>
        <v>Femme</v>
      </c>
      <c r="F338" s="194"/>
      <c r="G338" s="668" t="str">
        <f t="shared" ref="G338" ca="1" si="1286">IF(OR(INDIRECT("'update Helper'!E"&amp;U338)=0,F338&lt;&gt;0,F339&lt;&gt;0),IF(IFERROR((F338/F339),"")="","",(F338/F339)),INDIRECT("'update Helper'!E"&amp;U338)/100)</f>
        <v/>
      </c>
      <c r="H338" s="670"/>
      <c r="I338" s="672"/>
      <c r="J338" s="651"/>
      <c r="K338" s="666" t="str">
        <f t="shared" ref="K338" si="1287">W338</f>
        <v>HIV O-5⁽ᴹ⁾ Percentage of sex workers reporting the use of a condom with their most recent client</v>
      </c>
      <c r="L338" s="666" t="str">
        <f t="shared" ref="L338" si="1288">V338</f>
        <v>Gender</v>
      </c>
      <c r="M338" s="651"/>
      <c r="N338" s="651"/>
      <c r="P338" s="189">
        <f t="shared" ref="P338" si="1289">IF(AND(EXACT(C338,C336),C336&lt;&gt;0),P336+1,0)</f>
        <v>1</v>
      </c>
      <c r="Q338" s="189" t="str">
        <f t="shared" ref="Q338" si="1290">IF(C338&lt;&gt;"",C338&amp;"-"&amp;P338,"")</f>
        <v>HIV O-5⁽ᴹ⁾ Pourcentage de professionnels du sexe qui indiquent avoir utilisé un préservatif avec leur dernier client-1</v>
      </c>
      <c r="R338" s="189" t="str">
        <f t="array" ref="R338">IFERROR(IF(INDEX('Disaggregation Records'!$E$69:$E$152,MATCH(RIGHT(Q338,255),RIGHT('Disaggregation Records'!$D$69:$D$152,255),0))=0,"",INDEX('Disaggregation Records'!$E$69:$E$152,MATCH(RIGHT(Q338,255),RIGHT('Disaggregation Records'!$D$69:$D$152,255),0))),"")</f>
        <v>Sexe</v>
      </c>
      <c r="S338" s="189" t="str">
        <f t="array" ref="S338">IFERROR(IF(INDEX('Disaggregation Records'!$F$69:$F$152,MATCH(RIGHT(Q338,255),RIGHT('Disaggregation Records'!$D$69:$D$152,255),0))=0,"",INDEX('Disaggregation Records'!$F$69:$F$152,MATCH(RIGHT(Q338,255),RIGHT('Disaggregation Records'!$D$69:$D$152,255),0))),"")</f>
        <v>Femme</v>
      </c>
      <c r="T338" s="189" t="str">
        <f t="array" ref="T338">IFERROR(IF(INDEX('Disaggregation Records'!$H$69:$H$152,MATCH(RIGHT(Q338,255),RIGHT('Disaggregation Records'!$D$69:$D$152,255),0))=0,"",INDEX('Disaggregation Records'!$H$69:$H$152,MATCH(RIGHT(Q338,255),RIGHT('Disaggregation Records'!$D$69:$D$152,255),0))),"")</f>
        <v>IDR-00785</v>
      </c>
      <c r="U338" s="189">
        <f t="shared" ref="U338" si="1291">U336+1</f>
        <v>890</v>
      </c>
      <c r="V338" s="189" t="str">
        <f t="array" ref="V338">IFERROR(IF(INDEX('Disaggregation Records'!$I$69:$I$152,MATCH(RIGHT(Q338,255),RIGHT('Disaggregation Records'!$D$69:$D$152,255),0))=0,"",INDEX('Disaggregation Records'!$I$69:$I$152,MATCH(RIGHT(Q338,255),RIGHT('Disaggregation Records'!$D$69:$D$152,255),0))),"")</f>
        <v>Gender</v>
      </c>
      <c r="W338" s="189" t="str">
        <f>IFERROR(INDEX('Reference Records'!P$19:P$56,MATCH(LEFT(C338,255),'Reference Records'!J$19:J$56,0)),"")</f>
        <v>HIV O-5⁽ᴹ⁾ Percentage of sex workers reporting the use of a condom with their most recent client</v>
      </c>
    </row>
    <row r="339" spans="1:23" s="189" customFormat="1" ht="40.200000000000003" customHeight="1" x14ac:dyDescent="0.3">
      <c r="A339" s="678"/>
      <c r="B339" s="675"/>
      <c r="C339" s="667"/>
      <c r="D339" s="677"/>
      <c r="E339" s="677"/>
      <c r="F339" s="202"/>
      <c r="G339" s="669"/>
      <c r="H339" s="671"/>
      <c r="I339" s="673"/>
      <c r="J339" s="652"/>
      <c r="K339" s="667"/>
      <c r="L339" s="667"/>
      <c r="M339" s="652"/>
      <c r="N339" s="652"/>
      <c r="V339" s="189" t="str">
        <f t="array" ref="V339">IFERROR(IF(INDEX('Disaggregation Records'!$I$69:$I$152,MATCH(RIGHT(Q339,255),RIGHT('Disaggregation Records'!$D$69:$D$152,255),0))=0,"",INDEX('Disaggregation Records'!$I$69:$I$152,MATCH(RIGHT(Q339,255),RIGHT('Disaggregation Records'!$D$69:$D$152,255),0))),"")</f>
        <v/>
      </c>
    </row>
    <row r="340" spans="1:23" s="189" customFormat="1" ht="40.200000000000003" customHeight="1" x14ac:dyDescent="0.3">
      <c r="A340" s="678" t="str">
        <f t="shared" ref="A340" ca="1" si="1292">INDIRECT("'update Helper'!C"&amp;U340)</f>
        <v>a1V3p000004fwtiEAA</v>
      </c>
      <c r="B340" s="674">
        <v>2</v>
      </c>
      <c r="C340" s="666" t="str">
        <f>IFERROR(VLOOKUP(B340,'Outcome Indicators - Section C '!$A$9:$AF$70,32,FALSE),"")</f>
        <v>HIV O-5⁽ᴹ⁾ Pourcentage de professionnels du sexe qui indiquent avoir utilisé un préservatif avec leur dernier client</v>
      </c>
      <c r="D340" s="676" t="str">
        <f t="shared" ref="D340" si="1293">R340</f>
        <v>Sexe</v>
      </c>
      <c r="E340" s="676" t="str">
        <f t="shared" ref="E340" si="1294">S340</f>
        <v>Homme</v>
      </c>
      <c r="F340" s="194"/>
      <c r="G340" s="668" t="str">
        <f t="shared" ref="G340" ca="1" si="1295">IF(OR(INDIRECT("'update Helper'!E"&amp;U340)=0,F340&lt;&gt;0,F341&lt;&gt;0),IF(IFERROR((F340/F341),"")="","",(F340/F341)),INDIRECT("'update Helper'!E"&amp;U340)/100)</f>
        <v/>
      </c>
      <c r="H340" s="670"/>
      <c r="I340" s="672"/>
      <c r="J340" s="651"/>
      <c r="K340" s="666" t="str">
        <f t="shared" ref="K340" si="1296">W340</f>
        <v>HIV O-5⁽ᴹ⁾ Percentage of sex workers reporting the use of a condom with their most recent client</v>
      </c>
      <c r="L340" s="666" t="str">
        <f t="shared" ref="L340" si="1297">V340</f>
        <v>Gender</v>
      </c>
      <c r="M340" s="651"/>
      <c r="N340" s="651"/>
      <c r="P340" s="189">
        <f t="shared" ref="P340" si="1298">IF(AND(EXACT(C340,C338),C338&lt;&gt;0),P338+1,0)</f>
        <v>2</v>
      </c>
      <c r="Q340" s="189" t="str">
        <f t="shared" ref="Q340" si="1299">IF(C340&lt;&gt;"",C340&amp;"-"&amp;P340,"")</f>
        <v>HIV O-5⁽ᴹ⁾ Pourcentage de professionnels du sexe qui indiquent avoir utilisé un préservatif avec leur dernier client-2</v>
      </c>
      <c r="R340" s="189" t="str">
        <f t="array" ref="R340">IFERROR(IF(INDEX('Disaggregation Records'!$E$69:$E$152,MATCH(RIGHT(Q340,255),RIGHT('Disaggregation Records'!$D$69:$D$152,255),0))=0,"",INDEX('Disaggregation Records'!$E$69:$E$152,MATCH(RIGHT(Q340,255),RIGHT('Disaggregation Records'!$D$69:$D$152,255),0))),"")</f>
        <v>Sexe</v>
      </c>
      <c r="S340" s="189" t="str">
        <f t="array" ref="S340">IFERROR(IF(INDEX('Disaggregation Records'!$F$69:$F$152,MATCH(RIGHT(Q340,255),RIGHT('Disaggregation Records'!$D$69:$D$152,255),0))=0,"",INDEX('Disaggregation Records'!$F$69:$F$152,MATCH(RIGHT(Q340,255),RIGHT('Disaggregation Records'!$D$69:$D$152,255),0))),"")</f>
        <v>Homme</v>
      </c>
      <c r="T340" s="189" t="str">
        <f t="array" ref="T340">IFERROR(IF(INDEX('Disaggregation Records'!$H$69:$H$152,MATCH(RIGHT(Q340,255),RIGHT('Disaggregation Records'!$D$69:$D$152,255),0))=0,"",INDEX('Disaggregation Records'!$H$69:$H$152,MATCH(RIGHT(Q340,255),RIGHT('Disaggregation Records'!$D$69:$D$152,255),0))),"")</f>
        <v>IDR-00784</v>
      </c>
      <c r="U340" s="189">
        <f t="shared" ref="U340" si="1300">U338+1</f>
        <v>891</v>
      </c>
      <c r="V340" s="189" t="str">
        <f t="array" ref="V340">IFERROR(IF(INDEX('Disaggregation Records'!$I$69:$I$152,MATCH(RIGHT(Q340,255),RIGHT('Disaggregation Records'!$D$69:$D$152,255),0))=0,"",INDEX('Disaggregation Records'!$I$69:$I$152,MATCH(RIGHT(Q340,255),RIGHT('Disaggregation Records'!$D$69:$D$152,255),0))),"")</f>
        <v>Gender</v>
      </c>
      <c r="W340" s="189" t="str">
        <f>IFERROR(INDEX('Reference Records'!P$19:P$56,MATCH(LEFT(C340,255),'Reference Records'!J$19:J$56,0)),"")</f>
        <v>HIV O-5⁽ᴹ⁾ Percentage of sex workers reporting the use of a condom with their most recent client</v>
      </c>
    </row>
    <row r="341" spans="1:23" s="189" customFormat="1" ht="40.200000000000003" customHeight="1" x14ac:dyDescent="0.3">
      <c r="A341" s="678"/>
      <c r="B341" s="675"/>
      <c r="C341" s="667"/>
      <c r="D341" s="677"/>
      <c r="E341" s="677"/>
      <c r="F341" s="202"/>
      <c r="G341" s="669"/>
      <c r="H341" s="671"/>
      <c r="I341" s="673"/>
      <c r="J341" s="652"/>
      <c r="K341" s="667"/>
      <c r="L341" s="667"/>
      <c r="M341" s="652"/>
      <c r="N341" s="652"/>
      <c r="V341" s="189" t="str">
        <f t="array" ref="V341">IFERROR(IF(INDEX('Disaggregation Records'!$I$69:$I$152,MATCH(RIGHT(Q341,255),RIGHT('Disaggregation Records'!$D$69:$D$152,255),0))=0,"",INDEX('Disaggregation Records'!$I$69:$I$152,MATCH(RIGHT(Q341,255),RIGHT('Disaggregation Records'!$D$69:$D$152,255),0))),"")</f>
        <v/>
      </c>
    </row>
    <row r="342" spans="1:23" s="189" customFormat="1" ht="40.200000000000003" customHeight="1" x14ac:dyDescent="0.3">
      <c r="A342" s="678" t="str">
        <f t="shared" ref="A342" ca="1" si="1301">INDIRECT("'update Helper'!C"&amp;U342)</f>
        <v>a1V3p000004fwtjEAA</v>
      </c>
      <c r="B342" s="674">
        <v>2</v>
      </c>
      <c r="C342" s="666" t="str">
        <f>IFERROR(VLOOKUP(B342,'Outcome Indicators - Section C '!$A$9:$AF$70,32,FALSE),"")</f>
        <v>HIV O-5⁽ᴹ⁾ Pourcentage de professionnels du sexe qui indiquent avoir utilisé un préservatif avec leur dernier client</v>
      </c>
      <c r="D342" s="676" t="str">
        <f t="shared" ref="D342" si="1302">R342</f>
        <v>Age</v>
      </c>
      <c r="E342" s="676" t="str">
        <f t="shared" ref="E342" si="1303">S342</f>
        <v>25+</v>
      </c>
      <c r="F342" s="194"/>
      <c r="G342" s="668" t="str">
        <f t="shared" ref="G342" ca="1" si="1304">IF(OR(INDIRECT("'update Helper'!E"&amp;U342)=0,F342&lt;&gt;0,F343&lt;&gt;0),IF(IFERROR((F342/F343),"")="","",(F342/F343)),INDIRECT("'update Helper'!E"&amp;U342)/100)</f>
        <v/>
      </c>
      <c r="H342" s="670"/>
      <c r="I342" s="672"/>
      <c r="J342" s="651"/>
      <c r="K342" s="666" t="str">
        <f t="shared" ref="K342" si="1305">W342</f>
        <v>HIV O-5⁽ᴹ⁾ Percentage of sex workers reporting the use of a condom with their most recent client</v>
      </c>
      <c r="L342" s="666" t="str">
        <f t="shared" ref="L342" si="1306">V342</f>
        <v>Age</v>
      </c>
      <c r="M342" s="651"/>
      <c r="N342" s="651"/>
      <c r="P342" s="189">
        <f t="shared" ref="P342" si="1307">IF(AND(EXACT(C342,C340),C340&lt;&gt;0),P340+1,0)</f>
        <v>3</v>
      </c>
      <c r="Q342" s="189" t="str">
        <f t="shared" ref="Q342" si="1308">IF(C342&lt;&gt;"",C342&amp;"-"&amp;P342,"")</f>
        <v>HIV O-5⁽ᴹ⁾ Pourcentage de professionnels du sexe qui indiquent avoir utilisé un préservatif avec leur dernier client-3</v>
      </c>
      <c r="R342" s="189" t="str">
        <f t="array" ref="R342">IFERROR(IF(INDEX('Disaggregation Records'!$E$69:$E$152,MATCH(RIGHT(Q342,255),RIGHT('Disaggregation Records'!$D$69:$D$152,255),0))=0,"",INDEX('Disaggregation Records'!$E$69:$E$152,MATCH(RIGHT(Q342,255),RIGHT('Disaggregation Records'!$D$69:$D$152,255),0))),"")</f>
        <v>Age</v>
      </c>
      <c r="S342" s="189" t="str">
        <f t="array" ref="S342">IFERROR(IF(INDEX('Disaggregation Records'!$F$69:$F$152,MATCH(RIGHT(Q342,255),RIGHT('Disaggregation Records'!$D$69:$D$152,255),0))=0,"",INDEX('Disaggregation Records'!$F$69:$F$152,MATCH(RIGHT(Q342,255),RIGHT('Disaggregation Records'!$D$69:$D$152,255),0))),"")</f>
        <v>25+</v>
      </c>
      <c r="T342" s="189" t="str">
        <f t="array" ref="T342">IFERROR(IF(INDEX('Disaggregation Records'!$H$69:$H$152,MATCH(RIGHT(Q342,255),RIGHT('Disaggregation Records'!$D$69:$D$152,255),0))=0,"",INDEX('Disaggregation Records'!$H$69:$H$152,MATCH(RIGHT(Q342,255),RIGHT('Disaggregation Records'!$D$69:$D$152,255),0))),"")</f>
        <v>IDR-00675</v>
      </c>
      <c r="U342" s="189">
        <f t="shared" ref="U342" si="1309">U340+1</f>
        <v>892</v>
      </c>
      <c r="V342" s="189" t="str">
        <f t="array" ref="V342">IFERROR(IF(INDEX('Disaggregation Records'!$I$69:$I$152,MATCH(RIGHT(Q342,255),RIGHT('Disaggregation Records'!$D$69:$D$152,255),0))=0,"",INDEX('Disaggregation Records'!$I$69:$I$152,MATCH(RIGHT(Q342,255),RIGHT('Disaggregation Records'!$D$69:$D$152,255),0))),"")</f>
        <v>Age</v>
      </c>
      <c r="W342" s="189" t="str">
        <f>IFERROR(INDEX('Reference Records'!P$19:P$56,MATCH(LEFT(C342,255),'Reference Records'!J$19:J$56,0)),"")</f>
        <v>HIV O-5⁽ᴹ⁾ Percentage of sex workers reporting the use of a condom with their most recent client</v>
      </c>
    </row>
    <row r="343" spans="1:23" s="189" customFormat="1" ht="40.200000000000003" customHeight="1" x14ac:dyDescent="0.3">
      <c r="A343" s="678"/>
      <c r="B343" s="675"/>
      <c r="C343" s="667"/>
      <c r="D343" s="677"/>
      <c r="E343" s="677"/>
      <c r="F343" s="202"/>
      <c r="G343" s="669"/>
      <c r="H343" s="671"/>
      <c r="I343" s="673"/>
      <c r="J343" s="652"/>
      <c r="K343" s="667"/>
      <c r="L343" s="667"/>
      <c r="M343" s="652"/>
      <c r="N343" s="652"/>
      <c r="V343" s="189" t="str">
        <f t="array" ref="V343">IFERROR(IF(INDEX('Disaggregation Records'!$I$69:$I$152,MATCH(RIGHT(Q343,255),RIGHT('Disaggregation Records'!$D$69:$D$152,255),0))=0,"",INDEX('Disaggregation Records'!$I$69:$I$152,MATCH(RIGHT(Q343,255),RIGHT('Disaggregation Records'!$D$69:$D$152,255),0))),"")</f>
        <v/>
      </c>
    </row>
    <row r="344" spans="1:23" s="189" customFormat="1" ht="40.200000000000003" customHeight="1" x14ac:dyDescent="0.3">
      <c r="A344" s="678" t="str">
        <f t="shared" ref="A344" ca="1" si="1310">INDIRECT("'update Helper'!C"&amp;U344)</f>
        <v>a1V3p000004fwtkEAA</v>
      </c>
      <c r="B344" s="674">
        <v>2</v>
      </c>
      <c r="C344" s="666" t="str">
        <f>IFERROR(VLOOKUP(B344,'Outcome Indicators - Section C '!$A$9:$AF$70,32,FALSE),"")</f>
        <v>HIV O-5⁽ᴹ⁾ Pourcentage de professionnels du sexe qui indiquent avoir utilisé un préservatif avec leur dernier client</v>
      </c>
      <c r="D344" s="676" t="str">
        <f t="shared" ref="D344" si="1311">R344</f>
        <v>Age</v>
      </c>
      <c r="E344" s="676" t="str">
        <f t="shared" ref="E344" si="1312">S344</f>
        <v>&lt;25</v>
      </c>
      <c r="F344" s="194"/>
      <c r="G344" s="668" t="str">
        <f t="shared" ref="G344" ca="1" si="1313">IF(OR(INDIRECT("'update Helper'!E"&amp;U344)=0,F344&lt;&gt;0,F345&lt;&gt;0),IF(IFERROR((F344/F345),"")="","",(F344/F345)),INDIRECT("'update Helper'!E"&amp;U344)/100)</f>
        <v/>
      </c>
      <c r="H344" s="670"/>
      <c r="I344" s="672"/>
      <c r="J344" s="651"/>
      <c r="K344" s="666" t="str">
        <f t="shared" ref="K344" si="1314">W344</f>
        <v>HIV O-5⁽ᴹ⁾ Percentage of sex workers reporting the use of a condom with their most recent client</v>
      </c>
      <c r="L344" s="666" t="str">
        <f t="shared" ref="L344" si="1315">V344</f>
        <v>Age</v>
      </c>
      <c r="M344" s="651"/>
      <c r="N344" s="651"/>
      <c r="P344" s="189">
        <f t="shared" ref="P344" si="1316">IF(AND(EXACT(C344,C342),C342&lt;&gt;0),P342+1,0)</f>
        <v>4</v>
      </c>
      <c r="Q344" s="189" t="str">
        <f t="shared" ref="Q344" si="1317">IF(C344&lt;&gt;"",C344&amp;"-"&amp;P344,"")</f>
        <v>HIV O-5⁽ᴹ⁾ Pourcentage de professionnels du sexe qui indiquent avoir utilisé un préservatif avec leur dernier client-4</v>
      </c>
      <c r="R344" s="189" t="str">
        <f t="array" ref="R344">IFERROR(IF(INDEX('Disaggregation Records'!$E$69:$E$152,MATCH(RIGHT(Q344,255),RIGHT('Disaggregation Records'!$D$69:$D$152,255),0))=0,"",INDEX('Disaggregation Records'!$E$69:$E$152,MATCH(RIGHT(Q344,255),RIGHT('Disaggregation Records'!$D$69:$D$152,255),0))),"")</f>
        <v>Age</v>
      </c>
      <c r="S344" s="189" t="str">
        <f t="array" ref="S344">IFERROR(IF(INDEX('Disaggregation Records'!$F$69:$F$152,MATCH(RIGHT(Q344,255),RIGHT('Disaggregation Records'!$D$69:$D$152,255),0))=0,"",INDEX('Disaggregation Records'!$F$69:$F$152,MATCH(RIGHT(Q344,255),RIGHT('Disaggregation Records'!$D$69:$D$152,255),0))),"")</f>
        <v>&lt;25</v>
      </c>
      <c r="T344" s="189" t="str">
        <f t="array" ref="T344">IFERROR(IF(INDEX('Disaggregation Records'!$H$69:$H$152,MATCH(RIGHT(Q344,255),RIGHT('Disaggregation Records'!$D$69:$D$152,255),0))=0,"",INDEX('Disaggregation Records'!$H$69:$H$152,MATCH(RIGHT(Q344,255),RIGHT('Disaggregation Records'!$D$69:$D$152,255),0))),"")</f>
        <v>IDR-00674</v>
      </c>
      <c r="U344" s="189">
        <f t="shared" ref="U344" si="1318">U342+1</f>
        <v>893</v>
      </c>
      <c r="V344" s="189" t="str">
        <f t="array" ref="V344">IFERROR(IF(INDEX('Disaggregation Records'!$I$69:$I$152,MATCH(RIGHT(Q344,255),RIGHT('Disaggregation Records'!$D$69:$D$152,255),0))=0,"",INDEX('Disaggregation Records'!$I$69:$I$152,MATCH(RIGHT(Q344,255),RIGHT('Disaggregation Records'!$D$69:$D$152,255),0))),"")</f>
        <v>Age</v>
      </c>
      <c r="W344" s="189" t="str">
        <f>IFERROR(INDEX('Reference Records'!P$19:P$56,MATCH(LEFT(C344,255),'Reference Records'!J$19:J$56,0)),"")</f>
        <v>HIV O-5⁽ᴹ⁾ Percentage of sex workers reporting the use of a condom with their most recent client</v>
      </c>
    </row>
    <row r="345" spans="1:23" s="189" customFormat="1" ht="40.200000000000003" customHeight="1" x14ac:dyDescent="0.3">
      <c r="A345" s="678"/>
      <c r="B345" s="675"/>
      <c r="C345" s="667"/>
      <c r="D345" s="677"/>
      <c r="E345" s="677"/>
      <c r="F345" s="202"/>
      <c r="G345" s="669"/>
      <c r="H345" s="671"/>
      <c r="I345" s="673"/>
      <c r="J345" s="652"/>
      <c r="K345" s="667"/>
      <c r="L345" s="667"/>
      <c r="M345" s="652"/>
      <c r="N345" s="652"/>
      <c r="V345" s="189" t="str">
        <f t="array" ref="V345">IFERROR(IF(INDEX('Disaggregation Records'!$I$69:$I$152,MATCH(RIGHT(Q345,255),RIGHT('Disaggregation Records'!$D$69:$D$152,255),0))=0,"",INDEX('Disaggregation Records'!$I$69:$I$152,MATCH(RIGHT(Q345,255),RIGHT('Disaggregation Records'!$D$69:$D$152,255),0))),"")</f>
        <v/>
      </c>
    </row>
    <row r="346" spans="1:23" s="189" customFormat="1" ht="40.200000000000003" customHeight="1" x14ac:dyDescent="0.3">
      <c r="A346" s="678" t="str">
        <f t="shared" ref="A346" ca="1" si="1319">INDIRECT("'update Helper'!C"&amp;U346)</f>
        <v>a1V3p000004fwtlEAA</v>
      </c>
      <c r="B346" s="674">
        <v>2</v>
      </c>
      <c r="C346" s="666" t="str">
        <f>IFERROR(VLOOKUP(B346,'Outcome Indicators - Section C '!$A$9:$AF$70,32,FALSE),"")</f>
        <v>HIV O-5⁽ᴹ⁾ Pourcentage de professionnels du sexe qui indiquent avoir utilisé un préservatif avec leur dernier client</v>
      </c>
      <c r="D346" s="676" t="str">
        <f t="shared" ref="D346" si="1320">R346</f>
        <v/>
      </c>
      <c r="E346" s="676" t="str">
        <f t="shared" ref="E346" si="1321">S346</f>
        <v/>
      </c>
      <c r="F346" s="194"/>
      <c r="G346" s="668" t="str">
        <f t="shared" ref="G346" ca="1" si="1322">IF(OR(INDIRECT("'update Helper'!E"&amp;U346)=0,F346&lt;&gt;0,F347&lt;&gt;0),IF(IFERROR((F346/F347),"")="","",(F346/F347)),INDIRECT("'update Helper'!E"&amp;U346)/100)</f>
        <v/>
      </c>
      <c r="H346" s="670"/>
      <c r="I346" s="672"/>
      <c r="J346" s="651"/>
      <c r="K346" s="666" t="str">
        <f t="shared" ref="K346" si="1323">W346</f>
        <v>HIV O-5⁽ᴹ⁾ Percentage of sex workers reporting the use of a condom with their most recent client</v>
      </c>
      <c r="L346" s="666" t="str">
        <f t="shared" ref="L346" si="1324">V346</f>
        <v/>
      </c>
      <c r="M346" s="651"/>
      <c r="N346" s="651"/>
      <c r="P346" s="189">
        <f t="shared" ref="P346" si="1325">IF(AND(EXACT(C346,C344),C344&lt;&gt;0),P344+1,0)</f>
        <v>5</v>
      </c>
      <c r="Q346" s="189" t="str">
        <f t="shared" ref="Q346" si="1326">IF(C346&lt;&gt;"",C346&amp;"-"&amp;P346,"")</f>
        <v>HIV O-5⁽ᴹ⁾ Pourcentage de professionnels du sexe qui indiquent avoir utilisé un préservatif avec leur dernier client-5</v>
      </c>
      <c r="R346" s="189" t="str">
        <f t="array" ref="R346">IFERROR(IF(INDEX('Disaggregation Records'!$E$69:$E$152,MATCH(RIGHT(Q346,255),RIGHT('Disaggregation Records'!$D$69:$D$152,255),0))=0,"",INDEX('Disaggregation Records'!$E$69:$E$152,MATCH(RIGHT(Q346,255),RIGHT('Disaggregation Records'!$D$69:$D$152,255),0))),"")</f>
        <v/>
      </c>
      <c r="S346" s="189" t="str">
        <f t="array" ref="S346">IFERROR(IF(INDEX('Disaggregation Records'!$F$69:$F$152,MATCH(RIGHT(Q346,255),RIGHT('Disaggregation Records'!$D$69:$D$152,255),0))=0,"",INDEX('Disaggregation Records'!$F$69:$F$152,MATCH(RIGHT(Q346,255),RIGHT('Disaggregation Records'!$D$69:$D$152,255),0))),"")</f>
        <v/>
      </c>
      <c r="T346" s="189" t="str">
        <f t="array" ref="T346">IFERROR(IF(INDEX('Disaggregation Records'!$H$69:$H$152,MATCH(RIGHT(Q346,255),RIGHT('Disaggregation Records'!$D$69:$D$152,255),0))=0,"",INDEX('Disaggregation Records'!$H$69:$H$152,MATCH(RIGHT(Q346,255),RIGHT('Disaggregation Records'!$D$69:$D$152,255),0))),"")</f>
        <v/>
      </c>
      <c r="U346" s="189">
        <f t="shared" ref="U346" si="1327">U344+1</f>
        <v>894</v>
      </c>
      <c r="V346" s="189" t="str">
        <f t="array" ref="V346">IFERROR(IF(INDEX('Disaggregation Records'!$I$69:$I$152,MATCH(RIGHT(Q346,255),RIGHT('Disaggregation Records'!$D$69:$D$152,255),0))=0,"",INDEX('Disaggregation Records'!$I$69:$I$152,MATCH(RIGHT(Q346,255),RIGHT('Disaggregation Records'!$D$69:$D$152,255),0))),"")</f>
        <v/>
      </c>
      <c r="W346" s="189" t="str">
        <f>IFERROR(INDEX('Reference Records'!P$19:P$56,MATCH(LEFT(C346,255),'Reference Records'!J$19:J$56,0)),"")</f>
        <v>HIV O-5⁽ᴹ⁾ Percentage of sex workers reporting the use of a condom with their most recent client</v>
      </c>
    </row>
    <row r="347" spans="1:23" s="189" customFormat="1" ht="40.200000000000003" customHeight="1" x14ac:dyDescent="0.3">
      <c r="A347" s="678"/>
      <c r="B347" s="675"/>
      <c r="C347" s="667"/>
      <c r="D347" s="677"/>
      <c r="E347" s="677"/>
      <c r="F347" s="202"/>
      <c r="G347" s="669"/>
      <c r="H347" s="671"/>
      <c r="I347" s="673"/>
      <c r="J347" s="652"/>
      <c r="K347" s="667"/>
      <c r="L347" s="667"/>
      <c r="M347" s="652"/>
      <c r="N347" s="652"/>
      <c r="V347" s="189" t="str">
        <f t="array" ref="V347">IFERROR(IF(INDEX('Disaggregation Records'!$I$69:$I$152,MATCH(RIGHT(Q347,255),RIGHT('Disaggregation Records'!$D$69:$D$152,255),0))=0,"",INDEX('Disaggregation Records'!$I$69:$I$152,MATCH(RIGHT(Q347,255),RIGHT('Disaggregation Records'!$D$69:$D$152,255),0))),"")</f>
        <v/>
      </c>
    </row>
    <row r="348" spans="1:23" s="189" customFormat="1" ht="40.200000000000003" customHeight="1" x14ac:dyDescent="0.3">
      <c r="A348" s="678" t="str">
        <f t="shared" ref="A348" ca="1" si="1328">INDIRECT("'update Helper'!C"&amp;U348)</f>
        <v>a1V3p000004fwtmEAA</v>
      </c>
      <c r="B348" s="674">
        <v>2</v>
      </c>
      <c r="C348" s="666" t="str">
        <f>IFERROR(VLOOKUP(B348,'Outcome Indicators - Section C '!$A$9:$AF$70,32,FALSE),"")</f>
        <v>HIV O-5⁽ᴹ⁾ Pourcentage de professionnels du sexe qui indiquent avoir utilisé un préservatif avec leur dernier client</v>
      </c>
      <c r="D348" s="676" t="str">
        <f t="shared" ref="D348" si="1329">R348</f>
        <v/>
      </c>
      <c r="E348" s="676" t="str">
        <f t="shared" ref="E348" si="1330">S348</f>
        <v/>
      </c>
      <c r="F348" s="194"/>
      <c r="G348" s="668" t="str">
        <f t="shared" ref="G348" ca="1" si="1331">IF(OR(INDIRECT("'update Helper'!E"&amp;U348)=0,F348&lt;&gt;0,F349&lt;&gt;0),IF(IFERROR((F348/F349),"")="","",(F348/F349)),INDIRECT("'update Helper'!E"&amp;U348)/100)</f>
        <v/>
      </c>
      <c r="H348" s="670"/>
      <c r="I348" s="672"/>
      <c r="J348" s="651"/>
      <c r="K348" s="666" t="str">
        <f t="shared" ref="K348" si="1332">W348</f>
        <v>HIV O-5⁽ᴹ⁾ Percentage of sex workers reporting the use of a condom with their most recent client</v>
      </c>
      <c r="L348" s="666" t="str">
        <f t="shared" ref="L348" si="1333">V348</f>
        <v/>
      </c>
      <c r="M348" s="651"/>
      <c r="N348" s="651"/>
      <c r="P348" s="189">
        <f t="shared" ref="P348" si="1334">IF(AND(EXACT(C348,C346),C346&lt;&gt;0),P346+1,0)</f>
        <v>6</v>
      </c>
      <c r="Q348" s="189" t="str">
        <f t="shared" ref="Q348" si="1335">IF(C348&lt;&gt;"",C348&amp;"-"&amp;P348,"")</f>
        <v>HIV O-5⁽ᴹ⁾ Pourcentage de professionnels du sexe qui indiquent avoir utilisé un préservatif avec leur dernier client-6</v>
      </c>
      <c r="R348" s="189" t="str">
        <f t="array" ref="R348">IFERROR(IF(INDEX('Disaggregation Records'!$E$69:$E$152,MATCH(RIGHT(Q348,255),RIGHT('Disaggregation Records'!$D$69:$D$152,255),0))=0,"",INDEX('Disaggregation Records'!$E$69:$E$152,MATCH(RIGHT(Q348,255),RIGHT('Disaggregation Records'!$D$69:$D$152,255),0))),"")</f>
        <v/>
      </c>
      <c r="S348" s="189" t="str">
        <f t="array" ref="S348">IFERROR(IF(INDEX('Disaggregation Records'!$F$69:$F$152,MATCH(RIGHT(Q348,255),RIGHT('Disaggregation Records'!$D$69:$D$152,255),0))=0,"",INDEX('Disaggregation Records'!$F$69:$F$152,MATCH(RIGHT(Q348,255),RIGHT('Disaggregation Records'!$D$69:$D$152,255),0))),"")</f>
        <v/>
      </c>
      <c r="T348" s="189" t="str">
        <f t="array" ref="T348">IFERROR(IF(INDEX('Disaggregation Records'!$H$69:$H$152,MATCH(RIGHT(Q348,255),RIGHT('Disaggregation Records'!$D$69:$D$152,255),0))=0,"",INDEX('Disaggregation Records'!$H$69:$H$152,MATCH(RIGHT(Q348,255),RIGHT('Disaggregation Records'!$D$69:$D$152,255),0))),"")</f>
        <v/>
      </c>
      <c r="U348" s="189">
        <f t="shared" ref="U348" si="1336">U346+1</f>
        <v>895</v>
      </c>
      <c r="V348" s="189" t="str">
        <f t="array" ref="V348">IFERROR(IF(INDEX('Disaggregation Records'!$I$69:$I$152,MATCH(RIGHT(Q348,255),RIGHT('Disaggregation Records'!$D$69:$D$152,255),0))=0,"",INDEX('Disaggregation Records'!$I$69:$I$152,MATCH(RIGHT(Q348,255),RIGHT('Disaggregation Records'!$D$69:$D$152,255),0))),"")</f>
        <v/>
      </c>
      <c r="W348" s="189" t="str">
        <f>IFERROR(INDEX('Reference Records'!P$19:P$56,MATCH(LEFT(C348,255),'Reference Records'!J$19:J$56,0)),"")</f>
        <v>HIV O-5⁽ᴹ⁾ Percentage of sex workers reporting the use of a condom with their most recent client</v>
      </c>
    </row>
    <row r="349" spans="1:23" s="189" customFormat="1" ht="40.200000000000003" customHeight="1" x14ac:dyDescent="0.3">
      <c r="A349" s="678"/>
      <c r="B349" s="675"/>
      <c r="C349" s="667"/>
      <c r="D349" s="677"/>
      <c r="E349" s="677"/>
      <c r="F349" s="202"/>
      <c r="G349" s="669"/>
      <c r="H349" s="671"/>
      <c r="I349" s="673"/>
      <c r="J349" s="652"/>
      <c r="K349" s="667"/>
      <c r="L349" s="667"/>
      <c r="M349" s="652"/>
      <c r="N349" s="652"/>
      <c r="V349" s="189" t="str">
        <f t="array" ref="V349">IFERROR(IF(INDEX('Disaggregation Records'!$I$69:$I$152,MATCH(RIGHT(Q349,255),RIGHT('Disaggregation Records'!$D$69:$D$152,255),0))=0,"",INDEX('Disaggregation Records'!$I$69:$I$152,MATCH(RIGHT(Q349,255),RIGHT('Disaggregation Records'!$D$69:$D$152,255),0))),"")</f>
        <v/>
      </c>
    </row>
    <row r="350" spans="1:23" s="189" customFormat="1" ht="40.200000000000003" customHeight="1" x14ac:dyDescent="0.3">
      <c r="A350" s="678" t="str">
        <f t="shared" ref="A350" ca="1" si="1337">INDIRECT("'update Helper'!C"&amp;U350)</f>
        <v>a1V3p000004fwtnEAA</v>
      </c>
      <c r="B350" s="674">
        <v>2</v>
      </c>
      <c r="C350" s="666" t="str">
        <f>IFERROR(VLOOKUP(B350,'Outcome Indicators - Section C '!$A$9:$AF$70,32,FALSE),"")</f>
        <v>HIV O-5⁽ᴹ⁾ Pourcentage de professionnels du sexe qui indiquent avoir utilisé un préservatif avec leur dernier client</v>
      </c>
      <c r="D350" s="676" t="str">
        <f t="shared" ref="D350" si="1338">R350</f>
        <v/>
      </c>
      <c r="E350" s="676" t="str">
        <f t="shared" ref="E350" si="1339">S350</f>
        <v/>
      </c>
      <c r="F350" s="194"/>
      <c r="G350" s="668" t="str">
        <f t="shared" ref="G350" ca="1" si="1340">IF(OR(INDIRECT("'update Helper'!E"&amp;U350)=0,F350&lt;&gt;0,F351&lt;&gt;0),IF(IFERROR((F350/F351),"")="","",(F350/F351)),INDIRECT("'update Helper'!E"&amp;U350)/100)</f>
        <v/>
      </c>
      <c r="H350" s="670"/>
      <c r="I350" s="672"/>
      <c r="J350" s="651"/>
      <c r="K350" s="666" t="str">
        <f t="shared" ref="K350" si="1341">W350</f>
        <v>HIV O-5⁽ᴹ⁾ Percentage of sex workers reporting the use of a condom with their most recent client</v>
      </c>
      <c r="L350" s="666" t="str">
        <f t="shared" ref="L350" si="1342">V350</f>
        <v/>
      </c>
      <c r="M350" s="651"/>
      <c r="N350" s="651"/>
      <c r="P350" s="189">
        <f t="shared" ref="P350" si="1343">IF(AND(EXACT(C350,C348),C348&lt;&gt;0),P348+1,0)</f>
        <v>7</v>
      </c>
      <c r="Q350" s="189" t="str">
        <f t="shared" ref="Q350" si="1344">IF(C350&lt;&gt;"",C350&amp;"-"&amp;P350,"")</f>
        <v>HIV O-5⁽ᴹ⁾ Pourcentage de professionnels du sexe qui indiquent avoir utilisé un préservatif avec leur dernier client-7</v>
      </c>
      <c r="R350" s="189" t="str">
        <f t="array" ref="R350">IFERROR(IF(INDEX('Disaggregation Records'!$E$69:$E$152,MATCH(RIGHT(Q350,255),RIGHT('Disaggregation Records'!$D$69:$D$152,255),0))=0,"",INDEX('Disaggregation Records'!$E$69:$E$152,MATCH(RIGHT(Q350,255),RIGHT('Disaggregation Records'!$D$69:$D$152,255),0))),"")</f>
        <v/>
      </c>
      <c r="S350" s="189" t="str">
        <f t="array" ref="S350">IFERROR(IF(INDEX('Disaggregation Records'!$F$69:$F$152,MATCH(RIGHT(Q350,255),RIGHT('Disaggregation Records'!$D$69:$D$152,255),0))=0,"",INDEX('Disaggregation Records'!$F$69:$F$152,MATCH(RIGHT(Q350,255),RIGHT('Disaggregation Records'!$D$69:$D$152,255),0))),"")</f>
        <v/>
      </c>
      <c r="T350" s="189" t="str">
        <f t="array" ref="T350">IFERROR(IF(INDEX('Disaggregation Records'!$H$69:$H$152,MATCH(RIGHT(Q350,255),RIGHT('Disaggregation Records'!$D$69:$D$152,255),0))=0,"",INDEX('Disaggregation Records'!$H$69:$H$152,MATCH(RIGHT(Q350,255),RIGHT('Disaggregation Records'!$D$69:$D$152,255),0))),"")</f>
        <v/>
      </c>
      <c r="U350" s="189">
        <f t="shared" ref="U350" si="1345">U348+1</f>
        <v>896</v>
      </c>
      <c r="V350" s="189" t="str">
        <f t="array" ref="V350">IFERROR(IF(INDEX('Disaggregation Records'!$I$69:$I$152,MATCH(RIGHT(Q350,255),RIGHT('Disaggregation Records'!$D$69:$D$152,255),0))=0,"",INDEX('Disaggregation Records'!$I$69:$I$152,MATCH(RIGHT(Q350,255),RIGHT('Disaggregation Records'!$D$69:$D$152,255),0))),"")</f>
        <v/>
      </c>
      <c r="W350" s="189" t="str">
        <f>IFERROR(INDEX('Reference Records'!P$19:P$56,MATCH(LEFT(C350,255),'Reference Records'!J$19:J$56,0)),"")</f>
        <v>HIV O-5⁽ᴹ⁾ Percentage of sex workers reporting the use of a condom with their most recent client</v>
      </c>
    </row>
    <row r="351" spans="1:23" s="189" customFormat="1" ht="40.200000000000003" customHeight="1" x14ac:dyDescent="0.3">
      <c r="A351" s="678"/>
      <c r="B351" s="675"/>
      <c r="C351" s="667"/>
      <c r="D351" s="677"/>
      <c r="E351" s="677"/>
      <c r="F351" s="202"/>
      <c r="G351" s="669"/>
      <c r="H351" s="671"/>
      <c r="I351" s="673"/>
      <c r="J351" s="652"/>
      <c r="K351" s="667"/>
      <c r="L351" s="667"/>
      <c r="M351" s="652"/>
      <c r="N351" s="652"/>
      <c r="V351" s="189" t="str">
        <f t="array" ref="V351">IFERROR(IF(INDEX('Disaggregation Records'!$I$69:$I$152,MATCH(RIGHT(Q351,255),RIGHT('Disaggregation Records'!$D$69:$D$152,255),0))=0,"",INDEX('Disaggregation Records'!$I$69:$I$152,MATCH(RIGHT(Q351,255),RIGHT('Disaggregation Records'!$D$69:$D$152,255),0))),"")</f>
        <v/>
      </c>
    </row>
    <row r="352" spans="1:23" s="189" customFormat="1" ht="40.200000000000003" customHeight="1" x14ac:dyDescent="0.3">
      <c r="A352" s="678" t="str">
        <f t="shared" ref="A352" ca="1" si="1346">INDIRECT("'update Helper'!C"&amp;U352)</f>
        <v>a1V3p000004fwtoEAA</v>
      </c>
      <c r="B352" s="674">
        <v>2</v>
      </c>
      <c r="C352" s="666" t="str">
        <f>IFERROR(VLOOKUP(B352,'Outcome Indicators - Section C '!$A$9:$AF$70,32,FALSE),"")</f>
        <v>HIV O-5⁽ᴹ⁾ Pourcentage de professionnels du sexe qui indiquent avoir utilisé un préservatif avec leur dernier client</v>
      </c>
      <c r="D352" s="676" t="str">
        <f t="shared" ref="D352" si="1347">R352</f>
        <v/>
      </c>
      <c r="E352" s="676" t="str">
        <f t="shared" ref="E352" si="1348">S352</f>
        <v/>
      </c>
      <c r="F352" s="194"/>
      <c r="G352" s="668" t="str">
        <f t="shared" ref="G352" ca="1" si="1349">IF(OR(INDIRECT("'update Helper'!E"&amp;U352)=0,F352&lt;&gt;0,F353&lt;&gt;0),IF(IFERROR((F352/F353),"")="","",(F352/F353)),INDIRECT("'update Helper'!E"&amp;U352)/100)</f>
        <v/>
      </c>
      <c r="H352" s="670"/>
      <c r="I352" s="672"/>
      <c r="J352" s="651"/>
      <c r="K352" s="666" t="str">
        <f t="shared" ref="K352" si="1350">W352</f>
        <v>HIV O-5⁽ᴹ⁾ Percentage of sex workers reporting the use of a condom with their most recent client</v>
      </c>
      <c r="L352" s="666" t="str">
        <f t="shared" ref="L352" si="1351">V352</f>
        <v/>
      </c>
      <c r="M352" s="651"/>
      <c r="N352" s="651"/>
      <c r="P352" s="189">
        <f t="shared" ref="P352" si="1352">IF(AND(EXACT(C352,C350),C350&lt;&gt;0),P350+1,0)</f>
        <v>8</v>
      </c>
      <c r="Q352" s="189" t="str">
        <f t="shared" ref="Q352" si="1353">IF(C352&lt;&gt;"",C352&amp;"-"&amp;P352,"")</f>
        <v>HIV O-5⁽ᴹ⁾ Pourcentage de professionnels du sexe qui indiquent avoir utilisé un préservatif avec leur dernier client-8</v>
      </c>
      <c r="R352" s="189" t="str">
        <f t="array" ref="R352">IFERROR(IF(INDEX('Disaggregation Records'!$E$69:$E$152,MATCH(RIGHT(Q352,255),RIGHT('Disaggregation Records'!$D$69:$D$152,255),0))=0,"",INDEX('Disaggregation Records'!$E$69:$E$152,MATCH(RIGHT(Q352,255),RIGHT('Disaggregation Records'!$D$69:$D$152,255),0))),"")</f>
        <v/>
      </c>
      <c r="S352" s="189" t="str">
        <f t="array" ref="S352">IFERROR(IF(INDEX('Disaggregation Records'!$F$69:$F$152,MATCH(RIGHT(Q352,255),RIGHT('Disaggregation Records'!$D$69:$D$152,255),0))=0,"",INDEX('Disaggregation Records'!$F$69:$F$152,MATCH(RIGHT(Q352,255),RIGHT('Disaggregation Records'!$D$69:$D$152,255),0))),"")</f>
        <v/>
      </c>
      <c r="T352" s="189" t="str">
        <f t="array" ref="T352">IFERROR(IF(INDEX('Disaggregation Records'!$H$69:$H$152,MATCH(RIGHT(Q352,255),RIGHT('Disaggregation Records'!$D$69:$D$152,255),0))=0,"",INDEX('Disaggregation Records'!$H$69:$H$152,MATCH(RIGHT(Q352,255),RIGHT('Disaggregation Records'!$D$69:$D$152,255),0))),"")</f>
        <v/>
      </c>
      <c r="U352" s="189">
        <f t="shared" ref="U352" si="1354">U350+1</f>
        <v>897</v>
      </c>
      <c r="V352" s="189" t="str">
        <f t="array" ref="V352">IFERROR(IF(INDEX('Disaggregation Records'!$I$69:$I$152,MATCH(RIGHT(Q352,255),RIGHT('Disaggregation Records'!$D$69:$D$152,255),0))=0,"",INDEX('Disaggregation Records'!$I$69:$I$152,MATCH(RIGHT(Q352,255),RIGHT('Disaggregation Records'!$D$69:$D$152,255),0))),"")</f>
        <v/>
      </c>
      <c r="W352" s="189" t="str">
        <f>IFERROR(INDEX('Reference Records'!P$19:P$56,MATCH(LEFT(C352,255),'Reference Records'!J$19:J$56,0)),"")</f>
        <v>HIV O-5⁽ᴹ⁾ Percentage of sex workers reporting the use of a condom with their most recent client</v>
      </c>
    </row>
    <row r="353" spans="1:23" s="189" customFormat="1" ht="40.200000000000003" customHeight="1" x14ac:dyDescent="0.3">
      <c r="A353" s="678"/>
      <c r="B353" s="675"/>
      <c r="C353" s="667"/>
      <c r="D353" s="677"/>
      <c r="E353" s="677"/>
      <c r="F353" s="202"/>
      <c r="G353" s="669"/>
      <c r="H353" s="671"/>
      <c r="I353" s="673"/>
      <c r="J353" s="652"/>
      <c r="K353" s="667"/>
      <c r="L353" s="667"/>
      <c r="M353" s="652"/>
      <c r="N353" s="652"/>
      <c r="V353" s="189" t="str">
        <f t="array" ref="V353">IFERROR(IF(INDEX('Disaggregation Records'!$I$69:$I$152,MATCH(RIGHT(Q353,255),RIGHT('Disaggregation Records'!$D$69:$D$152,255),0))=0,"",INDEX('Disaggregation Records'!$I$69:$I$152,MATCH(RIGHT(Q353,255),RIGHT('Disaggregation Records'!$D$69:$D$152,255),0))),"")</f>
        <v/>
      </c>
    </row>
    <row r="354" spans="1:23" s="189" customFormat="1" ht="40.200000000000003" customHeight="1" x14ac:dyDescent="0.3">
      <c r="A354" s="678" t="str">
        <f t="shared" ref="A354" ca="1" si="1355">INDIRECT("'update Helper'!C"&amp;U354)</f>
        <v>a1V3p000004fwtpEAA</v>
      </c>
      <c r="B354" s="674">
        <v>2</v>
      </c>
      <c r="C354" s="666" t="str">
        <f>IFERROR(VLOOKUP(B354,'Outcome Indicators - Section C '!$A$9:$AF$70,32,FALSE),"")</f>
        <v>HIV O-5⁽ᴹ⁾ Pourcentage de professionnels du sexe qui indiquent avoir utilisé un préservatif avec leur dernier client</v>
      </c>
      <c r="D354" s="676" t="str">
        <f t="shared" ref="D354" si="1356">R354</f>
        <v/>
      </c>
      <c r="E354" s="676" t="str">
        <f t="shared" ref="E354" si="1357">S354</f>
        <v/>
      </c>
      <c r="F354" s="194"/>
      <c r="G354" s="668" t="str">
        <f t="shared" ref="G354" ca="1" si="1358">IF(OR(INDIRECT("'update Helper'!E"&amp;U354)=0,F354&lt;&gt;0,F355&lt;&gt;0),IF(IFERROR((F354/F355),"")="","",(F354/F355)),INDIRECT("'update Helper'!E"&amp;U354)/100)</f>
        <v/>
      </c>
      <c r="H354" s="670"/>
      <c r="I354" s="672"/>
      <c r="J354" s="651"/>
      <c r="K354" s="666" t="str">
        <f t="shared" ref="K354" si="1359">W354</f>
        <v>HIV O-5⁽ᴹ⁾ Percentage of sex workers reporting the use of a condom with their most recent client</v>
      </c>
      <c r="L354" s="666" t="str">
        <f t="shared" ref="L354" si="1360">V354</f>
        <v/>
      </c>
      <c r="M354" s="651"/>
      <c r="N354" s="651"/>
      <c r="P354" s="189">
        <f t="shared" ref="P354" si="1361">IF(AND(EXACT(C354,C352),C352&lt;&gt;0),P352+1,0)</f>
        <v>9</v>
      </c>
      <c r="Q354" s="189" t="str">
        <f t="shared" ref="Q354" si="1362">IF(C354&lt;&gt;"",C354&amp;"-"&amp;P354,"")</f>
        <v>HIV O-5⁽ᴹ⁾ Pourcentage de professionnels du sexe qui indiquent avoir utilisé un préservatif avec leur dernier client-9</v>
      </c>
      <c r="R354" s="189" t="str">
        <f t="array" ref="R354">IFERROR(IF(INDEX('Disaggregation Records'!$E$69:$E$152,MATCH(RIGHT(Q354,255),RIGHT('Disaggregation Records'!$D$69:$D$152,255),0))=0,"",INDEX('Disaggregation Records'!$E$69:$E$152,MATCH(RIGHT(Q354,255),RIGHT('Disaggregation Records'!$D$69:$D$152,255),0))),"")</f>
        <v/>
      </c>
      <c r="S354" s="189" t="str">
        <f t="array" ref="S354">IFERROR(IF(INDEX('Disaggregation Records'!$F$69:$F$152,MATCH(RIGHT(Q354,255),RIGHT('Disaggregation Records'!$D$69:$D$152,255),0))=0,"",INDEX('Disaggregation Records'!$F$69:$F$152,MATCH(RIGHT(Q354,255),RIGHT('Disaggregation Records'!$D$69:$D$152,255),0))),"")</f>
        <v/>
      </c>
      <c r="T354" s="189" t="str">
        <f t="array" ref="T354">IFERROR(IF(INDEX('Disaggregation Records'!$H$69:$H$152,MATCH(RIGHT(Q354,255),RIGHT('Disaggregation Records'!$D$69:$D$152,255),0))=0,"",INDEX('Disaggregation Records'!$H$69:$H$152,MATCH(RIGHT(Q354,255),RIGHT('Disaggregation Records'!$D$69:$D$152,255),0))),"")</f>
        <v/>
      </c>
      <c r="U354" s="189">
        <f t="shared" ref="U354" si="1363">U352+1</f>
        <v>898</v>
      </c>
      <c r="V354" s="189" t="str">
        <f t="array" ref="V354">IFERROR(IF(INDEX('Disaggregation Records'!$I$69:$I$152,MATCH(RIGHT(Q354,255),RIGHT('Disaggregation Records'!$D$69:$D$152,255),0))=0,"",INDEX('Disaggregation Records'!$I$69:$I$152,MATCH(RIGHT(Q354,255),RIGHT('Disaggregation Records'!$D$69:$D$152,255),0))),"")</f>
        <v/>
      </c>
      <c r="W354" s="189" t="str">
        <f>IFERROR(INDEX('Reference Records'!P$19:P$56,MATCH(LEFT(C354,255),'Reference Records'!J$19:J$56,0)),"")</f>
        <v>HIV O-5⁽ᴹ⁾ Percentage of sex workers reporting the use of a condom with their most recent client</v>
      </c>
    </row>
    <row r="355" spans="1:23" s="189" customFormat="1" ht="40.200000000000003" customHeight="1" x14ac:dyDescent="0.3">
      <c r="A355" s="678"/>
      <c r="B355" s="675"/>
      <c r="C355" s="667"/>
      <c r="D355" s="677"/>
      <c r="E355" s="677"/>
      <c r="F355" s="202"/>
      <c r="G355" s="669"/>
      <c r="H355" s="671"/>
      <c r="I355" s="673"/>
      <c r="J355" s="652"/>
      <c r="K355" s="667"/>
      <c r="L355" s="667"/>
      <c r="M355" s="652"/>
      <c r="N355" s="652"/>
      <c r="V355" s="189" t="str">
        <f t="array" ref="V355">IFERROR(IF(INDEX('Disaggregation Records'!$I$69:$I$152,MATCH(RIGHT(Q355,255),RIGHT('Disaggregation Records'!$D$69:$D$152,255),0))=0,"",INDEX('Disaggregation Records'!$I$69:$I$152,MATCH(RIGHT(Q355,255),RIGHT('Disaggregation Records'!$D$69:$D$152,255),0))),"")</f>
        <v/>
      </c>
    </row>
    <row r="356" spans="1:23" s="189" customFormat="1" ht="40.200000000000003" customHeight="1" x14ac:dyDescent="0.3">
      <c r="A356" s="678" t="str">
        <f t="shared" ref="A356" ca="1" si="1364">INDIRECT("'update Helper'!C"&amp;U356)</f>
        <v>a1V3p000004fwtqEAA</v>
      </c>
      <c r="B356" s="674">
        <v>3</v>
      </c>
      <c r="C356" s="666" t="str">
        <f>IFERROR(VLOOKUP(B356,'Outcome Indicators - Section C '!$A$9:$AF$70,32,FALSE),"")</f>
        <v>HIV O-12 Pourcentage de personnes vivant avec le VIH sous traitement antirétroviral qui ont une charge virale indétectable</v>
      </c>
      <c r="D356" s="676" t="str">
        <f t="shared" ref="D356" si="1365">R356</f>
        <v>Sexe</v>
      </c>
      <c r="E356" s="676" t="str">
        <f t="shared" ref="E356" si="1366">S356</f>
        <v>Transgenre</v>
      </c>
      <c r="F356" s="194"/>
      <c r="G356" s="668" t="str">
        <f t="shared" ref="G356" ca="1" si="1367">IF(OR(INDIRECT("'update Helper'!E"&amp;U356)=0,F356&lt;&gt;0,F357&lt;&gt;0),IF(IFERROR((F356/F357),"")="","",(F356/F357)),INDIRECT("'update Helper'!E"&amp;U356)/100)</f>
        <v/>
      </c>
      <c r="H356" s="670"/>
      <c r="I356" s="672"/>
      <c r="J356" s="651"/>
      <c r="K356" s="666" t="str">
        <f t="shared" ref="K356" si="1368">W356</f>
        <v>HIV O-12 Percentage of people living with HIV and on ART who are virologically suppressed</v>
      </c>
      <c r="L356" s="666" t="str">
        <f t="shared" ref="L356" si="1369">V356</f>
        <v>Gender</v>
      </c>
      <c r="M356" s="651"/>
      <c r="N356" s="651"/>
      <c r="P356" s="189">
        <f t="shared" ref="P356" si="1370">IF(AND(EXACT(C356,C354),C354&lt;&gt;0),P354+1,0)</f>
        <v>0</v>
      </c>
      <c r="Q356" s="189" t="str">
        <f t="shared" ref="Q356" si="1371">IF(C356&lt;&gt;"",C356&amp;"-"&amp;P356,"")</f>
        <v>HIV O-12 Pourcentage de personnes vivant avec le VIH sous traitement antirétroviral qui ont une charge virale indétectable-0</v>
      </c>
      <c r="R356" s="189" t="str">
        <f t="array" ref="R356">IFERROR(IF(INDEX('Disaggregation Records'!$E$69:$E$152,MATCH(RIGHT(Q356,255),RIGHT('Disaggregation Records'!$D$69:$D$152,255),0))=0,"",INDEX('Disaggregation Records'!$E$69:$E$152,MATCH(RIGHT(Q356,255),RIGHT('Disaggregation Records'!$D$69:$D$152,255),0))),"")</f>
        <v>Sexe</v>
      </c>
      <c r="S356" s="189" t="str">
        <f t="array" ref="S356">IFERROR(IF(INDEX('Disaggregation Records'!$F$69:$F$152,MATCH(RIGHT(Q356,255),RIGHT('Disaggregation Records'!$D$69:$D$152,255),0))=0,"",INDEX('Disaggregation Records'!$F$69:$F$152,MATCH(RIGHT(Q356,255),RIGHT('Disaggregation Records'!$D$69:$D$152,255),0))),"")</f>
        <v>Transgenre</v>
      </c>
      <c r="T356" s="189" t="str">
        <f t="array" ref="T356">IFERROR(IF(INDEX('Disaggregation Records'!$H$69:$H$152,MATCH(RIGHT(Q356,255),RIGHT('Disaggregation Records'!$D$69:$D$152,255),0))=0,"",INDEX('Disaggregation Records'!$H$69:$H$152,MATCH(RIGHT(Q356,255),RIGHT('Disaggregation Records'!$D$69:$D$152,255),0))),"")</f>
        <v>IDR-00800</v>
      </c>
      <c r="U356" s="189">
        <f t="shared" ref="U356" si="1372">U354+1</f>
        <v>899</v>
      </c>
      <c r="V356" s="189" t="str">
        <f t="array" ref="V356">IFERROR(IF(INDEX('Disaggregation Records'!$I$69:$I$152,MATCH(RIGHT(Q356,255),RIGHT('Disaggregation Records'!$D$69:$D$152,255),0))=0,"",INDEX('Disaggregation Records'!$I$69:$I$152,MATCH(RIGHT(Q356,255),RIGHT('Disaggregation Records'!$D$69:$D$152,255),0))),"")</f>
        <v>Gender</v>
      </c>
      <c r="W356" s="189" t="str">
        <f>IFERROR(INDEX('Reference Records'!P$19:P$56,MATCH(LEFT(C356,255),'Reference Records'!J$19:J$56,0)),"")</f>
        <v>HIV O-12 Percentage of people living with HIV and on ART who are virologically suppressed</v>
      </c>
    </row>
    <row r="357" spans="1:23" s="189" customFormat="1" ht="40.200000000000003" customHeight="1" x14ac:dyDescent="0.3">
      <c r="A357" s="678"/>
      <c r="B357" s="675"/>
      <c r="C357" s="667"/>
      <c r="D357" s="677"/>
      <c r="E357" s="677"/>
      <c r="F357" s="202"/>
      <c r="G357" s="669"/>
      <c r="H357" s="671"/>
      <c r="I357" s="673"/>
      <c r="J357" s="652"/>
      <c r="K357" s="667"/>
      <c r="L357" s="667"/>
      <c r="M357" s="652"/>
      <c r="N357" s="652"/>
      <c r="V357" s="189" t="str">
        <f t="array" ref="V357">IFERROR(IF(INDEX('Disaggregation Records'!$I$69:$I$152,MATCH(RIGHT(Q357,255),RIGHT('Disaggregation Records'!$D$69:$D$152,255),0))=0,"",INDEX('Disaggregation Records'!$I$69:$I$152,MATCH(RIGHT(Q357,255),RIGHT('Disaggregation Records'!$D$69:$D$152,255),0))),"")</f>
        <v/>
      </c>
    </row>
    <row r="358" spans="1:23" s="189" customFormat="1" ht="40.200000000000003" customHeight="1" x14ac:dyDescent="0.3">
      <c r="A358" s="678" t="str">
        <f t="shared" ref="A358" ca="1" si="1373">INDIRECT("'update Helper'!C"&amp;U358)</f>
        <v>a1V3p000004fwtrEAA</v>
      </c>
      <c r="B358" s="674">
        <v>3</v>
      </c>
      <c r="C358" s="666" t="str">
        <f>IFERROR(VLOOKUP(B358,'Outcome Indicators - Section C '!$A$9:$AF$70,32,FALSE),"")</f>
        <v>HIV O-12 Pourcentage de personnes vivant avec le VIH sous traitement antirétroviral qui ont une charge virale indétectable</v>
      </c>
      <c r="D358" s="676" t="str">
        <f t="shared" ref="D358" si="1374">R358</f>
        <v>Sexe</v>
      </c>
      <c r="E358" s="676" t="str">
        <f t="shared" ref="E358" si="1375">S358</f>
        <v>Femme</v>
      </c>
      <c r="F358" s="194"/>
      <c r="G358" s="668" t="str">
        <f t="shared" ref="G358" ca="1" si="1376">IF(OR(INDIRECT("'update Helper'!E"&amp;U358)=0,F358&lt;&gt;0,F359&lt;&gt;0),IF(IFERROR((F358/F359),"")="","",(F358/F359)),INDIRECT("'update Helper'!E"&amp;U358)/100)</f>
        <v/>
      </c>
      <c r="H358" s="670"/>
      <c r="I358" s="672"/>
      <c r="J358" s="651"/>
      <c r="K358" s="666" t="str">
        <f t="shared" ref="K358" si="1377">W358</f>
        <v>HIV O-12 Percentage of people living with HIV and on ART who are virologically suppressed</v>
      </c>
      <c r="L358" s="666" t="str">
        <f t="shared" ref="L358" si="1378">V358</f>
        <v>Gender</v>
      </c>
      <c r="M358" s="651"/>
      <c r="N358" s="651"/>
      <c r="P358" s="189">
        <f t="shared" ref="P358" si="1379">IF(AND(EXACT(C358,C356),C356&lt;&gt;0),P356+1,0)</f>
        <v>1</v>
      </c>
      <c r="Q358" s="189" t="str">
        <f t="shared" ref="Q358" si="1380">IF(C358&lt;&gt;"",C358&amp;"-"&amp;P358,"")</f>
        <v>HIV O-12 Pourcentage de personnes vivant avec le VIH sous traitement antirétroviral qui ont une charge virale indétectable-1</v>
      </c>
      <c r="R358" s="189" t="str">
        <f t="array" ref="R358">IFERROR(IF(INDEX('Disaggregation Records'!$E$69:$E$152,MATCH(RIGHT(Q358,255),RIGHT('Disaggregation Records'!$D$69:$D$152,255),0))=0,"",INDEX('Disaggregation Records'!$E$69:$E$152,MATCH(RIGHT(Q358,255),RIGHT('Disaggregation Records'!$D$69:$D$152,255),0))),"")</f>
        <v>Sexe</v>
      </c>
      <c r="S358" s="189" t="str">
        <f t="array" ref="S358">IFERROR(IF(INDEX('Disaggregation Records'!$F$69:$F$152,MATCH(RIGHT(Q358,255),RIGHT('Disaggregation Records'!$D$69:$D$152,255),0))=0,"",INDEX('Disaggregation Records'!$F$69:$F$152,MATCH(RIGHT(Q358,255),RIGHT('Disaggregation Records'!$D$69:$D$152,255),0))),"")</f>
        <v>Femme</v>
      </c>
      <c r="T358" s="189" t="str">
        <f t="array" ref="T358">IFERROR(IF(INDEX('Disaggregation Records'!$H$69:$H$152,MATCH(RIGHT(Q358,255),RIGHT('Disaggregation Records'!$D$69:$D$152,255),0))=0,"",INDEX('Disaggregation Records'!$H$69:$H$152,MATCH(RIGHT(Q358,255),RIGHT('Disaggregation Records'!$D$69:$D$152,255),0))),"")</f>
        <v>IDR-00797</v>
      </c>
      <c r="U358" s="189">
        <f t="shared" ref="U358" si="1381">U356+1</f>
        <v>900</v>
      </c>
      <c r="V358" s="189" t="str">
        <f t="array" ref="V358">IFERROR(IF(INDEX('Disaggregation Records'!$I$69:$I$152,MATCH(RIGHT(Q358,255),RIGHT('Disaggregation Records'!$D$69:$D$152,255),0))=0,"",INDEX('Disaggregation Records'!$I$69:$I$152,MATCH(RIGHT(Q358,255),RIGHT('Disaggregation Records'!$D$69:$D$152,255),0))),"")</f>
        <v>Gender</v>
      </c>
      <c r="W358" s="189" t="str">
        <f>IFERROR(INDEX('Reference Records'!P$19:P$56,MATCH(LEFT(C358,255),'Reference Records'!J$19:J$56,0)),"")</f>
        <v>HIV O-12 Percentage of people living with HIV and on ART who are virologically suppressed</v>
      </c>
    </row>
    <row r="359" spans="1:23" s="189" customFormat="1" ht="40.200000000000003" customHeight="1" x14ac:dyDescent="0.3">
      <c r="A359" s="678"/>
      <c r="B359" s="675"/>
      <c r="C359" s="667"/>
      <c r="D359" s="677"/>
      <c r="E359" s="677"/>
      <c r="F359" s="202"/>
      <c r="G359" s="669"/>
      <c r="H359" s="671"/>
      <c r="I359" s="673"/>
      <c r="J359" s="652"/>
      <c r="K359" s="667"/>
      <c r="L359" s="667"/>
      <c r="M359" s="652"/>
      <c r="N359" s="652"/>
      <c r="V359" s="189" t="str">
        <f t="array" ref="V359">IFERROR(IF(INDEX('Disaggregation Records'!$I$69:$I$152,MATCH(RIGHT(Q359,255),RIGHT('Disaggregation Records'!$D$69:$D$152,255),0))=0,"",INDEX('Disaggregation Records'!$I$69:$I$152,MATCH(RIGHT(Q359,255),RIGHT('Disaggregation Records'!$D$69:$D$152,255),0))),"")</f>
        <v/>
      </c>
    </row>
    <row r="360" spans="1:23" s="189" customFormat="1" ht="40.200000000000003" customHeight="1" x14ac:dyDescent="0.3">
      <c r="A360" s="678" t="str">
        <f t="shared" ref="A360" ca="1" si="1382">INDIRECT("'update Helper'!C"&amp;U360)</f>
        <v>a1V3p000004fwtsEAA</v>
      </c>
      <c r="B360" s="674">
        <v>3</v>
      </c>
      <c r="C360" s="666" t="str">
        <f>IFERROR(VLOOKUP(B360,'Outcome Indicators - Section C '!$A$9:$AF$70,32,FALSE),"")</f>
        <v>HIV O-12 Pourcentage de personnes vivant avec le VIH sous traitement antirétroviral qui ont une charge virale indétectable</v>
      </c>
      <c r="D360" s="676" t="str">
        <f t="shared" ref="D360" si="1383">R360</f>
        <v>Sexe</v>
      </c>
      <c r="E360" s="676" t="str">
        <f t="shared" ref="E360" si="1384">S360</f>
        <v>Homme</v>
      </c>
      <c r="F360" s="194"/>
      <c r="G360" s="668" t="str">
        <f t="shared" ref="G360" ca="1" si="1385">IF(OR(INDIRECT("'update Helper'!E"&amp;U360)=0,F360&lt;&gt;0,F361&lt;&gt;0),IF(IFERROR((F360/F361),"")="","",(F360/F361)),INDIRECT("'update Helper'!E"&amp;U360)/100)</f>
        <v/>
      </c>
      <c r="H360" s="670"/>
      <c r="I360" s="672"/>
      <c r="J360" s="651"/>
      <c r="K360" s="666" t="str">
        <f t="shared" ref="K360" si="1386">W360</f>
        <v>HIV O-12 Percentage of people living with HIV and on ART who are virologically suppressed</v>
      </c>
      <c r="L360" s="666" t="str">
        <f t="shared" ref="L360" si="1387">V360</f>
        <v>Gender</v>
      </c>
      <c r="M360" s="651"/>
      <c r="N360" s="651"/>
      <c r="P360" s="189">
        <f t="shared" ref="P360" si="1388">IF(AND(EXACT(C360,C358),C358&lt;&gt;0),P358+1,0)</f>
        <v>2</v>
      </c>
      <c r="Q360" s="189" t="str">
        <f t="shared" ref="Q360" si="1389">IF(C360&lt;&gt;"",C360&amp;"-"&amp;P360,"")</f>
        <v>HIV O-12 Pourcentage de personnes vivant avec le VIH sous traitement antirétroviral qui ont une charge virale indétectable-2</v>
      </c>
      <c r="R360" s="189" t="str">
        <f t="array" ref="R360">IFERROR(IF(INDEX('Disaggregation Records'!$E$69:$E$152,MATCH(RIGHT(Q360,255),RIGHT('Disaggregation Records'!$D$69:$D$152,255),0))=0,"",INDEX('Disaggregation Records'!$E$69:$E$152,MATCH(RIGHT(Q360,255),RIGHT('Disaggregation Records'!$D$69:$D$152,255),0))),"")</f>
        <v>Sexe</v>
      </c>
      <c r="S360" s="189" t="str">
        <f t="array" ref="S360">IFERROR(IF(INDEX('Disaggregation Records'!$F$69:$F$152,MATCH(RIGHT(Q360,255),RIGHT('Disaggregation Records'!$D$69:$D$152,255),0))=0,"",INDEX('Disaggregation Records'!$F$69:$F$152,MATCH(RIGHT(Q360,255),RIGHT('Disaggregation Records'!$D$69:$D$152,255),0))),"")</f>
        <v>Homme</v>
      </c>
      <c r="T360" s="189" t="str">
        <f t="array" ref="T360">IFERROR(IF(INDEX('Disaggregation Records'!$H$69:$H$152,MATCH(RIGHT(Q360,255),RIGHT('Disaggregation Records'!$D$69:$D$152,255),0))=0,"",INDEX('Disaggregation Records'!$H$69:$H$152,MATCH(RIGHT(Q360,255),RIGHT('Disaggregation Records'!$D$69:$D$152,255),0))),"")</f>
        <v>IDR-00796</v>
      </c>
      <c r="U360" s="189">
        <f t="shared" ref="U360" si="1390">U358+1</f>
        <v>901</v>
      </c>
      <c r="V360" s="189" t="str">
        <f t="array" ref="V360">IFERROR(IF(INDEX('Disaggregation Records'!$I$69:$I$152,MATCH(RIGHT(Q360,255),RIGHT('Disaggregation Records'!$D$69:$D$152,255),0))=0,"",INDEX('Disaggregation Records'!$I$69:$I$152,MATCH(RIGHT(Q360,255),RIGHT('Disaggregation Records'!$D$69:$D$152,255),0))),"")</f>
        <v>Gender</v>
      </c>
      <c r="W360" s="189" t="str">
        <f>IFERROR(INDEX('Reference Records'!P$19:P$56,MATCH(LEFT(C360,255),'Reference Records'!J$19:J$56,0)),"")</f>
        <v>HIV O-12 Percentage of people living with HIV and on ART who are virologically suppressed</v>
      </c>
    </row>
    <row r="361" spans="1:23" s="189" customFormat="1" ht="40.200000000000003" customHeight="1" x14ac:dyDescent="0.3">
      <c r="A361" s="678"/>
      <c r="B361" s="675"/>
      <c r="C361" s="667"/>
      <c r="D361" s="677"/>
      <c r="E361" s="677"/>
      <c r="F361" s="202"/>
      <c r="G361" s="669"/>
      <c r="H361" s="671"/>
      <c r="I361" s="673"/>
      <c r="J361" s="652"/>
      <c r="K361" s="667"/>
      <c r="L361" s="667"/>
      <c r="M361" s="652"/>
      <c r="N361" s="652"/>
      <c r="V361" s="189" t="str">
        <f t="array" ref="V361">IFERROR(IF(INDEX('Disaggregation Records'!$I$69:$I$152,MATCH(RIGHT(Q361,255),RIGHT('Disaggregation Records'!$D$69:$D$152,255),0))=0,"",INDEX('Disaggregation Records'!$I$69:$I$152,MATCH(RIGHT(Q361,255),RIGHT('Disaggregation Records'!$D$69:$D$152,255),0))),"")</f>
        <v/>
      </c>
    </row>
    <row r="362" spans="1:23" s="189" customFormat="1" ht="40.200000000000003" customHeight="1" x14ac:dyDescent="0.3">
      <c r="A362" s="678" t="str">
        <f t="shared" ref="A362" ca="1" si="1391">INDIRECT("'update Helper'!C"&amp;U362)</f>
        <v>a1V3p000004fwttEAA</v>
      </c>
      <c r="B362" s="674">
        <v>3</v>
      </c>
      <c r="C362" s="666" t="str">
        <f>IFERROR(VLOOKUP(B362,'Outcome Indicators - Section C '!$A$9:$AF$70,32,FALSE),"")</f>
        <v>HIV O-12 Pourcentage de personnes vivant avec le VIH sous traitement antirétroviral qui ont une charge virale indétectable</v>
      </c>
      <c r="D362" s="676" t="str">
        <f t="shared" ref="D362" si="1392">R362</f>
        <v/>
      </c>
      <c r="E362" s="676" t="str">
        <f t="shared" ref="E362" si="1393">S362</f>
        <v/>
      </c>
      <c r="F362" s="194"/>
      <c r="G362" s="668" t="str">
        <f t="shared" ref="G362" ca="1" si="1394">IF(OR(INDIRECT("'update Helper'!E"&amp;U362)=0,F362&lt;&gt;0,F363&lt;&gt;0),IF(IFERROR((F362/F363),"")="","",(F362/F363)),INDIRECT("'update Helper'!E"&amp;U362)/100)</f>
        <v/>
      </c>
      <c r="H362" s="670"/>
      <c r="I362" s="672"/>
      <c r="J362" s="651"/>
      <c r="K362" s="666" t="str">
        <f t="shared" ref="K362" si="1395">W362</f>
        <v>HIV O-12 Percentage of people living with HIV and on ART who are virologically suppressed</v>
      </c>
      <c r="L362" s="666" t="str">
        <f t="shared" ref="L362" si="1396">V362</f>
        <v/>
      </c>
      <c r="M362" s="651"/>
      <c r="N362" s="651"/>
      <c r="P362" s="189">
        <f t="shared" ref="P362" si="1397">IF(AND(EXACT(C362,C360),C360&lt;&gt;0),P360+1,0)</f>
        <v>3</v>
      </c>
      <c r="Q362" s="189" t="str">
        <f t="shared" ref="Q362" si="1398">IF(C362&lt;&gt;"",C362&amp;"-"&amp;P362,"")</f>
        <v>HIV O-12 Pourcentage de personnes vivant avec le VIH sous traitement antirétroviral qui ont une charge virale indétectable-3</v>
      </c>
      <c r="R362" s="189" t="str">
        <f t="array" ref="R362">IFERROR(IF(INDEX('Disaggregation Records'!$E$69:$E$152,MATCH(RIGHT(Q362,255),RIGHT('Disaggregation Records'!$D$69:$D$152,255),0))=0,"",INDEX('Disaggregation Records'!$E$69:$E$152,MATCH(RIGHT(Q362,255),RIGHT('Disaggregation Records'!$D$69:$D$152,255),0))),"")</f>
        <v/>
      </c>
      <c r="S362" s="189" t="str">
        <f t="array" ref="S362">IFERROR(IF(INDEX('Disaggregation Records'!$F$69:$F$152,MATCH(RIGHT(Q362,255),RIGHT('Disaggregation Records'!$D$69:$D$152,255),0))=0,"",INDEX('Disaggregation Records'!$F$69:$F$152,MATCH(RIGHT(Q362,255),RIGHT('Disaggregation Records'!$D$69:$D$152,255),0))),"")</f>
        <v/>
      </c>
      <c r="T362" s="189" t="str">
        <f t="array" ref="T362">IFERROR(IF(INDEX('Disaggregation Records'!$H$69:$H$152,MATCH(RIGHT(Q362,255),RIGHT('Disaggregation Records'!$D$69:$D$152,255),0))=0,"",INDEX('Disaggregation Records'!$H$69:$H$152,MATCH(RIGHT(Q362,255),RIGHT('Disaggregation Records'!$D$69:$D$152,255),0))),"")</f>
        <v/>
      </c>
      <c r="U362" s="189">
        <f t="shared" ref="U362" si="1399">U360+1</f>
        <v>902</v>
      </c>
      <c r="V362" s="189" t="str">
        <f t="array" ref="V362">IFERROR(IF(INDEX('Disaggregation Records'!$I$69:$I$152,MATCH(RIGHT(Q362,255),RIGHT('Disaggregation Records'!$D$69:$D$152,255),0))=0,"",INDEX('Disaggregation Records'!$I$69:$I$152,MATCH(RIGHT(Q362,255),RIGHT('Disaggregation Records'!$D$69:$D$152,255),0))),"")</f>
        <v/>
      </c>
      <c r="W362" s="189" t="str">
        <f>IFERROR(INDEX('Reference Records'!P$19:P$56,MATCH(LEFT(C362,255),'Reference Records'!J$19:J$56,0)),"")</f>
        <v>HIV O-12 Percentage of people living with HIV and on ART who are virologically suppressed</v>
      </c>
    </row>
    <row r="363" spans="1:23" s="189" customFormat="1" ht="40.200000000000003" customHeight="1" x14ac:dyDescent="0.3">
      <c r="A363" s="678"/>
      <c r="B363" s="675"/>
      <c r="C363" s="667"/>
      <c r="D363" s="677"/>
      <c r="E363" s="677"/>
      <c r="F363" s="202"/>
      <c r="G363" s="669"/>
      <c r="H363" s="671"/>
      <c r="I363" s="673"/>
      <c r="J363" s="652"/>
      <c r="K363" s="667"/>
      <c r="L363" s="667"/>
      <c r="M363" s="652"/>
      <c r="N363" s="652"/>
      <c r="V363" s="189" t="str">
        <f t="array" ref="V363">IFERROR(IF(INDEX('Disaggregation Records'!$I$69:$I$152,MATCH(RIGHT(Q363,255),RIGHT('Disaggregation Records'!$D$69:$D$152,255),0))=0,"",INDEX('Disaggregation Records'!$I$69:$I$152,MATCH(RIGHT(Q363,255),RIGHT('Disaggregation Records'!$D$69:$D$152,255),0))),"")</f>
        <v/>
      </c>
    </row>
    <row r="364" spans="1:23" s="189" customFormat="1" ht="40.200000000000003" customHeight="1" x14ac:dyDescent="0.3">
      <c r="A364" s="678" t="str">
        <f t="shared" ref="A364" ca="1" si="1400">INDIRECT("'update Helper'!C"&amp;U364)</f>
        <v>a1V3p000004fwtuEAA</v>
      </c>
      <c r="B364" s="674">
        <v>3</v>
      </c>
      <c r="C364" s="666" t="str">
        <f>IFERROR(VLOOKUP(B364,'Outcome Indicators - Section C '!$A$9:$AF$70,32,FALSE),"")</f>
        <v>HIV O-12 Pourcentage de personnes vivant avec le VIH sous traitement antirétroviral qui ont une charge virale indétectable</v>
      </c>
      <c r="D364" s="676" t="str">
        <f t="shared" ref="D364" si="1401">R364</f>
        <v/>
      </c>
      <c r="E364" s="676" t="str">
        <f t="shared" ref="E364" si="1402">S364</f>
        <v/>
      </c>
      <c r="F364" s="194"/>
      <c r="G364" s="668" t="str">
        <f t="shared" ref="G364" ca="1" si="1403">IF(OR(INDIRECT("'update Helper'!E"&amp;U364)=0,F364&lt;&gt;0,F365&lt;&gt;0),IF(IFERROR((F364/F365),"")="","",(F364/F365)),INDIRECT("'update Helper'!E"&amp;U364)/100)</f>
        <v/>
      </c>
      <c r="H364" s="670"/>
      <c r="I364" s="672"/>
      <c r="J364" s="651"/>
      <c r="K364" s="666" t="str">
        <f t="shared" ref="K364" si="1404">W364</f>
        <v>HIV O-12 Percentage of people living with HIV and on ART who are virologically suppressed</v>
      </c>
      <c r="L364" s="666" t="str">
        <f t="shared" ref="L364" si="1405">V364</f>
        <v/>
      </c>
      <c r="M364" s="651"/>
      <c r="N364" s="651"/>
      <c r="P364" s="189">
        <f t="shared" ref="P364" si="1406">IF(AND(EXACT(C364,C362),C362&lt;&gt;0),P362+1,0)</f>
        <v>4</v>
      </c>
      <c r="Q364" s="189" t="str">
        <f t="shared" ref="Q364" si="1407">IF(C364&lt;&gt;"",C364&amp;"-"&amp;P364,"")</f>
        <v>HIV O-12 Pourcentage de personnes vivant avec le VIH sous traitement antirétroviral qui ont une charge virale indétectable-4</v>
      </c>
      <c r="R364" s="189" t="str">
        <f t="array" ref="R364">IFERROR(IF(INDEX('Disaggregation Records'!$E$69:$E$152,MATCH(RIGHT(Q364,255),RIGHT('Disaggregation Records'!$D$69:$D$152,255),0))=0,"",INDEX('Disaggregation Records'!$E$69:$E$152,MATCH(RIGHT(Q364,255),RIGHT('Disaggregation Records'!$D$69:$D$152,255),0))),"")</f>
        <v/>
      </c>
      <c r="S364" s="189" t="str">
        <f t="array" ref="S364">IFERROR(IF(INDEX('Disaggregation Records'!$F$69:$F$152,MATCH(RIGHT(Q364,255),RIGHT('Disaggregation Records'!$D$69:$D$152,255),0))=0,"",INDEX('Disaggregation Records'!$F$69:$F$152,MATCH(RIGHT(Q364,255),RIGHT('Disaggregation Records'!$D$69:$D$152,255),0))),"")</f>
        <v/>
      </c>
      <c r="T364" s="189" t="str">
        <f t="array" ref="T364">IFERROR(IF(INDEX('Disaggregation Records'!$H$69:$H$152,MATCH(RIGHT(Q364,255),RIGHT('Disaggregation Records'!$D$69:$D$152,255),0))=0,"",INDEX('Disaggregation Records'!$H$69:$H$152,MATCH(RIGHT(Q364,255),RIGHT('Disaggregation Records'!$D$69:$D$152,255),0))),"")</f>
        <v/>
      </c>
      <c r="U364" s="189">
        <f t="shared" ref="U364" si="1408">U362+1</f>
        <v>903</v>
      </c>
      <c r="V364" s="189" t="str">
        <f t="array" ref="V364">IFERROR(IF(INDEX('Disaggregation Records'!$I$69:$I$152,MATCH(RIGHT(Q364,255),RIGHT('Disaggregation Records'!$D$69:$D$152,255),0))=0,"",INDEX('Disaggregation Records'!$I$69:$I$152,MATCH(RIGHT(Q364,255),RIGHT('Disaggregation Records'!$D$69:$D$152,255),0))),"")</f>
        <v/>
      </c>
      <c r="W364" s="189" t="str">
        <f>IFERROR(INDEX('Reference Records'!P$19:P$56,MATCH(LEFT(C364,255),'Reference Records'!J$19:J$56,0)),"")</f>
        <v>HIV O-12 Percentage of people living with HIV and on ART who are virologically suppressed</v>
      </c>
    </row>
    <row r="365" spans="1:23" s="189" customFormat="1" ht="40.200000000000003" customHeight="1" x14ac:dyDescent="0.3">
      <c r="A365" s="678"/>
      <c r="B365" s="675"/>
      <c r="C365" s="667"/>
      <c r="D365" s="677"/>
      <c r="E365" s="677"/>
      <c r="F365" s="202"/>
      <c r="G365" s="669"/>
      <c r="H365" s="671"/>
      <c r="I365" s="673"/>
      <c r="J365" s="652"/>
      <c r="K365" s="667"/>
      <c r="L365" s="667"/>
      <c r="M365" s="652"/>
      <c r="N365" s="652"/>
      <c r="V365" s="189" t="str">
        <f t="array" ref="V365">IFERROR(IF(INDEX('Disaggregation Records'!$I$69:$I$152,MATCH(RIGHT(Q365,255),RIGHT('Disaggregation Records'!$D$69:$D$152,255),0))=0,"",INDEX('Disaggregation Records'!$I$69:$I$152,MATCH(RIGHT(Q365,255),RIGHT('Disaggregation Records'!$D$69:$D$152,255),0))),"")</f>
        <v/>
      </c>
    </row>
    <row r="366" spans="1:23" s="189" customFormat="1" ht="40.200000000000003" customHeight="1" x14ac:dyDescent="0.3">
      <c r="A366" s="678" t="str">
        <f t="shared" ref="A366" ca="1" si="1409">INDIRECT("'update Helper'!C"&amp;U366)</f>
        <v>a1V3p000004fwtvEAA</v>
      </c>
      <c r="B366" s="674">
        <v>3</v>
      </c>
      <c r="C366" s="666" t="str">
        <f>IFERROR(VLOOKUP(B366,'Outcome Indicators - Section C '!$A$9:$AF$70,32,FALSE),"")</f>
        <v>HIV O-12 Pourcentage de personnes vivant avec le VIH sous traitement antirétroviral qui ont une charge virale indétectable</v>
      </c>
      <c r="D366" s="676" t="str">
        <f t="shared" ref="D366" si="1410">R366</f>
        <v/>
      </c>
      <c r="E366" s="676" t="str">
        <f t="shared" ref="E366" si="1411">S366</f>
        <v/>
      </c>
      <c r="F366" s="194"/>
      <c r="G366" s="668" t="str">
        <f t="shared" ref="G366" ca="1" si="1412">IF(OR(INDIRECT("'update Helper'!E"&amp;U366)=0,F366&lt;&gt;0,F367&lt;&gt;0),IF(IFERROR((F366/F367),"")="","",(F366/F367)),INDIRECT("'update Helper'!E"&amp;U366)/100)</f>
        <v/>
      </c>
      <c r="H366" s="670"/>
      <c r="I366" s="672"/>
      <c r="J366" s="651"/>
      <c r="K366" s="666" t="str">
        <f t="shared" ref="K366" si="1413">W366</f>
        <v>HIV O-12 Percentage of people living with HIV and on ART who are virologically suppressed</v>
      </c>
      <c r="L366" s="666" t="str">
        <f t="shared" ref="L366" si="1414">V366</f>
        <v/>
      </c>
      <c r="M366" s="651"/>
      <c r="N366" s="651"/>
      <c r="P366" s="189">
        <f t="shared" ref="P366" si="1415">IF(AND(EXACT(C366,C364),C364&lt;&gt;0),P364+1,0)</f>
        <v>5</v>
      </c>
      <c r="Q366" s="189" t="str">
        <f t="shared" ref="Q366" si="1416">IF(C366&lt;&gt;"",C366&amp;"-"&amp;P366,"")</f>
        <v>HIV O-12 Pourcentage de personnes vivant avec le VIH sous traitement antirétroviral qui ont une charge virale indétectable-5</v>
      </c>
      <c r="R366" s="189" t="str">
        <f t="array" ref="R366">IFERROR(IF(INDEX('Disaggregation Records'!$E$69:$E$152,MATCH(RIGHT(Q366,255),RIGHT('Disaggregation Records'!$D$69:$D$152,255),0))=0,"",INDEX('Disaggregation Records'!$E$69:$E$152,MATCH(RIGHT(Q366,255),RIGHT('Disaggregation Records'!$D$69:$D$152,255),0))),"")</f>
        <v/>
      </c>
      <c r="S366" s="189" t="str">
        <f t="array" ref="S366">IFERROR(IF(INDEX('Disaggregation Records'!$F$69:$F$152,MATCH(RIGHT(Q366,255),RIGHT('Disaggregation Records'!$D$69:$D$152,255),0))=0,"",INDEX('Disaggregation Records'!$F$69:$F$152,MATCH(RIGHT(Q366,255),RIGHT('Disaggregation Records'!$D$69:$D$152,255),0))),"")</f>
        <v/>
      </c>
      <c r="T366" s="189" t="str">
        <f t="array" ref="T366">IFERROR(IF(INDEX('Disaggregation Records'!$H$69:$H$152,MATCH(RIGHT(Q366,255),RIGHT('Disaggregation Records'!$D$69:$D$152,255),0))=0,"",INDEX('Disaggregation Records'!$H$69:$H$152,MATCH(RIGHT(Q366,255),RIGHT('Disaggregation Records'!$D$69:$D$152,255),0))),"")</f>
        <v/>
      </c>
      <c r="U366" s="189">
        <f t="shared" ref="U366" si="1417">U364+1</f>
        <v>904</v>
      </c>
      <c r="V366" s="189" t="str">
        <f t="array" ref="V366">IFERROR(IF(INDEX('Disaggregation Records'!$I$69:$I$152,MATCH(RIGHT(Q366,255),RIGHT('Disaggregation Records'!$D$69:$D$152,255),0))=0,"",INDEX('Disaggregation Records'!$I$69:$I$152,MATCH(RIGHT(Q366,255),RIGHT('Disaggregation Records'!$D$69:$D$152,255),0))),"")</f>
        <v/>
      </c>
      <c r="W366" s="189" t="str">
        <f>IFERROR(INDEX('Reference Records'!P$19:P$56,MATCH(LEFT(C366,255),'Reference Records'!J$19:J$56,0)),"")</f>
        <v>HIV O-12 Percentage of people living with HIV and on ART who are virologically suppressed</v>
      </c>
    </row>
    <row r="367" spans="1:23" s="189" customFormat="1" ht="40.200000000000003" customHeight="1" x14ac:dyDescent="0.3">
      <c r="A367" s="678"/>
      <c r="B367" s="675"/>
      <c r="C367" s="667"/>
      <c r="D367" s="677"/>
      <c r="E367" s="677"/>
      <c r="F367" s="202"/>
      <c r="G367" s="669"/>
      <c r="H367" s="671"/>
      <c r="I367" s="673"/>
      <c r="J367" s="652"/>
      <c r="K367" s="667"/>
      <c r="L367" s="667"/>
      <c r="M367" s="652"/>
      <c r="N367" s="652"/>
      <c r="V367" s="189" t="str">
        <f t="array" ref="V367">IFERROR(IF(INDEX('Disaggregation Records'!$I$69:$I$152,MATCH(RIGHT(Q367,255),RIGHT('Disaggregation Records'!$D$69:$D$152,255),0))=0,"",INDEX('Disaggregation Records'!$I$69:$I$152,MATCH(RIGHT(Q367,255),RIGHT('Disaggregation Records'!$D$69:$D$152,255),0))),"")</f>
        <v/>
      </c>
    </row>
    <row r="368" spans="1:23" s="189" customFormat="1" ht="40.200000000000003" customHeight="1" x14ac:dyDescent="0.3">
      <c r="A368" s="678" t="str">
        <f t="shared" ref="A368" ca="1" si="1418">INDIRECT("'update Helper'!C"&amp;U368)</f>
        <v>a1V3p000004fwtwEAA</v>
      </c>
      <c r="B368" s="674">
        <v>3</v>
      </c>
      <c r="C368" s="666" t="str">
        <f>IFERROR(VLOOKUP(B368,'Outcome Indicators - Section C '!$A$9:$AF$70,32,FALSE),"")</f>
        <v>HIV O-12 Pourcentage de personnes vivant avec le VIH sous traitement antirétroviral qui ont une charge virale indétectable</v>
      </c>
      <c r="D368" s="676" t="str">
        <f t="shared" ref="D368" si="1419">R368</f>
        <v/>
      </c>
      <c r="E368" s="676" t="str">
        <f t="shared" ref="E368" si="1420">S368</f>
        <v/>
      </c>
      <c r="F368" s="194"/>
      <c r="G368" s="668" t="str">
        <f t="shared" ref="G368" ca="1" si="1421">IF(OR(INDIRECT("'update Helper'!E"&amp;U368)=0,F368&lt;&gt;0,F369&lt;&gt;0),IF(IFERROR((F368/F369),"")="","",(F368/F369)),INDIRECT("'update Helper'!E"&amp;U368)/100)</f>
        <v/>
      </c>
      <c r="H368" s="670"/>
      <c r="I368" s="672"/>
      <c r="J368" s="651"/>
      <c r="K368" s="666" t="str">
        <f t="shared" ref="K368" si="1422">W368</f>
        <v>HIV O-12 Percentage of people living with HIV and on ART who are virologically suppressed</v>
      </c>
      <c r="L368" s="666" t="str">
        <f t="shared" ref="L368" si="1423">V368</f>
        <v/>
      </c>
      <c r="M368" s="651"/>
      <c r="N368" s="651"/>
      <c r="P368" s="189">
        <f t="shared" ref="P368" si="1424">IF(AND(EXACT(C368,C366),C366&lt;&gt;0),P366+1,0)</f>
        <v>6</v>
      </c>
      <c r="Q368" s="189" t="str">
        <f t="shared" ref="Q368" si="1425">IF(C368&lt;&gt;"",C368&amp;"-"&amp;P368,"")</f>
        <v>HIV O-12 Pourcentage de personnes vivant avec le VIH sous traitement antirétroviral qui ont une charge virale indétectable-6</v>
      </c>
      <c r="R368" s="189" t="str">
        <f t="array" ref="R368">IFERROR(IF(INDEX('Disaggregation Records'!$E$69:$E$152,MATCH(RIGHT(Q368,255),RIGHT('Disaggregation Records'!$D$69:$D$152,255),0))=0,"",INDEX('Disaggregation Records'!$E$69:$E$152,MATCH(RIGHT(Q368,255),RIGHT('Disaggregation Records'!$D$69:$D$152,255),0))),"")</f>
        <v/>
      </c>
      <c r="S368" s="189" t="str">
        <f t="array" ref="S368">IFERROR(IF(INDEX('Disaggregation Records'!$F$69:$F$152,MATCH(RIGHT(Q368,255),RIGHT('Disaggregation Records'!$D$69:$D$152,255),0))=0,"",INDEX('Disaggregation Records'!$F$69:$F$152,MATCH(RIGHT(Q368,255),RIGHT('Disaggregation Records'!$D$69:$D$152,255),0))),"")</f>
        <v/>
      </c>
      <c r="T368" s="189" t="str">
        <f t="array" ref="T368">IFERROR(IF(INDEX('Disaggregation Records'!$H$69:$H$152,MATCH(RIGHT(Q368,255),RIGHT('Disaggregation Records'!$D$69:$D$152,255),0))=0,"",INDEX('Disaggregation Records'!$H$69:$H$152,MATCH(RIGHT(Q368,255),RIGHT('Disaggregation Records'!$D$69:$D$152,255),0))),"")</f>
        <v/>
      </c>
      <c r="U368" s="189">
        <f t="shared" ref="U368" si="1426">U366+1</f>
        <v>905</v>
      </c>
      <c r="V368" s="189" t="str">
        <f t="array" ref="V368">IFERROR(IF(INDEX('Disaggregation Records'!$I$69:$I$152,MATCH(RIGHT(Q368,255),RIGHT('Disaggregation Records'!$D$69:$D$152,255),0))=0,"",INDEX('Disaggregation Records'!$I$69:$I$152,MATCH(RIGHT(Q368,255),RIGHT('Disaggregation Records'!$D$69:$D$152,255),0))),"")</f>
        <v/>
      </c>
      <c r="W368" s="189" t="str">
        <f>IFERROR(INDEX('Reference Records'!P$19:P$56,MATCH(LEFT(C368,255),'Reference Records'!J$19:J$56,0)),"")</f>
        <v>HIV O-12 Percentage of people living with HIV and on ART who are virologically suppressed</v>
      </c>
    </row>
    <row r="369" spans="1:23" s="189" customFormat="1" ht="40.200000000000003" customHeight="1" x14ac:dyDescent="0.3">
      <c r="A369" s="678"/>
      <c r="B369" s="675"/>
      <c r="C369" s="667"/>
      <c r="D369" s="677"/>
      <c r="E369" s="677"/>
      <c r="F369" s="202"/>
      <c r="G369" s="669"/>
      <c r="H369" s="671"/>
      <c r="I369" s="673"/>
      <c r="J369" s="652"/>
      <c r="K369" s="667"/>
      <c r="L369" s="667"/>
      <c r="M369" s="652"/>
      <c r="N369" s="652"/>
      <c r="V369" s="189" t="str">
        <f t="array" ref="V369">IFERROR(IF(INDEX('Disaggregation Records'!$I$69:$I$152,MATCH(RIGHT(Q369,255),RIGHT('Disaggregation Records'!$D$69:$D$152,255),0))=0,"",INDEX('Disaggregation Records'!$I$69:$I$152,MATCH(RIGHT(Q369,255),RIGHT('Disaggregation Records'!$D$69:$D$152,255),0))),"")</f>
        <v/>
      </c>
    </row>
    <row r="370" spans="1:23" s="189" customFormat="1" ht="40.200000000000003" customHeight="1" x14ac:dyDescent="0.3">
      <c r="A370" s="678" t="str">
        <f t="shared" ref="A370" ca="1" si="1427">INDIRECT("'update Helper'!C"&amp;U370)</f>
        <v>a1V3p000004fwtxEAA</v>
      </c>
      <c r="B370" s="674">
        <v>3</v>
      </c>
      <c r="C370" s="666" t="str">
        <f>IFERROR(VLOOKUP(B370,'Outcome Indicators - Section C '!$A$9:$AF$70,32,FALSE),"")</f>
        <v>HIV O-12 Pourcentage de personnes vivant avec le VIH sous traitement antirétroviral qui ont une charge virale indétectable</v>
      </c>
      <c r="D370" s="676" t="str">
        <f t="shared" ref="D370" si="1428">R370</f>
        <v/>
      </c>
      <c r="E370" s="676" t="str">
        <f t="shared" ref="E370" si="1429">S370</f>
        <v/>
      </c>
      <c r="F370" s="194"/>
      <c r="G370" s="668" t="str">
        <f t="shared" ref="G370" ca="1" si="1430">IF(OR(INDIRECT("'update Helper'!E"&amp;U370)=0,F370&lt;&gt;0,F371&lt;&gt;0),IF(IFERROR((F370/F371),"")="","",(F370/F371)),INDIRECT("'update Helper'!E"&amp;U370)/100)</f>
        <v/>
      </c>
      <c r="H370" s="670"/>
      <c r="I370" s="672"/>
      <c r="J370" s="651"/>
      <c r="K370" s="666" t="str">
        <f t="shared" ref="K370" si="1431">W370</f>
        <v>HIV O-12 Percentage of people living with HIV and on ART who are virologically suppressed</v>
      </c>
      <c r="L370" s="666" t="str">
        <f t="shared" ref="L370" si="1432">V370</f>
        <v/>
      </c>
      <c r="M370" s="651"/>
      <c r="N370" s="651"/>
      <c r="P370" s="189">
        <f t="shared" ref="P370" si="1433">IF(AND(EXACT(C370,C368),C368&lt;&gt;0),P368+1,0)</f>
        <v>7</v>
      </c>
      <c r="Q370" s="189" t="str">
        <f t="shared" ref="Q370" si="1434">IF(C370&lt;&gt;"",C370&amp;"-"&amp;P370,"")</f>
        <v>HIV O-12 Pourcentage de personnes vivant avec le VIH sous traitement antirétroviral qui ont une charge virale indétectable-7</v>
      </c>
      <c r="R370" s="189" t="str">
        <f t="array" ref="R370">IFERROR(IF(INDEX('Disaggregation Records'!$E$69:$E$152,MATCH(RIGHT(Q370,255),RIGHT('Disaggregation Records'!$D$69:$D$152,255),0))=0,"",INDEX('Disaggregation Records'!$E$69:$E$152,MATCH(RIGHT(Q370,255),RIGHT('Disaggregation Records'!$D$69:$D$152,255),0))),"")</f>
        <v/>
      </c>
      <c r="S370" s="189" t="str">
        <f t="array" ref="S370">IFERROR(IF(INDEX('Disaggregation Records'!$F$69:$F$152,MATCH(RIGHT(Q370,255),RIGHT('Disaggregation Records'!$D$69:$D$152,255),0))=0,"",INDEX('Disaggregation Records'!$F$69:$F$152,MATCH(RIGHT(Q370,255),RIGHT('Disaggregation Records'!$D$69:$D$152,255),0))),"")</f>
        <v/>
      </c>
      <c r="T370" s="189" t="str">
        <f t="array" ref="T370">IFERROR(IF(INDEX('Disaggregation Records'!$H$69:$H$152,MATCH(RIGHT(Q370,255),RIGHT('Disaggregation Records'!$D$69:$D$152,255),0))=0,"",INDEX('Disaggregation Records'!$H$69:$H$152,MATCH(RIGHT(Q370,255),RIGHT('Disaggregation Records'!$D$69:$D$152,255),0))),"")</f>
        <v/>
      </c>
      <c r="U370" s="189">
        <f t="shared" ref="U370" si="1435">U368+1</f>
        <v>906</v>
      </c>
      <c r="V370" s="189" t="str">
        <f t="array" ref="V370">IFERROR(IF(INDEX('Disaggregation Records'!$I$69:$I$152,MATCH(RIGHT(Q370,255),RIGHT('Disaggregation Records'!$D$69:$D$152,255),0))=0,"",INDEX('Disaggregation Records'!$I$69:$I$152,MATCH(RIGHT(Q370,255),RIGHT('Disaggregation Records'!$D$69:$D$152,255),0))),"")</f>
        <v/>
      </c>
      <c r="W370" s="189" t="str">
        <f>IFERROR(INDEX('Reference Records'!P$19:P$56,MATCH(LEFT(C370,255),'Reference Records'!J$19:J$56,0)),"")</f>
        <v>HIV O-12 Percentage of people living with HIV and on ART who are virologically suppressed</v>
      </c>
    </row>
    <row r="371" spans="1:23" s="189" customFormat="1" ht="40.200000000000003" customHeight="1" x14ac:dyDescent="0.3">
      <c r="A371" s="678"/>
      <c r="B371" s="675"/>
      <c r="C371" s="667"/>
      <c r="D371" s="677"/>
      <c r="E371" s="677"/>
      <c r="F371" s="202"/>
      <c r="G371" s="669"/>
      <c r="H371" s="671"/>
      <c r="I371" s="673"/>
      <c r="J371" s="652"/>
      <c r="K371" s="667"/>
      <c r="L371" s="667"/>
      <c r="M371" s="652"/>
      <c r="N371" s="652"/>
      <c r="V371" s="189" t="str">
        <f t="array" ref="V371">IFERROR(IF(INDEX('Disaggregation Records'!$I$69:$I$152,MATCH(RIGHT(Q371,255),RIGHT('Disaggregation Records'!$D$69:$D$152,255),0))=0,"",INDEX('Disaggregation Records'!$I$69:$I$152,MATCH(RIGHT(Q371,255),RIGHT('Disaggregation Records'!$D$69:$D$152,255),0))),"")</f>
        <v/>
      </c>
    </row>
    <row r="372" spans="1:23" s="189" customFormat="1" ht="40.200000000000003" customHeight="1" x14ac:dyDescent="0.3">
      <c r="A372" s="678" t="str">
        <f t="shared" ref="A372" ca="1" si="1436">INDIRECT("'update Helper'!C"&amp;U372)</f>
        <v>a1V3p000004fwtyEAA</v>
      </c>
      <c r="B372" s="674">
        <v>3</v>
      </c>
      <c r="C372" s="666" t="str">
        <f>IFERROR(VLOOKUP(B372,'Outcome Indicators - Section C '!$A$9:$AF$70,32,FALSE),"")</f>
        <v>HIV O-12 Pourcentage de personnes vivant avec le VIH sous traitement antirétroviral qui ont une charge virale indétectable</v>
      </c>
      <c r="D372" s="676" t="str">
        <f t="shared" ref="D372" si="1437">R372</f>
        <v/>
      </c>
      <c r="E372" s="676" t="str">
        <f t="shared" ref="E372" si="1438">S372</f>
        <v/>
      </c>
      <c r="F372" s="194"/>
      <c r="G372" s="668" t="str">
        <f t="shared" ref="G372" ca="1" si="1439">IF(OR(INDIRECT("'update Helper'!E"&amp;U372)=0,F372&lt;&gt;0,F373&lt;&gt;0),IF(IFERROR((F372/F373),"")="","",(F372/F373)),INDIRECT("'update Helper'!E"&amp;U372)/100)</f>
        <v/>
      </c>
      <c r="H372" s="670"/>
      <c r="I372" s="672"/>
      <c r="J372" s="651"/>
      <c r="K372" s="666" t="str">
        <f t="shared" ref="K372" si="1440">W372</f>
        <v>HIV O-12 Percentage of people living with HIV and on ART who are virologically suppressed</v>
      </c>
      <c r="L372" s="666" t="str">
        <f t="shared" ref="L372" si="1441">V372</f>
        <v/>
      </c>
      <c r="M372" s="651"/>
      <c r="N372" s="651"/>
      <c r="P372" s="189">
        <f t="shared" ref="P372" si="1442">IF(AND(EXACT(C372,C370),C370&lt;&gt;0),P370+1,0)</f>
        <v>8</v>
      </c>
      <c r="Q372" s="189" t="str">
        <f t="shared" ref="Q372" si="1443">IF(C372&lt;&gt;"",C372&amp;"-"&amp;P372,"")</f>
        <v>HIV O-12 Pourcentage de personnes vivant avec le VIH sous traitement antirétroviral qui ont une charge virale indétectable-8</v>
      </c>
      <c r="R372" s="189" t="str">
        <f t="array" ref="R372">IFERROR(IF(INDEX('Disaggregation Records'!$E$69:$E$152,MATCH(RIGHT(Q372,255),RIGHT('Disaggregation Records'!$D$69:$D$152,255),0))=0,"",INDEX('Disaggregation Records'!$E$69:$E$152,MATCH(RIGHT(Q372,255),RIGHT('Disaggregation Records'!$D$69:$D$152,255),0))),"")</f>
        <v/>
      </c>
      <c r="S372" s="189" t="str">
        <f t="array" ref="S372">IFERROR(IF(INDEX('Disaggregation Records'!$F$69:$F$152,MATCH(RIGHT(Q372,255),RIGHT('Disaggregation Records'!$D$69:$D$152,255),0))=0,"",INDEX('Disaggregation Records'!$F$69:$F$152,MATCH(RIGHT(Q372,255),RIGHT('Disaggregation Records'!$D$69:$D$152,255),0))),"")</f>
        <v/>
      </c>
      <c r="T372" s="189" t="str">
        <f t="array" ref="T372">IFERROR(IF(INDEX('Disaggregation Records'!$H$69:$H$152,MATCH(RIGHT(Q372,255),RIGHT('Disaggregation Records'!$D$69:$D$152,255),0))=0,"",INDEX('Disaggregation Records'!$H$69:$H$152,MATCH(RIGHT(Q372,255),RIGHT('Disaggregation Records'!$D$69:$D$152,255),0))),"")</f>
        <v/>
      </c>
      <c r="U372" s="189">
        <f t="shared" ref="U372" si="1444">U370+1</f>
        <v>907</v>
      </c>
      <c r="V372" s="189" t="str">
        <f t="array" ref="V372">IFERROR(IF(INDEX('Disaggregation Records'!$I$69:$I$152,MATCH(RIGHT(Q372,255),RIGHT('Disaggregation Records'!$D$69:$D$152,255),0))=0,"",INDEX('Disaggregation Records'!$I$69:$I$152,MATCH(RIGHT(Q372,255),RIGHT('Disaggregation Records'!$D$69:$D$152,255),0))),"")</f>
        <v/>
      </c>
      <c r="W372" s="189" t="str">
        <f>IFERROR(INDEX('Reference Records'!P$19:P$56,MATCH(LEFT(C372,255),'Reference Records'!J$19:J$56,0)),"")</f>
        <v>HIV O-12 Percentage of people living with HIV and on ART who are virologically suppressed</v>
      </c>
    </row>
    <row r="373" spans="1:23" s="189" customFormat="1" ht="40.200000000000003" customHeight="1" x14ac:dyDescent="0.3">
      <c r="A373" s="678"/>
      <c r="B373" s="675"/>
      <c r="C373" s="667"/>
      <c r="D373" s="677"/>
      <c r="E373" s="677"/>
      <c r="F373" s="202"/>
      <c r="G373" s="669"/>
      <c r="H373" s="671"/>
      <c r="I373" s="673"/>
      <c r="J373" s="652"/>
      <c r="K373" s="667"/>
      <c r="L373" s="667"/>
      <c r="M373" s="652"/>
      <c r="N373" s="652"/>
      <c r="V373" s="189" t="str">
        <f t="array" ref="V373">IFERROR(IF(INDEX('Disaggregation Records'!$I$69:$I$152,MATCH(RIGHT(Q373,255),RIGHT('Disaggregation Records'!$D$69:$D$152,255),0))=0,"",INDEX('Disaggregation Records'!$I$69:$I$152,MATCH(RIGHT(Q373,255),RIGHT('Disaggregation Records'!$D$69:$D$152,255),0))),"")</f>
        <v/>
      </c>
    </row>
    <row r="374" spans="1:23" s="189" customFormat="1" ht="40.200000000000003" customHeight="1" x14ac:dyDescent="0.3">
      <c r="A374" s="678" t="str">
        <f t="shared" ref="A374" ca="1" si="1445">INDIRECT("'update Helper'!C"&amp;U374)</f>
        <v>a1V3p000004fwtzEAA</v>
      </c>
      <c r="B374" s="674">
        <v>3</v>
      </c>
      <c r="C374" s="666" t="str">
        <f>IFERROR(VLOOKUP(B374,'Outcome Indicators - Section C '!$A$9:$AF$70,32,FALSE),"")</f>
        <v>HIV O-12 Pourcentage de personnes vivant avec le VIH sous traitement antirétroviral qui ont une charge virale indétectable</v>
      </c>
      <c r="D374" s="676" t="str">
        <f t="shared" ref="D374" si="1446">R374</f>
        <v/>
      </c>
      <c r="E374" s="676" t="str">
        <f t="shared" ref="E374" si="1447">S374</f>
        <v/>
      </c>
      <c r="F374" s="194"/>
      <c r="G374" s="668" t="str">
        <f t="shared" ref="G374" ca="1" si="1448">IF(OR(INDIRECT("'update Helper'!E"&amp;U374)=0,F374&lt;&gt;0,F375&lt;&gt;0),IF(IFERROR((F374/F375),"")="","",(F374/F375)),INDIRECT("'update Helper'!E"&amp;U374)/100)</f>
        <v/>
      </c>
      <c r="H374" s="670"/>
      <c r="I374" s="672"/>
      <c r="J374" s="651"/>
      <c r="K374" s="666" t="str">
        <f t="shared" ref="K374" si="1449">W374</f>
        <v>HIV O-12 Percentage of people living with HIV and on ART who are virologically suppressed</v>
      </c>
      <c r="L374" s="666" t="str">
        <f t="shared" ref="L374" si="1450">V374</f>
        <v/>
      </c>
      <c r="M374" s="651"/>
      <c r="N374" s="651"/>
      <c r="P374" s="189">
        <f t="shared" ref="P374" si="1451">IF(AND(EXACT(C374,C372),C372&lt;&gt;0),P372+1,0)</f>
        <v>9</v>
      </c>
      <c r="Q374" s="189" t="str">
        <f t="shared" ref="Q374" si="1452">IF(C374&lt;&gt;"",C374&amp;"-"&amp;P374,"")</f>
        <v>HIV O-12 Pourcentage de personnes vivant avec le VIH sous traitement antirétroviral qui ont une charge virale indétectable-9</v>
      </c>
      <c r="R374" s="189" t="str">
        <f t="array" ref="R374">IFERROR(IF(INDEX('Disaggregation Records'!$E$69:$E$152,MATCH(RIGHT(Q374,255),RIGHT('Disaggregation Records'!$D$69:$D$152,255),0))=0,"",INDEX('Disaggregation Records'!$E$69:$E$152,MATCH(RIGHT(Q374,255),RIGHT('Disaggregation Records'!$D$69:$D$152,255),0))),"")</f>
        <v/>
      </c>
      <c r="S374" s="189" t="str">
        <f t="array" ref="S374">IFERROR(IF(INDEX('Disaggregation Records'!$F$69:$F$152,MATCH(RIGHT(Q374,255),RIGHT('Disaggregation Records'!$D$69:$D$152,255),0))=0,"",INDEX('Disaggregation Records'!$F$69:$F$152,MATCH(RIGHT(Q374,255),RIGHT('Disaggregation Records'!$D$69:$D$152,255),0))),"")</f>
        <v/>
      </c>
      <c r="T374" s="189" t="str">
        <f t="array" ref="T374">IFERROR(IF(INDEX('Disaggregation Records'!$H$69:$H$152,MATCH(RIGHT(Q374,255),RIGHT('Disaggregation Records'!$D$69:$D$152,255),0))=0,"",INDEX('Disaggregation Records'!$H$69:$H$152,MATCH(RIGHT(Q374,255),RIGHT('Disaggregation Records'!$D$69:$D$152,255),0))),"")</f>
        <v/>
      </c>
      <c r="U374" s="189">
        <f t="shared" ref="U374" si="1453">U372+1</f>
        <v>908</v>
      </c>
      <c r="V374" s="189" t="str">
        <f t="array" ref="V374">IFERROR(IF(INDEX('Disaggregation Records'!$I$69:$I$152,MATCH(RIGHT(Q374,255),RIGHT('Disaggregation Records'!$D$69:$D$152,255),0))=0,"",INDEX('Disaggregation Records'!$I$69:$I$152,MATCH(RIGHT(Q374,255),RIGHT('Disaggregation Records'!$D$69:$D$152,255),0))),"")</f>
        <v/>
      </c>
      <c r="W374" s="189" t="str">
        <f>IFERROR(INDEX('Reference Records'!P$19:P$56,MATCH(LEFT(C374,255),'Reference Records'!J$19:J$56,0)),"")</f>
        <v>HIV O-12 Percentage of people living with HIV and on ART who are virologically suppressed</v>
      </c>
    </row>
    <row r="375" spans="1:23" s="189" customFormat="1" ht="40.200000000000003" customHeight="1" x14ac:dyDescent="0.3">
      <c r="A375" s="678"/>
      <c r="B375" s="675"/>
      <c r="C375" s="667"/>
      <c r="D375" s="677"/>
      <c r="E375" s="677"/>
      <c r="F375" s="202"/>
      <c r="G375" s="669"/>
      <c r="H375" s="671"/>
      <c r="I375" s="673"/>
      <c r="J375" s="652"/>
      <c r="K375" s="667"/>
      <c r="L375" s="667"/>
      <c r="M375" s="652"/>
      <c r="N375" s="652"/>
      <c r="V375" s="189" t="str">
        <f t="array" ref="V375">IFERROR(IF(INDEX('Disaggregation Records'!$I$69:$I$152,MATCH(RIGHT(Q375,255),RIGHT('Disaggregation Records'!$D$69:$D$152,255),0))=0,"",INDEX('Disaggregation Records'!$I$69:$I$152,MATCH(RIGHT(Q375,255),RIGHT('Disaggregation Records'!$D$69:$D$152,255),0))),"")</f>
        <v/>
      </c>
    </row>
    <row r="376" spans="1:23" s="189" customFormat="1" ht="40.200000000000003" customHeight="1" x14ac:dyDescent="0.3">
      <c r="A376" s="678" t="str">
        <f t="shared" ref="A376" ca="1" si="1454">INDIRECT("'update Helper'!C"&amp;U376)</f>
        <v>a1V3p000004fwu0EAA</v>
      </c>
      <c r="B376" s="674">
        <v>4</v>
      </c>
      <c r="C376" s="666" t="str">
        <f>IFERROR(VLOOKUP(B376,'Outcome Indicators - Section C '!$A$9:$AF$70,32,FALSE),"")</f>
        <v xml:space="preserve">HIV O-15-Other1: Pourcentage de personnes vivant avec le VIH déclarant avoir été victimes de discrimination liée au VIH </v>
      </c>
      <c r="D376" s="676" t="str">
        <f t="shared" ref="D376" si="1455">R376</f>
        <v/>
      </c>
      <c r="E376" s="676" t="str">
        <f t="shared" ref="E376" si="1456">S376</f>
        <v/>
      </c>
      <c r="F376" s="194"/>
      <c r="G376" s="668" t="str">
        <f t="shared" ref="G376" ca="1" si="1457">IF(OR(INDIRECT("'update Helper'!E"&amp;U376)=0,F376&lt;&gt;0,F377&lt;&gt;0),IF(IFERROR((F376/F377),"")="","",(F376/F377)),INDIRECT("'update Helper'!E"&amp;U376)/100)</f>
        <v/>
      </c>
      <c r="H376" s="670"/>
      <c r="I376" s="672"/>
      <c r="J376" s="651"/>
      <c r="K376" s="666" t="str">
        <f t="shared" ref="K376" si="1458">W376</f>
        <v/>
      </c>
      <c r="L376" s="666" t="str">
        <f t="shared" ref="L376" si="1459">V376</f>
        <v/>
      </c>
      <c r="M376" s="651"/>
      <c r="N376" s="651"/>
      <c r="P376" s="189">
        <f t="shared" ref="P376" si="1460">IF(AND(EXACT(C376,C374),C374&lt;&gt;0),P374+1,0)</f>
        <v>0</v>
      </c>
      <c r="Q376" s="189" t="str">
        <f t="shared" ref="Q376" si="1461">IF(C376&lt;&gt;"",C376&amp;"-"&amp;P376,"")</f>
        <v>HIV O-15-Other1: Pourcentage de personnes vivant avec le VIH déclarant avoir été victimes de discrimination liée au VIH -0</v>
      </c>
      <c r="R376" s="189" t="str">
        <f t="array" ref="R376">IFERROR(IF(INDEX('Disaggregation Records'!$E$69:$E$152,MATCH(RIGHT(Q376,255),RIGHT('Disaggregation Records'!$D$69:$D$152,255),0))=0,"",INDEX('Disaggregation Records'!$E$69:$E$152,MATCH(RIGHT(Q376,255),RIGHT('Disaggregation Records'!$D$69:$D$152,255),0))),"")</f>
        <v/>
      </c>
      <c r="S376" s="189" t="str">
        <f t="array" ref="S376">IFERROR(IF(INDEX('Disaggregation Records'!$F$69:$F$152,MATCH(RIGHT(Q376,255),RIGHT('Disaggregation Records'!$D$69:$D$152,255),0))=0,"",INDEX('Disaggregation Records'!$F$69:$F$152,MATCH(RIGHT(Q376,255),RIGHT('Disaggregation Records'!$D$69:$D$152,255),0))),"")</f>
        <v/>
      </c>
      <c r="T376" s="189" t="str">
        <f t="array" ref="T376">IFERROR(IF(INDEX('Disaggregation Records'!$H$69:$H$152,MATCH(RIGHT(Q376,255),RIGHT('Disaggregation Records'!$D$69:$D$152,255),0))=0,"",INDEX('Disaggregation Records'!$H$69:$H$152,MATCH(RIGHT(Q376,255),RIGHT('Disaggregation Records'!$D$69:$D$152,255),0))),"")</f>
        <v/>
      </c>
      <c r="U376" s="189">
        <f t="shared" ref="U376" si="1462">U374+1</f>
        <v>909</v>
      </c>
      <c r="V376" s="189" t="str">
        <f t="array" ref="V376">IFERROR(IF(INDEX('Disaggregation Records'!$I$69:$I$152,MATCH(RIGHT(Q376,255),RIGHT('Disaggregation Records'!$D$69:$D$152,255),0))=0,"",INDEX('Disaggregation Records'!$I$69:$I$152,MATCH(RIGHT(Q376,255),RIGHT('Disaggregation Records'!$D$69:$D$152,255),0))),"")</f>
        <v/>
      </c>
      <c r="W376" s="189" t="str">
        <f>IFERROR(INDEX('Reference Records'!P$19:P$56,MATCH(LEFT(C376,255),'Reference Records'!J$19:J$56,0)),"")</f>
        <v/>
      </c>
    </row>
    <row r="377" spans="1:23" s="189" customFormat="1" ht="40.200000000000003" customHeight="1" x14ac:dyDescent="0.3">
      <c r="A377" s="678"/>
      <c r="B377" s="675"/>
      <c r="C377" s="667"/>
      <c r="D377" s="677"/>
      <c r="E377" s="677"/>
      <c r="F377" s="202"/>
      <c r="G377" s="669"/>
      <c r="H377" s="671"/>
      <c r="I377" s="673"/>
      <c r="J377" s="652"/>
      <c r="K377" s="667"/>
      <c r="L377" s="667"/>
      <c r="M377" s="652"/>
      <c r="N377" s="652"/>
      <c r="V377" s="189" t="str">
        <f t="array" ref="V377">IFERROR(IF(INDEX('Disaggregation Records'!$I$69:$I$152,MATCH(RIGHT(Q377,255),RIGHT('Disaggregation Records'!$D$69:$D$152,255),0))=0,"",INDEX('Disaggregation Records'!$I$69:$I$152,MATCH(RIGHT(Q377,255),RIGHT('Disaggregation Records'!$D$69:$D$152,255),0))),"")</f>
        <v/>
      </c>
    </row>
    <row r="378" spans="1:23" s="189" customFormat="1" ht="40.200000000000003" customHeight="1" x14ac:dyDescent="0.3">
      <c r="A378" s="678" t="str">
        <f t="shared" ref="A378" ca="1" si="1463">INDIRECT("'update Helper'!C"&amp;U378)</f>
        <v>a1V3p000004fwu1EAA</v>
      </c>
      <c r="B378" s="674">
        <v>4</v>
      </c>
      <c r="C378" s="666" t="str">
        <f>IFERROR(VLOOKUP(B378,'Outcome Indicators - Section C '!$A$9:$AF$70,32,FALSE),"")</f>
        <v xml:space="preserve">HIV O-15-Other1: Pourcentage de personnes vivant avec le VIH déclarant avoir été victimes de discrimination liée au VIH </v>
      </c>
      <c r="D378" s="676" t="str">
        <f t="shared" ref="D378" si="1464">R378</f>
        <v/>
      </c>
      <c r="E378" s="676" t="str">
        <f t="shared" ref="E378" si="1465">S378</f>
        <v/>
      </c>
      <c r="F378" s="194"/>
      <c r="G378" s="668" t="str">
        <f t="shared" ref="G378" ca="1" si="1466">IF(OR(INDIRECT("'update Helper'!E"&amp;U378)=0,F378&lt;&gt;0,F379&lt;&gt;0),IF(IFERROR((F378/F379),"")="","",(F378/F379)),INDIRECT("'update Helper'!E"&amp;U378)/100)</f>
        <v/>
      </c>
      <c r="H378" s="670"/>
      <c r="I378" s="672"/>
      <c r="J378" s="651"/>
      <c r="K378" s="666" t="str">
        <f t="shared" ref="K378" si="1467">W378</f>
        <v/>
      </c>
      <c r="L378" s="666" t="str">
        <f t="shared" ref="L378" si="1468">V378</f>
        <v/>
      </c>
      <c r="M378" s="651"/>
      <c r="N378" s="651"/>
      <c r="P378" s="189">
        <f t="shared" ref="P378" si="1469">IF(AND(EXACT(C378,C376),C376&lt;&gt;0),P376+1,0)</f>
        <v>1</v>
      </c>
      <c r="Q378" s="189" t="str">
        <f t="shared" ref="Q378" si="1470">IF(C378&lt;&gt;"",C378&amp;"-"&amp;P378,"")</f>
        <v>HIV O-15-Other1: Pourcentage de personnes vivant avec le VIH déclarant avoir été victimes de discrimination liée au VIH -1</v>
      </c>
      <c r="R378" s="189" t="str">
        <f t="array" ref="R378">IFERROR(IF(INDEX('Disaggregation Records'!$E$69:$E$152,MATCH(RIGHT(Q378,255),RIGHT('Disaggregation Records'!$D$69:$D$152,255),0))=0,"",INDEX('Disaggregation Records'!$E$69:$E$152,MATCH(RIGHT(Q378,255),RIGHT('Disaggregation Records'!$D$69:$D$152,255),0))),"")</f>
        <v/>
      </c>
      <c r="S378" s="189" t="str">
        <f t="array" ref="S378">IFERROR(IF(INDEX('Disaggregation Records'!$F$69:$F$152,MATCH(RIGHT(Q378,255),RIGHT('Disaggregation Records'!$D$69:$D$152,255),0))=0,"",INDEX('Disaggregation Records'!$F$69:$F$152,MATCH(RIGHT(Q378,255),RIGHT('Disaggregation Records'!$D$69:$D$152,255),0))),"")</f>
        <v/>
      </c>
      <c r="T378" s="189" t="str">
        <f t="array" ref="T378">IFERROR(IF(INDEX('Disaggregation Records'!$H$69:$H$152,MATCH(RIGHT(Q378,255),RIGHT('Disaggregation Records'!$D$69:$D$152,255),0))=0,"",INDEX('Disaggregation Records'!$H$69:$H$152,MATCH(RIGHT(Q378,255),RIGHT('Disaggregation Records'!$D$69:$D$152,255),0))),"")</f>
        <v/>
      </c>
      <c r="U378" s="189">
        <f t="shared" ref="U378" si="1471">U376+1</f>
        <v>910</v>
      </c>
      <c r="V378" s="189" t="str">
        <f t="array" ref="V378">IFERROR(IF(INDEX('Disaggregation Records'!$I$69:$I$152,MATCH(RIGHT(Q378,255),RIGHT('Disaggregation Records'!$D$69:$D$152,255),0))=0,"",INDEX('Disaggregation Records'!$I$69:$I$152,MATCH(RIGHT(Q378,255),RIGHT('Disaggregation Records'!$D$69:$D$152,255),0))),"")</f>
        <v/>
      </c>
      <c r="W378" s="189" t="str">
        <f>IFERROR(INDEX('Reference Records'!P$19:P$56,MATCH(LEFT(C378,255),'Reference Records'!J$19:J$56,0)),"")</f>
        <v/>
      </c>
    </row>
    <row r="379" spans="1:23" s="189" customFormat="1" ht="40.200000000000003" customHeight="1" x14ac:dyDescent="0.3">
      <c r="A379" s="678"/>
      <c r="B379" s="675"/>
      <c r="C379" s="667"/>
      <c r="D379" s="677"/>
      <c r="E379" s="677"/>
      <c r="F379" s="202"/>
      <c r="G379" s="669"/>
      <c r="H379" s="671"/>
      <c r="I379" s="673"/>
      <c r="J379" s="652"/>
      <c r="K379" s="667"/>
      <c r="L379" s="667"/>
      <c r="M379" s="652"/>
      <c r="N379" s="652"/>
      <c r="V379" s="189" t="str">
        <f t="array" ref="V379">IFERROR(IF(INDEX('Disaggregation Records'!$I$69:$I$152,MATCH(RIGHT(Q379,255),RIGHT('Disaggregation Records'!$D$69:$D$152,255),0))=0,"",INDEX('Disaggregation Records'!$I$69:$I$152,MATCH(RIGHT(Q379,255),RIGHT('Disaggregation Records'!$D$69:$D$152,255),0))),"")</f>
        <v/>
      </c>
    </row>
    <row r="380" spans="1:23" s="189" customFormat="1" ht="40.200000000000003" customHeight="1" x14ac:dyDescent="0.3">
      <c r="A380" s="678" t="str">
        <f t="shared" ref="A380" ca="1" si="1472">INDIRECT("'update Helper'!C"&amp;U380)</f>
        <v>a1V3p000004fwu2EAA</v>
      </c>
      <c r="B380" s="674">
        <v>4</v>
      </c>
      <c r="C380" s="666" t="str">
        <f>IFERROR(VLOOKUP(B380,'Outcome Indicators - Section C '!$A$9:$AF$70,32,FALSE),"")</f>
        <v xml:space="preserve">HIV O-15-Other1: Pourcentage de personnes vivant avec le VIH déclarant avoir été victimes de discrimination liée au VIH </v>
      </c>
      <c r="D380" s="676" t="str">
        <f t="shared" ref="D380" si="1473">R380</f>
        <v/>
      </c>
      <c r="E380" s="676" t="str">
        <f t="shared" ref="E380" si="1474">S380</f>
        <v/>
      </c>
      <c r="F380" s="194"/>
      <c r="G380" s="668" t="str">
        <f t="shared" ref="G380" ca="1" si="1475">IF(OR(INDIRECT("'update Helper'!E"&amp;U380)=0,F380&lt;&gt;0,F381&lt;&gt;0),IF(IFERROR((F380/F381),"")="","",(F380/F381)),INDIRECT("'update Helper'!E"&amp;U380)/100)</f>
        <v/>
      </c>
      <c r="H380" s="670"/>
      <c r="I380" s="672"/>
      <c r="J380" s="651"/>
      <c r="K380" s="666" t="str">
        <f t="shared" ref="K380" si="1476">W380</f>
        <v/>
      </c>
      <c r="L380" s="666" t="str">
        <f t="shared" ref="L380" si="1477">V380</f>
        <v/>
      </c>
      <c r="M380" s="651"/>
      <c r="N380" s="651"/>
      <c r="P380" s="189">
        <f t="shared" ref="P380" si="1478">IF(AND(EXACT(C380,C378),C378&lt;&gt;0),P378+1,0)</f>
        <v>2</v>
      </c>
      <c r="Q380" s="189" t="str">
        <f t="shared" ref="Q380" si="1479">IF(C380&lt;&gt;"",C380&amp;"-"&amp;P380,"")</f>
        <v>HIV O-15-Other1: Pourcentage de personnes vivant avec le VIH déclarant avoir été victimes de discrimination liée au VIH -2</v>
      </c>
      <c r="R380" s="189" t="str">
        <f t="array" ref="R380">IFERROR(IF(INDEX('Disaggregation Records'!$E$69:$E$152,MATCH(RIGHT(Q380,255),RIGHT('Disaggregation Records'!$D$69:$D$152,255),0))=0,"",INDEX('Disaggregation Records'!$E$69:$E$152,MATCH(RIGHT(Q380,255),RIGHT('Disaggregation Records'!$D$69:$D$152,255),0))),"")</f>
        <v/>
      </c>
      <c r="S380" s="189" t="str">
        <f t="array" ref="S380">IFERROR(IF(INDEX('Disaggregation Records'!$F$69:$F$152,MATCH(RIGHT(Q380,255),RIGHT('Disaggregation Records'!$D$69:$D$152,255),0))=0,"",INDEX('Disaggregation Records'!$F$69:$F$152,MATCH(RIGHT(Q380,255),RIGHT('Disaggregation Records'!$D$69:$D$152,255),0))),"")</f>
        <v/>
      </c>
      <c r="T380" s="189" t="str">
        <f t="array" ref="T380">IFERROR(IF(INDEX('Disaggregation Records'!$H$69:$H$152,MATCH(RIGHT(Q380,255),RIGHT('Disaggregation Records'!$D$69:$D$152,255),0))=0,"",INDEX('Disaggregation Records'!$H$69:$H$152,MATCH(RIGHT(Q380,255),RIGHT('Disaggregation Records'!$D$69:$D$152,255),0))),"")</f>
        <v/>
      </c>
      <c r="U380" s="189">
        <f t="shared" ref="U380" si="1480">U378+1</f>
        <v>911</v>
      </c>
      <c r="V380" s="189" t="str">
        <f t="array" ref="V380">IFERROR(IF(INDEX('Disaggregation Records'!$I$69:$I$152,MATCH(RIGHT(Q380,255),RIGHT('Disaggregation Records'!$D$69:$D$152,255),0))=0,"",INDEX('Disaggregation Records'!$I$69:$I$152,MATCH(RIGHT(Q380,255),RIGHT('Disaggregation Records'!$D$69:$D$152,255),0))),"")</f>
        <v/>
      </c>
      <c r="W380" s="189" t="str">
        <f>IFERROR(INDEX('Reference Records'!P$19:P$56,MATCH(LEFT(C380,255),'Reference Records'!J$19:J$56,0)),"")</f>
        <v/>
      </c>
    </row>
    <row r="381" spans="1:23" s="189" customFormat="1" ht="40.200000000000003" customHeight="1" x14ac:dyDescent="0.3">
      <c r="A381" s="678"/>
      <c r="B381" s="675"/>
      <c r="C381" s="667"/>
      <c r="D381" s="677"/>
      <c r="E381" s="677"/>
      <c r="F381" s="202"/>
      <c r="G381" s="669"/>
      <c r="H381" s="671"/>
      <c r="I381" s="673"/>
      <c r="J381" s="652"/>
      <c r="K381" s="667"/>
      <c r="L381" s="667"/>
      <c r="M381" s="652"/>
      <c r="N381" s="652"/>
      <c r="V381" s="189" t="str">
        <f t="array" ref="V381">IFERROR(IF(INDEX('Disaggregation Records'!$I$69:$I$152,MATCH(RIGHT(Q381,255),RIGHT('Disaggregation Records'!$D$69:$D$152,255),0))=0,"",INDEX('Disaggregation Records'!$I$69:$I$152,MATCH(RIGHT(Q381,255),RIGHT('Disaggregation Records'!$D$69:$D$152,255),0))),"")</f>
        <v/>
      </c>
    </row>
    <row r="382" spans="1:23" s="189" customFormat="1" ht="40.200000000000003" customHeight="1" x14ac:dyDescent="0.3">
      <c r="A382" s="678" t="str">
        <f t="shared" ref="A382" ca="1" si="1481">INDIRECT("'update Helper'!C"&amp;U382)</f>
        <v>a1V3p000004fwu3EAA</v>
      </c>
      <c r="B382" s="674">
        <v>4</v>
      </c>
      <c r="C382" s="666" t="str">
        <f>IFERROR(VLOOKUP(B382,'Outcome Indicators - Section C '!$A$9:$AF$70,32,FALSE),"")</f>
        <v xml:space="preserve">HIV O-15-Other1: Pourcentage de personnes vivant avec le VIH déclarant avoir été victimes de discrimination liée au VIH </v>
      </c>
      <c r="D382" s="676" t="str">
        <f t="shared" ref="D382" si="1482">R382</f>
        <v/>
      </c>
      <c r="E382" s="676" t="str">
        <f t="shared" ref="E382" si="1483">S382</f>
        <v/>
      </c>
      <c r="F382" s="194"/>
      <c r="G382" s="668" t="str">
        <f t="shared" ref="G382" ca="1" si="1484">IF(OR(INDIRECT("'update Helper'!E"&amp;U382)=0,F382&lt;&gt;0,F383&lt;&gt;0),IF(IFERROR((F382/F383),"")="","",(F382/F383)),INDIRECT("'update Helper'!E"&amp;U382)/100)</f>
        <v/>
      </c>
      <c r="H382" s="670"/>
      <c r="I382" s="672"/>
      <c r="J382" s="651"/>
      <c r="K382" s="666" t="str">
        <f t="shared" ref="K382" si="1485">W382</f>
        <v/>
      </c>
      <c r="L382" s="666" t="str">
        <f t="shared" ref="L382" si="1486">V382</f>
        <v/>
      </c>
      <c r="M382" s="651"/>
      <c r="N382" s="651"/>
      <c r="P382" s="189">
        <f t="shared" ref="P382" si="1487">IF(AND(EXACT(C382,C380),C380&lt;&gt;0),P380+1,0)</f>
        <v>3</v>
      </c>
      <c r="Q382" s="189" t="str">
        <f t="shared" ref="Q382" si="1488">IF(C382&lt;&gt;"",C382&amp;"-"&amp;P382,"")</f>
        <v>HIV O-15-Other1: Pourcentage de personnes vivant avec le VIH déclarant avoir été victimes de discrimination liée au VIH -3</v>
      </c>
      <c r="R382" s="189" t="str">
        <f t="array" ref="R382">IFERROR(IF(INDEX('Disaggregation Records'!$E$69:$E$152,MATCH(RIGHT(Q382,255),RIGHT('Disaggregation Records'!$D$69:$D$152,255),0))=0,"",INDEX('Disaggregation Records'!$E$69:$E$152,MATCH(RIGHT(Q382,255),RIGHT('Disaggregation Records'!$D$69:$D$152,255),0))),"")</f>
        <v/>
      </c>
      <c r="S382" s="189" t="str">
        <f t="array" ref="S382">IFERROR(IF(INDEX('Disaggregation Records'!$F$69:$F$152,MATCH(RIGHT(Q382,255),RIGHT('Disaggregation Records'!$D$69:$D$152,255),0))=0,"",INDEX('Disaggregation Records'!$F$69:$F$152,MATCH(RIGHT(Q382,255),RIGHT('Disaggregation Records'!$D$69:$D$152,255),0))),"")</f>
        <v/>
      </c>
      <c r="T382" s="189" t="str">
        <f t="array" ref="T382">IFERROR(IF(INDEX('Disaggregation Records'!$H$69:$H$152,MATCH(RIGHT(Q382,255),RIGHT('Disaggregation Records'!$D$69:$D$152,255),0))=0,"",INDEX('Disaggregation Records'!$H$69:$H$152,MATCH(RIGHT(Q382,255),RIGHT('Disaggregation Records'!$D$69:$D$152,255),0))),"")</f>
        <v/>
      </c>
      <c r="U382" s="189">
        <f t="shared" ref="U382" si="1489">U380+1</f>
        <v>912</v>
      </c>
      <c r="V382" s="189" t="str">
        <f t="array" ref="V382">IFERROR(IF(INDEX('Disaggregation Records'!$I$69:$I$152,MATCH(RIGHT(Q382,255),RIGHT('Disaggregation Records'!$D$69:$D$152,255),0))=0,"",INDEX('Disaggregation Records'!$I$69:$I$152,MATCH(RIGHT(Q382,255),RIGHT('Disaggregation Records'!$D$69:$D$152,255),0))),"")</f>
        <v/>
      </c>
      <c r="W382" s="189" t="str">
        <f>IFERROR(INDEX('Reference Records'!P$19:P$56,MATCH(LEFT(C382,255),'Reference Records'!J$19:J$56,0)),"")</f>
        <v/>
      </c>
    </row>
    <row r="383" spans="1:23" s="189" customFormat="1" ht="40.200000000000003" customHeight="1" x14ac:dyDescent="0.3">
      <c r="A383" s="678"/>
      <c r="B383" s="675"/>
      <c r="C383" s="667"/>
      <c r="D383" s="677"/>
      <c r="E383" s="677"/>
      <c r="F383" s="202"/>
      <c r="G383" s="669"/>
      <c r="H383" s="671"/>
      <c r="I383" s="673"/>
      <c r="J383" s="652"/>
      <c r="K383" s="667"/>
      <c r="L383" s="667"/>
      <c r="M383" s="652"/>
      <c r="N383" s="652"/>
      <c r="V383" s="189" t="str">
        <f t="array" ref="V383">IFERROR(IF(INDEX('Disaggregation Records'!$I$69:$I$152,MATCH(RIGHT(Q383,255),RIGHT('Disaggregation Records'!$D$69:$D$152,255),0))=0,"",INDEX('Disaggregation Records'!$I$69:$I$152,MATCH(RIGHT(Q383,255),RIGHT('Disaggregation Records'!$D$69:$D$152,255),0))),"")</f>
        <v/>
      </c>
    </row>
    <row r="384" spans="1:23" s="189" customFormat="1" ht="40.200000000000003" customHeight="1" x14ac:dyDescent="0.3">
      <c r="A384" s="678" t="str">
        <f t="shared" ref="A384" ca="1" si="1490">INDIRECT("'update Helper'!C"&amp;U384)</f>
        <v>a1V3p000004fwu4EAA</v>
      </c>
      <c r="B384" s="674">
        <v>4</v>
      </c>
      <c r="C384" s="666" t="str">
        <f>IFERROR(VLOOKUP(B384,'Outcome Indicators - Section C '!$A$9:$AF$70,32,FALSE),"")</f>
        <v xml:space="preserve">HIV O-15-Other1: Pourcentage de personnes vivant avec le VIH déclarant avoir été victimes de discrimination liée au VIH </v>
      </c>
      <c r="D384" s="676" t="str">
        <f t="shared" ref="D384" si="1491">R384</f>
        <v/>
      </c>
      <c r="E384" s="676" t="str">
        <f t="shared" ref="E384" si="1492">S384</f>
        <v/>
      </c>
      <c r="F384" s="194"/>
      <c r="G384" s="668" t="str">
        <f t="shared" ref="G384" ca="1" si="1493">IF(OR(INDIRECT("'update Helper'!E"&amp;U384)=0,F384&lt;&gt;0,F385&lt;&gt;0),IF(IFERROR((F384/F385),"")="","",(F384/F385)),INDIRECT("'update Helper'!E"&amp;U384)/100)</f>
        <v/>
      </c>
      <c r="H384" s="670"/>
      <c r="I384" s="672"/>
      <c r="J384" s="651"/>
      <c r="K384" s="666" t="str">
        <f t="shared" ref="K384" si="1494">W384</f>
        <v/>
      </c>
      <c r="L384" s="666" t="str">
        <f t="shared" ref="L384" si="1495">V384</f>
        <v/>
      </c>
      <c r="M384" s="651"/>
      <c r="N384" s="651"/>
      <c r="P384" s="189">
        <f t="shared" ref="P384" si="1496">IF(AND(EXACT(C384,C382),C382&lt;&gt;0),P382+1,0)</f>
        <v>4</v>
      </c>
      <c r="Q384" s="189" t="str">
        <f t="shared" ref="Q384" si="1497">IF(C384&lt;&gt;"",C384&amp;"-"&amp;P384,"")</f>
        <v>HIV O-15-Other1: Pourcentage de personnes vivant avec le VIH déclarant avoir été victimes de discrimination liée au VIH -4</v>
      </c>
      <c r="R384" s="189" t="str">
        <f t="array" ref="R384">IFERROR(IF(INDEX('Disaggregation Records'!$E$69:$E$152,MATCH(RIGHT(Q384,255),RIGHT('Disaggregation Records'!$D$69:$D$152,255),0))=0,"",INDEX('Disaggregation Records'!$E$69:$E$152,MATCH(RIGHT(Q384,255),RIGHT('Disaggregation Records'!$D$69:$D$152,255),0))),"")</f>
        <v/>
      </c>
      <c r="S384" s="189" t="str">
        <f t="array" ref="S384">IFERROR(IF(INDEX('Disaggregation Records'!$F$69:$F$152,MATCH(RIGHT(Q384,255),RIGHT('Disaggregation Records'!$D$69:$D$152,255),0))=0,"",INDEX('Disaggregation Records'!$F$69:$F$152,MATCH(RIGHT(Q384,255),RIGHT('Disaggregation Records'!$D$69:$D$152,255),0))),"")</f>
        <v/>
      </c>
      <c r="T384" s="189" t="str">
        <f t="array" ref="T384">IFERROR(IF(INDEX('Disaggregation Records'!$H$69:$H$152,MATCH(RIGHT(Q384,255),RIGHT('Disaggregation Records'!$D$69:$D$152,255),0))=0,"",INDEX('Disaggregation Records'!$H$69:$H$152,MATCH(RIGHT(Q384,255),RIGHT('Disaggregation Records'!$D$69:$D$152,255),0))),"")</f>
        <v/>
      </c>
      <c r="U384" s="189">
        <f t="shared" ref="U384" si="1498">U382+1</f>
        <v>913</v>
      </c>
      <c r="V384" s="189" t="str">
        <f t="array" ref="V384">IFERROR(IF(INDEX('Disaggregation Records'!$I$69:$I$152,MATCH(RIGHT(Q384,255),RIGHT('Disaggregation Records'!$D$69:$D$152,255),0))=0,"",INDEX('Disaggregation Records'!$I$69:$I$152,MATCH(RIGHT(Q384,255),RIGHT('Disaggregation Records'!$D$69:$D$152,255),0))),"")</f>
        <v/>
      </c>
      <c r="W384" s="189" t="str">
        <f>IFERROR(INDEX('Reference Records'!P$19:P$56,MATCH(LEFT(C384,255),'Reference Records'!J$19:J$56,0)),"")</f>
        <v/>
      </c>
    </row>
    <row r="385" spans="1:23" s="189" customFormat="1" ht="40.200000000000003" customHeight="1" x14ac:dyDescent="0.3">
      <c r="A385" s="678"/>
      <c r="B385" s="675"/>
      <c r="C385" s="667"/>
      <c r="D385" s="677"/>
      <c r="E385" s="677"/>
      <c r="F385" s="202"/>
      <c r="G385" s="669"/>
      <c r="H385" s="671"/>
      <c r="I385" s="673"/>
      <c r="J385" s="652"/>
      <c r="K385" s="667"/>
      <c r="L385" s="667"/>
      <c r="M385" s="652"/>
      <c r="N385" s="652"/>
      <c r="V385" s="189" t="str">
        <f t="array" ref="V385">IFERROR(IF(INDEX('Disaggregation Records'!$I$69:$I$152,MATCH(RIGHT(Q385,255),RIGHT('Disaggregation Records'!$D$69:$D$152,255),0))=0,"",INDEX('Disaggregation Records'!$I$69:$I$152,MATCH(RIGHT(Q385,255),RIGHT('Disaggregation Records'!$D$69:$D$152,255),0))),"")</f>
        <v/>
      </c>
    </row>
    <row r="386" spans="1:23" s="189" customFormat="1" ht="40.200000000000003" customHeight="1" x14ac:dyDescent="0.3">
      <c r="A386" s="678" t="str">
        <f t="shared" ref="A386" ca="1" si="1499">INDIRECT("'update Helper'!C"&amp;U386)</f>
        <v>a1V3p000004fwu5EAA</v>
      </c>
      <c r="B386" s="674">
        <v>4</v>
      </c>
      <c r="C386" s="666" t="str">
        <f>IFERROR(VLOOKUP(B386,'Outcome Indicators - Section C '!$A$9:$AF$70,32,FALSE),"")</f>
        <v xml:space="preserve">HIV O-15-Other1: Pourcentage de personnes vivant avec le VIH déclarant avoir été victimes de discrimination liée au VIH </v>
      </c>
      <c r="D386" s="676" t="str">
        <f t="shared" ref="D386" si="1500">R386</f>
        <v/>
      </c>
      <c r="E386" s="676" t="str">
        <f t="shared" ref="E386" si="1501">S386</f>
        <v/>
      </c>
      <c r="F386" s="194"/>
      <c r="G386" s="668" t="str">
        <f t="shared" ref="G386" ca="1" si="1502">IF(OR(INDIRECT("'update Helper'!E"&amp;U386)=0,F386&lt;&gt;0,F387&lt;&gt;0),IF(IFERROR((F386/F387),"")="","",(F386/F387)),INDIRECT("'update Helper'!E"&amp;U386)/100)</f>
        <v/>
      </c>
      <c r="H386" s="670"/>
      <c r="I386" s="672"/>
      <c r="J386" s="651"/>
      <c r="K386" s="666" t="str">
        <f t="shared" ref="K386" si="1503">W386</f>
        <v/>
      </c>
      <c r="L386" s="666" t="str">
        <f t="shared" ref="L386" si="1504">V386</f>
        <v/>
      </c>
      <c r="M386" s="651"/>
      <c r="N386" s="651"/>
      <c r="P386" s="189">
        <f t="shared" ref="P386" si="1505">IF(AND(EXACT(C386,C384),C384&lt;&gt;0),P384+1,0)</f>
        <v>5</v>
      </c>
      <c r="Q386" s="189" t="str">
        <f t="shared" ref="Q386" si="1506">IF(C386&lt;&gt;"",C386&amp;"-"&amp;P386,"")</f>
        <v>HIV O-15-Other1: Pourcentage de personnes vivant avec le VIH déclarant avoir été victimes de discrimination liée au VIH -5</v>
      </c>
      <c r="R386" s="189" t="str">
        <f t="array" ref="R386">IFERROR(IF(INDEX('Disaggregation Records'!$E$69:$E$152,MATCH(RIGHT(Q386,255),RIGHT('Disaggregation Records'!$D$69:$D$152,255),0))=0,"",INDEX('Disaggregation Records'!$E$69:$E$152,MATCH(RIGHT(Q386,255),RIGHT('Disaggregation Records'!$D$69:$D$152,255),0))),"")</f>
        <v/>
      </c>
      <c r="S386" s="189" t="str">
        <f t="array" ref="S386">IFERROR(IF(INDEX('Disaggregation Records'!$F$69:$F$152,MATCH(RIGHT(Q386,255),RIGHT('Disaggregation Records'!$D$69:$D$152,255),0))=0,"",INDEX('Disaggregation Records'!$F$69:$F$152,MATCH(RIGHT(Q386,255),RIGHT('Disaggregation Records'!$D$69:$D$152,255),0))),"")</f>
        <v/>
      </c>
      <c r="T386" s="189" t="str">
        <f t="array" ref="T386">IFERROR(IF(INDEX('Disaggregation Records'!$H$69:$H$152,MATCH(RIGHT(Q386,255),RIGHT('Disaggregation Records'!$D$69:$D$152,255),0))=0,"",INDEX('Disaggregation Records'!$H$69:$H$152,MATCH(RIGHT(Q386,255),RIGHT('Disaggregation Records'!$D$69:$D$152,255),0))),"")</f>
        <v/>
      </c>
      <c r="U386" s="189">
        <f t="shared" ref="U386" si="1507">U384+1</f>
        <v>914</v>
      </c>
      <c r="V386" s="189" t="str">
        <f t="array" ref="V386">IFERROR(IF(INDEX('Disaggregation Records'!$I$69:$I$152,MATCH(RIGHT(Q386,255),RIGHT('Disaggregation Records'!$D$69:$D$152,255),0))=0,"",INDEX('Disaggregation Records'!$I$69:$I$152,MATCH(RIGHT(Q386,255),RIGHT('Disaggregation Records'!$D$69:$D$152,255),0))),"")</f>
        <v/>
      </c>
      <c r="W386" s="189" t="str">
        <f>IFERROR(INDEX('Reference Records'!P$19:P$56,MATCH(LEFT(C386,255),'Reference Records'!J$19:J$56,0)),"")</f>
        <v/>
      </c>
    </row>
    <row r="387" spans="1:23" s="189" customFormat="1" ht="40.200000000000003" customHeight="1" x14ac:dyDescent="0.3">
      <c r="A387" s="678"/>
      <c r="B387" s="675"/>
      <c r="C387" s="667"/>
      <c r="D387" s="677"/>
      <c r="E387" s="677"/>
      <c r="F387" s="202"/>
      <c r="G387" s="669"/>
      <c r="H387" s="671"/>
      <c r="I387" s="673"/>
      <c r="J387" s="652"/>
      <c r="K387" s="667"/>
      <c r="L387" s="667"/>
      <c r="M387" s="652"/>
      <c r="N387" s="652"/>
      <c r="V387" s="189" t="str">
        <f t="array" ref="V387">IFERROR(IF(INDEX('Disaggregation Records'!$I$69:$I$152,MATCH(RIGHT(Q387,255),RIGHT('Disaggregation Records'!$D$69:$D$152,255),0))=0,"",INDEX('Disaggregation Records'!$I$69:$I$152,MATCH(RIGHT(Q387,255),RIGHT('Disaggregation Records'!$D$69:$D$152,255),0))),"")</f>
        <v/>
      </c>
    </row>
    <row r="388" spans="1:23" s="189" customFormat="1" ht="40.200000000000003" customHeight="1" x14ac:dyDescent="0.3">
      <c r="A388" s="678" t="str">
        <f t="shared" ref="A388" ca="1" si="1508">INDIRECT("'update Helper'!C"&amp;U388)</f>
        <v>a1V3p000004fwu6EAA</v>
      </c>
      <c r="B388" s="674">
        <v>4</v>
      </c>
      <c r="C388" s="666" t="str">
        <f>IFERROR(VLOOKUP(B388,'Outcome Indicators - Section C '!$A$9:$AF$70,32,FALSE),"")</f>
        <v xml:space="preserve">HIV O-15-Other1: Pourcentage de personnes vivant avec le VIH déclarant avoir été victimes de discrimination liée au VIH </v>
      </c>
      <c r="D388" s="676" t="str">
        <f t="shared" ref="D388" si="1509">R388</f>
        <v/>
      </c>
      <c r="E388" s="676" t="str">
        <f t="shared" ref="E388" si="1510">S388</f>
        <v/>
      </c>
      <c r="F388" s="194"/>
      <c r="G388" s="668" t="str">
        <f t="shared" ref="G388" ca="1" si="1511">IF(OR(INDIRECT("'update Helper'!E"&amp;U388)=0,F388&lt;&gt;0,F389&lt;&gt;0),IF(IFERROR((F388/F389),"")="","",(F388/F389)),INDIRECT("'update Helper'!E"&amp;U388)/100)</f>
        <v/>
      </c>
      <c r="H388" s="670"/>
      <c r="I388" s="672"/>
      <c r="J388" s="651"/>
      <c r="K388" s="666" t="str">
        <f t="shared" ref="K388" si="1512">W388</f>
        <v/>
      </c>
      <c r="L388" s="666" t="str">
        <f t="shared" ref="L388" si="1513">V388</f>
        <v/>
      </c>
      <c r="M388" s="651"/>
      <c r="N388" s="651"/>
      <c r="P388" s="189">
        <f t="shared" ref="P388" si="1514">IF(AND(EXACT(C388,C386),C386&lt;&gt;0),P386+1,0)</f>
        <v>6</v>
      </c>
      <c r="Q388" s="189" t="str">
        <f t="shared" ref="Q388" si="1515">IF(C388&lt;&gt;"",C388&amp;"-"&amp;P388,"")</f>
        <v>HIV O-15-Other1: Pourcentage de personnes vivant avec le VIH déclarant avoir été victimes de discrimination liée au VIH -6</v>
      </c>
      <c r="R388" s="189" t="str">
        <f t="array" ref="R388">IFERROR(IF(INDEX('Disaggregation Records'!$E$69:$E$152,MATCH(RIGHT(Q388,255),RIGHT('Disaggregation Records'!$D$69:$D$152,255),0))=0,"",INDEX('Disaggregation Records'!$E$69:$E$152,MATCH(RIGHT(Q388,255),RIGHT('Disaggregation Records'!$D$69:$D$152,255),0))),"")</f>
        <v/>
      </c>
      <c r="S388" s="189" t="str">
        <f t="array" ref="S388">IFERROR(IF(INDEX('Disaggregation Records'!$F$69:$F$152,MATCH(RIGHT(Q388,255),RIGHT('Disaggregation Records'!$D$69:$D$152,255),0))=0,"",INDEX('Disaggregation Records'!$F$69:$F$152,MATCH(RIGHT(Q388,255),RIGHT('Disaggregation Records'!$D$69:$D$152,255),0))),"")</f>
        <v/>
      </c>
      <c r="T388" s="189" t="str">
        <f t="array" ref="T388">IFERROR(IF(INDEX('Disaggregation Records'!$H$69:$H$152,MATCH(RIGHT(Q388,255),RIGHT('Disaggregation Records'!$D$69:$D$152,255),0))=0,"",INDEX('Disaggregation Records'!$H$69:$H$152,MATCH(RIGHT(Q388,255),RIGHT('Disaggregation Records'!$D$69:$D$152,255),0))),"")</f>
        <v/>
      </c>
      <c r="U388" s="189">
        <f t="shared" ref="U388" si="1516">U386+1</f>
        <v>915</v>
      </c>
      <c r="V388" s="189" t="str">
        <f t="array" ref="V388">IFERROR(IF(INDEX('Disaggregation Records'!$I$69:$I$152,MATCH(RIGHT(Q388,255),RIGHT('Disaggregation Records'!$D$69:$D$152,255),0))=0,"",INDEX('Disaggregation Records'!$I$69:$I$152,MATCH(RIGHT(Q388,255),RIGHT('Disaggregation Records'!$D$69:$D$152,255),0))),"")</f>
        <v/>
      </c>
      <c r="W388" s="189" t="str">
        <f>IFERROR(INDEX('Reference Records'!P$19:P$56,MATCH(LEFT(C388,255),'Reference Records'!J$19:J$56,0)),"")</f>
        <v/>
      </c>
    </row>
    <row r="389" spans="1:23" s="189" customFormat="1" ht="40.200000000000003" customHeight="1" x14ac:dyDescent="0.3">
      <c r="A389" s="678"/>
      <c r="B389" s="675"/>
      <c r="C389" s="667"/>
      <c r="D389" s="677"/>
      <c r="E389" s="677"/>
      <c r="F389" s="202"/>
      <c r="G389" s="669"/>
      <c r="H389" s="671"/>
      <c r="I389" s="673"/>
      <c r="J389" s="652"/>
      <c r="K389" s="667"/>
      <c r="L389" s="667"/>
      <c r="M389" s="652"/>
      <c r="N389" s="652"/>
      <c r="V389" s="189" t="str">
        <f t="array" ref="V389">IFERROR(IF(INDEX('Disaggregation Records'!$I$69:$I$152,MATCH(RIGHT(Q389,255),RIGHT('Disaggregation Records'!$D$69:$D$152,255),0))=0,"",INDEX('Disaggregation Records'!$I$69:$I$152,MATCH(RIGHT(Q389,255),RIGHT('Disaggregation Records'!$D$69:$D$152,255),0))),"")</f>
        <v/>
      </c>
    </row>
    <row r="390" spans="1:23" s="189" customFormat="1" ht="40.200000000000003" customHeight="1" x14ac:dyDescent="0.3">
      <c r="A390" s="678" t="str">
        <f t="shared" ref="A390" ca="1" si="1517">INDIRECT("'update Helper'!C"&amp;U390)</f>
        <v>a1V3p000004fwu7EAA</v>
      </c>
      <c r="B390" s="674">
        <v>4</v>
      </c>
      <c r="C390" s="666" t="str">
        <f>IFERROR(VLOOKUP(B390,'Outcome Indicators - Section C '!$A$9:$AF$70,32,FALSE),"")</f>
        <v xml:space="preserve">HIV O-15-Other1: Pourcentage de personnes vivant avec le VIH déclarant avoir été victimes de discrimination liée au VIH </v>
      </c>
      <c r="D390" s="676" t="str">
        <f t="shared" ref="D390" si="1518">R390</f>
        <v/>
      </c>
      <c r="E390" s="676" t="str">
        <f t="shared" ref="E390" si="1519">S390</f>
        <v/>
      </c>
      <c r="F390" s="194"/>
      <c r="G390" s="668" t="str">
        <f t="shared" ref="G390" ca="1" si="1520">IF(OR(INDIRECT("'update Helper'!E"&amp;U390)=0,F390&lt;&gt;0,F391&lt;&gt;0),IF(IFERROR((F390/F391),"")="","",(F390/F391)),INDIRECT("'update Helper'!E"&amp;U390)/100)</f>
        <v/>
      </c>
      <c r="H390" s="670"/>
      <c r="I390" s="672"/>
      <c r="J390" s="651"/>
      <c r="K390" s="666" t="str">
        <f t="shared" ref="K390" si="1521">W390</f>
        <v/>
      </c>
      <c r="L390" s="666" t="str">
        <f t="shared" ref="L390" si="1522">V390</f>
        <v/>
      </c>
      <c r="M390" s="651"/>
      <c r="N390" s="651"/>
      <c r="P390" s="189">
        <f t="shared" ref="P390" si="1523">IF(AND(EXACT(C390,C388),C388&lt;&gt;0),P388+1,0)</f>
        <v>7</v>
      </c>
      <c r="Q390" s="189" t="str">
        <f t="shared" ref="Q390" si="1524">IF(C390&lt;&gt;"",C390&amp;"-"&amp;P390,"")</f>
        <v>HIV O-15-Other1: Pourcentage de personnes vivant avec le VIH déclarant avoir été victimes de discrimination liée au VIH -7</v>
      </c>
      <c r="R390" s="189" t="str">
        <f t="array" ref="R390">IFERROR(IF(INDEX('Disaggregation Records'!$E$69:$E$152,MATCH(RIGHT(Q390,255),RIGHT('Disaggregation Records'!$D$69:$D$152,255),0))=0,"",INDEX('Disaggregation Records'!$E$69:$E$152,MATCH(RIGHT(Q390,255),RIGHT('Disaggregation Records'!$D$69:$D$152,255),0))),"")</f>
        <v/>
      </c>
      <c r="S390" s="189" t="str">
        <f t="array" ref="S390">IFERROR(IF(INDEX('Disaggregation Records'!$F$69:$F$152,MATCH(RIGHT(Q390,255),RIGHT('Disaggregation Records'!$D$69:$D$152,255),0))=0,"",INDEX('Disaggregation Records'!$F$69:$F$152,MATCH(RIGHT(Q390,255),RIGHT('Disaggregation Records'!$D$69:$D$152,255),0))),"")</f>
        <v/>
      </c>
      <c r="T390" s="189" t="str">
        <f t="array" ref="T390">IFERROR(IF(INDEX('Disaggregation Records'!$H$69:$H$152,MATCH(RIGHT(Q390,255),RIGHT('Disaggregation Records'!$D$69:$D$152,255),0))=0,"",INDEX('Disaggregation Records'!$H$69:$H$152,MATCH(RIGHT(Q390,255),RIGHT('Disaggregation Records'!$D$69:$D$152,255),0))),"")</f>
        <v/>
      </c>
      <c r="U390" s="189">
        <f t="shared" ref="U390" si="1525">U388+1</f>
        <v>916</v>
      </c>
      <c r="V390" s="189" t="str">
        <f t="array" ref="V390">IFERROR(IF(INDEX('Disaggregation Records'!$I$69:$I$152,MATCH(RIGHT(Q390,255),RIGHT('Disaggregation Records'!$D$69:$D$152,255),0))=0,"",INDEX('Disaggregation Records'!$I$69:$I$152,MATCH(RIGHT(Q390,255),RIGHT('Disaggregation Records'!$D$69:$D$152,255),0))),"")</f>
        <v/>
      </c>
      <c r="W390" s="189" t="str">
        <f>IFERROR(INDEX('Reference Records'!P$19:P$56,MATCH(LEFT(C390,255),'Reference Records'!J$19:J$56,0)),"")</f>
        <v/>
      </c>
    </row>
    <row r="391" spans="1:23" s="189" customFormat="1" ht="40.200000000000003" customHeight="1" x14ac:dyDescent="0.3">
      <c r="A391" s="678"/>
      <c r="B391" s="675"/>
      <c r="C391" s="667"/>
      <c r="D391" s="677"/>
      <c r="E391" s="677"/>
      <c r="F391" s="202"/>
      <c r="G391" s="669"/>
      <c r="H391" s="671"/>
      <c r="I391" s="673"/>
      <c r="J391" s="652"/>
      <c r="K391" s="667"/>
      <c r="L391" s="667"/>
      <c r="M391" s="652"/>
      <c r="N391" s="652"/>
      <c r="V391" s="189" t="str">
        <f t="array" ref="V391">IFERROR(IF(INDEX('Disaggregation Records'!$I$69:$I$152,MATCH(RIGHT(Q391,255),RIGHT('Disaggregation Records'!$D$69:$D$152,255),0))=0,"",INDEX('Disaggregation Records'!$I$69:$I$152,MATCH(RIGHT(Q391,255),RIGHT('Disaggregation Records'!$D$69:$D$152,255),0))),"")</f>
        <v/>
      </c>
    </row>
    <row r="392" spans="1:23" s="189" customFormat="1" ht="40.200000000000003" customHeight="1" x14ac:dyDescent="0.3">
      <c r="A392" s="678" t="str">
        <f t="shared" ref="A392" ca="1" si="1526">INDIRECT("'update Helper'!C"&amp;U392)</f>
        <v>a1V3p000004fwu8EAA</v>
      </c>
      <c r="B392" s="674">
        <v>4</v>
      </c>
      <c r="C392" s="666" t="str">
        <f>IFERROR(VLOOKUP(B392,'Outcome Indicators - Section C '!$A$9:$AF$70,32,FALSE),"")</f>
        <v xml:space="preserve">HIV O-15-Other1: Pourcentage de personnes vivant avec le VIH déclarant avoir été victimes de discrimination liée au VIH </v>
      </c>
      <c r="D392" s="676" t="str">
        <f t="shared" ref="D392" si="1527">R392</f>
        <v/>
      </c>
      <c r="E392" s="676" t="str">
        <f t="shared" ref="E392" si="1528">S392</f>
        <v/>
      </c>
      <c r="F392" s="194"/>
      <c r="G392" s="668" t="str">
        <f t="shared" ref="G392" ca="1" si="1529">IF(OR(INDIRECT("'update Helper'!E"&amp;U392)=0,F392&lt;&gt;0,F393&lt;&gt;0),IF(IFERROR((F392/F393),"")="","",(F392/F393)),INDIRECT("'update Helper'!E"&amp;U392)/100)</f>
        <v/>
      </c>
      <c r="H392" s="670"/>
      <c r="I392" s="672"/>
      <c r="J392" s="651"/>
      <c r="K392" s="666" t="str">
        <f t="shared" ref="K392" si="1530">W392</f>
        <v/>
      </c>
      <c r="L392" s="666" t="str">
        <f t="shared" ref="L392" si="1531">V392</f>
        <v/>
      </c>
      <c r="M392" s="651"/>
      <c r="N392" s="651"/>
      <c r="P392" s="189">
        <f t="shared" ref="P392" si="1532">IF(AND(EXACT(C392,C390),C390&lt;&gt;0),P390+1,0)</f>
        <v>8</v>
      </c>
      <c r="Q392" s="189" t="str">
        <f t="shared" ref="Q392" si="1533">IF(C392&lt;&gt;"",C392&amp;"-"&amp;P392,"")</f>
        <v>HIV O-15-Other1: Pourcentage de personnes vivant avec le VIH déclarant avoir été victimes de discrimination liée au VIH -8</v>
      </c>
      <c r="R392" s="189" t="str">
        <f t="array" ref="R392">IFERROR(IF(INDEX('Disaggregation Records'!$E$69:$E$152,MATCH(RIGHT(Q392,255),RIGHT('Disaggregation Records'!$D$69:$D$152,255),0))=0,"",INDEX('Disaggregation Records'!$E$69:$E$152,MATCH(RIGHT(Q392,255),RIGHT('Disaggregation Records'!$D$69:$D$152,255),0))),"")</f>
        <v/>
      </c>
      <c r="S392" s="189" t="str">
        <f t="array" ref="S392">IFERROR(IF(INDEX('Disaggregation Records'!$F$69:$F$152,MATCH(RIGHT(Q392,255),RIGHT('Disaggregation Records'!$D$69:$D$152,255),0))=0,"",INDEX('Disaggregation Records'!$F$69:$F$152,MATCH(RIGHT(Q392,255),RIGHT('Disaggregation Records'!$D$69:$D$152,255),0))),"")</f>
        <v/>
      </c>
      <c r="T392" s="189" t="str">
        <f t="array" ref="T392">IFERROR(IF(INDEX('Disaggregation Records'!$H$69:$H$152,MATCH(RIGHT(Q392,255),RIGHT('Disaggregation Records'!$D$69:$D$152,255),0))=0,"",INDEX('Disaggregation Records'!$H$69:$H$152,MATCH(RIGHT(Q392,255),RIGHT('Disaggregation Records'!$D$69:$D$152,255),0))),"")</f>
        <v/>
      </c>
      <c r="U392" s="189">
        <f t="shared" ref="U392" si="1534">U390+1</f>
        <v>917</v>
      </c>
      <c r="V392" s="189" t="str">
        <f t="array" ref="V392">IFERROR(IF(INDEX('Disaggregation Records'!$I$69:$I$152,MATCH(RIGHT(Q392,255),RIGHT('Disaggregation Records'!$D$69:$D$152,255),0))=0,"",INDEX('Disaggregation Records'!$I$69:$I$152,MATCH(RIGHT(Q392,255),RIGHT('Disaggregation Records'!$D$69:$D$152,255),0))),"")</f>
        <v/>
      </c>
      <c r="W392" s="189" t="str">
        <f>IFERROR(INDEX('Reference Records'!P$19:P$56,MATCH(LEFT(C392,255),'Reference Records'!J$19:J$56,0)),"")</f>
        <v/>
      </c>
    </row>
    <row r="393" spans="1:23" s="189" customFormat="1" ht="40.200000000000003" customHeight="1" x14ac:dyDescent="0.3">
      <c r="A393" s="678"/>
      <c r="B393" s="675"/>
      <c r="C393" s="667"/>
      <c r="D393" s="677"/>
      <c r="E393" s="677"/>
      <c r="F393" s="202"/>
      <c r="G393" s="669"/>
      <c r="H393" s="671"/>
      <c r="I393" s="673"/>
      <c r="J393" s="652"/>
      <c r="K393" s="667"/>
      <c r="L393" s="667"/>
      <c r="M393" s="652"/>
      <c r="N393" s="652"/>
      <c r="V393" s="189" t="str">
        <f t="array" ref="V393">IFERROR(IF(INDEX('Disaggregation Records'!$I$69:$I$152,MATCH(RIGHT(Q393,255),RIGHT('Disaggregation Records'!$D$69:$D$152,255),0))=0,"",INDEX('Disaggregation Records'!$I$69:$I$152,MATCH(RIGHT(Q393,255),RIGHT('Disaggregation Records'!$D$69:$D$152,255),0))),"")</f>
        <v/>
      </c>
    </row>
    <row r="394" spans="1:23" s="189" customFormat="1" ht="40.200000000000003" customHeight="1" x14ac:dyDescent="0.3">
      <c r="A394" s="678" t="str">
        <f t="shared" ref="A394" ca="1" si="1535">INDIRECT("'update Helper'!C"&amp;U394)</f>
        <v>a1V3p000004fwu9EAA</v>
      </c>
      <c r="B394" s="674">
        <v>4</v>
      </c>
      <c r="C394" s="666" t="str">
        <f>IFERROR(VLOOKUP(B394,'Outcome Indicators - Section C '!$A$9:$AF$70,32,FALSE),"")</f>
        <v xml:space="preserve">HIV O-15-Other1: Pourcentage de personnes vivant avec le VIH déclarant avoir été victimes de discrimination liée au VIH </v>
      </c>
      <c r="D394" s="676" t="str">
        <f t="shared" ref="D394" si="1536">R394</f>
        <v/>
      </c>
      <c r="E394" s="676" t="str">
        <f t="shared" ref="E394" si="1537">S394</f>
        <v/>
      </c>
      <c r="F394" s="194"/>
      <c r="G394" s="668" t="str">
        <f t="shared" ref="G394" ca="1" si="1538">IF(OR(INDIRECT("'update Helper'!E"&amp;U394)=0,F394&lt;&gt;0,F395&lt;&gt;0),IF(IFERROR((F394/F395),"")="","",(F394/F395)),INDIRECT("'update Helper'!E"&amp;U394)/100)</f>
        <v/>
      </c>
      <c r="H394" s="670"/>
      <c r="I394" s="672"/>
      <c r="J394" s="651"/>
      <c r="K394" s="666" t="str">
        <f t="shared" ref="K394" si="1539">W394</f>
        <v/>
      </c>
      <c r="L394" s="666" t="str">
        <f t="shared" ref="L394" si="1540">V394</f>
        <v/>
      </c>
      <c r="M394" s="651"/>
      <c r="N394" s="651"/>
      <c r="P394" s="189">
        <f t="shared" ref="P394" si="1541">IF(AND(EXACT(C394,C392),C392&lt;&gt;0),P392+1,0)</f>
        <v>9</v>
      </c>
      <c r="Q394" s="189" t="str">
        <f t="shared" ref="Q394" si="1542">IF(C394&lt;&gt;"",C394&amp;"-"&amp;P394,"")</f>
        <v>HIV O-15-Other1: Pourcentage de personnes vivant avec le VIH déclarant avoir été victimes de discrimination liée au VIH -9</v>
      </c>
      <c r="R394" s="189" t="str">
        <f t="array" ref="R394">IFERROR(IF(INDEX('Disaggregation Records'!$E$69:$E$152,MATCH(RIGHT(Q394,255),RIGHT('Disaggregation Records'!$D$69:$D$152,255),0))=0,"",INDEX('Disaggregation Records'!$E$69:$E$152,MATCH(RIGHT(Q394,255),RIGHT('Disaggregation Records'!$D$69:$D$152,255),0))),"")</f>
        <v/>
      </c>
      <c r="S394" s="189" t="str">
        <f t="array" ref="S394">IFERROR(IF(INDEX('Disaggregation Records'!$F$69:$F$152,MATCH(RIGHT(Q394,255),RIGHT('Disaggregation Records'!$D$69:$D$152,255),0))=0,"",INDEX('Disaggregation Records'!$F$69:$F$152,MATCH(RIGHT(Q394,255),RIGHT('Disaggregation Records'!$D$69:$D$152,255),0))),"")</f>
        <v/>
      </c>
      <c r="T394" s="189" t="str">
        <f t="array" ref="T394">IFERROR(IF(INDEX('Disaggregation Records'!$H$69:$H$152,MATCH(RIGHT(Q394,255),RIGHT('Disaggregation Records'!$D$69:$D$152,255),0))=0,"",INDEX('Disaggregation Records'!$H$69:$H$152,MATCH(RIGHT(Q394,255),RIGHT('Disaggregation Records'!$D$69:$D$152,255),0))),"")</f>
        <v/>
      </c>
      <c r="U394" s="189">
        <f t="shared" ref="U394" si="1543">U392+1</f>
        <v>918</v>
      </c>
      <c r="V394" s="189" t="str">
        <f t="array" ref="V394">IFERROR(IF(INDEX('Disaggregation Records'!$I$69:$I$152,MATCH(RIGHT(Q394,255),RIGHT('Disaggregation Records'!$D$69:$D$152,255),0))=0,"",INDEX('Disaggregation Records'!$I$69:$I$152,MATCH(RIGHT(Q394,255),RIGHT('Disaggregation Records'!$D$69:$D$152,255),0))),"")</f>
        <v/>
      </c>
      <c r="W394" s="189" t="str">
        <f>IFERROR(INDEX('Reference Records'!P$19:P$56,MATCH(LEFT(C394,255),'Reference Records'!J$19:J$56,0)),"")</f>
        <v/>
      </c>
    </row>
    <row r="395" spans="1:23" s="189" customFormat="1" ht="40.200000000000003" customHeight="1" x14ac:dyDescent="0.3">
      <c r="A395" s="678"/>
      <c r="B395" s="675"/>
      <c r="C395" s="667"/>
      <c r="D395" s="677"/>
      <c r="E395" s="677"/>
      <c r="F395" s="202"/>
      <c r="G395" s="669"/>
      <c r="H395" s="671"/>
      <c r="I395" s="673"/>
      <c r="J395" s="652"/>
      <c r="K395" s="667"/>
      <c r="L395" s="667"/>
      <c r="M395" s="652"/>
      <c r="N395" s="652"/>
      <c r="V395" s="189" t="str">
        <f t="array" ref="V395">IFERROR(IF(INDEX('Disaggregation Records'!$I$69:$I$152,MATCH(RIGHT(Q395,255),RIGHT('Disaggregation Records'!$D$69:$D$152,255),0))=0,"",INDEX('Disaggregation Records'!$I$69:$I$152,MATCH(RIGHT(Q395,255),RIGHT('Disaggregation Records'!$D$69:$D$152,255),0))),"")</f>
        <v/>
      </c>
    </row>
    <row r="396" spans="1:23" s="189" customFormat="1" ht="40.200000000000003" customHeight="1" x14ac:dyDescent="0.3">
      <c r="A396" s="678" t="str">
        <f t="shared" ref="A396" ca="1" si="1544">INDIRECT("'update Helper'!C"&amp;U396)</f>
        <v>a1V3p000004fwuAEAQ</v>
      </c>
      <c r="B396" s="674">
        <v>5</v>
      </c>
      <c r="C396" s="666" t="str">
        <f>IFERROR(VLOOKUP(B396,'Outcome Indicators - Section C '!$A$9:$AF$70,32,FALSE),"")</f>
        <v/>
      </c>
      <c r="D396" s="676" t="str">
        <f t="shared" ref="D396" si="1545">R396</f>
        <v/>
      </c>
      <c r="E396" s="676" t="str">
        <f t="shared" ref="E396" si="1546">S396</f>
        <v/>
      </c>
      <c r="F396" s="194"/>
      <c r="G396" s="668" t="str">
        <f t="shared" ref="G396" ca="1" si="1547">IF(OR(INDIRECT("'update Helper'!E"&amp;U396)=0,F396&lt;&gt;0,F397&lt;&gt;0),IF(IFERROR((F396/F397),"")="","",(F396/F397)),INDIRECT("'update Helper'!E"&amp;U396)/100)</f>
        <v/>
      </c>
      <c r="H396" s="670"/>
      <c r="I396" s="672"/>
      <c r="J396" s="651"/>
      <c r="K396" s="666" t="str">
        <f t="shared" ref="K396" si="1548">W396</f>
        <v/>
      </c>
      <c r="L396" s="666" t="str">
        <f t="shared" ref="L396" si="1549">V396</f>
        <v/>
      </c>
      <c r="M396" s="651"/>
      <c r="N396" s="651"/>
      <c r="P396" s="189">
        <f t="shared" ref="P396" si="1550">IF(AND(EXACT(C396,C394),C394&lt;&gt;0),P394+1,0)</f>
        <v>0</v>
      </c>
      <c r="Q396" s="189" t="str">
        <f t="shared" ref="Q396" si="1551">IF(C396&lt;&gt;"",C396&amp;"-"&amp;P396,"")</f>
        <v/>
      </c>
      <c r="R396" s="189" t="str">
        <f t="array" ref="R396">IFERROR(IF(INDEX('Disaggregation Records'!$E$69:$E$152,MATCH(RIGHT(Q396,255),RIGHT('Disaggregation Records'!$D$69:$D$152,255),0))=0,"",INDEX('Disaggregation Records'!$E$69:$E$152,MATCH(RIGHT(Q396,255),RIGHT('Disaggregation Records'!$D$69:$D$152,255),0))),"")</f>
        <v/>
      </c>
      <c r="S396" s="189" t="str">
        <f t="array" ref="S396">IFERROR(IF(INDEX('Disaggregation Records'!$F$69:$F$152,MATCH(RIGHT(Q396,255),RIGHT('Disaggregation Records'!$D$69:$D$152,255),0))=0,"",INDEX('Disaggregation Records'!$F$69:$F$152,MATCH(RIGHT(Q396,255),RIGHT('Disaggregation Records'!$D$69:$D$152,255),0))),"")</f>
        <v/>
      </c>
      <c r="T396" s="189" t="str">
        <f t="array" ref="T396">IFERROR(IF(INDEX('Disaggregation Records'!$H$69:$H$152,MATCH(RIGHT(Q396,255),RIGHT('Disaggregation Records'!$D$69:$D$152,255),0))=0,"",INDEX('Disaggregation Records'!$H$69:$H$152,MATCH(RIGHT(Q396,255),RIGHT('Disaggregation Records'!$D$69:$D$152,255),0))),"")</f>
        <v/>
      </c>
      <c r="U396" s="189">
        <f t="shared" ref="U396" si="1552">U394+1</f>
        <v>919</v>
      </c>
      <c r="V396" s="189" t="str">
        <f t="array" ref="V396">IFERROR(IF(INDEX('Disaggregation Records'!$I$69:$I$152,MATCH(RIGHT(Q396,255),RIGHT('Disaggregation Records'!$D$69:$D$152,255),0))=0,"",INDEX('Disaggregation Records'!$I$69:$I$152,MATCH(RIGHT(Q396,255),RIGHT('Disaggregation Records'!$D$69:$D$152,255),0))),"")</f>
        <v/>
      </c>
      <c r="W396" s="189" t="str">
        <f>IFERROR(INDEX('Reference Records'!P$19:P$56,MATCH(LEFT(C396,255),'Reference Records'!J$19:J$56,0)),"")</f>
        <v/>
      </c>
    </row>
    <row r="397" spans="1:23" s="189" customFormat="1" ht="40.200000000000003" customHeight="1" x14ac:dyDescent="0.3">
      <c r="A397" s="678"/>
      <c r="B397" s="675"/>
      <c r="C397" s="667"/>
      <c r="D397" s="677"/>
      <c r="E397" s="677"/>
      <c r="F397" s="202"/>
      <c r="G397" s="669"/>
      <c r="H397" s="671"/>
      <c r="I397" s="673"/>
      <c r="J397" s="652"/>
      <c r="K397" s="667"/>
      <c r="L397" s="667"/>
      <c r="M397" s="652"/>
      <c r="N397" s="652"/>
      <c r="V397" s="189" t="str">
        <f t="array" ref="V397">IFERROR(IF(INDEX('Disaggregation Records'!$I$69:$I$152,MATCH(RIGHT(Q397,255),RIGHT('Disaggregation Records'!$D$69:$D$152,255),0))=0,"",INDEX('Disaggregation Records'!$I$69:$I$152,MATCH(RIGHT(Q397,255),RIGHT('Disaggregation Records'!$D$69:$D$152,255),0))),"")</f>
        <v/>
      </c>
    </row>
    <row r="398" spans="1:23" s="189" customFormat="1" ht="40.200000000000003" customHeight="1" x14ac:dyDescent="0.3">
      <c r="A398" s="678" t="str">
        <f t="shared" ref="A398" ca="1" si="1553">INDIRECT("'update Helper'!C"&amp;U398)</f>
        <v>a1V3p000004fwuBEAQ</v>
      </c>
      <c r="B398" s="674">
        <v>5</v>
      </c>
      <c r="C398" s="666" t="str">
        <f>IFERROR(VLOOKUP(B398,'Outcome Indicators - Section C '!$A$9:$AF$70,32,FALSE),"")</f>
        <v/>
      </c>
      <c r="D398" s="676" t="str">
        <f t="shared" ref="D398" si="1554">R398</f>
        <v/>
      </c>
      <c r="E398" s="676" t="str">
        <f t="shared" ref="E398" si="1555">S398</f>
        <v/>
      </c>
      <c r="F398" s="194"/>
      <c r="G398" s="668" t="str">
        <f t="shared" ref="G398" ca="1" si="1556">IF(OR(INDIRECT("'update Helper'!E"&amp;U398)=0,F398&lt;&gt;0,F399&lt;&gt;0),IF(IFERROR((F398/F399),"")="","",(F398/F399)),INDIRECT("'update Helper'!E"&amp;U398)/100)</f>
        <v/>
      </c>
      <c r="H398" s="670"/>
      <c r="I398" s="672"/>
      <c r="J398" s="651"/>
      <c r="K398" s="666" t="str">
        <f t="shared" ref="K398" si="1557">W398</f>
        <v/>
      </c>
      <c r="L398" s="666" t="str">
        <f t="shared" ref="L398" si="1558">V398</f>
        <v/>
      </c>
      <c r="M398" s="651"/>
      <c r="N398" s="651"/>
      <c r="P398" s="189">
        <f t="shared" ref="P398" si="1559">IF(AND(EXACT(C398,C396),C396&lt;&gt;0),P396+1,0)</f>
        <v>1</v>
      </c>
      <c r="Q398" s="189" t="str">
        <f t="shared" ref="Q398" si="1560">IF(C398&lt;&gt;"",C398&amp;"-"&amp;P398,"")</f>
        <v/>
      </c>
      <c r="R398" s="189" t="str">
        <f t="array" ref="R398">IFERROR(IF(INDEX('Disaggregation Records'!$E$69:$E$152,MATCH(RIGHT(Q398,255),RIGHT('Disaggregation Records'!$D$69:$D$152,255),0))=0,"",INDEX('Disaggregation Records'!$E$69:$E$152,MATCH(RIGHT(Q398,255),RIGHT('Disaggregation Records'!$D$69:$D$152,255),0))),"")</f>
        <v/>
      </c>
      <c r="S398" s="189" t="str">
        <f t="array" ref="S398">IFERROR(IF(INDEX('Disaggregation Records'!$F$69:$F$152,MATCH(RIGHT(Q398,255),RIGHT('Disaggregation Records'!$D$69:$D$152,255),0))=0,"",INDEX('Disaggregation Records'!$F$69:$F$152,MATCH(RIGHT(Q398,255),RIGHT('Disaggregation Records'!$D$69:$D$152,255),0))),"")</f>
        <v/>
      </c>
      <c r="T398" s="189" t="str">
        <f t="array" ref="T398">IFERROR(IF(INDEX('Disaggregation Records'!$H$69:$H$152,MATCH(RIGHT(Q398,255),RIGHT('Disaggregation Records'!$D$69:$D$152,255),0))=0,"",INDEX('Disaggregation Records'!$H$69:$H$152,MATCH(RIGHT(Q398,255),RIGHT('Disaggregation Records'!$D$69:$D$152,255),0))),"")</f>
        <v/>
      </c>
      <c r="U398" s="189">
        <f t="shared" ref="U398" si="1561">U396+1</f>
        <v>920</v>
      </c>
      <c r="V398" s="189" t="str">
        <f t="array" ref="V398">IFERROR(IF(INDEX('Disaggregation Records'!$I$69:$I$152,MATCH(RIGHT(Q398,255),RIGHT('Disaggregation Records'!$D$69:$D$152,255),0))=0,"",INDEX('Disaggregation Records'!$I$69:$I$152,MATCH(RIGHT(Q398,255),RIGHT('Disaggregation Records'!$D$69:$D$152,255),0))),"")</f>
        <v/>
      </c>
      <c r="W398" s="189" t="str">
        <f>IFERROR(INDEX('Reference Records'!P$19:P$56,MATCH(LEFT(C398,255),'Reference Records'!J$19:J$56,0)),"")</f>
        <v/>
      </c>
    </row>
    <row r="399" spans="1:23" s="189" customFormat="1" ht="40.200000000000003" customHeight="1" x14ac:dyDescent="0.3">
      <c r="A399" s="678"/>
      <c r="B399" s="675"/>
      <c r="C399" s="667"/>
      <c r="D399" s="677"/>
      <c r="E399" s="677"/>
      <c r="F399" s="202"/>
      <c r="G399" s="669"/>
      <c r="H399" s="671"/>
      <c r="I399" s="673"/>
      <c r="J399" s="652"/>
      <c r="K399" s="667"/>
      <c r="L399" s="667"/>
      <c r="M399" s="652"/>
      <c r="N399" s="652"/>
      <c r="V399" s="189" t="str">
        <f t="array" ref="V399">IFERROR(IF(INDEX('Disaggregation Records'!$I$69:$I$152,MATCH(RIGHT(Q399,255),RIGHT('Disaggregation Records'!$D$69:$D$152,255),0))=0,"",INDEX('Disaggregation Records'!$I$69:$I$152,MATCH(RIGHT(Q399,255),RIGHT('Disaggregation Records'!$D$69:$D$152,255),0))),"")</f>
        <v/>
      </c>
    </row>
    <row r="400" spans="1:23" s="189" customFormat="1" ht="40.200000000000003" customHeight="1" x14ac:dyDescent="0.3">
      <c r="A400" s="678" t="str">
        <f t="shared" ref="A400" ca="1" si="1562">INDIRECT("'update Helper'!C"&amp;U400)</f>
        <v>a1V3p000004fwuCEAQ</v>
      </c>
      <c r="B400" s="674">
        <v>5</v>
      </c>
      <c r="C400" s="666" t="str">
        <f>IFERROR(VLOOKUP(B400,'Outcome Indicators - Section C '!$A$9:$AF$70,32,FALSE),"")</f>
        <v/>
      </c>
      <c r="D400" s="676" t="str">
        <f t="shared" ref="D400" si="1563">R400</f>
        <v/>
      </c>
      <c r="E400" s="676" t="str">
        <f t="shared" ref="E400" si="1564">S400</f>
        <v/>
      </c>
      <c r="F400" s="194"/>
      <c r="G400" s="668" t="str">
        <f t="shared" ref="G400" ca="1" si="1565">IF(OR(INDIRECT("'update Helper'!E"&amp;U400)=0,F400&lt;&gt;0,F401&lt;&gt;0),IF(IFERROR((F400/F401),"")="","",(F400/F401)),INDIRECT("'update Helper'!E"&amp;U400)/100)</f>
        <v/>
      </c>
      <c r="H400" s="670"/>
      <c r="I400" s="672"/>
      <c r="J400" s="651"/>
      <c r="K400" s="666" t="str">
        <f t="shared" ref="K400" si="1566">W400</f>
        <v/>
      </c>
      <c r="L400" s="666" t="str">
        <f t="shared" ref="L400" si="1567">V400</f>
        <v/>
      </c>
      <c r="M400" s="651"/>
      <c r="N400" s="651"/>
      <c r="P400" s="189">
        <f t="shared" ref="P400" si="1568">IF(AND(EXACT(C400,C398),C398&lt;&gt;0),P398+1,0)</f>
        <v>2</v>
      </c>
      <c r="Q400" s="189" t="str">
        <f t="shared" ref="Q400" si="1569">IF(C400&lt;&gt;"",C400&amp;"-"&amp;P400,"")</f>
        <v/>
      </c>
      <c r="R400" s="189" t="str">
        <f t="array" ref="R400">IFERROR(IF(INDEX('Disaggregation Records'!$E$69:$E$152,MATCH(RIGHT(Q400,255),RIGHT('Disaggregation Records'!$D$69:$D$152,255),0))=0,"",INDEX('Disaggregation Records'!$E$69:$E$152,MATCH(RIGHT(Q400,255),RIGHT('Disaggregation Records'!$D$69:$D$152,255),0))),"")</f>
        <v/>
      </c>
      <c r="S400" s="189" t="str">
        <f t="array" ref="S400">IFERROR(IF(INDEX('Disaggregation Records'!$F$69:$F$152,MATCH(RIGHT(Q400,255),RIGHT('Disaggregation Records'!$D$69:$D$152,255),0))=0,"",INDEX('Disaggregation Records'!$F$69:$F$152,MATCH(RIGHT(Q400,255),RIGHT('Disaggregation Records'!$D$69:$D$152,255),0))),"")</f>
        <v/>
      </c>
      <c r="T400" s="189" t="str">
        <f t="array" ref="T400">IFERROR(IF(INDEX('Disaggregation Records'!$H$69:$H$152,MATCH(RIGHT(Q400,255),RIGHT('Disaggregation Records'!$D$69:$D$152,255),0))=0,"",INDEX('Disaggregation Records'!$H$69:$H$152,MATCH(RIGHT(Q400,255),RIGHT('Disaggregation Records'!$D$69:$D$152,255),0))),"")</f>
        <v/>
      </c>
      <c r="U400" s="189">
        <f t="shared" ref="U400" si="1570">U398+1</f>
        <v>921</v>
      </c>
      <c r="V400" s="189" t="str">
        <f t="array" ref="V400">IFERROR(IF(INDEX('Disaggregation Records'!$I$69:$I$152,MATCH(RIGHT(Q400,255),RIGHT('Disaggregation Records'!$D$69:$D$152,255),0))=0,"",INDEX('Disaggregation Records'!$I$69:$I$152,MATCH(RIGHT(Q400,255),RIGHT('Disaggregation Records'!$D$69:$D$152,255),0))),"")</f>
        <v/>
      </c>
      <c r="W400" s="189" t="str">
        <f>IFERROR(INDEX('Reference Records'!P$19:P$56,MATCH(LEFT(C400,255),'Reference Records'!J$19:J$56,0)),"")</f>
        <v/>
      </c>
    </row>
    <row r="401" spans="1:23" s="189" customFormat="1" ht="40.200000000000003" customHeight="1" x14ac:dyDescent="0.3">
      <c r="A401" s="678"/>
      <c r="B401" s="675"/>
      <c r="C401" s="667"/>
      <c r="D401" s="677"/>
      <c r="E401" s="677"/>
      <c r="F401" s="202"/>
      <c r="G401" s="669"/>
      <c r="H401" s="671"/>
      <c r="I401" s="673"/>
      <c r="J401" s="652"/>
      <c r="K401" s="667"/>
      <c r="L401" s="667"/>
      <c r="M401" s="652"/>
      <c r="N401" s="652"/>
      <c r="V401" s="189" t="str">
        <f t="array" ref="V401">IFERROR(IF(INDEX('Disaggregation Records'!$I$69:$I$152,MATCH(RIGHT(Q401,255),RIGHT('Disaggregation Records'!$D$69:$D$152,255),0))=0,"",INDEX('Disaggregation Records'!$I$69:$I$152,MATCH(RIGHT(Q401,255),RIGHT('Disaggregation Records'!$D$69:$D$152,255),0))),"")</f>
        <v/>
      </c>
    </row>
    <row r="402" spans="1:23" s="189" customFormat="1" ht="40.200000000000003" customHeight="1" x14ac:dyDescent="0.3">
      <c r="A402" s="678" t="str">
        <f t="shared" ref="A402" ca="1" si="1571">INDIRECT("'update Helper'!C"&amp;U402)</f>
        <v>a1V3p000004fwuDEAQ</v>
      </c>
      <c r="B402" s="674">
        <v>5</v>
      </c>
      <c r="C402" s="666" t="str">
        <f>IFERROR(VLOOKUP(B402,'Outcome Indicators - Section C '!$A$9:$AF$70,32,FALSE),"")</f>
        <v/>
      </c>
      <c r="D402" s="676" t="str">
        <f t="shared" ref="D402" si="1572">R402</f>
        <v/>
      </c>
      <c r="E402" s="676" t="str">
        <f t="shared" ref="E402" si="1573">S402</f>
        <v/>
      </c>
      <c r="F402" s="194"/>
      <c r="G402" s="668" t="str">
        <f t="shared" ref="G402" ca="1" si="1574">IF(OR(INDIRECT("'update Helper'!E"&amp;U402)=0,F402&lt;&gt;0,F403&lt;&gt;0),IF(IFERROR((F402/F403),"")="","",(F402/F403)),INDIRECT("'update Helper'!E"&amp;U402)/100)</f>
        <v/>
      </c>
      <c r="H402" s="670"/>
      <c r="I402" s="672"/>
      <c r="J402" s="651"/>
      <c r="K402" s="666" t="str">
        <f t="shared" ref="K402" si="1575">W402</f>
        <v/>
      </c>
      <c r="L402" s="666" t="str">
        <f t="shared" ref="L402" si="1576">V402</f>
        <v/>
      </c>
      <c r="M402" s="651"/>
      <c r="N402" s="651"/>
      <c r="P402" s="189">
        <f t="shared" ref="P402" si="1577">IF(AND(EXACT(C402,C400),C400&lt;&gt;0),P400+1,0)</f>
        <v>3</v>
      </c>
      <c r="Q402" s="189" t="str">
        <f t="shared" ref="Q402" si="1578">IF(C402&lt;&gt;"",C402&amp;"-"&amp;P402,"")</f>
        <v/>
      </c>
      <c r="R402" s="189" t="str">
        <f t="array" ref="R402">IFERROR(IF(INDEX('Disaggregation Records'!$E$69:$E$152,MATCH(RIGHT(Q402,255),RIGHT('Disaggregation Records'!$D$69:$D$152,255),0))=0,"",INDEX('Disaggregation Records'!$E$69:$E$152,MATCH(RIGHT(Q402,255),RIGHT('Disaggregation Records'!$D$69:$D$152,255),0))),"")</f>
        <v/>
      </c>
      <c r="S402" s="189" t="str">
        <f t="array" ref="S402">IFERROR(IF(INDEX('Disaggregation Records'!$F$69:$F$152,MATCH(RIGHT(Q402,255),RIGHT('Disaggregation Records'!$D$69:$D$152,255),0))=0,"",INDEX('Disaggregation Records'!$F$69:$F$152,MATCH(RIGHT(Q402,255),RIGHT('Disaggregation Records'!$D$69:$D$152,255),0))),"")</f>
        <v/>
      </c>
      <c r="T402" s="189" t="str">
        <f t="array" ref="T402">IFERROR(IF(INDEX('Disaggregation Records'!$H$69:$H$152,MATCH(RIGHT(Q402,255),RIGHT('Disaggregation Records'!$D$69:$D$152,255),0))=0,"",INDEX('Disaggregation Records'!$H$69:$H$152,MATCH(RIGHT(Q402,255),RIGHT('Disaggregation Records'!$D$69:$D$152,255),0))),"")</f>
        <v/>
      </c>
      <c r="U402" s="189">
        <f t="shared" ref="U402" si="1579">U400+1</f>
        <v>922</v>
      </c>
      <c r="V402" s="189" t="str">
        <f t="array" ref="V402">IFERROR(IF(INDEX('Disaggregation Records'!$I$69:$I$152,MATCH(RIGHT(Q402,255),RIGHT('Disaggregation Records'!$D$69:$D$152,255),0))=0,"",INDEX('Disaggregation Records'!$I$69:$I$152,MATCH(RIGHT(Q402,255),RIGHT('Disaggregation Records'!$D$69:$D$152,255),0))),"")</f>
        <v/>
      </c>
      <c r="W402" s="189" t="str">
        <f>IFERROR(INDEX('Reference Records'!P$19:P$56,MATCH(LEFT(C402,255),'Reference Records'!J$19:J$56,0)),"")</f>
        <v/>
      </c>
    </row>
    <row r="403" spans="1:23" s="189" customFormat="1" ht="40.200000000000003" customHeight="1" x14ac:dyDescent="0.3">
      <c r="A403" s="678"/>
      <c r="B403" s="675"/>
      <c r="C403" s="667"/>
      <c r="D403" s="677"/>
      <c r="E403" s="677"/>
      <c r="F403" s="202"/>
      <c r="G403" s="669"/>
      <c r="H403" s="671"/>
      <c r="I403" s="673"/>
      <c r="J403" s="652"/>
      <c r="K403" s="667"/>
      <c r="L403" s="667"/>
      <c r="M403" s="652"/>
      <c r="N403" s="652"/>
      <c r="V403" s="189" t="str">
        <f t="array" ref="V403">IFERROR(IF(INDEX('Disaggregation Records'!$I$69:$I$152,MATCH(RIGHT(Q403,255),RIGHT('Disaggregation Records'!$D$69:$D$152,255),0))=0,"",INDEX('Disaggregation Records'!$I$69:$I$152,MATCH(RIGHT(Q403,255),RIGHT('Disaggregation Records'!$D$69:$D$152,255),0))),"")</f>
        <v/>
      </c>
    </row>
    <row r="404" spans="1:23" s="189" customFormat="1" ht="40.200000000000003" customHeight="1" x14ac:dyDescent="0.3">
      <c r="A404" s="678" t="str">
        <f t="shared" ref="A404" ca="1" si="1580">INDIRECT("'update Helper'!C"&amp;U404)</f>
        <v>a1V3p000004fwuEEAQ</v>
      </c>
      <c r="B404" s="674">
        <v>5</v>
      </c>
      <c r="C404" s="666" t="str">
        <f>IFERROR(VLOOKUP(B404,'Outcome Indicators - Section C '!$A$9:$AF$70,32,FALSE),"")</f>
        <v/>
      </c>
      <c r="D404" s="676" t="str">
        <f t="shared" ref="D404" si="1581">R404</f>
        <v/>
      </c>
      <c r="E404" s="676" t="str">
        <f t="shared" ref="E404" si="1582">S404</f>
        <v/>
      </c>
      <c r="F404" s="194"/>
      <c r="G404" s="668" t="str">
        <f t="shared" ref="G404" ca="1" si="1583">IF(OR(INDIRECT("'update Helper'!E"&amp;U404)=0,F404&lt;&gt;0,F405&lt;&gt;0),IF(IFERROR((F404/F405),"")="","",(F404/F405)),INDIRECT("'update Helper'!E"&amp;U404)/100)</f>
        <v/>
      </c>
      <c r="H404" s="670"/>
      <c r="I404" s="672"/>
      <c r="J404" s="651"/>
      <c r="K404" s="666" t="str">
        <f t="shared" ref="K404" si="1584">W404</f>
        <v/>
      </c>
      <c r="L404" s="666" t="str">
        <f t="shared" ref="L404" si="1585">V404</f>
        <v/>
      </c>
      <c r="M404" s="651"/>
      <c r="N404" s="651"/>
      <c r="P404" s="189">
        <f t="shared" ref="P404" si="1586">IF(AND(EXACT(C404,C402),C402&lt;&gt;0),P402+1,0)</f>
        <v>4</v>
      </c>
      <c r="Q404" s="189" t="str">
        <f t="shared" ref="Q404" si="1587">IF(C404&lt;&gt;"",C404&amp;"-"&amp;P404,"")</f>
        <v/>
      </c>
      <c r="R404" s="189" t="str">
        <f t="array" ref="R404">IFERROR(IF(INDEX('Disaggregation Records'!$E$69:$E$152,MATCH(RIGHT(Q404,255),RIGHT('Disaggregation Records'!$D$69:$D$152,255),0))=0,"",INDEX('Disaggregation Records'!$E$69:$E$152,MATCH(RIGHT(Q404,255),RIGHT('Disaggregation Records'!$D$69:$D$152,255),0))),"")</f>
        <v/>
      </c>
      <c r="S404" s="189" t="str">
        <f t="array" ref="S404">IFERROR(IF(INDEX('Disaggregation Records'!$F$69:$F$152,MATCH(RIGHT(Q404,255),RIGHT('Disaggregation Records'!$D$69:$D$152,255),0))=0,"",INDEX('Disaggregation Records'!$F$69:$F$152,MATCH(RIGHT(Q404,255),RIGHT('Disaggregation Records'!$D$69:$D$152,255),0))),"")</f>
        <v/>
      </c>
      <c r="T404" s="189" t="str">
        <f t="array" ref="T404">IFERROR(IF(INDEX('Disaggregation Records'!$H$69:$H$152,MATCH(RIGHT(Q404,255),RIGHT('Disaggregation Records'!$D$69:$D$152,255),0))=0,"",INDEX('Disaggregation Records'!$H$69:$H$152,MATCH(RIGHT(Q404,255),RIGHT('Disaggregation Records'!$D$69:$D$152,255),0))),"")</f>
        <v/>
      </c>
      <c r="U404" s="189">
        <f t="shared" ref="U404" si="1588">U402+1</f>
        <v>923</v>
      </c>
      <c r="V404" s="189" t="str">
        <f t="array" ref="V404">IFERROR(IF(INDEX('Disaggregation Records'!$I$69:$I$152,MATCH(RIGHT(Q404,255),RIGHT('Disaggregation Records'!$D$69:$D$152,255),0))=0,"",INDEX('Disaggregation Records'!$I$69:$I$152,MATCH(RIGHT(Q404,255),RIGHT('Disaggregation Records'!$D$69:$D$152,255),0))),"")</f>
        <v/>
      </c>
      <c r="W404" s="189" t="str">
        <f>IFERROR(INDEX('Reference Records'!P$19:P$56,MATCH(LEFT(C404,255),'Reference Records'!J$19:J$56,0)),"")</f>
        <v/>
      </c>
    </row>
    <row r="405" spans="1:23" s="189" customFormat="1" ht="40.200000000000003" customHeight="1" x14ac:dyDescent="0.3">
      <c r="A405" s="678"/>
      <c r="B405" s="675"/>
      <c r="C405" s="667"/>
      <c r="D405" s="677"/>
      <c r="E405" s="677"/>
      <c r="F405" s="202"/>
      <c r="G405" s="669"/>
      <c r="H405" s="671"/>
      <c r="I405" s="673"/>
      <c r="J405" s="652"/>
      <c r="K405" s="667"/>
      <c r="L405" s="667"/>
      <c r="M405" s="652"/>
      <c r="N405" s="652"/>
      <c r="V405" s="189" t="str">
        <f t="array" ref="V405">IFERROR(IF(INDEX('Disaggregation Records'!$I$69:$I$152,MATCH(RIGHT(Q405,255),RIGHT('Disaggregation Records'!$D$69:$D$152,255),0))=0,"",INDEX('Disaggregation Records'!$I$69:$I$152,MATCH(RIGHT(Q405,255),RIGHT('Disaggregation Records'!$D$69:$D$152,255),0))),"")</f>
        <v/>
      </c>
    </row>
    <row r="406" spans="1:23" s="189" customFormat="1" ht="40.200000000000003" customHeight="1" x14ac:dyDescent="0.3">
      <c r="A406" s="678" t="str">
        <f t="shared" ref="A406" ca="1" si="1589">INDIRECT("'update Helper'!C"&amp;U406)</f>
        <v>a1V3p000004fwuFEAQ</v>
      </c>
      <c r="B406" s="674">
        <v>5</v>
      </c>
      <c r="C406" s="666" t="str">
        <f>IFERROR(VLOOKUP(B406,'Outcome Indicators - Section C '!$A$9:$AF$70,32,FALSE),"")</f>
        <v/>
      </c>
      <c r="D406" s="676" t="str">
        <f t="shared" ref="D406" si="1590">R406</f>
        <v/>
      </c>
      <c r="E406" s="676" t="str">
        <f t="shared" ref="E406" si="1591">S406</f>
        <v/>
      </c>
      <c r="F406" s="194"/>
      <c r="G406" s="668" t="str">
        <f t="shared" ref="G406" ca="1" si="1592">IF(OR(INDIRECT("'update Helper'!E"&amp;U406)=0,F406&lt;&gt;0,F407&lt;&gt;0),IF(IFERROR((F406/F407),"")="","",(F406/F407)),INDIRECT("'update Helper'!E"&amp;U406)/100)</f>
        <v/>
      </c>
      <c r="H406" s="670"/>
      <c r="I406" s="672"/>
      <c r="J406" s="651"/>
      <c r="K406" s="666" t="str">
        <f t="shared" ref="K406" si="1593">W406</f>
        <v/>
      </c>
      <c r="L406" s="666" t="str">
        <f t="shared" ref="L406" si="1594">V406</f>
        <v/>
      </c>
      <c r="M406" s="651"/>
      <c r="N406" s="651"/>
      <c r="P406" s="189">
        <f t="shared" ref="P406" si="1595">IF(AND(EXACT(C406,C404),C404&lt;&gt;0),P404+1,0)</f>
        <v>5</v>
      </c>
      <c r="Q406" s="189" t="str">
        <f t="shared" ref="Q406" si="1596">IF(C406&lt;&gt;"",C406&amp;"-"&amp;P406,"")</f>
        <v/>
      </c>
      <c r="R406" s="189" t="str">
        <f t="array" ref="R406">IFERROR(IF(INDEX('Disaggregation Records'!$E$69:$E$152,MATCH(RIGHT(Q406,255),RIGHT('Disaggregation Records'!$D$69:$D$152,255),0))=0,"",INDEX('Disaggregation Records'!$E$69:$E$152,MATCH(RIGHT(Q406,255),RIGHT('Disaggregation Records'!$D$69:$D$152,255),0))),"")</f>
        <v/>
      </c>
      <c r="S406" s="189" t="str">
        <f t="array" ref="S406">IFERROR(IF(INDEX('Disaggregation Records'!$F$69:$F$152,MATCH(RIGHT(Q406,255),RIGHT('Disaggregation Records'!$D$69:$D$152,255),0))=0,"",INDEX('Disaggregation Records'!$F$69:$F$152,MATCH(RIGHT(Q406,255),RIGHT('Disaggregation Records'!$D$69:$D$152,255),0))),"")</f>
        <v/>
      </c>
      <c r="T406" s="189" t="str">
        <f t="array" ref="T406">IFERROR(IF(INDEX('Disaggregation Records'!$H$69:$H$152,MATCH(RIGHT(Q406,255),RIGHT('Disaggregation Records'!$D$69:$D$152,255),0))=0,"",INDEX('Disaggregation Records'!$H$69:$H$152,MATCH(RIGHT(Q406,255),RIGHT('Disaggregation Records'!$D$69:$D$152,255),0))),"")</f>
        <v/>
      </c>
      <c r="U406" s="189">
        <f t="shared" ref="U406" si="1597">U404+1</f>
        <v>924</v>
      </c>
      <c r="V406" s="189" t="str">
        <f t="array" ref="V406">IFERROR(IF(INDEX('Disaggregation Records'!$I$69:$I$152,MATCH(RIGHT(Q406,255),RIGHT('Disaggregation Records'!$D$69:$D$152,255),0))=0,"",INDEX('Disaggregation Records'!$I$69:$I$152,MATCH(RIGHT(Q406,255),RIGHT('Disaggregation Records'!$D$69:$D$152,255),0))),"")</f>
        <v/>
      </c>
      <c r="W406" s="189" t="str">
        <f>IFERROR(INDEX('Reference Records'!P$19:P$56,MATCH(LEFT(C406,255),'Reference Records'!J$19:J$56,0)),"")</f>
        <v/>
      </c>
    </row>
    <row r="407" spans="1:23" s="189" customFormat="1" ht="40.200000000000003" customHeight="1" x14ac:dyDescent="0.3">
      <c r="A407" s="678"/>
      <c r="B407" s="675"/>
      <c r="C407" s="667"/>
      <c r="D407" s="677"/>
      <c r="E407" s="677"/>
      <c r="F407" s="202"/>
      <c r="G407" s="669"/>
      <c r="H407" s="671"/>
      <c r="I407" s="673"/>
      <c r="J407" s="652"/>
      <c r="K407" s="667"/>
      <c r="L407" s="667"/>
      <c r="M407" s="652"/>
      <c r="N407" s="652"/>
      <c r="V407" s="189" t="str">
        <f t="array" ref="V407">IFERROR(IF(INDEX('Disaggregation Records'!$I$69:$I$152,MATCH(RIGHT(Q407,255),RIGHT('Disaggregation Records'!$D$69:$D$152,255),0))=0,"",INDEX('Disaggregation Records'!$I$69:$I$152,MATCH(RIGHT(Q407,255),RIGHT('Disaggregation Records'!$D$69:$D$152,255),0))),"")</f>
        <v/>
      </c>
    </row>
    <row r="408" spans="1:23" s="189" customFormat="1" ht="40.200000000000003" customHeight="1" x14ac:dyDescent="0.3">
      <c r="A408" s="678" t="str">
        <f t="shared" ref="A408" ca="1" si="1598">INDIRECT("'update Helper'!C"&amp;U408)</f>
        <v>a1V3p000004fwuGEAQ</v>
      </c>
      <c r="B408" s="674">
        <v>5</v>
      </c>
      <c r="C408" s="666" t="str">
        <f>IFERROR(VLOOKUP(B408,'Outcome Indicators - Section C '!$A$9:$AF$70,32,FALSE),"")</f>
        <v/>
      </c>
      <c r="D408" s="676" t="str">
        <f t="shared" ref="D408" si="1599">R408</f>
        <v/>
      </c>
      <c r="E408" s="676" t="str">
        <f t="shared" ref="E408" si="1600">S408</f>
        <v/>
      </c>
      <c r="F408" s="194"/>
      <c r="G408" s="668" t="str">
        <f t="shared" ref="G408" ca="1" si="1601">IF(OR(INDIRECT("'update Helper'!E"&amp;U408)=0,F408&lt;&gt;0,F409&lt;&gt;0),IF(IFERROR((F408/F409),"")="","",(F408/F409)),INDIRECT("'update Helper'!E"&amp;U408)/100)</f>
        <v/>
      </c>
      <c r="H408" s="670"/>
      <c r="I408" s="672"/>
      <c r="J408" s="651"/>
      <c r="K408" s="666" t="str">
        <f t="shared" ref="K408" si="1602">W408</f>
        <v/>
      </c>
      <c r="L408" s="666" t="str">
        <f t="shared" ref="L408" si="1603">V408</f>
        <v/>
      </c>
      <c r="M408" s="651"/>
      <c r="N408" s="651"/>
      <c r="P408" s="189">
        <f t="shared" ref="P408" si="1604">IF(AND(EXACT(C408,C406),C406&lt;&gt;0),P406+1,0)</f>
        <v>6</v>
      </c>
      <c r="Q408" s="189" t="str">
        <f t="shared" ref="Q408" si="1605">IF(C408&lt;&gt;"",C408&amp;"-"&amp;P408,"")</f>
        <v/>
      </c>
      <c r="R408" s="189" t="str">
        <f t="array" ref="R408">IFERROR(IF(INDEX('Disaggregation Records'!$E$69:$E$152,MATCH(RIGHT(Q408,255),RIGHT('Disaggregation Records'!$D$69:$D$152,255),0))=0,"",INDEX('Disaggregation Records'!$E$69:$E$152,MATCH(RIGHT(Q408,255),RIGHT('Disaggregation Records'!$D$69:$D$152,255),0))),"")</f>
        <v/>
      </c>
      <c r="S408" s="189" t="str">
        <f t="array" ref="S408">IFERROR(IF(INDEX('Disaggregation Records'!$F$69:$F$152,MATCH(RIGHT(Q408,255),RIGHT('Disaggregation Records'!$D$69:$D$152,255),0))=0,"",INDEX('Disaggregation Records'!$F$69:$F$152,MATCH(RIGHT(Q408,255),RIGHT('Disaggregation Records'!$D$69:$D$152,255),0))),"")</f>
        <v/>
      </c>
      <c r="T408" s="189" t="str">
        <f t="array" ref="T408">IFERROR(IF(INDEX('Disaggregation Records'!$H$69:$H$152,MATCH(RIGHT(Q408,255),RIGHT('Disaggregation Records'!$D$69:$D$152,255),0))=0,"",INDEX('Disaggregation Records'!$H$69:$H$152,MATCH(RIGHT(Q408,255),RIGHT('Disaggregation Records'!$D$69:$D$152,255),0))),"")</f>
        <v/>
      </c>
      <c r="U408" s="189">
        <f t="shared" ref="U408" si="1606">U406+1</f>
        <v>925</v>
      </c>
      <c r="V408" s="189" t="str">
        <f t="array" ref="V408">IFERROR(IF(INDEX('Disaggregation Records'!$I$69:$I$152,MATCH(RIGHT(Q408,255),RIGHT('Disaggregation Records'!$D$69:$D$152,255),0))=0,"",INDEX('Disaggregation Records'!$I$69:$I$152,MATCH(RIGHT(Q408,255),RIGHT('Disaggregation Records'!$D$69:$D$152,255),0))),"")</f>
        <v/>
      </c>
      <c r="W408" s="189" t="str">
        <f>IFERROR(INDEX('Reference Records'!P$19:P$56,MATCH(LEFT(C408,255),'Reference Records'!J$19:J$56,0)),"")</f>
        <v/>
      </c>
    </row>
    <row r="409" spans="1:23" s="189" customFormat="1" ht="40.200000000000003" customHeight="1" x14ac:dyDescent="0.3">
      <c r="A409" s="678"/>
      <c r="B409" s="675"/>
      <c r="C409" s="667"/>
      <c r="D409" s="677"/>
      <c r="E409" s="677"/>
      <c r="F409" s="202"/>
      <c r="G409" s="669"/>
      <c r="H409" s="671"/>
      <c r="I409" s="673"/>
      <c r="J409" s="652"/>
      <c r="K409" s="667"/>
      <c r="L409" s="667"/>
      <c r="M409" s="652"/>
      <c r="N409" s="652"/>
      <c r="V409" s="189" t="str">
        <f t="array" ref="V409">IFERROR(IF(INDEX('Disaggregation Records'!$I$69:$I$152,MATCH(RIGHT(Q409,255),RIGHT('Disaggregation Records'!$D$69:$D$152,255),0))=0,"",INDEX('Disaggregation Records'!$I$69:$I$152,MATCH(RIGHT(Q409,255),RIGHT('Disaggregation Records'!$D$69:$D$152,255),0))),"")</f>
        <v/>
      </c>
    </row>
    <row r="410" spans="1:23" s="189" customFormat="1" ht="40.200000000000003" customHeight="1" x14ac:dyDescent="0.3">
      <c r="A410" s="678" t="str">
        <f t="shared" ref="A410" ca="1" si="1607">INDIRECT("'update Helper'!C"&amp;U410)</f>
        <v>a1V3p000004fwuHEAQ</v>
      </c>
      <c r="B410" s="674">
        <v>5</v>
      </c>
      <c r="C410" s="666" t="str">
        <f>IFERROR(VLOOKUP(B410,'Outcome Indicators - Section C '!$A$9:$AF$70,32,FALSE),"")</f>
        <v/>
      </c>
      <c r="D410" s="676" t="str">
        <f t="shared" ref="D410" si="1608">R410</f>
        <v/>
      </c>
      <c r="E410" s="676" t="str">
        <f t="shared" ref="E410" si="1609">S410</f>
        <v/>
      </c>
      <c r="F410" s="194"/>
      <c r="G410" s="668" t="str">
        <f t="shared" ref="G410" ca="1" si="1610">IF(OR(INDIRECT("'update Helper'!E"&amp;U410)=0,F410&lt;&gt;0,F411&lt;&gt;0),IF(IFERROR((F410/F411),"")="","",(F410/F411)),INDIRECT("'update Helper'!E"&amp;U410)/100)</f>
        <v/>
      </c>
      <c r="H410" s="670"/>
      <c r="I410" s="672"/>
      <c r="J410" s="651"/>
      <c r="K410" s="666" t="str">
        <f t="shared" ref="K410" si="1611">W410</f>
        <v/>
      </c>
      <c r="L410" s="666" t="str">
        <f t="shared" ref="L410" si="1612">V410</f>
        <v/>
      </c>
      <c r="M410" s="651"/>
      <c r="N410" s="651"/>
      <c r="P410" s="189">
        <f t="shared" ref="P410" si="1613">IF(AND(EXACT(C410,C408),C408&lt;&gt;0),P408+1,0)</f>
        <v>7</v>
      </c>
      <c r="Q410" s="189" t="str">
        <f t="shared" ref="Q410" si="1614">IF(C410&lt;&gt;"",C410&amp;"-"&amp;P410,"")</f>
        <v/>
      </c>
      <c r="R410" s="189" t="str">
        <f t="array" ref="R410">IFERROR(IF(INDEX('Disaggregation Records'!$E$69:$E$152,MATCH(RIGHT(Q410,255),RIGHT('Disaggregation Records'!$D$69:$D$152,255),0))=0,"",INDEX('Disaggregation Records'!$E$69:$E$152,MATCH(RIGHT(Q410,255),RIGHT('Disaggregation Records'!$D$69:$D$152,255),0))),"")</f>
        <v/>
      </c>
      <c r="S410" s="189" t="str">
        <f t="array" ref="S410">IFERROR(IF(INDEX('Disaggregation Records'!$F$69:$F$152,MATCH(RIGHT(Q410,255),RIGHT('Disaggregation Records'!$D$69:$D$152,255),0))=0,"",INDEX('Disaggregation Records'!$F$69:$F$152,MATCH(RIGHT(Q410,255),RIGHT('Disaggregation Records'!$D$69:$D$152,255),0))),"")</f>
        <v/>
      </c>
      <c r="T410" s="189" t="str">
        <f t="array" ref="T410">IFERROR(IF(INDEX('Disaggregation Records'!$H$69:$H$152,MATCH(RIGHT(Q410,255),RIGHT('Disaggregation Records'!$D$69:$D$152,255),0))=0,"",INDEX('Disaggregation Records'!$H$69:$H$152,MATCH(RIGHT(Q410,255),RIGHT('Disaggregation Records'!$D$69:$D$152,255),0))),"")</f>
        <v/>
      </c>
      <c r="U410" s="189">
        <f t="shared" ref="U410" si="1615">U408+1</f>
        <v>926</v>
      </c>
      <c r="V410" s="189" t="str">
        <f t="array" ref="V410">IFERROR(IF(INDEX('Disaggregation Records'!$I$69:$I$152,MATCH(RIGHT(Q410,255),RIGHT('Disaggregation Records'!$D$69:$D$152,255),0))=0,"",INDEX('Disaggregation Records'!$I$69:$I$152,MATCH(RIGHT(Q410,255),RIGHT('Disaggregation Records'!$D$69:$D$152,255),0))),"")</f>
        <v/>
      </c>
      <c r="W410" s="189" t="str">
        <f>IFERROR(INDEX('Reference Records'!P$19:P$56,MATCH(LEFT(C410,255),'Reference Records'!J$19:J$56,0)),"")</f>
        <v/>
      </c>
    </row>
    <row r="411" spans="1:23" s="189" customFormat="1" ht="40.200000000000003" customHeight="1" x14ac:dyDescent="0.3">
      <c r="A411" s="678"/>
      <c r="B411" s="675"/>
      <c r="C411" s="667"/>
      <c r="D411" s="677"/>
      <c r="E411" s="677"/>
      <c r="F411" s="202"/>
      <c r="G411" s="669"/>
      <c r="H411" s="671"/>
      <c r="I411" s="673"/>
      <c r="J411" s="652"/>
      <c r="K411" s="667"/>
      <c r="L411" s="667"/>
      <c r="M411" s="652"/>
      <c r="N411" s="652"/>
      <c r="V411" s="189" t="str">
        <f t="array" ref="V411">IFERROR(IF(INDEX('Disaggregation Records'!$I$69:$I$152,MATCH(RIGHT(Q411,255),RIGHT('Disaggregation Records'!$D$69:$D$152,255),0))=0,"",INDEX('Disaggregation Records'!$I$69:$I$152,MATCH(RIGHT(Q411,255),RIGHT('Disaggregation Records'!$D$69:$D$152,255),0))),"")</f>
        <v/>
      </c>
    </row>
    <row r="412" spans="1:23" s="189" customFormat="1" ht="40.200000000000003" customHeight="1" x14ac:dyDescent="0.3">
      <c r="A412" s="678" t="str">
        <f t="shared" ref="A412" ca="1" si="1616">INDIRECT("'update Helper'!C"&amp;U412)</f>
        <v>a1V3p000004fwuIEAQ</v>
      </c>
      <c r="B412" s="674">
        <v>5</v>
      </c>
      <c r="C412" s="666" t="str">
        <f>IFERROR(VLOOKUP(B412,'Outcome Indicators - Section C '!$A$9:$AF$70,32,FALSE),"")</f>
        <v/>
      </c>
      <c r="D412" s="676" t="str">
        <f t="shared" ref="D412" si="1617">R412</f>
        <v/>
      </c>
      <c r="E412" s="676" t="str">
        <f t="shared" ref="E412" si="1618">S412</f>
        <v/>
      </c>
      <c r="F412" s="194"/>
      <c r="G412" s="668" t="str">
        <f t="shared" ref="G412" ca="1" si="1619">IF(OR(INDIRECT("'update Helper'!E"&amp;U412)=0,F412&lt;&gt;0,F413&lt;&gt;0),IF(IFERROR((F412/F413),"")="","",(F412/F413)),INDIRECT("'update Helper'!E"&amp;U412)/100)</f>
        <v/>
      </c>
      <c r="H412" s="670"/>
      <c r="I412" s="672"/>
      <c r="J412" s="651"/>
      <c r="K412" s="666" t="str">
        <f t="shared" ref="K412" si="1620">W412</f>
        <v/>
      </c>
      <c r="L412" s="666" t="str">
        <f t="shared" ref="L412" si="1621">V412</f>
        <v/>
      </c>
      <c r="M412" s="651"/>
      <c r="N412" s="651"/>
      <c r="P412" s="189">
        <f t="shared" ref="P412" si="1622">IF(AND(EXACT(C412,C410),C410&lt;&gt;0),P410+1,0)</f>
        <v>8</v>
      </c>
      <c r="Q412" s="189" t="str">
        <f t="shared" ref="Q412" si="1623">IF(C412&lt;&gt;"",C412&amp;"-"&amp;P412,"")</f>
        <v/>
      </c>
      <c r="R412" s="189" t="str">
        <f t="array" ref="R412">IFERROR(IF(INDEX('Disaggregation Records'!$E$69:$E$152,MATCH(RIGHT(Q412,255),RIGHT('Disaggregation Records'!$D$69:$D$152,255),0))=0,"",INDEX('Disaggregation Records'!$E$69:$E$152,MATCH(RIGHT(Q412,255),RIGHT('Disaggregation Records'!$D$69:$D$152,255),0))),"")</f>
        <v/>
      </c>
      <c r="S412" s="189" t="str">
        <f t="array" ref="S412">IFERROR(IF(INDEX('Disaggregation Records'!$F$69:$F$152,MATCH(RIGHT(Q412,255),RIGHT('Disaggregation Records'!$D$69:$D$152,255),0))=0,"",INDEX('Disaggregation Records'!$F$69:$F$152,MATCH(RIGHT(Q412,255),RIGHT('Disaggregation Records'!$D$69:$D$152,255),0))),"")</f>
        <v/>
      </c>
      <c r="T412" s="189" t="str">
        <f t="array" ref="T412">IFERROR(IF(INDEX('Disaggregation Records'!$H$69:$H$152,MATCH(RIGHT(Q412,255),RIGHT('Disaggregation Records'!$D$69:$D$152,255),0))=0,"",INDEX('Disaggregation Records'!$H$69:$H$152,MATCH(RIGHT(Q412,255),RIGHT('Disaggregation Records'!$D$69:$D$152,255),0))),"")</f>
        <v/>
      </c>
      <c r="U412" s="189">
        <f t="shared" ref="U412" si="1624">U410+1</f>
        <v>927</v>
      </c>
      <c r="V412" s="189" t="str">
        <f t="array" ref="V412">IFERROR(IF(INDEX('Disaggregation Records'!$I$69:$I$152,MATCH(RIGHT(Q412,255),RIGHT('Disaggregation Records'!$D$69:$D$152,255),0))=0,"",INDEX('Disaggregation Records'!$I$69:$I$152,MATCH(RIGHT(Q412,255),RIGHT('Disaggregation Records'!$D$69:$D$152,255),0))),"")</f>
        <v/>
      </c>
      <c r="W412" s="189" t="str">
        <f>IFERROR(INDEX('Reference Records'!P$19:P$56,MATCH(LEFT(C412,255),'Reference Records'!J$19:J$56,0)),"")</f>
        <v/>
      </c>
    </row>
    <row r="413" spans="1:23" s="189" customFormat="1" ht="40.200000000000003" customHeight="1" x14ac:dyDescent="0.3">
      <c r="A413" s="678"/>
      <c r="B413" s="675"/>
      <c r="C413" s="667"/>
      <c r="D413" s="677"/>
      <c r="E413" s="677"/>
      <c r="F413" s="202"/>
      <c r="G413" s="669"/>
      <c r="H413" s="671"/>
      <c r="I413" s="673"/>
      <c r="J413" s="652"/>
      <c r="K413" s="667"/>
      <c r="L413" s="667"/>
      <c r="M413" s="652"/>
      <c r="N413" s="652"/>
      <c r="V413" s="189" t="str">
        <f t="array" ref="V413">IFERROR(IF(INDEX('Disaggregation Records'!$I$69:$I$152,MATCH(RIGHT(Q413,255),RIGHT('Disaggregation Records'!$D$69:$D$152,255),0))=0,"",INDEX('Disaggregation Records'!$I$69:$I$152,MATCH(RIGHT(Q413,255),RIGHT('Disaggregation Records'!$D$69:$D$152,255),0))),"")</f>
        <v/>
      </c>
    </row>
    <row r="414" spans="1:23" s="189" customFormat="1" ht="40.200000000000003" customHeight="1" x14ac:dyDescent="0.3">
      <c r="A414" s="678" t="str">
        <f t="shared" ref="A414" ca="1" si="1625">INDIRECT("'update Helper'!C"&amp;U414)</f>
        <v>a1V3p000004fwuJEAQ</v>
      </c>
      <c r="B414" s="674">
        <v>5</v>
      </c>
      <c r="C414" s="666" t="str">
        <f>IFERROR(VLOOKUP(B414,'Outcome Indicators - Section C '!$A$9:$AF$70,32,FALSE),"")</f>
        <v/>
      </c>
      <c r="D414" s="676" t="str">
        <f t="shared" ref="D414" si="1626">R414</f>
        <v/>
      </c>
      <c r="E414" s="676" t="str">
        <f t="shared" ref="E414" si="1627">S414</f>
        <v/>
      </c>
      <c r="F414" s="194"/>
      <c r="G414" s="668" t="str">
        <f t="shared" ref="G414" ca="1" si="1628">IF(OR(INDIRECT("'update Helper'!E"&amp;U414)=0,F414&lt;&gt;0,F415&lt;&gt;0),IF(IFERROR((F414/F415),"")="","",(F414/F415)),INDIRECT("'update Helper'!E"&amp;U414)/100)</f>
        <v/>
      </c>
      <c r="H414" s="670"/>
      <c r="I414" s="672"/>
      <c r="J414" s="651"/>
      <c r="K414" s="666" t="str">
        <f t="shared" ref="K414" si="1629">W414</f>
        <v/>
      </c>
      <c r="L414" s="666" t="str">
        <f t="shared" ref="L414" si="1630">V414</f>
        <v/>
      </c>
      <c r="M414" s="651"/>
      <c r="N414" s="651"/>
      <c r="P414" s="189">
        <f t="shared" ref="P414" si="1631">IF(AND(EXACT(C414,C412),C412&lt;&gt;0),P412+1,0)</f>
        <v>9</v>
      </c>
      <c r="Q414" s="189" t="str">
        <f t="shared" ref="Q414" si="1632">IF(C414&lt;&gt;"",C414&amp;"-"&amp;P414,"")</f>
        <v/>
      </c>
      <c r="R414" s="189" t="str">
        <f t="array" ref="R414">IFERROR(IF(INDEX('Disaggregation Records'!$E$69:$E$152,MATCH(RIGHT(Q414,255),RIGHT('Disaggregation Records'!$D$69:$D$152,255),0))=0,"",INDEX('Disaggregation Records'!$E$69:$E$152,MATCH(RIGHT(Q414,255),RIGHT('Disaggregation Records'!$D$69:$D$152,255),0))),"")</f>
        <v/>
      </c>
      <c r="S414" s="189" t="str">
        <f t="array" ref="S414">IFERROR(IF(INDEX('Disaggregation Records'!$F$69:$F$152,MATCH(RIGHT(Q414,255),RIGHT('Disaggregation Records'!$D$69:$D$152,255),0))=0,"",INDEX('Disaggregation Records'!$F$69:$F$152,MATCH(RIGHT(Q414,255),RIGHT('Disaggregation Records'!$D$69:$D$152,255),0))),"")</f>
        <v/>
      </c>
      <c r="T414" s="189" t="str">
        <f t="array" ref="T414">IFERROR(IF(INDEX('Disaggregation Records'!$H$69:$H$152,MATCH(RIGHT(Q414,255),RIGHT('Disaggregation Records'!$D$69:$D$152,255),0))=0,"",INDEX('Disaggregation Records'!$H$69:$H$152,MATCH(RIGHT(Q414,255),RIGHT('Disaggregation Records'!$D$69:$D$152,255),0))),"")</f>
        <v/>
      </c>
      <c r="U414" s="189">
        <f t="shared" ref="U414" si="1633">U412+1</f>
        <v>928</v>
      </c>
      <c r="V414" s="189" t="str">
        <f t="array" ref="V414">IFERROR(IF(INDEX('Disaggregation Records'!$I$69:$I$152,MATCH(RIGHT(Q414,255),RIGHT('Disaggregation Records'!$D$69:$D$152,255),0))=0,"",INDEX('Disaggregation Records'!$I$69:$I$152,MATCH(RIGHT(Q414,255),RIGHT('Disaggregation Records'!$D$69:$D$152,255),0))),"")</f>
        <v/>
      </c>
      <c r="W414" s="189" t="str">
        <f>IFERROR(INDEX('Reference Records'!P$19:P$56,MATCH(LEFT(C414,255),'Reference Records'!J$19:J$56,0)),"")</f>
        <v/>
      </c>
    </row>
    <row r="415" spans="1:23" s="189" customFormat="1" ht="40.200000000000003" customHeight="1" x14ac:dyDescent="0.3">
      <c r="A415" s="678"/>
      <c r="B415" s="675"/>
      <c r="C415" s="667"/>
      <c r="D415" s="677"/>
      <c r="E415" s="677"/>
      <c r="F415" s="202"/>
      <c r="G415" s="669"/>
      <c r="H415" s="671"/>
      <c r="I415" s="673"/>
      <c r="J415" s="652"/>
      <c r="K415" s="667"/>
      <c r="L415" s="667"/>
      <c r="M415" s="652"/>
      <c r="N415" s="652"/>
      <c r="V415" s="189" t="str">
        <f t="array" ref="V415">IFERROR(IF(INDEX('Disaggregation Records'!$I$69:$I$152,MATCH(RIGHT(Q415,255),RIGHT('Disaggregation Records'!$D$69:$D$152,255),0))=0,"",INDEX('Disaggregation Records'!$I$69:$I$152,MATCH(RIGHT(Q415,255),RIGHT('Disaggregation Records'!$D$69:$D$152,255),0))),"")</f>
        <v/>
      </c>
    </row>
    <row r="416" spans="1:23" s="189" customFormat="1" ht="40.200000000000003" customHeight="1" x14ac:dyDescent="0.3">
      <c r="A416" s="678" t="str">
        <f t="shared" ref="A416" ca="1" si="1634">INDIRECT("'update Helper'!C"&amp;U416)</f>
        <v>a1V3p000004fwuKEAQ</v>
      </c>
      <c r="B416" s="674">
        <v>6</v>
      </c>
      <c r="C416" s="666" t="str">
        <f>IFERROR(VLOOKUP(B416,'Outcome Indicators - Section C '!$A$9:$AF$70,32,FALSE),"")</f>
        <v/>
      </c>
      <c r="D416" s="676" t="str">
        <f t="shared" ref="D416" si="1635">R416</f>
        <v/>
      </c>
      <c r="E416" s="676" t="str">
        <f t="shared" ref="E416" si="1636">S416</f>
        <v/>
      </c>
      <c r="F416" s="194"/>
      <c r="G416" s="668" t="str">
        <f t="shared" ref="G416" ca="1" si="1637">IF(OR(INDIRECT("'update Helper'!E"&amp;U416)=0,F416&lt;&gt;0,F417&lt;&gt;0),IF(IFERROR((F416/F417),"")="","",(F416/F417)),INDIRECT("'update Helper'!E"&amp;U416)/100)</f>
        <v/>
      </c>
      <c r="H416" s="670"/>
      <c r="I416" s="672"/>
      <c r="J416" s="651"/>
      <c r="K416" s="666" t="str">
        <f t="shared" ref="K416" si="1638">W416</f>
        <v/>
      </c>
      <c r="L416" s="666" t="str">
        <f t="shared" ref="L416" si="1639">V416</f>
        <v/>
      </c>
      <c r="M416" s="651"/>
      <c r="N416" s="651"/>
      <c r="P416" s="189">
        <f t="shared" ref="P416" si="1640">IF(AND(EXACT(C416,C414),C414&lt;&gt;0),P414+1,0)</f>
        <v>10</v>
      </c>
      <c r="Q416" s="189" t="str">
        <f t="shared" ref="Q416" si="1641">IF(C416&lt;&gt;"",C416&amp;"-"&amp;P416,"")</f>
        <v/>
      </c>
      <c r="R416" s="189" t="str">
        <f t="array" ref="R416">IFERROR(IF(INDEX('Disaggregation Records'!$E$69:$E$152,MATCH(RIGHT(Q416,255),RIGHT('Disaggregation Records'!$D$69:$D$152,255),0))=0,"",INDEX('Disaggregation Records'!$E$69:$E$152,MATCH(RIGHT(Q416,255),RIGHT('Disaggregation Records'!$D$69:$D$152,255),0))),"")</f>
        <v/>
      </c>
      <c r="S416" s="189" t="str">
        <f t="array" ref="S416">IFERROR(IF(INDEX('Disaggregation Records'!$F$69:$F$152,MATCH(RIGHT(Q416,255),RIGHT('Disaggregation Records'!$D$69:$D$152,255),0))=0,"",INDEX('Disaggregation Records'!$F$69:$F$152,MATCH(RIGHT(Q416,255),RIGHT('Disaggregation Records'!$D$69:$D$152,255),0))),"")</f>
        <v/>
      </c>
      <c r="T416" s="189" t="str">
        <f t="array" ref="T416">IFERROR(IF(INDEX('Disaggregation Records'!$H$69:$H$152,MATCH(RIGHT(Q416,255),RIGHT('Disaggregation Records'!$D$69:$D$152,255),0))=0,"",INDEX('Disaggregation Records'!$H$69:$H$152,MATCH(RIGHT(Q416,255),RIGHT('Disaggregation Records'!$D$69:$D$152,255),0))),"")</f>
        <v/>
      </c>
      <c r="U416" s="189">
        <f t="shared" ref="U416" si="1642">U414+1</f>
        <v>929</v>
      </c>
      <c r="V416" s="189" t="str">
        <f t="array" ref="V416">IFERROR(IF(INDEX('Disaggregation Records'!$I$69:$I$152,MATCH(RIGHT(Q416,255),RIGHT('Disaggregation Records'!$D$69:$D$152,255),0))=0,"",INDEX('Disaggregation Records'!$I$69:$I$152,MATCH(RIGHT(Q416,255),RIGHT('Disaggregation Records'!$D$69:$D$152,255),0))),"")</f>
        <v/>
      </c>
      <c r="W416" s="189" t="str">
        <f>IFERROR(INDEX('Reference Records'!P$19:P$56,MATCH(LEFT(C416,255),'Reference Records'!J$19:J$56,0)),"")</f>
        <v/>
      </c>
    </row>
    <row r="417" spans="1:23" s="189" customFormat="1" ht="40.200000000000003" customHeight="1" x14ac:dyDescent="0.3">
      <c r="A417" s="678"/>
      <c r="B417" s="675"/>
      <c r="C417" s="667"/>
      <c r="D417" s="677"/>
      <c r="E417" s="677"/>
      <c r="F417" s="202"/>
      <c r="G417" s="669"/>
      <c r="H417" s="671"/>
      <c r="I417" s="673"/>
      <c r="J417" s="652"/>
      <c r="K417" s="667"/>
      <c r="L417" s="667"/>
      <c r="M417" s="652"/>
      <c r="N417" s="652"/>
      <c r="V417" s="189" t="str">
        <f t="array" ref="V417">IFERROR(IF(INDEX('Disaggregation Records'!$I$69:$I$152,MATCH(RIGHT(Q417,255),RIGHT('Disaggregation Records'!$D$69:$D$152,255),0))=0,"",INDEX('Disaggregation Records'!$I$69:$I$152,MATCH(RIGHT(Q417,255),RIGHT('Disaggregation Records'!$D$69:$D$152,255),0))),"")</f>
        <v/>
      </c>
    </row>
    <row r="418" spans="1:23" s="189" customFormat="1" ht="40.200000000000003" customHeight="1" x14ac:dyDescent="0.3">
      <c r="A418" s="678" t="str">
        <f t="shared" ref="A418" ca="1" si="1643">INDIRECT("'update Helper'!C"&amp;U418)</f>
        <v>a1V3p000004fwuLEAQ</v>
      </c>
      <c r="B418" s="674">
        <v>6</v>
      </c>
      <c r="C418" s="666" t="str">
        <f>IFERROR(VLOOKUP(B418,'Outcome Indicators - Section C '!$A$9:$AF$70,32,FALSE),"")</f>
        <v/>
      </c>
      <c r="D418" s="676" t="str">
        <f t="shared" ref="D418" si="1644">R418</f>
        <v/>
      </c>
      <c r="E418" s="676" t="str">
        <f t="shared" ref="E418" si="1645">S418</f>
        <v/>
      </c>
      <c r="F418" s="194"/>
      <c r="G418" s="668" t="str">
        <f t="shared" ref="G418" ca="1" si="1646">IF(OR(INDIRECT("'update Helper'!E"&amp;U418)=0,F418&lt;&gt;0,F419&lt;&gt;0),IF(IFERROR((F418/F419),"")="","",(F418/F419)),INDIRECT("'update Helper'!E"&amp;U418)/100)</f>
        <v/>
      </c>
      <c r="H418" s="670"/>
      <c r="I418" s="672"/>
      <c r="J418" s="651"/>
      <c r="K418" s="666" t="str">
        <f t="shared" ref="K418" si="1647">W418</f>
        <v/>
      </c>
      <c r="L418" s="666" t="str">
        <f t="shared" ref="L418" si="1648">V418</f>
        <v/>
      </c>
      <c r="M418" s="651"/>
      <c r="N418" s="651"/>
      <c r="P418" s="189">
        <f t="shared" ref="P418" si="1649">IF(AND(EXACT(C418,C416),C416&lt;&gt;0),P416+1,0)</f>
        <v>11</v>
      </c>
      <c r="Q418" s="189" t="str">
        <f t="shared" ref="Q418" si="1650">IF(C418&lt;&gt;"",C418&amp;"-"&amp;P418,"")</f>
        <v/>
      </c>
      <c r="R418" s="189" t="str">
        <f t="array" ref="R418">IFERROR(IF(INDEX('Disaggregation Records'!$E$69:$E$152,MATCH(RIGHT(Q418,255),RIGHT('Disaggregation Records'!$D$69:$D$152,255),0))=0,"",INDEX('Disaggregation Records'!$E$69:$E$152,MATCH(RIGHT(Q418,255),RIGHT('Disaggregation Records'!$D$69:$D$152,255),0))),"")</f>
        <v/>
      </c>
      <c r="S418" s="189" t="str">
        <f t="array" ref="S418">IFERROR(IF(INDEX('Disaggregation Records'!$F$69:$F$152,MATCH(RIGHT(Q418,255),RIGHT('Disaggregation Records'!$D$69:$D$152,255),0))=0,"",INDEX('Disaggregation Records'!$F$69:$F$152,MATCH(RIGHT(Q418,255),RIGHT('Disaggregation Records'!$D$69:$D$152,255),0))),"")</f>
        <v/>
      </c>
      <c r="T418" s="189" t="str">
        <f t="array" ref="T418">IFERROR(IF(INDEX('Disaggregation Records'!$H$69:$H$152,MATCH(RIGHT(Q418,255),RIGHT('Disaggregation Records'!$D$69:$D$152,255),0))=0,"",INDEX('Disaggregation Records'!$H$69:$H$152,MATCH(RIGHT(Q418,255),RIGHT('Disaggregation Records'!$D$69:$D$152,255),0))),"")</f>
        <v/>
      </c>
      <c r="U418" s="189">
        <f t="shared" ref="U418" si="1651">U416+1</f>
        <v>930</v>
      </c>
      <c r="V418" s="189" t="str">
        <f t="array" ref="V418">IFERROR(IF(INDEX('Disaggregation Records'!$I$69:$I$152,MATCH(RIGHT(Q418,255),RIGHT('Disaggregation Records'!$D$69:$D$152,255),0))=0,"",INDEX('Disaggregation Records'!$I$69:$I$152,MATCH(RIGHT(Q418,255),RIGHT('Disaggregation Records'!$D$69:$D$152,255),0))),"")</f>
        <v/>
      </c>
      <c r="W418" s="189" t="str">
        <f>IFERROR(INDEX('Reference Records'!P$19:P$56,MATCH(LEFT(C418,255),'Reference Records'!J$19:J$56,0)),"")</f>
        <v/>
      </c>
    </row>
    <row r="419" spans="1:23" s="189" customFormat="1" ht="40.200000000000003" customHeight="1" x14ac:dyDescent="0.3">
      <c r="A419" s="678"/>
      <c r="B419" s="675"/>
      <c r="C419" s="667"/>
      <c r="D419" s="677"/>
      <c r="E419" s="677"/>
      <c r="F419" s="202"/>
      <c r="G419" s="669"/>
      <c r="H419" s="671"/>
      <c r="I419" s="673"/>
      <c r="J419" s="652"/>
      <c r="K419" s="667"/>
      <c r="L419" s="667"/>
      <c r="M419" s="652"/>
      <c r="N419" s="652"/>
      <c r="V419" s="189" t="str">
        <f t="array" ref="V419">IFERROR(IF(INDEX('Disaggregation Records'!$I$69:$I$152,MATCH(RIGHT(Q419,255),RIGHT('Disaggregation Records'!$D$69:$D$152,255),0))=0,"",INDEX('Disaggregation Records'!$I$69:$I$152,MATCH(RIGHT(Q419,255),RIGHT('Disaggregation Records'!$D$69:$D$152,255),0))),"")</f>
        <v/>
      </c>
    </row>
    <row r="420" spans="1:23" s="189" customFormat="1" ht="40.200000000000003" customHeight="1" x14ac:dyDescent="0.3">
      <c r="A420" s="678" t="str">
        <f t="shared" ref="A420" ca="1" si="1652">INDIRECT("'update Helper'!C"&amp;U420)</f>
        <v>a1V3p000004fwuMEAQ</v>
      </c>
      <c r="B420" s="674">
        <v>6</v>
      </c>
      <c r="C420" s="666" t="str">
        <f>IFERROR(VLOOKUP(B420,'Outcome Indicators - Section C '!$A$9:$AF$70,32,FALSE),"")</f>
        <v/>
      </c>
      <c r="D420" s="676" t="str">
        <f t="shared" ref="D420" si="1653">R420</f>
        <v/>
      </c>
      <c r="E420" s="676" t="str">
        <f t="shared" ref="E420" si="1654">S420</f>
        <v/>
      </c>
      <c r="F420" s="194"/>
      <c r="G420" s="668" t="str">
        <f t="shared" ref="G420" ca="1" si="1655">IF(OR(INDIRECT("'update Helper'!E"&amp;U420)=0,F420&lt;&gt;0,F421&lt;&gt;0),IF(IFERROR((F420/F421),"")="","",(F420/F421)),INDIRECT("'update Helper'!E"&amp;U420)/100)</f>
        <v/>
      </c>
      <c r="H420" s="670"/>
      <c r="I420" s="672"/>
      <c r="J420" s="651"/>
      <c r="K420" s="666" t="str">
        <f t="shared" ref="K420" si="1656">W420</f>
        <v/>
      </c>
      <c r="L420" s="666" t="str">
        <f t="shared" ref="L420" si="1657">V420</f>
        <v/>
      </c>
      <c r="M420" s="651"/>
      <c r="N420" s="651"/>
      <c r="P420" s="189">
        <f t="shared" ref="P420" si="1658">IF(AND(EXACT(C420,C418),C418&lt;&gt;0),P418+1,0)</f>
        <v>12</v>
      </c>
      <c r="Q420" s="189" t="str">
        <f t="shared" ref="Q420" si="1659">IF(C420&lt;&gt;"",C420&amp;"-"&amp;P420,"")</f>
        <v/>
      </c>
      <c r="R420" s="189" t="str">
        <f t="array" ref="R420">IFERROR(IF(INDEX('Disaggregation Records'!$E$69:$E$152,MATCH(RIGHT(Q420,255),RIGHT('Disaggregation Records'!$D$69:$D$152,255),0))=0,"",INDEX('Disaggregation Records'!$E$69:$E$152,MATCH(RIGHT(Q420,255),RIGHT('Disaggregation Records'!$D$69:$D$152,255),0))),"")</f>
        <v/>
      </c>
      <c r="S420" s="189" t="str">
        <f t="array" ref="S420">IFERROR(IF(INDEX('Disaggregation Records'!$F$69:$F$152,MATCH(RIGHT(Q420,255),RIGHT('Disaggregation Records'!$D$69:$D$152,255),0))=0,"",INDEX('Disaggregation Records'!$F$69:$F$152,MATCH(RIGHT(Q420,255),RIGHT('Disaggregation Records'!$D$69:$D$152,255),0))),"")</f>
        <v/>
      </c>
      <c r="T420" s="189" t="str">
        <f t="array" ref="T420">IFERROR(IF(INDEX('Disaggregation Records'!$H$69:$H$152,MATCH(RIGHT(Q420,255),RIGHT('Disaggregation Records'!$D$69:$D$152,255),0))=0,"",INDEX('Disaggregation Records'!$H$69:$H$152,MATCH(RIGHT(Q420,255),RIGHT('Disaggregation Records'!$D$69:$D$152,255),0))),"")</f>
        <v/>
      </c>
      <c r="U420" s="189">
        <f t="shared" ref="U420" si="1660">U418+1</f>
        <v>931</v>
      </c>
      <c r="V420" s="189" t="str">
        <f t="array" ref="V420">IFERROR(IF(INDEX('Disaggregation Records'!$I$69:$I$152,MATCH(RIGHT(Q420,255),RIGHT('Disaggregation Records'!$D$69:$D$152,255),0))=0,"",INDEX('Disaggregation Records'!$I$69:$I$152,MATCH(RIGHT(Q420,255),RIGHT('Disaggregation Records'!$D$69:$D$152,255),0))),"")</f>
        <v/>
      </c>
      <c r="W420" s="189" t="str">
        <f>IFERROR(INDEX('Reference Records'!P$19:P$56,MATCH(LEFT(C420,255),'Reference Records'!J$19:J$56,0)),"")</f>
        <v/>
      </c>
    </row>
    <row r="421" spans="1:23" s="189" customFormat="1" ht="40.200000000000003" customHeight="1" x14ac:dyDescent="0.3">
      <c r="A421" s="678"/>
      <c r="B421" s="675"/>
      <c r="C421" s="667"/>
      <c r="D421" s="677"/>
      <c r="E421" s="677"/>
      <c r="F421" s="202"/>
      <c r="G421" s="669"/>
      <c r="H421" s="671"/>
      <c r="I421" s="673"/>
      <c r="J421" s="652"/>
      <c r="K421" s="667"/>
      <c r="L421" s="667"/>
      <c r="M421" s="652"/>
      <c r="N421" s="652"/>
      <c r="V421" s="189" t="str">
        <f t="array" ref="V421">IFERROR(IF(INDEX('Disaggregation Records'!$I$69:$I$152,MATCH(RIGHT(Q421,255),RIGHT('Disaggregation Records'!$D$69:$D$152,255),0))=0,"",INDEX('Disaggregation Records'!$I$69:$I$152,MATCH(RIGHT(Q421,255),RIGHT('Disaggregation Records'!$D$69:$D$152,255),0))),"")</f>
        <v/>
      </c>
    </row>
    <row r="422" spans="1:23" s="189" customFormat="1" ht="40.200000000000003" customHeight="1" x14ac:dyDescent="0.3">
      <c r="A422" s="678" t="str">
        <f t="shared" ref="A422" ca="1" si="1661">INDIRECT("'update Helper'!C"&amp;U422)</f>
        <v>a1V3p000004fwuNEAQ</v>
      </c>
      <c r="B422" s="674">
        <v>6</v>
      </c>
      <c r="C422" s="666" t="str">
        <f>IFERROR(VLOOKUP(B422,'Outcome Indicators - Section C '!$A$9:$AF$70,32,FALSE),"")</f>
        <v/>
      </c>
      <c r="D422" s="676" t="str">
        <f t="shared" ref="D422" si="1662">R422</f>
        <v/>
      </c>
      <c r="E422" s="676" t="str">
        <f t="shared" ref="E422" si="1663">S422</f>
        <v/>
      </c>
      <c r="F422" s="194"/>
      <c r="G422" s="668" t="str">
        <f t="shared" ref="G422" ca="1" si="1664">IF(OR(INDIRECT("'update Helper'!E"&amp;U422)=0,F422&lt;&gt;0,F423&lt;&gt;0),IF(IFERROR((F422/F423),"")="","",(F422/F423)),INDIRECT("'update Helper'!E"&amp;U422)/100)</f>
        <v/>
      </c>
      <c r="H422" s="670"/>
      <c r="I422" s="672"/>
      <c r="J422" s="651"/>
      <c r="K422" s="666" t="str">
        <f t="shared" ref="K422" si="1665">W422</f>
        <v/>
      </c>
      <c r="L422" s="666" t="str">
        <f t="shared" ref="L422" si="1666">V422</f>
        <v/>
      </c>
      <c r="M422" s="651"/>
      <c r="N422" s="651"/>
      <c r="P422" s="189">
        <f t="shared" ref="P422" si="1667">IF(AND(EXACT(C422,C420),C420&lt;&gt;0),P420+1,0)</f>
        <v>13</v>
      </c>
      <c r="Q422" s="189" t="str">
        <f t="shared" ref="Q422" si="1668">IF(C422&lt;&gt;"",C422&amp;"-"&amp;P422,"")</f>
        <v/>
      </c>
      <c r="R422" s="189" t="str">
        <f t="array" ref="R422">IFERROR(IF(INDEX('Disaggregation Records'!$E$69:$E$152,MATCH(RIGHT(Q422,255),RIGHT('Disaggregation Records'!$D$69:$D$152,255),0))=0,"",INDEX('Disaggregation Records'!$E$69:$E$152,MATCH(RIGHT(Q422,255),RIGHT('Disaggregation Records'!$D$69:$D$152,255),0))),"")</f>
        <v/>
      </c>
      <c r="S422" s="189" t="str">
        <f t="array" ref="S422">IFERROR(IF(INDEX('Disaggregation Records'!$F$69:$F$152,MATCH(RIGHT(Q422,255),RIGHT('Disaggregation Records'!$D$69:$D$152,255),0))=0,"",INDEX('Disaggregation Records'!$F$69:$F$152,MATCH(RIGHT(Q422,255),RIGHT('Disaggregation Records'!$D$69:$D$152,255),0))),"")</f>
        <v/>
      </c>
      <c r="T422" s="189" t="str">
        <f t="array" ref="T422">IFERROR(IF(INDEX('Disaggregation Records'!$H$69:$H$152,MATCH(RIGHT(Q422,255),RIGHT('Disaggregation Records'!$D$69:$D$152,255),0))=0,"",INDEX('Disaggregation Records'!$H$69:$H$152,MATCH(RIGHT(Q422,255),RIGHT('Disaggregation Records'!$D$69:$D$152,255),0))),"")</f>
        <v/>
      </c>
      <c r="U422" s="189">
        <f t="shared" ref="U422" si="1669">U420+1</f>
        <v>932</v>
      </c>
      <c r="V422" s="189" t="str">
        <f t="array" ref="V422">IFERROR(IF(INDEX('Disaggregation Records'!$I$69:$I$152,MATCH(RIGHT(Q422,255),RIGHT('Disaggregation Records'!$D$69:$D$152,255),0))=0,"",INDEX('Disaggregation Records'!$I$69:$I$152,MATCH(RIGHT(Q422,255),RIGHT('Disaggregation Records'!$D$69:$D$152,255),0))),"")</f>
        <v/>
      </c>
      <c r="W422" s="189" t="str">
        <f>IFERROR(INDEX('Reference Records'!P$19:P$56,MATCH(LEFT(C422,255),'Reference Records'!J$19:J$56,0)),"")</f>
        <v/>
      </c>
    </row>
    <row r="423" spans="1:23" s="189" customFormat="1" ht="40.200000000000003" customHeight="1" x14ac:dyDescent="0.3">
      <c r="A423" s="678"/>
      <c r="B423" s="675"/>
      <c r="C423" s="667"/>
      <c r="D423" s="677"/>
      <c r="E423" s="677"/>
      <c r="F423" s="202"/>
      <c r="G423" s="669"/>
      <c r="H423" s="671"/>
      <c r="I423" s="673"/>
      <c r="J423" s="652"/>
      <c r="K423" s="667"/>
      <c r="L423" s="667"/>
      <c r="M423" s="652"/>
      <c r="N423" s="652"/>
      <c r="V423" s="189" t="str">
        <f t="array" ref="V423">IFERROR(IF(INDEX('Disaggregation Records'!$I$69:$I$152,MATCH(RIGHT(Q423,255),RIGHT('Disaggregation Records'!$D$69:$D$152,255),0))=0,"",INDEX('Disaggregation Records'!$I$69:$I$152,MATCH(RIGHT(Q423,255),RIGHT('Disaggregation Records'!$D$69:$D$152,255),0))),"")</f>
        <v/>
      </c>
    </row>
    <row r="424" spans="1:23" s="189" customFormat="1" ht="40.200000000000003" customHeight="1" x14ac:dyDescent="0.3">
      <c r="A424" s="678" t="str">
        <f t="shared" ref="A424" ca="1" si="1670">INDIRECT("'update Helper'!C"&amp;U424)</f>
        <v>a1V3p000004fwuOEAQ</v>
      </c>
      <c r="B424" s="674">
        <v>6</v>
      </c>
      <c r="C424" s="666" t="str">
        <f>IFERROR(VLOOKUP(B424,'Outcome Indicators - Section C '!$A$9:$AF$70,32,FALSE),"")</f>
        <v/>
      </c>
      <c r="D424" s="676" t="str">
        <f t="shared" ref="D424" si="1671">R424</f>
        <v/>
      </c>
      <c r="E424" s="676" t="str">
        <f t="shared" ref="E424" si="1672">S424</f>
        <v/>
      </c>
      <c r="F424" s="194"/>
      <c r="G424" s="668" t="str">
        <f t="shared" ref="G424" ca="1" si="1673">IF(OR(INDIRECT("'update Helper'!E"&amp;U424)=0,F424&lt;&gt;0,F425&lt;&gt;0),IF(IFERROR((F424/F425),"")="","",(F424/F425)),INDIRECT("'update Helper'!E"&amp;U424)/100)</f>
        <v/>
      </c>
      <c r="H424" s="670"/>
      <c r="I424" s="672"/>
      <c r="J424" s="651"/>
      <c r="K424" s="666" t="str">
        <f t="shared" ref="K424" si="1674">W424</f>
        <v/>
      </c>
      <c r="L424" s="666" t="str">
        <f t="shared" ref="L424" si="1675">V424</f>
        <v/>
      </c>
      <c r="M424" s="651"/>
      <c r="N424" s="651"/>
      <c r="P424" s="189">
        <f t="shared" ref="P424" si="1676">IF(AND(EXACT(C424,C422),C422&lt;&gt;0),P422+1,0)</f>
        <v>14</v>
      </c>
      <c r="Q424" s="189" t="str">
        <f t="shared" ref="Q424" si="1677">IF(C424&lt;&gt;"",C424&amp;"-"&amp;P424,"")</f>
        <v/>
      </c>
      <c r="R424" s="189" t="str">
        <f t="array" ref="R424">IFERROR(IF(INDEX('Disaggregation Records'!$E$69:$E$152,MATCH(RIGHT(Q424,255),RIGHT('Disaggregation Records'!$D$69:$D$152,255),0))=0,"",INDEX('Disaggregation Records'!$E$69:$E$152,MATCH(RIGHT(Q424,255),RIGHT('Disaggregation Records'!$D$69:$D$152,255),0))),"")</f>
        <v/>
      </c>
      <c r="S424" s="189" t="str">
        <f t="array" ref="S424">IFERROR(IF(INDEX('Disaggregation Records'!$F$69:$F$152,MATCH(RIGHT(Q424,255),RIGHT('Disaggregation Records'!$D$69:$D$152,255),0))=0,"",INDEX('Disaggregation Records'!$F$69:$F$152,MATCH(RIGHT(Q424,255),RIGHT('Disaggregation Records'!$D$69:$D$152,255),0))),"")</f>
        <v/>
      </c>
      <c r="T424" s="189" t="str">
        <f t="array" ref="T424">IFERROR(IF(INDEX('Disaggregation Records'!$H$69:$H$152,MATCH(RIGHT(Q424,255),RIGHT('Disaggregation Records'!$D$69:$D$152,255),0))=0,"",INDEX('Disaggregation Records'!$H$69:$H$152,MATCH(RIGHT(Q424,255),RIGHT('Disaggregation Records'!$D$69:$D$152,255),0))),"")</f>
        <v/>
      </c>
      <c r="U424" s="189">
        <f t="shared" ref="U424" si="1678">U422+1</f>
        <v>933</v>
      </c>
      <c r="V424" s="189" t="str">
        <f t="array" ref="V424">IFERROR(IF(INDEX('Disaggregation Records'!$I$69:$I$152,MATCH(RIGHT(Q424,255),RIGHT('Disaggregation Records'!$D$69:$D$152,255),0))=0,"",INDEX('Disaggregation Records'!$I$69:$I$152,MATCH(RIGHT(Q424,255),RIGHT('Disaggregation Records'!$D$69:$D$152,255),0))),"")</f>
        <v/>
      </c>
      <c r="W424" s="189" t="str">
        <f>IFERROR(INDEX('Reference Records'!P$19:P$56,MATCH(LEFT(C424,255),'Reference Records'!J$19:J$56,0)),"")</f>
        <v/>
      </c>
    </row>
    <row r="425" spans="1:23" s="189" customFormat="1" ht="40.200000000000003" customHeight="1" x14ac:dyDescent="0.3">
      <c r="A425" s="678"/>
      <c r="B425" s="675"/>
      <c r="C425" s="667"/>
      <c r="D425" s="677"/>
      <c r="E425" s="677"/>
      <c r="F425" s="202"/>
      <c r="G425" s="669"/>
      <c r="H425" s="671"/>
      <c r="I425" s="673"/>
      <c r="J425" s="652"/>
      <c r="K425" s="667"/>
      <c r="L425" s="667"/>
      <c r="M425" s="652"/>
      <c r="N425" s="652"/>
      <c r="V425" s="189" t="str">
        <f t="array" ref="V425">IFERROR(IF(INDEX('Disaggregation Records'!$I$69:$I$152,MATCH(RIGHT(Q425,255),RIGHT('Disaggregation Records'!$D$69:$D$152,255),0))=0,"",INDEX('Disaggregation Records'!$I$69:$I$152,MATCH(RIGHT(Q425,255),RIGHT('Disaggregation Records'!$D$69:$D$152,255),0))),"")</f>
        <v/>
      </c>
    </row>
    <row r="426" spans="1:23" s="189" customFormat="1" ht="40.200000000000003" customHeight="1" x14ac:dyDescent="0.3">
      <c r="A426" s="678" t="str">
        <f t="shared" ref="A426" ca="1" si="1679">INDIRECT("'update Helper'!C"&amp;U426)</f>
        <v>a1V3p000004fwuPEAQ</v>
      </c>
      <c r="B426" s="674">
        <v>6</v>
      </c>
      <c r="C426" s="666" t="str">
        <f>IFERROR(VLOOKUP(B426,'Outcome Indicators - Section C '!$A$9:$AF$70,32,FALSE),"")</f>
        <v/>
      </c>
      <c r="D426" s="676" t="str">
        <f t="shared" ref="D426" si="1680">R426</f>
        <v/>
      </c>
      <c r="E426" s="676" t="str">
        <f t="shared" ref="E426" si="1681">S426</f>
        <v/>
      </c>
      <c r="F426" s="194"/>
      <c r="G426" s="668" t="str">
        <f t="shared" ref="G426" ca="1" si="1682">IF(OR(INDIRECT("'update Helper'!E"&amp;U426)=0,F426&lt;&gt;0,F427&lt;&gt;0),IF(IFERROR((F426/F427),"")="","",(F426/F427)),INDIRECT("'update Helper'!E"&amp;U426)/100)</f>
        <v/>
      </c>
      <c r="H426" s="670"/>
      <c r="I426" s="672"/>
      <c r="J426" s="651"/>
      <c r="K426" s="666" t="str">
        <f t="shared" ref="K426" si="1683">W426</f>
        <v/>
      </c>
      <c r="L426" s="666" t="str">
        <f t="shared" ref="L426" si="1684">V426</f>
        <v/>
      </c>
      <c r="M426" s="651"/>
      <c r="N426" s="651"/>
      <c r="P426" s="189">
        <f t="shared" ref="P426" si="1685">IF(AND(EXACT(C426,C424),C424&lt;&gt;0),P424+1,0)</f>
        <v>15</v>
      </c>
      <c r="Q426" s="189" t="str">
        <f t="shared" ref="Q426" si="1686">IF(C426&lt;&gt;"",C426&amp;"-"&amp;P426,"")</f>
        <v/>
      </c>
      <c r="R426" s="189" t="str">
        <f t="array" ref="R426">IFERROR(IF(INDEX('Disaggregation Records'!$E$69:$E$152,MATCH(RIGHT(Q426,255),RIGHT('Disaggregation Records'!$D$69:$D$152,255),0))=0,"",INDEX('Disaggregation Records'!$E$69:$E$152,MATCH(RIGHT(Q426,255),RIGHT('Disaggregation Records'!$D$69:$D$152,255),0))),"")</f>
        <v/>
      </c>
      <c r="S426" s="189" t="str">
        <f t="array" ref="S426">IFERROR(IF(INDEX('Disaggregation Records'!$F$69:$F$152,MATCH(RIGHT(Q426,255),RIGHT('Disaggregation Records'!$D$69:$D$152,255),0))=0,"",INDEX('Disaggregation Records'!$F$69:$F$152,MATCH(RIGHT(Q426,255),RIGHT('Disaggregation Records'!$D$69:$D$152,255),0))),"")</f>
        <v/>
      </c>
      <c r="T426" s="189" t="str">
        <f t="array" ref="T426">IFERROR(IF(INDEX('Disaggregation Records'!$H$69:$H$152,MATCH(RIGHT(Q426,255),RIGHT('Disaggregation Records'!$D$69:$D$152,255),0))=0,"",INDEX('Disaggregation Records'!$H$69:$H$152,MATCH(RIGHT(Q426,255),RIGHT('Disaggregation Records'!$D$69:$D$152,255),0))),"")</f>
        <v/>
      </c>
      <c r="U426" s="189">
        <f t="shared" ref="U426" si="1687">U424+1</f>
        <v>934</v>
      </c>
      <c r="V426" s="189" t="str">
        <f t="array" ref="V426">IFERROR(IF(INDEX('Disaggregation Records'!$I$69:$I$152,MATCH(RIGHT(Q426,255),RIGHT('Disaggregation Records'!$D$69:$D$152,255),0))=0,"",INDEX('Disaggregation Records'!$I$69:$I$152,MATCH(RIGHT(Q426,255),RIGHT('Disaggregation Records'!$D$69:$D$152,255),0))),"")</f>
        <v/>
      </c>
      <c r="W426" s="189" t="str">
        <f>IFERROR(INDEX('Reference Records'!P$19:P$56,MATCH(LEFT(C426,255),'Reference Records'!J$19:J$56,0)),"")</f>
        <v/>
      </c>
    </row>
    <row r="427" spans="1:23" s="189" customFormat="1" ht="40.200000000000003" customHeight="1" x14ac:dyDescent="0.3">
      <c r="A427" s="678"/>
      <c r="B427" s="675"/>
      <c r="C427" s="667"/>
      <c r="D427" s="677"/>
      <c r="E427" s="677"/>
      <c r="F427" s="202"/>
      <c r="G427" s="669"/>
      <c r="H427" s="671"/>
      <c r="I427" s="673"/>
      <c r="J427" s="652"/>
      <c r="K427" s="667"/>
      <c r="L427" s="667"/>
      <c r="M427" s="652"/>
      <c r="N427" s="652"/>
      <c r="V427" s="189" t="str">
        <f t="array" ref="V427">IFERROR(IF(INDEX('Disaggregation Records'!$I$69:$I$152,MATCH(RIGHT(Q427,255),RIGHT('Disaggregation Records'!$D$69:$D$152,255),0))=0,"",INDEX('Disaggregation Records'!$I$69:$I$152,MATCH(RIGHT(Q427,255),RIGHT('Disaggregation Records'!$D$69:$D$152,255),0))),"")</f>
        <v/>
      </c>
    </row>
    <row r="428" spans="1:23" s="189" customFormat="1" ht="40.200000000000003" customHeight="1" x14ac:dyDescent="0.3">
      <c r="A428" s="678" t="str">
        <f t="shared" ref="A428" ca="1" si="1688">INDIRECT("'update Helper'!C"&amp;U428)</f>
        <v>a1V3p000004fwuQEAQ</v>
      </c>
      <c r="B428" s="674">
        <v>6</v>
      </c>
      <c r="C428" s="666" t="str">
        <f>IFERROR(VLOOKUP(B428,'Outcome Indicators - Section C '!$A$9:$AF$70,32,FALSE),"")</f>
        <v/>
      </c>
      <c r="D428" s="676" t="str">
        <f t="shared" ref="D428" si="1689">R428</f>
        <v/>
      </c>
      <c r="E428" s="676" t="str">
        <f t="shared" ref="E428" si="1690">S428</f>
        <v/>
      </c>
      <c r="F428" s="194"/>
      <c r="G428" s="668" t="str">
        <f t="shared" ref="G428" ca="1" si="1691">IF(OR(INDIRECT("'update Helper'!E"&amp;U428)=0,F428&lt;&gt;0,F429&lt;&gt;0),IF(IFERROR((F428/F429),"")="","",(F428/F429)),INDIRECT("'update Helper'!E"&amp;U428)/100)</f>
        <v/>
      </c>
      <c r="H428" s="670"/>
      <c r="I428" s="672"/>
      <c r="J428" s="651"/>
      <c r="K428" s="666" t="str">
        <f t="shared" ref="K428" si="1692">W428</f>
        <v/>
      </c>
      <c r="L428" s="666" t="str">
        <f t="shared" ref="L428" si="1693">V428</f>
        <v/>
      </c>
      <c r="M428" s="651"/>
      <c r="N428" s="651"/>
      <c r="P428" s="189">
        <f t="shared" ref="P428" si="1694">IF(AND(EXACT(C428,C426),C426&lt;&gt;0),P426+1,0)</f>
        <v>16</v>
      </c>
      <c r="Q428" s="189" t="str">
        <f t="shared" ref="Q428" si="1695">IF(C428&lt;&gt;"",C428&amp;"-"&amp;P428,"")</f>
        <v/>
      </c>
      <c r="R428" s="189" t="str">
        <f t="array" ref="R428">IFERROR(IF(INDEX('Disaggregation Records'!$E$69:$E$152,MATCH(RIGHT(Q428,255),RIGHT('Disaggregation Records'!$D$69:$D$152,255),0))=0,"",INDEX('Disaggregation Records'!$E$69:$E$152,MATCH(RIGHT(Q428,255),RIGHT('Disaggregation Records'!$D$69:$D$152,255),0))),"")</f>
        <v/>
      </c>
      <c r="S428" s="189" t="str">
        <f t="array" ref="S428">IFERROR(IF(INDEX('Disaggregation Records'!$F$69:$F$152,MATCH(RIGHT(Q428,255),RIGHT('Disaggregation Records'!$D$69:$D$152,255),0))=0,"",INDEX('Disaggregation Records'!$F$69:$F$152,MATCH(RIGHT(Q428,255),RIGHT('Disaggregation Records'!$D$69:$D$152,255),0))),"")</f>
        <v/>
      </c>
      <c r="T428" s="189" t="str">
        <f t="array" ref="T428">IFERROR(IF(INDEX('Disaggregation Records'!$H$69:$H$152,MATCH(RIGHT(Q428,255),RIGHT('Disaggregation Records'!$D$69:$D$152,255),0))=0,"",INDEX('Disaggregation Records'!$H$69:$H$152,MATCH(RIGHT(Q428,255),RIGHT('Disaggregation Records'!$D$69:$D$152,255),0))),"")</f>
        <v/>
      </c>
      <c r="U428" s="189">
        <f t="shared" ref="U428" si="1696">U426+1</f>
        <v>935</v>
      </c>
      <c r="V428" s="189" t="str">
        <f t="array" ref="V428">IFERROR(IF(INDEX('Disaggregation Records'!$I$69:$I$152,MATCH(RIGHT(Q428,255),RIGHT('Disaggregation Records'!$D$69:$D$152,255),0))=0,"",INDEX('Disaggregation Records'!$I$69:$I$152,MATCH(RIGHT(Q428,255),RIGHT('Disaggregation Records'!$D$69:$D$152,255),0))),"")</f>
        <v/>
      </c>
      <c r="W428" s="189" t="str">
        <f>IFERROR(INDEX('Reference Records'!P$19:P$56,MATCH(LEFT(C428,255),'Reference Records'!J$19:J$56,0)),"")</f>
        <v/>
      </c>
    </row>
    <row r="429" spans="1:23" s="189" customFormat="1" ht="40.200000000000003" customHeight="1" x14ac:dyDescent="0.3">
      <c r="A429" s="678"/>
      <c r="B429" s="675"/>
      <c r="C429" s="667"/>
      <c r="D429" s="677"/>
      <c r="E429" s="677"/>
      <c r="F429" s="202"/>
      <c r="G429" s="669"/>
      <c r="H429" s="671"/>
      <c r="I429" s="673"/>
      <c r="J429" s="652"/>
      <c r="K429" s="667"/>
      <c r="L429" s="667"/>
      <c r="M429" s="652"/>
      <c r="N429" s="652"/>
      <c r="V429" s="189" t="str">
        <f t="array" ref="V429">IFERROR(IF(INDEX('Disaggregation Records'!$I$69:$I$152,MATCH(RIGHT(Q429,255),RIGHT('Disaggregation Records'!$D$69:$D$152,255),0))=0,"",INDEX('Disaggregation Records'!$I$69:$I$152,MATCH(RIGHT(Q429,255),RIGHT('Disaggregation Records'!$D$69:$D$152,255),0))),"")</f>
        <v/>
      </c>
    </row>
    <row r="430" spans="1:23" s="189" customFormat="1" ht="40.200000000000003" customHeight="1" x14ac:dyDescent="0.3">
      <c r="A430" s="678" t="str">
        <f t="shared" ref="A430" ca="1" si="1697">INDIRECT("'update Helper'!C"&amp;U430)</f>
        <v>a1V3p000004fwuREAQ</v>
      </c>
      <c r="B430" s="674">
        <v>6</v>
      </c>
      <c r="C430" s="666" t="str">
        <f>IFERROR(VLOOKUP(B430,'Outcome Indicators - Section C '!$A$9:$AF$70,32,FALSE),"")</f>
        <v/>
      </c>
      <c r="D430" s="676" t="str">
        <f t="shared" ref="D430" si="1698">R430</f>
        <v/>
      </c>
      <c r="E430" s="676" t="str">
        <f t="shared" ref="E430" si="1699">S430</f>
        <v/>
      </c>
      <c r="F430" s="194"/>
      <c r="G430" s="668" t="str">
        <f t="shared" ref="G430" ca="1" si="1700">IF(OR(INDIRECT("'update Helper'!E"&amp;U430)=0,F430&lt;&gt;0,F431&lt;&gt;0),IF(IFERROR((F430/F431),"")="","",(F430/F431)),INDIRECT("'update Helper'!E"&amp;U430)/100)</f>
        <v/>
      </c>
      <c r="H430" s="670"/>
      <c r="I430" s="672"/>
      <c r="J430" s="651"/>
      <c r="K430" s="666" t="str">
        <f t="shared" ref="K430" si="1701">W430</f>
        <v/>
      </c>
      <c r="L430" s="666" t="str">
        <f t="shared" ref="L430" si="1702">V430</f>
        <v/>
      </c>
      <c r="M430" s="651"/>
      <c r="N430" s="651"/>
      <c r="P430" s="189">
        <f t="shared" ref="P430" si="1703">IF(AND(EXACT(C430,C428),C428&lt;&gt;0),P428+1,0)</f>
        <v>17</v>
      </c>
      <c r="Q430" s="189" t="str">
        <f t="shared" ref="Q430" si="1704">IF(C430&lt;&gt;"",C430&amp;"-"&amp;P430,"")</f>
        <v/>
      </c>
      <c r="R430" s="189" t="str">
        <f t="array" ref="R430">IFERROR(IF(INDEX('Disaggregation Records'!$E$69:$E$152,MATCH(RIGHT(Q430,255),RIGHT('Disaggregation Records'!$D$69:$D$152,255),0))=0,"",INDEX('Disaggregation Records'!$E$69:$E$152,MATCH(RIGHT(Q430,255),RIGHT('Disaggregation Records'!$D$69:$D$152,255),0))),"")</f>
        <v/>
      </c>
      <c r="S430" s="189" t="str">
        <f t="array" ref="S430">IFERROR(IF(INDEX('Disaggregation Records'!$F$69:$F$152,MATCH(RIGHT(Q430,255),RIGHT('Disaggregation Records'!$D$69:$D$152,255),0))=0,"",INDEX('Disaggregation Records'!$F$69:$F$152,MATCH(RIGHT(Q430,255),RIGHT('Disaggregation Records'!$D$69:$D$152,255),0))),"")</f>
        <v/>
      </c>
      <c r="T430" s="189" t="str">
        <f t="array" ref="T430">IFERROR(IF(INDEX('Disaggregation Records'!$H$69:$H$152,MATCH(RIGHT(Q430,255),RIGHT('Disaggregation Records'!$D$69:$D$152,255),0))=0,"",INDEX('Disaggregation Records'!$H$69:$H$152,MATCH(RIGHT(Q430,255),RIGHT('Disaggregation Records'!$D$69:$D$152,255),0))),"")</f>
        <v/>
      </c>
      <c r="U430" s="189">
        <f t="shared" ref="U430" si="1705">U428+1</f>
        <v>936</v>
      </c>
      <c r="V430" s="189" t="str">
        <f t="array" ref="V430">IFERROR(IF(INDEX('Disaggregation Records'!$I$69:$I$152,MATCH(RIGHT(Q430,255),RIGHT('Disaggregation Records'!$D$69:$D$152,255),0))=0,"",INDEX('Disaggregation Records'!$I$69:$I$152,MATCH(RIGHT(Q430,255),RIGHT('Disaggregation Records'!$D$69:$D$152,255),0))),"")</f>
        <v/>
      </c>
      <c r="W430" s="189" t="str">
        <f>IFERROR(INDEX('Reference Records'!P$19:P$56,MATCH(LEFT(C430,255),'Reference Records'!J$19:J$56,0)),"")</f>
        <v/>
      </c>
    </row>
    <row r="431" spans="1:23" s="189" customFormat="1" ht="40.200000000000003" customHeight="1" x14ac:dyDescent="0.3">
      <c r="A431" s="678"/>
      <c r="B431" s="675"/>
      <c r="C431" s="667"/>
      <c r="D431" s="677"/>
      <c r="E431" s="677"/>
      <c r="F431" s="202"/>
      <c r="G431" s="669"/>
      <c r="H431" s="671"/>
      <c r="I431" s="673"/>
      <c r="J431" s="652"/>
      <c r="K431" s="667"/>
      <c r="L431" s="667"/>
      <c r="M431" s="652"/>
      <c r="N431" s="652"/>
      <c r="V431" s="189" t="str">
        <f t="array" ref="V431">IFERROR(IF(INDEX('Disaggregation Records'!$I$69:$I$152,MATCH(RIGHT(Q431,255),RIGHT('Disaggregation Records'!$D$69:$D$152,255),0))=0,"",INDEX('Disaggregation Records'!$I$69:$I$152,MATCH(RIGHT(Q431,255),RIGHT('Disaggregation Records'!$D$69:$D$152,255),0))),"")</f>
        <v/>
      </c>
    </row>
    <row r="432" spans="1:23" s="189" customFormat="1" ht="40.200000000000003" customHeight="1" x14ac:dyDescent="0.3">
      <c r="A432" s="678" t="str">
        <f t="shared" ref="A432" ca="1" si="1706">INDIRECT("'update Helper'!C"&amp;U432)</f>
        <v>a1V3p000004fwuSEAQ</v>
      </c>
      <c r="B432" s="674">
        <v>6</v>
      </c>
      <c r="C432" s="666" t="str">
        <f>IFERROR(VLOOKUP(B432,'Outcome Indicators - Section C '!$A$9:$AF$70,32,FALSE),"")</f>
        <v/>
      </c>
      <c r="D432" s="676" t="str">
        <f t="shared" ref="D432" si="1707">R432</f>
        <v/>
      </c>
      <c r="E432" s="676" t="str">
        <f t="shared" ref="E432" si="1708">S432</f>
        <v/>
      </c>
      <c r="F432" s="194"/>
      <c r="G432" s="668" t="str">
        <f t="shared" ref="G432" ca="1" si="1709">IF(OR(INDIRECT("'update Helper'!E"&amp;U432)=0,F432&lt;&gt;0,F433&lt;&gt;0),IF(IFERROR((F432/F433),"")="","",(F432/F433)),INDIRECT("'update Helper'!E"&amp;U432)/100)</f>
        <v/>
      </c>
      <c r="H432" s="670"/>
      <c r="I432" s="672"/>
      <c r="J432" s="651"/>
      <c r="K432" s="666" t="str">
        <f t="shared" ref="K432" si="1710">W432</f>
        <v/>
      </c>
      <c r="L432" s="666" t="str">
        <f t="shared" ref="L432" si="1711">V432</f>
        <v/>
      </c>
      <c r="M432" s="651"/>
      <c r="N432" s="651"/>
      <c r="P432" s="189">
        <f t="shared" ref="P432" si="1712">IF(AND(EXACT(C432,C430),C430&lt;&gt;0),P430+1,0)</f>
        <v>18</v>
      </c>
      <c r="Q432" s="189" t="str">
        <f t="shared" ref="Q432" si="1713">IF(C432&lt;&gt;"",C432&amp;"-"&amp;P432,"")</f>
        <v/>
      </c>
      <c r="R432" s="189" t="str">
        <f t="array" ref="R432">IFERROR(IF(INDEX('Disaggregation Records'!$E$69:$E$152,MATCH(RIGHT(Q432,255),RIGHT('Disaggregation Records'!$D$69:$D$152,255),0))=0,"",INDEX('Disaggregation Records'!$E$69:$E$152,MATCH(RIGHT(Q432,255),RIGHT('Disaggregation Records'!$D$69:$D$152,255),0))),"")</f>
        <v/>
      </c>
      <c r="S432" s="189" t="str">
        <f t="array" ref="S432">IFERROR(IF(INDEX('Disaggregation Records'!$F$69:$F$152,MATCH(RIGHT(Q432,255),RIGHT('Disaggregation Records'!$D$69:$D$152,255),0))=0,"",INDEX('Disaggregation Records'!$F$69:$F$152,MATCH(RIGHT(Q432,255),RIGHT('Disaggregation Records'!$D$69:$D$152,255),0))),"")</f>
        <v/>
      </c>
      <c r="T432" s="189" t="str">
        <f t="array" ref="T432">IFERROR(IF(INDEX('Disaggregation Records'!$H$69:$H$152,MATCH(RIGHT(Q432,255),RIGHT('Disaggregation Records'!$D$69:$D$152,255),0))=0,"",INDEX('Disaggregation Records'!$H$69:$H$152,MATCH(RIGHT(Q432,255),RIGHT('Disaggregation Records'!$D$69:$D$152,255),0))),"")</f>
        <v/>
      </c>
      <c r="U432" s="189">
        <f t="shared" ref="U432" si="1714">U430+1</f>
        <v>937</v>
      </c>
      <c r="V432" s="189" t="str">
        <f t="array" ref="V432">IFERROR(IF(INDEX('Disaggregation Records'!$I$69:$I$152,MATCH(RIGHT(Q432,255),RIGHT('Disaggregation Records'!$D$69:$D$152,255),0))=0,"",INDEX('Disaggregation Records'!$I$69:$I$152,MATCH(RIGHT(Q432,255),RIGHT('Disaggregation Records'!$D$69:$D$152,255),0))),"")</f>
        <v/>
      </c>
      <c r="W432" s="189" t="str">
        <f>IFERROR(INDEX('Reference Records'!P$19:P$56,MATCH(LEFT(C432,255),'Reference Records'!J$19:J$56,0)),"")</f>
        <v/>
      </c>
    </row>
    <row r="433" spans="1:23" s="189" customFormat="1" ht="40.200000000000003" customHeight="1" x14ac:dyDescent="0.3">
      <c r="A433" s="678"/>
      <c r="B433" s="675"/>
      <c r="C433" s="667"/>
      <c r="D433" s="677"/>
      <c r="E433" s="677"/>
      <c r="F433" s="202"/>
      <c r="G433" s="669"/>
      <c r="H433" s="671"/>
      <c r="I433" s="673"/>
      <c r="J433" s="652"/>
      <c r="K433" s="667"/>
      <c r="L433" s="667"/>
      <c r="M433" s="652"/>
      <c r="N433" s="652"/>
      <c r="V433" s="189" t="str">
        <f t="array" ref="V433">IFERROR(IF(INDEX('Disaggregation Records'!$I$69:$I$152,MATCH(RIGHT(Q433,255),RIGHT('Disaggregation Records'!$D$69:$D$152,255),0))=0,"",INDEX('Disaggregation Records'!$I$69:$I$152,MATCH(RIGHT(Q433,255),RIGHT('Disaggregation Records'!$D$69:$D$152,255),0))),"")</f>
        <v/>
      </c>
    </row>
    <row r="434" spans="1:23" s="189" customFormat="1" ht="40.200000000000003" customHeight="1" x14ac:dyDescent="0.3">
      <c r="A434" s="678" t="str">
        <f t="shared" ref="A434" ca="1" si="1715">INDIRECT("'update Helper'!C"&amp;U434)</f>
        <v>a1V3p000004fwuTEAQ</v>
      </c>
      <c r="B434" s="674">
        <v>6</v>
      </c>
      <c r="C434" s="666" t="str">
        <f>IFERROR(VLOOKUP(B434,'Outcome Indicators - Section C '!$A$9:$AF$70,32,FALSE),"")</f>
        <v/>
      </c>
      <c r="D434" s="676" t="str">
        <f t="shared" ref="D434" si="1716">R434</f>
        <v/>
      </c>
      <c r="E434" s="676" t="str">
        <f t="shared" ref="E434" si="1717">S434</f>
        <v/>
      </c>
      <c r="F434" s="194"/>
      <c r="G434" s="668" t="str">
        <f t="shared" ref="G434" ca="1" si="1718">IF(OR(INDIRECT("'update Helper'!E"&amp;U434)=0,F434&lt;&gt;0,F435&lt;&gt;0),IF(IFERROR((F434/F435),"")="","",(F434/F435)),INDIRECT("'update Helper'!E"&amp;U434)/100)</f>
        <v/>
      </c>
      <c r="H434" s="670"/>
      <c r="I434" s="672"/>
      <c r="J434" s="651"/>
      <c r="K434" s="666" t="str">
        <f t="shared" ref="K434" si="1719">W434</f>
        <v/>
      </c>
      <c r="L434" s="666" t="str">
        <f t="shared" ref="L434" si="1720">V434</f>
        <v/>
      </c>
      <c r="M434" s="651"/>
      <c r="N434" s="651"/>
      <c r="P434" s="189">
        <f t="shared" ref="P434" si="1721">IF(AND(EXACT(C434,C432),C432&lt;&gt;0),P432+1,0)</f>
        <v>19</v>
      </c>
      <c r="Q434" s="189" t="str">
        <f t="shared" ref="Q434" si="1722">IF(C434&lt;&gt;"",C434&amp;"-"&amp;P434,"")</f>
        <v/>
      </c>
      <c r="R434" s="189" t="str">
        <f t="array" ref="R434">IFERROR(IF(INDEX('Disaggregation Records'!$E$69:$E$152,MATCH(RIGHT(Q434,255),RIGHT('Disaggregation Records'!$D$69:$D$152,255),0))=0,"",INDEX('Disaggregation Records'!$E$69:$E$152,MATCH(RIGHT(Q434,255),RIGHT('Disaggregation Records'!$D$69:$D$152,255),0))),"")</f>
        <v/>
      </c>
      <c r="S434" s="189" t="str">
        <f t="array" ref="S434">IFERROR(IF(INDEX('Disaggregation Records'!$F$69:$F$152,MATCH(RIGHT(Q434,255),RIGHT('Disaggregation Records'!$D$69:$D$152,255),0))=0,"",INDEX('Disaggregation Records'!$F$69:$F$152,MATCH(RIGHT(Q434,255),RIGHT('Disaggregation Records'!$D$69:$D$152,255),0))),"")</f>
        <v/>
      </c>
      <c r="T434" s="189" t="str">
        <f t="array" ref="T434">IFERROR(IF(INDEX('Disaggregation Records'!$H$69:$H$152,MATCH(RIGHT(Q434,255),RIGHT('Disaggregation Records'!$D$69:$D$152,255),0))=0,"",INDEX('Disaggregation Records'!$H$69:$H$152,MATCH(RIGHT(Q434,255),RIGHT('Disaggregation Records'!$D$69:$D$152,255),0))),"")</f>
        <v/>
      </c>
      <c r="U434" s="189">
        <f t="shared" ref="U434" si="1723">U432+1</f>
        <v>938</v>
      </c>
      <c r="V434" s="189" t="str">
        <f t="array" ref="V434">IFERROR(IF(INDEX('Disaggregation Records'!$I$69:$I$152,MATCH(RIGHT(Q434,255),RIGHT('Disaggregation Records'!$D$69:$D$152,255),0))=0,"",INDEX('Disaggregation Records'!$I$69:$I$152,MATCH(RIGHT(Q434,255),RIGHT('Disaggregation Records'!$D$69:$D$152,255),0))),"")</f>
        <v/>
      </c>
      <c r="W434" s="189" t="str">
        <f>IFERROR(INDEX('Reference Records'!P$19:P$56,MATCH(LEFT(C434,255),'Reference Records'!J$19:J$56,0)),"")</f>
        <v/>
      </c>
    </row>
    <row r="435" spans="1:23" s="189" customFormat="1" ht="40.200000000000003" customHeight="1" x14ac:dyDescent="0.3">
      <c r="A435" s="678"/>
      <c r="B435" s="675"/>
      <c r="C435" s="667"/>
      <c r="D435" s="677"/>
      <c r="E435" s="677"/>
      <c r="F435" s="202"/>
      <c r="G435" s="669"/>
      <c r="H435" s="671"/>
      <c r="I435" s="673"/>
      <c r="J435" s="652"/>
      <c r="K435" s="667"/>
      <c r="L435" s="667"/>
      <c r="M435" s="652"/>
      <c r="N435" s="652"/>
      <c r="V435" s="189" t="str">
        <f t="array" ref="V435">IFERROR(IF(INDEX('Disaggregation Records'!$I$69:$I$152,MATCH(RIGHT(Q435,255),RIGHT('Disaggregation Records'!$D$69:$D$152,255),0))=0,"",INDEX('Disaggregation Records'!$I$69:$I$152,MATCH(RIGHT(Q435,255),RIGHT('Disaggregation Records'!$D$69:$D$152,255),0))),"")</f>
        <v/>
      </c>
    </row>
    <row r="436" spans="1:23" s="189" customFormat="1" ht="40.200000000000003" customHeight="1" x14ac:dyDescent="0.3">
      <c r="A436" s="678" t="str">
        <f t="shared" ref="A436" ca="1" si="1724">INDIRECT("'update Helper'!C"&amp;U436)</f>
        <v>a1V3p000004fwuUEAQ</v>
      </c>
      <c r="B436" s="674">
        <v>7</v>
      </c>
      <c r="C436" s="666" t="str">
        <f>IFERROR(VLOOKUP(B436,'Outcome Indicators - Section C '!$A$9:$AF$70,32,FALSE),"")</f>
        <v/>
      </c>
      <c r="D436" s="676" t="str">
        <f t="shared" ref="D436" si="1725">R436</f>
        <v/>
      </c>
      <c r="E436" s="676" t="str">
        <f t="shared" ref="E436" si="1726">S436</f>
        <v/>
      </c>
      <c r="F436" s="194"/>
      <c r="G436" s="668" t="str">
        <f t="shared" ref="G436" ca="1" si="1727">IF(OR(INDIRECT("'update Helper'!E"&amp;U436)=0,F436&lt;&gt;0,F437&lt;&gt;0),IF(IFERROR((F436/F437),"")="","",(F436/F437)),INDIRECT("'update Helper'!E"&amp;U436)/100)</f>
        <v/>
      </c>
      <c r="H436" s="670"/>
      <c r="I436" s="672"/>
      <c r="J436" s="651"/>
      <c r="K436" s="666" t="str">
        <f t="shared" ref="K436" si="1728">W436</f>
        <v/>
      </c>
      <c r="L436" s="666" t="str">
        <f t="shared" ref="L436" si="1729">V436</f>
        <v/>
      </c>
      <c r="M436" s="651"/>
      <c r="N436" s="651"/>
      <c r="P436" s="189">
        <f t="shared" ref="P436" si="1730">IF(AND(EXACT(C436,C434),C434&lt;&gt;0),P434+1,0)</f>
        <v>20</v>
      </c>
      <c r="Q436" s="189" t="str">
        <f t="shared" ref="Q436" si="1731">IF(C436&lt;&gt;"",C436&amp;"-"&amp;P436,"")</f>
        <v/>
      </c>
      <c r="R436" s="189" t="str">
        <f t="array" ref="R436">IFERROR(IF(INDEX('Disaggregation Records'!$E$69:$E$152,MATCH(RIGHT(Q436,255),RIGHT('Disaggregation Records'!$D$69:$D$152,255),0))=0,"",INDEX('Disaggregation Records'!$E$69:$E$152,MATCH(RIGHT(Q436,255),RIGHT('Disaggregation Records'!$D$69:$D$152,255),0))),"")</f>
        <v/>
      </c>
      <c r="S436" s="189" t="str">
        <f t="array" ref="S436">IFERROR(IF(INDEX('Disaggregation Records'!$F$69:$F$152,MATCH(RIGHT(Q436,255),RIGHT('Disaggregation Records'!$D$69:$D$152,255),0))=0,"",INDEX('Disaggregation Records'!$F$69:$F$152,MATCH(RIGHT(Q436,255),RIGHT('Disaggregation Records'!$D$69:$D$152,255),0))),"")</f>
        <v/>
      </c>
      <c r="T436" s="189" t="str">
        <f t="array" ref="T436">IFERROR(IF(INDEX('Disaggregation Records'!$H$69:$H$152,MATCH(RIGHT(Q436,255),RIGHT('Disaggregation Records'!$D$69:$D$152,255),0))=0,"",INDEX('Disaggregation Records'!$H$69:$H$152,MATCH(RIGHT(Q436,255),RIGHT('Disaggregation Records'!$D$69:$D$152,255),0))),"")</f>
        <v/>
      </c>
      <c r="U436" s="189">
        <f t="shared" ref="U436" si="1732">U434+1</f>
        <v>939</v>
      </c>
      <c r="V436" s="189" t="str">
        <f t="array" ref="V436">IFERROR(IF(INDEX('Disaggregation Records'!$I$69:$I$152,MATCH(RIGHT(Q436,255),RIGHT('Disaggregation Records'!$D$69:$D$152,255),0))=0,"",INDEX('Disaggregation Records'!$I$69:$I$152,MATCH(RIGHT(Q436,255),RIGHT('Disaggregation Records'!$D$69:$D$152,255),0))),"")</f>
        <v/>
      </c>
      <c r="W436" s="189" t="str">
        <f>IFERROR(INDEX('Reference Records'!P$19:P$56,MATCH(LEFT(C436,255),'Reference Records'!J$19:J$56,0)),"")</f>
        <v/>
      </c>
    </row>
    <row r="437" spans="1:23" s="189" customFormat="1" ht="40.200000000000003" customHeight="1" x14ac:dyDescent="0.3">
      <c r="A437" s="678"/>
      <c r="B437" s="675"/>
      <c r="C437" s="667"/>
      <c r="D437" s="677"/>
      <c r="E437" s="677"/>
      <c r="F437" s="202"/>
      <c r="G437" s="669"/>
      <c r="H437" s="671"/>
      <c r="I437" s="673"/>
      <c r="J437" s="652"/>
      <c r="K437" s="667"/>
      <c r="L437" s="667"/>
      <c r="M437" s="652"/>
      <c r="N437" s="652"/>
      <c r="V437" s="189" t="str">
        <f t="array" ref="V437">IFERROR(IF(INDEX('Disaggregation Records'!$I$69:$I$152,MATCH(RIGHT(Q437,255),RIGHT('Disaggregation Records'!$D$69:$D$152,255),0))=0,"",INDEX('Disaggregation Records'!$I$69:$I$152,MATCH(RIGHT(Q437,255),RIGHT('Disaggregation Records'!$D$69:$D$152,255),0))),"")</f>
        <v/>
      </c>
    </row>
    <row r="438" spans="1:23" s="189" customFormat="1" ht="40.200000000000003" customHeight="1" x14ac:dyDescent="0.3">
      <c r="A438" s="678" t="str">
        <f t="shared" ref="A438" ca="1" si="1733">INDIRECT("'update Helper'!C"&amp;U438)</f>
        <v>a1V3p000004fwuVEAQ</v>
      </c>
      <c r="B438" s="674">
        <v>7</v>
      </c>
      <c r="C438" s="666" t="str">
        <f>IFERROR(VLOOKUP(B438,'Outcome Indicators - Section C '!$A$9:$AF$70,32,FALSE),"")</f>
        <v/>
      </c>
      <c r="D438" s="676" t="str">
        <f t="shared" ref="D438" si="1734">R438</f>
        <v/>
      </c>
      <c r="E438" s="676" t="str">
        <f t="shared" ref="E438" si="1735">S438</f>
        <v/>
      </c>
      <c r="F438" s="194"/>
      <c r="G438" s="668" t="str">
        <f t="shared" ref="G438" ca="1" si="1736">IF(OR(INDIRECT("'update Helper'!E"&amp;U438)=0,F438&lt;&gt;0,F439&lt;&gt;0),IF(IFERROR((F438/F439),"")="","",(F438/F439)),INDIRECT("'update Helper'!E"&amp;U438)/100)</f>
        <v/>
      </c>
      <c r="H438" s="670"/>
      <c r="I438" s="672"/>
      <c r="J438" s="651"/>
      <c r="K438" s="666" t="str">
        <f t="shared" ref="K438" si="1737">W438</f>
        <v/>
      </c>
      <c r="L438" s="666" t="str">
        <f t="shared" ref="L438" si="1738">V438</f>
        <v/>
      </c>
      <c r="M438" s="651"/>
      <c r="N438" s="651"/>
      <c r="P438" s="189">
        <f t="shared" ref="P438" si="1739">IF(AND(EXACT(C438,C436),C436&lt;&gt;0),P436+1,0)</f>
        <v>21</v>
      </c>
      <c r="Q438" s="189" t="str">
        <f t="shared" ref="Q438" si="1740">IF(C438&lt;&gt;"",C438&amp;"-"&amp;P438,"")</f>
        <v/>
      </c>
      <c r="R438" s="189" t="str">
        <f t="array" ref="R438">IFERROR(IF(INDEX('Disaggregation Records'!$E$69:$E$152,MATCH(RIGHT(Q438,255),RIGHT('Disaggregation Records'!$D$69:$D$152,255),0))=0,"",INDEX('Disaggregation Records'!$E$69:$E$152,MATCH(RIGHT(Q438,255),RIGHT('Disaggregation Records'!$D$69:$D$152,255),0))),"")</f>
        <v/>
      </c>
      <c r="S438" s="189" t="str">
        <f t="array" ref="S438">IFERROR(IF(INDEX('Disaggregation Records'!$F$69:$F$152,MATCH(RIGHT(Q438,255),RIGHT('Disaggregation Records'!$D$69:$D$152,255),0))=0,"",INDEX('Disaggregation Records'!$F$69:$F$152,MATCH(RIGHT(Q438,255),RIGHT('Disaggregation Records'!$D$69:$D$152,255),0))),"")</f>
        <v/>
      </c>
      <c r="T438" s="189" t="str">
        <f t="array" ref="T438">IFERROR(IF(INDEX('Disaggregation Records'!$H$69:$H$152,MATCH(RIGHT(Q438,255),RIGHT('Disaggregation Records'!$D$69:$D$152,255),0))=0,"",INDEX('Disaggregation Records'!$H$69:$H$152,MATCH(RIGHT(Q438,255),RIGHT('Disaggregation Records'!$D$69:$D$152,255),0))),"")</f>
        <v/>
      </c>
      <c r="U438" s="189">
        <f t="shared" ref="U438" si="1741">U436+1</f>
        <v>940</v>
      </c>
      <c r="V438" s="189" t="str">
        <f t="array" ref="V438">IFERROR(IF(INDEX('Disaggregation Records'!$I$69:$I$152,MATCH(RIGHT(Q438,255),RIGHT('Disaggregation Records'!$D$69:$D$152,255),0))=0,"",INDEX('Disaggregation Records'!$I$69:$I$152,MATCH(RIGHT(Q438,255),RIGHT('Disaggregation Records'!$D$69:$D$152,255),0))),"")</f>
        <v/>
      </c>
      <c r="W438" s="189" t="str">
        <f>IFERROR(INDEX('Reference Records'!P$19:P$56,MATCH(LEFT(C438,255),'Reference Records'!J$19:J$56,0)),"")</f>
        <v/>
      </c>
    </row>
    <row r="439" spans="1:23" s="189" customFormat="1" ht="40.200000000000003" customHeight="1" x14ac:dyDescent="0.3">
      <c r="A439" s="678"/>
      <c r="B439" s="675"/>
      <c r="C439" s="667"/>
      <c r="D439" s="677"/>
      <c r="E439" s="677"/>
      <c r="F439" s="202"/>
      <c r="G439" s="669"/>
      <c r="H439" s="671"/>
      <c r="I439" s="673"/>
      <c r="J439" s="652"/>
      <c r="K439" s="667"/>
      <c r="L439" s="667"/>
      <c r="M439" s="652"/>
      <c r="N439" s="652"/>
      <c r="V439" s="189" t="str">
        <f t="array" ref="V439">IFERROR(IF(INDEX('Disaggregation Records'!$I$69:$I$152,MATCH(RIGHT(Q439,255),RIGHT('Disaggregation Records'!$D$69:$D$152,255),0))=0,"",INDEX('Disaggregation Records'!$I$69:$I$152,MATCH(RIGHT(Q439,255),RIGHT('Disaggregation Records'!$D$69:$D$152,255),0))),"")</f>
        <v/>
      </c>
    </row>
    <row r="440" spans="1:23" s="189" customFormat="1" ht="40.200000000000003" customHeight="1" x14ac:dyDescent="0.3">
      <c r="A440" s="678" t="str">
        <f t="shared" ref="A440" ca="1" si="1742">INDIRECT("'update Helper'!C"&amp;U440)</f>
        <v>a1V3p000004fwuWEAQ</v>
      </c>
      <c r="B440" s="674">
        <v>7</v>
      </c>
      <c r="C440" s="666" t="str">
        <f>IFERROR(VLOOKUP(B440,'Outcome Indicators - Section C '!$A$9:$AF$70,32,FALSE),"")</f>
        <v/>
      </c>
      <c r="D440" s="676" t="str">
        <f t="shared" ref="D440" si="1743">R440</f>
        <v/>
      </c>
      <c r="E440" s="676" t="str">
        <f t="shared" ref="E440" si="1744">S440</f>
        <v/>
      </c>
      <c r="F440" s="194"/>
      <c r="G440" s="668" t="str">
        <f t="shared" ref="G440" ca="1" si="1745">IF(OR(INDIRECT("'update Helper'!E"&amp;U440)=0,F440&lt;&gt;0,F441&lt;&gt;0),IF(IFERROR((F440/F441),"")="","",(F440/F441)),INDIRECT("'update Helper'!E"&amp;U440)/100)</f>
        <v/>
      </c>
      <c r="H440" s="670"/>
      <c r="I440" s="672"/>
      <c r="J440" s="651"/>
      <c r="K440" s="666" t="str">
        <f t="shared" ref="K440" si="1746">W440</f>
        <v/>
      </c>
      <c r="L440" s="666" t="str">
        <f t="shared" ref="L440" si="1747">V440</f>
        <v/>
      </c>
      <c r="M440" s="651"/>
      <c r="N440" s="651"/>
      <c r="P440" s="189">
        <f t="shared" ref="P440" si="1748">IF(AND(EXACT(C440,C438),C438&lt;&gt;0),P438+1,0)</f>
        <v>22</v>
      </c>
      <c r="Q440" s="189" t="str">
        <f t="shared" ref="Q440" si="1749">IF(C440&lt;&gt;"",C440&amp;"-"&amp;P440,"")</f>
        <v/>
      </c>
      <c r="R440" s="189" t="str">
        <f t="array" ref="R440">IFERROR(IF(INDEX('Disaggregation Records'!$E$69:$E$152,MATCH(RIGHT(Q440,255),RIGHT('Disaggregation Records'!$D$69:$D$152,255),0))=0,"",INDEX('Disaggregation Records'!$E$69:$E$152,MATCH(RIGHT(Q440,255),RIGHT('Disaggregation Records'!$D$69:$D$152,255),0))),"")</f>
        <v/>
      </c>
      <c r="S440" s="189" t="str">
        <f t="array" ref="S440">IFERROR(IF(INDEX('Disaggregation Records'!$F$69:$F$152,MATCH(RIGHT(Q440,255),RIGHT('Disaggregation Records'!$D$69:$D$152,255),0))=0,"",INDEX('Disaggregation Records'!$F$69:$F$152,MATCH(RIGHT(Q440,255),RIGHT('Disaggregation Records'!$D$69:$D$152,255),0))),"")</f>
        <v/>
      </c>
      <c r="T440" s="189" t="str">
        <f t="array" ref="T440">IFERROR(IF(INDEX('Disaggregation Records'!$H$69:$H$152,MATCH(RIGHT(Q440,255),RIGHT('Disaggregation Records'!$D$69:$D$152,255),0))=0,"",INDEX('Disaggregation Records'!$H$69:$H$152,MATCH(RIGHT(Q440,255),RIGHT('Disaggregation Records'!$D$69:$D$152,255),0))),"")</f>
        <v/>
      </c>
      <c r="U440" s="189">
        <f t="shared" ref="U440" si="1750">U438+1</f>
        <v>941</v>
      </c>
      <c r="V440" s="189" t="str">
        <f t="array" ref="V440">IFERROR(IF(INDEX('Disaggregation Records'!$I$69:$I$152,MATCH(RIGHT(Q440,255),RIGHT('Disaggregation Records'!$D$69:$D$152,255),0))=0,"",INDEX('Disaggregation Records'!$I$69:$I$152,MATCH(RIGHT(Q440,255),RIGHT('Disaggregation Records'!$D$69:$D$152,255),0))),"")</f>
        <v/>
      </c>
      <c r="W440" s="189" t="str">
        <f>IFERROR(INDEX('Reference Records'!P$19:P$56,MATCH(LEFT(C440,255),'Reference Records'!J$19:J$56,0)),"")</f>
        <v/>
      </c>
    </row>
    <row r="441" spans="1:23" s="189" customFormat="1" ht="40.200000000000003" customHeight="1" x14ac:dyDescent="0.3">
      <c r="A441" s="678"/>
      <c r="B441" s="675"/>
      <c r="C441" s="667"/>
      <c r="D441" s="677"/>
      <c r="E441" s="677"/>
      <c r="F441" s="202"/>
      <c r="G441" s="669"/>
      <c r="H441" s="671"/>
      <c r="I441" s="673"/>
      <c r="J441" s="652"/>
      <c r="K441" s="667"/>
      <c r="L441" s="667"/>
      <c r="M441" s="652"/>
      <c r="N441" s="652"/>
      <c r="V441" s="189" t="str">
        <f t="array" ref="V441">IFERROR(IF(INDEX('Disaggregation Records'!$I$69:$I$152,MATCH(RIGHT(Q441,255),RIGHT('Disaggregation Records'!$D$69:$D$152,255),0))=0,"",INDEX('Disaggregation Records'!$I$69:$I$152,MATCH(RIGHT(Q441,255),RIGHT('Disaggregation Records'!$D$69:$D$152,255),0))),"")</f>
        <v/>
      </c>
    </row>
    <row r="442" spans="1:23" s="189" customFormat="1" ht="40.200000000000003" customHeight="1" x14ac:dyDescent="0.3">
      <c r="A442" s="678" t="str">
        <f t="shared" ref="A442" ca="1" si="1751">INDIRECT("'update Helper'!C"&amp;U442)</f>
        <v>a1V3p000004fwuXEAQ</v>
      </c>
      <c r="B442" s="674">
        <v>7</v>
      </c>
      <c r="C442" s="666" t="str">
        <f>IFERROR(VLOOKUP(B442,'Outcome Indicators - Section C '!$A$9:$AF$70,32,FALSE),"")</f>
        <v/>
      </c>
      <c r="D442" s="676" t="str">
        <f t="shared" ref="D442" si="1752">R442</f>
        <v/>
      </c>
      <c r="E442" s="676" t="str">
        <f t="shared" ref="E442" si="1753">S442</f>
        <v/>
      </c>
      <c r="F442" s="194"/>
      <c r="G442" s="668" t="str">
        <f t="shared" ref="G442" ca="1" si="1754">IF(OR(INDIRECT("'update Helper'!E"&amp;U442)=0,F442&lt;&gt;0,F443&lt;&gt;0),IF(IFERROR((F442/F443),"")="","",(F442/F443)),INDIRECT("'update Helper'!E"&amp;U442)/100)</f>
        <v/>
      </c>
      <c r="H442" s="670"/>
      <c r="I442" s="672"/>
      <c r="J442" s="651"/>
      <c r="K442" s="666" t="str">
        <f t="shared" ref="K442" si="1755">W442</f>
        <v/>
      </c>
      <c r="L442" s="666" t="str">
        <f t="shared" ref="L442" si="1756">V442</f>
        <v/>
      </c>
      <c r="M442" s="651"/>
      <c r="N442" s="651"/>
      <c r="P442" s="189">
        <f t="shared" ref="P442" si="1757">IF(AND(EXACT(C442,C440),C440&lt;&gt;0),P440+1,0)</f>
        <v>23</v>
      </c>
      <c r="Q442" s="189" t="str">
        <f t="shared" ref="Q442" si="1758">IF(C442&lt;&gt;"",C442&amp;"-"&amp;P442,"")</f>
        <v/>
      </c>
      <c r="R442" s="189" t="str">
        <f t="array" ref="R442">IFERROR(IF(INDEX('Disaggregation Records'!$E$69:$E$152,MATCH(RIGHT(Q442,255),RIGHT('Disaggregation Records'!$D$69:$D$152,255),0))=0,"",INDEX('Disaggregation Records'!$E$69:$E$152,MATCH(RIGHT(Q442,255),RIGHT('Disaggregation Records'!$D$69:$D$152,255),0))),"")</f>
        <v/>
      </c>
      <c r="S442" s="189" t="str">
        <f t="array" ref="S442">IFERROR(IF(INDEX('Disaggregation Records'!$F$69:$F$152,MATCH(RIGHT(Q442,255),RIGHT('Disaggregation Records'!$D$69:$D$152,255),0))=0,"",INDEX('Disaggregation Records'!$F$69:$F$152,MATCH(RIGHT(Q442,255),RIGHT('Disaggregation Records'!$D$69:$D$152,255),0))),"")</f>
        <v/>
      </c>
      <c r="T442" s="189" t="str">
        <f t="array" ref="T442">IFERROR(IF(INDEX('Disaggregation Records'!$H$69:$H$152,MATCH(RIGHT(Q442,255),RIGHT('Disaggregation Records'!$D$69:$D$152,255),0))=0,"",INDEX('Disaggregation Records'!$H$69:$H$152,MATCH(RIGHT(Q442,255),RIGHT('Disaggregation Records'!$D$69:$D$152,255),0))),"")</f>
        <v/>
      </c>
      <c r="U442" s="189">
        <f t="shared" ref="U442" si="1759">U440+1</f>
        <v>942</v>
      </c>
      <c r="V442" s="189" t="str">
        <f t="array" ref="V442">IFERROR(IF(INDEX('Disaggregation Records'!$I$69:$I$152,MATCH(RIGHT(Q442,255),RIGHT('Disaggregation Records'!$D$69:$D$152,255),0))=0,"",INDEX('Disaggregation Records'!$I$69:$I$152,MATCH(RIGHT(Q442,255),RIGHT('Disaggregation Records'!$D$69:$D$152,255),0))),"")</f>
        <v/>
      </c>
      <c r="W442" s="189" t="str">
        <f>IFERROR(INDEX('Reference Records'!P$19:P$56,MATCH(LEFT(C442,255),'Reference Records'!J$19:J$56,0)),"")</f>
        <v/>
      </c>
    </row>
    <row r="443" spans="1:23" s="189" customFormat="1" ht="40.200000000000003" customHeight="1" x14ac:dyDescent="0.3">
      <c r="A443" s="678"/>
      <c r="B443" s="675"/>
      <c r="C443" s="667"/>
      <c r="D443" s="677"/>
      <c r="E443" s="677"/>
      <c r="F443" s="202"/>
      <c r="G443" s="669"/>
      <c r="H443" s="671"/>
      <c r="I443" s="673"/>
      <c r="J443" s="652"/>
      <c r="K443" s="667"/>
      <c r="L443" s="667"/>
      <c r="M443" s="652"/>
      <c r="N443" s="652"/>
      <c r="V443" s="189" t="str">
        <f t="array" ref="V443">IFERROR(IF(INDEX('Disaggregation Records'!$I$69:$I$152,MATCH(RIGHT(Q443,255),RIGHT('Disaggregation Records'!$D$69:$D$152,255),0))=0,"",INDEX('Disaggregation Records'!$I$69:$I$152,MATCH(RIGHT(Q443,255),RIGHT('Disaggregation Records'!$D$69:$D$152,255),0))),"")</f>
        <v/>
      </c>
    </row>
    <row r="444" spans="1:23" s="189" customFormat="1" ht="40.200000000000003" customHeight="1" x14ac:dyDescent="0.3">
      <c r="A444" s="678" t="str">
        <f t="shared" ref="A444" ca="1" si="1760">INDIRECT("'update Helper'!C"&amp;U444)</f>
        <v>a1V3p000004fwuYEAQ</v>
      </c>
      <c r="B444" s="674">
        <v>7</v>
      </c>
      <c r="C444" s="666" t="str">
        <f>IFERROR(VLOOKUP(B444,'Outcome Indicators - Section C '!$A$9:$AF$70,32,FALSE),"")</f>
        <v/>
      </c>
      <c r="D444" s="676" t="str">
        <f t="shared" ref="D444" si="1761">R444</f>
        <v/>
      </c>
      <c r="E444" s="676" t="str">
        <f t="shared" ref="E444" si="1762">S444</f>
        <v/>
      </c>
      <c r="F444" s="194"/>
      <c r="G444" s="668" t="str">
        <f t="shared" ref="G444" ca="1" si="1763">IF(OR(INDIRECT("'update Helper'!E"&amp;U444)=0,F444&lt;&gt;0,F445&lt;&gt;0),IF(IFERROR((F444/F445),"")="","",(F444/F445)),INDIRECT("'update Helper'!E"&amp;U444)/100)</f>
        <v/>
      </c>
      <c r="H444" s="670"/>
      <c r="I444" s="672"/>
      <c r="J444" s="651"/>
      <c r="K444" s="666" t="str">
        <f t="shared" ref="K444" si="1764">W444</f>
        <v/>
      </c>
      <c r="L444" s="666" t="str">
        <f t="shared" ref="L444" si="1765">V444</f>
        <v/>
      </c>
      <c r="M444" s="651"/>
      <c r="N444" s="651"/>
      <c r="P444" s="189">
        <f t="shared" ref="P444" si="1766">IF(AND(EXACT(C444,C442),C442&lt;&gt;0),P442+1,0)</f>
        <v>24</v>
      </c>
      <c r="Q444" s="189" t="str">
        <f t="shared" ref="Q444" si="1767">IF(C444&lt;&gt;"",C444&amp;"-"&amp;P444,"")</f>
        <v/>
      </c>
      <c r="R444" s="189" t="str">
        <f t="array" ref="R444">IFERROR(IF(INDEX('Disaggregation Records'!$E$69:$E$152,MATCH(RIGHT(Q444,255),RIGHT('Disaggregation Records'!$D$69:$D$152,255),0))=0,"",INDEX('Disaggregation Records'!$E$69:$E$152,MATCH(RIGHT(Q444,255),RIGHT('Disaggregation Records'!$D$69:$D$152,255),0))),"")</f>
        <v/>
      </c>
      <c r="S444" s="189" t="str">
        <f t="array" ref="S444">IFERROR(IF(INDEX('Disaggregation Records'!$F$69:$F$152,MATCH(RIGHT(Q444,255),RIGHT('Disaggregation Records'!$D$69:$D$152,255),0))=0,"",INDEX('Disaggregation Records'!$F$69:$F$152,MATCH(RIGHT(Q444,255),RIGHT('Disaggregation Records'!$D$69:$D$152,255),0))),"")</f>
        <v/>
      </c>
      <c r="T444" s="189" t="str">
        <f t="array" ref="T444">IFERROR(IF(INDEX('Disaggregation Records'!$H$69:$H$152,MATCH(RIGHT(Q444,255),RIGHT('Disaggregation Records'!$D$69:$D$152,255),0))=0,"",INDEX('Disaggregation Records'!$H$69:$H$152,MATCH(RIGHT(Q444,255),RIGHT('Disaggregation Records'!$D$69:$D$152,255),0))),"")</f>
        <v/>
      </c>
      <c r="U444" s="189">
        <f t="shared" ref="U444" si="1768">U442+1</f>
        <v>943</v>
      </c>
      <c r="V444" s="189" t="str">
        <f t="array" ref="V444">IFERROR(IF(INDEX('Disaggregation Records'!$I$69:$I$152,MATCH(RIGHT(Q444,255),RIGHT('Disaggregation Records'!$D$69:$D$152,255),0))=0,"",INDEX('Disaggregation Records'!$I$69:$I$152,MATCH(RIGHT(Q444,255),RIGHT('Disaggregation Records'!$D$69:$D$152,255),0))),"")</f>
        <v/>
      </c>
      <c r="W444" s="189" t="str">
        <f>IFERROR(INDEX('Reference Records'!P$19:P$56,MATCH(LEFT(C444,255),'Reference Records'!J$19:J$56,0)),"")</f>
        <v/>
      </c>
    </row>
    <row r="445" spans="1:23" s="189" customFormat="1" ht="40.200000000000003" customHeight="1" x14ac:dyDescent="0.3">
      <c r="A445" s="678"/>
      <c r="B445" s="675"/>
      <c r="C445" s="667"/>
      <c r="D445" s="677"/>
      <c r="E445" s="677"/>
      <c r="F445" s="202"/>
      <c r="G445" s="669"/>
      <c r="H445" s="671"/>
      <c r="I445" s="673"/>
      <c r="J445" s="652"/>
      <c r="K445" s="667"/>
      <c r="L445" s="667"/>
      <c r="M445" s="652"/>
      <c r="N445" s="652"/>
      <c r="V445" s="189" t="str">
        <f t="array" ref="V445">IFERROR(IF(INDEX('Disaggregation Records'!$I$69:$I$152,MATCH(RIGHT(Q445,255),RIGHT('Disaggregation Records'!$D$69:$D$152,255),0))=0,"",INDEX('Disaggregation Records'!$I$69:$I$152,MATCH(RIGHT(Q445,255),RIGHT('Disaggregation Records'!$D$69:$D$152,255),0))),"")</f>
        <v/>
      </c>
    </row>
    <row r="446" spans="1:23" s="189" customFormat="1" ht="40.200000000000003" customHeight="1" x14ac:dyDescent="0.3">
      <c r="A446" s="678" t="str">
        <f t="shared" ref="A446" ca="1" si="1769">INDIRECT("'update Helper'!C"&amp;U446)</f>
        <v>a1V3p000004fwuZEAQ</v>
      </c>
      <c r="B446" s="674">
        <v>7</v>
      </c>
      <c r="C446" s="666" t="str">
        <f>IFERROR(VLOOKUP(B446,'Outcome Indicators - Section C '!$A$9:$AF$70,32,FALSE),"")</f>
        <v/>
      </c>
      <c r="D446" s="676" t="str">
        <f t="shared" ref="D446" si="1770">R446</f>
        <v/>
      </c>
      <c r="E446" s="676" t="str">
        <f t="shared" ref="E446" si="1771">S446</f>
        <v/>
      </c>
      <c r="F446" s="194"/>
      <c r="G446" s="668" t="str">
        <f t="shared" ref="G446" ca="1" si="1772">IF(OR(INDIRECT("'update Helper'!E"&amp;U446)=0,F446&lt;&gt;0,F447&lt;&gt;0),IF(IFERROR((F446/F447),"")="","",(F446/F447)),INDIRECT("'update Helper'!E"&amp;U446)/100)</f>
        <v/>
      </c>
      <c r="H446" s="670"/>
      <c r="I446" s="672"/>
      <c r="J446" s="651"/>
      <c r="K446" s="666" t="str">
        <f t="shared" ref="K446" si="1773">W446</f>
        <v/>
      </c>
      <c r="L446" s="666" t="str">
        <f t="shared" ref="L446" si="1774">V446</f>
        <v/>
      </c>
      <c r="M446" s="651"/>
      <c r="N446" s="651"/>
      <c r="P446" s="189">
        <f t="shared" ref="P446" si="1775">IF(AND(EXACT(C446,C444),C444&lt;&gt;0),P444+1,0)</f>
        <v>25</v>
      </c>
      <c r="Q446" s="189" t="str">
        <f t="shared" ref="Q446" si="1776">IF(C446&lt;&gt;"",C446&amp;"-"&amp;P446,"")</f>
        <v/>
      </c>
      <c r="R446" s="189" t="str">
        <f t="array" ref="R446">IFERROR(IF(INDEX('Disaggregation Records'!$E$69:$E$152,MATCH(RIGHT(Q446,255),RIGHT('Disaggregation Records'!$D$69:$D$152,255),0))=0,"",INDEX('Disaggregation Records'!$E$69:$E$152,MATCH(RIGHT(Q446,255),RIGHT('Disaggregation Records'!$D$69:$D$152,255),0))),"")</f>
        <v/>
      </c>
      <c r="S446" s="189" t="str">
        <f t="array" ref="S446">IFERROR(IF(INDEX('Disaggregation Records'!$F$69:$F$152,MATCH(RIGHT(Q446,255),RIGHT('Disaggregation Records'!$D$69:$D$152,255),0))=0,"",INDEX('Disaggregation Records'!$F$69:$F$152,MATCH(RIGHT(Q446,255),RIGHT('Disaggregation Records'!$D$69:$D$152,255),0))),"")</f>
        <v/>
      </c>
      <c r="T446" s="189" t="str">
        <f t="array" ref="T446">IFERROR(IF(INDEX('Disaggregation Records'!$H$69:$H$152,MATCH(RIGHT(Q446,255),RIGHT('Disaggregation Records'!$D$69:$D$152,255),0))=0,"",INDEX('Disaggregation Records'!$H$69:$H$152,MATCH(RIGHT(Q446,255),RIGHT('Disaggregation Records'!$D$69:$D$152,255),0))),"")</f>
        <v/>
      </c>
      <c r="U446" s="189">
        <f t="shared" ref="U446" si="1777">U444+1</f>
        <v>944</v>
      </c>
      <c r="V446" s="189" t="str">
        <f t="array" ref="V446">IFERROR(IF(INDEX('Disaggregation Records'!$I$69:$I$152,MATCH(RIGHT(Q446,255),RIGHT('Disaggregation Records'!$D$69:$D$152,255),0))=0,"",INDEX('Disaggregation Records'!$I$69:$I$152,MATCH(RIGHT(Q446,255),RIGHT('Disaggregation Records'!$D$69:$D$152,255),0))),"")</f>
        <v/>
      </c>
      <c r="W446" s="189" t="str">
        <f>IFERROR(INDEX('Reference Records'!P$19:P$56,MATCH(LEFT(C446,255),'Reference Records'!J$19:J$56,0)),"")</f>
        <v/>
      </c>
    </row>
    <row r="447" spans="1:23" s="189" customFormat="1" ht="40.200000000000003" customHeight="1" x14ac:dyDescent="0.3">
      <c r="A447" s="678"/>
      <c r="B447" s="675"/>
      <c r="C447" s="667"/>
      <c r="D447" s="677"/>
      <c r="E447" s="677"/>
      <c r="F447" s="202"/>
      <c r="G447" s="669"/>
      <c r="H447" s="671"/>
      <c r="I447" s="673"/>
      <c r="J447" s="652"/>
      <c r="K447" s="667"/>
      <c r="L447" s="667"/>
      <c r="M447" s="652"/>
      <c r="N447" s="652"/>
      <c r="V447" s="189" t="str">
        <f t="array" ref="V447">IFERROR(IF(INDEX('Disaggregation Records'!$I$69:$I$152,MATCH(RIGHT(Q447,255),RIGHT('Disaggregation Records'!$D$69:$D$152,255),0))=0,"",INDEX('Disaggregation Records'!$I$69:$I$152,MATCH(RIGHT(Q447,255),RIGHT('Disaggregation Records'!$D$69:$D$152,255),0))),"")</f>
        <v/>
      </c>
    </row>
    <row r="448" spans="1:23" s="189" customFormat="1" ht="40.200000000000003" customHeight="1" x14ac:dyDescent="0.3">
      <c r="A448" s="678" t="str">
        <f t="shared" ref="A448" ca="1" si="1778">INDIRECT("'update Helper'!C"&amp;U448)</f>
        <v>a1V3p000004fwuaEAA</v>
      </c>
      <c r="B448" s="674">
        <v>7</v>
      </c>
      <c r="C448" s="666" t="str">
        <f>IFERROR(VLOOKUP(B448,'Outcome Indicators - Section C '!$A$9:$AF$70,32,FALSE),"")</f>
        <v/>
      </c>
      <c r="D448" s="676" t="str">
        <f t="shared" ref="D448" si="1779">R448</f>
        <v/>
      </c>
      <c r="E448" s="676" t="str">
        <f t="shared" ref="E448" si="1780">S448</f>
        <v/>
      </c>
      <c r="F448" s="194"/>
      <c r="G448" s="668" t="str">
        <f t="shared" ref="G448" ca="1" si="1781">IF(OR(INDIRECT("'update Helper'!E"&amp;U448)=0,F448&lt;&gt;0,F449&lt;&gt;0),IF(IFERROR((F448/F449),"")="","",(F448/F449)),INDIRECT("'update Helper'!E"&amp;U448)/100)</f>
        <v/>
      </c>
      <c r="H448" s="670"/>
      <c r="I448" s="672"/>
      <c r="J448" s="651"/>
      <c r="K448" s="666" t="str">
        <f t="shared" ref="K448" si="1782">W448</f>
        <v/>
      </c>
      <c r="L448" s="666" t="str">
        <f t="shared" ref="L448" si="1783">V448</f>
        <v/>
      </c>
      <c r="M448" s="651"/>
      <c r="N448" s="651"/>
      <c r="P448" s="189">
        <f t="shared" ref="P448" si="1784">IF(AND(EXACT(C448,C446),C446&lt;&gt;0),P446+1,0)</f>
        <v>26</v>
      </c>
      <c r="Q448" s="189" t="str">
        <f t="shared" ref="Q448" si="1785">IF(C448&lt;&gt;"",C448&amp;"-"&amp;P448,"")</f>
        <v/>
      </c>
      <c r="R448" s="189" t="str">
        <f t="array" ref="R448">IFERROR(IF(INDEX('Disaggregation Records'!$E$69:$E$152,MATCH(RIGHT(Q448,255),RIGHT('Disaggregation Records'!$D$69:$D$152,255),0))=0,"",INDEX('Disaggregation Records'!$E$69:$E$152,MATCH(RIGHT(Q448,255),RIGHT('Disaggregation Records'!$D$69:$D$152,255),0))),"")</f>
        <v/>
      </c>
      <c r="S448" s="189" t="str">
        <f t="array" ref="S448">IFERROR(IF(INDEX('Disaggregation Records'!$F$69:$F$152,MATCH(RIGHT(Q448,255),RIGHT('Disaggregation Records'!$D$69:$D$152,255),0))=0,"",INDEX('Disaggregation Records'!$F$69:$F$152,MATCH(RIGHT(Q448,255),RIGHT('Disaggregation Records'!$D$69:$D$152,255),0))),"")</f>
        <v/>
      </c>
      <c r="T448" s="189" t="str">
        <f t="array" ref="T448">IFERROR(IF(INDEX('Disaggregation Records'!$H$69:$H$152,MATCH(RIGHT(Q448,255),RIGHT('Disaggregation Records'!$D$69:$D$152,255),0))=0,"",INDEX('Disaggregation Records'!$H$69:$H$152,MATCH(RIGHT(Q448,255),RIGHT('Disaggregation Records'!$D$69:$D$152,255),0))),"")</f>
        <v/>
      </c>
      <c r="U448" s="189">
        <f t="shared" ref="U448" si="1786">U446+1</f>
        <v>945</v>
      </c>
      <c r="V448" s="189" t="str">
        <f t="array" ref="V448">IFERROR(IF(INDEX('Disaggregation Records'!$I$69:$I$152,MATCH(RIGHT(Q448,255),RIGHT('Disaggregation Records'!$D$69:$D$152,255),0))=0,"",INDEX('Disaggregation Records'!$I$69:$I$152,MATCH(RIGHT(Q448,255),RIGHT('Disaggregation Records'!$D$69:$D$152,255),0))),"")</f>
        <v/>
      </c>
      <c r="W448" s="189" t="str">
        <f>IFERROR(INDEX('Reference Records'!P$19:P$56,MATCH(LEFT(C448,255),'Reference Records'!J$19:J$56,0)),"")</f>
        <v/>
      </c>
    </row>
    <row r="449" spans="1:23" s="189" customFormat="1" ht="40.200000000000003" customHeight="1" x14ac:dyDescent="0.3">
      <c r="A449" s="678"/>
      <c r="B449" s="675"/>
      <c r="C449" s="667"/>
      <c r="D449" s="677"/>
      <c r="E449" s="677"/>
      <c r="F449" s="202"/>
      <c r="G449" s="669"/>
      <c r="H449" s="671"/>
      <c r="I449" s="673"/>
      <c r="J449" s="652"/>
      <c r="K449" s="667"/>
      <c r="L449" s="667"/>
      <c r="M449" s="652"/>
      <c r="N449" s="652"/>
      <c r="V449" s="189" t="str">
        <f t="array" ref="V449">IFERROR(IF(INDEX('Disaggregation Records'!$I$69:$I$152,MATCH(RIGHT(Q449,255),RIGHT('Disaggregation Records'!$D$69:$D$152,255),0))=0,"",INDEX('Disaggregation Records'!$I$69:$I$152,MATCH(RIGHT(Q449,255),RIGHT('Disaggregation Records'!$D$69:$D$152,255),0))),"")</f>
        <v/>
      </c>
    </row>
    <row r="450" spans="1:23" s="189" customFormat="1" ht="40.200000000000003" customHeight="1" x14ac:dyDescent="0.3">
      <c r="A450" s="678" t="str">
        <f t="shared" ref="A450" ca="1" si="1787">INDIRECT("'update Helper'!C"&amp;U450)</f>
        <v>a1V3p000004fwubEAA</v>
      </c>
      <c r="B450" s="674">
        <v>7</v>
      </c>
      <c r="C450" s="666" t="str">
        <f>IFERROR(VLOOKUP(B450,'Outcome Indicators - Section C '!$A$9:$AF$70,32,FALSE),"")</f>
        <v/>
      </c>
      <c r="D450" s="676" t="str">
        <f t="shared" ref="D450" si="1788">R450</f>
        <v/>
      </c>
      <c r="E450" s="676" t="str">
        <f t="shared" ref="E450" si="1789">S450</f>
        <v/>
      </c>
      <c r="F450" s="194"/>
      <c r="G450" s="668" t="str">
        <f t="shared" ref="G450" ca="1" si="1790">IF(OR(INDIRECT("'update Helper'!E"&amp;U450)=0,F450&lt;&gt;0,F451&lt;&gt;0),IF(IFERROR((F450/F451),"")="","",(F450/F451)),INDIRECT("'update Helper'!E"&amp;U450)/100)</f>
        <v/>
      </c>
      <c r="H450" s="670"/>
      <c r="I450" s="672"/>
      <c r="J450" s="651"/>
      <c r="K450" s="666" t="str">
        <f t="shared" ref="K450" si="1791">W450</f>
        <v/>
      </c>
      <c r="L450" s="666" t="str">
        <f t="shared" ref="L450" si="1792">V450</f>
        <v/>
      </c>
      <c r="M450" s="651"/>
      <c r="N450" s="651"/>
      <c r="P450" s="189">
        <f t="shared" ref="P450" si="1793">IF(AND(EXACT(C450,C448),C448&lt;&gt;0),P448+1,0)</f>
        <v>27</v>
      </c>
      <c r="Q450" s="189" t="str">
        <f t="shared" ref="Q450" si="1794">IF(C450&lt;&gt;"",C450&amp;"-"&amp;P450,"")</f>
        <v/>
      </c>
      <c r="R450" s="189" t="str">
        <f t="array" ref="R450">IFERROR(IF(INDEX('Disaggregation Records'!$E$69:$E$152,MATCH(RIGHT(Q450,255),RIGHT('Disaggregation Records'!$D$69:$D$152,255),0))=0,"",INDEX('Disaggregation Records'!$E$69:$E$152,MATCH(RIGHT(Q450,255),RIGHT('Disaggregation Records'!$D$69:$D$152,255),0))),"")</f>
        <v/>
      </c>
      <c r="S450" s="189" t="str">
        <f t="array" ref="S450">IFERROR(IF(INDEX('Disaggregation Records'!$F$69:$F$152,MATCH(RIGHT(Q450,255),RIGHT('Disaggregation Records'!$D$69:$D$152,255),0))=0,"",INDEX('Disaggregation Records'!$F$69:$F$152,MATCH(RIGHT(Q450,255),RIGHT('Disaggregation Records'!$D$69:$D$152,255),0))),"")</f>
        <v/>
      </c>
      <c r="T450" s="189" t="str">
        <f t="array" ref="T450">IFERROR(IF(INDEX('Disaggregation Records'!$H$69:$H$152,MATCH(RIGHT(Q450,255),RIGHT('Disaggregation Records'!$D$69:$D$152,255),0))=0,"",INDEX('Disaggregation Records'!$H$69:$H$152,MATCH(RIGHT(Q450,255),RIGHT('Disaggregation Records'!$D$69:$D$152,255),0))),"")</f>
        <v/>
      </c>
      <c r="U450" s="189">
        <f t="shared" ref="U450" si="1795">U448+1</f>
        <v>946</v>
      </c>
      <c r="V450" s="189" t="str">
        <f t="array" ref="V450">IFERROR(IF(INDEX('Disaggregation Records'!$I$69:$I$152,MATCH(RIGHT(Q450,255),RIGHT('Disaggregation Records'!$D$69:$D$152,255),0))=0,"",INDEX('Disaggregation Records'!$I$69:$I$152,MATCH(RIGHT(Q450,255),RIGHT('Disaggregation Records'!$D$69:$D$152,255),0))),"")</f>
        <v/>
      </c>
      <c r="W450" s="189" t="str">
        <f>IFERROR(INDEX('Reference Records'!P$19:P$56,MATCH(LEFT(C450,255),'Reference Records'!J$19:J$56,0)),"")</f>
        <v/>
      </c>
    </row>
    <row r="451" spans="1:23" s="189" customFormat="1" ht="40.200000000000003" customHeight="1" x14ac:dyDescent="0.3">
      <c r="A451" s="678"/>
      <c r="B451" s="675"/>
      <c r="C451" s="667"/>
      <c r="D451" s="677"/>
      <c r="E451" s="677"/>
      <c r="F451" s="202"/>
      <c r="G451" s="669"/>
      <c r="H451" s="671"/>
      <c r="I451" s="673"/>
      <c r="J451" s="652"/>
      <c r="K451" s="667"/>
      <c r="L451" s="667"/>
      <c r="M451" s="652"/>
      <c r="N451" s="652"/>
      <c r="V451" s="189" t="str">
        <f t="array" ref="V451">IFERROR(IF(INDEX('Disaggregation Records'!$I$69:$I$152,MATCH(RIGHT(Q451,255),RIGHT('Disaggregation Records'!$D$69:$D$152,255),0))=0,"",INDEX('Disaggregation Records'!$I$69:$I$152,MATCH(RIGHT(Q451,255),RIGHT('Disaggregation Records'!$D$69:$D$152,255),0))),"")</f>
        <v/>
      </c>
    </row>
    <row r="452" spans="1:23" s="189" customFormat="1" ht="40.200000000000003" customHeight="1" x14ac:dyDescent="0.3">
      <c r="A452" s="678" t="str">
        <f t="shared" ref="A452" ca="1" si="1796">INDIRECT("'update Helper'!C"&amp;U452)</f>
        <v>a1V3p000004fwucEAA</v>
      </c>
      <c r="B452" s="674">
        <v>7</v>
      </c>
      <c r="C452" s="666" t="str">
        <f>IFERROR(VLOOKUP(B452,'Outcome Indicators - Section C '!$A$9:$AF$70,32,FALSE),"")</f>
        <v/>
      </c>
      <c r="D452" s="676" t="str">
        <f t="shared" ref="D452" si="1797">R452</f>
        <v/>
      </c>
      <c r="E452" s="676" t="str">
        <f t="shared" ref="E452" si="1798">S452</f>
        <v/>
      </c>
      <c r="F452" s="194"/>
      <c r="G452" s="668" t="str">
        <f t="shared" ref="G452" ca="1" si="1799">IF(OR(INDIRECT("'update Helper'!E"&amp;U452)=0,F452&lt;&gt;0,F453&lt;&gt;0),IF(IFERROR((F452/F453),"")="","",(F452/F453)),INDIRECT("'update Helper'!E"&amp;U452)/100)</f>
        <v/>
      </c>
      <c r="H452" s="670"/>
      <c r="I452" s="672"/>
      <c r="J452" s="651"/>
      <c r="K452" s="666" t="str">
        <f t="shared" ref="K452" si="1800">W452</f>
        <v/>
      </c>
      <c r="L452" s="666" t="str">
        <f t="shared" ref="L452" si="1801">V452</f>
        <v/>
      </c>
      <c r="M452" s="651"/>
      <c r="N452" s="651"/>
      <c r="P452" s="189">
        <f t="shared" ref="P452" si="1802">IF(AND(EXACT(C452,C450),C450&lt;&gt;0),P450+1,0)</f>
        <v>28</v>
      </c>
      <c r="Q452" s="189" t="str">
        <f t="shared" ref="Q452" si="1803">IF(C452&lt;&gt;"",C452&amp;"-"&amp;P452,"")</f>
        <v/>
      </c>
      <c r="R452" s="189" t="str">
        <f t="array" ref="R452">IFERROR(IF(INDEX('Disaggregation Records'!$E$69:$E$152,MATCH(RIGHT(Q452,255),RIGHT('Disaggregation Records'!$D$69:$D$152,255),0))=0,"",INDEX('Disaggregation Records'!$E$69:$E$152,MATCH(RIGHT(Q452,255),RIGHT('Disaggregation Records'!$D$69:$D$152,255),0))),"")</f>
        <v/>
      </c>
      <c r="S452" s="189" t="str">
        <f t="array" ref="S452">IFERROR(IF(INDEX('Disaggregation Records'!$F$69:$F$152,MATCH(RIGHT(Q452,255),RIGHT('Disaggregation Records'!$D$69:$D$152,255),0))=0,"",INDEX('Disaggregation Records'!$F$69:$F$152,MATCH(RIGHT(Q452,255),RIGHT('Disaggregation Records'!$D$69:$D$152,255),0))),"")</f>
        <v/>
      </c>
      <c r="T452" s="189" t="str">
        <f t="array" ref="T452">IFERROR(IF(INDEX('Disaggregation Records'!$H$69:$H$152,MATCH(RIGHT(Q452,255),RIGHT('Disaggregation Records'!$D$69:$D$152,255),0))=0,"",INDEX('Disaggregation Records'!$H$69:$H$152,MATCH(RIGHT(Q452,255),RIGHT('Disaggregation Records'!$D$69:$D$152,255),0))),"")</f>
        <v/>
      </c>
      <c r="U452" s="189">
        <f t="shared" ref="U452" si="1804">U450+1</f>
        <v>947</v>
      </c>
      <c r="V452" s="189" t="str">
        <f t="array" ref="V452">IFERROR(IF(INDEX('Disaggregation Records'!$I$69:$I$152,MATCH(RIGHT(Q452,255),RIGHT('Disaggregation Records'!$D$69:$D$152,255),0))=0,"",INDEX('Disaggregation Records'!$I$69:$I$152,MATCH(RIGHT(Q452,255),RIGHT('Disaggregation Records'!$D$69:$D$152,255),0))),"")</f>
        <v/>
      </c>
      <c r="W452" s="189" t="str">
        <f>IFERROR(INDEX('Reference Records'!P$19:P$56,MATCH(LEFT(C452,255),'Reference Records'!J$19:J$56,0)),"")</f>
        <v/>
      </c>
    </row>
    <row r="453" spans="1:23" s="189" customFormat="1" ht="40.200000000000003" customHeight="1" x14ac:dyDescent="0.3">
      <c r="A453" s="678"/>
      <c r="B453" s="675"/>
      <c r="C453" s="667"/>
      <c r="D453" s="677"/>
      <c r="E453" s="677"/>
      <c r="F453" s="202"/>
      <c r="G453" s="669"/>
      <c r="H453" s="671"/>
      <c r="I453" s="673"/>
      <c r="J453" s="652"/>
      <c r="K453" s="667"/>
      <c r="L453" s="667"/>
      <c r="M453" s="652"/>
      <c r="N453" s="652"/>
      <c r="V453" s="189" t="str">
        <f t="array" ref="V453">IFERROR(IF(INDEX('Disaggregation Records'!$I$69:$I$152,MATCH(RIGHT(Q453,255),RIGHT('Disaggregation Records'!$D$69:$D$152,255),0))=0,"",INDEX('Disaggregation Records'!$I$69:$I$152,MATCH(RIGHT(Q453,255),RIGHT('Disaggregation Records'!$D$69:$D$152,255),0))),"")</f>
        <v/>
      </c>
    </row>
    <row r="454" spans="1:23" s="189" customFormat="1" ht="40.200000000000003" customHeight="1" x14ac:dyDescent="0.3">
      <c r="A454" s="678" t="str">
        <f t="shared" ref="A454" ca="1" si="1805">INDIRECT("'update Helper'!C"&amp;U454)</f>
        <v>a1V3p000004fwudEAA</v>
      </c>
      <c r="B454" s="674">
        <v>7</v>
      </c>
      <c r="C454" s="666" t="str">
        <f>IFERROR(VLOOKUP(B454,'Outcome Indicators - Section C '!$A$9:$AF$70,32,FALSE),"")</f>
        <v/>
      </c>
      <c r="D454" s="676" t="str">
        <f t="shared" ref="D454" si="1806">R454</f>
        <v/>
      </c>
      <c r="E454" s="676" t="str">
        <f t="shared" ref="E454" si="1807">S454</f>
        <v/>
      </c>
      <c r="F454" s="194"/>
      <c r="G454" s="668" t="str">
        <f t="shared" ref="G454" ca="1" si="1808">IF(OR(INDIRECT("'update Helper'!E"&amp;U454)=0,F454&lt;&gt;0,F455&lt;&gt;0),IF(IFERROR((F454/F455),"")="","",(F454/F455)),INDIRECT("'update Helper'!E"&amp;U454)/100)</f>
        <v/>
      </c>
      <c r="H454" s="670"/>
      <c r="I454" s="672"/>
      <c r="J454" s="651"/>
      <c r="K454" s="666" t="str">
        <f t="shared" ref="K454" si="1809">W454</f>
        <v/>
      </c>
      <c r="L454" s="666" t="str">
        <f t="shared" ref="L454" si="1810">V454</f>
        <v/>
      </c>
      <c r="M454" s="651"/>
      <c r="N454" s="651"/>
      <c r="P454" s="189">
        <f t="shared" ref="P454" si="1811">IF(AND(EXACT(C454,C452),C452&lt;&gt;0),P452+1,0)</f>
        <v>29</v>
      </c>
      <c r="Q454" s="189" t="str">
        <f t="shared" ref="Q454" si="1812">IF(C454&lt;&gt;"",C454&amp;"-"&amp;P454,"")</f>
        <v/>
      </c>
      <c r="R454" s="189" t="str">
        <f t="array" ref="R454">IFERROR(IF(INDEX('Disaggregation Records'!$E$69:$E$152,MATCH(RIGHT(Q454,255),RIGHT('Disaggregation Records'!$D$69:$D$152,255),0))=0,"",INDEX('Disaggregation Records'!$E$69:$E$152,MATCH(RIGHT(Q454,255),RIGHT('Disaggregation Records'!$D$69:$D$152,255),0))),"")</f>
        <v/>
      </c>
      <c r="S454" s="189" t="str">
        <f t="array" ref="S454">IFERROR(IF(INDEX('Disaggregation Records'!$F$69:$F$152,MATCH(RIGHT(Q454,255),RIGHT('Disaggregation Records'!$D$69:$D$152,255),0))=0,"",INDEX('Disaggregation Records'!$F$69:$F$152,MATCH(RIGHT(Q454,255),RIGHT('Disaggregation Records'!$D$69:$D$152,255),0))),"")</f>
        <v/>
      </c>
      <c r="T454" s="189" t="str">
        <f t="array" ref="T454">IFERROR(IF(INDEX('Disaggregation Records'!$H$69:$H$152,MATCH(RIGHT(Q454,255),RIGHT('Disaggregation Records'!$D$69:$D$152,255),0))=0,"",INDEX('Disaggregation Records'!$H$69:$H$152,MATCH(RIGHT(Q454,255),RIGHT('Disaggregation Records'!$D$69:$D$152,255),0))),"")</f>
        <v/>
      </c>
      <c r="U454" s="189">
        <f t="shared" ref="U454" si="1813">U452+1</f>
        <v>948</v>
      </c>
      <c r="V454" s="189" t="str">
        <f t="array" ref="V454">IFERROR(IF(INDEX('Disaggregation Records'!$I$69:$I$152,MATCH(RIGHT(Q454,255),RIGHT('Disaggregation Records'!$D$69:$D$152,255),0))=0,"",INDEX('Disaggregation Records'!$I$69:$I$152,MATCH(RIGHT(Q454,255),RIGHT('Disaggregation Records'!$D$69:$D$152,255),0))),"")</f>
        <v/>
      </c>
      <c r="W454" s="189" t="str">
        <f>IFERROR(INDEX('Reference Records'!P$19:P$56,MATCH(LEFT(C454,255),'Reference Records'!J$19:J$56,0)),"")</f>
        <v/>
      </c>
    </row>
    <row r="455" spans="1:23" s="189" customFormat="1" ht="40.200000000000003" customHeight="1" x14ac:dyDescent="0.3">
      <c r="A455" s="678"/>
      <c r="B455" s="675"/>
      <c r="C455" s="667"/>
      <c r="D455" s="677"/>
      <c r="E455" s="677"/>
      <c r="F455" s="202"/>
      <c r="G455" s="669"/>
      <c r="H455" s="671"/>
      <c r="I455" s="673"/>
      <c r="J455" s="652"/>
      <c r="K455" s="667"/>
      <c r="L455" s="667"/>
      <c r="M455" s="652"/>
      <c r="N455" s="652"/>
      <c r="V455" s="189" t="str">
        <f t="array" ref="V455">IFERROR(IF(INDEX('Disaggregation Records'!$I$69:$I$152,MATCH(RIGHT(Q455,255),RIGHT('Disaggregation Records'!$D$69:$D$152,255),0))=0,"",INDEX('Disaggregation Records'!$I$69:$I$152,MATCH(RIGHT(Q455,255),RIGHT('Disaggregation Records'!$D$69:$D$152,255),0))),"")</f>
        <v/>
      </c>
    </row>
    <row r="456" spans="1:23" s="189" customFormat="1" ht="40.200000000000003" customHeight="1" x14ac:dyDescent="0.3">
      <c r="A456" s="678" t="str">
        <f t="shared" ref="A456" ca="1" si="1814">INDIRECT("'update Helper'!C"&amp;U456)</f>
        <v>a1V3p000004fwueEAA</v>
      </c>
      <c r="B456" s="674">
        <v>8</v>
      </c>
      <c r="C456" s="666" t="str">
        <f>IFERROR(VLOOKUP(B456,'Outcome Indicators - Section C '!$A$9:$AF$70,32,FALSE),"")</f>
        <v/>
      </c>
      <c r="D456" s="676" t="str">
        <f t="shared" ref="D456" si="1815">R456</f>
        <v/>
      </c>
      <c r="E456" s="676" t="str">
        <f t="shared" ref="E456" si="1816">S456</f>
        <v/>
      </c>
      <c r="F456" s="194"/>
      <c r="G456" s="668" t="str">
        <f t="shared" ref="G456" ca="1" si="1817">IF(OR(INDIRECT("'update Helper'!E"&amp;U456)=0,F456&lt;&gt;0,F457&lt;&gt;0),IF(IFERROR((F456/F457),"")="","",(F456/F457)),INDIRECT("'update Helper'!E"&amp;U456)/100)</f>
        <v/>
      </c>
      <c r="H456" s="670"/>
      <c r="I456" s="672"/>
      <c r="J456" s="651"/>
      <c r="K456" s="666" t="str">
        <f t="shared" ref="K456" si="1818">W456</f>
        <v/>
      </c>
      <c r="L456" s="666" t="str">
        <f t="shared" ref="L456" si="1819">V456</f>
        <v/>
      </c>
      <c r="M456" s="651"/>
      <c r="N456" s="651"/>
      <c r="P456" s="189">
        <f t="shared" ref="P456" si="1820">IF(AND(EXACT(C456,C454),C454&lt;&gt;0),P454+1,0)</f>
        <v>30</v>
      </c>
      <c r="Q456" s="189" t="str">
        <f t="shared" ref="Q456" si="1821">IF(C456&lt;&gt;"",C456&amp;"-"&amp;P456,"")</f>
        <v/>
      </c>
      <c r="R456" s="189" t="str">
        <f t="array" ref="R456">IFERROR(IF(INDEX('Disaggregation Records'!$E$69:$E$152,MATCH(RIGHT(Q456,255),RIGHT('Disaggregation Records'!$D$69:$D$152,255),0))=0,"",INDEX('Disaggregation Records'!$E$69:$E$152,MATCH(RIGHT(Q456,255),RIGHT('Disaggregation Records'!$D$69:$D$152,255),0))),"")</f>
        <v/>
      </c>
      <c r="S456" s="189" t="str">
        <f t="array" ref="S456">IFERROR(IF(INDEX('Disaggregation Records'!$F$69:$F$152,MATCH(RIGHT(Q456,255),RIGHT('Disaggregation Records'!$D$69:$D$152,255),0))=0,"",INDEX('Disaggregation Records'!$F$69:$F$152,MATCH(RIGHT(Q456,255),RIGHT('Disaggregation Records'!$D$69:$D$152,255),0))),"")</f>
        <v/>
      </c>
      <c r="T456" s="189" t="str">
        <f t="array" ref="T456">IFERROR(IF(INDEX('Disaggregation Records'!$H$69:$H$152,MATCH(RIGHT(Q456,255),RIGHT('Disaggregation Records'!$D$69:$D$152,255),0))=0,"",INDEX('Disaggregation Records'!$H$69:$H$152,MATCH(RIGHT(Q456,255),RIGHT('Disaggregation Records'!$D$69:$D$152,255),0))),"")</f>
        <v/>
      </c>
      <c r="U456" s="189">
        <f t="shared" ref="U456" si="1822">U454+1</f>
        <v>949</v>
      </c>
      <c r="V456" s="189" t="str">
        <f t="array" ref="V456">IFERROR(IF(INDEX('Disaggregation Records'!$I$69:$I$152,MATCH(RIGHT(Q456,255),RIGHT('Disaggregation Records'!$D$69:$D$152,255),0))=0,"",INDEX('Disaggregation Records'!$I$69:$I$152,MATCH(RIGHT(Q456,255),RIGHT('Disaggregation Records'!$D$69:$D$152,255),0))),"")</f>
        <v/>
      </c>
      <c r="W456" s="189" t="str">
        <f>IFERROR(INDEX('Reference Records'!P$19:P$56,MATCH(LEFT(C456,255),'Reference Records'!J$19:J$56,0)),"")</f>
        <v/>
      </c>
    </row>
    <row r="457" spans="1:23" s="189" customFormat="1" ht="40.200000000000003" customHeight="1" x14ac:dyDescent="0.3">
      <c r="A457" s="678"/>
      <c r="B457" s="675"/>
      <c r="C457" s="667"/>
      <c r="D457" s="677"/>
      <c r="E457" s="677"/>
      <c r="F457" s="202"/>
      <c r="G457" s="669"/>
      <c r="H457" s="671"/>
      <c r="I457" s="673"/>
      <c r="J457" s="652"/>
      <c r="K457" s="667"/>
      <c r="L457" s="667"/>
      <c r="M457" s="652"/>
      <c r="N457" s="652"/>
      <c r="V457" s="189" t="str">
        <f t="array" ref="V457">IFERROR(IF(INDEX('Disaggregation Records'!$I$69:$I$152,MATCH(RIGHT(Q457,255),RIGHT('Disaggregation Records'!$D$69:$D$152,255),0))=0,"",INDEX('Disaggregation Records'!$I$69:$I$152,MATCH(RIGHT(Q457,255),RIGHT('Disaggregation Records'!$D$69:$D$152,255),0))),"")</f>
        <v/>
      </c>
    </row>
    <row r="458" spans="1:23" s="189" customFormat="1" ht="40.200000000000003" customHeight="1" x14ac:dyDescent="0.3">
      <c r="A458" s="678" t="str">
        <f t="shared" ref="A458" ca="1" si="1823">INDIRECT("'update Helper'!C"&amp;U458)</f>
        <v>a1V3p000004fwufEAA</v>
      </c>
      <c r="B458" s="674">
        <v>8</v>
      </c>
      <c r="C458" s="666" t="str">
        <f>IFERROR(VLOOKUP(B458,'Outcome Indicators - Section C '!$A$9:$AF$70,32,FALSE),"")</f>
        <v/>
      </c>
      <c r="D458" s="676" t="str">
        <f t="shared" ref="D458" si="1824">R458</f>
        <v/>
      </c>
      <c r="E458" s="676" t="str">
        <f t="shared" ref="E458" si="1825">S458</f>
        <v/>
      </c>
      <c r="F458" s="194"/>
      <c r="G458" s="668" t="str">
        <f t="shared" ref="G458" ca="1" si="1826">IF(OR(INDIRECT("'update Helper'!E"&amp;U458)=0,F458&lt;&gt;0,F459&lt;&gt;0),IF(IFERROR((F458/F459),"")="","",(F458/F459)),INDIRECT("'update Helper'!E"&amp;U458)/100)</f>
        <v/>
      </c>
      <c r="H458" s="670"/>
      <c r="I458" s="672"/>
      <c r="J458" s="651"/>
      <c r="K458" s="666" t="str">
        <f t="shared" ref="K458" si="1827">W458</f>
        <v/>
      </c>
      <c r="L458" s="666" t="str">
        <f t="shared" ref="L458" si="1828">V458</f>
        <v/>
      </c>
      <c r="M458" s="651"/>
      <c r="N458" s="651"/>
      <c r="P458" s="189">
        <f t="shared" ref="P458" si="1829">IF(AND(EXACT(C458,C456),C456&lt;&gt;0),P456+1,0)</f>
        <v>31</v>
      </c>
      <c r="Q458" s="189" t="str">
        <f t="shared" ref="Q458" si="1830">IF(C458&lt;&gt;"",C458&amp;"-"&amp;P458,"")</f>
        <v/>
      </c>
      <c r="R458" s="189" t="str">
        <f t="array" ref="R458">IFERROR(IF(INDEX('Disaggregation Records'!$E$69:$E$152,MATCH(RIGHT(Q458,255),RIGHT('Disaggregation Records'!$D$69:$D$152,255),0))=0,"",INDEX('Disaggregation Records'!$E$69:$E$152,MATCH(RIGHT(Q458,255),RIGHT('Disaggregation Records'!$D$69:$D$152,255),0))),"")</f>
        <v/>
      </c>
      <c r="S458" s="189" t="str">
        <f t="array" ref="S458">IFERROR(IF(INDEX('Disaggregation Records'!$F$69:$F$152,MATCH(RIGHT(Q458,255),RIGHT('Disaggregation Records'!$D$69:$D$152,255),0))=0,"",INDEX('Disaggregation Records'!$F$69:$F$152,MATCH(RIGHT(Q458,255),RIGHT('Disaggregation Records'!$D$69:$D$152,255),0))),"")</f>
        <v/>
      </c>
      <c r="T458" s="189" t="str">
        <f t="array" ref="T458">IFERROR(IF(INDEX('Disaggregation Records'!$H$69:$H$152,MATCH(RIGHT(Q458,255),RIGHT('Disaggregation Records'!$D$69:$D$152,255),0))=0,"",INDEX('Disaggregation Records'!$H$69:$H$152,MATCH(RIGHT(Q458,255),RIGHT('Disaggregation Records'!$D$69:$D$152,255),0))),"")</f>
        <v/>
      </c>
      <c r="U458" s="189">
        <f t="shared" ref="U458" si="1831">U456+1</f>
        <v>950</v>
      </c>
      <c r="V458" s="189" t="str">
        <f t="array" ref="V458">IFERROR(IF(INDEX('Disaggregation Records'!$I$69:$I$152,MATCH(RIGHT(Q458,255),RIGHT('Disaggregation Records'!$D$69:$D$152,255),0))=0,"",INDEX('Disaggregation Records'!$I$69:$I$152,MATCH(RIGHT(Q458,255),RIGHT('Disaggregation Records'!$D$69:$D$152,255),0))),"")</f>
        <v/>
      </c>
      <c r="W458" s="189" t="str">
        <f>IFERROR(INDEX('Reference Records'!P$19:P$56,MATCH(LEFT(C458,255),'Reference Records'!J$19:J$56,0)),"")</f>
        <v/>
      </c>
    </row>
    <row r="459" spans="1:23" s="189" customFormat="1" ht="40.200000000000003" customHeight="1" x14ac:dyDescent="0.3">
      <c r="A459" s="678"/>
      <c r="B459" s="675"/>
      <c r="C459" s="667"/>
      <c r="D459" s="677"/>
      <c r="E459" s="677"/>
      <c r="F459" s="202"/>
      <c r="G459" s="669"/>
      <c r="H459" s="671"/>
      <c r="I459" s="673"/>
      <c r="J459" s="652"/>
      <c r="K459" s="667"/>
      <c r="L459" s="667"/>
      <c r="M459" s="652"/>
      <c r="N459" s="652"/>
      <c r="V459" s="189" t="str">
        <f t="array" ref="V459">IFERROR(IF(INDEX('Disaggregation Records'!$I$69:$I$152,MATCH(RIGHT(Q459,255),RIGHT('Disaggregation Records'!$D$69:$D$152,255),0))=0,"",INDEX('Disaggregation Records'!$I$69:$I$152,MATCH(RIGHT(Q459,255),RIGHT('Disaggregation Records'!$D$69:$D$152,255),0))),"")</f>
        <v/>
      </c>
    </row>
    <row r="460" spans="1:23" s="189" customFormat="1" ht="40.200000000000003" customHeight="1" x14ac:dyDescent="0.3">
      <c r="A460" s="678" t="str">
        <f t="shared" ref="A460" ca="1" si="1832">INDIRECT("'update Helper'!C"&amp;U460)</f>
        <v>a1V3p000004fwugEAA</v>
      </c>
      <c r="B460" s="674">
        <v>8</v>
      </c>
      <c r="C460" s="666" t="str">
        <f>IFERROR(VLOOKUP(B460,'Outcome Indicators - Section C '!$A$9:$AF$70,32,FALSE),"")</f>
        <v/>
      </c>
      <c r="D460" s="676" t="str">
        <f t="shared" ref="D460" si="1833">R460</f>
        <v/>
      </c>
      <c r="E460" s="676" t="str">
        <f t="shared" ref="E460" si="1834">S460</f>
        <v/>
      </c>
      <c r="F460" s="194"/>
      <c r="G460" s="668" t="str">
        <f t="shared" ref="G460" ca="1" si="1835">IF(OR(INDIRECT("'update Helper'!E"&amp;U460)=0,F460&lt;&gt;0,F461&lt;&gt;0),IF(IFERROR((F460/F461),"")="","",(F460/F461)),INDIRECT("'update Helper'!E"&amp;U460)/100)</f>
        <v/>
      </c>
      <c r="H460" s="670"/>
      <c r="I460" s="672"/>
      <c r="J460" s="651"/>
      <c r="K460" s="666" t="str">
        <f t="shared" ref="K460" si="1836">W460</f>
        <v/>
      </c>
      <c r="L460" s="666" t="str">
        <f t="shared" ref="L460" si="1837">V460</f>
        <v/>
      </c>
      <c r="M460" s="651"/>
      <c r="N460" s="651"/>
      <c r="P460" s="189">
        <f t="shared" ref="P460" si="1838">IF(AND(EXACT(C460,C458),C458&lt;&gt;0),P458+1,0)</f>
        <v>32</v>
      </c>
      <c r="Q460" s="189" t="str">
        <f t="shared" ref="Q460" si="1839">IF(C460&lt;&gt;"",C460&amp;"-"&amp;P460,"")</f>
        <v/>
      </c>
      <c r="R460" s="189" t="str">
        <f t="array" ref="R460">IFERROR(IF(INDEX('Disaggregation Records'!$E$69:$E$152,MATCH(RIGHT(Q460,255),RIGHT('Disaggregation Records'!$D$69:$D$152,255),0))=0,"",INDEX('Disaggregation Records'!$E$69:$E$152,MATCH(RIGHT(Q460,255),RIGHT('Disaggregation Records'!$D$69:$D$152,255),0))),"")</f>
        <v/>
      </c>
      <c r="S460" s="189" t="str">
        <f t="array" ref="S460">IFERROR(IF(INDEX('Disaggregation Records'!$F$69:$F$152,MATCH(RIGHT(Q460,255),RIGHT('Disaggregation Records'!$D$69:$D$152,255),0))=0,"",INDEX('Disaggregation Records'!$F$69:$F$152,MATCH(RIGHT(Q460,255),RIGHT('Disaggregation Records'!$D$69:$D$152,255),0))),"")</f>
        <v/>
      </c>
      <c r="T460" s="189" t="str">
        <f t="array" ref="T460">IFERROR(IF(INDEX('Disaggregation Records'!$H$69:$H$152,MATCH(RIGHT(Q460,255),RIGHT('Disaggregation Records'!$D$69:$D$152,255),0))=0,"",INDEX('Disaggregation Records'!$H$69:$H$152,MATCH(RIGHT(Q460,255),RIGHT('Disaggregation Records'!$D$69:$D$152,255),0))),"")</f>
        <v/>
      </c>
      <c r="U460" s="189">
        <f t="shared" ref="U460" si="1840">U458+1</f>
        <v>951</v>
      </c>
      <c r="V460" s="189" t="str">
        <f t="array" ref="V460">IFERROR(IF(INDEX('Disaggregation Records'!$I$69:$I$152,MATCH(RIGHT(Q460,255),RIGHT('Disaggregation Records'!$D$69:$D$152,255),0))=0,"",INDEX('Disaggregation Records'!$I$69:$I$152,MATCH(RIGHT(Q460,255),RIGHT('Disaggregation Records'!$D$69:$D$152,255),0))),"")</f>
        <v/>
      </c>
      <c r="W460" s="189" t="str">
        <f>IFERROR(INDEX('Reference Records'!P$19:P$56,MATCH(LEFT(C460,255),'Reference Records'!J$19:J$56,0)),"")</f>
        <v/>
      </c>
    </row>
    <row r="461" spans="1:23" s="189" customFormat="1" ht="40.200000000000003" customHeight="1" x14ac:dyDescent="0.3">
      <c r="A461" s="678"/>
      <c r="B461" s="675"/>
      <c r="C461" s="667"/>
      <c r="D461" s="677"/>
      <c r="E461" s="677"/>
      <c r="F461" s="202"/>
      <c r="G461" s="669"/>
      <c r="H461" s="671"/>
      <c r="I461" s="673"/>
      <c r="J461" s="652"/>
      <c r="K461" s="667"/>
      <c r="L461" s="667"/>
      <c r="M461" s="652"/>
      <c r="N461" s="652"/>
      <c r="V461" s="189" t="str">
        <f t="array" ref="V461">IFERROR(IF(INDEX('Disaggregation Records'!$I$69:$I$152,MATCH(RIGHT(Q461,255),RIGHT('Disaggregation Records'!$D$69:$D$152,255),0))=0,"",INDEX('Disaggregation Records'!$I$69:$I$152,MATCH(RIGHT(Q461,255),RIGHT('Disaggregation Records'!$D$69:$D$152,255),0))),"")</f>
        <v/>
      </c>
    </row>
    <row r="462" spans="1:23" s="189" customFormat="1" ht="40.200000000000003" customHeight="1" x14ac:dyDescent="0.3">
      <c r="A462" s="678" t="str">
        <f t="shared" ref="A462" ca="1" si="1841">INDIRECT("'update Helper'!C"&amp;U462)</f>
        <v>a1V3p000004fwuhEAA</v>
      </c>
      <c r="B462" s="674">
        <v>8</v>
      </c>
      <c r="C462" s="666" t="str">
        <f>IFERROR(VLOOKUP(B462,'Outcome Indicators - Section C '!$A$9:$AF$70,32,FALSE),"")</f>
        <v/>
      </c>
      <c r="D462" s="676" t="str">
        <f t="shared" ref="D462" si="1842">R462</f>
        <v/>
      </c>
      <c r="E462" s="676" t="str">
        <f t="shared" ref="E462" si="1843">S462</f>
        <v/>
      </c>
      <c r="F462" s="194"/>
      <c r="G462" s="668" t="str">
        <f t="shared" ref="G462" ca="1" si="1844">IF(OR(INDIRECT("'update Helper'!E"&amp;U462)=0,F462&lt;&gt;0,F463&lt;&gt;0),IF(IFERROR((F462/F463),"")="","",(F462/F463)),INDIRECT("'update Helper'!E"&amp;U462)/100)</f>
        <v/>
      </c>
      <c r="H462" s="670"/>
      <c r="I462" s="672"/>
      <c r="J462" s="651"/>
      <c r="K462" s="666" t="str">
        <f t="shared" ref="K462" si="1845">W462</f>
        <v/>
      </c>
      <c r="L462" s="666" t="str">
        <f t="shared" ref="L462" si="1846">V462</f>
        <v/>
      </c>
      <c r="M462" s="651"/>
      <c r="N462" s="651"/>
      <c r="P462" s="189">
        <f t="shared" ref="P462" si="1847">IF(AND(EXACT(C462,C460),C460&lt;&gt;0),P460+1,0)</f>
        <v>33</v>
      </c>
      <c r="Q462" s="189" t="str">
        <f t="shared" ref="Q462" si="1848">IF(C462&lt;&gt;"",C462&amp;"-"&amp;P462,"")</f>
        <v/>
      </c>
      <c r="R462" s="189" t="str">
        <f t="array" ref="R462">IFERROR(IF(INDEX('Disaggregation Records'!$E$69:$E$152,MATCH(RIGHT(Q462,255),RIGHT('Disaggregation Records'!$D$69:$D$152,255),0))=0,"",INDEX('Disaggregation Records'!$E$69:$E$152,MATCH(RIGHT(Q462,255),RIGHT('Disaggregation Records'!$D$69:$D$152,255),0))),"")</f>
        <v/>
      </c>
      <c r="S462" s="189" t="str">
        <f t="array" ref="S462">IFERROR(IF(INDEX('Disaggregation Records'!$F$69:$F$152,MATCH(RIGHT(Q462,255),RIGHT('Disaggregation Records'!$D$69:$D$152,255),0))=0,"",INDEX('Disaggregation Records'!$F$69:$F$152,MATCH(RIGHT(Q462,255),RIGHT('Disaggregation Records'!$D$69:$D$152,255),0))),"")</f>
        <v/>
      </c>
      <c r="T462" s="189" t="str">
        <f t="array" ref="T462">IFERROR(IF(INDEX('Disaggregation Records'!$H$69:$H$152,MATCH(RIGHT(Q462,255),RIGHT('Disaggregation Records'!$D$69:$D$152,255),0))=0,"",INDEX('Disaggregation Records'!$H$69:$H$152,MATCH(RIGHT(Q462,255),RIGHT('Disaggregation Records'!$D$69:$D$152,255),0))),"")</f>
        <v/>
      </c>
      <c r="U462" s="189">
        <f t="shared" ref="U462" si="1849">U460+1</f>
        <v>952</v>
      </c>
      <c r="V462" s="189" t="str">
        <f t="array" ref="V462">IFERROR(IF(INDEX('Disaggregation Records'!$I$69:$I$152,MATCH(RIGHT(Q462,255),RIGHT('Disaggregation Records'!$D$69:$D$152,255),0))=0,"",INDEX('Disaggregation Records'!$I$69:$I$152,MATCH(RIGHT(Q462,255),RIGHT('Disaggregation Records'!$D$69:$D$152,255),0))),"")</f>
        <v/>
      </c>
      <c r="W462" s="189" t="str">
        <f>IFERROR(INDEX('Reference Records'!P$19:P$56,MATCH(LEFT(C462,255),'Reference Records'!J$19:J$56,0)),"")</f>
        <v/>
      </c>
    </row>
    <row r="463" spans="1:23" s="189" customFormat="1" ht="40.200000000000003" customHeight="1" x14ac:dyDescent="0.3">
      <c r="A463" s="678"/>
      <c r="B463" s="675"/>
      <c r="C463" s="667"/>
      <c r="D463" s="677"/>
      <c r="E463" s="677"/>
      <c r="F463" s="202"/>
      <c r="G463" s="669"/>
      <c r="H463" s="671"/>
      <c r="I463" s="673"/>
      <c r="J463" s="652"/>
      <c r="K463" s="667"/>
      <c r="L463" s="667"/>
      <c r="M463" s="652"/>
      <c r="N463" s="652"/>
      <c r="V463" s="189" t="str">
        <f t="array" ref="V463">IFERROR(IF(INDEX('Disaggregation Records'!$I$69:$I$152,MATCH(RIGHT(Q463,255),RIGHT('Disaggregation Records'!$D$69:$D$152,255),0))=0,"",INDEX('Disaggregation Records'!$I$69:$I$152,MATCH(RIGHT(Q463,255),RIGHT('Disaggregation Records'!$D$69:$D$152,255),0))),"")</f>
        <v/>
      </c>
    </row>
    <row r="464" spans="1:23" s="189" customFormat="1" ht="40.200000000000003" customHeight="1" x14ac:dyDescent="0.3">
      <c r="A464" s="678" t="str">
        <f t="shared" ref="A464" ca="1" si="1850">INDIRECT("'update Helper'!C"&amp;U464)</f>
        <v>a1V3p000004fwuiEAA</v>
      </c>
      <c r="B464" s="674">
        <v>8</v>
      </c>
      <c r="C464" s="666" t="str">
        <f>IFERROR(VLOOKUP(B464,'Outcome Indicators - Section C '!$A$9:$AF$70,32,FALSE),"")</f>
        <v/>
      </c>
      <c r="D464" s="676" t="str">
        <f t="shared" ref="D464" si="1851">R464</f>
        <v/>
      </c>
      <c r="E464" s="676" t="str">
        <f t="shared" ref="E464" si="1852">S464</f>
        <v/>
      </c>
      <c r="F464" s="194"/>
      <c r="G464" s="668" t="str">
        <f t="shared" ref="G464" ca="1" si="1853">IF(OR(INDIRECT("'update Helper'!E"&amp;U464)=0,F464&lt;&gt;0,F465&lt;&gt;0),IF(IFERROR((F464/F465),"")="","",(F464/F465)),INDIRECT("'update Helper'!E"&amp;U464)/100)</f>
        <v/>
      </c>
      <c r="H464" s="670"/>
      <c r="I464" s="672"/>
      <c r="J464" s="651"/>
      <c r="K464" s="666" t="str">
        <f t="shared" ref="K464" si="1854">W464</f>
        <v/>
      </c>
      <c r="L464" s="666" t="str">
        <f t="shared" ref="L464" si="1855">V464</f>
        <v/>
      </c>
      <c r="M464" s="651"/>
      <c r="N464" s="651"/>
      <c r="P464" s="189">
        <f t="shared" ref="P464" si="1856">IF(AND(EXACT(C464,C462),C462&lt;&gt;0),P462+1,0)</f>
        <v>34</v>
      </c>
      <c r="Q464" s="189" t="str">
        <f t="shared" ref="Q464" si="1857">IF(C464&lt;&gt;"",C464&amp;"-"&amp;P464,"")</f>
        <v/>
      </c>
      <c r="R464" s="189" t="str">
        <f t="array" ref="R464">IFERROR(IF(INDEX('Disaggregation Records'!$E$69:$E$152,MATCH(RIGHT(Q464,255),RIGHT('Disaggregation Records'!$D$69:$D$152,255),0))=0,"",INDEX('Disaggregation Records'!$E$69:$E$152,MATCH(RIGHT(Q464,255),RIGHT('Disaggregation Records'!$D$69:$D$152,255),0))),"")</f>
        <v/>
      </c>
      <c r="S464" s="189" t="str">
        <f t="array" ref="S464">IFERROR(IF(INDEX('Disaggregation Records'!$F$69:$F$152,MATCH(RIGHT(Q464,255),RIGHT('Disaggregation Records'!$D$69:$D$152,255),0))=0,"",INDEX('Disaggregation Records'!$F$69:$F$152,MATCH(RIGHT(Q464,255),RIGHT('Disaggregation Records'!$D$69:$D$152,255),0))),"")</f>
        <v/>
      </c>
      <c r="T464" s="189" t="str">
        <f t="array" ref="T464">IFERROR(IF(INDEX('Disaggregation Records'!$H$69:$H$152,MATCH(RIGHT(Q464,255),RIGHT('Disaggregation Records'!$D$69:$D$152,255),0))=0,"",INDEX('Disaggregation Records'!$H$69:$H$152,MATCH(RIGHT(Q464,255),RIGHT('Disaggregation Records'!$D$69:$D$152,255),0))),"")</f>
        <v/>
      </c>
      <c r="U464" s="189">
        <f t="shared" ref="U464" si="1858">U462+1</f>
        <v>953</v>
      </c>
      <c r="V464" s="189" t="str">
        <f t="array" ref="V464">IFERROR(IF(INDEX('Disaggregation Records'!$I$69:$I$152,MATCH(RIGHT(Q464,255),RIGHT('Disaggregation Records'!$D$69:$D$152,255),0))=0,"",INDEX('Disaggregation Records'!$I$69:$I$152,MATCH(RIGHT(Q464,255),RIGHT('Disaggregation Records'!$D$69:$D$152,255),0))),"")</f>
        <v/>
      </c>
      <c r="W464" s="189" t="str">
        <f>IFERROR(INDEX('Reference Records'!P$19:P$56,MATCH(LEFT(C464,255),'Reference Records'!J$19:J$56,0)),"")</f>
        <v/>
      </c>
    </row>
    <row r="465" spans="1:23" s="189" customFormat="1" ht="40.200000000000003" customHeight="1" x14ac:dyDescent="0.3">
      <c r="A465" s="678"/>
      <c r="B465" s="675"/>
      <c r="C465" s="667"/>
      <c r="D465" s="677"/>
      <c r="E465" s="677"/>
      <c r="F465" s="202"/>
      <c r="G465" s="669"/>
      <c r="H465" s="671"/>
      <c r="I465" s="673"/>
      <c r="J465" s="652"/>
      <c r="K465" s="667"/>
      <c r="L465" s="667"/>
      <c r="M465" s="652"/>
      <c r="N465" s="652"/>
      <c r="V465" s="189" t="str">
        <f t="array" ref="V465">IFERROR(IF(INDEX('Disaggregation Records'!$I$69:$I$152,MATCH(RIGHT(Q465,255),RIGHT('Disaggregation Records'!$D$69:$D$152,255),0))=0,"",INDEX('Disaggregation Records'!$I$69:$I$152,MATCH(RIGHT(Q465,255),RIGHT('Disaggregation Records'!$D$69:$D$152,255),0))),"")</f>
        <v/>
      </c>
    </row>
    <row r="466" spans="1:23" s="189" customFormat="1" ht="40.200000000000003" customHeight="1" x14ac:dyDescent="0.3">
      <c r="A466" s="678" t="str">
        <f t="shared" ref="A466" ca="1" si="1859">INDIRECT("'update Helper'!C"&amp;U466)</f>
        <v>a1V3p000004fwujEAA</v>
      </c>
      <c r="B466" s="674">
        <v>8</v>
      </c>
      <c r="C466" s="666" t="str">
        <f>IFERROR(VLOOKUP(B466,'Outcome Indicators - Section C '!$A$9:$AF$70,32,FALSE),"")</f>
        <v/>
      </c>
      <c r="D466" s="676" t="str">
        <f t="shared" ref="D466" si="1860">R466</f>
        <v/>
      </c>
      <c r="E466" s="676" t="str">
        <f t="shared" ref="E466" si="1861">S466</f>
        <v/>
      </c>
      <c r="F466" s="194"/>
      <c r="G466" s="668" t="str">
        <f t="shared" ref="G466" ca="1" si="1862">IF(OR(INDIRECT("'update Helper'!E"&amp;U466)=0,F466&lt;&gt;0,F467&lt;&gt;0),IF(IFERROR((F466/F467),"")="","",(F466/F467)),INDIRECT("'update Helper'!E"&amp;U466)/100)</f>
        <v/>
      </c>
      <c r="H466" s="670"/>
      <c r="I466" s="672"/>
      <c r="J466" s="651"/>
      <c r="K466" s="666" t="str">
        <f t="shared" ref="K466" si="1863">W466</f>
        <v/>
      </c>
      <c r="L466" s="666" t="str">
        <f t="shared" ref="L466" si="1864">V466</f>
        <v/>
      </c>
      <c r="M466" s="651"/>
      <c r="N466" s="651"/>
      <c r="P466" s="189">
        <f t="shared" ref="P466" si="1865">IF(AND(EXACT(C466,C464),C464&lt;&gt;0),P464+1,0)</f>
        <v>35</v>
      </c>
      <c r="Q466" s="189" t="str">
        <f t="shared" ref="Q466" si="1866">IF(C466&lt;&gt;"",C466&amp;"-"&amp;P466,"")</f>
        <v/>
      </c>
      <c r="R466" s="189" t="str">
        <f t="array" ref="R466">IFERROR(IF(INDEX('Disaggregation Records'!$E$69:$E$152,MATCH(RIGHT(Q466,255),RIGHT('Disaggregation Records'!$D$69:$D$152,255),0))=0,"",INDEX('Disaggregation Records'!$E$69:$E$152,MATCH(RIGHT(Q466,255),RIGHT('Disaggregation Records'!$D$69:$D$152,255),0))),"")</f>
        <v/>
      </c>
      <c r="S466" s="189" t="str">
        <f t="array" ref="S466">IFERROR(IF(INDEX('Disaggregation Records'!$F$69:$F$152,MATCH(RIGHT(Q466,255),RIGHT('Disaggregation Records'!$D$69:$D$152,255),0))=0,"",INDEX('Disaggregation Records'!$F$69:$F$152,MATCH(RIGHT(Q466,255),RIGHT('Disaggregation Records'!$D$69:$D$152,255),0))),"")</f>
        <v/>
      </c>
      <c r="T466" s="189" t="str">
        <f t="array" ref="T466">IFERROR(IF(INDEX('Disaggregation Records'!$H$69:$H$152,MATCH(RIGHT(Q466,255),RIGHT('Disaggregation Records'!$D$69:$D$152,255),0))=0,"",INDEX('Disaggregation Records'!$H$69:$H$152,MATCH(RIGHT(Q466,255),RIGHT('Disaggregation Records'!$D$69:$D$152,255),0))),"")</f>
        <v/>
      </c>
      <c r="U466" s="189">
        <f t="shared" ref="U466" si="1867">U464+1</f>
        <v>954</v>
      </c>
      <c r="V466" s="189" t="str">
        <f t="array" ref="V466">IFERROR(IF(INDEX('Disaggregation Records'!$I$69:$I$152,MATCH(RIGHT(Q466,255),RIGHT('Disaggregation Records'!$D$69:$D$152,255),0))=0,"",INDEX('Disaggregation Records'!$I$69:$I$152,MATCH(RIGHT(Q466,255),RIGHT('Disaggregation Records'!$D$69:$D$152,255),0))),"")</f>
        <v/>
      </c>
      <c r="W466" s="189" t="str">
        <f>IFERROR(INDEX('Reference Records'!P$19:P$56,MATCH(LEFT(C466,255),'Reference Records'!J$19:J$56,0)),"")</f>
        <v/>
      </c>
    </row>
    <row r="467" spans="1:23" s="189" customFormat="1" ht="40.200000000000003" customHeight="1" x14ac:dyDescent="0.3">
      <c r="A467" s="678"/>
      <c r="B467" s="675"/>
      <c r="C467" s="667"/>
      <c r="D467" s="677"/>
      <c r="E467" s="677"/>
      <c r="F467" s="202"/>
      <c r="G467" s="669"/>
      <c r="H467" s="671"/>
      <c r="I467" s="673"/>
      <c r="J467" s="652"/>
      <c r="K467" s="667"/>
      <c r="L467" s="667"/>
      <c r="M467" s="652"/>
      <c r="N467" s="652"/>
      <c r="V467" s="189" t="str">
        <f t="array" ref="V467">IFERROR(IF(INDEX('Disaggregation Records'!$I$69:$I$152,MATCH(RIGHT(Q467,255),RIGHT('Disaggregation Records'!$D$69:$D$152,255),0))=0,"",INDEX('Disaggregation Records'!$I$69:$I$152,MATCH(RIGHT(Q467,255),RIGHT('Disaggregation Records'!$D$69:$D$152,255),0))),"")</f>
        <v/>
      </c>
    </row>
    <row r="468" spans="1:23" s="189" customFormat="1" ht="40.200000000000003" customHeight="1" x14ac:dyDescent="0.3">
      <c r="A468" s="678" t="str">
        <f t="shared" ref="A468" ca="1" si="1868">INDIRECT("'update Helper'!C"&amp;U468)</f>
        <v>a1V3p000004fwukEAA</v>
      </c>
      <c r="B468" s="674">
        <v>8</v>
      </c>
      <c r="C468" s="666" t="str">
        <f>IFERROR(VLOOKUP(B468,'Outcome Indicators - Section C '!$A$9:$AF$70,32,FALSE),"")</f>
        <v/>
      </c>
      <c r="D468" s="676" t="str">
        <f t="shared" ref="D468" si="1869">R468</f>
        <v/>
      </c>
      <c r="E468" s="676" t="str">
        <f t="shared" ref="E468" si="1870">S468</f>
        <v/>
      </c>
      <c r="F468" s="194"/>
      <c r="G468" s="668" t="str">
        <f t="shared" ref="G468" ca="1" si="1871">IF(OR(INDIRECT("'update Helper'!E"&amp;U468)=0,F468&lt;&gt;0,F469&lt;&gt;0),IF(IFERROR((F468/F469),"")="","",(F468/F469)),INDIRECT("'update Helper'!E"&amp;U468)/100)</f>
        <v/>
      </c>
      <c r="H468" s="670"/>
      <c r="I468" s="672"/>
      <c r="J468" s="651"/>
      <c r="K468" s="666" t="str">
        <f t="shared" ref="K468" si="1872">W468</f>
        <v/>
      </c>
      <c r="L468" s="666" t="str">
        <f t="shared" ref="L468" si="1873">V468</f>
        <v/>
      </c>
      <c r="M468" s="651"/>
      <c r="N468" s="651"/>
      <c r="P468" s="189">
        <f t="shared" ref="P468" si="1874">IF(AND(EXACT(C468,C466),C466&lt;&gt;0),P466+1,0)</f>
        <v>36</v>
      </c>
      <c r="Q468" s="189" t="str">
        <f t="shared" ref="Q468" si="1875">IF(C468&lt;&gt;"",C468&amp;"-"&amp;P468,"")</f>
        <v/>
      </c>
      <c r="R468" s="189" t="str">
        <f t="array" ref="R468">IFERROR(IF(INDEX('Disaggregation Records'!$E$69:$E$152,MATCH(RIGHT(Q468,255),RIGHT('Disaggregation Records'!$D$69:$D$152,255),0))=0,"",INDEX('Disaggregation Records'!$E$69:$E$152,MATCH(RIGHT(Q468,255),RIGHT('Disaggregation Records'!$D$69:$D$152,255),0))),"")</f>
        <v/>
      </c>
      <c r="S468" s="189" t="str">
        <f t="array" ref="S468">IFERROR(IF(INDEX('Disaggregation Records'!$F$69:$F$152,MATCH(RIGHT(Q468,255),RIGHT('Disaggregation Records'!$D$69:$D$152,255),0))=0,"",INDEX('Disaggregation Records'!$F$69:$F$152,MATCH(RIGHT(Q468,255),RIGHT('Disaggregation Records'!$D$69:$D$152,255),0))),"")</f>
        <v/>
      </c>
      <c r="T468" s="189" t="str">
        <f t="array" ref="T468">IFERROR(IF(INDEX('Disaggregation Records'!$H$69:$H$152,MATCH(RIGHT(Q468,255),RIGHT('Disaggregation Records'!$D$69:$D$152,255),0))=0,"",INDEX('Disaggregation Records'!$H$69:$H$152,MATCH(RIGHT(Q468,255),RIGHT('Disaggregation Records'!$D$69:$D$152,255),0))),"")</f>
        <v/>
      </c>
      <c r="U468" s="189">
        <f t="shared" ref="U468" si="1876">U466+1</f>
        <v>955</v>
      </c>
      <c r="V468" s="189" t="str">
        <f t="array" ref="V468">IFERROR(IF(INDEX('Disaggregation Records'!$I$69:$I$152,MATCH(RIGHT(Q468,255),RIGHT('Disaggregation Records'!$D$69:$D$152,255),0))=0,"",INDEX('Disaggregation Records'!$I$69:$I$152,MATCH(RIGHT(Q468,255),RIGHT('Disaggregation Records'!$D$69:$D$152,255),0))),"")</f>
        <v/>
      </c>
      <c r="W468" s="189" t="str">
        <f>IFERROR(INDEX('Reference Records'!P$19:P$56,MATCH(LEFT(C468,255),'Reference Records'!J$19:J$56,0)),"")</f>
        <v/>
      </c>
    </row>
    <row r="469" spans="1:23" s="189" customFormat="1" ht="40.200000000000003" customHeight="1" x14ac:dyDescent="0.3">
      <c r="A469" s="678"/>
      <c r="B469" s="675"/>
      <c r="C469" s="667"/>
      <c r="D469" s="677"/>
      <c r="E469" s="677"/>
      <c r="F469" s="202"/>
      <c r="G469" s="669"/>
      <c r="H469" s="671"/>
      <c r="I469" s="673"/>
      <c r="J469" s="652"/>
      <c r="K469" s="667"/>
      <c r="L469" s="667"/>
      <c r="M469" s="652"/>
      <c r="N469" s="652"/>
      <c r="V469" s="189" t="str">
        <f t="array" ref="V469">IFERROR(IF(INDEX('Disaggregation Records'!$I$69:$I$152,MATCH(RIGHT(Q469,255),RIGHT('Disaggregation Records'!$D$69:$D$152,255),0))=0,"",INDEX('Disaggregation Records'!$I$69:$I$152,MATCH(RIGHT(Q469,255),RIGHT('Disaggregation Records'!$D$69:$D$152,255),0))),"")</f>
        <v/>
      </c>
    </row>
    <row r="470" spans="1:23" s="189" customFormat="1" ht="40.200000000000003" customHeight="1" x14ac:dyDescent="0.3">
      <c r="A470" s="678" t="str">
        <f t="shared" ref="A470" ca="1" si="1877">INDIRECT("'update Helper'!C"&amp;U470)</f>
        <v>a1V3p000004fwulEAA</v>
      </c>
      <c r="B470" s="674">
        <v>8</v>
      </c>
      <c r="C470" s="666" t="str">
        <f>IFERROR(VLOOKUP(B470,'Outcome Indicators - Section C '!$A$9:$AF$70,32,FALSE),"")</f>
        <v/>
      </c>
      <c r="D470" s="676" t="str">
        <f t="shared" ref="D470" si="1878">R470</f>
        <v/>
      </c>
      <c r="E470" s="676" t="str">
        <f t="shared" ref="E470" si="1879">S470</f>
        <v/>
      </c>
      <c r="F470" s="194"/>
      <c r="G470" s="668" t="str">
        <f t="shared" ref="G470" ca="1" si="1880">IF(OR(INDIRECT("'update Helper'!E"&amp;U470)=0,F470&lt;&gt;0,F471&lt;&gt;0),IF(IFERROR((F470/F471),"")="","",(F470/F471)),INDIRECT("'update Helper'!E"&amp;U470)/100)</f>
        <v/>
      </c>
      <c r="H470" s="670"/>
      <c r="I470" s="672"/>
      <c r="J470" s="651"/>
      <c r="K470" s="666" t="str">
        <f t="shared" ref="K470" si="1881">W470</f>
        <v/>
      </c>
      <c r="L470" s="666" t="str">
        <f t="shared" ref="L470" si="1882">V470</f>
        <v/>
      </c>
      <c r="M470" s="651"/>
      <c r="N470" s="651"/>
      <c r="P470" s="189">
        <f t="shared" ref="P470" si="1883">IF(AND(EXACT(C470,C468),C468&lt;&gt;0),P468+1,0)</f>
        <v>37</v>
      </c>
      <c r="Q470" s="189" t="str">
        <f t="shared" ref="Q470" si="1884">IF(C470&lt;&gt;"",C470&amp;"-"&amp;P470,"")</f>
        <v/>
      </c>
      <c r="R470" s="189" t="str">
        <f t="array" ref="R470">IFERROR(IF(INDEX('Disaggregation Records'!$E$69:$E$152,MATCH(RIGHT(Q470,255),RIGHT('Disaggregation Records'!$D$69:$D$152,255),0))=0,"",INDEX('Disaggregation Records'!$E$69:$E$152,MATCH(RIGHT(Q470,255),RIGHT('Disaggregation Records'!$D$69:$D$152,255),0))),"")</f>
        <v/>
      </c>
      <c r="S470" s="189" t="str">
        <f t="array" ref="S470">IFERROR(IF(INDEX('Disaggregation Records'!$F$69:$F$152,MATCH(RIGHT(Q470,255),RIGHT('Disaggregation Records'!$D$69:$D$152,255),0))=0,"",INDEX('Disaggregation Records'!$F$69:$F$152,MATCH(RIGHT(Q470,255),RIGHT('Disaggregation Records'!$D$69:$D$152,255),0))),"")</f>
        <v/>
      </c>
      <c r="T470" s="189" t="str">
        <f t="array" ref="T470">IFERROR(IF(INDEX('Disaggregation Records'!$H$69:$H$152,MATCH(RIGHT(Q470,255),RIGHT('Disaggregation Records'!$D$69:$D$152,255),0))=0,"",INDEX('Disaggregation Records'!$H$69:$H$152,MATCH(RIGHT(Q470,255),RIGHT('Disaggregation Records'!$D$69:$D$152,255),0))),"")</f>
        <v/>
      </c>
      <c r="U470" s="189">
        <f t="shared" ref="U470" si="1885">U468+1</f>
        <v>956</v>
      </c>
      <c r="V470" s="189" t="str">
        <f t="array" ref="V470">IFERROR(IF(INDEX('Disaggregation Records'!$I$69:$I$152,MATCH(RIGHT(Q470,255),RIGHT('Disaggregation Records'!$D$69:$D$152,255),0))=0,"",INDEX('Disaggregation Records'!$I$69:$I$152,MATCH(RIGHT(Q470,255),RIGHT('Disaggregation Records'!$D$69:$D$152,255),0))),"")</f>
        <v/>
      </c>
      <c r="W470" s="189" t="str">
        <f>IFERROR(INDEX('Reference Records'!P$19:P$56,MATCH(LEFT(C470,255),'Reference Records'!J$19:J$56,0)),"")</f>
        <v/>
      </c>
    </row>
    <row r="471" spans="1:23" s="189" customFormat="1" ht="40.200000000000003" customHeight="1" x14ac:dyDescent="0.3">
      <c r="A471" s="678"/>
      <c r="B471" s="675"/>
      <c r="C471" s="667"/>
      <c r="D471" s="677"/>
      <c r="E471" s="677"/>
      <c r="F471" s="202"/>
      <c r="G471" s="669"/>
      <c r="H471" s="671"/>
      <c r="I471" s="673"/>
      <c r="J471" s="652"/>
      <c r="K471" s="667"/>
      <c r="L471" s="667"/>
      <c r="M471" s="652"/>
      <c r="N471" s="652"/>
      <c r="V471" s="189" t="str">
        <f t="array" ref="V471">IFERROR(IF(INDEX('Disaggregation Records'!$I$69:$I$152,MATCH(RIGHT(Q471,255),RIGHT('Disaggregation Records'!$D$69:$D$152,255),0))=0,"",INDEX('Disaggregation Records'!$I$69:$I$152,MATCH(RIGHT(Q471,255),RIGHT('Disaggregation Records'!$D$69:$D$152,255),0))),"")</f>
        <v/>
      </c>
    </row>
    <row r="472" spans="1:23" s="189" customFormat="1" ht="40.200000000000003" customHeight="1" x14ac:dyDescent="0.3">
      <c r="A472" s="678" t="str">
        <f t="shared" ref="A472" ca="1" si="1886">INDIRECT("'update Helper'!C"&amp;U472)</f>
        <v>a1V3p000004fwumEAA</v>
      </c>
      <c r="B472" s="674">
        <v>8</v>
      </c>
      <c r="C472" s="666" t="str">
        <f>IFERROR(VLOOKUP(B472,'Outcome Indicators - Section C '!$A$9:$AF$70,32,FALSE),"")</f>
        <v/>
      </c>
      <c r="D472" s="676" t="str">
        <f t="shared" ref="D472" si="1887">R472</f>
        <v/>
      </c>
      <c r="E472" s="676" t="str">
        <f t="shared" ref="E472" si="1888">S472</f>
        <v/>
      </c>
      <c r="F472" s="194"/>
      <c r="G472" s="668" t="str">
        <f t="shared" ref="G472" ca="1" si="1889">IF(OR(INDIRECT("'update Helper'!E"&amp;U472)=0,F472&lt;&gt;0,F473&lt;&gt;0),IF(IFERROR((F472/F473),"")="","",(F472/F473)),INDIRECT("'update Helper'!E"&amp;U472)/100)</f>
        <v/>
      </c>
      <c r="H472" s="670"/>
      <c r="I472" s="672"/>
      <c r="J472" s="651"/>
      <c r="K472" s="666" t="str">
        <f t="shared" ref="K472" si="1890">W472</f>
        <v/>
      </c>
      <c r="L472" s="666" t="str">
        <f t="shared" ref="L472" si="1891">V472</f>
        <v/>
      </c>
      <c r="M472" s="651"/>
      <c r="N472" s="651"/>
      <c r="P472" s="189">
        <f t="shared" ref="P472" si="1892">IF(AND(EXACT(C472,C470),C470&lt;&gt;0),P470+1,0)</f>
        <v>38</v>
      </c>
      <c r="Q472" s="189" t="str">
        <f t="shared" ref="Q472" si="1893">IF(C472&lt;&gt;"",C472&amp;"-"&amp;P472,"")</f>
        <v/>
      </c>
      <c r="R472" s="189" t="str">
        <f t="array" ref="R472">IFERROR(IF(INDEX('Disaggregation Records'!$E$69:$E$152,MATCH(RIGHT(Q472,255),RIGHT('Disaggregation Records'!$D$69:$D$152,255),0))=0,"",INDEX('Disaggregation Records'!$E$69:$E$152,MATCH(RIGHT(Q472,255),RIGHT('Disaggregation Records'!$D$69:$D$152,255),0))),"")</f>
        <v/>
      </c>
      <c r="S472" s="189" t="str">
        <f t="array" ref="S472">IFERROR(IF(INDEX('Disaggregation Records'!$F$69:$F$152,MATCH(RIGHT(Q472,255),RIGHT('Disaggregation Records'!$D$69:$D$152,255),0))=0,"",INDEX('Disaggregation Records'!$F$69:$F$152,MATCH(RIGHT(Q472,255),RIGHT('Disaggregation Records'!$D$69:$D$152,255),0))),"")</f>
        <v/>
      </c>
      <c r="T472" s="189" t="str">
        <f t="array" ref="T472">IFERROR(IF(INDEX('Disaggregation Records'!$H$69:$H$152,MATCH(RIGHT(Q472,255),RIGHT('Disaggregation Records'!$D$69:$D$152,255),0))=0,"",INDEX('Disaggregation Records'!$H$69:$H$152,MATCH(RIGHT(Q472,255),RIGHT('Disaggregation Records'!$D$69:$D$152,255),0))),"")</f>
        <v/>
      </c>
      <c r="U472" s="189">
        <f t="shared" ref="U472" si="1894">U470+1</f>
        <v>957</v>
      </c>
      <c r="V472" s="189" t="str">
        <f t="array" ref="V472">IFERROR(IF(INDEX('Disaggregation Records'!$I$69:$I$152,MATCH(RIGHT(Q472,255),RIGHT('Disaggregation Records'!$D$69:$D$152,255),0))=0,"",INDEX('Disaggregation Records'!$I$69:$I$152,MATCH(RIGHT(Q472,255),RIGHT('Disaggregation Records'!$D$69:$D$152,255),0))),"")</f>
        <v/>
      </c>
      <c r="W472" s="189" t="str">
        <f>IFERROR(INDEX('Reference Records'!P$19:P$56,MATCH(LEFT(C472,255),'Reference Records'!J$19:J$56,0)),"")</f>
        <v/>
      </c>
    </row>
    <row r="473" spans="1:23" s="189" customFormat="1" ht="40.200000000000003" customHeight="1" x14ac:dyDescent="0.3">
      <c r="A473" s="678"/>
      <c r="B473" s="675"/>
      <c r="C473" s="667"/>
      <c r="D473" s="677"/>
      <c r="E473" s="677"/>
      <c r="F473" s="202"/>
      <c r="G473" s="669"/>
      <c r="H473" s="671"/>
      <c r="I473" s="673"/>
      <c r="J473" s="652"/>
      <c r="K473" s="667"/>
      <c r="L473" s="667"/>
      <c r="M473" s="652"/>
      <c r="N473" s="652"/>
      <c r="V473" s="189" t="str">
        <f t="array" ref="V473">IFERROR(IF(INDEX('Disaggregation Records'!$I$69:$I$152,MATCH(RIGHT(Q473,255),RIGHT('Disaggregation Records'!$D$69:$D$152,255),0))=0,"",INDEX('Disaggregation Records'!$I$69:$I$152,MATCH(RIGHT(Q473,255),RIGHT('Disaggregation Records'!$D$69:$D$152,255),0))),"")</f>
        <v/>
      </c>
    </row>
    <row r="474" spans="1:23" s="189" customFormat="1" ht="40.200000000000003" customHeight="1" x14ac:dyDescent="0.3">
      <c r="A474" s="678" t="str">
        <f t="shared" ref="A474" ca="1" si="1895">INDIRECT("'update Helper'!C"&amp;U474)</f>
        <v>a1V3p000004fwunEAA</v>
      </c>
      <c r="B474" s="674">
        <v>8</v>
      </c>
      <c r="C474" s="666" t="str">
        <f>IFERROR(VLOOKUP(B474,'Outcome Indicators - Section C '!$A$9:$AF$70,32,FALSE),"")</f>
        <v/>
      </c>
      <c r="D474" s="676" t="str">
        <f t="shared" ref="D474" si="1896">R474</f>
        <v/>
      </c>
      <c r="E474" s="676" t="str">
        <f t="shared" ref="E474" si="1897">S474</f>
        <v/>
      </c>
      <c r="F474" s="194"/>
      <c r="G474" s="668" t="str">
        <f t="shared" ref="G474" ca="1" si="1898">IF(OR(INDIRECT("'update Helper'!E"&amp;U474)=0,F474&lt;&gt;0,F475&lt;&gt;0),IF(IFERROR((F474/F475),"")="","",(F474/F475)),INDIRECT("'update Helper'!E"&amp;U474)/100)</f>
        <v/>
      </c>
      <c r="H474" s="670"/>
      <c r="I474" s="672"/>
      <c r="J474" s="651"/>
      <c r="K474" s="666" t="str">
        <f t="shared" ref="K474" si="1899">W474</f>
        <v/>
      </c>
      <c r="L474" s="666" t="str">
        <f t="shared" ref="L474" si="1900">V474</f>
        <v/>
      </c>
      <c r="M474" s="651"/>
      <c r="N474" s="651"/>
      <c r="P474" s="189">
        <f t="shared" ref="P474" si="1901">IF(AND(EXACT(C474,C472),C472&lt;&gt;0),P472+1,0)</f>
        <v>39</v>
      </c>
      <c r="Q474" s="189" t="str">
        <f t="shared" ref="Q474" si="1902">IF(C474&lt;&gt;"",C474&amp;"-"&amp;P474,"")</f>
        <v/>
      </c>
      <c r="R474" s="189" t="str">
        <f t="array" ref="R474">IFERROR(IF(INDEX('Disaggregation Records'!$E$69:$E$152,MATCH(RIGHT(Q474,255),RIGHT('Disaggregation Records'!$D$69:$D$152,255),0))=0,"",INDEX('Disaggregation Records'!$E$69:$E$152,MATCH(RIGHT(Q474,255),RIGHT('Disaggregation Records'!$D$69:$D$152,255),0))),"")</f>
        <v/>
      </c>
      <c r="S474" s="189" t="str">
        <f t="array" ref="S474">IFERROR(IF(INDEX('Disaggregation Records'!$F$69:$F$152,MATCH(RIGHT(Q474,255),RIGHT('Disaggregation Records'!$D$69:$D$152,255),0))=0,"",INDEX('Disaggregation Records'!$F$69:$F$152,MATCH(RIGHT(Q474,255),RIGHT('Disaggregation Records'!$D$69:$D$152,255),0))),"")</f>
        <v/>
      </c>
      <c r="T474" s="189" t="str">
        <f t="array" ref="T474">IFERROR(IF(INDEX('Disaggregation Records'!$H$69:$H$152,MATCH(RIGHT(Q474,255),RIGHT('Disaggregation Records'!$D$69:$D$152,255),0))=0,"",INDEX('Disaggregation Records'!$H$69:$H$152,MATCH(RIGHT(Q474,255),RIGHT('Disaggregation Records'!$D$69:$D$152,255),0))),"")</f>
        <v/>
      </c>
      <c r="U474" s="189">
        <f t="shared" ref="U474" si="1903">U472+1</f>
        <v>958</v>
      </c>
      <c r="V474" s="189" t="str">
        <f t="array" ref="V474">IFERROR(IF(INDEX('Disaggregation Records'!$I$69:$I$152,MATCH(RIGHT(Q474,255),RIGHT('Disaggregation Records'!$D$69:$D$152,255),0))=0,"",INDEX('Disaggregation Records'!$I$69:$I$152,MATCH(RIGHT(Q474,255),RIGHT('Disaggregation Records'!$D$69:$D$152,255),0))),"")</f>
        <v/>
      </c>
      <c r="W474" s="189" t="str">
        <f>IFERROR(INDEX('Reference Records'!P$19:P$56,MATCH(LEFT(C474,255),'Reference Records'!J$19:J$56,0)),"")</f>
        <v/>
      </c>
    </row>
    <row r="475" spans="1:23" s="189" customFormat="1" ht="40.200000000000003" customHeight="1" x14ac:dyDescent="0.3">
      <c r="A475" s="678"/>
      <c r="B475" s="675"/>
      <c r="C475" s="667"/>
      <c r="D475" s="677"/>
      <c r="E475" s="677"/>
      <c r="F475" s="202"/>
      <c r="G475" s="669"/>
      <c r="H475" s="671"/>
      <c r="I475" s="673"/>
      <c r="J475" s="652"/>
      <c r="K475" s="667"/>
      <c r="L475" s="667"/>
      <c r="M475" s="652"/>
      <c r="N475" s="652"/>
      <c r="V475" s="189" t="str">
        <f t="array" ref="V475">IFERROR(IF(INDEX('Disaggregation Records'!$I$69:$I$152,MATCH(RIGHT(Q475,255),RIGHT('Disaggregation Records'!$D$69:$D$152,255),0))=0,"",INDEX('Disaggregation Records'!$I$69:$I$152,MATCH(RIGHT(Q475,255),RIGHT('Disaggregation Records'!$D$69:$D$152,255),0))),"")</f>
        <v/>
      </c>
    </row>
    <row r="476" spans="1:23" s="189" customFormat="1" ht="40.200000000000003" customHeight="1" x14ac:dyDescent="0.3">
      <c r="A476" s="678" t="str">
        <f t="shared" ref="A476" ca="1" si="1904">INDIRECT("'update Helper'!C"&amp;U476)</f>
        <v>a1V3p000004fwuoEAA</v>
      </c>
      <c r="B476" s="674">
        <v>9</v>
      </c>
      <c r="C476" s="666" t="str">
        <f>IFERROR(VLOOKUP(B476,'Outcome Indicators - Section C '!$A$9:$AF$70,32,FALSE),"")</f>
        <v/>
      </c>
      <c r="D476" s="676" t="str">
        <f t="shared" ref="D476" si="1905">R476</f>
        <v/>
      </c>
      <c r="E476" s="676" t="str">
        <f t="shared" ref="E476" si="1906">S476</f>
        <v/>
      </c>
      <c r="F476" s="194"/>
      <c r="G476" s="668" t="str">
        <f t="shared" ref="G476" ca="1" si="1907">IF(OR(INDIRECT("'update Helper'!E"&amp;U476)=0,F476&lt;&gt;0,F477&lt;&gt;0),IF(IFERROR((F476/F477),"")="","",(F476/F477)),INDIRECT("'update Helper'!E"&amp;U476)/100)</f>
        <v/>
      </c>
      <c r="H476" s="670"/>
      <c r="I476" s="672"/>
      <c r="J476" s="651"/>
      <c r="K476" s="666" t="str">
        <f t="shared" ref="K476" si="1908">W476</f>
        <v/>
      </c>
      <c r="L476" s="666" t="str">
        <f t="shared" ref="L476" si="1909">V476</f>
        <v/>
      </c>
      <c r="M476" s="651"/>
      <c r="N476" s="651"/>
      <c r="P476" s="189">
        <f t="shared" ref="P476" si="1910">IF(AND(EXACT(C476,C474),C474&lt;&gt;0),P474+1,0)</f>
        <v>40</v>
      </c>
      <c r="Q476" s="189" t="str">
        <f t="shared" ref="Q476" si="1911">IF(C476&lt;&gt;"",C476&amp;"-"&amp;P476,"")</f>
        <v/>
      </c>
      <c r="R476" s="189" t="str">
        <f t="array" ref="R476">IFERROR(IF(INDEX('Disaggregation Records'!$E$69:$E$152,MATCH(RIGHT(Q476,255),RIGHT('Disaggregation Records'!$D$69:$D$152,255),0))=0,"",INDEX('Disaggregation Records'!$E$69:$E$152,MATCH(RIGHT(Q476,255),RIGHT('Disaggregation Records'!$D$69:$D$152,255),0))),"")</f>
        <v/>
      </c>
      <c r="S476" s="189" t="str">
        <f t="array" ref="S476">IFERROR(IF(INDEX('Disaggregation Records'!$F$69:$F$152,MATCH(RIGHT(Q476,255),RIGHT('Disaggregation Records'!$D$69:$D$152,255),0))=0,"",INDEX('Disaggregation Records'!$F$69:$F$152,MATCH(RIGHT(Q476,255),RIGHT('Disaggregation Records'!$D$69:$D$152,255),0))),"")</f>
        <v/>
      </c>
      <c r="T476" s="189" t="str">
        <f t="array" ref="T476">IFERROR(IF(INDEX('Disaggregation Records'!$H$69:$H$152,MATCH(RIGHT(Q476,255),RIGHT('Disaggregation Records'!$D$69:$D$152,255),0))=0,"",INDEX('Disaggregation Records'!$H$69:$H$152,MATCH(RIGHT(Q476,255),RIGHT('Disaggregation Records'!$D$69:$D$152,255),0))),"")</f>
        <v/>
      </c>
      <c r="U476" s="189">
        <f t="shared" ref="U476" si="1912">U474+1</f>
        <v>959</v>
      </c>
      <c r="V476" s="189" t="str">
        <f t="array" ref="V476">IFERROR(IF(INDEX('Disaggregation Records'!$I$69:$I$152,MATCH(RIGHT(Q476,255),RIGHT('Disaggregation Records'!$D$69:$D$152,255),0))=0,"",INDEX('Disaggregation Records'!$I$69:$I$152,MATCH(RIGHT(Q476,255),RIGHT('Disaggregation Records'!$D$69:$D$152,255),0))),"")</f>
        <v/>
      </c>
      <c r="W476" s="189" t="str">
        <f>IFERROR(INDEX('Reference Records'!P$19:P$56,MATCH(LEFT(C476,255),'Reference Records'!J$19:J$56,0)),"")</f>
        <v/>
      </c>
    </row>
    <row r="477" spans="1:23" s="189" customFormat="1" ht="40.200000000000003" customHeight="1" x14ac:dyDescent="0.3">
      <c r="A477" s="678"/>
      <c r="B477" s="675"/>
      <c r="C477" s="667"/>
      <c r="D477" s="677"/>
      <c r="E477" s="677"/>
      <c r="F477" s="202"/>
      <c r="G477" s="669"/>
      <c r="H477" s="671"/>
      <c r="I477" s="673"/>
      <c r="J477" s="652"/>
      <c r="K477" s="667"/>
      <c r="L477" s="667"/>
      <c r="M477" s="652"/>
      <c r="N477" s="652"/>
      <c r="V477" s="189" t="str">
        <f t="array" ref="V477">IFERROR(IF(INDEX('Disaggregation Records'!$I$69:$I$152,MATCH(RIGHT(Q477,255),RIGHT('Disaggregation Records'!$D$69:$D$152,255),0))=0,"",INDEX('Disaggregation Records'!$I$69:$I$152,MATCH(RIGHT(Q477,255),RIGHT('Disaggregation Records'!$D$69:$D$152,255),0))),"")</f>
        <v/>
      </c>
    </row>
    <row r="478" spans="1:23" s="189" customFormat="1" ht="40.200000000000003" customHeight="1" x14ac:dyDescent="0.3">
      <c r="A478" s="678" t="str">
        <f t="shared" ref="A478" ca="1" si="1913">INDIRECT("'update Helper'!C"&amp;U478)</f>
        <v>a1V3p000004fwupEAA</v>
      </c>
      <c r="B478" s="674">
        <v>9</v>
      </c>
      <c r="C478" s="666" t="str">
        <f>IFERROR(VLOOKUP(B478,'Outcome Indicators - Section C '!$A$9:$AF$70,32,FALSE),"")</f>
        <v/>
      </c>
      <c r="D478" s="676" t="str">
        <f t="shared" ref="D478" si="1914">R478</f>
        <v/>
      </c>
      <c r="E478" s="676" t="str">
        <f t="shared" ref="E478" si="1915">S478</f>
        <v/>
      </c>
      <c r="F478" s="194"/>
      <c r="G478" s="668" t="str">
        <f t="shared" ref="G478" ca="1" si="1916">IF(OR(INDIRECT("'update Helper'!E"&amp;U478)=0,F478&lt;&gt;0,F479&lt;&gt;0),IF(IFERROR((F478/F479),"")="","",(F478/F479)),INDIRECT("'update Helper'!E"&amp;U478)/100)</f>
        <v/>
      </c>
      <c r="H478" s="670"/>
      <c r="I478" s="672"/>
      <c r="J478" s="651"/>
      <c r="K478" s="666" t="str">
        <f t="shared" ref="K478" si="1917">W478</f>
        <v/>
      </c>
      <c r="L478" s="666" t="str">
        <f t="shared" ref="L478" si="1918">V478</f>
        <v/>
      </c>
      <c r="M478" s="651"/>
      <c r="N478" s="651"/>
      <c r="P478" s="189">
        <f t="shared" ref="P478" si="1919">IF(AND(EXACT(C478,C476),C476&lt;&gt;0),P476+1,0)</f>
        <v>41</v>
      </c>
      <c r="Q478" s="189" t="str">
        <f t="shared" ref="Q478" si="1920">IF(C478&lt;&gt;"",C478&amp;"-"&amp;P478,"")</f>
        <v/>
      </c>
      <c r="R478" s="189" t="str">
        <f t="array" ref="R478">IFERROR(IF(INDEX('Disaggregation Records'!$E$69:$E$152,MATCH(RIGHT(Q478,255),RIGHT('Disaggregation Records'!$D$69:$D$152,255),0))=0,"",INDEX('Disaggregation Records'!$E$69:$E$152,MATCH(RIGHT(Q478,255),RIGHT('Disaggregation Records'!$D$69:$D$152,255),0))),"")</f>
        <v/>
      </c>
      <c r="S478" s="189" t="str">
        <f t="array" ref="S478">IFERROR(IF(INDEX('Disaggregation Records'!$F$69:$F$152,MATCH(RIGHT(Q478,255),RIGHT('Disaggregation Records'!$D$69:$D$152,255),0))=0,"",INDEX('Disaggregation Records'!$F$69:$F$152,MATCH(RIGHT(Q478,255),RIGHT('Disaggregation Records'!$D$69:$D$152,255),0))),"")</f>
        <v/>
      </c>
      <c r="T478" s="189" t="str">
        <f t="array" ref="T478">IFERROR(IF(INDEX('Disaggregation Records'!$H$69:$H$152,MATCH(RIGHT(Q478,255),RIGHT('Disaggregation Records'!$D$69:$D$152,255),0))=0,"",INDEX('Disaggregation Records'!$H$69:$H$152,MATCH(RIGHT(Q478,255),RIGHT('Disaggregation Records'!$D$69:$D$152,255),0))),"")</f>
        <v/>
      </c>
      <c r="U478" s="189">
        <f t="shared" ref="U478" si="1921">U476+1</f>
        <v>960</v>
      </c>
      <c r="V478" s="189" t="str">
        <f t="array" ref="V478">IFERROR(IF(INDEX('Disaggregation Records'!$I$69:$I$152,MATCH(RIGHT(Q478,255),RIGHT('Disaggregation Records'!$D$69:$D$152,255),0))=0,"",INDEX('Disaggregation Records'!$I$69:$I$152,MATCH(RIGHT(Q478,255),RIGHT('Disaggregation Records'!$D$69:$D$152,255),0))),"")</f>
        <v/>
      </c>
      <c r="W478" s="189" t="str">
        <f>IFERROR(INDEX('Reference Records'!P$19:P$56,MATCH(LEFT(C478,255),'Reference Records'!J$19:J$56,0)),"")</f>
        <v/>
      </c>
    </row>
    <row r="479" spans="1:23" s="189" customFormat="1" ht="40.200000000000003" customHeight="1" x14ac:dyDescent="0.3">
      <c r="A479" s="678"/>
      <c r="B479" s="675"/>
      <c r="C479" s="667"/>
      <c r="D479" s="677"/>
      <c r="E479" s="677"/>
      <c r="F479" s="202"/>
      <c r="G479" s="669"/>
      <c r="H479" s="671"/>
      <c r="I479" s="673"/>
      <c r="J479" s="652"/>
      <c r="K479" s="667"/>
      <c r="L479" s="667"/>
      <c r="M479" s="652"/>
      <c r="N479" s="652"/>
      <c r="V479" s="189" t="str">
        <f t="array" ref="V479">IFERROR(IF(INDEX('Disaggregation Records'!$I$69:$I$152,MATCH(RIGHT(Q479,255),RIGHT('Disaggregation Records'!$D$69:$D$152,255),0))=0,"",INDEX('Disaggregation Records'!$I$69:$I$152,MATCH(RIGHT(Q479,255),RIGHT('Disaggregation Records'!$D$69:$D$152,255),0))),"")</f>
        <v/>
      </c>
    </row>
    <row r="480" spans="1:23" s="189" customFormat="1" ht="40.200000000000003" customHeight="1" x14ac:dyDescent="0.3">
      <c r="A480" s="678" t="str">
        <f t="shared" ref="A480" ca="1" si="1922">INDIRECT("'update Helper'!C"&amp;U480)</f>
        <v>a1V3p000004fwuqEAA</v>
      </c>
      <c r="B480" s="674">
        <v>9</v>
      </c>
      <c r="C480" s="666" t="str">
        <f>IFERROR(VLOOKUP(B480,'Outcome Indicators - Section C '!$A$9:$AF$70,32,FALSE),"")</f>
        <v/>
      </c>
      <c r="D480" s="676" t="str">
        <f t="shared" ref="D480" si="1923">R480</f>
        <v/>
      </c>
      <c r="E480" s="676" t="str">
        <f t="shared" ref="E480" si="1924">S480</f>
        <v/>
      </c>
      <c r="F480" s="194"/>
      <c r="G480" s="668" t="str">
        <f t="shared" ref="G480" ca="1" si="1925">IF(OR(INDIRECT("'update Helper'!E"&amp;U480)=0,F480&lt;&gt;0,F481&lt;&gt;0),IF(IFERROR((F480/F481),"")="","",(F480/F481)),INDIRECT("'update Helper'!E"&amp;U480)/100)</f>
        <v/>
      </c>
      <c r="H480" s="670"/>
      <c r="I480" s="672"/>
      <c r="J480" s="651"/>
      <c r="K480" s="666" t="str">
        <f t="shared" ref="K480" si="1926">W480</f>
        <v/>
      </c>
      <c r="L480" s="666" t="str">
        <f t="shared" ref="L480" si="1927">V480</f>
        <v/>
      </c>
      <c r="M480" s="651"/>
      <c r="N480" s="651"/>
      <c r="P480" s="189">
        <f t="shared" ref="P480" si="1928">IF(AND(EXACT(C480,C478),C478&lt;&gt;0),P478+1,0)</f>
        <v>42</v>
      </c>
      <c r="Q480" s="189" t="str">
        <f t="shared" ref="Q480" si="1929">IF(C480&lt;&gt;"",C480&amp;"-"&amp;P480,"")</f>
        <v/>
      </c>
      <c r="R480" s="189" t="str">
        <f t="array" ref="R480">IFERROR(IF(INDEX('Disaggregation Records'!$E$69:$E$152,MATCH(RIGHT(Q480,255),RIGHT('Disaggregation Records'!$D$69:$D$152,255),0))=0,"",INDEX('Disaggregation Records'!$E$69:$E$152,MATCH(RIGHT(Q480,255),RIGHT('Disaggregation Records'!$D$69:$D$152,255),0))),"")</f>
        <v/>
      </c>
      <c r="S480" s="189" t="str">
        <f t="array" ref="S480">IFERROR(IF(INDEX('Disaggregation Records'!$F$69:$F$152,MATCH(RIGHT(Q480,255),RIGHT('Disaggregation Records'!$D$69:$D$152,255),0))=0,"",INDEX('Disaggregation Records'!$F$69:$F$152,MATCH(RIGHT(Q480,255),RIGHT('Disaggregation Records'!$D$69:$D$152,255),0))),"")</f>
        <v/>
      </c>
      <c r="T480" s="189" t="str">
        <f t="array" ref="T480">IFERROR(IF(INDEX('Disaggregation Records'!$H$69:$H$152,MATCH(RIGHT(Q480,255),RIGHT('Disaggregation Records'!$D$69:$D$152,255),0))=0,"",INDEX('Disaggregation Records'!$H$69:$H$152,MATCH(RIGHT(Q480,255),RIGHT('Disaggregation Records'!$D$69:$D$152,255),0))),"")</f>
        <v/>
      </c>
      <c r="U480" s="189">
        <f t="shared" ref="U480" si="1930">U478+1</f>
        <v>961</v>
      </c>
      <c r="V480" s="189" t="str">
        <f t="array" ref="V480">IFERROR(IF(INDEX('Disaggregation Records'!$I$69:$I$152,MATCH(RIGHT(Q480,255),RIGHT('Disaggregation Records'!$D$69:$D$152,255),0))=0,"",INDEX('Disaggregation Records'!$I$69:$I$152,MATCH(RIGHT(Q480,255),RIGHT('Disaggregation Records'!$D$69:$D$152,255),0))),"")</f>
        <v/>
      </c>
      <c r="W480" s="189" t="str">
        <f>IFERROR(INDEX('Reference Records'!P$19:P$56,MATCH(LEFT(C480,255),'Reference Records'!J$19:J$56,0)),"")</f>
        <v/>
      </c>
    </row>
    <row r="481" spans="1:23" s="189" customFormat="1" ht="40.200000000000003" customHeight="1" x14ac:dyDescent="0.3">
      <c r="A481" s="678"/>
      <c r="B481" s="675"/>
      <c r="C481" s="667"/>
      <c r="D481" s="677"/>
      <c r="E481" s="677"/>
      <c r="F481" s="202"/>
      <c r="G481" s="669"/>
      <c r="H481" s="671"/>
      <c r="I481" s="673"/>
      <c r="J481" s="652"/>
      <c r="K481" s="667"/>
      <c r="L481" s="667"/>
      <c r="M481" s="652"/>
      <c r="N481" s="652"/>
      <c r="V481" s="189" t="str">
        <f t="array" ref="V481">IFERROR(IF(INDEX('Disaggregation Records'!$I$69:$I$152,MATCH(RIGHT(Q481,255),RIGHT('Disaggregation Records'!$D$69:$D$152,255),0))=0,"",INDEX('Disaggregation Records'!$I$69:$I$152,MATCH(RIGHT(Q481,255),RIGHT('Disaggregation Records'!$D$69:$D$152,255),0))),"")</f>
        <v/>
      </c>
    </row>
    <row r="482" spans="1:23" s="189" customFormat="1" ht="40.200000000000003" customHeight="1" x14ac:dyDescent="0.3">
      <c r="A482" s="678" t="str">
        <f t="shared" ref="A482" ca="1" si="1931">INDIRECT("'update Helper'!C"&amp;U482)</f>
        <v>a1V3p000004fwurEAA</v>
      </c>
      <c r="B482" s="674">
        <v>9</v>
      </c>
      <c r="C482" s="666" t="str">
        <f>IFERROR(VLOOKUP(B482,'Outcome Indicators - Section C '!$A$9:$AF$70,32,FALSE),"")</f>
        <v/>
      </c>
      <c r="D482" s="676" t="str">
        <f t="shared" ref="D482" si="1932">R482</f>
        <v/>
      </c>
      <c r="E482" s="676" t="str">
        <f t="shared" ref="E482" si="1933">S482</f>
        <v/>
      </c>
      <c r="F482" s="194"/>
      <c r="G482" s="668" t="str">
        <f t="shared" ref="G482" ca="1" si="1934">IF(OR(INDIRECT("'update Helper'!E"&amp;U482)=0,F482&lt;&gt;0,F483&lt;&gt;0),IF(IFERROR((F482/F483),"")="","",(F482/F483)),INDIRECT("'update Helper'!E"&amp;U482)/100)</f>
        <v/>
      </c>
      <c r="H482" s="670"/>
      <c r="I482" s="672"/>
      <c r="J482" s="651"/>
      <c r="K482" s="666" t="str">
        <f t="shared" ref="K482" si="1935">W482</f>
        <v/>
      </c>
      <c r="L482" s="666" t="str">
        <f t="shared" ref="L482" si="1936">V482</f>
        <v/>
      </c>
      <c r="M482" s="651"/>
      <c r="N482" s="651"/>
      <c r="P482" s="189">
        <f t="shared" ref="P482" si="1937">IF(AND(EXACT(C482,C480),C480&lt;&gt;0),P480+1,0)</f>
        <v>43</v>
      </c>
      <c r="Q482" s="189" t="str">
        <f t="shared" ref="Q482" si="1938">IF(C482&lt;&gt;"",C482&amp;"-"&amp;P482,"")</f>
        <v/>
      </c>
      <c r="R482" s="189" t="str">
        <f t="array" ref="R482">IFERROR(IF(INDEX('Disaggregation Records'!$E$69:$E$152,MATCH(RIGHT(Q482,255),RIGHT('Disaggregation Records'!$D$69:$D$152,255),0))=0,"",INDEX('Disaggregation Records'!$E$69:$E$152,MATCH(RIGHT(Q482,255),RIGHT('Disaggregation Records'!$D$69:$D$152,255),0))),"")</f>
        <v/>
      </c>
      <c r="S482" s="189" t="str">
        <f t="array" ref="S482">IFERROR(IF(INDEX('Disaggregation Records'!$F$69:$F$152,MATCH(RIGHT(Q482,255),RIGHT('Disaggregation Records'!$D$69:$D$152,255),0))=0,"",INDEX('Disaggregation Records'!$F$69:$F$152,MATCH(RIGHT(Q482,255),RIGHT('Disaggregation Records'!$D$69:$D$152,255),0))),"")</f>
        <v/>
      </c>
      <c r="T482" s="189" t="str">
        <f t="array" ref="T482">IFERROR(IF(INDEX('Disaggregation Records'!$H$69:$H$152,MATCH(RIGHT(Q482,255),RIGHT('Disaggregation Records'!$D$69:$D$152,255),0))=0,"",INDEX('Disaggregation Records'!$H$69:$H$152,MATCH(RIGHT(Q482,255),RIGHT('Disaggregation Records'!$D$69:$D$152,255),0))),"")</f>
        <v/>
      </c>
      <c r="U482" s="189">
        <f t="shared" ref="U482" si="1939">U480+1</f>
        <v>962</v>
      </c>
      <c r="V482" s="189" t="str">
        <f t="array" ref="V482">IFERROR(IF(INDEX('Disaggregation Records'!$I$69:$I$152,MATCH(RIGHT(Q482,255),RIGHT('Disaggregation Records'!$D$69:$D$152,255),0))=0,"",INDEX('Disaggregation Records'!$I$69:$I$152,MATCH(RIGHT(Q482,255),RIGHT('Disaggregation Records'!$D$69:$D$152,255),0))),"")</f>
        <v/>
      </c>
      <c r="W482" s="189" t="str">
        <f>IFERROR(INDEX('Reference Records'!P$19:P$56,MATCH(LEFT(C482,255),'Reference Records'!J$19:J$56,0)),"")</f>
        <v/>
      </c>
    </row>
    <row r="483" spans="1:23" s="189" customFormat="1" ht="40.200000000000003" customHeight="1" x14ac:dyDescent="0.3">
      <c r="A483" s="678"/>
      <c r="B483" s="675"/>
      <c r="C483" s="667"/>
      <c r="D483" s="677"/>
      <c r="E483" s="677"/>
      <c r="F483" s="202"/>
      <c r="G483" s="669"/>
      <c r="H483" s="671"/>
      <c r="I483" s="673"/>
      <c r="J483" s="652"/>
      <c r="K483" s="667"/>
      <c r="L483" s="667"/>
      <c r="M483" s="652"/>
      <c r="N483" s="652"/>
      <c r="V483" s="189" t="str">
        <f t="array" ref="V483">IFERROR(IF(INDEX('Disaggregation Records'!$I$69:$I$152,MATCH(RIGHT(Q483,255),RIGHT('Disaggregation Records'!$D$69:$D$152,255),0))=0,"",INDEX('Disaggregation Records'!$I$69:$I$152,MATCH(RIGHT(Q483,255),RIGHT('Disaggregation Records'!$D$69:$D$152,255),0))),"")</f>
        <v/>
      </c>
    </row>
    <row r="484" spans="1:23" s="189" customFormat="1" ht="40.200000000000003" customHeight="1" x14ac:dyDescent="0.3">
      <c r="A484" s="678" t="str">
        <f t="shared" ref="A484" ca="1" si="1940">INDIRECT("'update Helper'!C"&amp;U484)</f>
        <v>a1V3p000004fwusEAA</v>
      </c>
      <c r="B484" s="674">
        <v>9</v>
      </c>
      <c r="C484" s="666" t="str">
        <f>IFERROR(VLOOKUP(B484,'Outcome Indicators - Section C '!$A$9:$AF$70,32,FALSE),"")</f>
        <v/>
      </c>
      <c r="D484" s="676" t="str">
        <f t="shared" ref="D484" si="1941">R484</f>
        <v/>
      </c>
      <c r="E484" s="676" t="str">
        <f t="shared" ref="E484" si="1942">S484</f>
        <v/>
      </c>
      <c r="F484" s="194"/>
      <c r="G484" s="668" t="str">
        <f t="shared" ref="G484" ca="1" si="1943">IF(OR(INDIRECT("'update Helper'!E"&amp;U484)=0,F484&lt;&gt;0,F485&lt;&gt;0),IF(IFERROR((F484/F485),"")="","",(F484/F485)),INDIRECT("'update Helper'!E"&amp;U484)/100)</f>
        <v/>
      </c>
      <c r="H484" s="670"/>
      <c r="I484" s="672"/>
      <c r="J484" s="651"/>
      <c r="K484" s="666" t="str">
        <f t="shared" ref="K484" si="1944">W484</f>
        <v/>
      </c>
      <c r="L484" s="666" t="str">
        <f t="shared" ref="L484" si="1945">V484</f>
        <v/>
      </c>
      <c r="M484" s="651"/>
      <c r="N484" s="651"/>
      <c r="P484" s="189">
        <f t="shared" ref="P484" si="1946">IF(AND(EXACT(C484,C482),C482&lt;&gt;0),P482+1,0)</f>
        <v>44</v>
      </c>
      <c r="Q484" s="189" t="str">
        <f t="shared" ref="Q484" si="1947">IF(C484&lt;&gt;"",C484&amp;"-"&amp;P484,"")</f>
        <v/>
      </c>
      <c r="R484" s="189" t="str">
        <f t="array" ref="R484">IFERROR(IF(INDEX('Disaggregation Records'!$E$69:$E$152,MATCH(RIGHT(Q484,255),RIGHT('Disaggregation Records'!$D$69:$D$152,255),0))=0,"",INDEX('Disaggregation Records'!$E$69:$E$152,MATCH(RIGHT(Q484,255),RIGHT('Disaggregation Records'!$D$69:$D$152,255),0))),"")</f>
        <v/>
      </c>
      <c r="S484" s="189" t="str">
        <f t="array" ref="S484">IFERROR(IF(INDEX('Disaggregation Records'!$F$69:$F$152,MATCH(RIGHT(Q484,255),RIGHT('Disaggregation Records'!$D$69:$D$152,255),0))=0,"",INDEX('Disaggregation Records'!$F$69:$F$152,MATCH(RIGHT(Q484,255),RIGHT('Disaggregation Records'!$D$69:$D$152,255),0))),"")</f>
        <v/>
      </c>
      <c r="T484" s="189" t="str">
        <f t="array" ref="T484">IFERROR(IF(INDEX('Disaggregation Records'!$H$69:$H$152,MATCH(RIGHT(Q484,255),RIGHT('Disaggregation Records'!$D$69:$D$152,255),0))=0,"",INDEX('Disaggregation Records'!$H$69:$H$152,MATCH(RIGHT(Q484,255),RIGHT('Disaggregation Records'!$D$69:$D$152,255),0))),"")</f>
        <v/>
      </c>
      <c r="U484" s="189">
        <f t="shared" ref="U484" si="1948">U482+1</f>
        <v>963</v>
      </c>
      <c r="V484" s="189" t="str">
        <f t="array" ref="V484">IFERROR(IF(INDEX('Disaggregation Records'!$I$69:$I$152,MATCH(RIGHT(Q484,255),RIGHT('Disaggregation Records'!$D$69:$D$152,255),0))=0,"",INDEX('Disaggregation Records'!$I$69:$I$152,MATCH(RIGHT(Q484,255),RIGHT('Disaggregation Records'!$D$69:$D$152,255),0))),"")</f>
        <v/>
      </c>
      <c r="W484" s="189" t="str">
        <f>IFERROR(INDEX('Reference Records'!P$19:P$56,MATCH(LEFT(C484,255),'Reference Records'!J$19:J$56,0)),"")</f>
        <v/>
      </c>
    </row>
    <row r="485" spans="1:23" s="189" customFormat="1" ht="40.200000000000003" customHeight="1" x14ac:dyDescent="0.3">
      <c r="A485" s="678"/>
      <c r="B485" s="675"/>
      <c r="C485" s="667"/>
      <c r="D485" s="677"/>
      <c r="E485" s="677"/>
      <c r="F485" s="202"/>
      <c r="G485" s="669"/>
      <c r="H485" s="671"/>
      <c r="I485" s="673"/>
      <c r="J485" s="652"/>
      <c r="K485" s="667"/>
      <c r="L485" s="667"/>
      <c r="M485" s="652"/>
      <c r="N485" s="652"/>
      <c r="V485" s="189" t="str">
        <f t="array" ref="V485">IFERROR(IF(INDEX('Disaggregation Records'!$I$69:$I$152,MATCH(RIGHT(Q485,255),RIGHT('Disaggregation Records'!$D$69:$D$152,255),0))=0,"",INDEX('Disaggregation Records'!$I$69:$I$152,MATCH(RIGHT(Q485,255),RIGHT('Disaggregation Records'!$D$69:$D$152,255),0))),"")</f>
        <v/>
      </c>
    </row>
    <row r="486" spans="1:23" s="189" customFormat="1" ht="40.200000000000003" customHeight="1" x14ac:dyDescent="0.3">
      <c r="A486" s="678" t="str">
        <f t="shared" ref="A486" ca="1" si="1949">INDIRECT("'update Helper'!C"&amp;U486)</f>
        <v>a1V3p000004fwutEAA</v>
      </c>
      <c r="B486" s="674">
        <v>9</v>
      </c>
      <c r="C486" s="666" t="str">
        <f>IFERROR(VLOOKUP(B486,'Outcome Indicators - Section C '!$A$9:$AF$70,32,FALSE),"")</f>
        <v/>
      </c>
      <c r="D486" s="676" t="str">
        <f t="shared" ref="D486" si="1950">R486</f>
        <v/>
      </c>
      <c r="E486" s="676" t="str">
        <f t="shared" ref="E486" si="1951">S486</f>
        <v/>
      </c>
      <c r="F486" s="194"/>
      <c r="G486" s="668" t="str">
        <f t="shared" ref="G486" ca="1" si="1952">IF(OR(INDIRECT("'update Helper'!E"&amp;U486)=0,F486&lt;&gt;0,F487&lt;&gt;0),IF(IFERROR((F486/F487),"")="","",(F486/F487)),INDIRECT("'update Helper'!E"&amp;U486)/100)</f>
        <v/>
      </c>
      <c r="H486" s="670"/>
      <c r="I486" s="672"/>
      <c r="J486" s="651"/>
      <c r="K486" s="666" t="str">
        <f t="shared" ref="K486" si="1953">W486</f>
        <v/>
      </c>
      <c r="L486" s="666" t="str">
        <f t="shared" ref="L486" si="1954">V486</f>
        <v/>
      </c>
      <c r="M486" s="651"/>
      <c r="N486" s="651"/>
      <c r="P486" s="189">
        <f t="shared" ref="P486" si="1955">IF(AND(EXACT(C486,C484),C484&lt;&gt;0),P484+1,0)</f>
        <v>45</v>
      </c>
      <c r="Q486" s="189" t="str">
        <f t="shared" ref="Q486" si="1956">IF(C486&lt;&gt;"",C486&amp;"-"&amp;P486,"")</f>
        <v/>
      </c>
      <c r="R486" s="189" t="str">
        <f t="array" ref="R486">IFERROR(IF(INDEX('Disaggregation Records'!$E$69:$E$152,MATCH(RIGHT(Q486,255),RIGHT('Disaggregation Records'!$D$69:$D$152,255),0))=0,"",INDEX('Disaggregation Records'!$E$69:$E$152,MATCH(RIGHT(Q486,255),RIGHT('Disaggregation Records'!$D$69:$D$152,255),0))),"")</f>
        <v/>
      </c>
      <c r="S486" s="189" t="str">
        <f t="array" ref="S486">IFERROR(IF(INDEX('Disaggregation Records'!$F$69:$F$152,MATCH(RIGHT(Q486,255),RIGHT('Disaggregation Records'!$D$69:$D$152,255),0))=0,"",INDEX('Disaggregation Records'!$F$69:$F$152,MATCH(RIGHT(Q486,255),RIGHT('Disaggregation Records'!$D$69:$D$152,255),0))),"")</f>
        <v/>
      </c>
      <c r="T486" s="189" t="str">
        <f t="array" ref="T486">IFERROR(IF(INDEX('Disaggregation Records'!$H$69:$H$152,MATCH(RIGHT(Q486,255),RIGHT('Disaggregation Records'!$D$69:$D$152,255),0))=0,"",INDEX('Disaggregation Records'!$H$69:$H$152,MATCH(RIGHT(Q486,255),RIGHT('Disaggregation Records'!$D$69:$D$152,255),0))),"")</f>
        <v/>
      </c>
      <c r="U486" s="189">
        <f t="shared" ref="U486" si="1957">U484+1</f>
        <v>964</v>
      </c>
      <c r="V486" s="189" t="str">
        <f t="array" ref="V486">IFERROR(IF(INDEX('Disaggregation Records'!$I$69:$I$152,MATCH(RIGHT(Q486,255),RIGHT('Disaggregation Records'!$D$69:$D$152,255),0))=0,"",INDEX('Disaggregation Records'!$I$69:$I$152,MATCH(RIGHT(Q486,255),RIGHT('Disaggregation Records'!$D$69:$D$152,255),0))),"")</f>
        <v/>
      </c>
      <c r="W486" s="189" t="str">
        <f>IFERROR(INDEX('Reference Records'!P$19:P$56,MATCH(LEFT(C486,255),'Reference Records'!J$19:J$56,0)),"")</f>
        <v/>
      </c>
    </row>
    <row r="487" spans="1:23" s="189" customFormat="1" ht="40.200000000000003" customHeight="1" x14ac:dyDescent="0.3">
      <c r="A487" s="678"/>
      <c r="B487" s="675"/>
      <c r="C487" s="667"/>
      <c r="D487" s="677"/>
      <c r="E487" s="677"/>
      <c r="F487" s="202"/>
      <c r="G487" s="669"/>
      <c r="H487" s="671"/>
      <c r="I487" s="673"/>
      <c r="J487" s="652"/>
      <c r="K487" s="667"/>
      <c r="L487" s="667"/>
      <c r="M487" s="652"/>
      <c r="N487" s="652"/>
      <c r="V487" s="189" t="str">
        <f t="array" ref="V487">IFERROR(IF(INDEX('Disaggregation Records'!$I$69:$I$152,MATCH(RIGHT(Q487,255),RIGHT('Disaggregation Records'!$D$69:$D$152,255),0))=0,"",INDEX('Disaggregation Records'!$I$69:$I$152,MATCH(RIGHT(Q487,255),RIGHT('Disaggregation Records'!$D$69:$D$152,255),0))),"")</f>
        <v/>
      </c>
    </row>
    <row r="488" spans="1:23" s="189" customFormat="1" ht="40.200000000000003" customHeight="1" x14ac:dyDescent="0.3">
      <c r="A488" s="678" t="str">
        <f t="shared" ref="A488" ca="1" si="1958">INDIRECT("'update Helper'!C"&amp;U488)</f>
        <v>a1V3p000004fwuuEAA</v>
      </c>
      <c r="B488" s="674">
        <v>9</v>
      </c>
      <c r="C488" s="666" t="str">
        <f>IFERROR(VLOOKUP(B488,'Outcome Indicators - Section C '!$A$9:$AF$70,32,FALSE),"")</f>
        <v/>
      </c>
      <c r="D488" s="676" t="str">
        <f t="shared" ref="D488" si="1959">R488</f>
        <v/>
      </c>
      <c r="E488" s="676" t="str">
        <f t="shared" ref="E488" si="1960">S488</f>
        <v/>
      </c>
      <c r="F488" s="194"/>
      <c r="G488" s="668" t="str">
        <f t="shared" ref="G488" ca="1" si="1961">IF(OR(INDIRECT("'update Helper'!E"&amp;U488)=0,F488&lt;&gt;0,F489&lt;&gt;0),IF(IFERROR((F488/F489),"")="","",(F488/F489)),INDIRECT("'update Helper'!E"&amp;U488)/100)</f>
        <v/>
      </c>
      <c r="H488" s="670"/>
      <c r="I488" s="672"/>
      <c r="J488" s="651"/>
      <c r="K488" s="666" t="str">
        <f t="shared" ref="K488" si="1962">W488</f>
        <v/>
      </c>
      <c r="L488" s="666" t="str">
        <f t="shared" ref="L488" si="1963">V488</f>
        <v/>
      </c>
      <c r="M488" s="651"/>
      <c r="N488" s="651"/>
      <c r="P488" s="189">
        <f t="shared" ref="P488" si="1964">IF(AND(EXACT(C488,C486),C486&lt;&gt;0),P486+1,0)</f>
        <v>46</v>
      </c>
      <c r="Q488" s="189" t="str">
        <f t="shared" ref="Q488" si="1965">IF(C488&lt;&gt;"",C488&amp;"-"&amp;P488,"")</f>
        <v/>
      </c>
      <c r="R488" s="189" t="str">
        <f t="array" ref="R488">IFERROR(IF(INDEX('Disaggregation Records'!$E$69:$E$152,MATCH(RIGHT(Q488,255),RIGHT('Disaggregation Records'!$D$69:$D$152,255),0))=0,"",INDEX('Disaggregation Records'!$E$69:$E$152,MATCH(RIGHT(Q488,255),RIGHT('Disaggregation Records'!$D$69:$D$152,255),0))),"")</f>
        <v/>
      </c>
      <c r="S488" s="189" t="str">
        <f t="array" ref="S488">IFERROR(IF(INDEX('Disaggregation Records'!$F$69:$F$152,MATCH(RIGHT(Q488,255),RIGHT('Disaggregation Records'!$D$69:$D$152,255),0))=0,"",INDEX('Disaggregation Records'!$F$69:$F$152,MATCH(RIGHT(Q488,255),RIGHT('Disaggregation Records'!$D$69:$D$152,255),0))),"")</f>
        <v/>
      </c>
      <c r="T488" s="189" t="str">
        <f t="array" ref="T488">IFERROR(IF(INDEX('Disaggregation Records'!$H$69:$H$152,MATCH(RIGHT(Q488,255),RIGHT('Disaggregation Records'!$D$69:$D$152,255),0))=0,"",INDEX('Disaggregation Records'!$H$69:$H$152,MATCH(RIGHT(Q488,255),RIGHT('Disaggregation Records'!$D$69:$D$152,255),0))),"")</f>
        <v/>
      </c>
      <c r="U488" s="189">
        <f t="shared" ref="U488" si="1966">U486+1</f>
        <v>965</v>
      </c>
      <c r="V488" s="189" t="str">
        <f t="array" ref="V488">IFERROR(IF(INDEX('Disaggregation Records'!$I$69:$I$152,MATCH(RIGHT(Q488,255),RIGHT('Disaggregation Records'!$D$69:$D$152,255),0))=0,"",INDEX('Disaggregation Records'!$I$69:$I$152,MATCH(RIGHT(Q488,255),RIGHT('Disaggregation Records'!$D$69:$D$152,255),0))),"")</f>
        <v/>
      </c>
      <c r="W488" s="189" t="str">
        <f>IFERROR(INDEX('Reference Records'!P$19:P$56,MATCH(LEFT(C488,255),'Reference Records'!J$19:J$56,0)),"")</f>
        <v/>
      </c>
    </row>
    <row r="489" spans="1:23" s="189" customFormat="1" ht="40.200000000000003" customHeight="1" x14ac:dyDescent="0.3">
      <c r="A489" s="678"/>
      <c r="B489" s="675"/>
      <c r="C489" s="667"/>
      <c r="D489" s="677"/>
      <c r="E489" s="677"/>
      <c r="F489" s="202"/>
      <c r="G489" s="669"/>
      <c r="H489" s="671"/>
      <c r="I489" s="673"/>
      <c r="J489" s="652"/>
      <c r="K489" s="667"/>
      <c r="L489" s="667"/>
      <c r="M489" s="652"/>
      <c r="N489" s="652"/>
      <c r="V489" s="189" t="str">
        <f t="array" ref="V489">IFERROR(IF(INDEX('Disaggregation Records'!$I$69:$I$152,MATCH(RIGHT(Q489,255),RIGHT('Disaggregation Records'!$D$69:$D$152,255),0))=0,"",INDEX('Disaggregation Records'!$I$69:$I$152,MATCH(RIGHT(Q489,255),RIGHT('Disaggregation Records'!$D$69:$D$152,255),0))),"")</f>
        <v/>
      </c>
    </row>
    <row r="490" spans="1:23" s="189" customFormat="1" ht="40.200000000000003" customHeight="1" x14ac:dyDescent="0.3">
      <c r="A490" s="678" t="str">
        <f t="shared" ref="A490" ca="1" si="1967">INDIRECT("'update Helper'!C"&amp;U490)</f>
        <v>a1V3p000004fwuvEAA</v>
      </c>
      <c r="B490" s="674">
        <v>9</v>
      </c>
      <c r="C490" s="666" t="str">
        <f>IFERROR(VLOOKUP(B490,'Outcome Indicators - Section C '!$A$9:$AF$70,32,FALSE),"")</f>
        <v/>
      </c>
      <c r="D490" s="676" t="str">
        <f t="shared" ref="D490" si="1968">R490</f>
        <v/>
      </c>
      <c r="E490" s="676" t="str">
        <f t="shared" ref="E490" si="1969">S490</f>
        <v/>
      </c>
      <c r="F490" s="194"/>
      <c r="G490" s="668" t="str">
        <f t="shared" ref="G490" ca="1" si="1970">IF(OR(INDIRECT("'update Helper'!E"&amp;U490)=0,F490&lt;&gt;0,F491&lt;&gt;0),IF(IFERROR((F490/F491),"")="","",(F490/F491)),INDIRECT("'update Helper'!E"&amp;U490)/100)</f>
        <v/>
      </c>
      <c r="H490" s="670"/>
      <c r="I490" s="672"/>
      <c r="J490" s="651"/>
      <c r="K490" s="666" t="str">
        <f t="shared" ref="K490" si="1971">W490</f>
        <v/>
      </c>
      <c r="L490" s="666" t="str">
        <f t="shared" ref="L490" si="1972">V490</f>
        <v/>
      </c>
      <c r="M490" s="651"/>
      <c r="N490" s="651"/>
      <c r="P490" s="189">
        <f t="shared" ref="P490" si="1973">IF(AND(EXACT(C490,C488),C488&lt;&gt;0),P488+1,0)</f>
        <v>47</v>
      </c>
      <c r="Q490" s="189" t="str">
        <f t="shared" ref="Q490" si="1974">IF(C490&lt;&gt;"",C490&amp;"-"&amp;P490,"")</f>
        <v/>
      </c>
      <c r="R490" s="189" t="str">
        <f t="array" ref="R490">IFERROR(IF(INDEX('Disaggregation Records'!$E$69:$E$152,MATCH(RIGHT(Q490,255),RIGHT('Disaggregation Records'!$D$69:$D$152,255),0))=0,"",INDEX('Disaggregation Records'!$E$69:$E$152,MATCH(RIGHT(Q490,255),RIGHT('Disaggregation Records'!$D$69:$D$152,255),0))),"")</f>
        <v/>
      </c>
      <c r="S490" s="189" t="str">
        <f t="array" ref="S490">IFERROR(IF(INDEX('Disaggregation Records'!$F$69:$F$152,MATCH(RIGHT(Q490,255),RIGHT('Disaggregation Records'!$D$69:$D$152,255),0))=0,"",INDEX('Disaggregation Records'!$F$69:$F$152,MATCH(RIGHT(Q490,255),RIGHT('Disaggregation Records'!$D$69:$D$152,255),0))),"")</f>
        <v/>
      </c>
      <c r="T490" s="189" t="str">
        <f t="array" ref="T490">IFERROR(IF(INDEX('Disaggregation Records'!$H$69:$H$152,MATCH(RIGHT(Q490,255),RIGHT('Disaggregation Records'!$D$69:$D$152,255),0))=0,"",INDEX('Disaggregation Records'!$H$69:$H$152,MATCH(RIGHT(Q490,255),RIGHT('Disaggregation Records'!$D$69:$D$152,255),0))),"")</f>
        <v/>
      </c>
      <c r="U490" s="189">
        <f t="shared" ref="U490" si="1975">U488+1</f>
        <v>966</v>
      </c>
      <c r="V490" s="189" t="str">
        <f t="array" ref="V490">IFERROR(IF(INDEX('Disaggregation Records'!$I$69:$I$152,MATCH(RIGHT(Q490,255),RIGHT('Disaggregation Records'!$D$69:$D$152,255),0))=0,"",INDEX('Disaggregation Records'!$I$69:$I$152,MATCH(RIGHT(Q490,255),RIGHT('Disaggregation Records'!$D$69:$D$152,255),0))),"")</f>
        <v/>
      </c>
      <c r="W490" s="189" t="str">
        <f>IFERROR(INDEX('Reference Records'!P$19:P$56,MATCH(LEFT(C490,255),'Reference Records'!J$19:J$56,0)),"")</f>
        <v/>
      </c>
    </row>
    <row r="491" spans="1:23" s="189" customFormat="1" ht="40.200000000000003" customHeight="1" x14ac:dyDescent="0.3">
      <c r="A491" s="678"/>
      <c r="B491" s="675"/>
      <c r="C491" s="667"/>
      <c r="D491" s="677"/>
      <c r="E491" s="677"/>
      <c r="F491" s="202"/>
      <c r="G491" s="669"/>
      <c r="H491" s="671"/>
      <c r="I491" s="673"/>
      <c r="J491" s="652"/>
      <c r="K491" s="667"/>
      <c r="L491" s="667"/>
      <c r="M491" s="652"/>
      <c r="N491" s="652"/>
      <c r="V491" s="189" t="str">
        <f t="array" ref="V491">IFERROR(IF(INDEX('Disaggregation Records'!$I$69:$I$152,MATCH(RIGHT(Q491,255),RIGHT('Disaggregation Records'!$D$69:$D$152,255),0))=0,"",INDEX('Disaggregation Records'!$I$69:$I$152,MATCH(RIGHT(Q491,255),RIGHT('Disaggregation Records'!$D$69:$D$152,255),0))),"")</f>
        <v/>
      </c>
    </row>
    <row r="492" spans="1:23" s="189" customFormat="1" ht="40.200000000000003" customHeight="1" x14ac:dyDescent="0.3">
      <c r="A492" s="678" t="str">
        <f t="shared" ref="A492" ca="1" si="1976">INDIRECT("'update Helper'!C"&amp;U492)</f>
        <v>a1V3p000004fwuwEAA</v>
      </c>
      <c r="B492" s="674">
        <v>9</v>
      </c>
      <c r="C492" s="666" t="str">
        <f>IFERROR(VLOOKUP(B492,'Outcome Indicators - Section C '!$A$9:$AF$70,32,FALSE),"")</f>
        <v/>
      </c>
      <c r="D492" s="676" t="str">
        <f t="shared" ref="D492" si="1977">R492</f>
        <v/>
      </c>
      <c r="E492" s="676" t="str">
        <f t="shared" ref="E492" si="1978">S492</f>
        <v/>
      </c>
      <c r="F492" s="194"/>
      <c r="G492" s="668" t="str">
        <f t="shared" ref="G492" ca="1" si="1979">IF(OR(INDIRECT("'update Helper'!E"&amp;U492)=0,F492&lt;&gt;0,F493&lt;&gt;0),IF(IFERROR((F492/F493),"")="","",(F492/F493)),INDIRECT("'update Helper'!E"&amp;U492)/100)</f>
        <v/>
      </c>
      <c r="H492" s="670"/>
      <c r="I492" s="672"/>
      <c r="J492" s="651"/>
      <c r="K492" s="666" t="str">
        <f t="shared" ref="K492" si="1980">W492</f>
        <v/>
      </c>
      <c r="L492" s="666" t="str">
        <f t="shared" ref="L492" si="1981">V492</f>
        <v/>
      </c>
      <c r="M492" s="651"/>
      <c r="N492" s="651"/>
      <c r="P492" s="189">
        <f t="shared" ref="P492" si="1982">IF(AND(EXACT(C492,C490),C490&lt;&gt;0),P490+1,0)</f>
        <v>48</v>
      </c>
      <c r="Q492" s="189" t="str">
        <f t="shared" ref="Q492" si="1983">IF(C492&lt;&gt;"",C492&amp;"-"&amp;P492,"")</f>
        <v/>
      </c>
      <c r="R492" s="189" t="str">
        <f t="array" ref="R492">IFERROR(IF(INDEX('Disaggregation Records'!$E$69:$E$152,MATCH(RIGHT(Q492,255),RIGHT('Disaggregation Records'!$D$69:$D$152,255),0))=0,"",INDEX('Disaggregation Records'!$E$69:$E$152,MATCH(RIGHT(Q492,255),RIGHT('Disaggregation Records'!$D$69:$D$152,255),0))),"")</f>
        <v/>
      </c>
      <c r="S492" s="189" t="str">
        <f t="array" ref="S492">IFERROR(IF(INDEX('Disaggregation Records'!$F$69:$F$152,MATCH(RIGHT(Q492,255),RIGHT('Disaggregation Records'!$D$69:$D$152,255),0))=0,"",INDEX('Disaggregation Records'!$F$69:$F$152,MATCH(RIGHT(Q492,255),RIGHT('Disaggregation Records'!$D$69:$D$152,255),0))),"")</f>
        <v/>
      </c>
      <c r="T492" s="189" t="str">
        <f t="array" ref="T492">IFERROR(IF(INDEX('Disaggregation Records'!$H$69:$H$152,MATCH(RIGHT(Q492,255),RIGHT('Disaggregation Records'!$D$69:$D$152,255),0))=0,"",INDEX('Disaggregation Records'!$H$69:$H$152,MATCH(RIGHT(Q492,255),RIGHT('Disaggregation Records'!$D$69:$D$152,255),0))),"")</f>
        <v/>
      </c>
      <c r="U492" s="189">
        <f t="shared" ref="U492" si="1984">U490+1</f>
        <v>967</v>
      </c>
      <c r="V492" s="189" t="str">
        <f t="array" ref="V492">IFERROR(IF(INDEX('Disaggregation Records'!$I$69:$I$152,MATCH(RIGHT(Q492,255),RIGHT('Disaggregation Records'!$D$69:$D$152,255),0))=0,"",INDEX('Disaggregation Records'!$I$69:$I$152,MATCH(RIGHT(Q492,255),RIGHT('Disaggregation Records'!$D$69:$D$152,255),0))),"")</f>
        <v/>
      </c>
      <c r="W492" s="189" t="str">
        <f>IFERROR(INDEX('Reference Records'!P$19:P$56,MATCH(LEFT(C492,255),'Reference Records'!J$19:J$56,0)),"")</f>
        <v/>
      </c>
    </row>
    <row r="493" spans="1:23" s="189" customFormat="1" ht="40.200000000000003" customHeight="1" x14ac:dyDescent="0.3">
      <c r="A493" s="678"/>
      <c r="B493" s="675"/>
      <c r="C493" s="667"/>
      <c r="D493" s="677"/>
      <c r="E493" s="677"/>
      <c r="F493" s="202"/>
      <c r="G493" s="669"/>
      <c r="H493" s="671"/>
      <c r="I493" s="673"/>
      <c r="J493" s="652"/>
      <c r="K493" s="667"/>
      <c r="L493" s="667"/>
      <c r="M493" s="652"/>
      <c r="N493" s="652"/>
      <c r="V493" s="189" t="str">
        <f t="array" ref="V493">IFERROR(IF(INDEX('Disaggregation Records'!$I$69:$I$152,MATCH(RIGHT(Q493,255),RIGHT('Disaggregation Records'!$D$69:$D$152,255),0))=0,"",INDEX('Disaggregation Records'!$I$69:$I$152,MATCH(RIGHT(Q493,255),RIGHT('Disaggregation Records'!$D$69:$D$152,255),0))),"")</f>
        <v/>
      </c>
    </row>
    <row r="494" spans="1:23" s="189" customFormat="1" ht="40.200000000000003" customHeight="1" x14ac:dyDescent="0.3">
      <c r="A494" s="678" t="str">
        <f t="shared" ref="A494" ca="1" si="1985">INDIRECT("'update Helper'!C"&amp;U494)</f>
        <v>a1V3p000004fwuxEAA</v>
      </c>
      <c r="B494" s="674">
        <v>9</v>
      </c>
      <c r="C494" s="666" t="str">
        <f>IFERROR(VLOOKUP(B494,'Outcome Indicators - Section C '!$A$9:$AF$70,32,FALSE),"")</f>
        <v/>
      </c>
      <c r="D494" s="676" t="str">
        <f t="shared" ref="D494" si="1986">R494</f>
        <v/>
      </c>
      <c r="E494" s="676" t="str">
        <f t="shared" ref="E494" si="1987">S494</f>
        <v/>
      </c>
      <c r="F494" s="194"/>
      <c r="G494" s="668" t="str">
        <f t="shared" ref="G494" ca="1" si="1988">IF(OR(INDIRECT("'update Helper'!E"&amp;U494)=0,F494&lt;&gt;0,F495&lt;&gt;0),IF(IFERROR((F494/F495),"")="","",(F494/F495)),INDIRECT("'update Helper'!E"&amp;U494)/100)</f>
        <v/>
      </c>
      <c r="H494" s="670"/>
      <c r="I494" s="672"/>
      <c r="J494" s="651"/>
      <c r="K494" s="666" t="str">
        <f t="shared" ref="K494" si="1989">W494</f>
        <v/>
      </c>
      <c r="L494" s="666" t="str">
        <f t="shared" ref="L494" si="1990">V494</f>
        <v/>
      </c>
      <c r="M494" s="651"/>
      <c r="N494" s="651"/>
      <c r="P494" s="189">
        <f t="shared" ref="P494" si="1991">IF(AND(EXACT(C494,C492),C492&lt;&gt;0),P492+1,0)</f>
        <v>49</v>
      </c>
      <c r="Q494" s="189" t="str">
        <f t="shared" ref="Q494" si="1992">IF(C494&lt;&gt;"",C494&amp;"-"&amp;P494,"")</f>
        <v/>
      </c>
      <c r="R494" s="189" t="str">
        <f t="array" ref="R494">IFERROR(IF(INDEX('Disaggregation Records'!$E$69:$E$152,MATCH(RIGHT(Q494,255),RIGHT('Disaggregation Records'!$D$69:$D$152,255),0))=0,"",INDEX('Disaggregation Records'!$E$69:$E$152,MATCH(RIGHT(Q494,255),RIGHT('Disaggregation Records'!$D$69:$D$152,255),0))),"")</f>
        <v/>
      </c>
      <c r="S494" s="189" t="str">
        <f t="array" ref="S494">IFERROR(IF(INDEX('Disaggregation Records'!$F$69:$F$152,MATCH(RIGHT(Q494,255),RIGHT('Disaggregation Records'!$D$69:$D$152,255),0))=0,"",INDEX('Disaggregation Records'!$F$69:$F$152,MATCH(RIGHT(Q494,255),RIGHT('Disaggregation Records'!$D$69:$D$152,255),0))),"")</f>
        <v/>
      </c>
      <c r="T494" s="189" t="str">
        <f t="array" ref="T494">IFERROR(IF(INDEX('Disaggregation Records'!$H$69:$H$152,MATCH(RIGHT(Q494,255),RIGHT('Disaggregation Records'!$D$69:$D$152,255),0))=0,"",INDEX('Disaggregation Records'!$H$69:$H$152,MATCH(RIGHT(Q494,255),RIGHT('Disaggregation Records'!$D$69:$D$152,255),0))),"")</f>
        <v/>
      </c>
      <c r="U494" s="189">
        <f t="shared" ref="U494" si="1993">U492+1</f>
        <v>968</v>
      </c>
      <c r="V494" s="189" t="str">
        <f t="array" ref="V494">IFERROR(IF(INDEX('Disaggregation Records'!$I$69:$I$152,MATCH(RIGHT(Q494,255),RIGHT('Disaggregation Records'!$D$69:$D$152,255),0))=0,"",INDEX('Disaggregation Records'!$I$69:$I$152,MATCH(RIGHT(Q494,255),RIGHT('Disaggregation Records'!$D$69:$D$152,255),0))),"")</f>
        <v/>
      </c>
      <c r="W494" s="189" t="str">
        <f>IFERROR(INDEX('Reference Records'!P$19:P$56,MATCH(LEFT(C494,255),'Reference Records'!J$19:J$56,0)),"")</f>
        <v/>
      </c>
    </row>
    <row r="495" spans="1:23" s="189" customFormat="1" ht="40.200000000000003" customHeight="1" x14ac:dyDescent="0.3">
      <c r="A495" s="678"/>
      <c r="B495" s="675"/>
      <c r="C495" s="667"/>
      <c r="D495" s="677"/>
      <c r="E495" s="677"/>
      <c r="F495" s="202"/>
      <c r="G495" s="669"/>
      <c r="H495" s="671"/>
      <c r="I495" s="673"/>
      <c r="J495" s="652"/>
      <c r="K495" s="667"/>
      <c r="L495" s="667"/>
      <c r="M495" s="652"/>
      <c r="N495" s="652"/>
      <c r="V495" s="189" t="str">
        <f t="array" ref="V495">IFERROR(IF(INDEX('Disaggregation Records'!$I$69:$I$152,MATCH(RIGHT(Q495,255),RIGHT('Disaggregation Records'!$D$69:$D$152,255),0))=0,"",INDEX('Disaggregation Records'!$I$69:$I$152,MATCH(RIGHT(Q495,255),RIGHT('Disaggregation Records'!$D$69:$D$152,255),0))),"")</f>
        <v/>
      </c>
    </row>
    <row r="496" spans="1:23" s="189" customFormat="1" ht="40.200000000000003" customHeight="1" x14ac:dyDescent="0.3">
      <c r="A496" s="678" t="str">
        <f t="shared" ref="A496" ca="1" si="1994">INDIRECT("'update Helper'!C"&amp;U496)</f>
        <v>a1V3p000004fwuyEAA</v>
      </c>
      <c r="B496" s="674">
        <v>10</v>
      </c>
      <c r="C496" s="666" t="str">
        <f>IFERROR(VLOOKUP(B496,'Outcome Indicators - Section C '!$A$9:$AF$70,32,FALSE),"")</f>
        <v/>
      </c>
      <c r="D496" s="676" t="str">
        <f t="shared" ref="D496" si="1995">R496</f>
        <v/>
      </c>
      <c r="E496" s="676" t="str">
        <f t="shared" ref="E496" si="1996">S496</f>
        <v/>
      </c>
      <c r="F496" s="194"/>
      <c r="G496" s="668" t="str">
        <f t="shared" ref="G496" ca="1" si="1997">IF(OR(INDIRECT("'update Helper'!E"&amp;U496)=0,F496&lt;&gt;0,F497&lt;&gt;0),IF(IFERROR((F496/F497),"")="","",(F496/F497)),INDIRECT("'update Helper'!E"&amp;U496)/100)</f>
        <v/>
      </c>
      <c r="H496" s="670"/>
      <c r="I496" s="672"/>
      <c r="J496" s="651"/>
      <c r="K496" s="666" t="str">
        <f t="shared" ref="K496" si="1998">W496</f>
        <v/>
      </c>
      <c r="L496" s="666" t="str">
        <f t="shared" ref="L496" si="1999">V496</f>
        <v/>
      </c>
      <c r="M496" s="651"/>
      <c r="N496" s="651"/>
      <c r="P496" s="189">
        <f t="shared" ref="P496" si="2000">IF(AND(EXACT(C496,C494),C494&lt;&gt;0),P494+1,0)</f>
        <v>50</v>
      </c>
      <c r="Q496" s="189" t="str">
        <f t="shared" ref="Q496" si="2001">IF(C496&lt;&gt;"",C496&amp;"-"&amp;P496,"")</f>
        <v/>
      </c>
      <c r="R496" s="189" t="str">
        <f t="array" ref="R496">IFERROR(IF(INDEX('Disaggregation Records'!$E$69:$E$152,MATCH(RIGHT(Q496,255),RIGHT('Disaggregation Records'!$D$69:$D$152,255),0))=0,"",INDEX('Disaggregation Records'!$E$69:$E$152,MATCH(RIGHT(Q496,255),RIGHT('Disaggregation Records'!$D$69:$D$152,255),0))),"")</f>
        <v/>
      </c>
      <c r="S496" s="189" t="str">
        <f t="array" ref="S496">IFERROR(IF(INDEX('Disaggregation Records'!$F$69:$F$152,MATCH(RIGHT(Q496,255),RIGHT('Disaggregation Records'!$D$69:$D$152,255),0))=0,"",INDEX('Disaggregation Records'!$F$69:$F$152,MATCH(RIGHT(Q496,255),RIGHT('Disaggregation Records'!$D$69:$D$152,255),0))),"")</f>
        <v/>
      </c>
      <c r="T496" s="189" t="str">
        <f t="array" ref="T496">IFERROR(IF(INDEX('Disaggregation Records'!$H$69:$H$152,MATCH(RIGHT(Q496,255),RIGHT('Disaggregation Records'!$D$69:$D$152,255),0))=0,"",INDEX('Disaggregation Records'!$H$69:$H$152,MATCH(RIGHT(Q496,255),RIGHT('Disaggregation Records'!$D$69:$D$152,255),0))),"")</f>
        <v/>
      </c>
      <c r="U496" s="189">
        <f t="shared" ref="U496" si="2002">U494+1</f>
        <v>969</v>
      </c>
      <c r="V496" s="189" t="str">
        <f t="array" ref="V496">IFERROR(IF(INDEX('Disaggregation Records'!$I$69:$I$152,MATCH(RIGHT(Q496,255),RIGHT('Disaggregation Records'!$D$69:$D$152,255),0))=0,"",INDEX('Disaggregation Records'!$I$69:$I$152,MATCH(RIGHT(Q496,255),RIGHT('Disaggregation Records'!$D$69:$D$152,255),0))),"")</f>
        <v/>
      </c>
      <c r="W496" s="189" t="str">
        <f>IFERROR(INDEX('Reference Records'!P$19:P$56,MATCH(LEFT(C496,255),'Reference Records'!J$19:J$56,0)),"")</f>
        <v/>
      </c>
    </row>
    <row r="497" spans="1:23" s="189" customFormat="1" ht="40.200000000000003" customHeight="1" x14ac:dyDescent="0.3">
      <c r="A497" s="678"/>
      <c r="B497" s="675"/>
      <c r="C497" s="667"/>
      <c r="D497" s="677"/>
      <c r="E497" s="677"/>
      <c r="F497" s="202"/>
      <c r="G497" s="669"/>
      <c r="H497" s="671"/>
      <c r="I497" s="673"/>
      <c r="J497" s="652"/>
      <c r="K497" s="667"/>
      <c r="L497" s="667"/>
      <c r="M497" s="652"/>
      <c r="N497" s="652"/>
      <c r="V497" s="189" t="str">
        <f t="array" ref="V497">IFERROR(IF(INDEX('Disaggregation Records'!$I$69:$I$152,MATCH(RIGHT(Q497,255),RIGHT('Disaggregation Records'!$D$69:$D$152,255),0))=0,"",INDEX('Disaggregation Records'!$I$69:$I$152,MATCH(RIGHT(Q497,255),RIGHT('Disaggregation Records'!$D$69:$D$152,255),0))),"")</f>
        <v/>
      </c>
    </row>
    <row r="498" spans="1:23" s="189" customFormat="1" ht="40.200000000000003" customHeight="1" x14ac:dyDescent="0.3">
      <c r="A498" s="678" t="str">
        <f t="shared" ref="A498" ca="1" si="2003">INDIRECT("'update Helper'!C"&amp;U498)</f>
        <v>a1V3p000004fwuzEAA</v>
      </c>
      <c r="B498" s="674">
        <v>10</v>
      </c>
      <c r="C498" s="666" t="str">
        <f>IFERROR(VLOOKUP(B498,'Outcome Indicators - Section C '!$A$9:$AF$70,32,FALSE),"")</f>
        <v/>
      </c>
      <c r="D498" s="676" t="str">
        <f t="shared" ref="D498" si="2004">R498</f>
        <v/>
      </c>
      <c r="E498" s="676" t="str">
        <f t="shared" ref="E498" si="2005">S498</f>
        <v/>
      </c>
      <c r="F498" s="194"/>
      <c r="G498" s="668" t="str">
        <f t="shared" ref="G498" ca="1" si="2006">IF(OR(INDIRECT("'update Helper'!E"&amp;U498)=0,F498&lt;&gt;0,F499&lt;&gt;0),IF(IFERROR((F498/F499),"")="","",(F498/F499)),INDIRECT("'update Helper'!E"&amp;U498)/100)</f>
        <v/>
      </c>
      <c r="H498" s="670"/>
      <c r="I498" s="672"/>
      <c r="J498" s="651"/>
      <c r="K498" s="666" t="str">
        <f t="shared" ref="K498" si="2007">W498</f>
        <v/>
      </c>
      <c r="L498" s="666" t="str">
        <f t="shared" ref="L498" si="2008">V498</f>
        <v/>
      </c>
      <c r="M498" s="651"/>
      <c r="N498" s="651"/>
      <c r="P498" s="189">
        <f t="shared" ref="P498" si="2009">IF(AND(EXACT(C498,C496),C496&lt;&gt;0),P496+1,0)</f>
        <v>51</v>
      </c>
      <c r="Q498" s="189" t="str">
        <f t="shared" ref="Q498" si="2010">IF(C498&lt;&gt;"",C498&amp;"-"&amp;P498,"")</f>
        <v/>
      </c>
      <c r="R498" s="189" t="str">
        <f t="array" ref="R498">IFERROR(IF(INDEX('Disaggregation Records'!$E$69:$E$152,MATCH(RIGHT(Q498,255),RIGHT('Disaggregation Records'!$D$69:$D$152,255),0))=0,"",INDEX('Disaggregation Records'!$E$69:$E$152,MATCH(RIGHT(Q498,255),RIGHT('Disaggregation Records'!$D$69:$D$152,255),0))),"")</f>
        <v/>
      </c>
      <c r="S498" s="189" t="str">
        <f t="array" ref="S498">IFERROR(IF(INDEX('Disaggregation Records'!$F$69:$F$152,MATCH(RIGHT(Q498,255),RIGHT('Disaggregation Records'!$D$69:$D$152,255),0))=0,"",INDEX('Disaggregation Records'!$F$69:$F$152,MATCH(RIGHT(Q498,255),RIGHT('Disaggregation Records'!$D$69:$D$152,255),0))),"")</f>
        <v/>
      </c>
      <c r="T498" s="189" t="str">
        <f t="array" ref="T498">IFERROR(IF(INDEX('Disaggregation Records'!$H$69:$H$152,MATCH(RIGHT(Q498,255),RIGHT('Disaggregation Records'!$D$69:$D$152,255),0))=0,"",INDEX('Disaggregation Records'!$H$69:$H$152,MATCH(RIGHT(Q498,255),RIGHT('Disaggregation Records'!$D$69:$D$152,255),0))),"")</f>
        <v/>
      </c>
      <c r="U498" s="189">
        <f t="shared" ref="U498" si="2011">U496+1</f>
        <v>970</v>
      </c>
      <c r="V498" s="189" t="str">
        <f t="array" ref="V498">IFERROR(IF(INDEX('Disaggregation Records'!$I$69:$I$152,MATCH(RIGHT(Q498,255),RIGHT('Disaggregation Records'!$D$69:$D$152,255),0))=0,"",INDEX('Disaggregation Records'!$I$69:$I$152,MATCH(RIGHT(Q498,255),RIGHT('Disaggregation Records'!$D$69:$D$152,255),0))),"")</f>
        <v/>
      </c>
      <c r="W498" s="189" t="str">
        <f>IFERROR(INDEX('Reference Records'!P$19:P$56,MATCH(LEFT(C498,255),'Reference Records'!J$19:J$56,0)),"")</f>
        <v/>
      </c>
    </row>
    <row r="499" spans="1:23" s="189" customFormat="1" ht="40.200000000000003" customHeight="1" x14ac:dyDescent="0.3">
      <c r="A499" s="678"/>
      <c r="B499" s="675"/>
      <c r="C499" s="667"/>
      <c r="D499" s="677"/>
      <c r="E499" s="677"/>
      <c r="F499" s="202"/>
      <c r="G499" s="669"/>
      <c r="H499" s="671"/>
      <c r="I499" s="673"/>
      <c r="J499" s="652"/>
      <c r="K499" s="667"/>
      <c r="L499" s="667"/>
      <c r="M499" s="652"/>
      <c r="N499" s="652"/>
      <c r="V499" s="189" t="str">
        <f t="array" ref="V499">IFERROR(IF(INDEX('Disaggregation Records'!$I$69:$I$152,MATCH(RIGHT(Q499,255),RIGHT('Disaggregation Records'!$D$69:$D$152,255),0))=0,"",INDEX('Disaggregation Records'!$I$69:$I$152,MATCH(RIGHT(Q499,255),RIGHT('Disaggregation Records'!$D$69:$D$152,255),0))),"")</f>
        <v/>
      </c>
    </row>
    <row r="500" spans="1:23" s="189" customFormat="1" ht="40.200000000000003" customHeight="1" x14ac:dyDescent="0.3">
      <c r="A500" s="678" t="str">
        <f t="shared" ref="A500" ca="1" si="2012">INDIRECT("'update Helper'!C"&amp;U500)</f>
        <v>a1V3p000004fwv0EAA</v>
      </c>
      <c r="B500" s="674">
        <v>10</v>
      </c>
      <c r="C500" s="666" t="str">
        <f>IFERROR(VLOOKUP(B500,'Outcome Indicators - Section C '!$A$9:$AF$70,32,FALSE),"")</f>
        <v/>
      </c>
      <c r="D500" s="676" t="str">
        <f t="shared" ref="D500" si="2013">R500</f>
        <v/>
      </c>
      <c r="E500" s="676" t="str">
        <f t="shared" ref="E500" si="2014">S500</f>
        <v/>
      </c>
      <c r="F500" s="194"/>
      <c r="G500" s="668" t="str">
        <f t="shared" ref="G500" ca="1" si="2015">IF(OR(INDIRECT("'update Helper'!E"&amp;U500)=0,F500&lt;&gt;0,F501&lt;&gt;0),IF(IFERROR((F500/F501),"")="","",(F500/F501)),INDIRECT("'update Helper'!E"&amp;U500)/100)</f>
        <v/>
      </c>
      <c r="H500" s="670"/>
      <c r="I500" s="672"/>
      <c r="J500" s="651"/>
      <c r="K500" s="666" t="str">
        <f t="shared" ref="K500" si="2016">W500</f>
        <v/>
      </c>
      <c r="L500" s="666" t="str">
        <f t="shared" ref="L500" si="2017">V500</f>
        <v/>
      </c>
      <c r="M500" s="651"/>
      <c r="N500" s="651"/>
      <c r="P500" s="189">
        <f t="shared" ref="P500" si="2018">IF(AND(EXACT(C500,C498),C498&lt;&gt;0),P498+1,0)</f>
        <v>52</v>
      </c>
      <c r="Q500" s="189" t="str">
        <f t="shared" ref="Q500" si="2019">IF(C500&lt;&gt;"",C500&amp;"-"&amp;P500,"")</f>
        <v/>
      </c>
      <c r="R500" s="189" t="str">
        <f t="array" ref="R500">IFERROR(IF(INDEX('Disaggregation Records'!$E$69:$E$152,MATCH(RIGHT(Q500,255),RIGHT('Disaggregation Records'!$D$69:$D$152,255),0))=0,"",INDEX('Disaggregation Records'!$E$69:$E$152,MATCH(RIGHT(Q500,255),RIGHT('Disaggregation Records'!$D$69:$D$152,255),0))),"")</f>
        <v/>
      </c>
      <c r="S500" s="189" t="str">
        <f t="array" ref="S500">IFERROR(IF(INDEX('Disaggregation Records'!$F$69:$F$152,MATCH(RIGHT(Q500,255),RIGHT('Disaggregation Records'!$D$69:$D$152,255),0))=0,"",INDEX('Disaggregation Records'!$F$69:$F$152,MATCH(RIGHT(Q500,255),RIGHT('Disaggregation Records'!$D$69:$D$152,255),0))),"")</f>
        <v/>
      </c>
      <c r="T500" s="189" t="str">
        <f t="array" ref="T500">IFERROR(IF(INDEX('Disaggregation Records'!$H$69:$H$152,MATCH(RIGHT(Q500,255),RIGHT('Disaggregation Records'!$D$69:$D$152,255),0))=0,"",INDEX('Disaggregation Records'!$H$69:$H$152,MATCH(RIGHT(Q500,255),RIGHT('Disaggregation Records'!$D$69:$D$152,255),0))),"")</f>
        <v/>
      </c>
      <c r="U500" s="189">
        <f t="shared" ref="U500" si="2020">U498+1</f>
        <v>971</v>
      </c>
      <c r="V500" s="189" t="str">
        <f t="array" ref="V500">IFERROR(IF(INDEX('Disaggregation Records'!$I$69:$I$152,MATCH(RIGHT(Q500,255),RIGHT('Disaggregation Records'!$D$69:$D$152,255),0))=0,"",INDEX('Disaggregation Records'!$I$69:$I$152,MATCH(RIGHT(Q500,255),RIGHT('Disaggregation Records'!$D$69:$D$152,255),0))),"")</f>
        <v/>
      </c>
      <c r="W500" s="189" t="str">
        <f>IFERROR(INDEX('Reference Records'!P$19:P$56,MATCH(LEFT(C500,255),'Reference Records'!J$19:J$56,0)),"")</f>
        <v/>
      </c>
    </row>
    <row r="501" spans="1:23" s="189" customFormat="1" ht="40.200000000000003" customHeight="1" x14ac:dyDescent="0.3">
      <c r="A501" s="678"/>
      <c r="B501" s="675"/>
      <c r="C501" s="667"/>
      <c r="D501" s="677"/>
      <c r="E501" s="677"/>
      <c r="F501" s="202"/>
      <c r="G501" s="669"/>
      <c r="H501" s="671"/>
      <c r="I501" s="673"/>
      <c r="J501" s="652"/>
      <c r="K501" s="667"/>
      <c r="L501" s="667"/>
      <c r="M501" s="652"/>
      <c r="N501" s="652"/>
      <c r="V501" s="189" t="str">
        <f t="array" ref="V501">IFERROR(IF(INDEX('Disaggregation Records'!$I$69:$I$152,MATCH(RIGHT(Q501,255),RIGHT('Disaggregation Records'!$D$69:$D$152,255),0))=0,"",INDEX('Disaggregation Records'!$I$69:$I$152,MATCH(RIGHT(Q501,255),RIGHT('Disaggregation Records'!$D$69:$D$152,255),0))),"")</f>
        <v/>
      </c>
    </row>
    <row r="502" spans="1:23" s="189" customFormat="1" ht="40.200000000000003" customHeight="1" x14ac:dyDescent="0.3">
      <c r="A502" s="678" t="str">
        <f t="shared" ref="A502" ca="1" si="2021">INDIRECT("'update Helper'!C"&amp;U502)</f>
        <v>a1V3p000004fwv1EAA</v>
      </c>
      <c r="B502" s="674">
        <v>10</v>
      </c>
      <c r="C502" s="666" t="str">
        <f>IFERROR(VLOOKUP(B502,'Outcome Indicators - Section C '!$A$9:$AF$70,32,FALSE),"")</f>
        <v/>
      </c>
      <c r="D502" s="676" t="str">
        <f t="shared" ref="D502" si="2022">R502</f>
        <v/>
      </c>
      <c r="E502" s="676" t="str">
        <f t="shared" ref="E502" si="2023">S502</f>
        <v/>
      </c>
      <c r="F502" s="194"/>
      <c r="G502" s="668" t="str">
        <f t="shared" ref="G502" ca="1" si="2024">IF(OR(INDIRECT("'update Helper'!E"&amp;U502)=0,F502&lt;&gt;0,F503&lt;&gt;0),IF(IFERROR((F502/F503),"")="","",(F502/F503)),INDIRECT("'update Helper'!E"&amp;U502)/100)</f>
        <v/>
      </c>
      <c r="H502" s="670"/>
      <c r="I502" s="672"/>
      <c r="J502" s="651"/>
      <c r="K502" s="666" t="str">
        <f t="shared" ref="K502" si="2025">W502</f>
        <v/>
      </c>
      <c r="L502" s="666" t="str">
        <f t="shared" ref="L502" si="2026">V502</f>
        <v/>
      </c>
      <c r="M502" s="651"/>
      <c r="N502" s="651"/>
      <c r="P502" s="189">
        <f t="shared" ref="P502" si="2027">IF(AND(EXACT(C502,C500),C500&lt;&gt;0),P500+1,0)</f>
        <v>53</v>
      </c>
      <c r="Q502" s="189" t="str">
        <f t="shared" ref="Q502" si="2028">IF(C502&lt;&gt;"",C502&amp;"-"&amp;P502,"")</f>
        <v/>
      </c>
      <c r="R502" s="189" t="str">
        <f t="array" ref="R502">IFERROR(IF(INDEX('Disaggregation Records'!$E$69:$E$152,MATCH(RIGHT(Q502,255),RIGHT('Disaggregation Records'!$D$69:$D$152,255),0))=0,"",INDEX('Disaggregation Records'!$E$69:$E$152,MATCH(RIGHT(Q502,255),RIGHT('Disaggregation Records'!$D$69:$D$152,255),0))),"")</f>
        <v/>
      </c>
      <c r="S502" s="189" t="str">
        <f t="array" ref="S502">IFERROR(IF(INDEX('Disaggregation Records'!$F$69:$F$152,MATCH(RIGHT(Q502,255),RIGHT('Disaggregation Records'!$D$69:$D$152,255),0))=0,"",INDEX('Disaggregation Records'!$F$69:$F$152,MATCH(RIGHT(Q502,255),RIGHT('Disaggregation Records'!$D$69:$D$152,255),0))),"")</f>
        <v/>
      </c>
      <c r="T502" s="189" t="str">
        <f t="array" ref="T502">IFERROR(IF(INDEX('Disaggregation Records'!$H$69:$H$152,MATCH(RIGHT(Q502,255),RIGHT('Disaggregation Records'!$D$69:$D$152,255),0))=0,"",INDEX('Disaggregation Records'!$H$69:$H$152,MATCH(RIGHT(Q502,255),RIGHT('Disaggregation Records'!$D$69:$D$152,255),0))),"")</f>
        <v/>
      </c>
      <c r="U502" s="189">
        <f t="shared" ref="U502" si="2029">U500+1</f>
        <v>972</v>
      </c>
      <c r="V502" s="189" t="str">
        <f t="array" ref="V502">IFERROR(IF(INDEX('Disaggregation Records'!$I$69:$I$152,MATCH(RIGHT(Q502,255),RIGHT('Disaggregation Records'!$D$69:$D$152,255),0))=0,"",INDEX('Disaggregation Records'!$I$69:$I$152,MATCH(RIGHT(Q502,255),RIGHT('Disaggregation Records'!$D$69:$D$152,255),0))),"")</f>
        <v/>
      </c>
      <c r="W502" s="189" t="str">
        <f>IFERROR(INDEX('Reference Records'!P$19:P$56,MATCH(LEFT(C502,255),'Reference Records'!J$19:J$56,0)),"")</f>
        <v/>
      </c>
    </row>
    <row r="503" spans="1:23" s="189" customFormat="1" ht="40.200000000000003" customHeight="1" x14ac:dyDescent="0.3">
      <c r="A503" s="678"/>
      <c r="B503" s="675"/>
      <c r="C503" s="667"/>
      <c r="D503" s="677"/>
      <c r="E503" s="677"/>
      <c r="F503" s="202"/>
      <c r="G503" s="669"/>
      <c r="H503" s="671"/>
      <c r="I503" s="673"/>
      <c r="J503" s="652"/>
      <c r="K503" s="667"/>
      <c r="L503" s="667"/>
      <c r="M503" s="652"/>
      <c r="N503" s="652"/>
      <c r="V503" s="189" t="str">
        <f t="array" ref="V503">IFERROR(IF(INDEX('Disaggregation Records'!$I$69:$I$152,MATCH(RIGHT(Q503,255),RIGHT('Disaggregation Records'!$D$69:$D$152,255),0))=0,"",INDEX('Disaggregation Records'!$I$69:$I$152,MATCH(RIGHT(Q503,255),RIGHT('Disaggregation Records'!$D$69:$D$152,255),0))),"")</f>
        <v/>
      </c>
    </row>
    <row r="504" spans="1:23" s="189" customFormat="1" ht="40.200000000000003" customHeight="1" x14ac:dyDescent="0.3">
      <c r="A504" s="678" t="str">
        <f t="shared" ref="A504" ca="1" si="2030">INDIRECT("'update Helper'!C"&amp;U504)</f>
        <v>a1V3p000004fwv2EAA</v>
      </c>
      <c r="B504" s="674">
        <v>10</v>
      </c>
      <c r="C504" s="666" t="str">
        <f>IFERROR(VLOOKUP(B504,'Outcome Indicators - Section C '!$A$9:$AF$70,32,FALSE),"")</f>
        <v/>
      </c>
      <c r="D504" s="676" t="str">
        <f t="shared" ref="D504" si="2031">R504</f>
        <v/>
      </c>
      <c r="E504" s="676" t="str">
        <f t="shared" ref="E504" si="2032">S504</f>
        <v/>
      </c>
      <c r="F504" s="194"/>
      <c r="G504" s="668" t="str">
        <f t="shared" ref="G504" ca="1" si="2033">IF(OR(INDIRECT("'update Helper'!E"&amp;U504)=0,F504&lt;&gt;0,F505&lt;&gt;0),IF(IFERROR((F504/F505),"")="","",(F504/F505)),INDIRECT("'update Helper'!E"&amp;U504)/100)</f>
        <v/>
      </c>
      <c r="H504" s="670"/>
      <c r="I504" s="672"/>
      <c r="J504" s="651"/>
      <c r="K504" s="666" t="str">
        <f t="shared" ref="K504" si="2034">W504</f>
        <v/>
      </c>
      <c r="L504" s="666" t="str">
        <f t="shared" ref="L504" si="2035">V504</f>
        <v/>
      </c>
      <c r="M504" s="651"/>
      <c r="N504" s="651"/>
      <c r="P504" s="189">
        <f t="shared" ref="P504" si="2036">IF(AND(EXACT(C504,C502),C502&lt;&gt;0),P502+1,0)</f>
        <v>54</v>
      </c>
      <c r="Q504" s="189" t="str">
        <f t="shared" ref="Q504" si="2037">IF(C504&lt;&gt;"",C504&amp;"-"&amp;P504,"")</f>
        <v/>
      </c>
      <c r="R504" s="189" t="str">
        <f t="array" ref="R504">IFERROR(IF(INDEX('Disaggregation Records'!$E$69:$E$152,MATCH(RIGHT(Q504,255),RIGHT('Disaggregation Records'!$D$69:$D$152,255),0))=0,"",INDEX('Disaggregation Records'!$E$69:$E$152,MATCH(RIGHT(Q504,255),RIGHT('Disaggregation Records'!$D$69:$D$152,255),0))),"")</f>
        <v/>
      </c>
      <c r="S504" s="189" t="str">
        <f t="array" ref="S504">IFERROR(IF(INDEX('Disaggregation Records'!$F$69:$F$152,MATCH(RIGHT(Q504,255),RIGHT('Disaggregation Records'!$D$69:$D$152,255),0))=0,"",INDEX('Disaggregation Records'!$F$69:$F$152,MATCH(RIGHT(Q504,255),RIGHT('Disaggregation Records'!$D$69:$D$152,255),0))),"")</f>
        <v/>
      </c>
      <c r="T504" s="189" t="str">
        <f t="array" ref="T504">IFERROR(IF(INDEX('Disaggregation Records'!$H$69:$H$152,MATCH(RIGHT(Q504,255),RIGHT('Disaggregation Records'!$D$69:$D$152,255),0))=0,"",INDEX('Disaggregation Records'!$H$69:$H$152,MATCH(RIGHT(Q504,255),RIGHT('Disaggregation Records'!$D$69:$D$152,255),0))),"")</f>
        <v/>
      </c>
      <c r="U504" s="189">
        <f t="shared" ref="U504" si="2038">U502+1</f>
        <v>973</v>
      </c>
      <c r="V504" s="189" t="str">
        <f t="array" ref="V504">IFERROR(IF(INDEX('Disaggregation Records'!$I$69:$I$152,MATCH(RIGHT(Q504,255),RIGHT('Disaggregation Records'!$D$69:$D$152,255),0))=0,"",INDEX('Disaggregation Records'!$I$69:$I$152,MATCH(RIGHT(Q504,255),RIGHT('Disaggregation Records'!$D$69:$D$152,255),0))),"")</f>
        <v/>
      </c>
      <c r="W504" s="189" t="str">
        <f>IFERROR(INDEX('Reference Records'!P$19:P$56,MATCH(LEFT(C504,255),'Reference Records'!J$19:J$56,0)),"")</f>
        <v/>
      </c>
    </row>
    <row r="505" spans="1:23" s="189" customFormat="1" ht="40.200000000000003" customHeight="1" x14ac:dyDescent="0.3">
      <c r="A505" s="678"/>
      <c r="B505" s="675"/>
      <c r="C505" s="667"/>
      <c r="D505" s="677"/>
      <c r="E505" s="677"/>
      <c r="F505" s="202"/>
      <c r="G505" s="669"/>
      <c r="H505" s="671"/>
      <c r="I505" s="673"/>
      <c r="J505" s="652"/>
      <c r="K505" s="667"/>
      <c r="L505" s="667"/>
      <c r="M505" s="652"/>
      <c r="N505" s="652"/>
      <c r="V505" s="189" t="str">
        <f t="array" ref="V505">IFERROR(IF(INDEX('Disaggregation Records'!$I$69:$I$152,MATCH(RIGHT(Q505,255),RIGHT('Disaggregation Records'!$D$69:$D$152,255),0))=0,"",INDEX('Disaggregation Records'!$I$69:$I$152,MATCH(RIGHT(Q505,255),RIGHT('Disaggregation Records'!$D$69:$D$152,255),0))),"")</f>
        <v/>
      </c>
    </row>
    <row r="506" spans="1:23" s="189" customFormat="1" ht="40.200000000000003" customHeight="1" x14ac:dyDescent="0.3">
      <c r="A506" s="678" t="str">
        <f t="shared" ref="A506" ca="1" si="2039">INDIRECT("'update Helper'!C"&amp;U506)</f>
        <v>a1V3p000004fwv3EAA</v>
      </c>
      <c r="B506" s="674">
        <v>10</v>
      </c>
      <c r="C506" s="666" t="str">
        <f>IFERROR(VLOOKUP(B506,'Outcome Indicators - Section C '!$A$9:$AF$70,32,FALSE),"")</f>
        <v/>
      </c>
      <c r="D506" s="676" t="str">
        <f t="shared" ref="D506" si="2040">R506</f>
        <v/>
      </c>
      <c r="E506" s="676" t="str">
        <f t="shared" ref="E506" si="2041">S506</f>
        <v/>
      </c>
      <c r="F506" s="194"/>
      <c r="G506" s="668" t="str">
        <f t="shared" ref="G506" ca="1" si="2042">IF(OR(INDIRECT("'update Helper'!E"&amp;U506)=0,F506&lt;&gt;0,F507&lt;&gt;0),IF(IFERROR((F506/F507),"")="","",(F506/F507)),INDIRECT("'update Helper'!E"&amp;U506)/100)</f>
        <v/>
      </c>
      <c r="H506" s="670"/>
      <c r="I506" s="672"/>
      <c r="J506" s="651"/>
      <c r="K506" s="666" t="str">
        <f t="shared" ref="K506" si="2043">W506</f>
        <v/>
      </c>
      <c r="L506" s="666" t="str">
        <f t="shared" ref="L506" si="2044">V506</f>
        <v/>
      </c>
      <c r="M506" s="651"/>
      <c r="N506" s="651"/>
      <c r="P506" s="189">
        <f t="shared" ref="P506" si="2045">IF(AND(EXACT(C506,C504),C504&lt;&gt;0),P504+1,0)</f>
        <v>55</v>
      </c>
      <c r="Q506" s="189" t="str">
        <f t="shared" ref="Q506" si="2046">IF(C506&lt;&gt;"",C506&amp;"-"&amp;P506,"")</f>
        <v/>
      </c>
      <c r="R506" s="189" t="str">
        <f t="array" ref="R506">IFERROR(IF(INDEX('Disaggregation Records'!$E$69:$E$152,MATCH(RIGHT(Q506,255),RIGHT('Disaggregation Records'!$D$69:$D$152,255),0))=0,"",INDEX('Disaggregation Records'!$E$69:$E$152,MATCH(RIGHT(Q506,255),RIGHT('Disaggregation Records'!$D$69:$D$152,255),0))),"")</f>
        <v/>
      </c>
      <c r="S506" s="189" t="str">
        <f t="array" ref="S506">IFERROR(IF(INDEX('Disaggregation Records'!$F$69:$F$152,MATCH(RIGHT(Q506,255),RIGHT('Disaggregation Records'!$D$69:$D$152,255),0))=0,"",INDEX('Disaggregation Records'!$F$69:$F$152,MATCH(RIGHT(Q506,255),RIGHT('Disaggregation Records'!$D$69:$D$152,255),0))),"")</f>
        <v/>
      </c>
      <c r="T506" s="189" t="str">
        <f t="array" ref="T506">IFERROR(IF(INDEX('Disaggregation Records'!$H$69:$H$152,MATCH(RIGHT(Q506,255),RIGHT('Disaggregation Records'!$D$69:$D$152,255),0))=0,"",INDEX('Disaggregation Records'!$H$69:$H$152,MATCH(RIGHT(Q506,255),RIGHT('Disaggregation Records'!$D$69:$D$152,255),0))),"")</f>
        <v/>
      </c>
      <c r="U506" s="189">
        <f t="shared" ref="U506" si="2047">U504+1</f>
        <v>974</v>
      </c>
      <c r="V506" s="189" t="str">
        <f t="array" ref="V506">IFERROR(IF(INDEX('Disaggregation Records'!$I$69:$I$152,MATCH(RIGHT(Q506,255),RIGHT('Disaggregation Records'!$D$69:$D$152,255),0))=0,"",INDEX('Disaggregation Records'!$I$69:$I$152,MATCH(RIGHT(Q506,255),RIGHT('Disaggregation Records'!$D$69:$D$152,255),0))),"")</f>
        <v/>
      </c>
      <c r="W506" s="189" t="str">
        <f>IFERROR(INDEX('Reference Records'!P$19:P$56,MATCH(LEFT(C506,255),'Reference Records'!J$19:J$56,0)),"")</f>
        <v/>
      </c>
    </row>
    <row r="507" spans="1:23" s="189" customFormat="1" ht="40.200000000000003" customHeight="1" x14ac:dyDescent="0.3">
      <c r="A507" s="678"/>
      <c r="B507" s="675"/>
      <c r="C507" s="667"/>
      <c r="D507" s="677"/>
      <c r="E507" s="677"/>
      <c r="F507" s="202"/>
      <c r="G507" s="669"/>
      <c r="H507" s="671"/>
      <c r="I507" s="673"/>
      <c r="J507" s="652"/>
      <c r="K507" s="667"/>
      <c r="L507" s="667"/>
      <c r="M507" s="652"/>
      <c r="N507" s="652"/>
      <c r="V507" s="189" t="str">
        <f t="array" ref="V507">IFERROR(IF(INDEX('Disaggregation Records'!$I$69:$I$152,MATCH(RIGHT(Q507,255),RIGHT('Disaggregation Records'!$D$69:$D$152,255),0))=0,"",INDEX('Disaggregation Records'!$I$69:$I$152,MATCH(RIGHT(Q507,255),RIGHT('Disaggregation Records'!$D$69:$D$152,255),0))),"")</f>
        <v/>
      </c>
    </row>
    <row r="508" spans="1:23" s="189" customFormat="1" ht="40.200000000000003" customHeight="1" x14ac:dyDescent="0.3">
      <c r="A508" s="678" t="str">
        <f t="shared" ref="A508" ca="1" si="2048">INDIRECT("'update Helper'!C"&amp;U508)</f>
        <v>a1V3p000004fwv4EAA</v>
      </c>
      <c r="B508" s="674">
        <v>10</v>
      </c>
      <c r="C508" s="666" t="str">
        <f>IFERROR(VLOOKUP(B508,'Outcome Indicators - Section C '!$A$9:$AF$70,32,FALSE),"")</f>
        <v/>
      </c>
      <c r="D508" s="676" t="str">
        <f t="shared" ref="D508" si="2049">R508</f>
        <v/>
      </c>
      <c r="E508" s="676" t="str">
        <f t="shared" ref="E508" si="2050">S508</f>
        <v/>
      </c>
      <c r="F508" s="194"/>
      <c r="G508" s="668" t="str">
        <f t="shared" ref="G508" ca="1" si="2051">IF(OR(INDIRECT("'update Helper'!E"&amp;U508)=0,F508&lt;&gt;0,F509&lt;&gt;0),IF(IFERROR((F508/F509),"")="","",(F508/F509)),INDIRECT("'update Helper'!E"&amp;U508)/100)</f>
        <v/>
      </c>
      <c r="H508" s="670"/>
      <c r="I508" s="672"/>
      <c r="J508" s="651"/>
      <c r="K508" s="666" t="str">
        <f t="shared" ref="K508" si="2052">W508</f>
        <v/>
      </c>
      <c r="L508" s="666" t="str">
        <f t="shared" ref="L508" si="2053">V508</f>
        <v/>
      </c>
      <c r="M508" s="651"/>
      <c r="N508" s="651"/>
      <c r="P508" s="189">
        <f t="shared" ref="P508" si="2054">IF(AND(EXACT(C508,C506),C506&lt;&gt;0),P506+1,0)</f>
        <v>56</v>
      </c>
      <c r="Q508" s="189" t="str">
        <f t="shared" ref="Q508" si="2055">IF(C508&lt;&gt;"",C508&amp;"-"&amp;P508,"")</f>
        <v/>
      </c>
      <c r="R508" s="189" t="str">
        <f t="array" ref="R508">IFERROR(IF(INDEX('Disaggregation Records'!$E$69:$E$152,MATCH(RIGHT(Q508,255),RIGHT('Disaggregation Records'!$D$69:$D$152,255),0))=0,"",INDEX('Disaggregation Records'!$E$69:$E$152,MATCH(RIGHT(Q508,255),RIGHT('Disaggregation Records'!$D$69:$D$152,255),0))),"")</f>
        <v/>
      </c>
      <c r="S508" s="189" t="str">
        <f t="array" ref="S508">IFERROR(IF(INDEX('Disaggregation Records'!$F$69:$F$152,MATCH(RIGHT(Q508,255),RIGHT('Disaggregation Records'!$D$69:$D$152,255),0))=0,"",INDEX('Disaggregation Records'!$F$69:$F$152,MATCH(RIGHT(Q508,255),RIGHT('Disaggregation Records'!$D$69:$D$152,255),0))),"")</f>
        <v/>
      </c>
      <c r="T508" s="189" t="str">
        <f t="array" ref="T508">IFERROR(IF(INDEX('Disaggregation Records'!$H$69:$H$152,MATCH(RIGHT(Q508,255),RIGHT('Disaggregation Records'!$D$69:$D$152,255),0))=0,"",INDEX('Disaggregation Records'!$H$69:$H$152,MATCH(RIGHT(Q508,255),RIGHT('Disaggregation Records'!$D$69:$D$152,255),0))),"")</f>
        <v/>
      </c>
      <c r="U508" s="189">
        <f t="shared" ref="U508" si="2056">U506+1</f>
        <v>975</v>
      </c>
      <c r="V508" s="189" t="str">
        <f t="array" ref="V508">IFERROR(IF(INDEX('Disaggregation Records'!$I$69:$I$152,MATCH(RIGHT(Q508,255),RIGHT('Disaggregation Records'!$D$69:$D$152,255),0))=0,"",INDEX('Disaggregation Records'!$I$69:$I$152,MATCH(RIGHT(Q508,255),RIGHT('Disaggregation Records'!$D$69:$D$152,255),0))),"")</f>
        <v/>
      </c>
      <c r="W508" s="189" t="str">
        <f>IFERROR(INDEX('Reference Records'!P$19:P$56,MATCH(LEFT(C508,255),'Reference Records'!J$19:J$56,0)),"")</f>
        <v/>
      </c>
    </row>
    <row r="509" spans="1:23" s="189" customFormat="1" ht="40.200000000000003" customHeight="1" x14ac:dyDescent="0.3">
      <c r="A509" s="678"/>
      <c r="B509" s="675"/>
      <c r="C509" s="667"/>
      <c r="D509" s="677"/>
      <c r="E509" s="677"/>
      <c r="F509" s="202"/>
      <c r="G509" s="669"/>
      <c r="H509" s="671"/>
      <c r="I509" s="673"/>
      <c r="J509" s="652"/>
      <c r="K509" s="667"/>
      <c r="L509" s="667"/>
      <c r="M509" s="652"/>
      <c r="N509" s="652"/>
      <c r="V509" s="189" t="str">
        <f t="array" ref="V509">IFERROR(IF(INDEX('Disaggregation Records'!$I$69:$I$152,MATCH(RIGHT(Q509,255),RIGHT('Disaggregation Records'!$D$69:$D$152,255),0))=0,"",INDEX('Disaggregation Records'!$I$69:$I$152,MATCH(RIGHT(Q509,255),RIGHT('Disaggregation Records'!$D$69:$D$152,255),0))),"")</f>
        <v/>
      </c>
    </row>
    <row r="510" spans="1:23" s="189" customFormat="1" ht="40.200000000000003" customHeight="1" x14ac:dyDescent="0.3">
      <c r="A510" s="678" t="str">
        <f t="shared" ref="A510" ca="1" si="2057">INDIRECT("'update Helper'!C"&amp;U510)</f>
        <v>a1V3p000004fwv5EAA</v>
      </c>
      <c r="B510" s="674">
        <v>10</v>
      </c>
      <c r="C510" s="666" t="str">
        <f>IFERROR(VLOOKUP(B510,'Outcome Indicators - Section C '!$A$9:$AF$70,32,FALSE),"")</f>
        <v/>
      </c>
      <c r="D510" s="676" t="str">
        <f t="shared" ref="D510" si="2058">R510</f>
        <v/>
      </c>
      <c r="E510" s="676" t="str">
        <f t="shared" ref="E510" si="2059">S510</f>
        <v/>
      </c>
      <c r="F510" s="194"/>
      <c r="G510" s="668" t="str">
        <f t="shared" ref="G510" ca="1" si="2060">IF(OR(INDIRECT("'update Helper'!E"&amp;U510)=0,F510&lt;&gt;0,F511&lt;&gt;0),IF(IFERROR((F510/F511),"")="","",(F510/F511)),INDIRECT("'update Helper'!E"&amp;U510)/100)</f>
        <v/>
      </c>
      <c r="H510" s="670"/>
      <c r="I510" s="672"/>
      <c r="J510" s="651"/>
      <c r="K510" s="666" t="str">
        <f t="shared" ref="K510" si="2061">W510</f>
        <v/>
      </c>
      <c r="L510" s="666" t="str">
        <f t="shared" ref="L510" si="2062">V510</f>
        <v/>
      </c>
      <c r="M510" s="651"/>
      <c r="N510" s="651"/>
      <c r="P510" s="189">
        <f t="shared" ref="P510" si="2063">IF(AND(EXACT(C510,C508),C508&lt;&gt;0),P508+1,0)</f>
        <v>57</v>
      </c>
      <c r="Q510" s="189" t="str">
        <f t="shared" ref="Q510" si="2064">IF(C510&lt;&gt;"",C510&amp;"-"&amp;P510,"")</f>
        <v/>
      </c>
      <c r="R510" s="189" t="str">
        <f t="array" ref="R510">IFERROR(IF(INDEX('Disaggregation Records'!$E$69:$E$152,MATCH(RIGHT(Q510,255),RIGHT('Disaggregation Records'!$D$69:$D$152,255),0))=0,"",INDEX('Disaggregation Records'!$E$69:$E$152,MATCH(RIGHT(Q510,255),RIGHT('Disaggregation Records'!$D$69:$D$152,255),0))),"")</f>
        <v/>
      </c>
      <c r="S510" s="189" t="str">
        <f t="array" ref="S510">IFERROR(IF(INDEX('Disaggregation Records'!$F$69:$F$152,MATCH(RIGHT(Q510,255),RIGHT('Disaggregation Records'!$D$69:$D$152,255),0))=0,"",INDEX('Disaggregation Records'!$F$69:$F$152,MATCH(RIGHT(Q510,255),RIGHT('Disaggregation Records'!$D$69:$D$152,255),0))),"")</f>
        <v/>
      </c>
      <c r="T510" s="189" t="str">
        <f t="array" ref="T510">IFERROR(IF(INDEX('Disaggregation Records'!$H$69:$H$152,MATCH(RIGHT(Q510,255),RIGHT('Disaggregation Records'!$D$69:$D$152,255),0))=0,"",INDEX('Disaggregation Records'!$H$69:$H$152,MATCH(RIGHT(Q510,255),RIGHT('Disaggregation Records'!$D$69:$D$152,255),0))),"")</f>
        <v/>
      </c>
      <c r="U510" s="189">
        <f t="shared" ref="U510" si="2065">U508+1</f>
        <v>976</v>
      </c>
      <c r="V510" s="189" t="str">
        <f t="array" ref="V510">IFERROR(IF(INDEX('Disaggregation Records'!$I$69:$I$152,MATCH(RIGHT(Q510,255),RIGHT('Disaggregation Records'!$D$69:$D$152,255),0))=0,"",INDEX('Disaggregation Records'!$I$69:$I$152,MATCH(RIGHT(Q510,255),RIGHT('Disaggregation Records'!$D$69:$D$152,255),0))),"")</f>
        <v/>
      </c>
      <c r="W510" s="189" t="str">
        <f>IFERROR(INDEX('Reference Records'!P$19:P$56,MATCH(LEFT(C510,255),'Reference Records'!J$19:J$56,0)),"")</f>
        <v/>
      </c>
    </row>
    <row r="511" spans="1:23" s="189" customFormat="1" ht="40.200000000000003" customHeight="1" x14ac:dyDescent="0.3">
      <c r="A511" s="678"/>
      <c r="B511" s="675"/>
      <c r="C511" s="667"/>
      <c r="D511" s="677"/>
      <c r="E511" s="677"/>
      <c r="F511" s="202"/>
      <c r="G511" s="669"/>
      <c r="H511" s="671"/>
      <c r="I511" s="673"/>
      <c r="J511" s="652"/>
      <c r="K511" s="667"/>
      <c r="L511" s="667"/>
      <c r="M511" s="652"/>
      <c r="N511" s="652"/>
      <c r="V511" s="189" t="str">
        <f t="array" ref="V511">IFERROR(IF(INDEX('Disaggregation Records'!$I$69:$I$152,MATCH(RIGHT(Q511,255),RIGHT('Disaggregation Records'!$D$69:$D$152,255),0))=0,"",INDEX('Disaggregation Records'!$I$69:$I$152,MATCH(RIGHT(Q511,255),RIGHT('Disaggregation Records'!$D$69:$D$152,255),0))),"")</f>
        <v/>
      </c>
    </row>
    <row r="512" spans="1:23" s="189" customFormat="1" ht="40.200000000000003" customHeight="1" x14ac:dyDescent="0.3">
      <c r="A512" s="678" t="str">
        <f t="shared" ref="A512" ca="1" si="2066">INDIRECT("'update Helper'!C"&amp;U512)</f>
        <v>a1V3p000004fwv6EAA</v>
      </c>
      <c r="B512" s="674">
        <v>10</v>
      </c>
      <c r="C512" s="666" t="str">
        <f>IFERROR(VLOOKUP(B512,'Outcome Indicators - Section C '!$A$9:$AF$70,32,FALSE),"")</f>
        <v/>
      </c>
      <c r="D512" s="676" t="str">
        <f t="shared" ref="D512" si="2067">R512</f>
        <v/>
      </c>
      <c r="E512" s="676" t="str">
        <f t="shared" ref="E512" si="2068">S512</f>
        <v/>
      </c>
      <c r="F512" s="194"/>
      <c r="G512" s="668" t="str">
        <f t="shared" ref="G512" ca="1" si="2069">IF(OR(INDIRECT("'update Helper'!E"&amp;U512)=0,F512&lt;&gt;0,F513&lt;&gt;0),IF(IFERROR((F512/F513),"")="","",(F512/F513)),INDIRECT("'update Helper'!E"&amp;U512)/100)</f>
        <v/>
      </c>
      <c r="H512" s="670"/>
      <c r="I512" s="672"/>
      <c r="J512" s="651"/>
      <c r="K512" s="666" t="str">
        <f t="shared" ref="K512" si="2070">W512</f>
        <v/>
      </c>
      <c r="L512" s="666" t="str">
        <f t="shared" ref="L512" si="2071">V512</f>
        <v/>
      </c>
      <c r="M512" s="651"/>
      <c r="N512" s="651"/>
      <c r="P512" s="189">
        <f t="shared" ref="P512" si="2072">IF(AND(EXACT(C512,C510),C510&lt;&gt;0),P510+1,0)</f>
        <v>58</v>
      </c>
      <c r="Q512" s="189" t="str">
        <f t="shared" ref="Q512" si="2073">IF(C512&lt;&gt;"",C512&amp;"-"&amp;P512,"")</f>
        <v/>
      </c>
      <c r="R512" s="189" t="str">
        <f t="array" ref="R512">IFERROR(IF(INDEX('Disaggregation Records'!$E$69:$E$152,MATCH(RIGHT(Q512,255),RIGHT('Disaggregation Records'!$D$69:$D$152,255),0))=0,"",INDEX('Disaggregation Records'!$E$69:$E$152,MATCH(RIGHT(Q512,255),RIGHT('Disaggregation Records'!$D$69:$D$152,255),0))),"")</f>
        <v/>
      </c>
      <c r="S512" s="189" t="str">
        <f t="array" ref="S512">IFERROR(IF(INDEX('Disaggregation Records'!$F$69:$F$152,MATCH(RIGHT(Q512,255),RIGHT('Disaggregation Records'!$D$69:$D$152,255),0))=0,"",INDEX('Disaggregation Records'!$F$69:$F$152,MATCH(RIGHT(Q512,255),RIGHT('Disaggregation Records'!$D$69:$D$152,255),0))),"")</f>
        <v/>
      </c>
      <c r="T512" s="189" t="str">
        <f t="array" ref="T512">IFERROR(IF(INDEX('Disaggregation Records'!$H$69:$H$152,MATCH(RIGHT(Q512,255),RIGHT('Disaggregation Records'!$D$69:$D$152,255),0))=0,"",INDEX('Disaggregation Records'!$H$69:$H$152,MATCH(RIGHT(Q512,255),RIGHT('Disaggregation Records'!$D$69:$D$152,255),0))),"")</f>
        <v/>
      </c>
      <c r="U512" s="189">
        <f t="shared" ref="U512" si="2074">U510+1</f>
        <v>977</v>
      </c>
      <c r="V512" s="189" t="str">
        <f t="array" ref="V512">IFERROR(IF(INDEX('Disaggregation Records'!$I$69:$I$152,MATCH(RIGHT(Q512,255),RIGHT('Disaggregation Records'!$D$69:$D$152,255),0))=0,"",INDEX('Disaggregation Records'!$I$69:$I$152,MATCH(RIGHT(Q512,255),RIGHT('Disaggregation Records'!$D$69:$D$152,255),0))),"")</f>
        <v/>
      </c>
      <c r="W512" s="189" t="str">
        <f>IFERROR(INDEX('Reference Records'!P$19:P$56,MATCH(LEFT(C512,255),'Reference Records'!J$19:J$56,0)),"")</f>
        <v/>
      </c>
    </row>
    <row r="513" spans="1:23" s="189" customFormat="1" ht="40.200000000000003" customHeight="1" x14ac:dyDescent="0.3">
      <c r="A513" s="678"/>
      <c r="B513" s="675"/>
      <c r="C513" s="667"/>
      <c r="D513" s="677"/>
      <c r="E513" s="677"/>
      <c r="F513" s="202"/>
      <c r="G513" s="669"/>
      <c r="H513" s="671"/>
      <c r="I513" s="673"/>
      <c r="J513" s="652"/>
      <c r="K513" s="667"/>
      <c r="L513" s="667"/>
      <c r="M513" s="652"/>
      <c r="N513" s="652"/>
      <c r="V513" s="189" t="str">
        <f t="array" ref="V513">IFERROR(IF(INDEX('Disaggregation Records'!$I$69:$I$152,MATCH(RIGHT(Q513,255),RIGHT('Disaggregation Records'!$D$69:$D$152,255),0))=0,"",INDEX('Disaggregation Records'!$I$69:$I$152,MATCH(RIGHT(Q513,255),RIGHT('Disaggregation Records'!$D$69:$D$152,255),0))),"")</f>
        <v/>
      </c>
    </row>
    <row r="514" spans="1:23" s="189" customFormat="1" ht="40.200000000000003" customHeight="1" x14ac:dyDescent="0.3">
      <c r="A514" s="678" t="str">
        <f t="shared" ref="A514" ca="1" si="2075">INDIRECT("'update Helper'!C"&amp;U514)</f>
        <v>a1V3p000004fwv7EAA</v>
      </c>
      <c r="B514" s="674">
        <v>10</v>
      </c>
      <c r="C514" s="666" t="str">
        <f>IFERROR(VLOOKUP(B514,'Outcome Indicators - Section C '!$A$9:$AF$70,32,FALSE),"")</f>
        <v/>
      </c>
      <c r="D514" s="676" t="str">
        <f t="shared" ref="D514" si="2076">R514</f>
        <v/>
      </c>
      <c r="E514" s="676" t="str">
        <f t="shared" ref="E514" si="2077">S514</f>
        <v/>
      </c>
      <c r="F514" s="194"/>
      <c r="G514" s="668" t="str">
        <f t="shared" ref="G514" ca="1" si="2078">IF(OR(INDIRECT("'update Helper'!E"&amp;U514)=0,F514&lt;&gt;0,F515&lt;&gt;0),IF(IFERROR((F514/F515),"")="","",(F514/F515)),INDIRECT("'update Helper'!E"&amp;U514)/100)</f>
        <v/>
      </c>
      <c r="H514" s="670"/>
      <c r="I514" s="672"/>
      <c r="J514" s="651"/>
      <c r="K514" s="666" t="str">
        <f t="shared" ref="K514" si="2079">W514</f>
        <v/>
      </c>
      <c r="L514" s="666" t="str">
        <f t="shared" ref="L514" si="2080">V514</f>
        <v/>
      </c>
      <c r="M514" s="651"/>
      <c r="N514" s="651"/>
      <c r="P514" s="189">
        <f t="shared" ref="P514" si="2081">IF(AND(EXACT(C514,C512),C512&lt;&gt;0),P512+1,0)</f>
        <v>59</v>
      </c>
      <c r="Q514" s="189" t="str">
        <f t="shared" ref="Q514" si="2082">IF(C514&lt;&gt;"",C514&amp;"-"&amp;P514,"")</f>
        <v/>
      </c>
      <c r="R514" s="189" t="str">
        <f t="array" ref="R514">IFERROR(IF(INDEX('Disaggregation Records'!$E$69:$E$152,MATCH(RIGHT(Q514,255),RIGHT('Disaggregation Records'!$D$69:$D$152,255),0))=0,"",INDEX('Disaggregation Records'!$E$69:$E$152,MATCH(RIGHT(Q514,255),RIGHT('Disaggregation Records'!$D$69:$D$152,255),0))),"")</f>
        <v/>
      </c>
      <c r="S514" s="189" t="str">
        <f t="array" ref="S514">IFERROR(IF(INDEX('Disaggregation Records'!$F$69:$F$152,MATCH(RIGHT(Q514,255),RIGHT('Disaggregation Records'!$D$69:$D$152,255),0))=0,"",INDEX('Disaggregation Records'!$F$69:$F$152,MATCH(RIGHT(Q514,255),RIGHT('Disaggregation Records'!$D$69:$D$152,255),0))),"")</f>
        <v/>
      </c>
      <c r="T514" s="189" t="str">
        <f t="array" ref="T514">IFERROR(IF(INDEX('Disaggregation Records'!$H$69:$H$152,MATCH(RIGHT(Q514,255),RIGHT('Disaggregation Records'!$D$69:$D$152,255),0))=0,"",INDEX('Disaggregation Records'!$H$69:$H$152,MATCH(RIGHT(Q514,255),RIGHT('Disaggregation Records'!$D$69:$D$152,255),0))),"")</f>
        <v/>
      </c>
      <c r="U514" s="189">
        <f t="shared" ref="U514" si="2083">U512+1</f>
        <v>978</v>
      </c>
      <c r="V514" s="189" t="str">
        <f t="array" ref="V514">IFERROR(IF(INDEX('Disaggregation Records'!$I$69:$I$152,MATCH(RIGHT(Q514,255),RIGHT('Disaggregation Records'!$D$69:$D$152,255),0))=0,"",INDEX('Disaggregation Records'!$I$69:$I$152,MATCH(RIGHT(Q514,255),RIGHT('Disaggregation Records'!$D$69:$D$152,255),0))),"")</f>
        <v/>
      </c>
      <c r="W514" s="189" t="str">
        <f>IFERROR(INDEX('Reference Records'!P$19:P$56,MATCH(LEFT(C514,255),'Reference Records'!J$19:J$56,0)),"")</f>
        <v/>
      </c>
    </row>
    <row r="515" spans="1:23" s="189" customFormat="1" ht="40.200000000000003" customHeight="1" x14ac:dyDescent="0.3">
      <c r="A515" s="678"/>
      <c r="B515" s="675"/>
      <c r="C515" s="667"/>
      <c r="D515" s="677"/>
      <c r="E515" s="677"/>
      <c r="F515" s="202"/>
      <c r="G515" s="669"/>
      <c r="H515" s="671"/>
      <c r="I515" s="673"/>
      <c r="J515" s="652"/>
      <c r="K515" s="667"/>
      <c r="L515" s="667"/>
      <c r="M515" s="652"/>
      <c r="N515" s="652"/>
      <c r="V515" s="189" t="str">
        <f t="array" ref="V515">IFERROR(IF(INDEX('Disaggregation Records'!$I$69:$I$152,MATCH(RIGHT(Q515,255),RIGHT('Disaggregation Records'!$D$69:$D$152,255),0))=0,"",INDEX('Disaggregation Records'!$I$69:$I$152,MATCH(RIGHT(Q515,255),RIGHT('Disaggregation Records'!$D$69:$D$152,255),0))),"")</f>
        <v/>
      </c>
    </row>
    <row r="516" spans="1:23" s="189" customFormat="1" ht="40.200000000000003" customHeight="1" x14ac:dyDescent="0.3">
      <c r="A516" s="678" t="str">
        <f t="shared" ref="A516" ca="1" si="2084">INDIRECT("'update Helper'!C"&amp;U516)</f>
        <v>a1V3p000004fwv8EAA</v>
      </c>
      <c r="B516" s="674">
        <v>11</v>
      </c>
      <c r="C516" s="666" t="str">
        <f>IFERROR(VLOOKUP(B516,'Outcome Indicators - Section C '!$A$9:$AF$70,32,FALSE),"")</f>
        <v/>
      </c>
      <c r="D516" s="676" t="str">
        <f t="shared" ref="D516" si="2085">R516</f>
        <v/>
      </c>
      <c r="E516" s="676" t="str">
        <f t="shared" ref="E516" si="2086">S516</f>
        <v/>
      </c>
      <c r="F516" s="194"/>
      <c r="G516" s="668" t="str">
        <f t="shared" ref="G516" ca="1" si="2087">IF(OR(INDIRECT("'update Helper'!E"&amp;U516)=0,F516&lt;&gt;0,F517&lt;&gt;0),IF(IFERROR((F516/F517),"")="","",(F516/F517)),INDIRECT("'update Helper'!E"&amp;U516)/100)</f>
        <v/>
      </c>
      <c r="H516" s="670"/>
      <c r="I516" s="672"/>
      <c r="J516" s="651"/>
      <c r="K516" s="666" t="str">
        <f t="shared" ref="K516" si="2088">W516</f>
        <v/>
      </c>
      <c r="L516" s="666" t="str">
        <f t="shared" ref="L516" si="2089">V516</f>
        <v/>
      </c>
      <c r="M516" s="651"/>
      <c r="N516" s="651"/>
      <c r="P516" s="189">
        <f t="shared" ref="P516" si="2090">IF(AND(EXACT(C516,C514),C514&lt;&gt;0),P514+1,0)</f>
        <v>60</v>
      </c>
      <c r="Q516" s="189" t="str">
        <f t="shared" ref="Q516" si="2091">IF(C516&lt;&gt;"",C516&amp;"-"&amp;P516,"")</f>
        <v/>
      </c>
      <c r="R516" s="189" t="str">
        <f t="array" ref="R516">IFERROR(IF(INDEX('Disaggregation Records'!$E$69:$E$152,MATCH(RIGHT(Q516,255),RIGHT('Disaggregation Records'!$D$69:$D$152,255),0))=0,"",INDEX('Disaggregation Records'!$E$69:$E$152,MATCH(RIGHT(Q516,255),RIGHT('Disaggregation Records'!$D$69:$D$152,255),0))),"")</f>
        <v/>
      </c>
      <c r="S516" s="189" t="str">
        <f t="array" ref="S516">IFERROR(IF(INDEX('Disaggregation Records'!$F$69:$F$152,MATCH(RIGHT(Q516,255),RIGHT('Disaggregation Records'!$D$69:$D$152,255),0))=0,"",INDEX('Disaggregation Records'!$F$69:$F$152,MATCH(RIGHT(Q516,255),RIGHT('Disaggregation Records'!$D$69:$D$152,255),0))),"")</f>
        <v/>
      </c>
      <c r="T516" s="189" t="str">
        <f t="array" ref="T516">IFERROR(IF(INDEX('Disaggregation Records'!$H$69:$H$152,MATCH(RIGHT(Q516,255),RIGHT('Disaggregation Records'!$D$69:$D$152,255),0))=0,"",INDEX('Disaggregation Records'!$H$69:$H$152,MATCH(RIGHT(Q516,255),RIGHT('Disaggregation Records'!$D$69:$D$152,255),0))),"")</f>
        <v/>
      </c>
      <c r="U516" s="189">
        <f t="shared" ref="U516" si="2092">U514+1</f>
        <v>979</v>
      </c>
      <c r="V516" s="189" t="str">
        <f t="array" ref="V516">IFERROR(IF(INDEX('Disaggregation Records'!$I$69:$I$152,MATCH(RIGHT(Q516,255),RIGHT('Disaggregation Records'!$D$69:$D$152,255),0))=0,"",INDEX('Disaggregation Records'!$I$69:$I$152,MATCH(RIGHT(Q516,255),RIGHT('Disaggregation Records'!$D$69:$D$152,255),0))),"")</f>
        <v/>
      </c>
      <c r="W516" s="189" t="str">
        <f>IFERROR(INDEX('Reference Records'!P$19:P$56,MATCH(LEFT(C516,255),'Reference Records'!J$19:J$56,0)),"")</f>
        <v/>
      </c>
    </row>
    <row r="517" spans="1:23" s="189" customFormat="1" ht="40.200000000000003" customHeight="1" x14ac:dyDescent="0.3">
      <c r="A517" s="678"/>
      <c r="B517" s="675"/>
      <c r="C517" s="667"/>
      <c r="D517" s="677"/>
      <c r="E517" s="677"/>
      <c r="F517" s="202"/>
      <c r="G517" s="669"/>
      <c r="H517" s="671"/>
      <c r="I517" s="673"/>
      <c r="J517" s="652"/>
      <c r="K517" s="667"/>
      <c r="L517" s="667"/>
      <c r="M517" s="652"/>
      <c r="N517" s="652"/>
      <c r="V517" s="189" t="str">
        <f t="array" ref="V517">IFERROR(IF(INDEX('Disaggregation Records'!$I$69:$I$152,MATCH(RIGHT(Q517,255),RIGHT('Disaggregation Records'!$D$69:$D$152,255),0))=0,"",INDEX('Disaggregation Records'!$I$69:$I$152,MATCH(RIGHT(Q517,255),RIGHT('Disaggregation Records'!$D$69:$D$152,255),0))),"")</f>
        <v/>
      </c>
    </row>
    <row r="518" spans="1:23" s="189" customFormat="1" ht="40.200000000000003" customHeight="1" x14ac:dyDescent="0.3">
      <c r="A518" s="678" t="str">
        <f t="shared" ref="A518" ca="1" si="2093">INDIRECT("'update Helper'!C"&amp;U518)</f>
        <v>a1V3p000004fwv9EAA</v>
      </c>
      <c r="B518" s="674">
        <v>11</v>
      </c>
      <c r="C518" s="666" t="str">
        <f>IFERROR(VLOOKUP(B518,'Outcome Indicators - Section C '!$A$9:$AF$70,32,FALSE),"")</f>
        <v/>
      </c>
      <c r="D518" s="676" t="str">
        <f t="shared" ref="D518" si="2094">R518</f>
        <v/>
      </c>
      <c r="E518" s="676" t="str">
        <f t="shared" ref="E518" si="2095">S518</f>
        <v/>
      </c>
      <c r="F518" s="194"/>
      <c r="G518" s="668" t="str">
        <f t="shared" ref="G518" ca="1" si="2096">IF(OR(INDIRECT("'update Helper'!E"&amp;U518)=0,F518&lt;&gt;0,F519&lt;&gt;0),IF(IFERROR((F518/F519),"")="","",(F518/F519)),INDIRECT("'update Helper'!E"&amp;U518)/100)</f>
        <v/>
      </c>
      <c r="H518" s="670"/>
      <c r="I518" s="672"/>
      <c r="J518" s="651"/>
      <c r="K518" s="666" t="str">
        <f t="shared" ref="K518" si="2097">W518</f>
        <v/>
      </c>
      <c r="L518" s="666" t="str">
        <f t="shared" ref="L518" si="2098">V518</f>
        <v/>
      </c>
      <c r="M518" s="651"/>
      <c r="N518" s="651"/>
      <c r="P518" s="189">
        <f t="shared" ref="P518" si="2099">IF(AND(EXACT(C518,C516),C516&lt;&gt;0),P516+1,0)</f>
        <v>61</v>
      </c>
      <c r="Q518" s="189" t="str">
        <f t="shared" ref="Q518" si="2100">IF(C518&lt;&gt;"",C518&amp;"-"&amp;P518,"")</f>
        <v/>
      </c>
      <c r="R518" s="189" t="str">
        <f t="array" ref="R518">IFERROR(IF(INDEX('Disaggregation Records'!$E$69:$E$152,MATCH(RIGHT(Q518,255),RIGHT('Disaggregation Records'!$D$69:$D$152,255),0))=0,"",INDEX('Disaggregation Records'!$E$69:$E$152,MATCH(RIGHT(Q518,255),RIGHT('Disaggregation Records'!$D$69:$D$152,255),0))),"")</f>
        <v/>
      </c>
      <c r="S518" s="189" t="str">
        <f t="array" ref="S518">IFERROR(IF(INDEX('Disaggregation Records'!$F$69:$F$152,MATCH(RIGHT(Q518,255),RIGHT('Disaggregation Records'!$D$69:$D$152,255),0))=0,"",INDEX('Disaggregation Records'!$F$69:$F$152,MATCH(RIGHT(Q518,255),RIGHT('Disaggregation Records'!$D$69:$D$152,255),0))),"")</f>
        <v/>
      </c>
      <c r="T518" s="189" t="str">
        <f t="array" ref="T518">IFERROR(IF(INDEX('Disaggregation Records'!$H$69:$H$152,MATCH(RIGHT(Q518,255),RIGHT('Disaggregation Records'!$D$69:$D$152,255),0))=0,"",INDEX('Disaggregation Records'!$H$69:$H$152,MATCH(RIGHT(Q518,255),RIGHT('Disaggregation Records'!$D$69:$D$152,255),0))),"")</f>
        <v/>
      </c>
      <c r="U518" s="189">
        <f t="shared" ref="U518" si="2101">U516+1</f>
        <v>980</v>
      </c>
      <c r="V518" s="189" t="str">
        <f t="array" ref="V518">IFERROR(IF(INDEX('Disaggregation Records'!$I$69:$I$152,MATCH(RIGHT(Q518,255),RIGHT('Disaggregation Records'!$D$69:$D$152,255),0))=0,"",INDEX('Disaggregation Records'!$I$69:$I$152,MATCH(RIGHT(Q518,255),RIGHT('Disaggregation Records'!$D$69:$D$152,255),0))),"")</f>
        <v/>
      </c>
      <c r="W518" s="189" t="str">
        <f>IFERROR(INDEX('Reference Records'!P$19:P$56,MATCH(LEFT(C518,255),'Reference Records'!J$19:J$56,0)),"")</f>
        <v/>
      </c>
    </row>
    <row r="519" spans="1:23" s="189" customFormat="1" ht="40.200000000000003" customHeight="1" x14ac:dyDescent="0.3">
      <c r="A519" s="678"/>
      <c r="B519" s="675"/>
      <c r="C519" s="667"/>
      <c r="D519" s="677"/>
      <c r="E519" s="677"/>
      <c r="F519" s="202"/>
      <c r="G519" s="669"/>
      <c r="H519" s="671"/>
      <c r="I519" s="673"/>
      <c r="J519" s="652"/>
      <c r="K519" s="667"/>
      <c r="L519" s="667"/>
      <c r="M519" s="652"/>
      <c r="N519" s="652"/>
      <c r="V519" s="189" t="str">
        <f t="array" ref="V519">IFERROR(IF(INDEX('Disaggregation Records'!$I$69:$I$152,MATCH(RIGHT(Q519,255),RIGHT('Disaggregation Records'!$D$69:$D$152,255),0))=0,"",INDEX('Disaggregation Records'!$I$69:$I$152,MATCH(RIGHT(Q519,255),RIGHT('Disaggregation Records'!$D$69:$D$152,255),0))),"")</f>
        <v/>
      </c>
    </row>
    <row r="520" spans="1:23" s="189" customFormat="1" ht="40.200000000000003" customHeight="1" x14ac:dyDescent="0.3">
      <c r="A520" s="678" t="str">
        <f t="shared" ref="A520" ca="1" si="2102">INDIRECT("'update Helper'!C"&amp;U520)</f>
        <v>a1V3p000004fwvAEAQ</v>
      </c>
      <c r="B520" s="674">
        <v>11</v>
      </c>
      <c r="C520" s="666" t="str">
        <f>IFERROR(VLOOKUP(B520,'Outcome Indicators - Section C '!$A$9:$AF$70,32,FALSE),"")</f>
        <v/>
      </c>
      <c r="D520" s="676" t="str">
        <f t="shared" ref="D520" si="2103">R520</f>
        <v/>
      </c>
      <c r="E520" s="676" t="str">
        <f t="shared" ref="E520" si="2104">S520</f>
        <v/>
      </c>
      <c r="F520" s="194"/>
      <c r="G520" s="668" t="str">
        <f t="shared" ref="G520" ca="1" si="2105">IF(OR(INDIRECT("'update Helper'!E"&amp;U520)=0,F520&lt;&gt;0,F521&lt;&gt;0),IF(IFERROR((F520/F521),"")="","",(F520/F521)),INDIRECT("'update Helper'!E"&amp;U520)/100)</f>
        <v/>
      </c>
      <c r="H520" s="670"/>
      <c r="I520" s="672"/>
      <c r="J520" s="651"/>
      <c r="K520" s="666" t="str">
        <f t="shared" ref="K520" si="2106">W520</f>
        <v/>
      </c>
      <c r="L520" s="666" t="str">
        <f t="shared" ref="L520" si="2107">V520</f>
        <v/>
      </c>
      <c r="M520" s="651"/>
      <c r="N520" s="651"/>
      <c r="P520" s="189">
        <f t="shared" ref="P520" si="2108">IF(AND(EXACT(C520,C518),C518&lt;&gt;0),P518+1,0)</f>
        <v>62</v>
      </c>
      <c r="Q520" s="189" t="str">
        <f t="shared" ref="Q520" si="2109">IF(C520&lt;&gt;"",C520&amp;"-"&amp;P520,"")</f>
        <v/>
      </c>
      <c r="R520" s="189" t="str">
        <f t="array" ref="R520">IFERROR(IF(INDEX('Disaggregation Records'!$E$69:$E$152,MATCH(RIGHT(Q520,255),RIGHT('Disaggregation Records'!$D$69:$D$152,255),0))=0,"",INDEX('Disaggregation Records'!$E$69:$E$152,MATCH(RIGHT(Q520,255),RIGHT('Disaggregation Records'!$D$69:$D$152,255),0))),"")</f>
        <v/>
      </c>
      <c r="S520" s="189" t="str">
        <f t="array" ref="S520">IFERROR(IF(INDEX('Disaggregation Records'!$F$69:$F$152,MATCH(RIGHT(Q520,255),RIGHT('Disaggregation Records'!$D$69:$D$152,255),0))=0,"",INDEX('Disaggregation Records'!$F$69:$F$152,MATCH(RIGHT(Q520,255),RIGHT('Disaggregation Records'!$D$69:$D$152,255),0))),"")</f>
        <v/>
      </c>
      <c r="T520" s="189" t="str">
        <f t="array" ref="T520">IFERROR(IF(INDEX('Disaggregation Records'!$H$69:$H$152,MATCH(RIGHT(Q520,255),RIGHT('Disaggregation Records'!$D$69:$D$152,255),0))=0,"",INDEX('Disaggregation Records'!$H$69:$H$152,MATCH(RIGHT(Q520,255),RIGHT('Disaggregation Records'!$D$69:$D$152,255),0))),"")</f>
        <v/>
      </c>
      <c r="U520" s="189">
        <f t="shared" ref="U520" si="2110">U518+1</f>
        <v>981</v>
      </c>
      <c r="V520" s="189" t="str">
        <f t="array" ref="V520">IFERROR(IF(INDEX('Disaggregation Records'!$I$69:$I$152,MATCH(RIGHT(Q520,255),RIGHT('Disaggregation Records'!$D$69:$D$152,255),0))=0,"",INDEX('Disaggregation Records'!$I$69:$I$152,MATCH(RIGHT(Q520,255),RIGHT('Disaggregation Records'!$D$69:$D$152,255),0))),"")</f>
        <v/>
      </c>
      <c r="W520" s="189" t="str">
        <f>IFERROR(INDEX('Reference Records'!P$19:P$56,MATCH(LEFT(C520,255),'Reference Records'!J$19:J$56,0)),"")</f>
        <v/>
      </c>
    </row>
    <row r="521" spans="1:23" s="189" customFormat="1" ht="40.200000000000003" customHeight="1" x14ac:dyDescent="0.3">
      <c r="A521" s="678"/>
      <c r="B521" s="675"/>
      <c r="C521" s="667"/>
      <c r="D521" s="677"/>
      <c r="E521" s="677"/>
      <c r="F521" s="202"/>
      <c r="G521" s="669"/>
      <c r="H521" s="671"/>
      <c r="I521" s="673"/>
      <c r="J521" s="652"/>
      <c r="K521" s="667"/>
      <c r="L521" s="667"/>
      <c r="M521" s="652"/>
      <c r="N521" s="652"/>
      <c r="V521" s="189" t="str">
        <f t="array" ref="V521">IFERROR(IF(INDEX('Disaggregation Records'!$I$69:$I$152,MATCH(RIGHT(Q521,255),RIGHT('Disaggregation Records'!$D$69:$D$152,255),0))=0,"",INDEX('Disaggregation Records'!$I$69:$I$152,MATCH(RIGHT(Q521,255),RIGHT('Disaggregation Records'!$D$69:$D$152,255),0))),"")</f>
        <v/>
      </c>
    </row>
    <row r="522" spans="1:23" s="189" customFormat="1" ht="40.200000000000003" customHeight="1" x14ac:dyDescent="0.3">
      <c r="A522" s="678" t="str">
        <f t="shared" ref="A522" ca="1" si="2111">INDIRECT("'update Helper'!C"&amp;U522)</f>
        <v>a1V3p000004fwvBEAQ</v>
      </c>
      <c r="B522" s="674">
        <v>11</v>
      </c>
      <c r="C522" s="666" t="str">
        <f>IFERROR(VLOOKUP(B522,'Outcome Indicators - Section C '!$A$9:$AF$70,32,FALSE),"")</f>
        <v/>
      </c>
      <c r="D522" s="676" t="str">
        <f t="shared" ref="D522" si="2112">R522</f>
        <v/>
      </c>
      <c r="E522" s="676" t="str">
        <f t="shared" ref="E522" si="2113">S522</f>
        <v/>
      </c>
      <c r="F522" s="194"/>
      <c r="G522" s="668" t="str">
        <f t="shared" ref="G522" ca="1" si="2114">IF(OR(INDIRECT("'update Helper'!E"&amp;U522)=0,F522&lt;&gt;0,F523&lt;&gt;0),IF(IFERROR((F522/F523),"")="","",(F522/F523)),INDIRECT("'update Helper'!E"&amp;U522)/100)</f>
        <v/>
      </c>
      <c r="H522" s="670"/>
      <c r="I522" s="672"/>
      <c r="J522" s="651"/>
      <c r="K522" s="666" t="str">
        <f t="shared" ref="K522" si="2115">W522</f>
        <v/>
      </c>
      <c r="L522" s="666" t="str">
        <f t="shared" ref="L522" si="2116">V522</f>
        <v/>
      </c>
      <c r="M522" s="651"/>
      <c r="N522" s="651"/>
      <c r="P522" s="189">
        <f t="shared" ref="P522" si="2117">IF(AND(EXACT(C522,C520),C520&lt;&gt;0),P520+1,0)</f>
        <v>63</v>
      </c>
      <c r="Q522" s="189" t="str">
        <f t="shared" ref="Q522" si="2118">IF(C522&lt;&gt;"",C522&amp;"-"&amp;P522,"")</f>
        <v/>
      </c>
      <c r="R522" s="189" t="str">
        <f t="array" ref="R522">IFERROR(IF(INDEX('Disaggregation Records'!$E$69:$E$152,MATCH(RIGHT(Q522,255),RIGHT('Disaggregation Records'!$D$69:$D$152,255),0))=0,"",INDEX('Disaggregation Records'!$E$69:$E$152,MATCH(RIGHT(Q522,255),RIGHT('Disaggregation Records'!$D$69:$D$152,255),0))),"")</f>
        <v/>
      </c>
      <c r="S522" s="189" t="str">
        <f t="array" ref="S522">IFERROR(IF(INDEX('Disaggregation Records'!$F$69:$F$152,MATCH(RIGHT(Q522,255),RIGHT('Disaggregation Records'!$D$69:$D$152,255),0))=0,"",INDEX('Disaggregation Records'!$F$69:$F$152,MATCH(RIGHT(Q522,255),RIGHT('Disaggregation Records'!$D$69:$D$152,255),0))),"")</f>
        <v/>
      </c>
      <c r="T522" s="189" t="str">
        <f t="array" ref="T522">IFERROR(IF(INDEX('Disaggregation Records'!$H$69:$H$152,MATCH(RIGHT(Q522,255),RIGHT('Disaggregation Records'!$D$69:$D$152,255),0))=0,"",INDEX('Disaggregation Records'!$H$69:$H$152,MATCH(RIGHT(Q522,255),RIGHT('Disaggregation Records'!$D$69:$D$152,255),0))),"")</f>
        <v/>
      </c>
      <c r="U522" s="189">
        <f t="shared" ref="U522" si="2119">U520+1</f>
        <v>982</v>
      </c>
      <c r="V522" s="189" t="str">
        <f t="array" ref="V522">IFERROR(IF(INDEX('Disaggregation Records'!$I$69:$I$152,MATCH(RIGHT(Q522,255),RIGHT('Disaggregation Records'!$D$69:$D$152,255),0))=0,"",INDEX('Disaggregation Records'!$I$69:$I$152,MATCH(RIGHT(Q522,255),RIGHT('Disaggregation Records'!$D$69:$D$152,255),0))),"")</f>
        <v/>
      </c>
      <c r="W522" s="189" t="str">
        <f>IFERROR(INDEX('Reference Records'!P$19:P$56,MATCH(LEFT(C522,255),'Reference Records'!J$19:J$56,0)),"")</f>
        <v/>
      </c>
    </row>
    <row r="523" spans="1:23" s="189" customFormat="1" ht="40.200000000000003" customHeight="1" x14ac:dyDescent="0.3">
      <c r="A523" s="678"/>
      <c r="B523" s="675"/>
      <c r="C523" s="667"/>
      <c r="D523" s="677"/>
      <c r="E523" s="677"/>
      <c r="F523" s="202"/>
      <c r="G523" s="669"/>
      <c r="H523" s="671"/>
      <c r="I523" s="673"/>
      <c r="J523" s="652"/>
      <c r="K523" s="667"/>
      <c r="L523" s="667"/>
      <c r="M523" s="652"/>
      <c r="N523" s="652"/>
      <c r="V523" s="189" t="str">
        <f t="array" ref="V523">IFERROR(IF(INDEX('Disaggregation Records'!$I$69:$I$152,MATCH(RIGHT(Q523,255),RIGHT('Disaggregation Records'!$D$69:$D$152,255),0))=0,"",INDEX('Disaggregation Records'!$I$69:$I$152,MATCH(RIGHT(Q523,255),RIGHT('Disaggregation Records'!$D$69:$D$152,255),0))),"")</f>
        <v/>
      </c>
    </row>
    <row r="524" spans="1:23" s="189" customFormat="1" ht="40.200000000000003" customHeight="1" x14ac:dyDescent="0.3">
      <c r="A524" s="678" t="str">
        <f t="shared" ref="A524" ca="1" si="2120">INDIRECT("'update Helper'!C"&amp;U524)</f>
        <v>a1V3p000004fwvCEAQ</v>
      </c>
      <c r="B524" s="674">
        <v>11</v>
      </c>
      <c r="C524" s="666" t="str">
        <f>IFERROR(VLOOKUP(B524,'Outcome Indicators - Section C '!$A$9:$AF$70,32,FALSE),"")</f>
        <v/>
      </c>
      <c r="D524" s="676" t="str">
        <f t="shared" ref="D524" si="2121">R524</f>
        <v/>
      </c>
      <c r="E524" s="676" t="str">
        <f t="shared" ref="E524" si="2122">S524</f>
        <v/>
      </c>
      <c r="F524" s="194"/>
      <c r="G524" s="668" t="str">
        <f t="shared" ref="G524" ca="1" si="2123">IF(OR(INDIRECT("'update Helper'!E"&amp;U524)=0,F524&lt;&gt;0,F525&lt;&gt;0),IF(IFERROR((F524/F525),"")="","",(F524/F525)),INDIRECT("'update Helper'!E"&amp;U524)/100)</f>
        <v/>
      </c>
      <c r="H524" s="670"/>
      <c r="I524" s="672"/>
      <c r="J524" s="651"/>
      <c r="K524" s="666" t="str">
        <f t="shared" ref="K524" si="2124">W524</f>
        <v/>
      </c>
      <c r="L524" s="666" t="str">
        <f t="shared" ref="L524" si="2125">V524</f>
        <v/>
      </c>
      <c r="M524" s="651"/>
      <c r="N524" s="651"/>
      <c r="P524" s="189">
        <f t="shared" ref="P524" si="2126">IF(AND(EXACT(C524,C522),C522&lt;&gt;0),P522+1,0)</f>
        <v>64</v>
      </c>
      <c r="Q524" s="189" t="str">
        <f t="shared" ref="Q524" si="2127">IF(C524&lt;&gt;"",C524&amp;"-"&amp;P524,"")</f>
        <v/>
      </c>
      <c r="R524" s="189" t="str">
        <f t="array" ref="R524">IFERROR(IF(INDEX('Disaggregation Records'!$E$69:$E$152,MATCH(RIGHT(Q524,255),RIGHT('Disaggregation Records'!$D$69:$D$152,255),0))=0,"",INDEX('Disaggregation Records'!$E$69:$E$152,MATCH(RIGHT(Q524,255),RIGHT('Disaggregation Records'!$D$69:$D$152,255),0))),"")</f>
        <v/>
      </c>
      <c r="S524" s="189" t="str">
        <f t="array" ref="S524">IFERROR(IF(INDEX('Disaggregation Records'!$F$69:$F$152,MATCH(RIGHT(Q524,255),RIGHT('Disaggregation Records'!$D$69:$D$152,255),0))=0,"",INDEX('Disaggregation Records'!$F$69:$F$152,MATCH(RIGHT(Q524,255),RIGHT('Disaggregation Records'!$D$69:$D$152,255),0))),"")</f>
        <v/>
      </c>
      <c r="T524" s="189" t="str">
        <f t="array" ref="T524">IFERROR(IF(INDEX('Disaggregation Records'!$H$69:$H$152,MATCH(RIGHT(Q524,255),RIGHT('Disaggregation Records'!$D$69:$D$152,255),0))=0,"",INDEX('Disaggregation Records'!$H$69:$H$152,MATCH(RIGHT(Q524,255),RIGHT('Disaggregation Records'!$D$69:$D$152,255),0))),"")</f>
        <v/>
      </c>
      <c r="U524" s="189">
        <f t="shared" ref="U524" si="2128">U522+1</f>
        <v>983</v>
      </c>
      <c r="V524" s="189" t="str">
        <f t="array" ref="V524">IFERROR(IF(INDEX('Disaggregation Records'!$I$69:$I$152,MATCH(RIGHT(Q524,255),RIGHT('Disaggregation Records'!$D$69:$D$152,255),0))=0,"",INDEX('Disaggregation Records'!$I$69:$I$152,MATCH(RIGHT(Q524,255),RIGHT('Disaggregation Records'!$D$69:$D$152,255),0))),"")</f>
        <v/>
      </c>
      <c r="W524" s="189" t="str">
        <f>IFERROR(INDEX('Reference Records'!P$19:P$56,MATCH(LEFT(C524,255),'Reference Records'!J$19:J$56,0)),"")</f>
        <v/>
      </c>
    </row>
    <row r="525" spans="1:23" s="189" customFormat="1" ht="40.200000000000003" customHeight="1" x14ac:dyDescent="0.3">
      <c r="A525" s="678"/>
      <c r="B525" s="675"/>
      <c r="C525" s="667"/>
      <c r="D525" s="677"/>
      <c r="E525" s="677"/>
      <c r="F525" s="202"/>
      <c r="G525" s="669"/>
      <c r="H525" s="671"/>
      <c r="I525" s="673"/>
      <c r="J525" s="652"/>
      <c r="K525" s="667"/>
      <c r="L525" s="667"/>
      <c r="M525" s="652"/>
      <c r="N525" s="652"/>
      <c r="V525" s="189" t="str">
        <f t="array" ref="V525">IFERROR(IF(INDEX('Disaggregation Records'!$I$69:$I$152,MATCH(RIGHT(Q525,255),RIGHT('Disaggregation Records'!$D$69:$D$152,255),0))=0,"",INDEX('Disaggregation Records'!$I$69:$I$152,MATCH(RIGHT(Q525,255),RIGHT('Disaggregation Records'!$D$69:$D$152,255),0))),"")</f>
        <v/>
      </c>
    </row>
    <row r="526" spans="1:23" s="189" customFormat="1" ht="40.200000000000003" customHeight="1" x14ac:dyDescent="0.3">
      <c r="A526" s="678" t="str">
        <f t="shared" ref="A526" ca="1" si="2129">INDIRECT("'update Helper'!C"&amp;U526)</f>
        <v>a1V3p000004fwvDEAQ</v>
      </c>
      <c r="B526" s="674">
        <v>11</v>
      </c>
      <c r="C526" s="666" t="str">
        <f>IFERROR(VLOOKUP(B526,'Outcome Indicators - Section C '!$A$9:$AF$70,32,FALSE),"")</f>
        <v/>
      </c>
      <c r="D526" s="676" t="str">
        <f t="shared" ref="D526" si="2130">R526</f>
        <v/>
      </c>
      <c r="E526" s="676" t="str">
        <f t="shared" ref="E526" si="2131">S526</f>
        <v/>
      </c>
      <c r="F526" s="194"/>
      <c r="G526" s="668" t="str">
        <f t="shared" ref="G526" ca="1" si="2132">IF(OR(INDIRECT("'update Helper'!E"&amp;U526)=0,F526&lt;&gt;0,F527&lt;&gt;0),IF(IFERROR((F526/F527),"")="","",(F526/F527)),INDIRECT("'update Helper'!E"&amp;U526)/100)</f>
        <v/>
      </c>
      <c r="H526" s="670"/>
      <c r="I526" s="672"/>
      <c r="J526" s="651"/>
      <c r="K526" s="666" t="str">
        <f t="shared" ref="K526" si="2133">W526</f>
        <v/>
      </c>
      <c r="L526" s="666" t="str">
        <f t="shared" ref="L526" si="2134">V526</f>
        <v/>
      </c>
      <c r="M526" s="651"/>
      <c r="N526" s="651"/>
      <c r="P526" s="189">
        <f t="shared" ref="P526" si="2135">IF(AND(EXACT(C526,C524),C524&lt;&gt;0),P524+1,0)</f>
        <v>65</v>
      </c>
      <c r="Q526" s="189" t="str">
        <f t="shared" ref="Q526" si="2136">IF(C526&lt;&gt;"",C526&amp;"-"&amp;P526,"")</f>
        <v/>
      </c>
      <c r="R526" s="189" t="str">
        <f t="array" ref="R526">IFERROR(IF(INDEX('Disaggregation Records'!$E$69:$E$152,MATCH(RIGHT(Q526,255),RIGHT('Disaggregation Records'!$D$69:$D$152,255),0))=0,"",INDEX('Disaggregation Records'!$E$69:$E$152,MATCH(RIGHT(Q526,255),RIGHT('Disaggregation Records'!$D$69:$D$152,255),0))),"")</f>
        <v/>
      </c>
      <c r="S526" s="189" t="str">
        <f t="array" ref="S526">IFERROR(IF(INDEX('Disaggregation Records'!$F$69:$F$152,MATCH(RIGHT(Q526,255),RIGHT('Disaggregation Records'!$D$69:$D$152,255),0))=0,"",INDEX('Disaggregation Records'!$F$69:$F$152,MATCH(RIGHT(Q526,255),RIGHT('Disaggregation Records'!$D$69:$D$152,255),0))),"")</f>
        <v/>
      </c>
      <c r="T526" s="189" t="str">
        <f t="array" ref="T526">IFERROR(IF(INDEX('Disaggregation Records'!$H$69:$H$152,MATCH(RIGHT(Q526,255),RIGHT('Disaggregation Records'!$D$69:$D$152,255),0))=0,"",INDEX('Disaggregation Records'!$H$69:$H$152,MATCH(RIGHT(Q526,255),RIGHT('Disaggregation Records'!$D$69:$D$152,255),0))),"")</f>
        <v/>
      </c>
      <c r="U526" s="189">
        <f t="shared" ref="U526" si="2137">U524+1</f>
        <v>984</v>
      </c>
      <c r="V526" s="189" t="str">
        <f t="array" ref="V526">IFERROR(IF(INDEX('Disaggregation Records'!$I$69:$I$152,MATCH(RIGHT(Q526,255),RIGHT('Disaggregation Records'!$D$69:$D$152,255),0))=0,"",INDEX('Disaggregation Records'!$I$69:$I$152,MATCH(RIGHT(Q526,255),RIGHT('Disaggregation Records'!$D$69:$D$152,255),0))),"")</f>
        <v/>
      </c>
      <c r="W526" s="189" t="str">
        <f>IFERROR(INDEX('Reference Records'!P$19:P$56,MATCH(LEFT(C526,255),'Reference Records'!J$19:J$56,0)),"")</f>
        <v/>
      </c>
    </row>
    <row r="527" spans="1:23" s="189" customFormat="1" ht="40.200000000000003" customHeight="1" x14ac:dyDescent="0.3">
      <c r="A527" s="678"/>
      <c r="B527" s="675"/>
      <c r="C527" s="667"/>
      <c r="D527" s="677"/>
      <c r="E527" s="677"/>
      <c r="F527" s="202"/>
      <c r="G527" s="669"/>
      <c r="H527" s="671"/>
      <c r="I527" s="673"/>
      <c r="J527" s="652"/>
      <c r="K527" s="667"/>
      <c r="L527" s="667"/>
      <c r="M527" s="652"/>
      <c r="N527" s="652"/>
      <c r="V527" s="189" t="str">
        <f t="array" ref="V527">IFERROR(IF(INDEX('Disaggregation Records'!$I$69:$I$152,MATCH(RIGHT(Q527,255),RIGHT('Disaggregation Records'!$D$69:$D$152,255),0))=0,"",INDEX('Disaggregation Records'!$I$69:$I$152,MATCH(RIGHT(Q527,255),RIGHT('Disaggregation Records'!$D$69:$D$152,255),0))),"")</f>
        <v/>
      </c>
    </row>
    <row r="528" spans="1:23" s="189" customFormat="1" ht="40.200000000000003" customHeight="1" x14ac:dyDescent="0.3">
      <c r="A528" s="678" t="str">
        <f t="shared" ref="A528" ca="1" si="2138">INDIRECT("'update Helper'!C"&amp;U528)</f>
        <v>a1V3p000004fwvEEAQ</v>
      </c>
      <c r="B528" s="674">
        <v>11</v>
      </c>
      <c r="C528" s="666" t="str">
        <f>IFERROR(VLOOKUP(B528,'Outcome Indicators - Section C '!$A$9:$AF$70,32,FALSE),"")</f>
        <v/>
      </c>
      <c r="D528" s="676" t="str">
        <f t="shared" ref="D528" si="2139">R528</f>
        <v/>
      </c>
      <c r="E528" s="676" t="str">
        <f t="shared" ref="E528" si="2140">S528</f>
        <v/>
      </c>
      <c r="F528" s="194"/>
      <c r="G528" s="668" t="str">
        <f t="shared" ref="G528" ca="1" si="2141">IF(OR(INDIRECT("'update Helper'!E"&amp;U528)=0,F528&lt;&gt;0,F529&lt;&gt;0),IF(IFERROR((F528/F529),"")="","",(F528/F529)),INDIRECT("'update Helper'!E"&amp;U528)/100)</f>
        <v/>
      </c>
      <c r="H528" s="670"/>
      <c r="I528" s="672"/>
      <c r="J528" s="651"/>
      <c r="K528" s="666" t="str">
        <f t="shared" ref="K528" si="2142">W528</f>
        <v/>
      </c>
      <c r="L528" s="666" t="str">
        <f t="shared" ref="L528" si="2143">V528</f>
        <v/>
      </c>
      <c r="M528" s="651"/>
      <c r="N528" s="651"/>
      <c r="P528" s="189">
        <f t="shared" ref="P528" si="2144">IF(AND(EXACT(C528,C526),C526&lt;&gt;0),P526+1,0)</f>
        <v>66</v>
      </c>
      <c r="Q528" s="189" t="str">
        <f t="shared" ref="Q528" si="2145">IF(C528&lt;&gt;"",C528&amp;"-"&amp;P528,"")</f>
        <v/>
      </c>
      <c r="R528" s="189" t="str">
        <f t="array" ref="R528">IFERROR(IF(INDEX('Disaggregation Records'!$E$69:$E$152,MATCH(RIGHT(Q528,255),RIGHT('Disaggregation Records'!$D$69:$D$152,255),0))=0,"",INDEX('Disaggregation Records'!$E$69:$E$152,MATCH(RIGHT(Q528,255),RIGHT('Disaggregation Records'!$D$69:$D$152,255),0))),"")</f>
        <v/>
      </c>
      <c r="S528" s="189" t="str">
        <f t="array" ref="S528">IFERROR(IF(INDEX('Disaggregation Records'!$F$69:$F$152,MATCH(RIGHT(Q528,255),RIGHT('Disaggregation Records'!$D$69:$D$152,255),0))=0,"",INDEX('Disaggregation Records'!$F$69:$F$152,MATCH(RIGHT(Q528,255),RIGHT('Disaggregation Records'!$D$69:$D$152,255),0))),"")</f>
        <v/>
      </c>
      <c r="T528" s="189" t="str">
        <f t="array" ref="T528">IFERROR(IF(INDEX('Disaggregation Records'!$H$69:$H$152,MATCH(RIGHT(Q528,255),RIGHT('Disaggregation Records'!$D$69:$D$152,255),0))=0,"",INDEX('Disaggregation Records'!$H$69:$H$152,MATCH(RIGHT(Q528,255),RIGHT('Disaggregation Records'!$D$69:$D$152,255),0))),"")</f>
        <v/>
      </c>
      <c r="U528" s="189">
        <f t="shared" ref="U528" si="2146">U526+1</f>
        <v>985</v>
      </c>
      <c r="V528" s="189" t="str">
        <f t="array" ref="V528">IFERROR(IF(INDEX('Disaggregation Records'!$I$69:$I$152,MATCH(RIGHT(Q528,255),RIGHT('Disaggregation Records'!$D$69:$D$152,255),0))=0,"",INDEX('Disaggregation Records'!$I$69:$I$152,MATCH(RIGHT(Q528,255),RIGHT('Disaggregation Records'!$D$69:$D$152,255),0))),"")</f>
        <v/>
      </c>
      <c r="W528" s="189" t="str">
        <f>IFERROR(INDEX('Reference Records'!P$19:P$56,MATCH(LEFT(C528,255),'Reference Records'!J$19:J$56,0)),"")</f>
        <v/>
      </c>
    </row>
    <row r="529" spans="1:23" s="189" customFormat="1" ht="40.200000000000003" customHeight="1" x14ac:dyDescent="0.3">
      <c r="A529" s="678"/>
      <c r="B529" s="675"/>
      <c r="C529" s="667"/>
      <c r="D529" s="677"/>
      <c r="E529" s="677"/>
      <c r="F529" s="202"/>
      <c r="G529" s="669"/>
      <c r="H529" s="671"/>
      <c r="I529" s="673"/>
      <c r="J529" s="652"/>
      <c r="K529" s="667"/>
      <c r="L529" s="667"/>
      <c r="M529" s="652"/>
      <c r="N529" s="652"/>
      <c r="V529" s="189" t="str">
        <f t="array" ref="V529">IFERROR(IF(INDEX('Disaggregation Records'!$I$69:$I$152,MATCH(RIGHT(Q529,255),RIGHT('Disaggregation Records'!$D$69:$D$152,255),0))=0,"",INDEX('Disaggregation Records'!$I$69:$I$152,MATCH(RIGHT(Q529,255),RIGHT('Disaggregation Records'!$D$69:$D$152,255),0))),"")</f>
        <v/>
      </c>
    </row>
    <row r="530" spans="1:23" s="189" customFormat="1" ht="40.200000000000003" customHeight="1" x14ac:dyDescent="0.3">
      <c r="A530" s="678" t="str">
        <f t="shared" ref="A530" ca="1" si="2147">INDIRECT("'update Helper'!C"&amp;U530)</f>
        <v>a1V3p000004fwvFEAQ</v>
      </c>
      <c r="B530" s="674">
        <v>11</v>
      </c>
      <c r="C530" s="666" t="str">
        <f>IFERROR(VLOOKUP(B530,'Outcome Indicators - Section C '!$A$9:$AF$70,32,FALSE),"")</f>
        <v/>
      </c>
      <c r="D530" s="676" t="str">
        <f t="shared" ref="D530" si="2148">R530</f>
        <v/>
      </c>
      <c r="E530" s="676" t="str">
        <f t="shared" ref="E530" si="2149">S530</f>
        <v/>
      </c>
      <c r="F530" s="194"/>
      <c r="G530" s="668" t="str">
        <f t="shared" ref="G530" ca="1" si="2150">IF(OR(INDIRECT("'update Helper'!E"&amp;U530)=0,F530&lt;&gt;0,F531&lt;&gt;0),IF(IFERROR((F530/F531),"")="","",(F530/F531)),INDIRECT("'update Helper'!E"&amp;U530)/100)</f>
        <v/>
      </c>
      <c r="H530" s="670"/>
      <c r="I530" s="672"/>
      <c r="J530" s="651"/>
      <c r="K530" s="666" t="str">
        <f t="shared" ref="K530" si="2151">W530</f>
        <v/>
      </c>
      <c r="L530" s="666" t="str">
        <f t="shared" ref="L530" si="2152">V530</f>
        <v/>
      </c>
      <c r="M530" s="651"/>
      <c r="N530" s="651"/>
      <c r="P530" s="189">
        <f t="shared" ref="P530" si="2153">IF(AND(EXACT(C530,C528),C528&lt;&gt;0),P528+1,0)</f>
        <v>67</v>
      </c>
      <c r="Q530" s="189" t="str">
        <f t="shared" ref="Q530" si="2154">IF(C530&lt;&gt;"",C530&amp;"-"&amp;P530,"")</f>
        <v/>
      </c>
      <c r="R530" s="189" t="str">
        <f t="array" ref="R530">IFERROR(IF(INDEX('Disaggregation Records'!$E$69:$E$152,MATCH(RIGHT(Q530,255),RIGHT('Disaggregation Records'!$D$69:$D$152,255),0))=0,"",INDEX('Disaggregation Records'!$E$69:$E$152,MATCH(RIGHT(Q530,255),RIGHT('Disaggregation Records'!$D$69:$D$152,255),0))),"")</f>
        <v/>
      </c>
      <c r="S530" s="189" t="str">
        <f t="array" ref="S530">IFERROR(IF(INDEX('Disaggregation Records'!$F$69:$F$152,MATCH(RIGHT(Q530,255),RIGHT('Disaggregation Records'!$D$69:$D$152,255),0))=0,"",INDEX('Disaggregation Records'!$F$69:$F$152,MATCH(RIGHT(Q530,255),RIGHT('Disaggregation Records'!$D$69:$D$152,255),0))),"")</f>
        <v/>
      </c>
      <c r="T530" s="189" t="str">
        <f t="array" ref="T530">IFERROR(IF(INDEX('Disaggregation Records'!$H$69:$H$152,MATCH(RIGHT(Q530,255),RIGHT('Disaggregation Records'!$D$69:$D$152,255),0))=0,"",INDEX('Disaggregation Records'!$H$69:$H$152,MATCH(RIGHT(Q530,255),RIGHT('Disaggregation Records'!$D$69:$D$152,255),0))),"")</f>
        <v/>
      </c>
      <c r="U530" s="189">
        <f t="shared" ref="U530" si="2155">U528+1</f>
        <v>986</v>
      </c>
      <c r="V530" s="189" t="str">
        <f t="array" ref="V530">IFERROR(IF(INDEX('Disaggregation Records'!$I$69:$I$152,MATCH(RIGHT(Q530,255),RIGHT('Disaggregation Records'!$D$69:$D$152,255),0))=0,"",INDEX('Disaggregation Records'!$I$69:$I$152,MATCH(RIGHT(Q530,255),RIGHT('Disaggregation Records'!$D$69:$D$152,255),0))),"")</f>
        <v/>
      </c>
      <c r="W530" s="189" t="str">
        <f>IFERROR(INDEX('Reference Records'!P$19:P$56,MATCH(LEFT(C530,255),'Reference Records'!J$19:J$56,0)),"")</f>
        <v/>
      </c>
    </row>
    <row r="531" spans="1:23" s="189" customFormat="1" ht="40.200000000000003" customHeight="1" x14ac:dyDescent="0.3">
      <c r="A531" s="678"/>
      <c r="B531" s="675"/>
      <c r="C531" s="667"/>
      <c r="D531" s="677"/>
      <c r="E531" s="677"/>
      <c r="F531" s="202"/>
      <c r="G531" s="669"/>
      <c r="H531" s="671"/>
      <c r="I531" s="673"/>
      <c r="J531" s="652"/>
      <c r="K531" s="667"/>
      <c r="L531" s="667"/>
      <c r="M531" s="652"/>
      <c r="N531" s="652"/>
      <c r="V531" s="189" t="str">
        <f t="array" ref="V531">IFERROR(IF(INDEX('Disaggregation Records'!$I$69:$I$152,MATCH(RIGHT(Q531,255),RIGHT('Disaggregation Records'!$D$69:$D$152,255),0))=0,"",INDEX('Disaggregation Records'!$I$69:$I$152,MATCH(RIGHT(Q531,255),RIGHT('Disaggregation Records'!$D$69:$D$152,255),0))),"")</f>
        <v/>
      </c>
    </row>
    <row r="532" spans="1:23" s="189" customFormat="1" ht="40.200000000000003" customHeight="1" x14ac:dyDescent="0.3">
      <c r="A532" s="678" t="str">
        <f t="shared" ref="A532" ca="1" si="2156">INDIRECT("'update Helper'!C"&amp;U532)</f>
        <v>a1V3p000004fwvGEAQ</v>
      </c>
      <c r="B532" s="674">
        <v>11</v>
      </c>
      <c r="C532" s="666" t="str">
        <f>IFERROR(VLOOKUP(B532,'Outcome Indicators - Section C '!$A$9:$AF$70,32,FALSE),"")</f>
        <v/>
      </c>
      <c r="D532" s="676" t="str">
        <f t="shared" ref="D532" si="2157">R532</f>
        <v/>
      </c>
      <c r="E532" s="676" t="str">
        <f t="shared" ref="E532" si="2158">S532</f>
        <v/>
      </c>
      <c r="F532" s="194"/>
      <c r="G532" s="668" t="str">
        <f t="shared" ref="G532" ca="1" si="2159">IF(OR(INDIRECT("'update Helper'!E"&amp;U532)=0,F532&lt;&gt;0,F533&lt;&gt;0),IF(IFERROR((F532/F533),"")="","",(F532/F533)),INDIRECT("'update Helper'!E"&amp;U532)/100)</f>
        <v/>
      </c>
      <c r="H532" s="670"/>
      <c r="I532" s="672"/>
      <c r="J532" s="651"/>
      <c r="K532" s="666" t="str">
        <f t="shared" ref="K532" si="2160">W532</f>
        <v/>
      </c>
      <c r="L532" s="666" t="str">
        <f t="shared" ref="L532" si="2161">V532</f>
        <v/>
      </c>
      <c r="M532" s="651"/>
      <c r="N532" s="651"/>
      <c r="P532" s="189">
        <f t="shared" ref="P532" si="2162">IF(AND(EXACT(C532,C530),C530&lt;&gt;0),P530+1,0)</f>
        <v>68</v>
      </c>
      <c r="Q532" s="189" t="str">
        <f t="shared" ref="Q532" si="2163">IF(C532&lt;&gt;"",C532&amp;"-"&amp;P532,"")</f>
        <v/>
      </c>
      <c r="R532" s="189" t="str">
        <f t="array" ref="R532">IFERROR(IF(INDEX('Disaggregation Records'!$E$69:$E$152,MATCH(RIGHT(Q532,255),RIGHT('Disaggregation Records'!$D$69:$D$152,255),0))=0,"",INDEX('Disaggregation Records'!$E$69:$E$152,MATCH(RIGHT(Q532,255),RIGHT('Disaggregation Records'!$D$69:$D$152,255),0))),"")</f>
        <v/>
      </c>
      <c r="S532" s="189" t="str">
        <f t="array" ref="S532">IFERROR(IF(INDEX('Disaggregation Records'!$F$69:$F$152,MATCH(RIGHT(Q532,255),RIGHT('Disaggregation Records'!$D$69:$D$152,255),0))=0,"",INDEX('Disaggregation Records'!$F$69:$F$152,MATCH(RIGHT(Q532,255),RIGHT('Disaggregation Records'!$D$69:$D$152,255),0))),"")</f>
        <v/>
      </c>
      <c r="T532" s="189" t="str">
        <f t="array" ref="T532">IFERROR(IF(INDEX('Disaggregation Records'!$H$69:$H$152,MATCH(RIGHT(Q532,255),RIGHT('Disaggregation Records'!$D$69:$D$152,255),0))=0,"",INDEX('Disaggregation Records'!$H$69:$H$152,MATCH(RIGHT(Q532,255),RIGHT('Disaggregation Records'!$D$69:$D$152,255),0))),"")</f>
        <v/>
      </c>
      <c r="U532" s="189">
        <f t="shared" ref="U532" si="2164">U530+1</f>
        <v>987</v>
      </c>
      <c r="V532" s="189" t="str">
        <f t="array" ref="V532">IFERROR(IF(INDEX('Disaggregation Records'!$I$69:$I$152,MATCH(RIGHT(Q532,255),RIGHT('Disaggregation Records'!$D$69:$D$152,255),0))=0,"",INDEX('Disaggregation Records'!$I$69:$I$152,MATCH(RIGHT(Q532,255),RIGHT('Disaggregation Records'!$D$69:$D$152,255),0))),"")</f>
        <v/>
      </c>
      <c r="W532" s="189" t="str">
        <f>IFERROR(INDEX('Reference Records'!P$19:P$56,MATCH(LEFT(C532,255),'Reference Records'!J$19:J$56,0)),"")</f>
        <v/>
      </c>
    </row>
    <row r="533" spans="1:23" s="189" customFormat="1" ht="40.200000000000003" customHeight="1" x14ac:dyDescent="0.3">
      <c r="A533" s="678"/>
      <c r="B533" s="675"/>
      <c r="C533" s="667"/>
      <c r="D533" s="677"/>
      <c r="E533" s="677"/>
      <c r="F533" s="202"/>
      <c r="G533" s="669"/>
      <c r="H533" s="671"/>
      <c r="I533" s="673"/>
      <c r="J533" s="652"/>
      <c r="K533" s="667"/>
      <c r="L533" s="667"/>
      <c r="M533" s="652"/>
      <c r="N533" s="652"/>
      <c r="V533" s="189" t="str">
        <f t="array" ref="V533">IFERROR(IF(INDEX('Disaggregation Records'!$I$69:$I$152,MATCH(RIGHT(Q533,255),RIGHT('Disaggregation Records'!$D$69:$D$152,255),0))=0,"",INDEX('Disaggregation Records'!$I$69:$I$152,MATCH(RIGHT(Q533,255),RIGHT('Disaggregation Records'!$D$69:$D$152,255),0))),"")</f>
        <v/>
      </c>
    </row>
    <row r="534" spans="1:23" s="189" customFormat="1" ht="40.200000000000003" customHeight="1" x14ac:dyDescent="0.3">
      <c r="A534" s="678" t="str">
        <f t="shared" ref="A534" ca="1" si="2165">INDIRECT("'update Helper'!C"&amp;U534)</f>
        <v>a1V3p000004fwvHEAQ</v>
      </c>
      <c r="B534" s="674">
        <v>11</v>
      </c>
      <c r="C534" s="666" t="str">
        <f>IFERROR(VLOOKUP(B534,'Outcome Indicators - Section C '!$A$9:$AF$70,32,FALSE),"")</f>
        <v/>
      </c>
      <c r="D534" s="676" t="str">
        <f t="shared" ref="D534" si="2166">R534</f>
        <v/>
      </c>
      <c r="E534" s="676" t="str">
        <f t="shared" ref="E534" si="2167">S534</f>
        <v/>
      </c>
      <c r="F534" s="194"/>
      <c r="G534" s="668" t="str">
        <f t="shared" ref="G534" ca="1" si="2168">IF(OR(INDIRECT("'update Helper'!E"&amp;U534)=0,F534&lt;&gt;0,F535&lt;&gt;0),IF(IFERROR((F534/F535),"")="","",(F534/F535)),INDIRECT("'update Helper'!E"&amp;U534)/100)</f>
        <v/>
      </c>
      <c r="H534" s="670"/>
      <c r="I534" s="672"/>
      <c r="J534" s="651"/>
      <c r="K534" s="666" t="str">
        <f t="shared" ref="K534" si="2169">W534</f>
        <v/>
      </c>
      <c r="L534" s="666" t="str">
        <f t="shared" ref="L534" si="2170">V534</f>
        <v/>
      </c>
      <c r="M534" s="651"/>
      <c r="N534" s="651"/>
      <c r="P534" s="189">
        <f t="shared" ref="P534" si="2171">IF(AND(EXACT(C534,C532),C532&lt;&gt;0),P532+1,0)</f>
        <v>69</v>
      </c>
      <c r="Q534" s="189" t="str">
        <f t="shared" ref="Q534" si="2172">IF(C534&lt;&gt;"",C534&amp;"-"&amp;P534,"")</f>
        <v/>
      </c>
      <c r="R534" s="189" t="str">
        <f t="array" ref="R534">IFERROR(IF(INDEX('Disaggregation Records'!$E$69:$E$152,MATCH(RIGHT(Q534,255),RIGHT('Disaggregation Records'!$D$69:$D$152,255),0))=0,"",INDEX('Disaggregation Records'!$E$69:$E$152,MATCH(RIGHT(Q534,255),RIGHT('Disaggregation Records'!$D$69:$D$152,255),0))),"")</f>
        <v/>
      </c>
      <c r="S534" s="189" t="str">
        <f t="array" ref="S534">IFERROR(IF(INDEX('Disaggregation Records'!$F$69:$F$152,MATCH(RIGHT(Q534,255),RIGHT('Disaggregation Records'!$D$69:$D$152,255),0))=0,"",INDEX('Disaggregation Records'!$F$69:$F$152,MATCH(RIGHT(Q534,255),RIGHT('Disaggregation Records'!$D$69:$D$152,255),0))),"")</f>
        <v/>
      </c>
      <c r="T534" s="189" t="str">
        <f t="array" ref="T534">IFERROR(IF(INDEX('Disaggregation Records'!$H$69:$H$152,MATCH(RIGHT(Q534,255),RIGHT('Disaggregation Records'!$D$69:$D$152,255),0))=0,"",INDEX('Disaggregation Records'!$H$69:$H$152,MATCH(RIGHT(Q534,255),RIGHT('Disaggregation Records'!$D$69:$D$152,255),0))),"")</f>
        <v/>
      </c>
      <c r="U534" s="189">
        <f t="shared" ref="U534" si="2173">U532+1</f>
        <v>988</v>
      </c>
      <c r="V534" s="189" t="str">
        <f t="array" ref="V534">IFERROR(IF(INDEX('Disaggregation Records'!$I$69:$I$152,MATCH(RIGHT(Q534,255),RIGHT('Disaggregation Records'!$D$69:$D$152,255),0))=0,"",INDEX('Disaggregation Records'!$I$69:$I$152,MATCH(RIGHT(Q534,255),RIGHT('Disaggregation Records'!$D$69:$D$152,255),0))),"")</f>
        <v/>
      </c>
      <c r="W534" s="189" t="str">
        <f>IFERROR(INDEX('Reference Records'!P$19:P$56,MATCH(LEFT(C534,255),'Reference Records'!J$19:J$56,0)),"")</f>
        <v/>
      </c>
    </row>
    <row r="535" spans="1:23" s="189" customFormat="1" ht="40.200000000000003" customHeight="1" x14ac:dyDescent="0.3">
      <c r="A535" s="678"/>
      <c r="B535" s="675"/>
      <c r="C535" s="667"/>
      <c r="D535" s="677"/>
      <c r="E535" s="677"/>
      <c r="F535" s="202"/>
      <c r="G535" s="669"/>
      <c r="H535" s="671"/>
      <c r="I535" s="673"/>
      <c r="J535" s="652"/>
      <c r="K535" s="667"/>
      <c r="L535" s="667"/>
      <c r="M535" s="652"/>
      <c r="N535" s="652"/>
      <c r="V535" s="189" t="str">
        <f t="array" ref="V535">IFERROR(IF(INDEX('Disaggregation Records'!$I$69:$I$152,MATCH(RIGHT(Q535,255),RIGHT('Disaggregation Records'!$D$69:$D$152,255),0))=0,"",INDEX('Disaggregation Records'!$I$69:$I$152,MATCH(RIGHT(Q535,255),RIGHT('Disaggregation Records'!$D$69:$D$152,255),0))),"")</f>
        <v/>
      </c>
    </row>
    <row r="536" spans="1:23" s="189" customFormat="1" ht="40.200000000000003" customHeight="1" x14ac:dyDescent="0.3">
      <c r="A536" s="678" t="str">
        <f t="shared" ref="A536" ca="1" si="2174">INDIRECT("'update Helper'!C"&amp;U536)</f>
        <v>a1V3p000004fwvIEAQ</v>
      </c>
      <c r="B536" s="674">
        <v>12</v>
      </c>
      <c r="C536" s="666" t="str">
        <f>IFERROR(VLOOKUP(B536,'Outcome Indicators - Section C '!$A$9:$AF$70,32,FALSE),"")</f>
        <v/>
      </c>
      <c r="D536" s="676" t="str">
        <f t="shared" ref="D536" si="2175">R536</f>
        <v/>
      </c>
      <c r="E536" s="676" t="str">
        <f t="shared" ref="E536" si="2176">S536</f>
        <v/>
      </c>
      <c r="F536" s="194"/>
      <c r="G536" s="668" t="str">
        <f t="shared" ref="G536" ca="1" si="2177">IF(OR(INDIRECT("'update Helper'!E"&amp;U536)=0,F536&lt;&gt;0,F537&lt;&gt;0),IF(IFERROR((F536/F537),"")="","",(F536/F537)),INDIRECT("'update Helper'!E"&amp;U536)/100)</f>
        <v/>
      </c>
      <c r="H536" s="670"/>
      <c r="I536" s="672"/>
      <c r="J536" s="651"/>
      <c r="K536" s="666" t="str">
        <f t="shared" ref="K536" si="2178">W536</f>
        <v/>
      </c>
      <c r="L536" s="666" t="str">
        <f t="shared" ref="L536" si="2179">V536</f>
        <v/>
      </c>
      <c r="M536" s="651"/>
      <c r="N536" s="651"/>
      <c r="P536" s="189">
        <f t="shared" ref="P536" si="2180">IF(AND(EXACT(C536,C534),C534&lt;&gt;0),P534+1,0)</f>
        <v>70</v>
      </c>
      <c r="Q536" s="189" t="str">
        <f t="shared" ref="Q536" si="2181">IF(C536&lt;&gt;"",C536&amp;"-"&amp;P536,"")</f>
        <v/>
      </c>
      <c r="R536" s="189" t="str">
        <f t="array" ref="R536">IFERROR(IF(INDEX('Disaggregation Records'!$E$69:$E$152,MATCH(RIGHT(Q536,255),RIGHT('Disaggregation Records'!$D$69:$D$152,255),0))=0,"",INDEX('Disaggregation Records'!$E$69:$E$152,MATCH(RIGHT(Q536,255),RIGHT('Disaggregation Records'!$D$69:$D$152,255),0))),"")</f>
        <v/>
      </c>
      <c r="S536" s="189" t="str">
        <f t="array" ref="S536">IFERROR(IF(INDEX('Disaggregation Records'!$F$69:$F$152,MATCH(RIGHT(Q536,255),RIGHT('Disaggregation Records'!$D$69:$D$152,255),0))=0,"",INDEX('Disaggregation Records'!$F$69:$F$152,MATCH(RIGHT(Q536,255),RIGHT('Disaggregation Records'!$D$69:$D$152,255),0))),"")</f>
        <v/>
      </c>
      <c r="T536" s="189" t="str">
        <f t="array" ref="T536">IFERROR(IF(INDEX('Disaggregation Records'!$H$69:$H$152,MATCH(RIGHT(Q536,255),RIGHT('Disaggregation Records'!$D$69:$D$152,255),0))=0,"",INDEX('Disaggregation Records'!$H$69:$H$152,MATCH(RIGHT(Q536,255),RIGHT('Disaggregation Records'!$D$69:$D$152,255),0))),"")</f>
        <v/>
      </c>
      <c r="U536" s="189">
        <f t="shared" ref="U536" si="2182">U534+1</f>
        <v>989</v>
      </c>
      <c r="V536" s="189" t="str">
        <f t="array" ref="V536">IFERROR(IF(INDEX('Disaggregation Records'!$I$69:$I$152,MATCH(RIGHT(Q536,255),RIGHT('Disaggregation Records'!$D$69:$D$152,255),0))=0,"",INDEX('Disaggregation Records'!$I$69:$I$152,MATCH(RIGHT(Q536,255),RIGHT('Disaggregation Records'!$D$69:$D$152,255),0))),"")</f>
        <v/>
      </c>
      <c r="W536" s="189" t="str">
        <f>IFERROR(INDEX('Reference Records'!P$19:P$56,MATCH(LEFT(C536,255),'Reference Records'!J$19:J$56,0)),"")</f>
        <v/>
      </c>
    </row>
    <row r="537" spans="1:23" s="189" customFormat="1" ht="40.200000000000003" customHeight="1" x14ac:dyDescent="0.3">
      <c r="A537" s="678"/>
      <c r="B537" s="675"/>
      <c r="C537" s="667"/>
      <c r="D537" s="677"/>
      <c r="E537" s="677"/>
      <c r="F537" s="202"/>
      <c r="G537" s="669"/>
      <c r="H537" s="671"/>
      <c r="I537" s="673"/>
      <c r="J537" s="652"/>
      <c r="K537" s="667"/>
      <c r="L537" s="667"/>
      <c r="M537" s="652"/>
      <c r="N537" s="652"/>
      <c r="V537" s="189" t="str">
        <f t="array" ref="V537">IFERROR(IF(INDEX('Disaggregation Records'!$I$69:$I$152,MATCH(RIGHT(Q537,255),RIGHT('Disaggregation Records'!$D$69:$D$152,255),0))=0,"",INDEX('Disaggregation Records'!$I$69:$I$152,MATCH(RIGHT(Q537,255),RIGHT('Disaggregation Records'!$D$69:$D$152,255),0))),"")</f>
        <v/>
      </c>
    </row>
    <row r="538" spans="1:23" s="189" customFormat="1" ht="40.200000000000003" customHeight="1" x14ac:dyDescent="0.3">
      <c r="A538" s="678" t="str">
        <f t="shared" ref="A538" ca="1" si="2183">INDIRECT("'update Helper'!C"&amp;U538)</f>
        <v>a1V3p000004fwvJEAQ</v>
      </c>
      <c r="B538" s="674">
        <v>12</v>
      </c>
      <c r="C538" s="666" t="str">
        <f>IFERROR(VLOOKUP(B538,'Outcome Indicators - Section C '!$A$9:$AF$70,32,FALSE),"")</f>
        <v/>
      </c>
      <c r="D538" s="676" t="str">
        <f t="shared" ref="D538" si="2184">R538</f>
        <v/>
      </c>
      <c r="E538" s="676" t="str">
        <f t="shared" ref="E538" si="2185">S538</f>
        <v/>
      </c>
      <c r="F538" s="194"/>
      <c r="G538" s="668" t="str">
        <f t="shared" ref="G538" ca="1" si="2186">IF(OR(INDIRECT("'update Helper'!E"&amp;U538)=0,F538&lt;&gt;0,F539&lt;&gt;0),IF(IFERROR((F538/F539),"")="","",(F538/F539)),INDIRECT("'update Helper'!E"&amp;U538)/100)</f>
        <v/>
      </c>
      <c r="H538" s="670"/>
      <c r="I538" s="672"/>
      <c r="J538" s="651"/>
      <c r="K538" s="666" t="str">
        <f t="shared" ref="K538" si="2187">W538</f>
        <v/>
      </c>
      <c r="L538" s="666" t="str">
        <f t="shared" ref="L538" si="2188">V538</f>
        <v/>
      </c>
      <c r="M538" s="651"/>
      <c r="N538" s="651"/>
      <c r="P538" s="189">
        <f t="shared" ref="P538" si="2189">IF(AND(EXACT(C538,C536),C536&lt;&gt;0),P536+1,0)</f>
        <v>71</v>
      </c>
      <c r="Q538" s="189" t="str">
        <f t="shared" ref="Q538" si="2190">IF(C538&lt;&gt;"",C538&amp;"-"&amp;P538,"")</f>
        <v/>
      </c>
      <c r="R538" s="189" t="str">
        <f t="array" ref="R538">IFERROR(IF(INDEX('Disaggregation Records'!$E$69:$E$152,MATCH(RIGHT(Q538,255),RIGHT('Disaggregation Records'!$D$69:$D$152,255),0))=0,"",INDEX('Disaggregation Records'!$E$69:$E$152,MATCH(RIGHT(Q538,255),RIGHT('Disaggregation Records'!$D$69:$D$152,255),0))),"")</f>
        <v/>
      </c>
      <c r="S538" s="189" t="str">
        <f t="array" ref="S538">IFERROR(IF(INDEX('Disaggregation Records'!$F$69:$F$152,MATCH(RIGHT(Q538,255),RIGHT('Disaggregation Records'!$D$69:$D$152,255),0))=0,"",INDEX('Disaggregation Records'!$F$69:$F$152,MATCH(RIGHT(Q538,255),RIGHT('Disaggregation Records'!$D$69:$D$152,255),0))),"")</f>
        <v/>
      </c>
      <c r="T538" s="189" t="str">
        <f t="array" ref="T538">IFERROR(IF(INDEX('Disaggregation Records'!$H$69:$H$152,MATCH(RIGHT(Q538,255),RIGHT('Disaggregation Records'!$D$69:$D$152,255),0))=0,"",INDEX('Disaggregation Records'!$H$69:$H$152,MATCH(RIGHT(Q538,255),RIGHT('Disaggregation Records'!$D$69:$D$152,255),0))),"")</f>
        <v/>
      </c>
      <c r="U538" s="189">
        <f t="shared" ref="U538" si="2191">U536+1</f>
        <v>990</v>
      </c>
      <c r="V538" s="189" t="str">
        <f t="array" ref="V538">IFERROR(IF(INDEX('Disaggregation Records'!$I$69:$I$152,MATCH(RIGHT(Q538,255),RIGHT('Disaggregation Records'!$D$69:$D$152,255),0))=0,"",INDEX('Disaggregation Records'!$I$69:$I$152,MATCH(RIGHT(Q538,255),RIGHT('Disaggregation Records'!$D$69:$D$152,255),0))),"")</f>
        <v/>
      </c>
      <c r="W538" s="189" t="str">
        <f>IFERROR(INDEX('Reference Records'!P$19:P$56,MATCH(LEFT(C538,255),'Reference Records'!J$19:J$56,0)),"")</f>
        <v/>
      </c>
    </row>
    <row r="539" spans="1:23" s="189" customFormat="1" ht="40.200000000000003" customHeight="1" x14ac:dyDescent="0.3">
      <c r="A539" s="678"/>
      <c r="B539" s="675"/>
      <c r="C539" s="667"/>
      <c r="D539" s="677"/>
      <c r="E539" s="677"/>
      <c r="F539" s="202"/>
      <c r="G539" s="669"/>
      <c r="H539" s="671"/>
      <c r="I539" s="673"/>
      <c r="J539" s="652"/>
      <c r="K539" s="667"/>
      <c r="L539" s="667"/>
      <c r="M539" s="652"/>
      <c r="N539" s="652"/>
      <c r="V539" s="189" t="str">
        <f t="array" ref="V539">IFERROR(IF(INDEX('Disaggregation Records'!$I$69:$I$152,MATCH(RIGHT(Q539,255),RIGHT('Disaggregation Records'!$D$69:$D$152,255),0))=0,"",INDEX('Disaggregation Records'!$I$69:$I$152,MATCH(RIGHT(Q539,255),RIGHT('Disaggregation Records'!$D$69:$D$152,255),0))),"")</f>
        <v/>
      </c>
    </row>
    <row r="540" spans="1:23" s="189" customFormat="1" ht="40.200000000000003" customHeight="1" x14ac:dyDescent="0.3">
      <c r="A540" s="678" t="str">
        <f t="shared" ref="A540" ca="1" si="2192">INDIRECT("'update Helper'!C"&amp;U540)</f>
        <v>a1V3p000004fwvKEAQ</v>
      </c>
      <c r="B540" s="674">
        <v>12</v>
      </c>
      <c r="C540" s="666" t="str">
        <f>IFERROR(VLOOKUP(B540,'Outcome Indicators - Section C '!$A$9:$AF$70,32,FALSE),"")</f>
        <v/>
      </c>
      <c r="D540" s="676" t="str">
        <f t="shared" ref="D540" si="2193">R540</f>
        <v/>
      </c>
      <c r="E540" s="676" t="str">
        <f t="shared" ref="E540" si="2194">S540</f>
        <v/>
      </c>
      <c r="F540" s="194"/>
      <c r="G540" s="668" t="str">
        <f t="shared" ref="G540" ca="1" si="2195">IF(OR(INDIRECT("'update Helper'!E"&amp;U540)=0,F540&lt;&gt;0,F541&lt;&gt;0),IF(IFERROR((F540/F541),"")="","",(F540/F541)),INDIRECT("'update Helper'!E"&amp;U540)/100)</f>
        <v/>
      </c>
      <c r="H540" s="670"/>
      <c r="I540" s="672"/>
      <c r="J540" s="651"/>
      <c r="K540" s="666" t="str">
        <f t="shared" ref="K540" si="2196">W540</f>
        <v/>
      </c>
      <c r="L540" s="666" t="str">
        <f t="shared" ref="L540" si="2197">V540</f>
        <v/>
      </c>
      <c r="M540" s="651"/>
      <c r="N540" s="651"/>
      <c r="P540" s="189">
        <f t="shared" ref="P540" si="2198">IF(AND(EXACT(C540,C538),C538&lt;&gt;0),P538+1,0)</f>
        <v>72</v>
      </c>
      <c r="Q540" s="189" t="str">
        <f t="shared" ref="Q540" si="2199">IF(C540&lt;&gt;"",C540&amp;"-"&amp;P540,"")</f>
        <v/>
      </c>
      <c r="R540" s="189" t="str">
        <f t="array" ref="R540">IFERROR(IF(INDEX('Disaggregation Records'!$E$69:$E$152,MATCH(RIGHT(Q540,255),RIGHT('Disaggregation Records'!$D$69:$D$152,255),0))=0,"",INDEX('Disaggregation Records'!$E$69:$E$152,MATCH(RIGHT(Q540,255),RIGHT('Disaggregation Records'!$D$69:$D$152,255),0))),"")</f>
        <v/>
      </c>
      <c r="S540" s="189" t="str">
        <f t="array" ref="S540">IFERROR(IF(INDEX('Disaggregation Records'!$F$69:$F$152,MATCH(RIGHT(Q540,255),RIGHT('Disaggregation Records'!$D$69:$D$152,255),0))=0,"",INDEX('Disaggregation Records'!$F$69:$F$152,MATCH(RIGHT(Q540,255),RIGHT('Disaggregation Records'!$D$69:$D$152,255),0))),"")</f>
        <v/>
      </c>
      <c r="T540" s="189" t="str">
        <f t="array" ref="T540">IFERROR(IF(INDEX('Disaggregation Records'!$H$69:$H$152,MATCH(RIGHT(Q540,255),RIGHT('Disaggregation Records'!$D$69:$D$152,255),0))=0,"",INDEX('Disaggregation Records'!$H$69:$H$152,MATCH(RIGHT(Q540,255),RIGHT('Disaggregation Records'!$D$69:$D$152,255),0))),"")</f>
        <v/>
      </c>
      <c r="U540" s="189">
        <f t="shared" ref="U540" si="2200">U538+1</f>
        <v>991</v>
      </c>
      <c r="V540" s="189" t="str">
        <f t="array" ref="V540">IFERROR(IF(INDEX('Disaggregation Records'!$I$69:$I$152,MATCH(RIGHT(Q540,255),RIGHT('Disaggregation Records'!$D$69:$D$152,255),0))=0,"",INDEX('Disaggregation Records'!$I$69:$I$152,MATCH(RIGHT(Q540,255),RIGHT('Disaggregation Records'!$D$69:$D$152,255),0))),"")</f>
        <v/>
      </c>
      <c r="W540" s="189" t="str">
        <f>IFERROR(INDEX('Reference Records'!P$19:P$56,MATCH(LEFT(C540,255),'Reference Records'!J$19:J$56,0)),"")</f>
        <v/>
      </c>
    </row>
    <row r="541" spans="1:23" s="189" customFormat="1" ht="40.200000000000003" customHeight="1" x14ac:dyDescent="0.3">
      <c r="A541" s="678"/>
      <c r="B541" s="675"/>
      <c r="C541" s="667"/>
      <c r="D541" s="677"/>
      <c r="E541" s="677"/>
      <c r="F541" s="202"/>
      <c r="G541" s="669"/>
      <c r="H541" s="671"/>
      <c r="I541" s="673"/>
      <c r="J541" s="652"/>
      <c r="K541" s="667"/>
      <c r="L541" s="667"/>
      <c r="M541" s="652"/>
      <c r="N541" s="652"/>
      <c r="V541" s="189" t="str">
        <f t="array" ref="V541">IFERROR(IF(INDEX('Disaggregation Records'!$I$69:$I$152,MATCH(RIGHT(Q541,255),RIGHT('Disaggregation Records'!$D$69:$D$152,255),0))=0,"",INDEX('Disaggregation Records'!$I$69:$I$152,MATCH(RIGHT(Q541,255),RIGHT('Disaggregation Records'!$D$69:$D$152,255),0))),"")</f>
        <v/>
      </c>
    </row>
    <row r="542" spans="1:23" s="189" customFormat="1" ht="40.200000000000003" customHeight="1" x14ac:dyDescent="0.3">
      <c r="A542" s="678" t="str">
        <f t="shared" ref="A542" ca="1" si="2201">INDIRECT("'update Helper'!C"&amp;U542)</f>
        <v>a1V3p000004fwvLEAQ</v>
      </c>
      <c r="B542" s="674">
        <v>12</v>
      </c>
      <c r="C542" s="666" t="str">
        <f>IFERROR(VLOOKUP(B542,'Outcome Indicators - Section C '!$A$9:$AF$70,32,FALSE),"")</f>
        <v/>
      </c>
      <c r="D542" s="676" t="str">
        <f t="shared" ref="D542" si="2202">R542</f>
        <v/>
      </c>
      <c r="E542" s="676" t="str">
        <f t="shared" ref="E542" si="2203">S542</f>
        <v/>
      </c>
      <c r="F542" s="194"/>
      <c r="G542" s="668" t="str">
        <f t="shared" ref="G542" ca="1" si="2204">IF(OR(INDIRECT("'update Helper'!E"&amp;U542)=0,F542&lt;&gt;0,F543&lt;&gt;0),IF(IFERROR((F542/F543),"")="","",(F542/F543)),INDIRECT("'update Helper'!E"&amp;U542)/100)</f>
        <v/>
      </c>
      <c r="H542" s="670"/>
      <c r="I542" s="672"/>
      <c r="J542" s="651"/>
      <c r="K542" s="666" t="str">
        <f t="shared" ref="K542" si="2205">W542</f>
        <v/>
      </c>
      <c r="L542" s="666" t="str">
        <f t="shared" ref="L542" si="2206">V542</f>
        <v/>
      </c>
      <c r="M542" s="651"/>
      <c r="N542" s="651"/>
      <c r="P542" s="189">
        <f t="shared" ref="P542" si="2207">IF(AND(EXACT(C542,C540),C540&lt;&gt;0),P540+1,0)</f>
        <v>73</v>
      </c>
      <c r="Q542" s="189" t="str">
        <f t="shared" ref="Q542" si="2208">IF(C542&lt;&gt;"",C542&amp;"-"&amp;P542,"")</f>
        <v/>
      </c>
      <c r="R542" s="189" t="str">
        <f t="array" ref="R542">IFERROR(IF(INDEX('Disaggregation Records'!$E$69:$E$152,MATCH(RIGHT(Q542,255),RIGHT('Disaggregation Records'!$D$69:$D$152,255),0))=0,"",INDEX('Disaggregation Records'!$E$69:$E$152,MATCH(RIGHT(Q542,255),RIGHT('Disaggregation Records'!$D$69:$D$152,255),0))),"")</f>
        <v/>
      </c>
      <c r="S542" s="189" t="str">
        <f t="array" ref="S542">IFERROR(IF(INDEX('Disaggregation Records'!$F$69:$F$152,MATCH(RIGHT(Q542,255),RIGHT('Disaggregation Records'!$D$69:$D$152,255),0))=0,"",INDEX('Disaggregation Records'!$F$69:$F$152,MATCH(RIGHT(Q542,255),RIGHT('Disaggregation Records'!$D$69:$D$152,255),0))),"")</f>
        <v/>
      </c>
      <c r="T542" s="189" t="str">
        <f t="array" ref="T542">IFERROR(IF(INDEX('Disaggregation Records'!$H$69:$H$152,MATCH(RIGHT(Q542,255),RIGHT('Disaggregation Records'!$D$69:$D$152,255),0))=0,"",INDEX('Disaggregation Records'!$H$69:$H$152,MATCH(RIGHT(Q542,255),RIGHT('Disaggregation Records'!$D$69:$D$152,255),0))),"")</f>
        <v/>
      </c>
      <c r="U542" s="189">
        <f t="shared" ref="U542" si="2209">U540+1</f>
        <v>992</v>
      </c>
      <c r="V542" s="189" t="str">
        <f t="array" ref="V542">IFERROR(IF(INDEX('Disaggregation Records'!$I$69:$I$152,MATCH(RIGHT(Q542,255),RIGHT('Disaggregation Records'!$D$69:$D$152,255),0))=0,"",INDEX('Disaggregation Records'!$I$69:$I$152,MATCH(RIGHT(Q542,255),RIGHT('Disaggregation Records'!$D$69:$D$152,255),0))),"")</f>
        <v/>
      </c>
      <c r="W542" s="189" t="str">
        <f>IFERROR(INDEX('Reference Records'!P$19:P$56,MATCH(LEFT(C542,255),'Reference Records'!J$19:J$56,0)),"")</f>
        <v/>
      </c>
    </row>
    <row r="543" spans="1:23" s="189" customFormat="1" ht="40.200000000000003" customHeight="1" x14ac:dyDescent="0.3">
      <c r="A543" s="678"/>
      <c r="B543" s="675"/>
      <c r="C543" s="667"/>
      <c r="D543" s="677"/>
      <c r="E543" s="677"/>
      <c r="F543" s="202"/>
      <c r="G543" s="669"/>
      <c r="H543" s="671"/>
      <c r="I543" s="673"/>
      <c r="J543" s="652"/>
      <c r="K543" s="667"/>
      <c r="L543" s="667"/>
      <c r="M543" s="652"/>
      <c r="N543" s="652"/>
      <c r="V543" s="189" t="str">
        <f t="array" ref="V543">IFERROR(IF(INDEX('Disaggregation Records'!$I$69:$I$152,MATCH(RIGHT(Q543,255),RIGHT('Disaggregation Records'!$D$69:$D$152,255),0))=0,"",INDEX('Disaggregation Records'!$I$69:$I$152,MATCH(RIGHT(Q543,255),RIGHT('Disaggregation Records'!$D$69:$D$152,255),0))),"")</f>
        <v/>
      </c>
    </row>
    <row r="544" spans="1:23" s="189" customFormat="1" ht="40.200000000000003" customHeight="1" x14ac:dyDescent="0.3">
      <c r="A544" s="678" t="str">
        <f t="shared" ref="A544" ca="1" si="2210">INDIRECT("'update Helper'!C"&amp;U544)</f>
        <v>a1V3p000004fwvMEAQ</v>
      </c>
      <c r="B544" s="674">
        <v>12</v>
      </c>
      <c r="C544" s="666" t="str">
        <f>IFERROR(VLOOKUP(B544,'Outcome Indicators - Section C '!$A$9:$AF$70,32,FALSE),"")</f>
        <v/>
      </c>
      <c r="D544" s="676" t="str">
        <f t="shared" ref="D544" si="2211">R544</f>
        <v/>
      </c>
      <c r="E544" s="676" t="str">
        <f t="shared" ref="E544" si="2212">S544</f>
        <v/>
      </c>
      <c r="F544" s="194"/>
      <c r="G544" s="668" t="str">
        <f t="shared" ref="G544" ca="1" si="2213">IF(OR(INDIRECT("'update Helper'!E"&amp;U544)=0,F544&lt;&gt;0,F545&lt;&gt;0),IF(IFERROR((F544/F545),"")="","",(F544/F545)),INDIRECT("'update Helper'!E"&amp;U544)/100)</f>
        <v/>
      </c>
      <c r="H544" s="670"/>
      <c r="I544" s="672"/>
      <c r="J544" s="651"/>
      <c r="K544" s="666" t="str">
        <f t="shared" ref="K544" si="2214">W544</f>
        <v/>
      </c>
      <c r="L544" s="666" t="str">
        <f t="shared" ref="L544" si="2215">V544</f>
        <v/>
      </c>
      <c r="M544" s="651"/>
      <c r="N544" s="651"/>
      <c r="P544" s="189">
        <f t="shared" ref="P544" si="2216">IF(AND(EXACT(C544,C542),C542&lt;&gt;0),P542+1,0)</f>
        <v>74</v>
      </c>
      <c r="Q544" s="189" t="str">
        <f t="shared" ref="Q544" si="2217">IF(C544&lt;&gt;"",C544&amp;"-"&amp;P544,"")</f>
        <v/>
      </c>
      <c r="R544" s="189" t="str">
        <f t="array" ref="R544">IFERROR(IF(INDEX('Disaggregation Records'!$E$69:$E$152,MATCH(RIGHT(Q544,255),RIGHT('Disaggregation Records'!$D$69:$D$152,255),0))=0,"",INDEX('Disaggregation Records'!$E$69:$E$152,MATCH(RIGHT(Q544,255),RIGHT('Disaggregation Records'!$D$69:$D$152,255),0))),"")</f>
        <v/>
      </c>
      <c r="S544" s="189" t="str">
        <f t="array" ref="S544">IFERROR(IF(INDEX('Disaggregation Records'!$F$69:$F$152,MATCH(RIGHT(Q544,255),RIGHT('Disaggregation Records'!$D$69:$D$152,255),0))=0,"",INDEX('Disaggregation Records'!$F$69:$F$152,MATCH(RIGHT(Q544,255),RIGHT('Disaggregation Records'!$D$69:$D$152,255),0))),"")</f>
        <v/>
      </c>
      <c r="T544" s="189" t="str">
        <f t="array" ref="T544">IFERROR(IF(INDEX('Disaggregation Records'!$H$69:$H$152,MATCH(RIGHT(Q544,255),RIGHT('Disaggregation Records'!$D$69:$D$152,255),0))=0,"",INDEX('Disaggregation Records'!$H$69:$H$152,MATCH(RIGHT(Q544,255),RIGHT('Disaggregation Records'!$D$69:$D$152,255),0))),"")</f>
        <v/>
      </c>
      <c r="U544" s="189">
        <f t="shared" ref="U544" si="2218">U542+1</f>
        <v>993</v>
      </c>
      <c r="V544" s="189" t="str">
        <f t="array" ref="V544">IFERROR(IF(INDEX('Disaggregation Records'!$I$69:$I$152,MATCH(RIGHT(Q544,255),RIGHT('Disaggregation Records'!$D$69:$D$152,255),0))=0,"",INDEX('Disaggregation Records'!$I$69:$I$152,MATCH(RIGHT(Q544,255),RIGHT('Disaggregation Records'!$D$69:$D$152,255),0))),"")</f>
        <v/>
      </c>
      <c r="W544" s="189" t="str">
        <f>IFERROR(INDEX('Reference Records'!P$19:P$56,MATCH(LEFT(C544,255),'Reference Records'!J$19:J$56,0)),"")</f>
        <v/>
      </c>
    </row>
    <row r="545" spans="1:23" s="189" customFormat="1" ht="40.200000000000003" customHeight="1" x14ac:dyDescent="0.3">
      <c r="A545" s="678"/>
      <c r="B545" s="675"/>
      <c r="C545" s="667"/>
      <c r="D545" s="677"/>
      <c r="E545" s="677"/>
      <c r="F545" s="202"/>
      <c r="G545" s="669"/>
      <c r="H545" s="671"/>
      <c r="I545" s="673"/>
      <c r="J545" s="652"/>
      <c r="K545" s="667"/>
      <c r="L545" s="667"/>
      <c r="M545" s="652"/>
      <c r="N545" s="652"/>
      <c r="V545" s="189" t="str">
        <f t="array" ref="V545">IFERROR(IF(INDEX('Disaggregation Records'!$I$69:$I$152,MATCH(RIGHT(Q545,255),RIGHT('Disaggregation Records'!$D$69:$D$152,255),0))=0,"",INDEX('Disaggregation Records'!$I$69:$I$152,MATCH(RIGHT(Q545,255),RIGHT('Disaggregation Records'!$D$69:$D$152,255),0))),"")</f>
        <v/>
      </c>
    </row>
    <row r="546" spans="1:23" s="189" customFormat="1" ht="40.200000000000003" customHeight="1" x14ac:dyDescent="0.3">
      <c r="A546" s="678" t="str">
        <f t="shared" ref="A546" ca="1" si="2219">INDIRECT("'update Helper'!C"&amp;U546)</f>
        <v>a1V3p000004fwvNEAQ</v>
      </c>
      <c r="B546" s="674">
        <v>12</v>
      </c>
      <c r="C546" s="666" t="str">
        <f>IFERROR(VLOOKUP(B546,'Outcome Indicators - Section C '!$A$9:$AF$70,32,FALSE),"")</f>
        <v/>
      </c>
      <c r="D546" s="676" t="str">
        <f t="shared" ref="D546" si="2220">R546</f>
        <v/>
      </c>
      <c r="E546" s="676" t="str">
        <f t="shared" ref="E546" si="2221">S546</f>
        <v/>
      </c>
      <c r="F546" s="194"/>
      <c r="G546" s="668" t="str">
        <f t="shared" ref="G546" ca="1" si="2222">IF(OR(INDIRECT("'update Helper'!E"&amp;U546)=0,F546&lt;&gt;0,F547&lt;&gt;0),IF(IFERROR((F546/F547),"")="","",(F546/F547)),INDIRECT("'update Helper'!E"&amp;U546)/100)</f>
        <v/>
      </c>
      <c r="H546" s="670"/>
      <c r="I546" s="672"/>
      <c r="J546" s="651"/>
      <c r="K546" s="666" t="str">
        <f t="shared" ref="K546" si="2223">W546</f>
        <v/>
      </c>
      <c r="L546" s="666" t="str">
        <f t="shared" ref="L546" si="2224">V546</f>
        <v/>
      </c>
      <c r="M546" s="651"/>
      <c r="N546" s="651"/>
      <c r="P546" s="189">
        <f t="shared" ref="P546" si="2225">IF(AND(EXACT(C546,C544),C544&lt;&gt;0),P544+1,0)</f>
        <v>75</v>
      </c>
      <c r="Q546" s="189" t="str">
        <f t="shared" ref="Q546" si="2226">IF(C546&lt;&gt;"",C546&amp;"-"&amp;P546,"")</f>
        <v/>
      </c>
      <c r="R546" s="189" t="str">
        <f t="array" ref="R546">IFERROR(IF(INDEX('Disaggregation Records'!$E$69:$E$152,MATCH(RIGHT(Q546,255),RIGHT('Disaggregation Records'!$D$69:$D$152,255),0))=0,"",INDEX('Disaggregation Records'!$E$69:$E$152,MATCH(RIGHT(Q546,255),RIGHT('Disaggregation Records'!$D$69:$D$152,255),0))),"")</f>
        <v/>
      </c>
      <c r="S546" s="189" t="str">
        <f t="array" ref="S546">IFERROR(IF(INDEX('Disaggregation Records'!$F$69:$F$152,MATCH(RIGHT(Q546,255),RIGHT('Disaggregation Records'!$D$69:$D$152,255),0))=0,"",INDEX('Disaggregation Records'!$F$69:$F$152,MATCH(RIGHT(Q546,255),RIGHT('Disaggregation Records'!$D$69:$D$152,255),0))),"")</f>
        <v/>
      </c>
      <c r="T546" s="189" t="str">
        <f t="array" ref="T546">IFERROR(IF(INDEX('Disaggregation Records'!$H$69:$H$152,MATCH(RIGHT(Q546,255),RIGHT('Disaggregation Records'!$D$69:$D$152,255),0))=0,"",INDEX('Disaggregation Records'!$H$69:$H$152,MATCH(RIGHT(Q546,255),RIGHT('Disaggregation Records'!$D$69:$D$152,255),0))),"")</f>
        <v/>
      </c>
      <c r="U546" s="189">
        <f t="shared" ref="U546" si="2227">U544+1</f>
        <v>994</v>
      </c>
      <c r="V546" s="189" t="str">
        <f t="array" ref="V546">IFERROR(IF(INDEX('Disaggregation Records'!$I$69:$I$152,MATCH(RIGHT(Q546,255),RIGHT('Disaggregation Records'!$D$69:$D$152,255),0))=0,"",INDEX('Disaggregation Records'!$I$69:$I$152,MATCH(RIGHT(Q546,255),RIGHT('Disaggregation Records'!$D$69:$D$152,255),0))),"")</f>
        <v/>
      </c>
      <c r="W546" s="189" t="str">
        <f>IFERROR(INDEX('Reference Records'!P$19:P$56,MATCH(LEFT(C546,255),'Reference Records'!J$19:J$56,0)),"")</f>
        <v/>
      </c>
    </row>
    <row r="547" spans="1:23" s="189" customFormat="1" ht="40.200000000000003" customHeight="1" x14ac:dyDescent="0.3">
      <c r="A547" s="678"/>
      <c r="B547" s="675"/>
      <c r="C547" s="667"/>
      <c r="D547" s="677"/>
      <c r="E547" s="677"/>
      <c r="F547" s="202"/>
      <c r="G547" s="669"/>
      <c r="H547" s="671"/>
      <c r="I547" s="673"/>
      <c r="J547" s="652"/>
      <c r="K547" s="667"/>
      <c r="L547" s="667"/>
      <c r="M547" s="652"/>
      <c r="N547" s="652"/>
      <c r="V547" s="189" t="str">
        <f t="array" ref="V547">IFERROR(IF(INDEX('Disaggregation Records'!$I$69:$I$152,MATCH(RIGHT(Q547,255),RIGHT('Disaggregation Records'!$D$69:$D$152,255),0))=0,"",INDEX('Disaggregation Records'!$I$69:$I$152,MATCH(RIGHT(Q547,255),RIGHT('Disaggregation Records'!$D$69:$D$152,255),0))),"")</f>
        <v/>
      </c>
    </row>
    <row r="548" spans="1:23" s="189" customFormat="1" ht="40.200000000000003" customHeight="1" x14ac:dyDescent="0.3">
      <c r="A548" s="678" t="str">
        <f t="shared" ref="A548" ca="1" si="2228">INDIRECT("'update Helper'!C"&amp;U548)</f>
        <v>a1V3p000004fwvOEAQ</v>
      </c>
      <c r="B548" s="674">
        <v>12</v>
      </c>
      <c r="C548" s="666" t="str">
        <f>IFERROR(VLOOKUP(B548,'Outcome Indicators - Section C '!$A$9:$AF$70,32,FALSE),"")</f>
        <v/>
      </c>
      <c r="D548" s="676" t="str">
        <f t="shared" ref="D548" si="2229">R548</f>
        <v/>
      </c>
      <c r="E548" s="676" t="str">
        <f t="shared" ref="E548" si="2230">S548</f>
        <v/>
      </c>
      <c r="F548" s="194"/>
      <c r="G548" s="668" t="str">
        <f t="shared" ref="G548" ca="1" si="2231">IF(OR(INDIRECT("'update Helper'!E"&amp;U548)=0,F548&lt;&gt;0,F549&lt;&gt;0),IF(IFERROR((F548/F549),"")="","",(F548/F549)),INDIRECT("'update Helper'!E"&amp;U548)/100)</f>
        <v/>
      </c>
      <c r="H548" s="670"/>
      <c r="I548" s="672"/>
      <c r="J548" s="651"/>
      <c r="K548" s="666" t="str">
        <f t="shared" ref="K548" si="2232">W548</f>
        <v/>
      </c>
      <c r="L548" s="666" t="str">
        <f t="shared" ref="L548" si="2233">V548</f>
        <v/>
      </c>
      <c r="M548" s="651"/>
      <c r="N548" s="651"/>
      <c r="P548" s="189">
        <f t="shared" ref="P548" si="2234">IF(AND(EXACT(C548,C546),C546&lt;&gt;0),P546+1,0)</f>
        <v>76</v>
      </c>
      <c r="Q548" s="189" t="str">
        <f t="shared" ref="Q548" si="2235">IF(C548&lt;&gt;"",C548&amp;"-"&amp;P548,"")</f>
        <v/>
      </c>
      <c r="R548" s="189" t="str">
        <f t="array" ref="R548">IFERROR(IF(INDEX('Disaggregation Records'!$E$69:$E$152,MATCH(RIGHT(Q548,255),RIGHT('Disaggregation Records'!$D$69:$D$152,255),0))=0,"",INDEX('Disaggregation Records'!$E$69:$E$152,MATCH(RIGHT(Q548,255),RIGHT('Disaggregation Records'!$D$69:$D$152,255),0))),"")</f>
        <v/>
      </c>
      <c r="S548" s="189" t="str">
        <f t="array" ref="S548">IFERROR(IF(INDEX('Disaggregation Records'!$F$69:$F$152,MATCH(RIGHT(Q548,255),RIGHT('Disaggregation Records'!$D$69:$D$152,255),0))=0,"",INDEX('Disaggregation Records'!$F$69:$F$152,MATCH(RIGHT(Q548,255),RIGHT('Disaggregation Records'!$D$69:$D$152,255),0))),"")</f>
        <v/>
      </c>
      <c r="T548" s="189" t="str">
        <f t="array" ref="T548">IFERROR(IF(INDEX('Disaggregation Records'!$H$69:$H$152,MATCH(RIGHT(Q548,255),RIGHT('Disaggregation Records'!$D$69:$D$152,255),0))=0,"",INDEX('Disaggregation Records'!$H$69:$H$152,MATCH(RIGHT(Q548,255),RIGHT('Disaggregation Records'!$D$69:$D$152,255),0))),"")</f>
        <v/>
      </c>
      <c r="U548" s="189">
        <f t="shared" ref="U548" si="2236">U546+1</f>
        <v>995</v>
      </c>
      <c r="V548" s="189" t="str">
        <f t="array" ref="V548">IFERROR(IF(INDEX('Disaggregation Records'!$I$69:$I$152,MATCH(RIGHT(Q548,255),RIGHT('Disaggregation Records'!$D$69:$D$152,255),0))=0,"",INDEX('Disaggregation Records'!$I$69:$I$152,MATCH(RIGHT(Q548,255),RIGHT('Disaggregation Records'!$D$69:$D$152,255),0))),"")</f>
        <v/>
      </c>
      <c r="W548" s="189" t="str">
        <f>IFERROR(INDEX('Reference Records'!P$19:P$56,MATCH(LEFT(C548,255),'Reference Records'!J$19:J$56,0)),"")</f>
        <v/>
      </c>
    </row>
    <row r="549" spans="1:23" s="189" customFormat="1" ht="40.200000000000003" customHeight="1" x14ac:dyDescent="0.3">
      <c r="A549" s="678"/>
      <c r="B549" s="675"/>
      <c r="C549" s="667"/>
      <c r="D549" s="677"/>
      <c r="E549" s="677"/>
      <c r="F549" s="202"/>
      <c r="G549" s="669"/>
      <c r="H549" s="671"/>
      <c r="I549" s="673"/>
      <c r="J549" s="652"/>
      <c r="K549" s="667"/>
      <c r="L549" s="667"/>
      <c r="M549" s="652"/>
      <c r="N549" s="652"/>
      <c r="V549" s="189" t="str">
        <f t="array" ref="V549">IFERROR(IF(INDEX('Disaggregation Records'!$I$69:$I$152,MATCH(RIGHT(Q549,255),RIGHT('Disaggregation Records'!$D$69:$D$152,255),0))=0,"",INDEX('Disaggregation Records'!$I$69:$I$152,MATCH(RIGHT(Q549,255),RIGHT('Disaggregation Records'!$D$69:$D$152,255),0))),"")</f>
        <v/>
      </c>
    </row>
    <row r="550" spans="1:23" s="189" customFormat="1" ht="40.200000000000003" customHeight="1" x14ac:dyDescent="0.3">
      <c r="A550" s="678" t="str">
        <f t="shared" ref="A550" ca="1" si="2237">INDIRECT("'update Helper'!C"&amp;U550)</f>
        <v>a1V3p000004fwvPEAQ</v>
      </c>
      <c r="B550" s="674">
        <v>12</v>
      </c>
      <c r="C550" s="666" t="str">
        <f>IFERROR(VLOOKUP(B550,'Outcome Indicators - Section C '!$A$9:$AF$70,32,FALSE),"")</f>
        <v/>
      </c>
      <c r="D550" s="676" t="str">
        <f t="shared" ref="D550" si="2238">R550</f>
        <v/>
      </c>
      <c r="E550" s="676" t="str">
        <f t="shared" ref="E550" si="2239">S550</f>
        <v/>
      </c>
      <c r="F550" s="194"/>
      <c r="G550" s="668" t="str">
        <f t="shared" ref="G550" ca="1" si="2240">IF(OR(INDIRECT("'update Helper'!E"&amp;U550)=0,F550&lt;&gt;0,F551&lt;&gt;0),IF(IFERROR((F550/F551),"")="","",(F550/F551)),INDIRECT("'update Helper'!E"&amp;U550)/100)</f>
        <v/>
      </c>
      <c r="H550" s="670"/>
      <c r="I550" s="672"/>
      <c r="J550" s="651"/>
      <c r="K550" s="666" t="str">
        <f t="shared" ref="K550" si="2241">W550</f>
        <v/>
      </c>
      <c r="L550" s="666" t="str">
        <f t="shared" ref="L550" si="2242">V550</f>
        <v/>
      </c>
      <c r="M550" s="651"/>
      <c r="N550" s="651"/>
      <c r="P550" s="189">
        <f t="shared" ref="P550" si="2243">IF(AND(EXACT(C550,C548),C548&lt;&gt;0),P548+1,0)</f>
        <v>77</v>
      </c>
      <c r="Q550" s="189" t="str">
        <f t="shared" ref="Q550" si="2244">IF(C550&lt;&gt;"",C550&amp;"-"&amp;P550,"")</f>
        <v/>
      </c>
      <c r="R550" s="189" t="str">
        <f t="array" ref="R550">IFERROR(IF(INDEX('Disaggregation Records'!$E$69:$E$152,MATCH(RIGHT(Q550,255),RIGHT('Disaggregation Records'!$D$69:$D$152,255),0))=0,"",INDEX('Disaggregation Records'!$E$69:$E$152,MATCH(RIGHT(Q550,255),RIGHT('Disaggregation Records'!$D$69:$D$152,255),0))),"")</f>
        <v/>
      </c>
      <c r="S550" s="189" t="str">
        <f t="array" ref="S550">IFERROR(IF(INDEX('Disaggregation Records'!$F$69:$F$152,MATCH(RIGHT(Q550,255),RIGHT('Disaggregation Records'!$D$69:$D$152,255),0))=0,"",INDEX('Disaggregation Records'!$F$69:$F$152,MATCH(RIGHT(Q550,255),RIGHT('Disaggregation Records'!$D$69:$D$152,255),0))),"")</f>
        <v/>
      </c>
      <c r="T550" s="189" t="str">
        <f t="array" ref="T550">IFERROR(IF(INDEX('Disaggregation Records'!$H$69:$H$152,MATCH(RIGHT(Q550,255),RIGHT('Disaggregation Records'!$D$69:$D$152,255),0))=0,"",INDEX('Disaggregation Records'!$H$69:$H$152,MATCH(RIGHT(Q550,255),RIGHT('Disaggregation Records'!$D$69:$D$152,255),0))),"")</f>
        <v/>
      </c>
      <c r="U550" s="189">
        <f t="shared" ref="U550" si="2245">U548+1</f>
        <v>996</v>
      </c>
      <c r="V550" s="189" t="str">
        <f t="array" ref="V550">IFERROR(IF(INDEX('Disaggregation Records'!$I$69:$I$152,MATCH(RIGHT(Q550,255),RIGHT('Disaggregation Records'!$D$69:$D$152,255),0))=0,"",INDEX('Disaggregation Records'!$I$69:$I$152,MATCH(RIGHT(Q550,255),RIGHT('Disaggregation Records'!$D$69:$D$152,255),0))),"")</f>
        <v/>
      </c>
      <c r="W550" s="189" t="str">
        <f>IFERROR(INDEX('Reference Records'!P$19:P$56,MATCH(LEFT(C550,255),'Reference Records'!J$19:J$56,0)),"")</f>
        <v/>
      </c>
    </row>
    <row r="551" spans="1:23" s="189" customFormat="1" ht="40.200000000000003" customHeight="1" x14ac:dyDescent="0.3">
      <c r="A551" s="678"/>
      <c r="B551" s="675"/>
      <c r="C551" s="667"/>
      <c r="D551" s="677"/>
      <c r="E551" s="677"/>
      <c r="F551" s="202"/>
      <c r="G551" s="669"/>
      <c r="H551" s="671"/>
      <c r="I551" s="673"/>
      <c r="J551" s="652"/>
      <c r="K551" s="667"/>
      <c r="L551" s="667"/>
      <c r="M551" s="652"/>
      <c r="N551" s="652"/>
      <c r="V551" s="189" t="str">
        <f t="array" ref="V551">IFERROR(IF(INDEX('Disaggregation Records'!$I$69:$I$152,MATCH(RIGHT(Q551,255),RIGHT('Disaggregation Records'!$D$69:$D$152,255),0))=0,"",INDEX('Disaggregation Records'!$I$69:$I$152,MATCH(RIGHT(Q551,255),RIGHT('Disaggregation Records'!$D$69:$D$152,255),0))),"")</f>
        <v/>
      </c>
    </row>
    <row r="552" spans="1:23" s="189" customFormat="1" ht="40.200000000000003" customHeight="1" x14ac:dyDescent="0.3">
      <c r="A552" s="678" t="str">
        <f t="shared" ref="A552" ca="1" si="2246">INDIRECT("'update Helper'!C"&amp;U552)</f>
        <v>a1V3p000004fwvQEAQ</v>
      </c>
      <c r="B552" s="674">
        <v>12</v>
      </c>
      <c r="C552" s="666" t="str">
        <f>IFERROR(VLOOKUP(B552,'Outcome Indicators - Section C '!$A$9:$AF$70,32,FALSE),"")</f>
        <v/>
      </c>
      <c r="D552" s="676" t="str">
        <f t="shared" ref="D552" si="2247">R552</f>
        <v/>
      </c>
      <c r="E552" s="676" t="str">
        <f t="shared" ref="E552" si="2248">S552</f>
        <v/>
      </c>
      <c r="F552" s="194"/>
      <c r="G552" s="668" t="str">
        <f t="shared" ref="G552" ca="1" si="2249">IF(OR(INDIRECT("'update Helper'!E"&amp;U552)=0,F552&lt;&gt;0,F553&lt;&gt;0),IF(IFERROR((F552/F553),"")="","",(F552/F553)),INDIRECT("'update Helper'!E"&amp;U552)/100)</f>
        <v/>
      </c>
      <c r="H552" s="670"/>
      <c r="I552" s="672"/>
      <c r="J552" s="651"/>
      <c r="K552" s="666" t="str">
        <f t="shared" ref="K552" si="2250">W552</f>
        <v/>
      </c>
      <c r="L552" s="666" t="str">
        <f t="shared" ref="L552" si="2251">V552</f>
        <v/>
      </c>
      <c r="M552" s="651"/>
      <c r="N552" s="651"/>
      <c r="P552" s="189">
        <f t="shared" ref="P552" si="2252">IF(AND(EXACT(C552,C550),C550&lt;&gt;0),P550+1,0)</f>
        <v>78</v>
      </c>
      <c r="Q552" s="189" t="str">
        <f t="shared" ref="Q552" si="2253">IF(C552&lt;&gt;"",C552&amp;"-"&amp;P552,"")</f>
        <v/>
      </c>
      <c r="R552" s="189" t="str">
        <f t="array" ref="R552">IFERROR(IF(INDEX('Disaggregation Records'!$E$69:$E$152,MATCH(RIGHT(Q552,255),RIGHT('Disaggregation Records'!$D$69:$D$152,255),0))=0,"",INDEX('Disaggregation Records'!$E$69:$E$152,MATCH(RIGHT(Q552,255),RIGHT('Disaggregation Records'!$D$69:$D$152,255),0))),"")</f>
        <v/>
      </c>
      <c r="S552" s="189" t="str">
        <f t="array" ref="S552">IFERROR(IF(INDEX('Disaggregation Records'!$F$69:$F$152,MATCH(RIGHT(Q552,255),RIGHT('Disaggregation Records'!$D$69:$D$152,255),0))=0,"",INDEX('Disaggregation Records'!$F$69:$F$152,MATCH(RIGHT(Q552,255),RIGHT('Disaggregation Records'!$D$69:$D$152,255),0))),"")</f>
        <v/>
      </c>
      <c r="T552" s="189" t="str">
        <f t="array" ref="T552">IFERROR(IF(INDEX('Disaggregation Records'!$H$69:$H$152,MATCH(RIGHT(Q552,255),RIGHT('Disaggregation Records'!$D$69:$D$152,255),0))=0,"",INDEX('Disaggregation Records'!$H$69:$H$152,MATCH(RIGHT(Q552,255),RIGHT('Disaggregation Records'!$D$69:$D$152,255),0))),"")</f>
        <v/>
      </c>
      <c r="U552" s="189">
        <f t="shared" ref="U552" si="2254">U550+1</f>
        <v>997</v>
      </c>
      <c r="V552" s="189" t="str">
        <f t="array" ref="V552">IFERROR(IF(INDEX('Disaggregation Records'!$I$69:$I$152,MATCH(RIGHT(Q552,255),RIGHT('Disaggregation Records'!$D$69:$D$152,255),0))=0,"",INDEX('Disaggregation Records'!$I$69:$I$152,MATCH(RIGHT(Q552,255),RIGHT('Disaggregation Records'!$D$69:$D$152,255),0))),"")</f>
        <v/>
      </c>
      <c r="W552" s="189" t="str">
        <f>IFERROR(INDEX('Reference Records'!P$19:P$56,MATCH(LEFT(C552,255),'Reference Records'!J$19:J$56,0)),"")</f>
        <v/>
      </c>
    </row>
    <row r="553" spans="1:23" s="189" customFormat="1" ht="40.200000000000003" customHeight="1" x14ac:dyDescent="0.3">
      <c r="A553" s="678"/>
      <c r="B553" s="675"/>
      <c r="C553" s="667"/>
      <c r="D553" s="677"/>
      <c r="E553" s="677"/>
      <c r="F553" s="202"/>
      <c r="G553" s="669"/>
      <c r="H553" s="671"/>
      <c r="I553" s="673"/>
      <c r="J553" s="652"/>
      <c r="K553" s="667"/>
      <c r="L553" s="667"/>
      <c r="M553" s="652"/>
      <c r="N553" s="652"/>
      <c r="V553" s="189" t="str">
        <f t="array" ref="V553">IFERROR(IF(INDEX('Disaggregation Records'!$I$69:$I$152,MATCH(RIGHT(Q553,255),RIGHT('Disaggregation Records'!$D$69:$D$152,255),0))=0,"",INDEX('Disaggregation Records'!$I$69:$I$152,MATCH(RIGHT(Q553,255),RIGHT('Disaggregation Records'!$D$69:$D$152,255),0))),"")</f>
        <v/>
      </c>
    </row>
    <row r="554" spans="1:23" s="189" customFormat="1" ht="40.200000000000003" customHeight="1" x14ac:dyDescent="0.3">
      <c r="A554" s="678" t="str">
        <f t="shared" ref="A554" ca="1" si="2255">INDIRECT("'update Helper'!C"&amp;U554)</f>
        <v>a1V3p000004fwvREAQ</v>
      </c>
      <c r="B554" s="674">
        <v>12</v>
      </c>
      <c r="C554" s="666" t="str">
        <f>IFERROR(VLOOKUP(B554,'Outcome Indicators - Section C '!$A$9:$AF$70,32,FALSE),"")</f>
        <v/>
      </c>
      <c r="D554" s="676" t="str">
        <f t="shared" ref="D554" si="2256">R554</f>
        <v/>
      </c>
      <c r="E554" s="676" t="str">
        <f t="shared" ref="E554" si="2257">S554</f>
        <v/>
      </c>
      <c r="F554" s="194"/>
      <c r="G554" s="668" t="str">
        <f t="shared" ref="G554" ca="1" si="2258">IF(OR(INDIRECT("'update Helper'!E"&amp;U554)=0,F554&lt;&gt;0,F555&lt;&gt;0),IF(IFERROR((F554/F555),"")="","",(F554/F555)),INDIRECT("'update Helper'!E"&amp;U554)/100)</f>
        <v/>
      </c>
      <c r="H554" s="670"/>
      <c r="I554" s="672"/>
      <c r="J554" s="651"/>
      <c r="K554" s="666" t="str">
        <f t="shared" ref="K554" si="2259">W554</f>
        <v/>
      </c>
      <c r="L554" s="666" t="str">
        <f t="shared" ref="L554" si="2260">V554</f>
        <v/>
      </c>
      <c r="M554" s="651"/>
      <c r="N554" s="651"/>
      <c r="P554" s="189">
        <f t="shared" ref="P554" si="2261">IF(AND(EXACT(C554,C552),C552&lt;&gt;0),P552+1,0)</f>
        <v>79</v>
      </c>
      <c r="Q554" s="189" t="str">
        <f t="shared" ref="Q554" si="2262">IF(C554&lt;&gt;"",C554&amp;"-"&amp;P554,"")</f>
        <v/>
      </c>
      <c r="R554" s="189" t="str">
        <f t="array" ref="R554">IFERROR(IF(INDEX('Disaggregation Records'!$E$69:$E$152,MATCH(RIGHT(Q554,255),RIGHT('Disaggregation Records'!$D$69:$D$152,255),0))=0,"",INDEX('Disaggregation Records'!$E$69:$E$152,MATCH(RIGHT(Q554,255),RIGHT('Disaggregation Records'!$D$69:$D$152,255),0))),"")</f>
        <v/>
      </c>
      <c r="S554" s="189" t="str">
        <f t="array" ref="S554">IFERROR(IF(INDEX('Disaggregation Records'!$F$69:$F$152,MATCH(RIGHT(Q554,255),RIGHT('Disaggregation Records'!$D$69:$D$152,255),0))=0,"",INDEX('Disaggregation Records'!$F$69:$F$152,MATCH(RIGHT(Q554,255),RIGHT('Disaggregation Records'!$D$69:$D$152,255),0))),"")</f>
        <v/>
      </c>
      <c r="T554" s="189" t="str">
        <f t="array" ref="T554">IFERROR(IF(INDEX('Disaggregation Records'!$H$69:$H$152,MATCH(RIGHT(Q554,255),RIGHT('Disaggregation Records'!$D$69:$D$152,255),0))=0,"",INDEX('Disaggregation Records'!$H$69:$H$152,MATCH(RIGHT(Q554,255),RIGHT('Disaggregation Records'!$D$69:$D$152,255),0))),"")</f>
        <v/>
      </c>
      <c r="U554" s="189">
        <f t="shared" ref="U554" si="2263">U552+1</f>
        <v>998</v>
      </c>
      <c r="V554" s="189" t="str">
        <f t="array" ref="V554">IFERROR(IF(INDEX('Disaggregation Records'!$I$69:$I$152,MATCH(RIGHT(Q554,255),RIGHT('Disaggregation Records'!$D$69:$D$152,255),0))=0,"",INDEX('Disaggregation Records'!$I$69:$I$152,MATCH(RIGHT(Q554,255),RIGHT('Disaggregation Records'!$D$69:$D$152,255),0))),"")</f>
        <v/>
      </c>
      <c r="W554" s="189" t="str">
        <f>IFERROR(INDEX('Reference Records'!P$19:P$56,MATCH(LEFT(C554,255),'Reference Records'!J$19:J$56,0)),"")</f>
        <v/>
      </c>
    </row>
    <row r="555" spans="1:23" s="189" customFormat="1" ht="40.200000000000003" customHeight="1" x14ac:dyDescent="0.3">
      <c r="A555" s="678"/>
      <c r="B555" s="675"/>
      <c r="C555" s="667"/>
      <c r="D555" s="677"/>
      <c r="E555" s="677"/>
      <c r="F555" s="202"/>
      <c r="G555" s="669"/>
      <c r="H555" s="671"/>
      <c r="I555" s="673"/>
      <c r="J555" s="652"/>
      <c r="K555" s="667"/>
      <c r="L555" s="667"/>
      <c r="M555" s="652"/>
      <c r="N555" s="652"/>
      <c r="V555" s="189" t="str">
        <f t="array" ref="V555">IFERROR(IF(INDEX('Disaggregation Records'!$I$69:$I$152,MATCH(RIGHT(Q555,255),RIGHT('Disaggregation Records'!$D$69:$D$152,255),0))=0,"",INDEX('Disaggregation Records'!$I$69:$I$152,MATCH(RIGHT(Q555,255),RIGHT('Disaggregation Records'!$D$69:$D$152,255),0))),"")</f>
        <v/>
      </c>
    </row>
    <row r="556" spans="1:23" s="189" customFormat="1" ht="40.200000000000003" customHeight="1" x14ac:dyDescent="0.3">
      <c r="A556" s="678" t="str">
        <f t="shared" ref="A556" ca="1" si="2264">INDIRECT("'update Helper'!C"&amp;U556)</f>
        <v>a1V3p000004fwvSEAQ</v>
      </c>
      <c r="B556" s="674">
        <v>13</v>
      </c>
      <c r="C556" s="666" t="str">
        <f>IFERROR(VLOOKUP(B556,'Outcome Indicators - Section C '!$A$9:$AF$70,32,FALSE),"")</f>
        <v/>
      </c>
      <c r="D556" s="676" t="str">
        <f t="shared" ref="D556" si="2265">R556</f>
        <v/>
      </c>
      <c r="E556" s="676" t="str">
        <f t="shared" ref="E556" si="2266">S556</f>
        <v/>
      </c>
      <c r="F556" s="194"/>
      <c r="G556" s="668" t="str">
        <f t="shared" ref="G556" ca="1" si="2267">IF(OR(INDIRECT("'update Helper'!E"&amp;U556)=0,F556&lt;&gt;0,F557&lt;&gt;0),IF(IFERROR((F556/F557),"")="","",(F556/F557)),INDIRECT("'update Helper'!E"&amp;U556)/100)</f>
        <v/>
      </c>
      <c r="H556" s="670"/>
      <c r="I556" s="672"/>
      <c r="J556" s="651"/>
      <c r="K556" s="666" t="str">
        <f t="shared" ref="K556" si="2268">W556</f>
        <v/>
      </c>
      <c r="L556" s="666" t="str">
        <f t="shared" ref="L556" si="2269">V556</f>
        <v/>
      </c>
      <c r="M556" s="651"/>
      <c r="N556" s="651"/>
      <c r="P556" s="189">
        <f t="shared" ref="P556" si="2270">IF(AND(EXACT(C556,C554),C554&lt;&gt;0),P554+1,0)</f>
        <v>80</v>
      </c>
      <c r="Q556" s="189" t="str">
        <f t="shared" ref="Q556" si="2271">IF(C556&lt;&gt;"",C556&amp;"-"&amp;P556,"")</f>
        <v/>
      </c>
      <c r="R556" s="189" t="str">
        <f t="array" ref="R556">IFERROR(IF(INDEX('Disaggregation Records'!$E$69:$E$152,MATCH(RIGHT(Q556,255),RIGHT('Disaggregation Records'!$D$69:$D$152,255),0))=0,"",INDEX('Disaggregation Records'!$E$69:$E$152,MATCH(RIGHT(Q556,255),RIGHT('Disaggregation Records'!$D$69:$D$152,255),0))),"")</f>
        <v/>
      </c>
      <c r="S556" s="189" t="str">
        <f t="array" ref="S556">IFERROR(IF(INDEX('Disaggregation Records'!$F$69:$F$152,MATCH(RIGHT(Q556,255),RIGHT('Disaggregation Records'!$D$69:$D$152,255),0))=0,"",INDEX('Disaggregation Records'!$F$69:$F$152,MATCH(RIGHT(Q556,255),RIGHT('Disaggregation Records'!$D$69:$D$152,255),0))),"")</f>
        <v/>
      </c>
      <c r="T556" s="189" t="str">
        <f t="array" ref="T556">IFERROR(IF(INDEX('Disaggregation Records'!$H$69:$H$152,MATCH(RIGHT(Q556,255),RIGHT('Disaggregation Records'!$D$69:$D$152,255),0))=0,"",INDEX('Disaggregation Records'!$H$69:$H$152,MATCH(RIGHT(Q556,255),RIGHT('Disaggregation Records'!$D$69:$D$152,255),0))),"")</f>
        <v/>
      </c>
      <c r="U556" s="189">
        <f t="shared" ref="U556" si="2272">U554+1</f>
        <v>999</v>
      </c>
      <c r="V556" s="189" t="str">
        <f t="array" ref="V556">IFERROR(IF(INDEX('Disaggregation Records'!$I$69:$I$152,MATCH(RIGHT(Q556,255),RIGHT('Disaggregation Records'!$D$69:$D$152,255),0))=0,"",INDEX('Disaggregation Records'!$I$69:$I$152,MATCH(RIGHT(Q556,255),RIGHT('Disaggregation Records'!$D$69:$D$152,255),0))),"")</f>
        <v/>
      </c>
      <c r="W556" s="189" t="str">
        <f>IFERROR(INDEX('Reference Records'!P$19:P$56,MATCH(LEFT(C556,255),'Reference Records'!J$19:J$56,0)),"")</f>
        <v/>
      </c>
    </row>
    <row r="557" spans="1:23" s="189" customFormat="1" ht="40.200000000000003" customHeight="1" x14ac:dyDescent="0.3">
      <c r="A557" s="678"/>
      <c r="B557" s="675"/>
      <c r="C557" s="667"/>
      <c r="D557" s="677"/>
      <c r="E557" s="677"/>
      <c r="F557" s="202"/>
      <c r="G557" s="669"/>
      <c r="H557" s="671"/>
      <c r="I557" s="673"/>
      <c r="J557" s="652"/>
      <c r="K557" s="667"/>
      <c r="L557" s="667"/>
      <c r="M557" s="652"/>
      <c r="N557" s="652"/>
      <c r="V557" s="189" t="str">
        <f t="array" ref="V557">IFERROR(IF(INDEX('Disaggregation Records'!$I$69:$I$152,MATCH(RIGHT(Q557,255),RIGHT('Disaggregation Records'!$D$69:$D$152,255),0))=0,"",INDEX('Disaggregation Records'!$I$69:$I$152,MATCH(RIGHT(Q557,255),RIGHT('Disaggregation Records'!$D$69:$D$152,255),0))),"")</f>
        <v/>
      </c>
    </row>
    <row r="558" spans="1:23" s="189" customFormat="1" ht="40.200000000000003" customHeight="1" x14ac:dyDescent="0.3">
      <c r="A558" s="678" t="str">
        <f t="shared" ref="A558" ca="1" si="2273">INDIRECT("'update Helper'!C"&amp;U558)</f>
        <v>a1V3p000004fwvTEAQ</v>
      </c>
      <c r="B558" s="674">
        <v>13</v>
      </c>
      <c r="C558" s="666" t="str">
        <f>IFERROR(VLOOKUP(B558,'Outcome Indicators - Section C '!$A$9:$AF$70,32,FALSE),"")</f>
        <v/>
      </c>
      <c r="D558" s="676" t="str">
        <f t="shared" ref="D558" si="2274">R558</f>
        <v/>
      </c>
      <c r="E558" s="676" t="str">
        <f t="shared" ref="E558" si="2275">S558</f>
        <v/>
      </c>
      <c r="F558" s="194"/>
      <c r="G558" s="668" t="str">
        <f t="shared" ref="G558" ca="1" si="2276">IF(OR(INDIRECT("'update Helper'!E"&amp;U558)=0,F558&lt;&gt;0,F559&lt;&gt;0),IF(IFERROR((F558/F559),"")="","",(F558/F559)),INDIRECT("'update Helper'!E"&amp;U558)/100)</f>
        <v/>
      </c>
      <c r="H558" s="670"/>
      <c r="I558" s="672"/>
      <c r="J558" s="651"/>
      <c r="K558" s="666" t="str">
        <f t="shared" ref="K558" si="2277">W558</f>
        <v/>
      </c>
      <c r="L558" s="666" t="str">
        <f t="shared" ref="L558" si="2278">V558</f>
        <v/>
      </c>
      <c r="M558" s="651"/>
      <c r="N558" s="651"/>
      <c r="P558" s="189">
        <f t="shared" ref="P558" si="2279">IF(AND(EXACT(C558,C556),C556&lt;&gt;0),P556+1,0)</f>
        <v>81</v>
      </c>
      <c r="Q558" s="189" t="str">
        <f t="shared" ref="Q558" si="2280">IF(C558&lt;&gt;"",C558&amp;"-"&amp;P558,"")</f>
        <v/>
      </c>
      <c r="R558" s="189" t="str">
        <f t="array" ref="R558">IFERROR(IF(INDEX('Disaggregation Records'!$E$69:$E$152,MATCH(RIGHT(Q558,255),RIGHT('Disaggregation Records'!$D$69:$D$152,255),0))=0,"",INDEX('Disaggregation Records'!$E$69:$E$152,MATCH(RIGHT(Q558,255),RIGHT('Disaggregation Records'!$D$69:$D$152,255),0))),"")</f>
        <v/>
      </c>
      <c r="S558" s="189" t="str">
        <f t="array" ref="S558">IFERROR(IF(INDEX('Disaggregation Records'!$F$69:$F$152,MATCH(RIGHT(Q558,255),RIGHT('Disaggregation Records'!$D$69:$D$152,255),0))=0,"",INDEX('Disaggregation Records'!$F$69:$F$152,MATCH(RIGHT(Q558,255),RIGHT('Disaggregation Records'!$D$69:$D$152,255),0))),"")</f>
        <v/>
      </c>
      <c r="T558" s="189" t="str">
        <f t="array" ref="T558">IFERROR(IF(INDEX('Disaggregation Records'!$H$69:$H$152,MATCH(RIGHT(Q558,255),RIGHT('Disaggregation Records'!$D$69:$D$152,255),0))=0,"",INDEX('Disaggregation Records'!$H$69:$H$152,MATCH(RIGHT(Q558,255),RIGHT('Disaggregation Records'!$D$69:$D$152,255),0))),"")</f>
        <v/>
      </c>
      <c r="U558" s="189">
        <f t="shared" ref="U558" si="2281">U556+1</f>
        <v>1000</v>
      </c>
      <c r="V558" s="189" t="str">
        <f t="array" ref="V558">IFERROR(IF(INDEX('Disaggregation Records'!$I$69:$I$152,MATCH(RIGHT(Q558,255),RIGHT('Disaggregation Records'!$D$69:$D$152,255),0))=0,"",INDEX('Disaggregation Records'!$I$69:$I$152,MATCH(RIGHT(Q558,255),RIGHT('Disaggregation Records'!$D$69:$D$152,255),0))),"")</f>
        <v/>
      </c>
      <c r="W558" s="189" t="str">
        <f>IFERROR(INDEX('Reference Records'!P$19:P$56,MATCH(LEFT(C558,255),'Reference Records'!J$19:J$56,0)),"")</f>
        <v/>
      </c>
    </row>
    <row r="559" spans="1:23" s="189" customFormat="1" ht="40.200000000000003" customHeight="1" x14ac:dyDescent="0.3">
      <c r="A559" s="678"/>
      <c r="B559" s="675"/>
      <c r="C559" s="667"/>
      <c r="D559" s="677"/>
      <c r="E559" s="677"/>
      <c r="F559" s="202"/>
      <c r="G559" s="669"/>
      <c r="H559" s="671"/>
      <c r="I559" s="673"/>
      <c r="J559" s="652"/>
      <c r="K559" s="667"/>
      <c r="L559" s="667"/>
      <c r="M559" s="652"/>
      <c r="N559" s="652"/>
      <c r="V559" s="189" t="str">
        <f t="array" ref="V559">IFERROR(IF(INDEX('Disaggregation Records'!$I$69:$I$152,MATCH(RIGHT(Q559,255),RIGHT('Disaggregation Records'!$D$69:$D$152,255),0))=0,"",INDEX('Disaggregation Records'!$I$69:$I$152,MATCH(RIGHT(Q559,255),RIGHT('Disaggregation Records'!$D$69:$D$152,255),0))),"")</f>
        <v/>
      </c>
    </row>
    <row r="560" spans="1:23" s="189" customFormat="1" ht="40.200000000000003" customHeight="1" x14ac:dyDescent="0.3">
      <c r="A560" s="678" t="str">
        <f t="shared" ref="A560" ca="1" si="2282">INDIRECT("'update Helper'!C"&amp;U560)</f>
        <v>a1V3p000004fwvUEAQ</v>
      </c>
      <c r="B560" s="674">
        <v>13</v>
      </c>
      <c r="C560" s="666" t="str">
        <f>IFERROR(VLOOKUP(B560,'Outcome Indicators - Section C '!$A$9:$AF$70,32,FALSE),"")</f>
        <v/>
      </c>
      <c r="D560" s="676" t="str">
        <f t="shared" ref="D560" si="2283">R560</f>
        <v/>
      </c>
      <c r="E560" s="676" t="str">
        <f t="shared" ref="E560" si="2284">S560</f>
        <v/>
      </c>
      <c r="F560" s="194"/>
      <c r="G560" s="668" t="str">
        <f t="shared" ref="G560" ca="1" si="2285">IF(OR(INDIRECT("'update Helper'!E"&amp;U560)=0,F560&lt;&gt;0,F561&lt;&gt;0),IF(IFERROR((F560/F561),"")="","",(F560/F561)),INDIRECT("'update Helper'!E"&amp;U560)/100)</f>
        <v/>
      </c>
      <c r="H560" s="670"/>
      <c r="I560" s="672"/>
      <c r="J560" s="651"/>
      <c r="K560" s="666" t="str">
        <f t="shared" ref="K560" si="2286">W560</f>
        <v/>
      </c>
      <c r="L560" s="666" t="str">
        <f t="shared" ref="L560" si="2287">V560</f>
        <v/>
      </c>
      <c r="M560" s="651"/>
      <c r="N560" s="651"/>
      <c r="P560" s="189">
        <f t="shared" ref="P560" si="2288">IF(AND(EXACT(C560,C558),C558&lt;&gt;0),P558+1,0)</f>
        <v>82</v>
      </c>
      <c r="Q560" s="189" t="str">
        <f t="shared" ref="Q560" si="2289">IF(C560&lt;&gt;"",C560&amp;"-"&amp;P560,"")</f>
        <v/>
      </c>
      <c r="R560" s="189" t="str">
        <f t="array" ref="R560">IFERROR(IF(INDEX('Disaggregation Records'!$E$69:$E$152,MATCH(RIGHT(Q560,255),RIGHT('Disaggregation Records'!$D$69:$D$152,255),0))=0,"",INDEX('Disaggregation Records'!$E$69:$E$152,MATCH(RIGHT(Q560,255),RIGHT('Disaggregation Records'!$D$69:$D$152,255),0))),"")</f>
        <v/>
      </c>
      <c r="S560" s="189" t="str">
        <f t="array" ref="S560">IFERROR(IF(INDEX('Disaggregation Records'!$F$69:$F$152,MATCH(RIGHT(Q560,255),RIGHT('Disaggregation Records'!$D$69:$D$152,255),0))=0,"",INDEX('Disaggregation Records'!$F$69:$F$152,MATCH(RIGHT(Q560,255),RIGHT('Disaggregation Records'!$D$69:$D$152,255),0))),"")</f>
        <v/>
      </c>
      <c r="T560" s="189" t="str">
        <f t="array" ref="T560">IFERROR(IF(INDEX('Disaggregation Records'!$H$69:$H$152,MATCH(RIGHT(Q560,255),RIGHT('Disaggregation Records'!$D$69:$D$152,255),0))=0,"",INDEX('Disaggregation Records'!$H$69:$H$152,MATCH(RIGHT(Q560,255),RIGHT('Disaggregation Records'!$D$69:$D$152,255),0))),"")</f>
        <v/>
      </c>
      <c r="U560" s="189">
        <f t="shared" ref="U560" si="2290">U558+1</f>
        <v>1001</v>
      </c>
      <c r="V560" s="189" t="str">
        <f t="array" ref="V560">IFERROR(IF(INDEX('Disaggregation Records'!$I$69:$I$152,MATCH(RIGHT(Q560,255),RIGHT('Disaggregation Records'!$D$69:$D$152,255),0))=0,"",INDEX('Disaggregation Records'!$I$69:$I$152,MATCH(RIGHT(Q560,255),RIGHT('Disaggregation Records'!$D$69:$D$152,255),0))),"")</f>
        <v/>
      </c>
      <c r="W560" s="189" t="str">
        <f>IFERROR(INDEX('Reference Records'!P$19:P$56,MATCH(LEFT(C560,255),'Reference Records'!J$19:J$56,0)),"")</f>
        <v/>
      </c>
    </row>
    <row r="561" spans="1:23" s="189" customFormat="1" ht="40.200000000000003" customHeight="1" x14ac:dyDescent="0.3">
      <c r="A561" s="678"/>
      <c r="B561" s="675"/>
      <c r="C561" s="667"/>
      <c r="D561" s="677"/>
      <c r="E561" s="677"/>
      <c r="F561" s="202"/>
      <c r="G561" s="669"/>
      <c r="H561" s="671"/>
      <c r="I561" s="673"/>
      <c r="J561" s="652"/>
      <c r="K561" s="667"/>
      <c r="L561" s="667"/>
      <c r="M561" s="652"/>
      <c r="N561" s="652"/>
      <c r="V561" s="189" t="str">
        <f t="array" ref="V561">IFERROR(IF(INDEX('Disaggregation Records'!$I$69:$I$152,MATCH(RIGHT(Q561,255),RIGHT('Disaggregation Records'!$D$69:$D$152,255),0))=0,"",INDEX('Disaggregation Records'!$I$69:$I$152,MATCH(RIGHT(Q561,255),RIGHT('Disaggregation Records'!$D$69:$D$152,255),0))),"")</f>
        <v/>
      </c>
    </row>
    <row r="562" spans="1:23" s="189" customFormat="1" ht="40.200000000000003" customHeight="1" x14ac:dyDescent="0.3">
      <c r="A562" s="678" t="str">
        <f t="shared" ref="A562" ca="1" si="2291">INDIRECT("'update Helper'!C"&amp;U562)</f>
        <v>a1V3p000004fwvVEAQ</v>
      </c>
      <c r="B562" s="674">
        <v>13</v>
      </c>
      <c r="C562" s="666" t="str">
        <f>IFERROR(VLOOKUP(B562,'Outcome Indicators - Section C '!$A$9:$AF$70,32,FALSE),"")</f>
        <v/>
      </c>
      <c r="D562" s="676" t="str">
        <f t="shared" ref="D562" si="2292">R562</f>
        <v/>
      </c>
      <c r="E562" s="676" t="str">
        <f t="shared" ref="E562" si="2293">S562</f>
        <v/>
      </c>
      <c r="F562" s="194"/>
      <c r="G562" s="668" t="str">
        <f t="shared" ref="G562" ca="1" si="2294">IF(OR(INDIRECT("'update Helper'!E"&amp;U562)=0,F562&lt;&gt;0,F563&lt;&gt;0),IF(IFERROR((F562/F563),"")="","",(F562/F563)),INDIRECT("'update Helper'!E"&amp;U562)/100)</f>
        <v/>
      </c>
      <c r="H562" s="670"/>
      <c r="I562" s="672"/>
      <c r="J562" s="651"/>
      <c r="K562" s="666" t="str">
        <f t="shared" ref="K562" si="2295">W562</f>
        <v/>
      </c>
      <c r="L562" s="666" t="str">
        <f t="shared" ref="L562" si="2296">V562</f>
        <v/>
      </c>
      <c r="M562" s="651"/>
      <c r="N562" s="651"/>
      <c r="P562" s="189">
        <f t="shared" ref="P562" si="2297">IF(AND(EXACT(C562,C560),C560&lt;&gt;0),P560+1,0)</f>
        <v>83</v>
      </c>
      <c r="Q562" s="189" t="str">
        <f t="shared" ref="Q562" si="2298">IF(C562&lt;&gt;"",C562&amp;"-"&amp;P562,"")</f>
        <v/>
      </c>
      <c r="R562" s="189" t="str">
        <f t="array" ref="R562">IFERROR(IF(INDEX('Disaggregation Records'!$E$69:$E$152,MATCH(RIGHT(Q562,255),RIGHT('Disaggregation Records'!$D$69:$D$152,255),0))=0,"",INDEX('Disaggregation Records'!$E$69:$E$152,MATCH(RIGHT(Q562,255),RIGHT('Disaggregation Records'!$D$69:$D$152,255),0))),"")</f>
        <v/>
      </c>
      <c r="S562" s="189" t="str">
        <f t="array" ref="S562">IFERROR(IF(INDEX('Disaggregation Records'!$F$69:$F$152,MATCH(RIGHT(Q562,255),RIGHT('Disaggregation Records'!$D$69:$D$152,255),0))=0,"",INDEX('Disaggregation Records'!$F$69:$F$152,MATCH(RIGHT(Q562,255),RIGHT('Disaggregation Records'!$D$69:$D$152,255),0))),"")</f>
        <v/>
      </c>
      <c r="T562" s="189" t="str">
        <f t="array" ref="T562">IFERROR(IF(INDEX('Disaggregation Records'!$H$69:$H$152,MATCH(RIGHT(Q562,255),RIGHT('Disaggregation Records'!$D$69:$D$152,255),0))=0,"",INDEX('Disaggregation Records'!$H$69:$H$152,MATCH(RIGHT(Q562,255),RIGHT('Disaggregation Records'!$D$69:$D$152,255),0))),"")</f>
        <v/>
      </c>
      <c r="U562" s="189">
        <f t="shared" ref="U562" si="2299">U560+1</f>
        <v>1002</v>
      </c>
      <c r="V562" s="189" t="str">
        <f t="array" ref="V562">IFERROR(IF(INDEX('Disaggregation Records'!$I$69:$I$152,MATCH(RIGHT(Q562,255),RIGHT('Disaggregation Records'!$D$69:$D$152,255),0))=0,"",INDEX('Disaggregation Records'!$I$69:$I$152,MATCH(RIGHT(Q562,255),RIGHT('Disaggregation Records'!$D$69:$D$152,255),0))),"")</f>
        <v/>
      </c>
      <c r="W562" s="189" t="str">
        <f>IFERROR(INDEX('Reference Records'!P$19:P$56,MATCH(LEFT(C562,255),'Reference Records'!J$19:J$56,0)),"")</f>
        <v/>
      </c>
    </row>
    <row r="563" spans="1:23" s="189" customFormat="1" ht="40.200000000000003" customHeight="1" x14ac:dyDescent="0.3">
      <c r="A563" s="678"/>
      <c r="B563" s="675"/>
      <c r="C563" s="667"/>
      <c r="D563" s="677"/>
      <c r="E563" s="677"/>
      <c r="F563" s="202"/>
      <c r="G563" s="669"/>
      <c r="H563" s="671"/>
      <c r="I563" s="673"/>
      <c r="J563" s="652"/>
      <c r="K563" s="667"/>
      <c r="L563" s="667"/>
      <c r="M563" s="652"/>
      <c r="N563" s="652"/>
      <c r="V563" s="189" t="str">
        <f t="array" ref="V563">IFERROR(IF(INDEX('Disaggregation Records'!$I$69:$I$152,MATCH(RIGHT(Q563,255),RIGHT('Disaggregation Records'!$D$69:$D$152,255),0))=0,"",INDEX('Disaggregation Records'!$I$69:$I$152,MATCH(RIGHT(Q563,255),RIGHT('Disaggregation Records'!$D$69:$D$152,255),0))),"")</f>
        <v/>
      </c>
    </row>
    <row r="564" spans="1:23" s="189" customFormat="1" ht="40.200000000000003" customHeight="1" x14ac:dyDescent="0.3">
      <c r="A564" s="678" t="str">
        <f t="shared" ref="A564" ca="1" si="2300">INDIRECT("'update Helper'!C"&amp;U564)</f>
        <v>a1V3p000004fwvWEAQ</v>
      </c>
      <c r="B564" s="674">
        <v>13</v>
      </c>
      <c r="C564" s="666" t="str">
        <f>IFERROR(VLOOKUP(B564,'Outcome Indicators - Section C '!$A$9:$AF$70,32,FALSE),"")</f>
        <v/>
      </c>
      <c r="D564" s="676" t="str">
        <f t="shared" ref="D564" si="2301">R564</f>
        <v/>
      </c>
      <c r="E564" s="676" t="str">
        <f t="shared" ref="E564" si="2302">S564</f>
        <v/>
      </c>
      <c r="F564" s="194"/>
      <c r="G564" s="668" t="str">
        <f t="shared" ref="G564" ca="1" si="2303">IF(OR(INDIRECT("'update Helper'!E"&amp;U564)=0,F564&lt;&gt;0,F565&lt;&gt;0),IF(IFERROR((F564/F565),"")="","",(F564/F565)),INDIRECT("'update Helper'!E"&amp;U564)/100)</f>
        <v/>
      </c>
      <c r="H564" s="670"/>
      <c r="I564" s="672"/>
      <c r="J564" s="651"/>
      <c r="K564" s="666" t="str">
        <f t="shared" ref="K564" si="2304">W564</f>
        <v/>
      </c>
      <c r="L564" s="666" t="str">
        <f t="shared" ref="L564" si="2305">V564</f>
        <v/>
      </c>
      <c r="M564" s="651"/>
      <c r="N564" s="651"/>
      <c r="P564" s="189">
        <f t="shared" ref="P564" si="2306">IF(AND(EXACT(C564,C562),C562&lt;&gt;0),P562+1,0)</f>
        <v>84</v>
      </c>
      <c r="Q564" s="189" t="str">
        <f t="shared" ref="Q564" si="2307">IF(C564&lt;&gt;"",C564&amp;"-"&amp;P564,"")</f>
        <v/>
      </c>
      <c r="R564" s="189" t="str">
        <f t="array" ref="R564">IFERROR(IF(INDEX('Disaggregation Records'!$E$69:$E$152,MATCH(RIGHT(Q564,255),RIGHT('Disaggregation Records'!$D$69:$D$152,255),0))=0,"",INDEX('Disaggregation Records'!$E$69:$E$152,MATCH(RIGHT(Q564,255),RIGHT('Disaggregation Records'!$D$69:$D$152,255),0))),"")</f>
        <v/>
      </c>
      <c r="S564" s="189" t="str">
        <f t="array" ref="S564">IFERROR(IF(INDEX('Disaggregation Records'!$F$69:$F$152,MATCH(RIGHT(Q564,255),RIGHT('Disaggregation Records'!$D$69:$D$152,255),0))=0,"",INDEX('Disaggregation Records'!$F$69:$F$152,MATCH(RIGHT(Q564,255),RIGHT('Disaggregation Records'!$D$69:$D$152,255),0))),"")</f>
        <v/>
      </c>
      <c r="T564" s="189" t="str">
        <f t="array" ref="T564">IFERROR(IF(INDEX('Disaggregation Records'!$H$69:$H$152,MATCH(RIGHT(Q564,255),RIGHT('Disaggregation Records'!$D$69:$D$152,255),0))=0,"",INDEX('Disaggregation Records'!$H$69:$H$152,MATCH(RIGHT(Q564,255),RIGHT('Disaggregation Records'!$D$69:$D$152,255),0))),"")</f>
        <v/>
      </c>
      <c r="U564" s="189">
        <f t="shared" ref="U564" si="2308">U562+1</f>
        <v>1003</v>
      </c>
      <c r="V564" s="189" t="str">
        <f t="array" ref="V564">IFERROR(IF(INDEX('Disaggregation Records'!$I$69:$I$152,MATCH(RIGHT(Q564,255),RIGHT('Disaggregation Records'!$D$69:$D$152,255),0))=0,"",INDEX('Disaggregation Records'!$I$69:$I$152,MATCH(RIGHT(Q564,255),RIGHT('Disaggregation Records'!$D$69:$D$152,255),0))),"")</f>
        <v/>
      </c>
      <c r="W564" s="189" t="str">
        <f>IFERROR(INDEX('Reference Records'!P$19:P$56,MATCH(LEFT(C564,255),'Reference Records'!J$19:J$56,0)),"")</f>
        <v/>
      </c>
    </row>
    <row r="565" spans="1:23" s="189" customFormat="1" ht="40.200000000000003" customHeight="1" x14ac:dyDescent="0.3">
      <c r="A565" s="678"/>
      <c r="B565" s="675"/>
      <c r="C565" s="667"/>
      <c r="D565" s="677"/>
      <c r="E565" s="677"/>
      <c r="F565" s="202"/>
      <c r="G565" s="669"/>
      <c r="H565" s="671"/>
      <c r="I565" s="673"/>
      <c r="J565" s="652"/>
      <c r="K565" s="667"/>
      <c r="L565" s="667"/>
      <c r="M565" s="652"/>
      <c r="N565" s="652"/>
      <c r="V565" s="189" t="str">
        <f t="array" ref="V565">IFERROR(IF(INDEX('Disaggregation Records'!$I$69:$I$152,MATCH(RIGHT(Q565,255),RIGHT('Disaggregation Records'!$D$69:$D$152,255),0))=0,"",INDEX('Disaggregation Records'!$I$69:$I$152,MATCH(RIGHT(Q565,255),RIGHT('Disaggregation Records'!$D$69:$D$152,255),0))),"")</f>
        <v/>
      </c>
    </row>
    <row r="566" spans="1:23" s="189" customFormat="1" ht="40.200000000000003" customHeight="1" x14ac:dyDescent="0.3">
      <c r="A566" s="678" t="str">
        <f t="shared" ref="A566" ca="1" si="2309">INDIRECT("'update Helper'!C"&amp;U566)</f>
        <v>a1V3p000004fwvXEAQ</v>
      </c>
      <c r="B566" s="674">
        <v>13</v>
      </c>
      <c r="C566" s="666" t="str">
        <f>IFERROR(VLOOKUP(B566,'Outcome Indicators - Section C '!$A$9:$AF$70,32,FALSE),"")</f>
        <v/>
      </c>
      <c r="D566" s="676" t="str">
        <f t="shared" ref="D566" si="2310">R566</f>
        <v/>
      </c>
      <c r="E566" s="676" t="str">
        <f t="shared" ref="E566" si="2311">S566</f>
        <v/>
      </c>
      <c r="F566" s="194"/>
      <c r="G566" s="668" t="str">
        <f t="shared" ref="G566" ca="1" si="2312">IF(OR(INDIRECT("'update Helper'!E"&amp;U566)=0,F566&lt;&gt;0,F567&lt;&gt;0),IF(IFERROR((F566/F567),"")="","",(F566/F567)),INDIRECT("'update Helper'!E"&amp;U566)/100)</f>
        <v/>
      </c>
      <c r="H566" s="670"/>
      <c r="I566" s="672"/>
      <c r="J566" s="651"/>
      <c r="K566" s="666" t="str">
        <f t="shared" ref="K566" si="2313">W566</f>
        <v/>
      </c>
      <c r="L566" s="666" t="str">
        <f t="shared" ref="L566" si="2314">V566</f>
        <v/>
      </c>
      <c r="M566" s="651"/>
      <c r="N566" s="651"/>
      <c r="P566" s="189">
        <f t="shared" ref="P566" si="2315">IF(AND(EXACT(C566,C564),C564&lt;&gt;0),P564+1,0)</f>
        <v>85</v>
      </c>
      <c r="Q566" s="189" t="str">
        <f t="shared" ref="Q566" si="2316">IF(C566&lt;&gt;"",C566&amp;"-"&amp;P566,"")</f>
        <v/>
      </c>
      <c r="R566" s="189" t="str">
        <f t="array" ref="R566">IFERROR(IF(INDEX('Disaggregation Records'!$E$69:$E$152,MATCH(RIGHT(Q566,255),RIGHT('Disaggregation Records'!$D$69:$D$152,255),0))=0,"",INDEX('Disaggregation Records'!$E$69:$E$152,MATCH(RIGHT(Q566,255),RIGHT('Disaggregation Records'!$D$69:$D$152,255),0))),"")</f>
        <v/>
      </c>
      <c r="S566" s="189" t="str">
        <f t="array" ref="S566">IFERROR(IF(INDEX('Disaggregation Records'!$F$69:$F$152,MATCH(RIGHT(Q566,255),RIGHT('Disaggregation Records'!$D$69:$D$152,255),0))=0,"",INDEX('Disaggregation Records'!$F$69:$F$152,MATCH(RIGHT(Q566,255),RIGHT('Disaggregation Records'!$D$69:$D$152,255),0))),"")</f>
        <v/>
      </c>
      <c r="T566" s="189" t="str">
        <f t="array" ref="T566">IFERROR(IF(INDEX('Disaggregation Records'!$H$69:$H$152,MATCH(RIGHT(Q566,255),RIGHT('Disaggregation Records'!$D$69:$D$152,255),0))=0,"",INDEX('Disaggregation Records'!$H$69:$H$152,MATCH(RIGHT(Q566,255),RIGHT('Disaggregation Records'!$D$69:$D$152,255),0))),"")</f>
        <v/>
      </c>
      <c r="U566" s="189">
        <f t="shared" ref="U566" si="2317">U564+1</f>
        <v>1004</v>
      </c>
      <c r="V566" s="189" t="str">
        <f t="array" ref="V566">IFERROR(IF(INDEX('Disaggregation Records'!$I$69:$I$152,MATCH(RIGHT(Q566,255),RIGHT('Disaggregation Records'!$D$69:$D$152,255),0))=0,"",INDEX('Disaggregation Records'!$I$69:$I$152,MATCH(RIGHT(Q566,255),RIGHT('Disaggregation Records'!$D$69:$D$152,255),0))),"")</f>
        <v/>
      </c>
      <c r="W566" s="189" t="str">
        <f>IFERROR(INDEX('Reference Records'!P$19:P$56,MATCH(LEFT(C566,255),'Reference Records'!J$19:J$56,0)),"")</f>
        <v/>
      </c>
    </row>
    <row r="567" spans="1:23" s="189" customFormat="1" ht="40.200000000000003" customHeight="1" x14ac:dyDescent="0.3">
      <c r="A567" s="678"/>
      <c r="B567" s="675"/>
      <c r="C567" s="667"/>
      <c r="D567" s="677"/>
      <c r="E567" s="677"/>
      <c r="F567" s="202"/>
      <c r="G567" s="669"/>
      <c r="H567" s="671"/>
      <c r="I567" s="673"/>
      <c r="J567" s="652"/>
      <c r="K567" s="667"/>
      <c r="L567" s="667"/>
      <c r="M567" s="652"/>
      <c r="N567" s="652"/>
      <c r="V567" s="189" t="str">
        <f t="array" ref="V567">IFERROR(IF(INDEX('Disaggregation Records'!$I$69:$I$152,MATCH(RIGHT(Q567,255),RIGHT('Disaggregation Records'!$D$69:$D$152,255),0))=0,"",INDEX('Disaggregation Records'!$I$69:$I$152,MATCH(RIGHT(Q567,255),RIGHT('Disaggregation Records'!$D$69:$D$152,255),0))),"")</f>
        <v/>
      </c>
    </row>
    <row r="568" spans="1:23" s="189" customFormat="1" ht="40.200000000000003" customHeight="1" x14ac:dyDescent="0.3">
      <c r="A568" s="678" t="str">
        <f t="shared" ref="A568" ca="1" si="2318">INDIRECT("'update Helper'!C"&amp;U568)</f>
        <v>a1V3p000004fwvYEAQ</v>
      </c>
      <c r="B568" s="674">
        <v>13</v>
      </c>
      <c r="C568" s="666" t="str">
        <f>IFERROR(VLOOKUP(B568,'Outcome Indicators - Section C '!$A$9:$AF$70,32,FALSE),"")</f>
        <v/>
      </c>
      <c r="D568" s="676" t="str">
        <f t="shared" ref="D568" si="2319">R568</f>
        <v/>
      </c>
      <c r="E568" s="676" t="str">
        <f t="shared" ref="E568" si="2320">S568</f>
        <v/>
      </c>
      <c r="F568" s="194"/>
      <c r="G568" s="668" t="str">
        <f t="shared" ref="G568" ca="1" si="2321">IF(OR(INDIRECT("'update Helper'!E"&amp;U568)=0,F568&lt;&gt;0,F569&lt;&gt;0),IF(IFERROR((F568/F569),"")="","",(F568/F569)),INDIRECT("'update Helper'!E"&amp;U568)/100)</f>
        <v/>
      </c>
      <c r="H568" s="670"/>
      <c r="I568" s="672"/>
      <c r="J568" s="651"/>
      <c r="K568" s="666" t="str">
        <f t="shared" ref="K568" si="2322">W568</f>
        <v/>
      </c>
      <c r="L568" s="666" t="str">
        <f t="shared" ref="L568" si="2323">V568</f>
        <v/>
      </c>
      <c r="M568" s="651"/>
      <c r="N568" s="651"/>
      <c r="P568" s="189">
        <f t="shared" ref="P568" si="2324">IF(AND(EXACT(C568,C566),C566&lt;&gt;0),P566+1,0)</f>
        <v>86</v>
      </c>
      <c r="Q568" s="189" t="str">
        <f t="shared" ref="Q568" si="2325">IF(C568&lt;&gt;"",C568&amp;"-"&amp;P568,"")</f>
        <v/>
      </c>
      <c r="R568" s="189" t="str">
        <f t="array" ref="R568">IFERROR(IF(INDEX('Disaggregation Records'!$E$69:$E$152,MATCH(RIGHT(Q568,255),RIGHT('Disaggregation Records'!$D$69:$D$152,255),0))=0,"",INDEX('Disaggregation Records'!$E$69:$E$152,MATCH(RIGHT(Q568,255),RIGHT('Disaggregation Records'!$D$69:$D$152,255),0))),"")</f>
        <v/>
      </c>
      <c r="S568" s="189" t="str">
        <f t="array" ref="S568">IFERROR(IF(INDEX('Disaggregation Records'!$F$69:$F$152,MATCH(RIGHT(Q568,255),RIGHT('Disaggregation Records'!$D$69:$D$152,255),0))=0,"",INDEX('Disaggregation Records'!$F$69:$F$152,MATCH(RIGHT(Q568,255),RIGHT('Disaggregation Records'!$D$69:$D$152,255),0))),"")</f>
        <v/>
      </c>
      <c r="T568" s="189" t="str">
        <f t="array" ref="T568">IFERROR(IF(INDEX('Disaggregation Records'!$H$69:$H$152,MATCH(RIGHT(Q568,255),RIGHT('Disaggregation Records'!$D$69:$D$152,255),0))=0,"",INDEX('Disaggregation Records'!$H$69:$H$152,MATCH(RIGHT(Q568,255),RIGHT('Disaggregation Records'!$D$69:$D$152,255),0))),"")</f>
        <v/>
      </c>
      <c r="U568" s="189">
        <f t="shared" ref="U568" si="2326">U566+1</f>
        <v>1005</v>
      </c>
      <c r="V568" s="189" t="str">
        <f t="array" ref="V568">IFERROR(IF(INDEX('Disaggregation Records'!$I$69:$I$152,MATCH(RIGHT(Q568,255),RIGHT('Disaggregation Records'!$D$69:$D$152,255),0))=0,"",INDEX('Disaggregation Records'!$I$69:$I$152,MATCH(RIGHT(Q568,255),RIGHT('Disaggregation Records'!$D$69:$D$152,255),0))),"")</f>
        <v/>
      </c>
      <c r="W568" s="189" t="str">
        <f>IFERROR(INDEX('Reference Records'!P$19:P$56,MATCH(LEFT(C568,255),'Reference Records'!J$19:J$56,0)),"")</f>
        <v/>
      </c>
    </row>
    <row r="569" spans="1:23" s="189" customFormat="1" ht="40.200000000000003" customHeight="1" x14ac:dyDescent="0.3">
      <c r="A569" s="678"/>
      <c r="B569" s="675"/>
      <c r="C569" s="667"/>
      <c r="D569" s="677"/>
      <c r="E569" s="677"/>
      <c r="F569" s="202"/>
      <c r="G569" s="669"/>
      <c r="H569" s="671"/>
      <c r="I569" s="673"/>
      <c r="J569" s="652"/>
      <c r="K569" s="667"/>
      <c r="L569" s="667"/>
      <c r="M569" s="652"/>
      <c r="N569" s="652"/>
      <c r="V569" s="189" t="str">
        <f t="array" ref="V569">IFERROR(IF(INDEX('Disaggregation Records'!$I$69:$I$152,MATCH(RIGHT(Q569,255),RIGHT('Disaggregation Records'!$D$69:$D$152,255),0))=0,"",INDEX('Disaggregation Records'!$I$69:$I$152,MATCH(RIGHT(Q569,255),RIGHT('Disaggregation Records'!$D$69:$D$152,255),0))),"")</f>
        <v/>
      </c>
    </row>
    <row r="570" spans="1:23" s="189" customFormat="1" ht="40.200000000000003" customHeight="1" x14ac:dyDescent="0.3">
      <c r="A570" s="678" t="str">
        <f t="shared" ref="A570" ca="1" si="2327">INDIRECT("'update Helper'!C"&amp;U570)</f>
        <v>a1V3p000004fwvZEAQ</v>
      </c>
      <c r="B570" s="674">
        <v>13</v>
      </c>
      <c r="C570" s="666" t="str">
        <f>IFERROR(VLOOKUP(B570,'Outcome Indicators - Section C '!$A$9:$AF$70,32,FALSE),"")</f>
        <v/>
      </c>
      <c r="D570" s="676" t="str">
        <f t="shared" ref="D570" si="2328">R570</f>
        <v/>
      </c>
      <c r="E570" s="676" t="str">
        <f t="shared" ref="E570" si="2329">S570</f>
        <v/>
      </c>
      <c r="F570" s="194"/>
      <c r="G570" s="668" t="str">
        <f t="shared" ref="G570" ca="1" si="2330">IF(OR(INDIRECT("'update Helper'!E"&amp;U570)=0,F570&lt;&gt;0,F571&lt;&gt;0),IF(IFERROR((F570/F571),"")="","",(F570/F571)),INDIRECT("'update Helper'!E"&amp;U570)/100)</f>
        <v/>
      </c>
      <c r="H570" s="670"/>
      <c r="I570" s="672"/>
      <c r="J570" s="651"/>
      <c r="K570" s="666" t="str">
        <f t="shared" ref="K570" si="2331">W570</f>
        <v/>
      </c>
      <c r="L570" s="666" t="str">
        <f t="shared" ref="L570" si="2332">V570</f>
        <v/>
      </c>
      <c r="M570" s="651"/>
      <c r="N570" s="651"/>
      <c r="P570" s="189">
        <f t="shared" ref="P570" si="2333">IF(AND(EXACT(C570,C568),C568&lt;&gt;0),P568+1,0)</f>
        <v>87</v>
      </c>
      <c r="Q570" s="189" t="str">
        <f t="shared" ref="Q570" si="2334">IF(C570&lt;&gt;"",C570&amp;"-"&amp;P570,"")</f>
        <v/>
      </c>
      <c r="R570" s="189" t="str">
        <f t="array" ref="R570">IFERROR(IF(INDEX('Disaggregation Records'!$E$69:$E$152,MATCH(RIGHT(Q570,255),RIGHT('Disaggregation Records'!$D$69:$D$152,255),0))=0,"",INDEX('Disaggregation Records'!$E$69:$E$152,MATCH(RIGHT(Q570,255),RIGHT('Disaggregation Records'!$D$69:$D$152,255),0))),"")</f>
        <v/>
      </c>
      <c r="S570" s="189" t="str">
        <f t="array" ref="S570">IFERROR(IF(INDEX('Disaggregation Records'!$F$69:$F$152,MATCH(RIGHT(Q570,255),RIGHT('Disaggregation Records'!$D$69:$D$152,255),0))=0,"",INDEX('Disaggregation Records'!$F$69:$F$152,MATCH(RIGHT(Q570,255),RIGHT('Disaggregation Records'!$D$69:$D$152,255),0))),"")</f>
        <v/>
      </c>
      <c r="T570" s="189" t="str">
        <f t="array" ref="T570">IFERROR(IF(INDEX('Disaggregation Records'!$H$69:$H$152,MATCH(RIGHT(Q570,255),RIGHT('Disaggregation Records'!$D$69:$D$152,255),0))=0,"",INDEX('Disaggregation Records'!$H$69:$H$152,MATCH(RIGHT(Q570,255),RIGHT('Disaggregation Records'!$D$69:$D$152,255),0))),"")</f>
        <v/>
      </c>
      <c r="U570" s="189">
        <f t="shared" ref="U570" si="2335">U568+1</f>
        <v>1006</v>
      </c>
      <c r="V570" s="189" t="str">
        <f t="array" ref="V570">IFERROR(IF(INDEX('Disaggregation Records'!$I$69:$I$152,MATCH(RIGHT(Q570,255),RIGHT('Disaggregation Records'!$D$69:$D$152,255),0))=0,"",INDEX('Disaggregation Records'!$I$69:$I$152,MATCH(RIGHT(Q570,255),RIGHT('Disaggregation Records'!$D$69:$D$152,255),0))),"")</f>
        <v/>
      </c>
      <c r="W570" s="189" t="str">
        <f>IFERROR(INDEX('Reference Records'!P$19:P$56,MATCH(LEFT(C570,255),'Reference Records'!J$19:J$56,0)),"")</f>
        <v/>
      </c>
    </row>
    <row r="571" spans="1:23" s="189" customFormat="1" ht="40.200000000000003" customHeight="1" x14ac:dyDescent="0.3">
      <c r="A571" s="678"/>
      <c r="B571" s="675"/>
      <c r="C571" s="667"/>
      <c r="D571" s="677"/>
      <c r="E571" s="677"/>
      <c r="F571" s="202"/>
      <c r="G571" s="669"/>
      <c r="H571" s="671"/>
      <c r="I571" s="673"/>
      <c r="J571" s="652"/>
      <c r="K571" s="667"/>
      <c r="L571" s="667"/>
      <c r="M571" s="652"/>
      <c r="N571" s="652"/>
      <c r="V571" s="189" t="str">
        <f t="array" ref="V571">IFERROR(IF(INDEX('Disaggregation Records'!$I$69:$I$152,MATCH(RIGHT(Q571,255),RIGHT('Disaggregation Records'!$D$69:$D$152,255),0))=0,"",INDEX('Disaggregation Records'!$I$69:$I$152,MATCH(RIGHT(Q571,255),RIGHT('Disaggregation Records'!$D$69:$D$152,255),0))),"")</f>
        <v/>
      </c>
    </row>
    <row r="572" spans="1:23" s="189" customFormat="1" ht="40.200000000000003" customHeight="1" x14ac:dyDescent="0.3">
      <c r="A572" s="678" t="str">
        <f t="shared" ref="A572" ca="1" si="2336">INDIRECT("'update Helper'!C"&amp;U572)</f>
        <v>a1V3p000004fwvaEAA</v>
      </c>
      <c r="B572" s="674">
        <v>13</v>
      </c>
      <c r="C572" s="666" t="str">
        <f>IFERROR(VLOOKUP(B572,'Outcome Indicators - Section C '!$A$9:$AF$70,32,FALSE),"")</f>
        <v/>
      </c>
      <c r="D572" s="676" t="str">
        <f t="shared" ref="D572" si="2337">R572</f>
        <v/>
      </c>
      <c r="E572" s="676" t="str">
        <f t="shared" ref="E572" si="2338">S572</f>
        <v/>
      </c>
      <c r="F572" s="194"/>
      <c r="G572" s="668" t="str">
        <f t="shared" ref="G572" ca="1" si="2339">IF(OR(INDIRECT("'update Helper'!E"&amp;U572)=0,F572&lt;&gt;0,F573&lt;&gt;0),IF(IFERROR((F572/F573),"")="","",(F572/F573)),INDIRECT("'update Helper'!E"&amp;U572)/100)</f>
        <v/>
      </c>
      <c r="H572" s="670"/>
      <c r="I572" s="672"/>
      <c r="J572" s="651"/>
      <c r="K572" s="666" t="str">
        <f t="shared" ref="K572" si="2340">W572</f>
        <v/>
      </c>
      <c r="L572" s="666" t="str">
        <f t="shared" ref="L572" si="2341">V572</f>
        <v/>
      </c>
      <c r="M572" s="651"/>
      <c r="N572" s="651"/>
      <c r="P572" s="189">
        <f t="shared" ref="P572" si="2342">IF(AND(EXACT(C572,C570),C570&lt;&gt;0),P570+1,0)</f>
        <v>88</v>
      </c>
      <c r="Q572" s="189" t="str">
        <f t="shared" ref="Q572" si="2343">IF(C572&lt;&gt;"",C572&amp;"-"&amp;P572,"")</f>
        <v/>
      </c>
      <c r="R572" s="189" t="str">
        <f t="array" ref="R572">IFERROR(IF(INDEX('Disaggregation Records'!$E$69:$E$152,MATCH(RIGHT(Q572,255),RIGHT('Disaggregation Records'!$D$69:$D$152,255),0))=0,"",INDEX('Disaggregation Records'!$E$69:$E$152,MATCH(RIGHT(Q572,255),RIGHT('Disaggregation Records'!$D$69:$D$152,255),0))),"")</f>
        <v/>
      </c>
      <c r="S572" s="189" t="str">
        <f t="array" ref="S572">IFERROR(IF(INDEX('Disaggregation Records'!$F$69:$F$152,MATCH(RIGHT(Q572,255),RIGHT('Disaggregation Records'!$D$69:$D$152,255),0))=0,"",INDEX('Disaggregation Records'!$F$69:$F$152,MATCH(RIGHT(Q572,255),RIGHT('Disaggregation Records'!$D$69:$D$152,255),0))),"")</f>
        <v/>
      </c>
      <c r="T572" s="189" t="str">
        <f t="array" ref="T572">IFERROR(IF(INDEX('Disaggregation Records'!$H$69:$H$152,MATCH(RIGHT(Q572,255),RIGHT('Disaggregation Records'!$D$69:$D$152,255),0))=0,"",INDEX('Disaggregation Records'!$H$69:$H$152,MATCH(RIGHT(Q572,255),RIGHT('Disaggregation Records'!$D$69:$D$152,255),0))),"")</f>
        <v/>
      </c>
      <c r="U572" s="189">
        <f t="shared" ref="U572" si="2344">U570+1</f>
        <v>1007</v>
      </c>
      <c r="V572" s="189" t="str">
        <f t="array" ref="V572">IFERROR(IF(INDEX('Disaggregation Records'!$I$69:$I$152,MATCH(RIGHT(Q572,255),RIGHT('Disaggregation Records'!$D$69:$D$152,255),0))=0,"",INDEX('Disaggregation Records'!$I$69:$I$152,MATCH(RIGHT(Q572,255),RIGHT('Disaggregation Records'!$D$69:$D$152,255),0))),"")</f>
        <v/>
      </c>
      <c r="W572" s="189" t="str">
        <f>IFERROR(INDEX('Reference Records'!P$19:P$56,MATCH(LEFT(C572,255),'Reference Records'!J$19:J$56,0)),"")</f>
        <v/>
      </c>
    </row>
    <row r="573" spans="1:23" s="189" customFormat="1" ht="40.200000000000003" customHeight="1" x14ac:dyDescent="0.3">
      <c r="A573" s="678"/>
      <c r="B573" s="675"/>
      <c r="C573" s="667"/>
      <c r="D573" s="677"/>
      <c r="E573" s="677"/>
      <c r="F573" s="202"/>
      <c r="G573" s="669"/>
      <c r="H573" s="671"/>
      <c r="I573" s="673"/>
      <c r="J573" s="652"/>
      <c r="K573" s="667"/>
      <c r="L573" s="667"/>
      <c r="M573" s="652"/>
      <c r="N573" s="652"/>
      <c r="V573" s="189" t="str">
        <f t="array" ref="V573">IFERROR(IF(INDEX('Disaggregation Records'!$I$69:$I$152,MATCH(RIGHT(Q573,255),RIGHT('Disaggregation Records'!$D$69:$D$152,255),0))=0,"",INDEX('Disaggregation Records'!$I$69:$I$152,MATCH(RIGHT(Q573,255),RIGHT('Disaggregation Records'!$D$69:$D$152,255),0))),"")</f>
        <v/>
      </c>
    </row>
    <row r="574" spans="1:23" s="189" customFormat="1" ht="40.200000000000003" customHeight="1" x14ac:dyDescent="0.3">
      <c r="A574" s="678" t="str">
        <f t="shared" ref="A574" ca="1" si="2345">INDIRECT("'update Helper'!C"&amp;U574)</f>
        <v>a1V3p000004fwvbEAA</v>
      </c>
      <c r="B574" s="674">
        <v>13</v>
      </c>
      <c r="C574" s="666" t="str">
        <f>IFERROR(VLOOKUP(B574,'Outcome Indicators - Section C '!$A$9:$AF$70,32,FALSE),"")</f>
        <v/>
      </c>
      <c r="D574" s="676" t="str">
        <f t="shared" ref="D574" si="2346">R574</f>
        <v/>
      </c>
      <c r="E574" s="676" t="str">
        <f t="shared" ref="E574" si="2347">S574</f>
        <v/>
      </c>
      <c r="F574" s="194"/>
      <c r="G574" s="668" t="str">
        <f t="shared" ref="G574" ca="1" si="2348">IF(OR(INDIRECT("'update Helper'!E"&amp;U574)=0,F574&lt;&gt;0,F575&lt;&gt;0),IF(IFERROR((F574/F575),"")="","",(F574/F575)),INDIRECT("'update Helper'!E"&amp;U574)/100)</f>
        <v/>
      </c>
      <c r="H574" s="670"/>
      <c r="I574" s="672"/>
      <c r="J574" s="651"/>
      <c r="K574" s="666" t="str">
        <f t="shared" ref="K574" si="2349">W574</f>
        <v/>
      </c>
      <c r="L574" s="666" t="str">
        <f t="shared" ref="L574" si="2350">V574</f>
        <v/>
      </c>
      <c r="M574" s="651"/>
      <c r="N574" s="651"/>
      <c r="P574" s="189">
        <f t="shared" ref="P574" si="2351">IF(AND(EXACT(C574,C572),C572&lt;&gt;0),P572+1,0)</f>
        <v>89</v>
      </c>
      <c r="Q574" s="189" t="str">
        <f t="shared" ref="Q574" si="2352">IF(C574&lt;&gt;"",C574&amp;"-"&amp;P574,"")</f>
        <v/>
      </c>
      <c r="R574" s="189" t="str">
        <f t="array" ref="R574">IFERROR(IF(INDEX('Disaggregation Records'!$E$69:$E$152,MATCH(RIGHT(Q574,255),RIGHT('Disaggregation Records'!$D$69:$D$152,255),0))=0,"",INDEX('Disaggregation Records'!$E$69:$E$152,MATCH(RIGHT(Q574,255),RIGHT('Disaggregation Records'!$D$69:$D$152,255),0))),"")</f>
        <v/>
      </c>
      <c r="S574" s="189" t="str">
        <f t="array" ref="S574">IFERROR(IF(INDEX('Disaggregation Records'!$F$69:$F$152,MATCH(RIGHT(Q574,255),RIGHT('Disaggregation Records'!$D$69:$D$152,255),0))=0,"",INDEX('Disaggregation Records'!$F$69:$F$152,MATCH(RIGHT(Q574,255),RIGHT('Disaggregation Records'!$D$69:$D$152,255),0))),"")</f>
        <v/>
      </c>
      <c r="T574" s="189" t="str">
        <f t="array" ref="T574">IFERROR(IF(INDEX('Disaggregation Records'!$H$69:$H$152,MATCH(RIGHT(Q574,255),RIGHT('Disaggregation Records'!$D$69:$D$152,255),0))=0,"",INDEX('Disaggregation Records'!$H$69:$H$152,MATCH(RIGHT(Q574,255),RIGHT('Disaggregation Records'!$D$69:$D$152,255),0))),"")</f>
        <v/>
      </c>
      <c r="U574" s="189">
        <f t="shared" ref="U574" si="2353">U572+1</f>
        <v>1008</v>
      </c>
      <c r="V574" s="189" t="str">
        <f t="array" ref="V574">IFERROR(IF(INDEX('Disaggregation Records'!$I$69:$I$152,MATCH(RIGHT(Q574,255),RIGHT('Disaggregation Records'!$D$69:$D$152,255),0))=0,"",INDEX('Disaggregation Records'!$I$69:$I$152,MATCH(RIGHT(Q574,255),RIGHT('Disaggregation Records'!$D$69:$D$152,255),0))),"")</f>
        <v/>
      </c>
      <c r="W574" s="189" t="str">
        <f>IFERROR(INDEX('Reference Records'!P$19:P$56,MATCH(LEFT(C574,255),'Reference Records'!J$19:J$56,0)),"")</f>
        <v/>
      </c>
    </row>
    <row r="575" spans="1:23" s="189" customFormat="1" ht="40.200000000000003" customHeight="1" x14ac:dyDescent="0.3">
      <c r="A575" s="678"/>
      <c r="B575" s="675"/>
      <c r="C575" s="667"/>
      <c r="D575" s="677"/>
      <c r="E575" s="677"/>
      <c r="F575" s="202"/>
      <c r="G575" s="669"/>
      <c r="H575" s="671"/>
      <c r="I575" s="673"/>
      <c r="J575" s="652"/>
      <c r="K575" s="667"/>
      <c r="L575" s="667"/>
      <c r="M575" s="652"/>
      <c r="N575" s="652"/>
      <c r="V575" s="189" t="str">
        <f t="array" ref="V575">IFERROR(IF(INDEX('Disaggregation Records'!$I$69:$I$152,MATCH(RIGHT(Q575,255),RIGHT('Disaggregation Records'!$D$69:$D$152,255),0))=0,"",INDEX('Disaggregation Records'!$I$69:$I$152,MATCH(RIGHT(Q575,255),RIGHT('Disaggregation Records'!$D$69:$D$152,255),0))),"")</f>
        <v/>
      </c>
    </row>
    <row r="576" spans="1:23" s="189" customFormat="1" ht="40.200000000000003" customHeight="1" x14ac:dyDescent="0.3">
      <c r="A576" s="678" t="str">
        <f t="shared" ref="A576" ca="1" si="2354">INDIRECT("'update Helper'!C"&amp;U576)</f>
        <v>a1V3p000004fwvcEAA</v>
      </c>
      <c r="B576" s="674">
        <v>14</v>
      </c>
      <c r="C576" s="666" t="str">
        <f>IFERROR(VLOOKUP(B576,'Outcome Indicators - Section C '!$A$9:$AF$70,32,FALSE),"")</f>
        <v/>
      </c>
      <c r="D576" s="676" t="str">
        <f t="shared" ref="D576" si="2355">R576</f>
        <v/>
      </c>
      <c r="E576" s="676" t="str">
        <f t="shared" ref="E576" si="2356">S576</f>
        <v/>
      </c>
      <c r="F576" s="194"/>
      <c r="G576" s="668" t="str">
        <f t="shared" ref="G576" ca="1" si="2357">IF(OR(INDIRECT("'update Helper'!E"&amp;U576)=0,F576&lt;&gt;0,F577&lt;&gt;0),IF(IFERROR((F576/F577),"")="","",(F576/F577)),INDIRECT("'update Helper'!E"&amp;U576)/100)</f>
        <v/>
      </c>
      <c r="H576" s="670"/>
      <c r="I576" s="672"/>
      <c r="J576" s="651"/>
      <c r="K576" s="666" t="str">
        <f t="shared" ref="K576" si="2358">W576</f>
        <v/>
      </c>
      <c r="L576" s="666" t="str">
        <f t="shared" ref="L576" si="2359">V576</f>
        <v/>
      </c>
      <c r="M576" s="651"/>
      <c r="N576" s="651"/>
      <c r="P576" s="189">
        <f t="shared" ref="P576" si="2360">IF(AND(EXACT(C576,C574),C574&lt;&gt;0),P574+1,0)</f>
        <v>90</v>
      </c>
      <c r="Q576" s="189" t="str">
        <f t="shared" ref="Q576" si="2361">IF(C576&lt;&gt;"",C576&amp;"-"&amp;P576,"")</f>
        <v/>
      </c>
      <c r="R576" s="189" t="str">
        <f t="array" ref="R576">IFERROR(IF(INDEX('Disaggregation Records'!$E$69:$E$152,MATCH(RIGHT(Q576,255),RIGHT('Disaggregation Records'!$D$69:$D$152,255),0))=0,"",INDEX('Disaggregation Records'!$E$69:$E$152,MATCH(RIGHT(Q576,255),RIGHT('Disaggregation Records'!$D$69:$D$152,255),0))),"")</f>
        <v/>
      </c>
      <c r="S576" s="189" t="str">
        <f t="array" ref="S576">IFERROR(IF(INDEX('Disaggregation Records'!$F$69:$F$152,MATCH(RIGHT(Q576,255),RIGHT('Disaggregation Records'!$D$69:$D$152,255),0))=0,"",INDEX('Disaggregation Records'!$F$69:$F$152,MATCH(RIGHT(Q576,255),RIGHT('Disaggregation Records'!$D$69:$D$152,255),0))),"")</f>
        <v/>
      </c>
      <c r="T576" s="189" t="str">
        <f t="array" ref="T576">IFERROR(IF(INDEX('Disaggregation Records'!$H$69:$H$152,MATCH(RIGHT(Q576,255),RIGHT('Disaggregation Records'!$D$69:$D$152,255),0))=0,"",INDEX('Disaggregation Records'!$H$69:$H$152,MATCH(RIGHT(Q576,255),RIGHT('Disaggregation Records'!$D$69:$D$152,255),0))),"")</f>
        <v/>
      </c>
      <c r="U576" s="189">
        <f t="shared" ref="U576" si="2362">U574+1</f>
        <v>1009</v>
      </c>
      <c r="V576" s="189" t="str">
        <f t="array" ref="V576">IFERROR(IF(INDEX('Disaggregation Records'!$I$69:$I$152,MATCH(RIGHT(Q576,255),RIGHT('Disaggregation Records'!$D$69:$D$152,255),0))=0,"",INDEX('Disaggregation Records'!$I$69:$I$152,MATCH(RIGHT(Q576,255),RIGHT('Disaggregation Records'!$D$69:$D$152,255),0))),"")</f>
        <v/>
      </c>
      <c r="W576" s="189" t="str">
        <f>IFERROR(INDEX('Reference Records'!P$19:P$56,MATCH(LEFT(C576,255),'Reference Records'!J$19:J$56,0)),"")</f>
        <v/>
      </c>
    </row>
    <row r="577" spans="1:23" s="189" customFormat="1" ht="40.200000000000003" customHeight="1" x14ac:dyDescent="0.3">
      <c r="A577" s="678"/>
      <c r="B577" s="675"/>
      <c r="C577" s="667"/>
      <c r="D577" s="677"/>
      <c r="E577" s="677"/>
      <c r="F577" s="202"/>
      <c r="G577" s="669"/>
      <c r="H577" s="671"/>
      <c r="I577" s="673"/>
      <c r="J577" s="652"/>
      <c r="K577" s="667"/>
      <c r="L577" s="667"/>
      <c r="M577" s="652"/>
      <c r="N577" s="652"/>
      <c r="V577" s="189" t="str">
        <f t="array" ref="V577">IFERROR(IF(INDEX('Disaggregation Records'!$I$69:$I$152,MATCH(RIGHT(Q577,255),RIGHT('Disaggregation Records'!$D$69:$D$152,255),0))=0,"",INDEX('Disaggregation Records'!$I$69:$I$152,MATCH(RIGHT(Q577,255),RIGHT('Disaggregation Records'!$D$69:$D$152,255),0))),"")</f>
        <v/>
      </c>
    </row>
    <row r="578" spans="1:23" s="189" customFormat="1" ht="40.200000000000003" customHeight="1" x14ac:dyDescent="0.3">
      <c r="A578" s="678" t="str">
        <f t="shared" ref="A578" ca="1" si="2363">INDIRECT("'update Helper'!C"&amp;U578)</f>
        <v>a1V3p000004fwvdEAA</v>
      </c>
      <c r="B578" s="674">
        <v>14</v>
      </c>
      <c r="C578" s="666" t="str">
        <f>IFERROR(VLOOKUP(B578,'Outcome Indicators - Section C '!$A$9:$AF$70,32,FALSE),"")</f>
        <v/>
      </c>
      <c r="D578" s="676" t="str">
        <f t="shared" ref="D578" si="2364">R578</f>
        <v/>
      </c>
      <c r="E578" s="676" t="str">
        <f t="shared" ref="E578" si="2365">S578</f>
        <v/>
      </c>
      <c r="F578" s="194"/>
      <c r="G578" s="668" t="str">
        <f t="shared" ref="G578" ca="1" si="2366">IF(OR(INDIRECT("'update Helper'!E"&amp;U578)=0,F578&lt;&gt;0,F579&lt;&gt;0),IF(IFERROR((F578/F579),"")="","",(F578/F579)),INDIRECT("'update Helper'!E"&amp;U578)/100)</f>
        <v/>
      </c>
      <c r="H578" s="670"/>
      <c r="I578" s="672"/>
      <c r="J578" s="651"/>
      <c r="K578" s="666" t="str">
        <f t="shared" ref="K578" si="2367">W578</f>
        <v/>
      </c>
      <c r="L578" s="666" t="str">
        <f t="shared" ref="L578" si="2368">V578</f>
        <v/>
      </c>
      <c r="M578" s="651"/>
      <c r="N578" s="651"/>
      <c r="P578" s="189">
        <f t="shared" ref="P578" si="2369">IF(AND(EXACT(C578,C576),C576&lt;&gt;0),P576+1,0)</f>
        <v>91</v>
      </c>
      <c r="Q578" s="189" t="str">
        <f t="shared" ref="Q578" si="2370">IF(C578&lt;&gt;"",C578&amp;"-"&amp;P578,"")</f>
        <v/>
      </c>
      <c r="R578" s="189" t="str">
        <f t="array" ref="R578">IFERROR(IF(INDEX('Disaggregation Records'!$E$69:$E$152,MATCH(RIGHT(Q578,255),RIGHT('Disaggregation Records'!$D$69:$D$152,255),0))=0,"",INDEX('Disaggregation Records'!$E$69:$E$152,MATCH(RIGHT(Q578,255),RIGHT('Disaggregation Records'!$D$69:$D$152,255),0))),"")</f>
        <v/>
      </c>
      <c r="S578" s="189" t="str">
        <f t="array" ref="S578">IFERROR(IF(INDEX('Disaggregation Records'!$F$69:$F$152,MATCH(RIGHT(Q578,255),RIGHT('Disaggregation Records'!$D$69:$D$152,255),0))=0,"",INDEX('Disaggregation Records'!$F$69:$F$152,MATCH(RIGHT(Q578,255),RIGHT('Disaggregation Records'!$D$69:$D$152,255),0))),"")</f>
        <v/>
      </c>
      <c r="T578" s="189" t="str">
        <f t="array" ref="T578">IFERROR(IF(INDEX('Disaggregation Records'!$H$69:$H$152,MATCH(RIGHT(Q578,255),RIGHT('Disaggregation Records'!$D$69:$D$152,255),0))=0,"",INDEX('Disaggregation Records'!$H$69:$H$152,MATCH(RIGHT(Q578,255),RIGHT('Disaggregation Records'!$D$69:$D$152,255),0))),"")</f>
        <v/>
      </c>
      <c r="U578" s="189">
        <f t="shared" ref="U578" si="2371">U576+1</f>
        <v>1010</v>
      </c>
      <c r="V578" s="189" t="str">
        <f t="array" ref="V578">IFERROR(IF(INDEX('Disaggregation Records'!$I$69:$I$152,MATCH(RIGHT(Q578,255),RIGHT('Disaggregation Records'!$D$69:$D$152,255),0))=0,"",INDEX('Disaggregation Records'!$I$69:$I$152,MATCH(RIGHT(Q578,255),RIGHT('Disaggregation Records'!$D$69:$D$152,255),0))),"")</f>
        <v/>
      </c>
      <c r="W578" s="189" t="str">
        <f>IFERROR(INDEX('Reference Records'!P$19:P$56,MATCH(LEFT(C578,255),'Reference Records'!J$19:J$56,0)),"")</f>
        <v/>
      </c>
    </row>
    <row r="579" spans="1:23" s="189" customFormat="1" ht="40.200000000000003" customHeight="1" x14ac:dyDescent="0.3">
      <c r="A579" s="678"/>
      <c r="B579" s="675"/>
      <c r="C579" s="667"/>
      <c r="D579" s="677"/>
      <c r="E579" s="677"/>
      <c r="F579" s="202"/>
      <c r="G579" s="669"/>
      <c r="H579" s="671"/>
      <c r="I579" s="673"/>
      <c r="J579" s="652"/>
      <c r="K579" s="667"/>
      <c r="L579" s="667"/>
      <c r="M579" s="652"/>
      <c r="N579" s="652"/>
      <c r="V579" s="189" t="str">
        <f t="array" ref="V579">IFERROR(IF(INDEX('Disaggregation Records'!$I$69:$I$152,MATCH(RIGHT(Q579,255),RIGHT('Disaggregation Records'!$D$69:$D$152,255),0))=0,"",INDEX('Disaggregation Records'!$I$69:$I$152,MATCH(RIGHT(Q579,255),RIGHT('Disaggregation Records'!$D$69:$D$152,255),0))),"")</f>
        <v/>
      </c>
    </row>
    <row r="580" spans="1:23" s="189" customFormat="1" ht="40.200000000000003" customHeight="1" x14ac:dyDescent="0.3">
      <c r="A580" s="678" t="str">
        <f t="shared" ref="A580" ca="1" si="2372">INDIRECT("'update Helper'!C"&amp;U580)</f>
        <v>a1V3p000004fwveEAA</v>
      </c>
      <c r="B580" s="674">
        <v>14</v>
      </c>
      <c r="C580" s="666" t="str">
        <f>IFERROR(VLOOKUP(B580,'Outcome Indicators - Section C '!$A$9:$AF$70,32,FALSE),"")</f>
        <v/>
      </c>
      <c r="D580" s="676" t="str">
        <f t="shared" ref="D580" si="2373">R580</f>
        <v/>
      </c>
      <c r="E580" s="676" t="str">
        <f t="shared" ref="E580" si="2374">S580</f>
        <v/>
      </c>
      <c r="F580" s="194"/>
      <c r="G580" s="668" t="str">
        <f t="shared" ref="G580" ca="1" si="2375">IF(OR(INDIRECT("'update Helper'!E"&amp;U580)=0,F580&lt;&gt;0,F581&lt;&gt;0),IF(IFERROR((F580/F581),"")="","",(F580/F581)),INDIRECT("'update Helper'!E"&amp;U580)/100)</f>
        <v/>
      </c>
      <c r="H580" s="670"/>
      <c r="I580" s="672"/>
      <c r="J580" s="651"/>
      <c r="K580" s="666" t="str">
        <f t="shared" ref="K580" si="2376">W580</f>
        <v/>
      </c>
      <c r="L580" s="666" t="str">
        <f t="shared" ref="L580" si="2377">V580</f>
        <v/>
      </c>
      <c r="M580" s="651"/>
      <c r="N580" s="651"/>
      <c r="P580" s="189">
        <f t="shared" ref="P580" si="2378">IF(AND(EXACT(C580,C578),C578&lt;&gt;0),P578+1,0)</f>
        <v>92</v>
      </c>
      <c r="Q580" s="189" t="str">
        <f t="shared" ref="Q580" si="2379">IF(C580&lt;&gt;"",C580&amp;"-"&amp;P580,"")</f>
        <v/>
      </c>
      <c r="R580" s="189" t="str">
        <f t="array" ref="R580">IFERROR(IF(INDEX('Disaggregation Records'!$E$69:$E$152,MATCH(RIGHT(Q580,255),RIGHT('Disaggregation Records'!$D$69:$D$152,255),0))=0,"",INDEX('Disaggregation Records'!$E$69:$E$152,MATCH(RIGHT(Q580,255),RIGHT('Disaggregation Records'!$D$69:$D$152,255),0))),"")</f>
        <v/>
      </c>
      <c r="S580" s="189" t="str">
        <f t="array" ref="S580">IFERROR(IF(INDEX('Disaggregation Records'!$F$69:$F$152,MATCH(RIGHT(Q580,255),RIGHT('Disaggregation Records'!$D$69:$D$152,255),0))=0,"",INDEX('Disaggregation Records'!$F$69:$F$152,MATCH(RIGHT(Q580,255),RIGHT('Disaggregation Records'!$D$69:$D$152,255),0))),"")</f>
        <v/>
      </c>
      <c r="T580" s="189" t="str">
        <f t="array" ref="T580">IFERROR(IF(INDEX('Disaggregation Records'!$H$69:$H$152,MATCH(RIGHT(Q580,255),RIGHT('Disaggregation Records'!$D$69:$D$152,255),0))=0,"",INDEX('Disaggregation Records'!$H$69:$H$152,MATCH(RIGHT(Q580,255),RIGHT('Disaggregation Records'!$D$69:$D$152,255),0))),"")</f>
        <v/>
      </c>
      <c r="U580" s="189">
        <f t="shared" ref="U580" si="2380">U578+1</f>
        <v>1011</v>
      </c>
      <c r="V580" s="189" t="str">
        <f t="array" ref="V580">IFERROR(IF(INDEX('Disaggregation Records'!$I$69:$I$152,MATCH(RIGHT(Q580,255),RIGHT('Disaggregation Records'!$D$69:$D$152,255),0))=0,"",INDEX('Disaggregation Records'!$I$69:$I$152,MATCH(RIGHT(Q580,255),RIGHT('Disaggregation Records'!$D$69:$D$152,255),0))),"")</f>
        <v/>
      </c>
      <c r="W580" s="189" t="str">
        <f>IFERROR(INDEX('Reference Records'!P$19:P$56,MATCH(LEFT(C580,255),'Reference Records'!J$19:J$56,0)),"")</f>
        <v/>
      </c>
    </row>
    <row r="581" spans="1:23" s="189" customFormat="1" ht="40.200000000000003" customHeight="1" x14ac:dyDescent="0.3">
      <c r="A581" s="678"/>
      <c r="B581" s="675"/>
      <c r="C581" s="667"/>
      <c r="D581" s="677"/>
      <c r="E581" s="677"/>
      <c r="F581" s="202"/>
      <c r="G581" s="669"/>
      <c r="H581" s="671"/>
      <c r="I581" s="673"/>
      <c r="J581" s="652"/>
      <c r="K581" s="667"/>
      <c r="L581" s="667"/>
      <c r="M581" s="652"/>
      <c r="N581" s="652"/>
      <c r="V581" s="189" t="str">
        <f t="array" ref="V581">IFERROR(IF(INDEX('Disaggregation Records'!$I$69:$I$152,MATCH(RIGHT(Q581,255),RIGHT('Disaggregation Records'!$D$69:$D$152,255),0))=0,"",INDEX('Disaggregation Records'!$I$69:$I$152,MATCH(RIGHT(Q581,255),RIGHT('Disaggregation Records'!$D$69:$D$152,255),0))),"")</f>
        <v/>
      </c>
    </row>
    <row r="582" spans="1:23" s="189" customFormat="1" ht="40.200000000000003" customHeight="1" x14ac:dyDescent="0.3">
      <c r="A582" s="678" t="str">
        <f t="shared" ref="A582" ca="1" si="2381">INDIRECT("'update Helper'!C"&amp;U582)</f>
        <v>a1V3p000004fwvfEAA</v>
      </c>
      <c r="B582" s="674">
        <v>14</v>
      </c>
      <c r="C582" s="666" t="str">
        <f>IFERROR(VLOOKUP(B582,'Outcome Indicators - Section C '!$A$9:$AF$70,32,FALSE),"")</f>
        <v/>
      </c>
      <c r="D582" s="676" t="str">
        <f t="shared" ref="D582" si="2382">R582</f>
        <v/>
      </c>
      <c r="E582" s="676" t="str">
        <f t="shared" ref="E582" si="2383">S582</f>
        <v/>
      </c>
      <c r="F582" s="194"/>
      <c r="G582" s="668" t="str">
        <f t="shared" ref="G582" ca="1" si="2384">IF(OR(INDIRECT("'update Helper'!E"&amp;U582)=0,F582&lt;&gt;0,F583&lt;&gt;0),IF(IFERROR((F582/F583),"")="","",(F582/F583)),INDIRECT("'update Helper'!E"&amp;U582)/100)</f>
        <v/>
      </c>
      <c r="H582" s="670"/>
      <c r="I582" s="672"/>
      <c r="J582" s="651"/>
      <c r="K582" s="666" t="str">
        <f t="shared" ref="K582" si="2385">W582</f>
        <v/>
      </c>
      <c r="L582" s="666" t="str">
        <f t="shared" ref="L582" si="2386">V582</f>
        <v/>
      </c>
      <c r="M582" s="651"/>
      <c r="N582" s="651"/>
      <c r="P582" s="189">
        <f t="shared" ref="P582" si="2387">IF(AND(EXACT(C582,C580),C580&lt;&gt;0),P580+1,0)</f>
        <v>93</v>
      </c>
      <c r="Q582" s="189" t="str">
        <f t="shared" ref="Q582" si="2388">IF(C582&lt;&gt;"",C582&amp;"-"&amp;P582,"")</f>
        <v/>
      </c>
      <c r="R582" s="189" t="str">
        <f t="array" ref="R582">IFERROR(IF(INDEX('Disaggregation Records'!$E$69:$E$152,MATCH(RIGHT(Q582,255),RIGHT('Disaggregation Records'!$D$69:$D$152,255),0))=0,"",INDEX('Disaggregation Records'!$E$69:$E$152,MATCH(RIGHT(Q582,255),RIGHT('Disaggregation Records'!$D$69:$D$152,255),0))),"")</f>
        <v/>
      </c>
      <c r="S582" s="189" t="str">
        <f t="array" ref="S582">IFERROR(IF(INDEX('Disaggregation Records'!$F$69:$F$152,MATCH(RIGHT(Q582,255),RIGHT('Disaggregation Records'!$D$69:$D$152,255),0))=0,"",INDEX('Disaggregation Records'!$F$69:$F$152,MATCH(RIGHT(Q582,255),RIGHT('Disaggregation Records'!$D$69:$D$152,255),0))),"")</f>
        <v/>
      </c>
      <c r="T582" s="189" t="str">
        <f t="array" ref="T582">IFERROR(IF(INDEX('Disaggregation Records'!$H$69:$H$152,MATCH(RIGHT(Q582,255),RIGHT('Disaggregation Records'!$D$69:$D$152,255),0))=0,"",INDEX('Disaggregation Records'!$H$69:$H$152,MATCH(RIGHT(Q582,255),RIGHT('Disaggregation Records'!$D$69:$D$152,255),0))),"")</f>
        <v/>
      </c>
      <c r="U582" s="189">
        <f t="shared" ref="U582" si="2389">U580+1</f>
        <v>1012</v>
      </c>
      <c r="V582" s="189" t="str">
        <f t="array" ref="V582">IFERROR(IF(INDEX('Disaggregation Records'!$I$69:$I$152,MATCH(RIGHT(Q582,255),RIGHT('Disaggregation Records'!$D$69:$D$152,255),0))=0,"",INDEX('Disaggregation Records'!$I$69:$I$152,MATCH(RIGHT(Q582,255),RIGHT('Disaggregation Records'!$D$69:$D$152,255),0))),"")</f>
        <v/>
      </c>
      <c r="W582" s="189" t="str">
        <f>IFERROR(INDEX('Reference Records'!P$19:P$56,MATCH(LEFT(C582,255),'Reference Records'!J$19:J$56,0)),"")</f>
        <v/>
      </c>
    </row>
    <row r="583" spans="1:23" s="189" customFormat="1" ht="40.200000000000003" customHeight="1" x14ac:dyDescent="0.3">
      <c r="A583" s="678"/>
      <c r="B583" s="675"/>
      <c r="C583" s="667"/>
      <c r="D583" s="677"/>
      <c r="E583" s="677"/>
      <c r="F583" s="202"/>
      <c r="G583" s="669"/>
      <c r="H583" s="671"/>
      <c r="I583" s="673"/>
      <c r="J583" s="652"/>
      <c r="K583" s="667"/>
      <c r="L583" s="667"/>
      <c r="M583" s="652"/>
      <c r="N583" s="652"/>
      <c r="V583" s="189" t="str">
        <f t="array" ref="V583">IFERROR(IF(INDEX('Disaggregation Records'!$I$69:$I$152,MATCH(RIGHT(Q583,255),RIGHT('Disaggregation Records'!$D$69:$D$152,255),0))=0,"",INDEX('Disaggregation Records'!$I$69:$I$152,MATCH(RIGHT(Q583,255),RIGHT('Disaggregation Records'!$D$69:$D$152,255),0))),"")</f>
        <v/>
      </c>
    </row>
    <row r="584" spans="1:23" s="189" customFormat="1" ht="40.200000000000003" customHeight="1" x14ac:dyDescent="0.3">
      <c r="A584" s="678" t="str">
        <f t="shared" ref="A584" ca="1" si="2390">INDIRECT("'update Helper'!C"&amp;U584)</f>
        <v>a1V3p000004fwvgEAA</v>
      </c>
      <c r="B584" s="674">
        <v>14</v>
      </c>
      <c r="C584" s="666" t="str">
        <f>IFERROR(VLOOKUP(B584,'Outcome Indicators - Section C '!$A$9:$AF$70,32,FALSE),"")</f>
        <v/>
      </c>
      <c r="D584" s="676" t="str">
        <f t="shared" ref="D584" si="2391">R584</f>
        <v/>
      </c>
      <c r="E584" s="676" t="str">
        <f t="shared" ref="E584" si="2392">S584</f>
        <v/>
      </c>
      <c r="F584" s="194"/>
      <c r="G584" s="668" t="str">
        <f t="shared" ref="G584" ca="1" si="2393">IF(OR(INDIRECT("'update Helper'!E"&amp;U584)=0,F584&lt;&gt;0,F585&lt;&gt;0),IF(IFERROR((F584/F585),"")="","",(F584/F585)),INDIRECT("'update Helper'!E"&amp;U584)/100)</f>
        <v/>
      </c>
      <c r="H584" s="670"/>
      <c r="I584" s="672"/>
      <c r="J584" s="651"/>
      <c r="K584" s="666" t="str">
        <f t="shared" ref="K584" si="2394">W584</f>
        <v/>
      </c>
      <c r="L584" s="666" t="str">
        <f t="shared" ref="L584" si="2395">V584</f>
        <v/>
      </c>
      <c r="M584" s="651"/>
      <c r="N584" s="651"/>
      <c r="P584" s="189">
        <f t="shared" ref="P584" si="2396">IF(AND(EXACT(C584,C582),C582&lt;&gt;0),P582+1,0)</f>
        <v>94</v>
      </c>
      <c r="Q584" s="189" t="str">
        <f t="shared" ref="Q584" si="2397">IF(C584&lt;&gt;"",C584&amp;"-"&amp;P584,"")</f>
        <v/>
      </c>
      <c r="R584" s="189" t="str">
        <f t="array" ref="R584">IFERROR(IF(INDEX('Disaggregation Records'!$E$69:$E$152,MATCH(RIGHT(Q584,255),RIGHT('Disaggregation Records'!$D$69:$D$152,255),0))=0,"",INDEX('Disaggregation Records'!$E$69:$E$152,MATCH(RIGHT(Q584,255),RIGHT('Disaggregation Records'!$D$69:$D$152,255),0))),"")</f>
        <v/>
      </c>
      <c r="S584" s="189" t="str">
        <f t="array" ref="S584">IFERROR(IF(INDEX('Disaggregation Records'!$F$69:$F$152,MATCH(RIGHT(Q584,255),RIGHT('Disaggregation Records'!$D$69:$D$152,255),0))=0,"",INDEX('Disaggregation Records'!$F$69:$F$152,MATCH(RIGHT(Q584,255),RIGHT('Disaggregation Records'!$D$69:$D$152,255),0))),"")</f>
        <v/>
      </c>
      <c r="T584" s="189" t="str">
        <f t="array" ref="T584">IFERROR(IF(INDEX('Disaggregation Records'!$H$69:$H$152,MATCH(RIGHT(Q584,255),RIGHT('Disaggregation Records'!$D$69:$D$152,255),0))=0,"",INDEX('Disaggregation Records'!$H$69:$H$152,MATCH(RIGHT(Q584,255),RIGHT('Disaggregation Records'!$D$69:$D$152,255),0))),"")</f>
        <v/>
      </c>
      <c r="U584" s="189">
        <f t="shared" ref="U584" si="2398">U582+1</f>
        <v>1013</v>
      </c>
      <c r="V584" s="189" t="str">
        <f t="array" ref="V584">IFERROR(IF(INDEX('Disaggregation Records'!$I$69:$I$152,MATCH(RIGHT(Q584,255),RIGHT('Disaggregation Records'!$D$69:$D$152,255),0))=0,"",INDEX('Disaggregation Records'!$I$69:$I$152,MATCH(RIGHT(Q584,255),RIGHT('Disaggregation Records'!$D$69:$D$152,255),0))),"")</f>
        <v/>
      </c>
      <c r="W584" s="189" t="str">
        <f>IFERROR(INDEX('Reference Records'!P$19:P$56,MATCH(LEFT(C584,255),'Reference Records'!J$19:J$56,0)),"")</f>
        <v/>
      </c>
    </row>
    <row r="585" spans="1:23" s="189" customFormat="1" ht="40.200000000000003" customHeight="1" x14ac:dyDescent="0.3">
      <c r="A585" s="678"/>
      <c r="B585" s="675"/>
      <c r="C585" s="667"/>
      <c r="D585" s="677"/>
      <c r="E585" s="677"/>
      <c r="F585" s="202"/>
      <c r="G585" s="669"/>
      <c r="H585" s="671"/>
      <c r="I585" s="673"/>
      <c r="J585" s="652"/>
      <c r="K585" s="667"/>
      <c r="L585" s="667"/>
      <c r="M585" s="652"/>
      <c r="N585" s="652"/>
      <c r="V585" s="189" t="str">
        <f t="array" ref="V585">IFERROR(IF(INDEX('Disaggregation Records'!$I$69:$I$152,MATCH(RIGHT(Q585,255),RIGHT('Disaggregation Records'!$D$69:$D$152,255),0))=0,"",INDEX('Disaggregation Records'!$I$69:$I$152,MATCH(RIGHT(Q585,255),RIGHT('Disaggregation Records'!$D$69:$D$152,255),0))),"")</f>
        <v/>
      </c>
    </row>
    <row r="586" spans="1:23" s="189" customFormat="1" ht="40.200000000000003" customHeight="1" x14ac:dyDescent="0.3">
      <c r="A586" s="678" t="str">
        <f t="shared" ref="A586" ca="1" si="2399">INDIRECT("'update Helper'!C"&amp;U586)</f>
        <v>a1V3p000004fwvhEAA</v>
      </c>
      <c r="B586" s="674">
        <v>14</v>
      </c>
      <c r="C586" s="666" t="str">
        <f>IFERROR(VLOOKUP(B586,'Outcome Indicators - Section C '!$A$9:$AF$70,32,FALSE),"")</f>
        <v/>
      </c>
      <c r="D586" s="676" t="str">
        <f t="shared" ref="D586" si="2400">R586</f>
        <v/>
      </c>
      <c r="E586" s="676" t="str">
        <f t="shared" ref="E586" si="2401">S586</f>
        <v/>
      </c>
      <c r="F586" s="194"/>
      <c r="G586" s="668" t="str">
        <f t="shared" ref="G586" ca="1" si="2402">IF(OR(INDIRECT("'update Helper'!E"&amp;U586)=0,F586&lt;&gt;0,F587&lt;&gt;0),IF(IFERROR((F586/F587),"")="","",(F586/F587)),INDIRECT("'update Helper'!E"&amp;U586)/100)</f>
        <v/>
      </c>
      <c r="H586" s="670"/>
      <c r="I586" s="672"/>
      <c r="J586" s="651"/>
      <c r="K586" s="666" t="str">
        <f t="shared" ref="K586" si="2403">W586</f>
        <v/>
      </c>
      <c r="L586" s="666" t="str">
        <f t="shared" ref="L586" si="2404">V586</f>
        <v/>
      </c>
      <c r="M586" s="651"/>
      <c r="N586" s="651"/>
      <c r="P586" s="189">
        <f t="shared" ref="P586" si="2405">IF(AND(EXACT(C586,C584),C584&lt;&gt;0),P584+1,0)</f>
        <v>95</v>
      </c>
      <c r="Q586" s="189" t="str">
        <f t="shared" ref="Q586" si="2406">IF(C586&lt;&gt;"",C586&amp;"-"&amp;P586,"")</f>
        <v/>
      </c>
      <c r="R586" s="189" t="str">
        <f t="array" ref="R586">IFERROR(IF(INDEX('Disaggregation Records'!$E$69:$E$152,MATCH(RIGHT(Q586,255),RIGHT('Disaggregation Records'!$D$69:$D$152,255),0))=0,"",INDEX('Disaggregation Records'!$E$69:$E$152,MATCH(RIGHT(Q586,255),RIGHT('Disaggregation Records'!$D$69:$D$152,255),0))),"")</f>
        <v/>
      </c>
      <c r="S586" s="189" t="str">
        <f t="array" ref="S586">IFERROR(IF(INDEX('Disaggregation Records'!$F$69:$F$152,MATCH(RIGHT(Q586,255),RIGHT('Disaggregation Records'!$D$69:$D$152,255),0))=0,"",INDEX('Disaggregation Records'!$F$69:$F$152,MATCH(RIGHT(Q586,255),RIGHT('Disaggregation Records'!$D$69:$D$152,255),0))),"")</f>
        <v/>
      </c>
      <c r="T586" s="189" t="str">
        <f t="array" ref="T586">IFERROR(IF(INDEX('Disaggregation Records'!$H$69:$H$152,MATCH(RIGHT(Q586,255),RIGHT('Disaggregation Records'!$D$69:$D$152,255),0))=0,"",INDEX('Disaggregation Records'!$H$69:$H$152,MATCH(RIGHT(Q586,255),RIGHT('Disaggregation Records'!$D$69:$D$152,255),0))),"")</f>
        <v/>
      </c>
      <c r="U586" s="189">
        <f t="shared" ref="U586" si="2407">U584+1</f>
        <v>1014</v>
      </c>
      <c r="V586" s="189" t="str">
        <f t="array" ref="V586">IFERROR(IF(INDEX('Disaggregation Records'!$I$69:$I$152,MATCH(RIGHT(Q586,255),RIGHT('Disaggregation Records'!$D$69:$D$152,255),0))=0,"",INDEX('Disaggregation Records'!$I$69:$I$152,MATCH(RIGHT(Q586,255),RIGHT('Disaggregation Records'!$D$69:$D$152,255),0))),"")</f>
        <v/>
      </c>
      <c r="W586" s="189" t="str">
        <f>IFERROR(INDEX('Reference Records'!P$19:P$56,MATCH(LEFT(C586,255),'Reference Records'!J$19:J$56,0)),"")</f>
        <v/>
      </c>
    </row>
    <row r="587" spans="1:23" s="189" customFormat="1" ht="40.200000000000003" customHeight="1" x14ac:dyDescent="0.3">
      <c r="A587" s="678"/>
      <c r="B587" s="675"/>
      <c r="C587" s="667"/>
      <c r="D587" s="677"/>
      <c r="E587" s="677"/>
      <c r="F587" s="202"/>
      <c r="G587" s="669"/>
      <c r="H587" s="671"/>
      <c r="I587" s="673"/>
      <c r="J587" s="652"/>
      <c r="K587" s="667"/>
      <c r="L587" s="667"/>
      <c r="M587" s="652"/>
      <c r="N587" s="652"/>
      <c r="V587" s="189" t="str">
        <f t="array" ref="V587">IFERROR(IF(INDEX('Disaggregation Records'!$I$69:$I$152,MATCH(RIGHT(Q587,255),RIGHT('Disaggregation Records'!$D$69:$D$152,255),0))=0,"",INDEX('Disaggregation Records'!$I$69:$I$152,MATCH(RIGHT(Q587,255),RIGHT('Disaggregation Records'!$D$69:$D$152,255),0))),"")</f>
        <v/>
      </c>
    </row>
    <row r="588" spans="1:23" s="189" customFormat="1" ht="40.200000000000003" customHeight="1" x14ac:dyDescent="0.3">
      <c r="A588" s="678" t="str">
        <f t="shared" ref="A588" ca="1" si="2408">INDIRECT("'update Helper'!C"&amp;U588)</f>
        <v>a1V3p000004fwviEAA</v>
      </c>
      <c r="B588" s="674">
        <v>14</v>
      </c>
      <c r="C588" s="666" t="str">
        <f>IFERROR(VLOOKUP(B588,'Outcome Indicators - Section C '!$A$9:$AF$70,32,FALSE),"")</f>
        <v/>
      </c>
      <c r="D588" s="676" t="str">
        <f t="shared" ref="D588" si="2409">R588</f>
        <v/>
      </c>
      <c r="E588" s="676" t="str">
        <f t="shared" ref="E588" si="2410">S588</f>
        <v/>
      </c>
      <c r="F588" s="194"/>
      <c r="G588" s="668" t="str">
        <f t="shared" ref="G588" ca="1" si="2411">IF(OR(INDIRECT("'update Helper'!E"&amp;U588)=0,F588&lt;&gt;0,F589&lt;&gt;0),IF(IFERROR((F588/F589),"")="","",(F588/F589)),INDIRECT("'update Helper'!E"&amp;U588)/100)</f>
        <v/>
      </c>
      <c r="H588" s="670"/>
      <c r="I588" s="672"/>
      <c r="J588" s="651"/>
      <c r="K588" s="666" t="str">
        <f t="shared" ref="K588" si="2412">W588</f>
        <v/>
      </c>
      <c r="L588" s="666" t="str">
        <f t="shared" ref="L588" si="2413">V588</f>
        <v/>
      </c>
      <c r="M588" s="651"/>
      <c r="N588" s="651"/>
      <c r="P588" s="189">
        <f t="shared" ref="P588" si="2414">IF(AND(EXACT(C588,C586),C586&lt;&gt;0),P586+1,0)</f>
        <v>96</v>
      </c>
      <c r="Q588" s="189" t="str">
        <f t="shared" ref="Q588" si="2415">IF(C588&lt;&gt;"",C588&amp;"-"&amp;P588,"")</f>
        <v/>
      </c>
      <c r="R588" s="189" t="str">
        <f t="array" ref="R588">IFERROR(IF(INDEX('Disaggregation Records'!$E$69:$E$152,MATCH(RIGHT(Q588,255),RIGHT('Disaggregation Records'!$D$69:$D$152,255),0))=0,"",INDEX('Disaggregation Records'!$E$69:$E$152,MATCH(RIGHT(Q588,255),RIGHT('Disaggregation Records'!$D$69:$D$152,255),0))),"")</f>
        <v/>
      </c>
      <c r="S588" s="189" t="str">
        <f t="array" ref="S588">IFERROR(IF(INDEX('Disaggregation Records'!$F$69:$F$152,MATCH(RIGHT(Q588,255),RIGHT('Disaggregation Records'!$D$69:$D$152,255),0))=0,"",INDEX('Disaggregation Records'!$F$69:$F$152,MATCH(RIGHT(Q588,255),RIGHT('Disaggregation Records'!$D$69:$D$152,255),0))),"")</f>
        <v/>
      </c>
      <c r="T588" s="189" t="str">
        <f t="array" ref="T588">IFERROR(IF(INDEX('Disaggregation Records'!$H$69:$H$152,MATCH(RIGHT(Q588,255),RIGHT('Disaggregation Records'!$D$69:$D$152,255),0))=0,"",INDEX('Disaggregation Records'!$H$69:$H$152,MATCH(RIGHT(Q588,255),RIGHT('Disaggregation Records'!$D$69:$D$152,255),0))),"")</f>
        <v/>
      </c>
      <c r="U588" s="189">
        <f t="shared" ref="U588" si="2416">U586+1</f>
        <v>1015</v>
      </c>
      <c r="V588" s="189" t="str">
        <f t="array" ref="V588">IFERROR(IF(INDEX('Disaggregation Records'!$I$69:$I$152,MATCH(RIGHT(Q588,255),RIGHT('Disaggregation Records'!$D$69:$D$152,255),0))=0,"",INDEX('Disaggregation Records'!$I$69:$I$152,MATCH(RIGHT(Q588,255),RIGHT('Disaggregation Records'!$D$69:$D$152,255),0))),"")</f>
        <v/>
      </c>
      <c r="W588" s="189" t="str">
        <f>IFERROR(INDEX('Reference Records'!P$19:P$56,MATCH(LEFT(C588,255),'Reference Records'!J$19:J$56,0)),"")</f>
        <v/>
      </c>
    </row>
    <row r="589" spans="1:23" s="189" customFormat="1" ht="40.200000000000003" customHeight="1" x14ac:dyDescent="0.3">
      <c r="A589" s="678"/>
      <c r="B589" s="675"/>
      <c r="C589" s="667"/>
      <c r="D589" s="677"/>
      <c r="E589" s="677"/>
      <c r="F589" s="202"/>
      <c r="G589" s="669"/>
      <c r="H589" s="671"/>
      <c r="I589" s="673"/>
      <c r="J589" s="652"/>
      <c r="K589" s="667"/>
      <c r="L589" s="667"/>
      <c r="M589" s="652"/>
      <c r="N589" s="652"/>
      <c r="V589" s="189" t="str">
        <f t="array" ref="V589">IFERROR(IF(INDEX('Disaggregation Records'!$I$69:$I$152,MATCH(RIGHT(Q589,255),RIGHT('Disaggregation Records'!$D$69:$D$152,255),0))=0,"",INDEX('Disaggregation Records'!$I$69:$I$152,MATCH(RIGHT(Q589,255),RIGHT('Disaggregation Records'!$D$69:$D$152,255),0))),"")</f>
        <v/>
      </c>
    </row>
    <row r="590" spans="1:23" s="189" customFormat="1" ht="40.200000000000003" customHeight="1" x14ac:dyDescent="0.3">
      <c r="A590" s="678" t="str">
        <f t="shared" ref="A590" ca="1" si="2417">INDIRECT("'update Helper'!C"&amp;U590)</f>
        <v>a1V3p000004fwvjEAA</v>
      </c>
      <c r="B590" s="674">
        <v>14</v>
      </c>
      <c r="C590" s="666" t="str">
        <f>IFERROR(VLOOKUP(B590,'Outcome Indicators - Section C '!$A$9:$AF$70,32,FALSE),"")</f>
        <v/>
      </c>
      <c r="D590" s="676" t="str">
        <f t="shared" ref="D590" si="2418">R590</f>
        <v/>
      </c>
      <c r="E590" s="676" t="str">
        <f t="shared" ref="E590" si="2419">S590</f>
        <v/>
      </c>
      <c r="F590" s="194"/>
      <c r="G590" s="668" t="str">
        <f t="shared" ref="G590" ca="1" si="2420">IF(OR(INDIRECT("'update Helper'!E"&amp;U590)=0,F590&lt;&gt;0,F591&lt;&gt;0),IF(IFERROR((F590/F591),"")="","",(F590/F591)),INDIRECT("'update Helper'!E"&amp;U590)/100)</f>
        <v/>
      </c>
      <c r="H590" s="670"/>
      <c r="I590" s="672"/>
      <c r="J590" s="651"/>
      <c r="K590" s="666" t="str">
        <f t="shared" ref="K590" si="2421">W590</f>
        <v/>
      </c>
      <c r="L590" s="666" t="str">
        <f t="shared" ref="L590" si="2422">V590</f>
        <v/>
      </c>
      <c r="M590" s="651"/>
      <c r="N590" s="651"/>
      <c r="P590" s="189">
        <f t="shared" ref="P590" si="2423">IF(AND(EXACT(C590,C588),C588&lt;&gt;0),P588+1,0)</f>
        <v>97</v>
      </c>
      <c r="Q590" s="189" t="str">
        <f t="shared" ref="Q590" si="2424">IF(C590&lt;&gt;"",C590&amp;"-"&amp;P590,"")</f>
        <v/>
      </c>
      <c r="R590" s="189" t="str">
        <f t="array" ref="R590">IFERROR(IF(INDEX('Disaggregation Records'!$E$69:$E$152,MATCH(RIGHT(Q590,255),RIGHT('Disaggregation Records'!$D$69:$D$152,255),0))=0,"",INDEX('Disaggregation Records'!$E$69:$E$152,MATCH(RIGHT(Q590,255),RIGHT('Disaggregation Records'!$D$69:$D$152,255),0))),"")</f>
        <v/>
      </c>
      <c r="S590" s="189" t="str">
        <f t="array" ref="S590">IFERROR(IF(INDEX('Disaggregation Records'!$F$69:$F$152,MATCH(RIGHT(Q590,255),RIGHT('Disaggregation Records'!$D$69:$D$152,255),0))=0,"",INDEX('Disaggregation Records'!$F$69:$F$152,MATCH(RIGHT(Q590,255),RIGHT('Disaggregation Records'!$D$69:$D$152,255),0))),"")</f>
        <v/>
      </c>
      <c r="T590" s="189" t="str">
        <f t="array" ref="T590">IFERROR(IF(INDEX('Disaggregation Records'!$H$69:$H$152,MATCH(RIGHT(Q590,255),RIGHT('Disaggregation Records'!$D$69:$D$152,255),0))=0,"",INDEX('Disaggregation Records'!$H$69:$H$152,MATCH(RIGHT(Q590,255),RIGHT('Disaggregation Records'!$D$69:$D$152,255),0))),"")</f>
        <v/>
      </c>
      <c r="U590" s="189">
        <f t="shared" ref="U590" si="2425">U588+1</f>
        <v>1016</v>
      </c>
      <c r="V590" s="189" t="str">
        <f t="array" ref="V590">IFERROR(IF(INDEX('Disaggregation Records'!$I$69:$I$152,MATCH(RIGHT(Q590,255),RIGHT('Disaggregation Records'!$D$69:$D$152,255),0))=0,"",INDEX('Disaggregation Records'!$I$69:$I$152,MATCH(RIGHT(Q590,255),RIGHT('Disaggregation Records'!$D$69:$D$152,255),0))),"")</f>
        <v/>
      </c>
      <c r="W590" s="189" t="str">
        <f>IFERROR(INDEX('Reference Records'!P$19:P$56,MATCH(LEFT(C590,255),'Reference Records'!J$19:J$56,0)),"")</f>
        <v/>
      </c>
    </row>
    <row r="591" spans="1:23" s="189" customFormat="1" ht="40.200000000000003" customHeight="1" x14ac:dyDescent="0.3">
      <c r="A591" s="678"/>
      <c r="B591" s="675"/>
      <c r="C591" s="667"/>
      <c r="D591" s="677"/>
      <c r="E591" s="677"/>
      <c r="F591" s="202"/>
      <c r="G591" s="669"/>
      <c r="H591" s="671"/>
      <c r="I591" s="673"/>
      <c r="J591" s="652"/>
      <c r="K591" s="667"/>
      <c r="L591" s="667"/>
      <c r="M591" s="652"/>
      <c r="N591" s="652"/>
      <c r="V591" s="189" t="str">
        <f t="array" ref="V591">IFERROR(IF(INDEX('Disaggregation Records'!$I$69:$I$152,MATCH(RIGHT(Q591,255),RIGHT('Disaggregation Records'!$D$69:$D$152,255),0))=0,"",INDEX('Disaggregation Records'!$I$69:$I$152,MATCH(RIGHT(Q591,255),RIGHT('Disaggregation Records'!$D$69:$D$152,255),0))),"")</f>
        <v/>
      </c>
    </row>
    <row r="592" spans="1:23" s="189" customFormat="1" ht="40.200000000000003" customHeight="1" x14ac:dyDescent="0.3">
      <c r="A592" s="678" t="str">
        <f t="shared" ref="A592" ca="1" si="2426">INDIRECT("'update Helper'!C"&amp;U592)</f>
        <v>a1V3p000004fwvkEAA</v>
      </c>
      <c r="B592" s="674">
        <v>14</v>
      </c>
      <c r="C592" s="666" t="str">
        <f>IFERROR(VLOOKUP(B592,'Outcome Indicators - Section C '!$A$9:$AF$70,32,FALSE),"")</f>
        <v/>
      </c>
      <c r="D592" s="676" t="str">
        <f t="shared" ref="D592" si="2427">R592</f>
        <v/>
      </c>
      <c r="E592" s="676" t="str">
        <f t="shared" ref="E592" si="2428">S592</f>
        <v/>
      </c>
      <c r="F592" s="194"/>
      <c r="G592" s="668" t="str">
        <f t="shared" ref="G592" ca="1" si="2429">IF(OR(INDIRECT("'update Helper'!E"&amp;U592)=0,F592&lt;&gt;0,F593&lt;&gt;0),IF(IFERROR((F592/F593),"")="","",(F592/F593)),INDIRECT("'update Helper'!E"&amp;U592)/100)</f>
        <v/>
      </c>
      <c r="H592" s="670"/>
      <c r="I592" s="672"/>
      <c r="J592" s="651"/>
      <c r="K592" s="666" t="str">
        <f t="shared" ref="K592" si="2430">W592</f>
        <v/>
      </c>
      <c r="L592" s="666" t="str">
        <f t="shared" ref="L592" si="2431">V592</f>
        <v/>
      </c>
      <c r="M592" s="651"/>
      <c r="N592" s="651"/>
      <c r="P592" s="189">
        <f t="shared" ref="P592" si="2432">IF(AND(EXACT(C592,C590),C590&lt;&gt;0),P590+1,0)</f>
        <v>98</v>
      </c>
      <c r="Q592" s="189" t="str">
        <f t="shared" ref="Q592" si="2433">IF(C592&lt;&gt;"",C592&amp;"-"&amp;P592,"")</f>
        <v/>
      </c>
      <c r="R592" s="189" t="str">
        <f t="array" ref="R592">IFERROR(IF(INDEX('Disaggregation Records'!$E$69:$E$152,MATCH(RIGHT(Q592,255),RIGHT('Disaggregation Records'!$D$69:$D$152,255),0))=0,"",INDEX('Disaggregation Records'!$E$69:$E$152,MATCH(RIGHT(Q592,255),RIGHT('Disaggregation Records'!$D$69:$D$152,255),0))),"")</f>
        <v/>
      </c>
      <c r="S592" s="189" t="str">
        <f t="array" ref="S592">IFERROR(IF(INDEX('Disaggregation Records'!$F$69:$F$152,MATCH(RIGHT(Q592,255),RIGHT('Disaggregation Records'!$D$69:$D$152,255),0))=0,"",INDEX('Disaggregation Records'!$F$69:$F$152,MATCH(RIGHT(Q592,255),RIGHT('Disaggregation Records'!$D$69:$D$152,255),0))),"")</f>
        <v/>
      </c>
      <c r="T592" s="189" t="str">
        <f t="array" ref="T592">IFERROR(IF(INDEX('Disaggregation Records'!$H$69:$H$152,MATCH(RIGHT(Q592,255),RIGHT('Disaggregation Records'!$D$69:$D$152,255),0))=0,"",INDEX('Disaggregation Records'!$H$69:$H$152,MATCH(RIGHT(Q592,255),RIGHT('Disaggregation Records'!$D$69:$D$152,255),0))),"")</f>
        <v/>
      </c>
      <c r="U592" s="189">
        <f t="shared" ref="U592" si="2434">U590+1</f>
        <v>1017</v>
      </c>
      <c r="V592" s="189" t="str">
        <f t="array" ref="V592">IFERROR(IF(INDEX('Disaggregation Records'!$I$69:$I$152,MATCH(RIGHT(Q592,255),RIGHT('Disaggregation Records'!$D$69:$D$152,255),0))=0,"",INDEX('Disaggregation Records'!$I$69:$I$152,MATCH(RIGHT(Q592,255),RIGHT('Disaggregation Records'!$D$69:$D$152,255),0))),"")</f>
        <v/>
      </c>
      <c r="W592" s="189" t="str">
        <f>IFERROR(INDEX('Reference Records'!P$19:P$56,MATCH(LEFT(C592,255),'Reference Records'!J$19:J$56,0)),"")</f>
        <v/>
      </c>
    </row>
    <row r="593" spans="1:23" s="189" customFormat="1" ht="40.200000000000003" customHeight="1" x14ac:dyDescent="0.3">
      <c r="A593" s="678"/>
      <c r="B593" s="675"/>
      <c r="C593" s="667"/>
      <c r="D593" s="677"/>
      <c r="E593" s="677"/>
      <c r="F593" s="202"/>
      <c r="G593" s="669"/>
      <c r="H593" s="671"/>
      <c r="I593" s="673"/>
      <c r="J593" s="652"/>
      <c r="K593" s="667"/>
      <c r="L593" s="667"/>
      <c r="M593" s="652"/>
      <c r="N593" s="652"/>
      <c r="V593" s="189" t="str">
        <f t="array" ref="V593">IFERROR(IF(INDEX('Disaggregation Records'!$I$69:$I$152,MATCH(RIGHT(Q593,255),RIGHT('Disaggregation Records'!$D$69:$D$152,255),0))=0,"",INDEX('Disaggregation Records'!$I$69:$I$152,MATCH(RIGHT(Q593,255),RIGHT('Disaggregation Records'!$D$69:$D$152,255),0))),"")</f>
        <v/>
      </c>
    </row>
    <row r="594" spans="1:23" s="189" customFormat="1" ht="40.200000000000003" customHeight="1" x14ac:dyDescent="0.3">
      <c r="A594" s="678" t="str">
        <f t="shared" ref="A594" ca="1" si="2435">INDIRECT("'update Helper'!C"&amp;U594)</f>
        <v>a1V3p000004fwvlEAA</v>
      </c>
      <c r="B594" s="674">
        <v>14</v>
      </c>
      <c r="C594" s="666" t="str">
        <f>IFERROR(VLOOKUP(B594,'Outcome Indicators - Section C '!$A$9:$AF$70,32,FALSE),"")</f>
        <v/>
      </c>
      <c r="D594" s="676" t="str">
        <f t="shared" ref="D594" si="2436">R594</f>
        <v/>
      </c>
      <c r="E594" s="676" t="str">
        <f t="shared" ref="E594" si="2437">S594</f>
        <v/>
      </c>
      <c r="F594" s="194"/>
      <c r="G594" s="668" t="str">
        <f t="shared" ref="G594" ca="1" si="2438">IF(OR(INDIRECT("'update Helper'!E"&amp;U594)=0,F594&lt;&gt;0,F595&lt;&gt;0),IF(IFERROR((F594/F595),"")="","",(F594/F595)),INDIRECT("'update Helper'!E"&amp;U594)/100)</f>
        <v/>
      </c>
      <c r="H594" s="670"/>
      <c r="I594" s="672"/>
      <c r="J594" s="651"/>
      <c r="K594" s="666" t="str">
        <f t="shared" ref="K594" si="2439">W594</f>
        <v/>
      </c>
      <c r="L594" s="666" t="str">
        <f t="shared" ref="L594" si="2440">V594</f>
        <v/>
      </c>
      <c r="M594" s="651"/>
      <c r="N594" s="651"/>
      <c r="P594" s="189">
        <f t="shared" ref="P594" si="2441">IF(AND(EXACT(C594,C592),C592&lt;&gt;0),P592+1,0)</f>
        <v>99</v>
      </c>
      <c r="Q594" s="189" t="str">
        <f t="shared" ref="Q594" si="2442">IF(C594&lt;&gt;"",C594&amp;"-"&amp;P594,"")</f>
        <v/>
      </c>
      <c r="R594" s="189" t="str">
        <f t="array" ref="R594">IFERROR(IF(INDEX('Disaggregation Records'!$E$69:$E$152,MATCH(RIGHT(Q594,255),RIGHT('Disaggregation Records'!$D$69:$D$152,255),0))=0,"",INDEX('Disaggregation Records'!$E$69:$E$152,MATCH(RIGHT(Q594,255),RIGHT('Disaggregation Records'!$D$69:$D$152,255),0))),"")</f>
        <v/>
      </c>
      <c r="S594" s="189" t="str">
        <f t="array" ref="S594">IFERROR(IF(INDEX('Disaggregation Records'!$F$69:$F$152,MATCH(RIGHT(Q594,255),RIGHT('Disaggregation Records'!$D$69:$D$152,255),0))=0,"",INDEX('Disaggregation Records'!$F$69:$F$152,MATCH(RIGHT(Q594,255),RIGHT('Disaggregation Records'!$D$69:$D$152,255),0))),"")</f>
        <v/>
      </c>
      <c r="T594" s="189" t="str">
        <f t="array" ref="T594">IFERROR(IF(INDEX('Disaggregation Records'!$H$69:$H$152,MATCH(RIGHT(Q594,255),RIGHT('Disaggregation Records'!$D$69:$D$152,255),0))=0,"",INDEX('Disaggregation Records'!$H$69:$H$152,MATCH(RIGHT(Q594,255),RIGHT('Disaggregation Records'!$D$69:$D$152,255),0))),"")</f>
        <v/>
      </c>
      <c r="U594" s="189">
        <f t="shared" ref="U594" si="2443">U592+1</f>
        <v>1018</v>
      </c>
      <c r="V594" s="189" t="str">
        <f t="array" ref="V594">IFERROR(IF(INDEX('Disaggregation Records'!$I$69:$I$152,MATCH(RIGHT(Q594,255),RIGHT('Disaggregation Records'!$D$69:$D$152,255),0))=0,"",INDEX('Disaggregation Records'!$I$69:$I$152,MATCH(RIGHT(Q594,255),RIGHT('Disaggregation Records'!$D$69:$D$152,255),0))),"")</f>
        <v/>
      </c>
      <c r="W594" s="189" t="str">
        <f>IFERROR(INDEX('Reference Records'!P$19:P$56,MATCH(LEFT(C594,255),'Reference Records'!J$19:J$56,0)),"")</f>
        <v/>
      </c>
    </row>
    <row r="595" spans="1:23" s="189" customFormat="1" ht="40.200000000000003" customHeight="1" x14ac:dyDescent="0.3">
      <c r="A595" s="678"/>
      <c r="B595" s="675"/>
      <c r="C595" s="667"/>
      <c r="D595" s="677"/>
      <c r="E595" s="677"/>
      <c r="F595" s="202"/>
      <c r="G595" s="669"/>
      <c r="H595" s="671"/>
      <c r="I595" s="673"/>
      <c r="J595" s="652"/>
      <c r="K595" s="667"/>
      <c r="L595" s="667"/>
      <c r="M595" s="652"/>
      <c r="N595" s="652"/>
      <c r="V595" s="189" t="str">
        <f t="array" ref="V595">IFERROR(IF(INDEX('Disaggregation Records'!$I$69:$I$152,MATCH(RIGHT(Q595,255),RIGHT('Disaggregation Records'!$D$69:$D$152,255),0))=0,"",INDEX('Disaggregation Records'!$I$69:$I$152,MATCH(RIGHT(Q595,255),RIGHT('Disaggregation Records'!$D$69:$D$152,255),0))),"")</f>
        <v/>
      </c>
    </row>
    <row r="596" spans="1:23" s="189" customFormat="1" ht="40.200000000000003" customHeight="1" x14ac:dyDescent="0.3">
      <c r="A596" s="678" t="str">
        <f t="shared" ref="A596" ca="1" si="2444">INDIRECT("'update Helper'!C"&amp;U596)</f>
        <v>a1V3p000004fwvmEAA</v>
      </c>
      <c r="B596" s="674">
        <v>15</v>
      </c>
      <c r="C596" s="666" t="str">
        <f>IFERROR(VLOOKUP(B596,'Outcome Indicators - Section C '!$A$9:$AF$70,32,FALSE),"")</f>
        <v/>
      </c>
      <c r="D596" s="676" t="str">
        <f t="shared" ref="D596" si="2445">R596</f>
        <v/>
      </c>
      <c r="E596" s="676" t="str">
        <f t="shared" ref="E596" si="2446">S596</f>
        <v/>
      </c>
      <c r="F596" s="194"/>
      <c r="G596" s="668" t="str">
        <f t="shared" ref="G596" ca="1" si="2447">IF(OR(INDIRECT("'update Helper'!E"&amp;U596)=0,F596&lt;&gt;0,F597&lt;&gt;0),IF(IFERROR((F596/F597),"")="","",(F596/F597)),INDIRECT("'update Helper'!E"&amp;U596)/100)</f>
        <v/>
      </c>
      <c r="H596" s="670"/>
      <c r="I596" s="672"/>
      <c r="J596" s="651"/>
      <c r="K596" s="666" t="str">
        <f t="shared" ref="K596" si="2448">W596</f>
        <v/>
      </c>
      <c r="L596" s="666" t="str">
        <f t="shared" ref="L596" si="2449">V596</f>
        <v/>
      </c>
      <c r="M596" s="651"/>
      <c r="N596" s="651"/>
      <c r="P596" s="189">
        <f t="shared" ref="P596" si="2450">IF(AND(EXACT(C596,C594),C594&lt;&gt;0),P594+1,0)</f>
        <v>100</v>
      </c>
      <c r="Q596" s="189" t="str">
        <f t="shared" ref="Q596" si="2451">IF(C596&lt;&gt;"",C596&amp;"-"&amp;P596,"")</f>
        <v/>
      </c>
      <c r="R596" s="189" t="str">
        <f t="array" ref="R596">IFERROR(IF(INDEX('Disaggregation Records'!$E$69:$E$152,MATCH(RIGHT(Q596,255),RIGHT('Disaggregation Records'!$D$69:$D$152,255),0))=0,"",INDEX('Disaggregation Records'!$E$69:$E$152,MATCH(RIGHT(Q596,255),RIGHT('Disaggregation Records'!$D$69:$D$152,255),0))),"")</f>
        <v/>
      </c>
      <c r="S596" s="189" t="str">
        <f t="array" ref="S596">IFERROR(IF(INDEX('Disaggregation Records'!$F$69:$F$152,MATCH(RIGHT(Q596,255),RIGHT('Disaggregation Records'!$D$69:$D$152,255),0))=0,"",INDEX('Disaggregation Records'!$F$69:$F$152,MATCH(RIGHT(Q596,255),RIGHT('Disaggregation Records'!$D$69:$D$152,255),0))),"")</f>
        <v/>
      </c>
      <c r="T596" s="189" t="str">
        <f t="array" ref="T596">IFERROR(IF(INDEX('Disaggregation Records'!$H$69:$H$152,MATCH(RIGHT(Q596,255),RIGHT('Disaggregation Records'!$D$69:$D$152,255),0))=0,"",INDEX('Disaggregation Records'!$H$69:$H$152,MATCH(RIGHT(Q596,255),RIGHT('Disaggregation Records'!$D$69:$D$152,255),0))),"")</f>
        <v/>
      </c>
      <c r="U596" s="189">
        <f t="shared" ref="U596" si="2452">U594+1</f>
        <v>1019</v>
      </c>
      <c r="V596" s="189" t="str">
        <f t="array" ref="V596">IFERROR(IF(INDEX('Disaggregation Records'!$I$69:$I$152,MATCH(RIGHT(Q596,255),RIGHT('Disaggregation Records'!$D$69:$D$152,255),0))=0,"",INDEX('Disaggregation Records'!$I$69:$I$152,MATCH(RIGHT(Q596,255),RIGHT('Disaggregation Records'!$D$69:$D$152,255),0))),"")</f>
        <v/>
      </c>
      <c r="W596" s="189" t="str">
        <f>IFERROR(INDEX('Reference Records'!P$19:P$56,MATCH(LEFT(C596,255),'Reference Records'!J$19:J$56,0)),"")</f>
        <v/>
      </c>
    </row>
    <row r="597" spans="1:23" s="189" customFormat="1" ht="40.200000000000003" customHeight="1" x14ac:dyDescent="0.3">
      <c r="A597" s="678"/>
      <c r="B597" s="675"/>
      <c r="C597" s="667"/>
      <c r="D597" s="677"/>
      <c r="E597" s="677"/>
      <c r="F597" s="202"/>
      <c r="G597" s="669"/>
      <c r="H597" s="671"/>
      <c r="I597" s="673"/>
      <c r="J597" s="652"/>
      <c r="K597" s="667"/>
      <c r="L597" s="667"/>
      <c r="M597" s="652"/>
      <c r="N597" s="652"/>
      <c r="V597" s="189" t="str">
        <f t="array" ref="V597">IFERROR(IF(INDEX('Disaggregation Records'!$I$69:$I$152,MATCH(RIGHT(Q597,255),RIGHT('Disaggregation Records'!$D$69:$D$152,255),0))=0,"",INDEX('Disaggregation Records'!$I$69:$I$152,MATCH(RIGHT(Q597,255),RIGHT('Disaggregation Records'!$D$69:$D$152,255),0))),"")</f>
        <v/>
      </c>
    </row>
    <row r="598" spans="1:23" s="189" customFormat="1" ht="40.200000000000003" customHeight="1" x14ac:dyDescent="0.3">
      <c r="A598" s="678" t="str">
        <f t="shared" ref="A598" ca="1" si="2453">INDIRECT("'update Helper'!C"&amp;U598)</f>
        <v>a1V3p000004fwvnEAA</v>
      </c>
      <c r="B598" s="674">
        <v>15</v>
      </c>
      <c r="C598" s="666" t="str">
        <f>IFERROR(VLOOKUP(B598,'Outcome Indicators - Section C '!$A$9:$AF$70,32,FALSE),"")</f>
        <v/>
      </c>
      <c r="D598" s="676" t="str">
        <f t="shared" ref="D598" si="2454">R598</f>
        <v/>
      </c>
      <c r="E598" s="676" t="str">
        <f t="shared" ref="E598" si="2455">S598</f>
        <v/>
      </c>
      <c r="F598" s="194"/>
      <c r="G598" s="668" t="str">
        <f t="shared" ref="G598" ca="1" si="2456">IF(OR(INDIRECT("'update Helper'!E"&amp;U598)=0,F598&lt;&gt;0,F599&lt;&gt;0),IF(IFERROR((F598/F599),"")="","",(F598/F599)),INDIRECT("'update Helper'!E"&amp;U598)/100)</f>
        <v/>
      </c>
      <c r="H598" s="670"/>
      <c r="I598" s="672"/>
      <c r="J598" s="651"/>
      <c r="K598" s="666" t="str">
        <f t="shared" ref="K598" si="2457">W598</f>
        <v/>
      </c>
      <c r="L598" s="666" t="str">
        <f t="shared" ref="L598" si="2458">V598</f>
        <v/>
      </c>
      <c r="M598" s="651"/>
      <c r="N598" s="651"/>
      <c r="P598" s="189">
        <f t="shared" ref="P598" si="2459">IF(AND(EXACT(C598,C596),C596&lt;&gt;0),P596+1,0)</f>
        <v>101</v>
      </c>
      <c r="Q598" s="189" t="str">
        <f t="shared" ref="Q598" si="2460">IF(C598&lt;&gt;"",C598&amp;"-"&amp;P598,"")</f>
        <v/>
      </c>
      <c r="R598" s="189" t="str">
        <f t="array" ref="R598">IFERROR(IF(INDEX('Disaggregation Records'!$E$69:$E$152,MATCH(RIGHT(Q598,255),RIGHT('Disaggregation Records'!$D$69:$D$152,255),0))=0,"",INDEX('Disaggregation Records'!$E$69:$E$152,MATCH(RIGHT(Q598,255),RIGHT('Disaggregation Records'!$D$69:$D$152,255),0))),"")</f>
        <v/>
      </c>
      <c r="S598" s="189" t="str">
        <f t="array" ref="S598">IFERROR(IF(INDEX('Disaggregation Records'!$F$69:$F$152,MATCH(RIGHT(Q598,255),RIGHT('Disaggregation Records'!$D$69:$D$152,255),0))=0,"",INDEX('Disaggregation Records'!$F$69:$F$152,MATCH(RIGHT(Q598,255),RIGHT('Disaggregation Records'!$D$69:$D$152,255),0))),"")</f>
        <v/>
      </c>
      <c r="T598" s="189" t="str">
        <f t="array" ref="T598">IFERROR(IF(INDEX('Disaggregation Records'!$H$69:$H$152,MATCH(RIGHT(Q598,255),RIGHT('Disaggregation Records'!$D$69:$D$152,255),0))=0,"",INDEX('Disaggregation Records'!$H$69:$H$152,MATCH(RIGHT(Q598,255),RIGHT('Disaggregation Records'!$D$69:$D$152,255),0))),"")</f>
        <v/>
      </c>
      <c r="U598" s="189">
        <f t="shared" ref="U598" si="2461">U596+1</f>
        <v>1020</v>
      </c>
      <c r="V598" s="189" t="str">
        <f t="array" ref="V598">IFERROR(IF(INDEX('Disaggregation Records'!$I$69:$I$152,MATCH(RIGHT(Q598,255),RIGHT('Disaggregation Records'!$D$69:$D$152,255),0))=0,"",INDEX('Disaggregation Records'!$I$69:$I$152,MATCH(RIGHT(Q598,255),RIGHT('Disaggregation Records'!$D$69:$D$152,255),0))),"")</f>
        <v/>
      </c>
      <c r="W598" s="189" t="str">
        <f>IFERROR(INDEX('Reference Records'!P$19:P$56,MATCH(LEFT(C598,255),'Reference Records'!J$19:J$56,0)),"")</f>
        <v/>
      </c>
    </row>
    <row r="599" spans="1:23" s="189" customFormat="1" ht="40.200000000000003" customHeight="1" x14ac:dyDescent="0.3">
      <c r="A599" s="678"/>
      <c r="B599" s="675"/>
      <c r="C599" s="667"/>
      <c r="D599" s="677"/>
      <c r="E599" s="677"/>
      <c r="F599" s="202"/>
      <c r="G599" s="669"/>
      <c r="H599" s="671"/>
      <c r="I599" s="673"/>
      <c r="J599" s="652"/>
      <c r="K599" s="667"/>
      <c r="L599" s="667"/>
      <c r="M599" s="652"/>
      <c r="N599" s="652"/>
      <c r="V599" s="189" t="str">
        <f t="array" ref="V599">IFERROR(IF(INDEX('Disaggregation Records'!$I$69:$I$152,MATCH(RIGHT(Q599,255),RIGHT('Disaggregation Records'!$D$69:$D$152,255),0))=0,"",INDEX('Disaggregation Records'!$I$69:$I$152,MATCH(RIGHT(Q599,255),RIGHT('Disaggregation Records'!$D$69:$D$152,255),0))),"")</f>
        <v/>
      </c>
    </row>
    <row r="600" spans="1:23" s="189" customFormat="1" ht="40.200000000000003" customHeight="1" x14ac:dyDescent="0.3">
      <c r="A600" s="678" t="str">
        <f t="shared" ref="A600" ca="1" si="2462">INDIRECT("'update Helper'!C"&amp;U600)</f>
        <v>a1V3p000004fwvoEAA</v>
      </c>
      <c r="B600" s="674">
        <v>15</v>
      </c>
      <c r="C600" s="666" t="str">
        <f>IFERROR(VLOOKUP(B600,'Outcome Indicators - Section C '!$A$9:$AF$70,32,FALSE),"")</f>
        <v/>
      </c>
      <c r="D600" s="676" t="str">
        <f t="shared" ref="D600" si="2463">R600</f>
        <v/>
      </c>
      <c r="E600" s="676" t="str">
        <f t="shared" ref="E600" si="2464">S600</f>
        <v/>
      </c>
      <c r="F600" s="194"/>
      <c r="G600" s="668" t="str">
        <f t="shared" ref="G600" ca="1" si="2465">IF(OR(INDIRECT("'update Helper'!E"&amp;U600)=0,F600&lt;&gt;0,F601&lt;&gt;0),IF(IFERROR((F600/F601),"")="","",(F600/F601)),INDIRECT("'update Helper'!E"&amp;U600)/100)</f>
        <v/>
      </c>
      <c r="H600" s="670"/>
      <c r="I600" s="672"/>
      <c r="J600" s="651"/>
      <c r="K600" s="666" t="str">
        <f t="shared" ref="K600" si="2466">W600</f>
        <v/>
      </c>
      <c r="L600" s="666" t="str">
        <f t="shared" ref="L600" si="2467">V600</f>
        <v/>
      </c>
      <c r="M600" s="651"/>
      <c r="N600" s="651"/>
      <c r="P600" s="189">
        <f t="shared" ref="P600" si="2468">IF(AND(EXACT(C600,C598),C598&lt;&gt;0),P598+1,0)</f>
        <v>102</v>
      </c>
      <c r="Q600" s="189" t="str">
        <f t="shared" ref="Q600" si="2469">IF(C600&lt;&gt;"",C600&amp;"-"&amp;P600,"")</f>
        <v/>
      </c>
      <c r="R600" s="189" t="str">
        <f t="array" ref="R600">IFERROR(IF(INDEX('Disaggregation Records'!$E$69:$E$152,MATCH(RIGHT(Q600,255),RIGHT('Disaggregation Records'!$D$69:$D$152,255),0))=0,"",INDEX('Disaggregation Records'!$E$69:$E$152,MATCH(RIGHT(Q600,255),RIGHT('Disaggregation Records'!$D$69:$D$152,255),0))),"")</f>
        <v/>
      </c>
      <c r="S600" s="189" t="str">
        <f t="array" ref="S600">IFERROR(IF(INDEX('Disaggregation Records'!$F$69:$F$152,MATCH(RIGHT(Q600,255),RIGHT('Disaggregation Records'!$D$69:$D$152,255),0))=0,"",INDEX('Disaggregation Records'!$F$69:$F$152,MATCH(RIGHT(Q600,255),RIGHT('Disaggregation Records'!$D$69:$D$152,255),0))),"")</f>
        <v/>
      </c>
      <c r="T600" s="189" t="str">
        <f t="array" ref="T600">IFERROR(IF(INDEX('Disaggregation Records'!$H$69:$H$152,MATCH(RIGHT(Q600,255),RIGHT('Disaggregation Records'!$D$69:$D$152,255),0))=0,"",INDEX('Disaggregation Records'!$H$69:$H$152,MATCH(RIGHT(Q600,255),RIGHT('Disaggregation Records'!$D$69:$D$152,255),0))),"")</f>
        <v/>
      </c>
      <c r="U600" s="189">
        <f t="shared" ref="U600" si="2470">U598+1</f>
        <v>1021</v>
      </c>
      <c r="V600" s="189" t="str">
        <f t="array" ref="V600">IFERROR(IF(INDEX('Disaggregation Records'!$I$69:$I$152,MATCH(RIGHT(Q600,255),RIGHT('Disaggregation Records'!$D$69:$D$152,255),0))=0,"",INDEX('Disaggregation Records'!$I$69:$I$152,MATCH(RIGHT(Q600,255),RIGHT('Disaggregation Records'!$D$69:$D$152,255),0))),"")</f>
        <v/>
      </c>
      <c r="W600" s="189" t="str">
        <f>IFERROR(INDEX('Reference Records'!P$19:P$56,MATCH(LEFT(C600,255),'Reference Records'!J$19:J$56,0)),"")</f>
        <v/>
      </c>
    </row>
    <row r="601" spans="1:23" s="189" customFormat="1" ht="40.200000000000003" customHeight="1" x14ac:dyDescent="0.3">
      <c r="A601" s="678"/>
      <c r="B601" s="675"/>
      <c r="C601" s="667"/>
      <c r="D601" s="677"/>
      <c r="E601" s="677"/>
      <c r="F601" s="202"/>
      <c r="G601" s="669"/>
      <c r="H601" s="671"/>
      <c r="I601" s="673"/>
      <c r="J601" s="652"/>
      <c r="K601" s="667"/>
      <c r="L601" s="667"/>
      <c r="M601" s="652"/>
      <c r="N601" s="652"/>
      <c r="V601" s="189" t="str">
        <f t="array" ref="V601">IFERROR(IF(INDEX('Disaggregation Records'!$I$69:$I$152,MATCH(RIGHT(Q601,255),RIGHT('Disaggregation Records'!$D$69:$D$152,255),0))=0,"",INDEX('Disaggregation Records'!$I$69:$I$152,MATCH(RIGHT(Q601,255),RIGHT('Disaggregation Records'!$D$69:$D$152,255),0))),"")</f>
        <v/>
      </c>
    </row>
    <row r="602" spans="1:23" s="189" customFormat="1" ht="40.200000000000003" customHeight="1" x14ac:dyDescent="0.3">
      <c r="A602" s="678" t="str">
        <f t="shared" ref="A602" ca="1" si="2471">INDIRECT("'update Helper'!C"&amp;U602)</f>
        <v>a1V3p000004fwvpEAA</v>
      </c>
      <c r="B602" s="674">
        <v>15</v>
      </c>
      <c r="C602" s="666" t="str">
        <f>IFERROR(VLOOKUP(B602,'Outcome Indicators - Section C '!$A$9:$AF$70,32,FALSE),"")</f>
        <v/>
      </c>
      <c r="D602" s="676" t="str">
        <f t="shared" ref="D602" si="2472">R602</f>
        <v/>
      </c>
      <c r="E602" s="676" t="str">
        <f t="shared" ref="E602" si="2473">S602</f>
        <v/>
      </c>
      <c r="F602" s="194"/>
      <c r="G602" s="668" t="str">
        <f t="shared" ref="G602" ca="1" si="2474">IF(OR(INDIRECT("'update Helper'!E"&amp;U602)=0,F602&lt;&gt;0,F603&lt;&gt;0),IF(IFERROR((F602/F603),"")="","",(F602/F603)),INDIRECT("'update Helper'!E"&amp;U602)/100)</f>
        <v/>
      </c>
      <c r="H602" s="670"/>
      <c r="I602" s="672"/>
      <c r="J602" s="651"/>
      <c r="K602" s="666" t="str">
        <f t="shared" ref="K602" si="2475">W602</f>
        <v/>
      </c>
      <c r="L602" s="666" t="str">
        <f t="shared" ref="L602" si="2476">V602</f>
        <v/>
      </c>
      <c r="M602" s="651"/>
      <c r="N602" s="651"/>
      <c r="P602" s="189">
        <f t="shared" ref="P602" si="2477">IF(AND(EXACT(C602,C600),C600&lt;&gt;0),P600+1,0)</f>
        <v>103</v>
      </c>
      <c r="Q602" s="189" t="str">
        <f t="shared" ref="Q602" si="2478">IF(C602&lt;&gt;"",C602&amp;"-"&amp;P602,"")</f>
        <v/>
      </c>
      <c r="R602" s="189" t="str">
        <f t="array" ref="R602">IFERROR(IF(INDEX('Disaggregation Records'!$E$69:$E$152,MATCH(RIGHT(Q602,255),RIGHT('Disaggregation Records'!$D$69:$D$152,255),0))=0,"",INDEX('Disaggregation Records'!$E$69:$E$152,MATCH(RIGHT(Q602,255),RIGHT('Disaggregation Records'!$D$69:$D$152,255),0))),"")</f>
        <v/>
      </c>
      <c r="S602" s="189" t="str">
        <f t="array" ref="S602">IFERROR(IF(INDEX('Disaggregation Records'!$F$69:$F$152,MATCH(RIGHT(Q602,255),RIGHT('Disaggregation Records'!$D$69:$D$152,255),0))=0,"",INDEX('Disaggregation Records'!$F$69:$F$152,MATCH(RIGHT(Q602,255),RIGHT('Disaggregation Records'!$D$69:$D$152,255),0))),"")</f>
        <v/>
      </c>
      <c r="T602" s="189" t="str">
        <f t="array" ref="T602">IFERROR(IF(INDEX('Disaggregation Records'!$H$69:$H$152,MATCH(RIGHT(Q602,255),RIGHT('Disaggregation Records'!$D$69:$D$152,255),0))=0,"",INDEX('Disaggregation Records'!$H$69:$H$152,MATCH(RIGHT(Q602,255),RIGHT('Disaggregation Records'!$D$69:$D$152,255),0))),"")</f>
        <v/>
      </c>
      <c r="U602" s="189">
        <f t="shared" ref="U602" si="2479">U600+1</f>
        <v>1022</v>
      </c>
      <c r="V602" s="189" t="str">
        <f t="array" ref="V602">IFERROR(IF(INDEX('Disaggregation Records'!$I$69:$I$152,MATCH(RIGHT(Q602,255),RIGHT('Disaggregation Records'!$D$69:$D$152,255),0))=0,"",INDEX('Disaggregation Records'!$I$69:$I$152,MATCH(RIGHT(Q602,255),RIGHT('Disaggregation Records'!$D$69:$D$152,255),0))),"")</f>
        <v/>
      </c>
      <c r="W602" s="189" t="str">
        <f>IFERROR(INDEX('Reference Records'!P$19:P$56,MATCH(LEFT(C602,255),'Reference Records'!J$19:J$56,0)),"")</f>
        <v/>
      </c>
    </row>
    <row r="603" spans="1:23" s="189" customFormat="1" ht="40.200000000000003" customHeight="1" x14ac:dyDescent="0.3">
      <c r="A603" s="678"/>
      <c r="B603" s="675"/>
      <c r="C603" s="667"/>
      <c r="D603" s="677"/>
      <c r="E603" s="677"/>
      <c r="F603" s="202"/>
      <c r="G603" s="669"/>
      <c r="H603" s="671"/>
      <c r="I603" s="673"/>
      <c r="J603" s="652"/>
      <c r="K603" s="667"/>
      <c r="L603" s="667"/>
      <c r="M603" s="652"/>
      <c r="N603" s="652"/>
      <c r="V603" s="189" t="str">
        <f t="array" ref="V603">IFERROR(IF(INDEX('Disaggregation Records'!$I$69:$I$152,MATCH(RIGHT(Q603,255),RIGHT('Disaggregation Records'!$D$69:$D$152,255),0))=0,"",INDEX('Disaggregation Records'!$I$69:$I$152,MATCH(RIGHT(Q603,255),RIGHT('Disaggregation Records'!$D$69:$D$152,255),0))),"")</f>
        <v/>
      </c>
    </row>
    <row r="604" spans="1:23" s="189" customFormat="1" ht="40.200000000000003" customHeight="1" x14ac:dyDescent="0.3">
      <c r="A604" s="678" t="str">
        <f t="shared" ref="A604" ca="1" si="2480">INDIRECT("'update Helper'!C"&amp;U604)</f>
        <v>a1V3p000004fwvqEAA</v>
      </c>
      <c r="B604" s="674">
        <v>15</v>
      </c>
      <c r="C604" s="666" t="str">
        <f>IFERROR(VLOOKUP(B604,'Outcome Indicators - Section C '!$A$9:$AF$70,32,FALSE),"")</f>
        <v/>
      </c>
      <c r="D604" s="676" t="str">
        <f t="shared" ref="D604" si="2481">R604</f>
        <v/>
      </c>
      <c r="E604" s="676" t="str">
        <f t="shared" ref="E604" si="2482">S604</f>
        <v/>
      </c>
      <c r="F604" s="194"/>
      <c r="G604" s="668" t="str">
        <f t="shared" ref="G604" ca="1" si="2483">IF(OR(INDIRECT("'update Helper'!E"&amp;U604)=0,F604&lt;&gt;0,F605&lt;&gt;0),IF(IFERROR((F604/F605),"")="","",(F604/F605)),INDIRECT("'update Helper'!E"&amp;U604)/100)</f>
        <v/>
      </c>
      <c r="H604" s="670"/>
      <c r="I604" s="672"/>
      <c r="J604" s="651"/>
      <c r="K604" s="666" t="str">
        <f t="shared" ref="K604" si="2484">W604</f>
        <v/>
      </c>
      <c r="L604" s="666" t="str">
        <f t="shared" ref="L604" si="2485">V604</f>
        <v/>
      </c>
      <c r="M604" s="651"/>
      <c r="N604" s="651"/>
      <c r="P604" s="189">
        <f t="shared" ref="P604" si="2486">IF(AND(EXACT(C604,C602),C602&lt;&gt;0),P602+1,0)</f>
        <v>104</v>
      </c>
      <c r="Q604" s="189" t="str">
        <f t="shared" ref="Q604" si="2487">IF(C604&lt;&gt;"",C604&amp;"-"&amp;P604,"")</f>
        <v/>
      </c>
      <c r="R604" s="189" t="str">
        <f t="array" ref="R604">IFERROR(IF(INDEX('Disaggregation Records'!$E$69:$E$152,MATCH(RIGHT(Q604,255),RIGHT('Disaggregation Records'!$D$69:$D$152,255),0))=0,"",INDEX('Disaggregation Records'!$E$69:$E$152,MATCH(RIGHT(Q604,255),RIGHT('Disaggregation Records'!$D$69:$D$152,255),0))),"")</f>
        <v/>
      </c>
      <c r="S604" s="189" t="str">
        <f t="array" ref="S604">IFERROR(IF(INDEX('Disaggregation Records'!$F$69:$F$152,MATCH(RIGHT(Q604,255),RIGHT('Disaggregation Records'!$D$69:$D$152,255),0))=0,"",INDEX('Disaggregation Records'!$F$69:$F$152,MATCH(RIGHT(Q604,255),RIGHT('Disaggregation Records'!$D$69:$D$152,255),0))),"")</f>
        <v/>
      </c>
      <c r="T604" s="189" t="str">
        <f t="array" ref="T604">IFERROR(IF(INDEX('Disaggregation Records'!$H$69:$H$152,MATCH(RIGHT(Q604,255),RIGHT('Disaggregation Records'!$D$69:$D$152,255),0))=0,"",INDEX('Disaggregation Records'!$H$69:$H$152,MATCH(RIGHT(Q604,255),RIGHT('Disaggregation Records'!$D$69:$D$152,255),0))),"")</f>
        <v/>
      </c>
      <c r="U604" s="189">
        <f t="shared" ref="U604" si="2488">U602+1</f>
        <v>1023</v>
      </c>
      <c r="V604" s="189" t="str">
        <f t="array" ref="V604">IFERROR(IF(INDEX('Disaggregation Records'!$I$69:$I$152,MATCH(RIGHT(Q604,255),RIGHT('Disaggregation Records'!$D$69:$D$152,255),0))=0,"",INDEX('Disaggregation Records'!$I$69:$I$152,MATCH(RIGHT(Q604,255),RIGHT('Disaggregation Records'!$D$69:$D$152,255),0))),"")</f>
        <v/>
      </c>
      <c r="W604" s="189" t="str">
        <f>IFERROR(INDEX('Reference Records'!P$19:P$56,MATCH(LEFT(C604,255),'Reference Records'!J$19:J$56,0)),"")</f>
        <v/>
      </c>
    </row>
    <row r="605" spans="1:23" s="189" customFormat="1" ht="40.200000000000003" customHeight="1" x14ac:dyDescent="0.3">
      <c r="A605" s="678"/>
      <c r="B605" s="675"/>
      <c r="C605" s="667"/>
      <c r="D605" s="677"/>
      <c r="E605" s="677"/>
      <c r="F605" s="202"/>
      <c r="G605" s="669"/>
      <c r="H605" s="671"/>
      <c r="I605" s="673"/>
      <c r="J605" s="652"/>
      <c r="K605" s="667"/>
      <c r="L605" s="667"/>
      <c r="M605" s="652"/>
      <c r="N605" s="652"/>
      <c r="V605" s="189" t="str">
        <f t="array" ref="V605">IFERROR(IF(INDEX('Disaggregation Records'!$I$69:$I$152,MATCH(RIGHT(Q605,255),RIGHT('Disaggregation Records'!$D$69:$D$152,255),0))=0,"",INDEX('Disaggregation Records'!$I$69:$I$152,MATCH(RIGHT(Q605,255),RIGHT('Disaggregation Records'!$D$69:$D$152,255),0))),"")</f>
        <v/>
      </c>
    </row>
    <row r="606" spans="1:23" s="189" customFormat="1" ht="40.200000000000003" customHeight="1" x14ac:dyDescent="0.3">
      <c r="A606" s="678" t="str">
        <f t="shared" ref="A606" ca="1" si="2489">INDIRECT("'update Helper'!C"&amp;U606)</f>
        <v>a1V3p000004fwvrEAA</v>
      </c>
      <c r="B606" s="674">
        <v>15</v>
      </c>
      <c r="C606" s="666" t="str">
        <f>IFERROR(VLOOKUP(B606,'Outcome Indicators - Section C '!$A$9:$AF$70,32,FALSE),"")</f>
        <v/>
      </c>
      <c r="D606" s="676" t="str">
        <f t="shared" ref="D606" si="2490">R606</f>
        <v/>
      </c>
      <c r="E606" s="676" t="str">
        <f t="shared" ref="E606" si="2491">S606</f>
        <v/>
      </c>
      <c r="F606" s="194"/>
      <c r="G606" s="668" t="str">
        <f t="shared" ref="G606" ca="1" si="2492">IF(OR(INDIRECT("'update Helper'!E"&amp;U606)=0,F606&lt;&gt;0,F607&lt;&gt;0),IF(IFERROR((F606/F607),"")="","",(F606/F607)),INDIRECT("'update Helper'!E"&amp;U606)/100)</f>
        <v/>
      </c>
      <c r="H606" s="670"/>
      <c r="I606" s="672"/>
      <c r="J606" s="651"/>
      <c r="K606" s="666" t="str">
        <f t="shared" ref="K606" si="2493">W606</f>
        <v/>
      </c>
      <c r="L606" s="666" t="str">
        <f t="shared" ref="L606" si="2494">V606</f>
        <v/>
      </c>
      <c r="M606" s="651"/>
      <c r="N606" s="651"/>
      <c r="P606" s="189">
        <f t="shared" ref="P606" si="2495">IF(AND(EXACT(C606,C604),C604&lt;&gt;0),P604+1,0)</f>
        <v>105</v>
      </c>
      <c r="Q606" s="189" t="str">
        <f t="shared" ref="Q606" si="2496">IF(C606&lt;&gt;"",C606&amp;"-"&amp;P606,"")</f>
        <v/>
      </c>
      <c r="R606" s="189" t="str">
        <f t="array" ref="R606">IFERROR(IF(INDEX('Disaggregation Records'!$E$69:$E$152,MATCH(RIGHT(Q606,255),RIGHT('Disaggregation Records'!$D$69:$D$152,255),0))=0,"",INDEX('Disaggregation Records'!$E$69:$E$152,MATCH(RIGHT(Q606,255),RIGHT('Disaggregation Records'!$D$69:$D$152,255),0))),"")</f>
        <v/>
      </c>
      <c r="S606" s="189" t="str">
        <f t="array" ref="S606">IFERROR(IF(INDEX('Disaggregation Records'!$F$69:$F$152,MATCH(RIGHT(Q606,255),RIGHT('Disaggregation Records'!$D$69:$D$152,255),0))=0,"",INDEX('Disaggregation Records'!$F$69:$F$152,MATCH(RIGHT(Q606,255),RIGHT('Disaggregation Records'!$D$69:$D$152,255),0))),"")</f>
        <v/>
      </c>
      <c r="T606" s="189" t="str">
        <f t="array" ref="T606">IFERROR(IF(INDEX('Disaggregation Records'!$H$69:$H$152,MATCH(RIGHT(Q606,255),RIGHT('Disaggregation Records'!$D$69:$D$152,255),0))=0,"",INDEX('Disaggregation Records'!$H$69:$H$152,MATCH(RIGHT(Q606,255),RIGHT('Disaggregation Records'!$D$69:$D$152,255),0))),"")</f>
        <v/>
      </c>
      <c r="U606" s="189">
        <f t="shared" ref="U606" si="2497">U604+1</f>
        <v>1024</v>
      </c>
      <c r="V606" s="189" t="str">
        <f t="array" ref="V606">IFERROR(IF(INDEX('Disaggregation Records'!$I$69:$I$152,MATCH(RIGHT(Q606,255),RIGHT('Disaggregation Records'!$D$69:$D$152,255),0))=0,"",INDEX('Disaggregation Records'!$I$69:$I$152,MATCH(RIGHT(Q606,255),RIGHT('Disaggregation Records'!$D$69:$D$152,255),0))),"")</f>
        <v/>
      </c>
      <c r="W606" s="189" t="str">
        <f>IFERROR(INDEX('Reference Records'!P$19:P$56,MATCH(LEFT(C606,255),'Reference Records'!J$19:J$56,0)),"")</f>
        <v/>
      </c>
    </row>
    <row r="607" spans="1:23" s="189" customFormat="1" ht="40.200000000000003" customHeight="1" x14ac:dyDescent="0.3">
      <c r="A607" s="678"/>
      <c r="B607" s="675"/>
      <c r="C607" s="667"/>
      <c r="D607" s="677"/>
      <c r="E607" s="677"/>
      <c r="F607" s="202"/>
      <c r="G607" s="669"/>
      <c r="H607" s="671"/>
      <c r="I607" s="673"/>
      <c r="J607" s="652"/>
      <c r="K607" s="667"/>
      <c r="L607" s="667"/>
      <c r="M607" s="652"/>
      <c r="N607" s="652"/>
      <c r="V607" s="189" t="str">
        <f t="array" ref="V607">IFERROR(IF(INDEX('Disaggregation Records'!$I$69:$I$152,MATCH(RIGHT(Q607,255),RIGHT('Disaggregation Records'!$D$69:$D$152,255),0))=0,"",INDEX('Disaggregation Records'!$I$69:$I$152,MATCH(RIGHT(Q607,255),RIGHT('Disaggregation Records'!$D$69:$D$152,255),0))),"")</f>
        <v/>
      </c>
    </row>
    <row r="608" spans="1:23" s="189" customFormat="1" ht="40.200000000000003" customHeight="1" x14ac:dyDescent="0.3">
      <c r="A608" s="678" t="str">
        <f t="shared" ref="A608" ca="1" si="2498">INDIRECT("'update Helper'!C"&amp;U608)</f>
        <v>a1V3p000004fwvsEAA</v>
      </c>
      <c r="B608" s="674">
        <v>15</v>
      </c>
      <c r="C608" s="666" t="str">
        <f>IFERROR(VLOOKUP(B608,'Outcome Indicators - Section C '!$A$9:$AF$70,32,FALSE),"")</f>
        <v/>
      </c>
      <c r="D608" s="676" t="str">
        <f t="shared" ref="D608" si="2499">R608</f>
        <v/>
      </c>
      <c r="E608" s="676" t="str">
        <f t="shared" ref="E608" si="2500">S608</f>
        <v/>
      </c>
      <c r="F608" s="194"/>
      <c r="G608" s="668" t="str">
        <f t="shared" ref="G608" ca="1" si="2501">IF(OR(INDIRECT("'update Helper'!E"&amp;U608)=0,F608&lt;&gt;0,F609&lt;&gt;0),IF(IFERROR((F608/F609),"")="","",(F608/F609)),INDIRECT("'update Helper'!E"&amp;U608)/100)</f>
        <v/>
      </c>
      <c r="H608" s="670"/>
      <c r="I608" s="672"/>
      <c r="J608" s="651"/>
      <c r="K608" s="666" t="str">
        <f t="shared" ref="K608" si="2502">W608</f>
        <v/>
      </c>
      <c r="L608" s="666" t="str">
        <f t="shared" ref="L608" si="2503">V608</f>
        <v/>
      </c>
      <c r="M608" s="651"/>
      <c r="N608" s="651"/>
      <c r="P608" s="189">
        <f t="shared" ref="P608" si="2504">IF(AND(EXACT(C608,C606),C606&lt;&gt;0),P606+1,0)</f>
        <v>106</v>
      </c>
      <c r="Q608" s="189" t="str">
        <f t="shared" ref="Q608" si="2505">IF(C608&lt;&gt;"",C608&amp;"-"&amp;P608,"")</f>
        <v/>
      </c>
      <c r="R608" s="189" t="str">
        <f t="array" ref="R608">IFERROR(IF(INDEX('Disaggregation Records'!$E$69:$E$152,MATCH(RIGHT(Q608,255),RIGHT('Disaggregation Records'!$D$69:$D$152,255),0))=0,"",INDEX('Disaggregation Records'!$E$69:$E$152,MATCH(RIGHT(Q608,255),RIGHT('Disaggregation Records'!$D$69:$D$152,255),0))),"")</f>
        <v/>
      </c>
      <c r="S608" s="189" t="str">
        <f t="array" ref="S608">IFERROR(IF(INDEX('Disaggregation Records'!$F$69:$F$152,MATCH(RIGHT(Q608,255),RIGHT('Disaggregation Records'!$D$69:$D$152,255),0))=0,"",INDEX('Disaggregation Records'!$F$69:$F$152,MATCH(RIGHT(Q608,255),RIGHT('Disaggregation Records'!$D$69:$D$152,255),0))),"")</f>
        <v/>
      </c>
      <c r="T608" s="189" t="str">
        <f t="array" ref="T608">IFERROR(IF(INDEX('Disaggregation Records'!$H$69:$H$152,MATCH(RIGHT(Q608,255),RIGHT('Disaggregation Records'!$D$69:$D$152,255),0))=0,"",INDEX('Disaggregation Records'!$H$69:$H$152,MATCH(RIGHT(Q608,255),RIGHT('Disaggregation Records'!$D$69:$D$152,255),0))),"")</f>
        <v/>
      </c>
      <c r="U608" s="189">
        <f t="shared" ref="U608" si="2506">U606+1</f>
        <v>1025</v>
      </c>
      <c r="V608" s="189" t="str">
        <f t="array" ref="V608">IFERROR(IF(INDEX('Disaggregation Records'!$I$69:$I$152,MATCH(RIGHT(Q608,255),RIGHT('Disaggregation Records'!$D$69:$D$152,255),0))=0,"",INDEX('Disaggregation Records'!$I$69:$I$152,MATCH(RIGHT(Q608,255),RIGHT('Disaggregation Records'!$D$69:$D$152,255),0))),"")</f>
        <v/>
      </c>
      <c r="W608" s="189" t="str">
        <f>IFERROR(INDEX('Reference Records'!P$19:P$56,MATCH(LEFT(C608,255),'Reference Records'!J$19:J$56,0)),"")</f>
        <v/>
      </c>
    </row>
    <row r="609" spans="1:23" s="189" customFormat="1" ht="40.200000000000003" customHeight="1" x14ac:dyDescent="0.3">
      <c r="A609" s="678"/>
      <c r="B609" s="675"/>
      <c r="C609" s="667"/>
      <c r="D609" s="677"/>
      <c r="E609" s="677"/>
      <c r="F609" s="202"/>
      <c r="G609" s="669"/>
      <c r="H609" s="671"/>
      <c r="I609" s="673"/>
      <c r="J609" s="652"/>
      <c r="K609" s="667"/>
      <c r="L609" s="667"/>
      <c r="M609" s="652"/>
      <c r="N609" s="652"/>
      <c r="V609" s="189" t="str">
        <f t="array" ref="V609">IFERROR(IF(INDEX('Disaggregation Records'!$I$69:$I$152,MATCH(RIGHT(Q609,255),RIGHT('Disaggregation Records'!$D$69:$D$152,255),0))=0,"",INDEX('Disaggregation Records'!$I$69:$I$152,MATCH(RIGHT(Q609,255),RIGHT('Disaggregation Records'!$D$69:$D$152,255),0))),"")</f>
        <v/>
      </c>
    </row>
    <row r="610" spans="1:23" s="189" customFormat="1" ht="40.200000000000003" customHeight="1" x14ac:dyDescent="0.3">
      <c r="A610" s="678" t="str">
        <f t="shared" ref="A610" ca="1" si="2507">INDIRECT("'update Helper'!C"&amp;U610)</f>
        <v>a1V3p000004fwvtEAA</v>
      </c>
      <c r="B610" s="674">
        <v>15</v>
      </c>
      <c r="C610" s="666" t="str">
        <f>IFERROR(VLOOKUP(B610,'Outcome Indicators - Section C '!$A$9:$AF$70,32,FALSE),"")</f>
        <v/>
      </c>
      <c r="D610" s="676" t="str">
        <f t="shared" ref="D610" si="2508">R610</f>
        <v/>
      </c>
      <c r="E610" s="676" t="str">
        <f t="shared" ref="E610" si="2509">S610</f>
        <v/>
      </c>
      <c r="F610" s="194"/>
      <c r="G610" s="668" t="str">
        <f t="shared" ref="G610" ca="1" si="2510">IF(OR(INDIRECT("'update Helper'!E"&amp;U610)=0,F610&lt;&gt;0,F611&lt;&gt;0),IF(IFERROR((F610/F611),"")="","",(F610/F611)),INDIRECT("'update Helper'!E"&amp;U610)/100)</f>
        <v/>
      </c>
      <c r="H610" s="670"/>
      <c r="I610" s="672"/>
      <c r="J610" s="651"/>
      <c r="K610" s="666" t="str">
        <f t="shared" ref="K610" si="2511">W610</f>
        <v/>
      </c>
      <c r="L610" s="666" t="str">
        <f t="shared" ref="L610" si="2512">V610</f>
        <v/>
      </c>
      <c r="M610" s="651"/>
      <c r="N610" s="651"/>
      <c r="P610" s="189">
        <f t="shared" ref="P610" si="2513">IF(AND(EXACT(C610,C608),C608&lt;&gt;0),P608+1,0)</f>
        <v>107</v>
      </c>
      <c r="Q610" s="189" t="str">
        <f t="shared" ref="Q610" si="2514">IF(C610&lt;&gt;"",C610&amp;"-"&amp;P610,"")</f>
        <v/>
      </c>
      <c r="R610" s="189" t="str">
        <f t="array" ref="R610">IFERROR(IF(INDEX('Disaggregation Records'!$E$69:$E$152,MATCH(RIGHT(Q610,255),RIGHT('Disaggregation Records'!$D$69:$D$152,255),0))=0,"",INDEX('Disaggregation Records'!$E$69:$E$152,MATCH(RIGHT(Q610,255),RIGHT('Disaggregation Records'!$D$69:$D$152,255),0))),"")</f>
        <v/>
      </c>
      <c r="S610" s="189" t="str">
        <f t="array" ref="S610">IFERROR(IF(INDEX('Disaggregation Records'!$F$69:$F$152,MATCH(RIGHT(Q610,255),RIGHT('Disaggregation Records'!$D$69:$D$152,255),0))=0,"",INDEX('Disaggregation Records'!$F$69:$F$152,MATCH(RIGHT(Q610,255),RIGHT('Disaggregation Records'!$D$69:$D$152,255),0))),"")</f>
        <v/>
      </c>
      <c r="T610" s="189" t="str">
        <f t="array" ref="T610">IFERROR(IF(INDEX('Disaggregation Records'!$H$69:$H$152,MATCH(RIGHT(Q610,255),RIGHT('Disaggregation Records'!$D$69:$D$152,255),0))=0,"",INDEX('Disaggregation Records'!$H$69:$H$152,MATCH(RIGHT(Q610,255),RIGHT('Disaggregation Records'!$D$69:$D$152,255),0))),"")</f>
        <v/>
      </c>
      <c r="U610" s="189">
        <f t="shared" ref="U610" si="2515">U608+1</f>
        <v>1026</v>
      </c>
      <c r="V610" s="189" t="str">
        <f t="array" ref="V610">IFERROR(IF(INDEX('Disaggregation Records'!$I$69:$I$152,MATCH(RIGHT(Q610,255),RIGHT('Disaggregation Records'!$D$69:$D$152,255),0))=0,"",INDEX('Disaggregation Records'!$I$69:$I$152,MATCH(RIGHT(Q610,255),RIGHT('Disaggregation Records'!$D$69:$D$152,255),0))),"")</f>
        <v/>
      </c>
      <c r="W610" s="189" t="str">
        <f>IFERROR(INDEX('Reference Records'!P$19:P$56,MATCH(LEFT(C610,255),'Reference Records'!J$19:J$56,0)),"")</f>
        <v/>
      </c>
    </row>
    <row r="611" spans="1:23" s="189" customFormat="1" ht="40.200000000000003" customHeight="1" x14ac:dyDescent="0.3">
      <c r="A611" s="678"/>
      <c r="B611" s="675"/>
      <c r="C611" s="667"/>
      <c r="D611" s="677"/>
      <c r="E611" s="677"/>
      <c r="F611" s="202"/>
      <c r="G611" s="669"/>
      <c r="H611" s="671"/>
      <c r="I611" s="673"/>
      <c r="J611" s="652"/>
      <c r="K611" s="667"/>
      <c r="L611" s="667"/>
      <c r="M611" s="652"/>
      <c r="N611" s="652"/>
      <c r="V611" s="189" t="str">
        <f t="array" ref="V611">IFERROR(IF(INDEX('Disaggregation Records'!$I$69:$I$152,MATCH(RIGHT(Q611,255),RIGHT('Disaggregation Records'!$D$69:$D$152,255),0))=0,"",INDEX('Disaggregation Records'!$I$69:$I$152,MATCH(RIGHT(Q611,255),RIGHT('Disaggregation Records'!$D$69:$D$152,255),0))),"")</f>
        <v/>
      </c>
    </row>
    <row r="612" spans="1:23" s="189" customFormat="1" ht="40.200000000000003" customHeight="1" x14ac:dyDescent="0.3">
      <c r="A612" s="678" t="str">
        <f t="shared" ref="A612" ca="1" si="2516">INDIRECT("'update Helper'!C"&amp;U612)</f>
        <v>a1V3p000004fwvuEAA</v>
      </c>
      <c r="B612" s="674">
        <v>15</v>
      </c>
      <c r="C612" s="666" t="str">
        <f>IFERROR(VLOOKUP(B612,'Outcome Indicators - Section C '!$A$9:$AF$70,32,FALSE),"")</f>
        <v/>
      </c>
      <c r="D612" s="676" t="str">
        <f t="shared" ref="D612" si="2517">R612</f>
        <v/>
      </c>
      <c r="E612" s="676" t="str">
        <f t="shared" ref="E612" si="2518">S612</f>
        <v/>
      </c>
      <c r="F612" s="194"/>
      <c r="G612" s="668" t="str">
        <f t="shared" ref="G612" ca="1" si="2519">IF(OR(INDIRECT("'update Helper'!E"&amp;U612)=0,F612&lt;&gt;0,F613&lt;&gt;0),IF(IFERROR((F612/F613),"")="","",(F612/F613)),INDIRECT("'update Helper'!E"&amp;U612)/100)</f>
        <v/>
      </c>
      <c r="H612" s="670"/>
      <c r="I612" s="672"/>
      <c r="J612" s="651"/>
      <c r="K612" s="666" t="str">
        <f t="shared" ref="K612" si="2520">W612</f>
        <v/>
      </c>
      <c r="L612" s="666" t="str">
        <f t="shared" ref="L612" si="2521">V612</f>
        <v/>
      </c>
      <c r="M612" s="651"/>
      <c r="N612" s="651"/>
      <c r="P612" s="189">
        <f t="shared" ref="P612" si="2522">IF(AND(EXACT(C612,C610),C610&lt;&gt;0),P610+1,0)</f>
        <v>108</v>
      </c>
      <c r="Q612" s="189" t="str">
        <f t="shared" ref="Q612" si="2523">IF(C612&lt;&gt;"",C612&amp;"-"&amp;P612,"")</f>
        <v/>
      </c>
      <c r="R612" s="189" t="str">
        <f t="array" ref="R612">IFERROR(IF(INDEX('Disaggregation Records'!$E$69:$E$152,MATCH(RIGHT(Q612,255),RIGHT('Disaggregation Records'!$D$69:$D$152,255),0))=0,"",INDEX('Disaggregation Records'!$E$69:$E$152,MATCH(RIGHT(Q612,255),RIGHT('Disaggregation Records'!$D$69:$D$152,255),0))),"")</f>
        <v/>
      </c>
      <c r="S612" s="189" t="str">
        <f t="array" ref="S612">IFERROR(IF(INDEX('Disaggregation Records'!$F$69:$F$152,MATCH(RIGHT(Q612,255),RIGHT('Disaggregation Records'!$D$69:$D$152,255),0))=0,"",INDEX('Disaggregation Records'!$F$69:$F$152,MATCH(RIGHT(Q612,255),RIGHT('Disaggregation Records'!$D$69:$D$152,255),0))),"")</f>
        <v/>
      </c>
      <c r="T612" s="189" t="str">
        <f t="array" ref="T612">IFERROR(IF(INDEX('Disaggregation Records'!$H$69:$H$152,MATCH(RIGHT(Q612,255),RIGHT('Disaggregation Records'!$D$69:$D$152,255),0))=0,"",INDEX('Disaggregation Records'!$H$69:$H$152,MATCH(RIGHT(Q612,255),RIGHT('Disaggregation Records'!$D$69:$D$152,255),0))),"")</f>
        <v/>
      </c>
      <c r="U612" s="189">
        <f t="shared" ref="U612" si="2524">U610+1</f>
        <v>1027</v>
      </c>
      <c r="V612" s="189" t="str">
        <f t="array" ref="V612">IFERROR(IF(INDEX('Disaggregation Records'!$I$69:$I$152,MATCH(RIGHT(Q612,255),RIGHT('Disaggregation Records'!$D$69:$D$152,255),0))=0,"",INDEX('Disaggregation Records'!$I$69:$I$152,MATCH(RIGHT(Q612,255),RIGHT('Disaggregation Records'!$D$69:$D$152,255),0))),"")</f>
        <v/>
      </c>
      <c r="W612" s="189" t="str">
        <f>IFERROR(INDEX('Reference Records'!P$19:P$56,MATCH(LEFT(C612,255),'Reference Records'!J$19:J$56,0)),"")</f>
        <v/>
      </c>
    </row>
    <row r="613" spans="1:23" s="189" customFormat="1" ht="40.200000000000003" customHeight="1" x14ac:dyDescent="0.3">
      <c r="A613" s="678"/>
      <c r="B613" s="675"/>
      <c r="C613" s="667"/>
      <c r="D613" s="677"/>
      <c r="E613" s="677"/>
      <c r="F613" s="202"/>
      <c r="G613" s="669"/>
      <c r="H613" s="671"/>
      <c r="I613" s="673"/>
      <c r="J613" s="652"/>
      <c r="K613" s="667"/>
      <c r="L613" s="667"/>
      <c r="M613" s="652"/>
      <c r="N613" s="652"/>
      <c r="V613" s="189" t="str">
        <f t="array" ref="V613">IFERROR(IF(INDEX('Disaggregation Records'!$I$69:$I$152,MATCH(RIGHT(Q613,255),RIGHT('Disaggregation Records'!$D$69:$D$152,255),0))=0,"",INDEX('Disaggregation Records'!$I$69:$I$152,MATCH(RIGHT(Q613,255),RIGHT('Disaggregation Records'!$D$69:$D$152,255),0))),"")</f>
        <v/>
      </c>
    </row>
    <row r="614" spans="1:23" s="189" customFormat="1" ht="40.200000000000003" customHeight="1" x14ac:dyDescent="0.3">
      <c r="A614" s="678" t="str">
        <f t="shared" ref="A614" ca="1" si="2525">INDIRECT("'update Helper'!C"&amp;U614)</f>
        <v>a1V3p000004fwvvEAA</v>
      </c>
      <c r="B614" s="674">
        <v>15</v>
      </c>
      <c r="C614" s="666" t="str">
        <f>IFERROR(VLOOKUP(B614,'Outcome Indicators - Section C '!$A$9:$AF$70,32,FALSE),"")</f>
        <v/>
      </c>
      <c r="D614" s="676" t="str">
        <f t="shared" ref="D614" si="2526">R614</f>
        <v/>
      </c>
      <c r="E614" s="676" t="str">
        <f t="shared" ref="E614" si="2527">S614</f>
        <v/>
      </c>
      <c r="F614" s="194"/>
      <c r="G614" s="668" t="str">
        <f t="shared" ref="G614" ca="1" si="2528">IF(OR(INDIRECT("'update Helper'!E"&amp;U614)=0,F614&lt;&gt;0,F615&lt;&gt;0),IF(IFERROR((F614/F615),"")="","",(F614/F615)),INDIRECT("'update Helper'!E"&amp;U614)/100)</f>
        <v/>
      </c>
      <c r="H614" s="670"/>
      <c r="I614" s="672"/>
      <c r="J614" s="651"/>
      <c r="K614" s="666" t="str">
        <f t="shared" ref="K614" si="2529">W614</f>
        <v/>
      </c>
      <c r="L614" s="666" t="str">
        <f t="shared" ref="L614" si="2530">V614</f>
        <v/>
      </c>
      <c r="M614" s="651"/>
      <c r="N614" s="651"/>
      <c r="P614" s="189">
        <f t="shared" ref="P614" si="2531">IF(AND(EXACT(C614,C612),C612&lt;&gt;0),P612+1,0)</f>
        <v>109</v>
      </c>
      <c r="Q614" s="189" t="str">
        <f t="shared" ref="Q614" si="2532">IF(C614&lt;&gt;"",C614&amp;"-"&amp;P614,"")</f>
        <v/>
      </c>
      <c r="R614" s="189" t="str">
        <f t="array" ref="R614">IFERROR(IF(INDEX('Disaggregation Records'!$E$69:$E$152,MATCH(RIGHT(Q614,255),RIGHT('Disaggregation Records'!$D$69:$D$152,255),0))=0,"",INDEX('Disaggregation Records'!$E$69:$E$152,MATCH(RIGHT(Q614,255),RIGHT('Disaggregation Records'!$D$69:$D$152,255),0))),"")</f>
        <v/>
      </c>
      <c r="S614" s="189" t="str">
        <f t="array" ref="S614">IFERROR(IF(INDEX('Disaggregation Records'!$F$69:$F$152,MATCH(RIGHT(Q614,255),RIGHT('Disaggregation Records'!$D$69:$D$152,255),0))=0,"",INDEX('Disaggregation Records'!$F$69:$F$152,MATCH(RIGHT(Q614,255),RIGHT('Disaggregation Records'!$D$69:$D$152,255),0))),"")</f>
        <v/>
      </c>
      <c r="T614" s="189" t="str">
        <f t="array" ref="T614">IFERROR(IF(INDEX('Disaggregation Records'!$H$69:$H$152,MATCH(RIGHT(Q614,255),RIGHT('Disaggregation Records'!$D$69:$D$152,255),0))=0,"",INDEX('Disaggregation Records'!$H$69:$H$152,MATCH(RIGHT(Q614,255),RIGHT('Disaggregation Records'!$D$69:$D$152,255),0))),"")</f>
        <v/>
      </c>
      <c r="U614" s="189">
        <f t="shared" ref="U614" si="2533">U612+1</f>
        <v>1028</v>
      </c>
      <c r="V614" s="189" t="str">
        <f t="array" ref="V614">IFERROR(IF(INDEX('Disaggregation Records'!$I$69:$I$152,MATCH(RIGHT(Q614,255),RIGHT('Disaggregation Records'!$D$69:$D$152,255),0))=0,"",INDEX('Disaggregation Records'!$I$69:$I$152,MATCH(RIGHT(Q614,255),RIGHT('Disaggregation Records'!$D$69:$D$152,255),0))),"")</f>
        <v/>
      </c>
      <c r="W614" s="189" t="str">
        <f>IFERROR(INDEX('Reference Records'!P$19:P$56,MATCH(LEFT(C614,255),'Reference Records'!J$19:J$56,0)),"")</f>
        <v/>
      </c>
    </row>
    <row r="615" spans="1:23" s="189" customFormat="1" ht="40.200000000000003" customHeight="1" x14ac:dyDescent="0.3">
      <c r="A615" s="678"/>
      <c r="B615" s="675"/>
      <c r="C615" s="667"/>
      <c r="D615" s="677"/>
      <c r="E615" s="677"/>
      <c r="F615" s="202"/>
      <c r="G615" s="669"/>
      <c r="H615" s="671"/>
      <c r="I615" s="673"/>
      <c r="J615" s="652"/>
      <c r="K615" s="667"/>
      <c r="L615" s="667"/>
      <c r="M615" s="652"/>
      <c r="N615" s="652"/>
      <c r="V615" s="189" t="str">
        <f t="array" ref="V615">IFERROR(IF(INDEX('Disaggregation Records'!$I$69:$I$152,MATCH(RIGHT(Q615,255),RIGHT('Disaggregation Records'!$D$69:$D$152,255),0))=0,"",INDEX('Disaggregation Records'!$I$69:$I$152,MATCH(RIGHT(Q615,255),RIGHT('Disaggregation Records'!$D$69:$D$152,255),0))),"")</f>
        <v/>
      </c>
    </row>
    <row r="616" spans="1:23" x14ac:dyDescent="0.3">
      <c r="Q616" s="189"/>
      <c r="R616" s="189"/>
      <c r="S616" s="189"/>
      <c r="T616" s="189"/>
      <c r="U616" s="189"/>
    </row>
    <row r="617" spans="1:23" s="232" customFormat="1" x14ac:dyDescent="0.3">
      <c r="Q617" s="189"/>
      <c r="R617" s="189"/>
      <c r="S617" s="189"/>
      <c r="T617" s="189"/>
      <c r="U617" s="189"/>
    </row>
    <row r="619" spans="1:23" s="232" customFormat="1" ht="16.2" customHeight="1" x14ac:dyDescent="0.3">
      <c r="B619" s="681" t="str">
        <f ca="1">Translations!A80</f>
        <v xml:space="preserve">Désagrégation de l'indicateur de couverture </v>
      </c>
      <c r="C619" s="682"/>
      <c r="D619" s="682"/>
      <c r="E619" s="682"/>
      <c r="F619" s="682"/>
      <c r="G619" s="682"/>
      <c r="H619" s="682"/>
      <c r="I619" s="682"/>
      <c r="J619" s="685"/>
      <c r="K619" s="681"/>
      <c r="L619" s="682"/>
      <c r="M619" s="682"/>
      <c r="N619" s="682"/>
    </row>
    <row r="620" spans="1:23" s="232" customFormat="1" ht="45" customHeight="1" x14ac:dyDescent="0.3">
      <c r="A620" s="232" t="s">
        <v>346</v>
      </c>
      <c r="B620" s="233" t="str">
        <f ca="1">Translations!A81</f>
        <v xml:space="preserve">Numéro de l'indicateur de couverture </v>
      </c>
      <c r="C620" s="233" t="str">
        <f ca="1">Translations!A82</f>
        <v>Nom de l'indicateur de couverture</v>
      </c>
      <c r="D620" s="233" t="str">
        <f ca="1">Translations!$A$74</f>
        <v>Catégorie</v>
      </c>
      <c r="E620" s="233" t="str">
        <f ca="1">Translations!$A$75</f>
        <v>Désagrégation</v>
      </c>
      <c r="F620" s="233" t="s">
        <v>812</v>
      </c>
      <c r="G620" s="233" t="str">
        <f ca="1">Translations!$A$41</f>
        <v>Référence %</v>
      </c>
      <c r="H620" s="233" t="s">
        <v>440</v>
      </c>
      <c r="I620" s="233" t="s">
        <v>442</v>
      </c>
      <c r="J620" s="233" t="s">
        <v>411</v>
      </c>
      <c r="K620" s="247" t="str">
        <f ca="1">Translations!A82 &amp; " (EN) "</f>
        <v xml:space="preserve">Nom de l'indicateur de couverture (EN) </v>
      </c>
      <c r="L620" s="247" t="str">
        <f ca="1">Translations!$A$74 &amp; " (EN)"</f>
        <v>Catégorie (EN)</v>
      </c>
      <c r="M620" s="247" t="s">
        <v>8013</v>
      </c>
      <c r="N620" s="247" t="s">
        <v>8014</v>
      </c>
      <c r="R620" s="338"/>
      <c r="S620" s="338"/>
      <c r="T620" s="189"/>
    </row>
    <row r="621" spans="1:23" s="189" customFormat="1" ht="40.200000000000003" customHeight="1" x14ac:dyDescent="0.3">
      <c r="A621" s="678" t="str">
        <f ca="1">INDIRECT("'update Helper'!C"&amp;U621)</f>
        <v>a163p000002zQZNAA2</v>
      </c>
      <c r="B621" s="674">
        <v>1</v>
      </c>
      <c r="C621" s="666" t="str">
        <f>VLOOKUP(B621,'Coverage Indicators - Section D'!$A$9:$AU$70,47,FALSE)</f>
        <v>HTS-5 Pourcentage de personnes récemment diagnostiquées comme séropositives admises dans des services de prise en charge du VIH</v>
      </c>
      <c r="D621" s="676" t="str">
        <f>R621</f>
        <v>Sexe</v>
      </c>
      <c r="E621" s="676" t="str">
        <f>S621</f>
        <v>Homme</v>
      </c>
      <c r="F621" s="194"/>
      <c r="G621" s="668" t="str">
        <f ca="1">IF(OR(INDIRECT("'update Helper'!E"&amp;U621)=0,F621&lt;&gt;0,F622&lt;&gt;0),IF(IFERROR((F621/F622),"")="","",(F621/F622)),INDIRECT("'update Helper'!E"&amp;U621)/100)</f>
        <v/>
      </c>
      <c r="H621" s="670"/>
      <c r="I621" s="672"/>
      <c r="J621" s="651"/>
      <c r="K621" s="666" t="str">
        <f>W621</f>
        <v>HTS-5 Percentage of people newly diagnosed with HIV initiated on ART</v>
      </c>
      <c r="L621" s="666" t="str">
        <f>V621</f>
        <v>Gender</v>
      </c>
      <c r="M621" s="651"/>
      <c r="N621" s="651"/>
      <c r="P621" s="189">
        <f>IF(AND(EXACT(C621,C619),C619&lt;&gt;0),P619+1,0)</f>
        <v>0</v>
      </c>
      <c r="Q621" s="189" t="str">
        <f>IF(C621&lt;&gt;"",C621&amp;"-"&amp;P621,"")</f>
        <v>HTS-5 Pourcentage de personnes récemment diagnostiquées comme séropositives admises dans des services de prise en charge du VIH-0</v>
      </c>
      <c r="R621" s="189" t="str">
        <f t="array" ref="R621">IFERROR(IF(INDEX('Disaggregation Records'!$E$155:$E$385,MATCH(RIGHT(Q621,255),RIGHT('Disaggregation Records'!$D$155:$D$385,255),0))=0,"",INDEX('Disaggregation Records'!$E$155:$E$385,MATCH(RIGHT(Q621,255),RIGHT('Disaggregation Records'!$D$155:$D$385,255),0))),"")</f>
        <v>Sexe</v>
      </c>
      <c r="S621" s="189" t="str">
        <f t="array" ref="S621">IFERROR(IF(INDEX('Disaggregation Records'!$F$155:$F$385,MATCH(RIGHT(Q621,255),RIGHT('Disaggregation Records'!$D$155:$D$385,255),0))=0,"",INDEX('Disaggregation Records'!$F$155:$F$385,MATCH(RIGHT(Q621,255),RIGHT('Disaggregation Records'!$D$155:$D$385,255),0))),"")</f>
        <v>Homme</v>
      </c>
      <c r="T621" s="189" t="str">
        <f t="array" ref="T621">IFERROR(IF(INDEX('Disaggregation Records'!$H$155:$H$385,MATCH(RIGHT(Q621,255),RIGHT('Disaggregation Records'!$D$155:$D$385,255),0))=0,"",INDEX('Disaggregation Records'!$H$155:$H$385,MATCH(RIGHT(Q621,255),RIGHT('Disaggregation Records'!$D$155:$D$385,255),0))),"")</f>
        <v>IDR-00841</v>
      </c>
      <c r="U621" s="189">
        <f>ROW(Coverage_Indicator_Disaggregation)+3</f>
        <v>1412</v>
      </c>
      <c r="V621" s="189" t="str">
        <f t="array" ref="V621">IFERROR(IF(INDEX('Disaggregation Records'!$I$155:$I$385,MATCH(RIGHT(Q621,255),RIGHT('Disaggregation Records'!$D$155:$D$385,255),0))=0,"",INDEX('Disaggregation Records'!$I$155:$I$385,MATCH(RIGHT(Q621,255),RIGHT('Disaggregation Records'!$D$155:$D$385,255),0))),"")</f>
        <v>Gender</v>
      </c>
      <c r="W621" s="189" t="str">
        <f>IFERROR(INDEX('Reference Records'!L$59:L$121,MATCH(LEFT(C621,255),'Reference Records'!E$59:E$121,0)),"")</f>
        <v>HTS-5 Percentage of people newly diagnosed with HIV initiated on ART</v>
      </c>
    </row>
    <row r="622" spans="1:23" s="189" customFormat="1" ht="40.200000000000003" customHeight="1" x14ac:dyDescent="0.3">
      <c r="A622" s="678"/>
      <c r="B622" s="675"/>
      <c r="C622" s="667"/>
      <c r="D622" s="677"/>
      <c r="E622" s="677"/>
      <c r="F622" s="202"/>
      <c r="G622" s="669"/>
      <c r="H622" s="671"/>
      <c r="I622" s="673"/>
      <c r="J622" s="652"/>
      <c r="K622" s="667"/>
      <c r="L622" s="667"/>
      <c r="M622" s="652"/>
      <c r="N622" s="652"/>
    </row>
    <row r="623" spans="1:23" s="189" customFormat="1" ht="40.200000000000003" customHeight="1" x14ac:dyDescent="0.3">
      <c r="A623" s="678" t="str">
        <f t="shared" ref="A623" ca="1" si="2534">INDIRECT("'update Helper'!C"&amp;U623)</f>
        <v>a163p000002zQZOAA2</v>
      </c>
      <c r="B623" s="674">
        <v>1</v>
      </c>
      <c r="C623" s="666" t="str">
        <f>VLOOKUP(B623,'Coverage Indicators - Section D'!$A$9:$AU$70,47,FALSE)</f>
        <v>HTS-5 Pourcentage de personnes récemment diagnostiquées comme séropositives admises dans des services de prise en charge du VIH</v>
      </c>
      <c r="D623" s="676" t="str">
        <f t="shared" ref="D623" si="2535">R623</f>
        <v>Sexe</v>
      </c>
      <c r="E623" s="676" t="str">
        <f t="shared" ref="E623" si="2536">S623</f>
        <v>Femme</v>
      </c>
      <c r="F623" s="194"/>
      <c r="G623" s="668" t="str">
        <f t="shared" ref="G623" ca="1" si="2537">IF(OR(INDIRECT("'update Helper'!E"&amp;U623)=0,F623&lt;&gt;0,F624&lt;&gt;0),IF(IFERROR((F623/F624),"")="","",(F623/F624)),INDIRECT("'update Helper'!E"&amp;U623)/100)</f>
        <v/>
      </c>
      <c r="H623" s="670"/>
      <c r="I623" s="672"/>
      <c r="J623" s="651"/>
      <c r="K623" s="666" t="str">
        <f t="shared" ref="K623" si="2538">W623</f>
        <v>HTS-5 Percentage of people newly diagnosed with HIV initiated on ART</v>
      </c>
      <c r="L623" s="666" t="str">
        <f t="shared" ref="L623" si="2539">V623</f>
        <v>Gender</v>
      </c>
      <c r="M623" s="651"/>
      <c r="N623" s="651"/>
      <c r="P623" s="189">
        <f t="shared" ref="P623" si="2540">IF(AND(EXACT(C623,C621),C621&lt;&gt;0),P621+1,0)</f>
        <v>1</v>
      </c>
      <c r="Q623" s="189" t="str">
        <f t="shared" ref="Q623" si="2541">IF(C623&lt;&gt;"",C623&amp;"-"&amp;P623,"")</f>
        <v>HTS-5 Pourcentage de personnes récemment diagnostiquées comme séropositives admises dans des services de prise en charge du VIH-1</v>
      </c>
      <c r="R623" s="189" t="str">
        <f t="array" ref="R623">IFERROR(IF(INDEX('Disaggregation Records'!$E$155:$E$385,MATCH(RIGHT(Q623,255),RIGHT('Disaggregation Records'!$D$155:$D$385,255),0))=0,"",INDEX('Disaggregation Records'!$E$155:$E$385,MATCH(RIGHT(Q623,255),RIGHT('Disaggregation Records'!$D$155:$D$385,255),0))),"")</f>
        <v>Sexe</v>
      </c>
      <c r="S623" s="189" t="str">
        <f t="array" ref="S623">IFERROR(IF(INDEX('Disaggregation Records'!$F$155:$F$385,MATCH(RIGHT(Q623,255),RIGHT('Disaggregation Records'!$D$155:$D$385,255),0))=0,"",INDEX('Disaggregation Records'!$F$155:$F$385,MATCH(RIGHT(Q623,255),RIGHT('Disaggregation Records'!$D$155:$D$385,255),0))),"")</f>
        <v>Femme</v>
      </c>
      <c r="T623" s="189" t="str">
        <f t="array" ref="T623">IFERROR(IF(INDEX('Disaggregation Records'!$H$155:$H$385,MATCH(RIGHT(Q623,255),RIGHT('Disaggregation Records'!$D$155:$D$385,255),0))=0,"",INDEX('Disaggregation Records'!$H$155:$H$385,MATCH(RIGHT(Q623,255),RIGHT('Disaggregation Records'!$D$155:$D$385,255),0))),"")</f>
        <v>IDR-00842</v>
      </c>
      <c r="U623" s="189">
        <f>U621+1</f>
        <v>1413</v>
      </c>
      <c r="V623" s="189" t="str">
        <f t="array" ref="V623">IFERROR(IF(INDEX('Disaggregation Records'!$I$155:$I$385,MATCH(RIGHT(Q623,255),RIGHT('Disaggregation Records'!$D$155:$D$385,255),0))=0,"",INDEX('Disaggregation Records'!$I$155:$I$385,MATCH(RIGHT(Q623,255),RIGHT('Disaggregation Records'!$D$155:$D$385,255),0))),"")</f>
        <v>Gender</v>
      </c>
      <c r="W623" s="189" t="str">
        <f>IFERROR(INDEX('Reference Records'!L$59:L$121,MATCH(LEFT(C623,255),'Reference Records'!E$59:E$121,0)),"")</f>
        <v>HTS-5 Percentage of people newly diagnosed with HIV initiated on ART</v>
      </c>
    </row>
    <row r="624" spans="1:23" s="189" customFormat="1" ht="40.200000000000003" customHeight="1" x14ac:dyDescent="0.3">
      <c r="A624" s="678"/>
      <c r="B624" s="675"/>
      <c r="C624" s="667"/>
      <c r="D624" s="677"/>
      <c r="E624" s="677"/>
      <c r="F624" s="202"/>
      <c r="G624" s="669"/>
      <c r="H624" s="671"/>
      <c r="I624" s="673"/>
      <c r="J624" s="652"/>
      <c r="K624" s="667"/>
      <c r="L624" s="667"/>
      <c r="M624" s="652"/>
      <c r="N624" s="652"/>
    </row>
    <row r="625" spans="1:23" s="189" customFormat="1" ht="40.200000000000003" customHeight="1" x14ac:dyDescent="0.3">
      <c r="A625" s="678" t="str">
        <f t="shared" ref="A625" ca="1" si="2542">INDIRECT("'update Helper'!C"&amp;U625)</f>
        <v>a163p000002zQZPAA2</v>
      </c>
      <c r="B625" s="674">
        <v>1</v>
      </c>
      <c r="C625" s="666" t="str">
        <f>VLOOKUP(B625,'Coverage Indicators - Section D'!$A$9:$AU$70,47,FALSE)</f>
        <v>HTS-5 Pourcentage de personnes récemment diagnostiquées comme séropositives admises dans des services de prise en charge du VIH</v>
      </c>
      <c r="D625" s="676" t="str">
        <f t="shared" ref="D625" si="2543">R625</f>
        <v>Sexe</v>
      </c>
      <c r="E625" s="676" t="str">
        <f t="shared" ref="E625" si="2544">S625</f>
        <v>Transgenre</v>
      </c>
      <c r="F625" s="194"/>
      <c r="G625" s="668" t="str">
        <f t="shared" ref="G625" ca="1" si="2545">IF(OR(INDIRECT("'update Helper'!E"&amp;U625)=0,F625&lt;&gt;0,F626&lt;&gt;0),IF(IFERROR((F625/F626),"")="","",(F625/F626)),INDIRECT("'update Helper'!E"&amp;U625)/100)</f>
        <v/>
      </c>
      <c r="H625" s="670"/>
      <c r="I625" s="672"/>
      <c r="J625" s="651"/>
      <c r="K625" s="666" t="str">
        <f t="shared" ref="K625" si="2546">W625</f>
        <v>HTS-5 Percentage of people newly diagnosed with HIV initiated on ART</v>
      </c>
      <c r="L625" s="666" t="str">
        <f t="shared" ref="L625" si="2547">V625</f>
        <v>Gender</v>
      </c>
      <c r="M625" s="651"/>
      <c r="N625" s="651"/>
      <c r="P625" s="189">
        <f t="shared" ref="P625" si="2548">IF(AND(EXACT(C625,C623),C623&lt;&gt;0),P623+1,0)</f>
        <v>2</v>
      </c>
      <c r="Q625" s="189" t="str">
        <f t="shared" ref="Q625" si="2549">IF(C625&lt;&gt;"",C625&amp;"-"&amp;P625,"")</f>
        <v>HTS-5 Pourcentage de personnes récemment diagnostiquées comme séropositives admises dans des services de prise en charge du VIH-2</v>
      </c>
      <c r="R625" s="189" t="str">
        <f t="array" ref="R625">IFERROR(IF(INDEX('Disaggregation Records'!$E$155:$E$385,MATCH(RIGHT(Q625,255),RIGHT('Disaggregation Records'!$D$155:$D$385,255),0))=0,"",INDEX('Disaggregation Records'!$E$155:$E$385,MATCH(RIGHT(Q625,255),RIGHT('Disaggregation Records'!$D$155:$D$385,255),0))),"")</f>
        <v>Sexe</v>
      </c>
      <c r="S625" s="189" t="str">
        <f t="array" ref="S625">IFERROR(IF(INDEX('Disaggregation Records'!$F$155:$F$385,MATCH(RIGHT(Q625,255),RIGHT('Disaggregation Records'!$D$155:$D$385,255),0))=0,"",INDEX('Disaggregation Records'!$F$155:$F$385,MATCH(RIGHT(Q625,255),RIGHT('Disaggregation Records'!$D$155:$D$385,255),0))),"")</f>
        <v>Transgenre</v>
      </c>
      <c r="T625" s="189" t="str">
        <f t="array" ref="T625">IFERROR(IF(INDEX('Disaggregation Records'!$H$155:$H$385,MATCH(RIGHT(Q625,255),RIGHT('Disaggregation Records'!$D$155:$D$385,255),0))=0,"",INDEX('Disaggregation Records'!$H$155:$H$385,MATCH(RIGHT(Q625,255),RIGHT('Disaggregation Records'!$D$155:$D$385,255),0))),"")</f>
        <v>IDR-00843</v>
      </c>
      <c r="U625" s="189">
        <f t="shared" ref="U625" si="2550">U623+1</f>
        <v>1414</v>
      </c>
      <c r="V625" s="189" t="str">
        <f t="array" ref="V625">IFERROR(IF(INDEX('Disaggregation Records'!$I$155:$I$385,MATCH(RIGHT(Q625,255),RIGHT('Disaggregation Records'!$D$155:$D$385,255),0))=0,"",INDEX('Disaggregation Records'!$I$155:$I$385,MATCH(RIGHT(Q625,255),RIGHT('Disaggregation Records'!$D$155:$D$385,255),0))),"")</f>
        <v>Gender</v>
      </c>
      <c r="W625" s="189" t="str">
        <f>IFERROR(INDEX('Reference Records'!L$59:L$121,MATCH(LEFT(C625,255),'Reference Records'!E$59:E$121,0)),"")</f>
        <v>HTS-5 Percentage of people newly diagnosed with HIV initiated on ART</v>
      </c>
    </row>
    <row r="626" spans="1:23" s="189" customFormat="1" ht="40.200000000000003" customHeight="1" x14ac:dyDescent="0.3">
      <c r="A626" s="678"/>
      <c r="B626" s="675"/>
      <c r="C626" s="667"/>
      <c r="D626" s="677"/>
      <c r="E626" s="677"/>
      <c r="F626" s="202"/>
      <c r="G626" s="669"/>
      <c r="H626" s="671"/>
      <c r="I626" s="673"/>
      <c r="J626" s="652"/>
      <c r="K626" s="667"/>
      <c r="L626" s="667"/>
      <c r="M626" s="652"/>
      <c r="N626" s="652"/>
    </row>
    <row r="627" spans="1:23" s="189" customFormat="1" ht="40.200000000000003" customHeight="1" x14ac:dyDescent="0.3">
      <c r="A627" s="678" t="str">
        <f t="shared" ref="A627" ca="1" si="2551">INDIRECT("'update Helper'!C"&amp;U627)</f>
        <v>a163p000002zQZQAA2</v>
      </c>
      <c r="B627" s="674">
        <v>1</v>
      </c>
      <c r="C627" s="666" t="str">
        <f>VLOOKUP(B627,'Coverage Indicators - Section D'!$A$9:$AU$70,47,FALSE)</f>
        <v>HTS-5 Pourcentage de personnes récemment diagnostiquées comme séropositives admises dans des services de prise en charge du VIH</v>
      </c>
      <c r="D627" s="676" t="str">
        <f t="shared" ref="D627" si="2552">R627</f>
        <v>Groupe à risque cible</v>
      </c>
      <c r="E627" s="676" t="str">
        <f t="shared" ref="E627" si="2553">S627</f>
        <v>Usagers de drogues injectables</v>
      </c>
      <c r="F627" s="194"/>
      <c r="G627" s="668" t="str">
        <f t="shared" ref="G627" ca="1" si="2554">IF(OR(INDIRECT("'update Helper'!E"&amp;U627)=0,F627&lt;&gt;0,F628&lt;&gt;0),IF(IFERROR((F627/F628),"")="","",(F627/F628)),INDIRECT("'update Helper'!E"&amp;U627)/100)</f>
        <v/>
      </c>
      <c r="H627" s="670"/>
      <c r="I627" s="672"/>
      <c r="J627" s="651"/>
      <c r="K627" s="666" t="str">
        <f t="shared" ref="K627" si="2555">W627</f>
        <v>HTS-5 Percentage of people newly diagnosed with HIV initiated on ART</v>
      </c>
      <c r="L627" s="666" t="str">
        <f t="shared" ref="L627" si="2556">V627</f>
        <v>Target / Risk population group</v>
      </c>
      <c r="M627" s="651"/>
      <c r="N627" s="651"/>
      <c r="P627" s="189">
        <f t="shared" ref="P627" si="2557">IF(AND(EXACT(C627,C625),C625&lt;&gt;0),P625+1,0)</f>
        <v>3</v>
      </c>
      <c r="Q627" s="189" t="str">
        <f t="shared" ref="Q627" si="2558">IF(C627&lt;&gt;"",C627&amp;"-"&amp;P627,"")</f>
        <v>HTS-5 Pourcentage de personnes récemment diagnostiquées comme séropositives admises dans des services de prise en charge du VIH-3</v>
      </c>
      <c r="R627" s="189" t="str">
        <f t="array" ref="R627">IFERROR(IF(INDEX('Disaggregation Records'!$E$155:$E$385,MATCH(RIGHT(Q627,255),RIGHT('Disaggregation Records'!$D$155:$D$385,255),0))=0,"",INDEX('Disaggregation Records'!$E$155:$E$385,MATCH(RIGHT(Q627,255),RIGHT('Disaggregation Records'!$D$155:$D$385,255),0))),"")</f>
        <v>Groupe à risque cible</v>
      </c>
      <c r="S627" s="189" t="str">
        <f t="array" ref="S627">IFERROR(IF(INDEX('Disaggregation Records'!$F$155:$F$385,MATCH(RIGHT(Q627,255),RIGHT('Disaggregation Records'!$D$155:$D$385,255),0))=0,"",INDEX('Disaggregation Records'!$F$155:$F$385,MATCH(RIGHT(Q627,255),RIGHT('Disaggregation Records'!$D$155:$D$385,255),0))),"")</f>
        <v>Usagers de drogues injectables</v>
      </c>
      <c r="T627" s="189" t="str">
        <f t="array" ref="T627">IFERROR(IF(INDEX('Disaggregation Records'!$H$155:$H$385,MATCH(RIGHT(Q627,255),RIGHT('Disaggregation Records'!$D$155:$D$385,255),0))=0,"",INDEX('Disaggregation Records'!$H$155:$H$385,MATCH(RIGHT(Q627,255),RIGHT('Disaggregation Records'!$D$155:$D$385,255),0))),"")</f>
        <v>IDR-00975</v>
      </c>
      <c r="U627" s="189">
        <f t="shared" ref="U627" si="2559">U625+1</f>
        <v>1415</v>
      </c>
      <c r="V627" s="189" t="str">
        <f t="array" ref="V627">IFERROR(IF(INDEX('Disaggregation Records'!$I$155:$I$385,MATCH(RIGHT(Q627,255),RIGHT('Disaggregation Records'!$D$155:$D$385,255),0))=0,"",INDEX('Disaggregation Records'!$I$155:$I$385,MATCH(RIGHT(Q627,255),RIGHT('Disaggregation Records'!$D$155:$D$385,255),0))),"")</f>
        <v>Target / Risk population group</v>
      </c>
      <c r="W627" s="189" t="str">
        <f>IFERROR(INDEX('Reference Records'!L$59:L$121,MATCH(LEFT(C627,255),'Reference Records'!E$59:E$121,0)),"")</f>
        <v>HTS-5 Percentage of people newly diagnosed with HIV initiated on ART</v>
      </c>
    </row>
    <row r="628" spans="1:23" s="189" customFormat="1" ht="40.200000000000003" customHeight="1" x14ac:dyDescent="0.3">
      <c r="A628" s="678"/>
      <c r="B628" s="675"/>
      <c r="C628" s="667"/>
      <c r="D628" s="677"/>
      <c r="E628" s="677"/>
      <c r="F628" s="202"/>
      <c r="G628" s="669"/>
      <c r="H628" s="671"/>
      <c r="I628" s="673"/>
      <c r="J628" s="652"/>
      <c r="K628" s="667"/>
      <c r="L628" s="667"/>
      <c r="M628" s="652"/>
      <c r="N628" s="652"/>
    </row>
    <row r="629" spans="1:23" s="189" customFormat="1" ht="40.200000000000003" customHeight="1" x14ac:dyDescent="0.3">
      <c r="A629" s="678" t="str">
        <f t="shared" ref="A629" ca="1" si="2560">INDIRECT("'update Helper'!C"&amp;U629)</f>
        <v>a163p000002zQZRAA2</v>
      </c>
      <c r="B629" s="674">
        <v>1</v>
      </c>
      <c r="C629" s="666" t="str">
        <f>VLOOKUP(B629,'Coverage Indicators - Section D'!$A$9:$AU$70,47,FALSE)</f>
        <v>HTS-5 Pourcentage de personnes récemment diagnostiquées comme séropositives admises dans des services de prise en charge du VIH</v>
      </c>
      <c r="D629" s="676" t="str">
        <f t="shared" ref="D629" si="2561">R629</f>
        <v>Groupe à risque cible</v>
      </c>
      <c r="E629" s="676" t="str">
        <f t="shared" ref="E629" si="2562">S629</f>
        <v>Prisonniers</v>
      </c>
      <c r="F629" s="194"/>
      <c r="G629" s="668" t="str">
        <f t="shared" ref="G629" ca="1" si="2563">IF(OR(INDIRECT("'update Helper'!E"&amp;U629)=0,F629&lt;&gt;0,F630&lt;&gt;0),IF(IFERROR((F629/F630),"")="","",(F629/F630)),INDIRECT("'update Helper'!E"&amp;U629)/100)</f>
        <v/>
      </c>
      <c r="H629" s="670"/>
      <c r="I629" s="672"/>
      <c r="J629" s="651"/>
      <c r="K629" s="666" t="str">
        <f t="shared" ref="K629" si="2564">W629</f>
        <v>HTS-5 Percentage of people newly diagnosed with HIV initiated on ART</v>
      </c>
      <c r="L629" s="666" t="str">
        <f t="shared" ref="L629" si="2565">V629</f>
        <v>Target / Risk population group</v>
      </c>
      <c r="M629" s="651"/>
      <c r="N629" s="651"/>
      <c r="P629" s="189">
        <f t="shared" ref="P629" si="2566">IF(AND(EXACT(C629,C627),C627&lt;&gt;0),P627+1,0)</f>
        <v>4</v>
      </c>
      <c r="Q629" s="189" t="str">
        <f t="shared" ref="Q629" si="2567">IF(C629&lt;&gt;"",C629&amp;"-"&amp;P629,"")</f>
        <v>HTS-5 Pourcentage de personnes récemment diagnostiquées comme séropositives admises dans des services de prise en charge du VIH-4</v>
      </c>
      <c r="R629" s="189" t="str">
        <f t="array" ref="R629">IFERROR(IF(INDEX('Disaggregation Records'!$E$155:$E$385,MATCH(RIGHT(Q629,255),RIGHT('Disaggregation Records'!$D$155:$D$385,255),0))=0,"",INDEX('Disaggregation Records'!$E$155:$E$385,MATCH(RIGHT(Q629,255),RIGHT('Disaggregation Records'!$D$155:$D$385,255),0))),"")</f>
        <v>Groupe à risque cible</v>
      </c>
      <c r="S629" s="189" t="str">
        <f t="array" ref="S629">IFERROR(IF(INDEX('Disaggregation Records'!$F$155:$F$385,MATCH(RIGHT(Q629,255),RIGHT('Disaggregation Records'!$D$155:$D$385,255),0))=0,"",INDEX('Disaggregation Records'!$F$155:$F$385,MATCH(RIGHT(Q629,255),RIGHT('Disaggregation Records'!$D$155:$D$385,255),0))),"")</f>
        <v>Prisonniers</v>
      </c>
      <c r="T629" s="189" t="str">
        <f t="array" ref="T629">IFERROR(IF(INDEX('Disaggregation Records'!$H$155:$H$385,MATCH(RIGHT(Q629,255),RIGHT('Disaggregation Records'!$D$155:$D$385,255),0))=0,"",INDEX('Disaggregation Records'!$H$155:$H$385,MATCH(RIGHT(Q629,255),RIGHT('Disaggregation Records'!$D$155:$D$385,255),0))),"")</f>
        <v>IDR-00976</v>
      </c>
      <c r="U629" s="189">
        <f t="shared" ref="U629" si="2568">U627+1</f>
        <v>1416</v>
      </c>
      <c r="V629" s="189" t="str">
        <f t="array" ref="V629">IFERROR(IF(INDEX('Disaggregation Records'!$I$155:$I$385,MATCH(RIGHT(Q629,255),RIGHT('Disaggregation Records'!$D$155:$D$385,255),0))=0,"",INDEX('Disaggregation Records'!$I$155:$I$385,MATCH(RIGHT(Q629,255),RIGHT('Disaggregation Records'!$D$155:$D$385,255),0))),"")</f>
        <v>Target / Risk population group</v>
      </c>
      <c r="W629" s="189" t="str">
        <f>IFERROR(INDEX('Reference Records'!L$59:L$121,MATCH(LEFT(C629,255),'Reference Records'!E$59:E$121,0)),"")</f>
        <v>HTS-5 Percentage of people newly diagnosed with HIV initiated on ART</v>
      </c>
    </row>
    <row r="630" spans="1:23" s="189" customFormat="1" ht="40.200000000000003" customHeight="1" x14ac:dyDescent="0.3">
      <c r="A630" s="678"/>
      <c r="B630" s="675"/>
      <c r="C630" s="667"/>
      <c r="D630" s="677"/>
      <c r="E630" s="677"/>
      <c r="F630" s="202"/>
      <c r="G630" s="669"/>
      <c r="H630" s="671"/>
      <c r="I630" s="673"/>
      <c r="J630" s="652"/>
      <c r="K630" s="667"/>
      <c r="L630" s="667"/>
      <c r="M630" s="652"/>
      <c r="N630" s="652"/>
    </row>
    <row r="631" spans="1:23" s="189" customFormat="1" ht="40.200000000000003" customHeight="1" x14ac:dyDescent="0.3">
      <c r="A631" s="678" t="str">
        <f t="shared" ref="A631" ca="1" si="2569">INDIRECT("'update Helper'!C"&amp;U631)</f>
        <v>a163p000002zQZSAA2</v>
      </c>
      <c r="B631" s="674">
        <v>1</v>
      </c>
      <c r="C631" s="666" t="str">
        <f>VLOOKUP(B631,'Coverage Indicators - Section D'!$A$9:$AU$70,47,FALSE)</f>
        <v>HTS-5 Pourcentage de personnes récemment diagnostiquées comme séropositives admises dans des services de prise en charge du VIH</v>
      </c>
      <c r="D631" s="676" t="str">
        <f t="shared" ref="D631" si="2570">R631</f>
        <v>Groupe à risque cible</v>
      </c>
      <c r="E631" s="676" t="str">
        <f t="shared" ref="E631" si="2571">S631</f>
        <v>HSH</v>
      </c>
      <c r="F631" s="194"/>
      <c r="G631" s="668" t="str">
        <f t="shared" ref="G631" ca="1" si="2572">IF(OR(INDIRECT("'update Helper'!E"&amp;U631)=0,F631&lt;&gt;0,F632&lt;&gt;0),IF(IFERROR((F631/F632),"")="","",(F631/F632)),INDIRECT("'update Helper'!E"&amp;U631)/100)</f>
        <v/>
      </c>
      <c r="H631" s="670"/>
      <c r="I631" s="672"/>
      <c r="J631" s="651"/>
      <c r="K631" s="666" t="str">
        <f t="shared" ref="K631" si="2573">W631</f>
        <v>HTS-5 Percentage of people newly diagnosed with HIV initiated on ART</v>
      </c>
      <c r="L631" s="666" t="str">
        <f t="shared" ref="L631" si="2574">V631</f>
        <v>Target / Risk population group</v>
      </c>
      <c r="M631" s="651"/>
      <c r="N631" s="651"/>
      <c r="P631" s="189">
        <f t="shared" ref="P631" si="2575">IF(AND(EXACT(C631,C629),C629&lt;&gt;0),P629+1,0)</f>
        <v>5</v>
      </c>
      <c r="Q631" s="189" t="str">
        <f t="shared" ref="Q631" si="2576">IF(C631&lt;&gt;"",C631&amp;"-"&amp;P631,"")</f>
        <v>HTS-5 Pourcentage de personnes récemment diagnostiquées comme séropositives admises dans des services de prise en charge du VIH-5</v>
      </c>
      <c r="R631" s="189" t="str">
        <f t="array" ref="R631">IFERROR(IF(INDEX('Disaggregation Records'!$E$155:$E$385,MATCH(RIGHT(Q631,255),RIGHT('Disaggregation Records'!$D$155:$D$385,255),0))=0,"",INDEX('Disaggregation Records'!$E$155:$E$385,MATCH(RIGHT(Q631,255),RIGHT('Disaggregation Records'!$D$155:$D$385,255),0))),"")</f>
        <v>Groupe à risque cible</v>
      </c>
      <c r="S631" s="189" t="str">
        <f t="array" ref="S631">IFERROR(IF(INDEX('Disaggregation Records'!$F$155:$F$385,MATCH(RIGHT(Q631,255),RIGHT('Disaggregation Records'!$D$155:$D$385,255),0))=0,"",INDEX('Disaggregation Records'!$F$155:$F$385,MATCH(RIGHT(Q631,255),RIGHT('Disaggregation Records'!$D$155:$D$385,255),0))),"")</f>
        <v>HSH</v>
      </c>
      <c r="T631" s="189" t="str">
        <f t="array" ref="T631">IFERROR(IF(INDEX('Disaggregation Records'!$H$155:$H$385,MATCH(RIGHT(Q631,255),RIGHT('Disaggregation Records'!$D$155:$D$385,255),0))=0,"",INDEX('Disaggregation Records'!$H$155:$H$385,MATCH(RIGHT(Q631,255),RIGHT('Disaggregation Records'!$D$155:$D$385,255),0))),"")</f>
        <v>IDR-00973</v>
      </c>
      <c r="U631" s="189">
        <f t="shared" ref="U631" si="2577">U629+1</f>
        <v>1417</v>
      </c>
      <c r="V631" s="189" t="str">
        <f t="array" ref="V631">IFERROR(IF(INDEX('Disaggregation Records'!$I$155:$I$385,MATCH(RIGHT(Q631,255),RIGHT('Disaggregation Records'!$D$155:$D$385,255),0))=0,"",INDEX('Disaggregation Records'!$I$155:$I$385,MATCH(RIGHT(Q631,255),RIGHT('Disaggregation Records'!$D$155:$D$385,255),0))),"")</f>
        <v>Target / Risk population group</v>
      </c>
      <c r="W631" s="189" t="str">
        <f>IFERROR(INDEX('Reference Records'!L$59:L$121,MATCH(LEFT(C631,255),'Reference Records'!E$59:E$121,0)),"")</f>
        <v>HTS-5 Percentage of people newly diagnosed with HIV initiated on ART</v>
      </c>
    </row>
    <row r="632" spans="1:23" s="189" customFormat="1" ht="40.200000000000003" customHeight="1" x14ac:dyDescent="0.3">
      <c r="A632" s="678"/>
      <c r="B632" s="675"/>
      <c r="C632" s="667"/>
      <c r="D632" s="677"/>
      <c r="E632" s="677"/>
      <c r="F632" s="202"/>
      <c r="G632" s="669"/>
      <c r="H632" s="671"/>
      <c r="I632" s="673"/>
      <c r="J632" s="652"/>
      <c r="K632" s="667"/>
      <c r="L632" s="667"/>
      <c r="M632" s="652"/>
      <c r="N632" s="652"/>
    </row>
    <row r="633" spans="1:23" s="189" customFormat="1" ht="40.200000000000003" customHeight="1" x14ac:dyDescent="0.3">
      <c r="A633" s="678" t="str">
        <f t="shared" ref="A633" ca="1" si="2578">INDIRECT("'update Helper'!C"&amp;U633)</f>
        <v>a163p000002zQZTAA2</v>
      </c>
      <c r="B633" s="674">
        <v>1</v>
      </c>
      <c r="C633" s="666" t="str">
        <f>VLOOKUP(B633,'Coverage Indicators - Section D'!$A$9:$AU$70,47,FALSE)</f>
        <v>HTS-5 Pourcentage de personnes récemment diagnostiquées comme séropositives admises dans des services de prise en charge du VIH</v>
      </c>
      <c r="D633" s="676" t="str">
        <f t="shared" ref="D633" si="2579">R633</f>
        <v>Groupe à risque cible</v>
      </c>
      <c r="E633" s="676" t="str">
        <f t="shared" ref="E633" si="2580">S633</f>
        <v>Professionnels du sexe</v>
      </c>
      <c r="F633" s="194"/>
      <c r="G633" s="668" t="str">
        <f t="shared" ref="G633" ca="1" si="2581">IF(OR(INDIRECT("'update Helper'!E"&amp;U633)=0,F633&lt;&gt;0,F634&lt;&gt;0),IF(IFERROR((F633/F634),"")="","",(F633/F634)),INDIRECT("'update Helper'!E"&amp;U633)/100)</f>
        <v/>
      </c>
      <c r="H633" s="670"/>
      <c r="I633" s="672"/>
      <c r="J633" s="651"/>
      <c r="K633" s="666" t="str">
        <f t="shared" ref="K633" si="2582">W633</f>
        <v>HTS-5 Percentage of people newly diagnosed with HIV initiated on ART</v>
      </c>
      <c r="L633" s="666" t="str">
        <f t="shared" ref="L633" si="2583">V633</f>
        <v>Target / Risk population group</v>
      </c>
      <c r="M633" s="651"/>
      <c r="N633" s="651"/>
      <c r="P633" s="189">
        <f t="shared" ref="P633" si="2584">IF(AND(EXACT(C633,C631),C631&lt;&gt;0),P631+1,0)</f>
        <v>6</v>
      </c>
      <c r="Q633" s="189" t="str">
        <f t="shared" ref="Q633" si="2585">IF(C633&lt;&gt;"",C633&amp;"-"&amp;P633,"")</f>
        <v>HTS-5 Pourcentage de personnes récemment diagnostiquées comme séropositives admises dans des services de prise en charge du VIH-6</v>
      </c>
      <c r="R633" s="189" t="str">
        <f t="array" ref="R633">IFERROR(IF(INDEX('Disaggregation Records'!$E$155:$E$385,MATCH(RIGHT(Q633,255),RIGHT('Disaggregation Records'!$D$155:$D$385,255),0))=0,"",INDEX('Disaggregation Records'!$E$155:$E$385,MATCH(RIGHT(Q633,255),RIGHT('Disaggregation Records'!$D$155:$D$385,255),0))),"")</f>
        <v>Groupe à risque cible</v>
      </c>
      <c r="S633" s="189" t="str">
        <f t="array" ref="S633">IFERROR(IF(INDEX('Disaggregation Records'!$F$155:$F$385,MATCH(RIGHT(Q633,255),RIGHT('Disaggregation Records'!$D$155:$D$385,255),0))=0,"",INDEX('Disaggregation Records'!$F$155:$F$385,MATCH(RIGHT(Q633,255),RIGHT('Disaggregation Records'!$D$155:$D$385,255),0))),"")</f>
        <v>Professionnels du sexe</v>
      </c>
      <c r="T633" s="189" t="str">
        <f t="array" ref="T633">IFERROR(IF(INDEX('Disaggregation Records'!$H$155:$H$385,MATCH(RIGHT(Q633,255),RIGHT('Disaggregation Records'!$D$155:$D$385,255),0))=0,"",INDEX('Disaggregation Records'!$H$155:$H$385,MATCH(RIGHT(Q633,255),RIGHT('Disaggregation Records'!$D$155:$D$385,255),0))),"")</f>
        <v>IDR-00974</v>
      </c>
      <c r="U633" s="189">
        <f t="shared" ref="U633" si="2586">U631+1</f>
        <v>1418</v>
      </c>
      <c r="V633" s="189" t="str">
        <f t="array" ref="V633">IFERROR(IF(INDEX('Disaggregation Records'!$I$155:$I$385,MATCH(RIGHT(Q633,255),RIGHT('Disaggregation Records'!$D$155:$D$385,255),0))=0,"",INDEX('Disaggregation Records'!$I$155:$I$385,MATCH(RIGHT(Q633,255),RIGHT('Disaggregation Records'!$D$155:$D$385,255),0))),"")</f>
        <v>Target / Risk population group</v>
      </c>
      <c r="W633" s="189" t="str">
        <f>IFERROR(INDEX('Reference Records'!L$59:L$121,MATCH(LEFT(C633,255),'Reference Records'!E$59:E$121,0)),"")</f>
        <v>HTS-5 Percentage of people newly diagnosed with HIV initiated on ART</v>
      </c>
    </row>
    <row r="634" spans="1:23" s="189" customFormat="1" ht="40.200000000000003" customHeight="1" x14ac:dyDescent="0.3">
      <c r="A634" s="678"/>
      <c r="B634" s="675"/>
      <c r="C634" s="667"/>
      <c r="D634" s="677"/>
      <c r="E634" s="677"/>
      <c r="F634" s="202"/>
      <c r="G634" s="669"/>
      <c r="H634" s="671"/>
      <c r="I634" s="673"/>
      <c r="J634" s="652"/>
      <c r="K634" s="667"/>
      <c r="L634" s="667"/>
      <c r="M634" s="652"/>
      <c r="N634" s="652"/>
    </row>
    <row r="635" spans="1:23" s="189" customFormat="1" ht="40.200000000000003" customHeight="1" x14ac:dyDescent="0.3">
      <c r="A635" s="678" t="str">
        <f t="shared" ref="A635" ca="1" si="2587">INDIRECT("'update Helper'!C"&amp;U635)</f>
        <v>a163p000002zQZUAA2</v>
      </c>
      <c r="B635" s="674">
        <v>1</v>
      </c>
      <c r="C635" s="666" t="str">
        <f>VLOOKUP(B635,'Coverage Indicators - Section D'!$A$9:$AU$70,47,FALSE)</f>
        <v>HTS-5 Pourcentage de personnes récemment diagnostiquées comme séropositives admises dans des services de prise en charge du VIH</v>
      </c>
      <c r="D635" s="676" t="str">
        <f t="shared" ref="D635" si="2588">R635</f>
        <v/>
      </c>
      <c r="E635" s="676" t="str">
        <f t="shared" ref="E635" si="2589">S635</f>
        <v/>
      </c>
      <c r="F635" s="194"/>
      <c r="G635" s="668" t="str">
        <f t="shared" ref="G635" ca="1" si="2590">IF(OR(INDIRECT("'update Helper'!E"&amp;U635)=0,F635&lt;&gt;0,F636&lt;&gt;0),IF(IFERROR((F635/F636),"")="","",(F635/F636)),INDIRECT("'update Helper'!E"&amp;U635)/100)</f>
        <v/>
      </c>
      <c r="H635" s="670"/>
      <c r="I635" s="672"/>
      <c r="J635" s="651"/>
      <c r="K635" s="666" t="str">
        <f t="shared" ref="K635" si="2591">W635</f>
        <v>HTS-5 Percentage of people newly diagnosed with HIV initiated on ART</v>
      </c>
      <c r="L635" s="666" t="str">
        <f t="shared" ref="L635" si="2592">V635</f>
        <v/>
      </c>
      <c r="M635" s="651"/>
      <c r="N635" s="651"/>
      <c r="P635" s="189">
        <f t="shared" ref="P635" si="2593">IF(AND(EXACT(C635,C633),C633&lt;&gt;0),P633+1,0)</f>
        <v>7</v>
      </c>
      <c r="Q635" s="189" t="str">
        <f t="shared" ref="Q635" si="2594">IF(C635&lt;&gt;"",C635&amp;"-"&amp;P635,"")</f>
        <v>HTS-5 Pourcentage de personnes récemment diagnostiquées comme séropositives admises dans des services de prise en charge du VIH-7</v>
      </c>
      <c r="R635" s="189" t="str">
        <f t="array" ref="R635">IFERROR(IF(INDEX('Disaggregation Records'!$E$155:$E$385,MATCH(RIGHT(Q635,255),RIGHT('Disaggregation Records'!$D$155:$D$385,255),0))=0,"",INDEX('Disaggregation Records'!$E$155:$E$385,MATCH(RIGHT(Q635,255),RIGHT('Disaggregation Records'!$D$155:$D$385,255),0))),"")</f>
        <v/>
      </c>
      <c r="S635" s="189" t="str">
        <f t="array" ref="S635">IFERROR(IF(INDEX('Disaggregation Records'!$F$155:$F$385,MATCH(RIGHT(Q635,255),RIGHT('Disaggregation Records'!$D$155:$D$385,255),0))=0,"",INDEX('Disaggregation Records'!$F$155:$F$385,MATCH(RIGHT(Q635,255),RIGHT('Disaggregation Records'!$D$155:$D$385,255),0))),"")</f>
        <v/>
      </c>
      <c r="T635" s="189" t="str">
        <f t="array" ref="T635">IFERROR(IF(INDEX('Disaggregation Records'!$H$155:$H$385,MATCH(RIGHT(Q635,255),RIGHT('Disaggregation Records'!$D$155:$D$385,255),0))=0,"",INDEX('Disaggregation Records'!$H$155:$H$385,MATCH(RIGHT(Q635,255),RIGHT('Disaggregation Records'!$D$155:$D$385,255),0))),"")</f>
        <v/>
      </c>
      <c r="U635" s="189">
        <f t="shared" ref="U635" si="2595">U633+1</f>
        <v>1419</v>
      </c>
      <c r="V635" s="189" t="str">
        <f t="array" ref="V635">IFERROR(IF(INDEX('Disaggregation Records'!$I$155:$I$385,MATCH(RIGHT(Q635,255),RIGHT('Disaggregation Records'!$D$155:$D$385,255),0))=0,"",INDEX('Disaggregation Records'!$I$155:$I$385,MATCH(RIGHT(Q635,255),RIGHT('Disaggregation Records'!$D$155:$D$385,255),0))),"")</f>
        <v/>
      </c>
      <c r="W635" s="189" t="str">
        <f>IFERROR(INDEX('Reference Records'!L$59:L$121,MATCH(LEFT(C635,255),'Reference Records'!E$59:E$121,0)),"")</f>
        <v>HTS-5 Percentage of people newly diagnosed with HIV initiated on ART</v>
      </c>
    </row>
    <row r="636" spans="1:23" s="189" customFormat="1" ht="40.200000000000003" customHeight="1" x14ac:dyDescent="0.3">
      <c r="A636" s="678"/>
      <c r="B636" s="675"/>
      <c r="C636" s="667"/>
      <c r="D636" s="677"/>
      <c r="E636" s="677"/>
      <c r="F636" s="202"/>
      <c r="G636" s="669"/>
      <c r="H636" s="671"/>
      <c r="I636" s="673"/>
      <c r="J636" s="652"/>
      <c r="K636" s="667"/>
      <c r="L636" s="667"/>
      <c r="M636" s="652"/>
      <c r="N636" s="652"/>
    </row>
    <row r="637" spans="1:23" s="189" customFormat="1" ht="40.200000000000003" customHeight="1" x14ac:dyDescent="0.3">
      <c r="A637" s="678" t="str">
        <f t="shared" ref="A637" ca="1" si="2596">INDIRECT("'update Helper'!C"&amp;U637)</f>
        <v>a163p000002zQZVAA2</v>
      </c>
      <c r="B637" s="674">
        <v>1</v>
      </c>
      <c r="C637" s="666" t="str">
        <f>VLOOKUP(B637,'Coverage Indicators - Section D'!$A$9:$AU$70,47,FALSE)</f>
        <v>HTS-5 Pourcentage de personnes récemment diagnostiquées comme séropositives admises dans des services de prise en charge du VIH</v>
      </c>
      <c r="D637" s="676" t="str">
        <f t="shared" ref="D637" si="2597">R637</f>
        <v/>
      </c>
      <c r="E637" s="676" t="str">
        <f t="shared" ref="E637" si="2598">S637</f>
        <v/>
      </c>
      <c r="F637" s="194"/>
      <c r="G637" s="668" t="str">
        <f t="shared" ref="G637" ca="1" si="2599">IF(OR(INDIRECT("'update Helper'!E"&amp;U637)=0,F637&lt;&gt;0,F638&lt;&gt;0),IF(IFERROR((F637/F638),"")="","",(F637/F638)),INDIRECT("'update Helper'!E"&amp;U637)/100)</f>
        <v/>
      </c>
      <c r="H637" s="670"/>
      <c r="I637" s="672"/>
      <c r="J637" s="651"/>
      <c r="K637" s="666" t="str">
        <f t="shared" ref="K637" si="2600">W637</f>
        <v>HTS-5 Percentage of people newly diagnosed with HIV initiated on ART</v>
      </c>
      <c r="L637" s="666" t="str">
        <f t="shared" ref="L637" si="2601">V637</f>
        <v/>
      </c>
      <c r="M637" s="651"/>
      <c r="N637" s="651"/>
      <c r="P637" s="189">
        <f t="shared" ref="P637" si="2602">IF(AND(EXACT(C637,C635),C635&lt;&gt;0),P635+1,0)</f>
        <v>8</v>
      </c>
      <c r="Q637" s="189" t="str">
        <f t="shared" ref="Q637" si="2603">IF(C637&lt;&gt;"",C637&amp;"-"&amp;P637,"")</f>
        <v>HTS-5 Pourcentage de personnes récemment diagnostiquées comme séropositives admises dans des services de prise en charge du VIH-8</v>
      </c>
      <c r="R637" s="189" t="str">
        <f t="array" ref="R637">IFERROR(IF(INDEX('Disaggregation Records'!$E$155:$E$385,MATCH(RIGHT(Q637,255),RIGHT('Disaggregation Records'!$D$155:$D$385,255),0))=0,"",INDEX('Disaggregation Records'!$E$155:$E$385,MATCH(RIGHT(Q637,255),RIGHT('Disaggregation Records'!$D$155:$D$385,255),0))),"")</f>
        <v/>
      </c>
      <c r="S637" s="189" t="str">
        <f t="array" ref="S637">IFERROR(IF(INDEX('Disaggregation Records'!$F$155:$F$385,MATCH(RIGHT(Q637,255),RIGHT('Disaggregation Records'!$D$155:$D$385,255),0))=0,"",INDEX('Disaggregation Records'!$F$155:$F$385,MATCH(RIGHT(Q637,255),RIGHT('Disaggregation Records'!$D$155:$D$385,255),0))),"")</f>
        <v/>
      </c>
      <c r="T637" s="189" t="str">
        <f t="array" ref="T637">IFERROR(IF(INDEX('Disaggregation Records'!$H$155:$H$385,MATCH(RIGHT(Q637,255),RIGHT('Disaggregation Records'!$D$155:$D$385,255),0))=0,"",INDEX('Disaggregation Records'!$H$155:$H$385,MATCH(RIGHT(Q637,255),RIGHT('Disaggregation Records'!$D$155:$D$385,255),0))),"")</f>
        <v/>
      </c>
      <c r="U637" s="189">
        <f t="shared" ref="U637" si="2604">U635+1</f>
        <v>1420</v>
      </c>
      <c r="V637" s="189" t="str">
        <f t="array" ref="V637">IFERROR(IF(INDEX('Disaggregation Records'!$I$155:$I$385,MATCH(RIGHT(Q637,255),RIGHT('Disaggregation Records'!$D$155:$D$385,255),0))=0,"",INDEX('Disaggregation Records'!$I$155:$I$385,MATCH(RIGHT(Q637,255),RIGHT('Disaggregation Records'!$D$155:$D$385,255),0))),"")</f>
        <v/>
      </c>
      <c r="W637" s="189" t="str">
        <f>IFERROR(INDEX('Reference Records'!L$59:L$121,MATCH(LEFT(C637,255),'Reference Records'!E$59:E$121,0)),"")</f>
        <v>HTS-5 Percentage of people newly diagnosed with HIV initiated on ART</v>
      </c>
    </row>
    <row r="638" spans="1:23" s="189" customFormat="1" ht="40.200000000000003" customHeight="1" x14ac:dyDescent="0.3">
      <c r="A638" s="678"/>
      <c r="B638" s="675"/>
      <c r="C638" s="667"/>
      <c r="D638" s="677"/>
      <c r="E638" s="677"/>
      <c r="F638" s="202"/>
      <c r="G638" s="669"/>
      <c r="H638" s="671"/>
      <c r="I638" s="673"/>
      <c r="J638" s="652"/>
      <c r="K638" s="667"/>
      <c r="L638" s="667"/>
      <c r="M638" s="652"/>
      <c r="N638" s="652"/>
    </row>
    <row r="639" spans="1:23" s="189" customFormat="1" ht="40.200000000000003" customHeight="1" x14ac:dyDescent="0.3">
      <c r="A639" s="678" t="str">
        <f t="shared" ref="A639" ca="1" si="2605">INDIRECT("'update Helper'!C"&amp;U639)</f>
        <v>a163p000002zQZWAA2</v>
      </c>
      <c r="B639" s="674">
        <v>1</v>
      </c>
      <c r="C639" s="666" t="str">
        <f>VLOOKUP(B639,'Coverage Indicators - Section D'!$A$9:$AU$70,47,FALSE)</f>
        <v>HTS-5 Pourcentage de personnes récemment diagnostiquées comme séropositives admises dans des services de prise en charge du VIH</v>
      </c>
      <c r="D639" s="676" t="str">
        <f t="shared" ref="D639" si="2606">R639</f>
        <v/>
      </c>
      <c r="E639" s="676" t="str">
        <f t="shared" ref="E639" si="2607">S639</f>
        <v/>
      </c>
      <c r="F639" s="194"/>
      <c r="G639" s="668" t="str">
        <f t="shared" ref="G639" ca="1" si="2608">IF(OR(INDIRECT("'update Helper'!E"&amp;U639)=0,F639&lt;&gt;0,F640&lt;&gt;0),IF(IFERROR((F639/F640),"")="","",(F639/F640)),INDIRECT("'update Helper'!E"&amp;U639)/100)</f>
        <v/>
      </c>
      <c r="H639" s="670"/>
      <c r="I639" s="672"/>
      <c r="J639" s="651"/>
      <c r="K639" s="666" t="str">
        <f t="shared" ref="K639" si="2609">W639</f>
        <v>HTS-5 Percentage of people newly diagnosed with HIV initiated on ART</v>
      </c>
      <c r="L639" s="666" t="str">
        <f t="shared" ref="L639" si="2610">V639</f>
        <v/>
      </c>
      <c r="M639" s="651"/>
      <c r="N639" s="651"/>
      <c r="P639" s="189">
        <f t="shared" ref="P639" si="2611">IF(AND(EXACT(C639,C637),C637&lt;&gt;0),P637+1,0)</f>
        <v>9</v>
      </c>
      <c r="Q639" s="189" t="str">
        <f t="shared" ref="Q639" si="2612">IF(C639&lt;&gt;"",C639&amp;"-"&amp;P639,"")</f>
        <v>HTS-5 Pourcentage de personnes récemment diagnostiquées comme séropositives admises dans des services de prise en charge du VIH-9</v>
      </c>
      <c r="R639" s="189" t="str">
        <f t="array" ref="R639">IFERROR(IF(INDEX('Disaggregation Records'!$E$155:$E$385,MATCH(RIGHT(Q639,255),RIGHT('Disaggregation Records'!$D$155:$D$385,255),0))=0,"",INDEX('Disaggregation Records'!$E$155:$E$385,MATCH(RIGHT(Q639,255),RIGHT('Disaggregation Records'!$D$155:$D$385,255),0))),"")</f>
        <v/>
      </c>
      <c r="S639" s="189" t="str">
        <f t="array" ref="S639">IFERROR(IF(INDEX('Disaggregation Records'!$F$155:$F$385,MATCH(RIGHT(Q639,255),RIGHT('Disaggregation Records'!$D$155:$D$385,255),0))=0,"",INDEX('Disaggregation Records'!$F$155:$F$385,MATCH(RIGHT(Q639,255),RIGHT('Disaggregation Records'!$D$155:$D$385,255),0))),"")</f>
        <v/>
      </c>
      <c r="T639" s="189" t="str">
        <f t="array" ref="T639">IFERROR(IF(INDEX('Disaggregation Records'!$H$155:$H$385,MATCH(RIGHT(Q639,255),RIGHT('Disaggregation Records'!$D$155:$D$385,255),0))=0,"",INDEX('Disaggregation Records'!$H$155:$H$385,MATCH(RIGHT(Q639,255),RIGHT('Disaggregation Records'!$D$155:$D$385,255),0))),"")</f>
        <v/>
      </c>
      <c r="U639" s="189">
        <f t="shared" ref="U639" si="2613">U637+1</f>
        <v>1421</v>
      </c>
      <c r="V639" s="189" t="str">
        <f t="array" ref="V639">IFERROR(IF(INDEX('Disaggregation Records'!$I$155:$I$385,MATCH(RIGHT(Q639,255),RIGHT('Disaggregation Records'!$D$155:$D$385,255),0))=0,"",INDEX('Disaggregation Records'!$I$155:$I$385,MATCH(RIGHT(Q639,255),RIGHT('Disaggregation Records'!$D$155:$D$385,255),0))),"")</f>
        <v/>
      </c>
      <c r="W639" s="189" t="str">
        <f>IFERROR(INDEX('Reference Records'!L$59:L$121,MATCH(LEFT(C639,255),'Reference Records'!E$59:E$121,0)),"")</f>
        <v>HTS-5 Percentage of people newly diagnosed with HIV initiated on ART</v>
      </c>
    </row>
    <row r="640" spans="1:23" s="189" customFormat="1" ht="40.200000000000003" customHeight="1" x14ac:dyDescent="0.3">
      <c r="A640" s="678"/>
      <c r="B640" s="675"/>
      <c r="C640" s="667"/>
      <c r="D640" s="677"/>
      <c r="E640" s="677"/>
      <c r="F640" s="202"/>
      <c r="G640" s="669"/>
      <c r="H640" s="671"/>
      <c r="I640" s="673"/>
      <c r="J640" s="652"/>
      <c r="K640" s="667"/>
      <c r="L640" s="667"/>
      <c r="M640" s="652"/>
      <c r="N640" s="652"/>
    </row>
    <row r="641" spans="1:23" s="189" customFormat="1" ht="40.200000000000003" customHeight="1" x14ac:dyDescent="0.3">
      <c r="A641" s="678" t="str">
        <f t="shared" ref="A641" ca="1" si="2614">INDIRECT("'update Helper'!C"&amp;U641)</f>
        <v>a163p000002zQZXAA2</v>
      </c>
      <c r="B641" s="674">
        <v>1</v>
      </c>
      <c r="C641" s="666" t="str">
        <f>VLOOKUP(B641,'Coverage Indicators - Section D'!$A$9:$AU$70,47,FALSE)</f>
        <v>HTS-5 Pourcentage de personnes récemment diagnostiquées comme séropositives admises dans des services de prise en charge du VIH</v>
      </c>
      <c r="D641" s="676" t="str">
        <f t="shared" ref="D641" si="2615">R641</f>
        <v/>
      </c>
      <c r="E641" s="676" t="str">
        <f t="shared" ref="E641" si="2616">S641</f>
        <v/>
      </c>
      <c r="F641" s="194"/>
      <c r="G641" s="668" t="str">
        <f t="shared" ref="G641" ca="1" si="2617">IF(OR(INDIRECT("'update Helper'!E"&amp;U641)=0,F641&lt;&gt;0,F642&lt;&gt;0),IF(IFERROR((F641/F642),"")="","",(F641/F642)),INDIRECT("'update Helper'!E"&amp;U641)/100)</f>
        <v/>
      </c>
      <c r="H641" s="670"/>
      <c r="I641" s="672"/>
      <c r="J641" s="651"/>
      <c r="K641" s="666" t="str">
        <f t="shared" ref="K641" si="2618">W641</f>
        <v>HTS-5 Percentage of people newly diagnosed with HIV initiated on ART</v>
      </c>
      <c r="L641" s="666" t="str">
        <f t="shared" ref="L641" si="2619">V641</f>
        <v/>
      </c>
      <c r="M641" s="651"/>
      <c r="N641" s="651"/>
      <c r="P641" s="189">
        <f t="shared" ref="P641" si="2620">IF(AND(EXACT(C641,C639),C639&lt;&gt;0),P639+1,0)</f>
        <v>10</v>
      </c>
      <c r="Q641" s="189" t="str">
        <f t="shared" ref="Q641" si="2621">IF(C641&lt;&gt;"",C641&amp;"-"&amp;P641,"")</f>
        <v>HTS-5 Pourcentage de personnes récemment diagnostiquées comme séropositives admises dans des services de prise en charge du VIH-10</v>
      </c>
      <c r="R641" s="189" t="str">
        <f t="array" ref="R641">IFERROR(IF(INDEX('Disaggregation Records'!$E$155:$E$385,MATCH(RIGHT(Q641,255),RIGHT('Disaggregation Records'!$D$155:$D$385,255),0))=0,"",INDEX('Disaggregation Records'!$E$155:$E$385,MATCH(RIGHT(Q641,255),RIGHT('Disaggregation Records'!$D$155:$D$385,255),0))),"")</f>
        <v/>
      </c>
      <c r="S641" s="189" t="str">
        <f t="array" ref="S641">IFERROR(IF(INDEX('Disaggregation Records'!$F$155:$F$385,MATCH(RIGHT(Q641,255),RIGHT('Disaggregation Records'!$D$155:$D$385,255),0))=0,"",INDEX('Disaggregation Records'!$F$155:$F$385,MATCH(RIGHT(Q641,255),RIGHT('Disaggregation Records'!$D$155:$D$385,255),0))),"")</f>
        <v/>
      </c>
      <c r="T641" s="189" t="str">
        <f t="array" ref="T641">IFERROR(IF(INDEX('Disaggregation Records'!$H$155:$H$385,MATCH(RIGHT(Q641,255),RIGHT('Disaggregation Records'!$D$155:$D$385,255),0))=0,"",INDEX('Disaggregation Records'!$H$155:$H$385,MATCH(RIGHT(Q641,255),RIGHT('Disaggregation Records'!$D$155:$D$385,255),0))),"")</f>
        <v/>
      </c>
      <c r="U641" s="189">
        <f t="shared" ref="U641" si="2622">U639+1</f>
        <v>1422</v>
      </c>
      <c r="V641" s="189" t="str">
        <f t="array" ref="V641">IFERROR(IF(INDEX('Disaggregation Records'!$I$155:$I$385,MATCH(RIGHT(Q641,255),RIGHT('Disaggregation Records'!$D$155:$D$385,255),0))=0,"",INDEX('Disaggregation Records'!$I$155:$I$385,MATCH(RIGHT(Q641,255),RIGHT('Disaggregation Records'!$D$155:$D$385,255),0))),"")</f>
        <v/>
      </c>
      <c r="W641" s="189" t="str">
        <f>IFERROR(INDEX('Reference Records'!L$59:L$121,MATCH(LEFT(C641,255),'Reference Records'!E$59:E$121,0)),"")</f>
        <v>HTS-5 Percentage of people newly diagnosed with HIV initiated on ART</v>
      </c>
    </row>
    <row r="642" spans="1:23" s="189" customFormat="1" ht="40.200000000000003" customHeight="1" x14ac:dyDescent="0.3">
      <c r="A642" s="678"/>
      <c r="B642" s="675"/>
      <c r="C642" s="667"/>
      <c r="D642" s="677"/>
      <c r="E642" s="677"/>
      <c r="F642" s="202"/>
      <c r="G642" s="669"/>
      <c r="H642" s="671"/>
      <c r="I642" s="673"/>
      <c r="J642" s="652"/>
      <c r="K642" s="667"/>
      <c r="L642" s="667"/>
      <c r="M642" s="652"/>
      <c r="N642" s="652"/>
    </row>
    <row r="643" spans="1:23" s="189" customFormat="1" ht="40.200000000000003" customHeight="1" x14ac:dyDescent="0.3">
      <c r="A643" s="678" t="str">
        <f t="shared" ref="A643" ca="1" si="2623">INDIRECT("'update Helper'!C"&amp;U643)</f>
        <v>a163p000002zQZYAA2</v>
      </c>
      <c r="B643" s="674">
        <v>1</v>
      </c>
      <c r="C643" s="666" t="str">
        <f>VLOOKUP(B643,'Coverage Indicators - Section D'!$A$9:$AU$70,47,FALSE)</f>
        <v>HTS-5 Pourcentage de personnes récemment diagnostiquées comme séropositives admises dans des services de prise en charge du VIH</v>
      </c>
      <c r="D643" s="676" t="str">
        <f t="shared" ref="D643" si="2624">R643</f>
        <v/>
      </c>
      <c r="E643" s="676" t="str">
        <f t="shared" ref="E643" si="2625">S643</f>
        <v/>
      </c>
      <c r="F643" s="194"/>
      <c r="G643" s="668" t="str">
        <f t="shared" ref="G643" ca="1" si="2626">IF(OR(INDIRECT("'update Helper'!E"&amp;U643)=0,F643&lt;&gt;0,F644&lt;&gt;0),IF(IFERROR((F643/F644),"")="","",(F643/F644)),INDIRECT("'update Helper'!E"&amp;U643)/100)</f>
        <v/>
      </c>
      <c r="H643" s="670"/>
      <c r="I643" s="672"/>
      <c r="J643" s="651"/>
      <c r="K643" s="666" t="str">
        <f t="shared" ref="K643" si="2627">W643</f>
        <v>HTS-5 Percentage of people newly diagnosed with HIV initiated on ART</v>
      </c>
      <c r="L643" s="666" t="str">
        <f t="shared" ref="L643" si="2628">V643</f>
        <v/>
      </c>
      <c r="M643" s="651"/>
      <c r="N643" s="651"/>
      <c r="P643" s="189">
        <f t="shared" ref="P643" si="2629">IF(AND(EXACT(C643,C641),C641&lt;&gt;0),P641+1,0)</f>
        <v>11</v>
      </c>
      <c r="Q643" s="189" t="str">
        <f t="shared" ref="Q643" si="2630">IF(C643&lt;&gt;"",C643&amp;"-"&amp;P643,"")</f>
        <v>HTS-5 Pourcentage de personnes récemment diagnostiquées comme séropositives admises dans des services de prise en charge du VIH-11</v>
      </c>
      <c r="R643" s="189" t="str">
        <f t="array" ref="R643">IFERROR(IF(INDEX('Disaggregation Records'!$E$155:$E$385,MATCH(RIGHT(Q643,255),RIGHT('Disaggregation Records'!$D$155:$D$385,255),0))=0,"",INDEX('Disaggregation Records'!$E$155:$E$385,MATCH(RIGHT(Q643,255),RIGHT('Disaggregation Records'!$D$155:$D$385,255),0))),"")</f>
        <v/>
      </c>
      <c r="S643" s="189" t="str">
        <f t="array" ref="S643">IFERROR(IF(INDEX('Disaggregation Records'!$F$155:$F$385,MATCH(RIGHT(Q643,255),RIGHT('Disaggregation Records'!$D$155:$D$385,255),0))=0,"",INDEX('Disaggregation Records'!$F$155:$F$385,MATCH(RIGHT(Q643,255),RIGHT('Disaggregation Records'!$D$155:$D$385,255),0))),"")</f>
        <v/>
      </c>
      <c r="T643" s="189" t="str">
        <f t="array" ref="T643">IFERROR(IF(INDEX('Disaggregation Records'!$H$155:$H$385,MATCH(RIGHT(Q643,255),RIGHT('Disaggregation Records'!$D$155:$D$385,255),0))=0,"",INDEX('Disaggregation Records'!$H$155:$H$385,MATCH(RIGHT(Q643,255),RIGHT('Disaggregation Records'!$D$155:$D$385,255),0))),"")</f>
        <v/>
      </c>
      <c r="U643" s="189">
        <f t="shared" ref="U643" si="2631">U641+1</f>
        <v>1423</v>
      </c>
      <c r="V643" s="189" t="str">
        <f t="array" ref="V643">IFERROR(IF(INDEX('Disaggregation Records'!$I$155:$I$385,MATCH(RIGHT(Q643,255),RIGHT('Disaggregation Records'!$D$155:$D$385,255),0))=0,"",INDEX('Disaggregation Records'!$I$155:$I$385,MATCH(RIGHT(Q643,255),RIGHT('Disaggregation Records'!$D$155:$D$385,255),0))),"")</f>
        <v/>
      </c>
      <c r="W643" s="189" t="str">
        <f>IFERROR(INDEX('Reference Records'!L$59:L$121,MATCH(LEFT(C643,255),'Reference Records'!E$59:E$121,0)),"")</f>
        <v>HTS-5 Percentage of people newly diagnosed with HIV initiated on ART</v>
      </c>
    </row>
    <row r="644" spans="1:23" s="189" customFormat="1" ht="40.200000000000003" customHeight="1" x14ac:dyDescent="0.3">
      <c r="A644" s="678"/>
      <c r="B644" s="675"/>
      <c r="C644" s="667"/>
      <c r="D644" s="677"/>
      <c r="E644" s="677"/>
      <c r="F644" s="202"/>
      <c r="G644" s="669"/>
      <c r="H644" s="671"/>
      <c r="I644" s="673"/>
      <c r="J644" s="652"/>
      <c r="K644" s="667"/>
      <c r="L644" s="667"/>
      <c r="M644" s="652"/>
      <c r="N644" s="652"/>
    </row>
    <row r="645" spans="1:23" s="189" customFormat="1" ht="40.200000000000003" customHeight="1" x14ac:dyDescent="0.3">
      <c r="A645" s="678" t="str">
        <f t="shared" ref="A645" ca="1" si="2632">INDIRECT("'update Helper'!C"&amp;U645)</f>
        <v>a163p000002zQZZAA2</v>
      </c>
      <c r="B645" s="674">
        <v>1</v>
      </c>
      <c r="C645" s="666" t="str">
        <f>VLOOKUP(B645,'Coverage Indicators - Section D'!$A$9:$AU$70,47,FALSE)</f>
        <v>HTS-5 Pourcentage de personnes récemment diagnostiquées comme séropositives admises dans des services de prise en charge du VIH</v>
      </c>
      <c r="D645" s="676" t="str">
        <f t="shared" ref="D645" si="2633">R645</f>
        <v/>
      </c>
      <c r="E645" s="676" t="str">
        <f t="shared" ref="E645" si="2634">S645</f>
        <v/>
      </c>
      <c r="F645" s="194"/>
      <c r="G645" s="668" t="str">
        <f t="shared" ref="G645" ca="1" si="2635">IF(OR(INDIRECT("'update Helper'!E"&amp;U645)=0,F645&lt;&gt;0,F646&lt;&gt;0),IF(IFERROR((F645/F646),"")="","",(F645/F646)),INDIRECT("'update Helper'!E"&amp;U645)/100)</f>
        <v/>
      </c>
      <c r="H645" s="670"/>
      <c r="I645" s="672"/>
      <c r="J645" s="651"/>
      <c r="K645" s="666" t="str">
        <f t="shared" ref="K645" si="2636">W645</f>
        <v>HTS-5 Percentage of people newly diagnosed with HIV initiated on ART</v>
      </c>
      <c r="L645" s="666" t="str">
        <f t="shared" ref="L645" si="2637">V645</f>
        <v/>
      </c>
      <c r="M645" s="651"/>
      <c r="N645" s="651"/>
      <c r="P645" s="189">
        <f t="shared" ref="P645" si="2638">IF(AND(EXACT(C645,C643),C643&lt;&gt;0),P643+1,0)</f>
        <v>12</v>
      </c>
      <c r="Q645" s="189" t="str">
        <f t="shared" ref="Q645" si="2639">IF(C645&lt;&gt;"",C645&amp;"-"&amp;P645,"")</f>
        <v>HTS-5 Pourcentage de personnes récemment diagnostiquées comme séropositives admises dans des services de prise en charge du VIH-12</v>
      </c>
      <c r="R645" s="189" t="str">
        <f t="array" ref="R645">IFERROR(IF(INDEX('Disaggregation Records'!$E$155:$E$385,MATCH(RIGHT(Q645,255),RIGHT('Disaggregation Records'!$D$155:$D$385,255),0))=0,"",INDEX('Disaggregation Records'!$E$155:$E$385,MATCH(RIGHT(Q645,255),RIGHT('Disaggregation Records'!$D$155:$D$385,255),0))),"")</f>
        <v/>
      </c>
      <c r="S645" s="189" t="str">
        <f t="array" ref="S645">IFERROR(IF(INDEX('Disaggregation Records'!$F$155:$F$385,MATCH(RIGHT(Q645,255),RIGHT('Disaggregation Records'!$D$155:$D$385,255),0))=0,"",INDEX('Disaggregation Records'!$F$155:$F$385,MATCH(RIGHT(Q645,255),RIGHT('Disaggregation Records'!$D$155:$D$385,255),0))),"")</f>
        <v/>
      </c>
      <c r="T645" s="189" t="str">
        <f t="array" ref="T645">IFERROR(IF(INDEX('Disaggregation Records'!$H$155:$H$385,MATCH(RIGHT(Q645,255),RIGHT('Disaggregation Records'!$D$155:$D$385,255),0))=0,"",INDEX('Disaggregation Records'!$H$155:$H$385,MATCH(RIGHT(Q645,255),RIGHT('Disaggregation Records'!$D$155:$D$385,255),0))),"")</f>
        <v/>
      </c>
      <c r="U645" s="189">
        <f t="shared" ref="U645" si="2640">U643+1</f>
        <v>1424</v>
      </c>
      <c r="V645" s="189" t="str">
        <f t="array" ref="V645">IFERROR(IF(INDEX('Disaggregation Records'!$I$155:$I$385,MATCH(RIGHT(Q645,255),RIGHT('Disaggregation Records'!$D$155:$D$385,255),0))=0,"",INDEX('Disaggregation Records'!$I$155:$I$385,MATCH(RIGHT(Q645,255),RIGHT('Disaggregation Records'!$D$155:$D$385,255),0))),"")</f>
        <v/>
      </c>
      <c r="W645" s="189" t="str">
        <f>IFERROR(INDEX('Reference Records'!L$59:L$121,MATCH(LEFT(C645,255),'Reference Records'!E$59:E$121,0)),"")</f>
        <v>HTS-5 Percentage of people newly diagnosed with HIV initiated on ART</v>
      </c>
    </row>
    <row r="646" spans="1:23" s="189" customFormat="1" ht="40.200000000000003" customHeight="1" x14ac:dyDescent="0.3">
      <c r="A646" s="678"/>
      <c r="B646" s="675"/>
      <c r="C646" s="667"/>
      <c r="D646" s="677"/>
      <c r="E646" s="677"/>
      <c r="F646" s="202"/>
      <c r="G646" s="669"/>
      <c r="H646" s="671"/>
      <c r="I646" s="673"/>
      <c r="J646" s="652"/>
      <c r="K646" s="667"/>
      <c r="L646" s="667"/>
      <c r="M646" s="652"/>
      <c r="N646" s="652"/>
    </row>
    <row r="647" spans="1:23" s="189" customFormat="1" ht="40.200000000000003" customHeight="1" x14ac:dyDescent="0.3">
      <c r="A647" s="678" t="str">
        <f t="shared" ref="A647" ca="1" si="2641">INDIRECT("'update Helper'!C"&amp;U647)</f>
        <v>a163p000002zQZaAAM</v>
      </c>
      <c r="B647" s="674">
        <v>1</v>
      </c>
      <c r="C647" s="666" t="str">
        <f>VLOOKUP(B647,'Coverage Indicators - Section D'!$A$9:$AU$70,47,FALSE)</f>
        <v>HTS-5 Pourcentage de personnes récemment diagnostiquées comme séropositives admises dans des services de prise en charge du VIH</v>
      </c>
      <c r="D647" s="676" t="str">
        <f t="shared" ref="D647" si="2642">R647</f>
        <v/>
      </c>
      <c r="E647" s="676" t="str">
        <f t="shared" ref="E647" si="2643">S647</f>
        <v/>
      </c>
      <c r="F647" s="194"/>
      <c r="G647" s="668" t="str">
        <f t="shared" ref="G647" ca="1" si="2644">IF(OR(INDIRECT("'update Helper'!E"&amp;U647)=0,F647&lt;&gt;0,F648&lt;&gt;0),IF(IFERROR((F647/F648),"")="","",(F647/F648)),INDIRECT("'update Helper'!E"&amp;U647)/100)</f>
        <v/>
      </c>
      <c r="H647" s="670"/>
      <c r="I647" s="672"/>
      <c r="J647" s="651"/>
      <c r="K647" s="666" t="str">
        <f t="shared" ref="K647" si="2645">W647</f>
        <v>HTS-5 Percentage of people newly diagnosed with HIV initiated on ART</v>
      </c>
      <c r="L647" s="666" t="str">
        <f t="shared" ref="L647" si="2646">V647</f>
        <v/>
      </c>
      <c r="M647" s="651"/>
      <c r="N647" s="651"/>
      <c r="P647" s="189">
        <f t="shared" ref="P647" si="2647">IF(AND(EXACT(C647,C645),C645&lt;&gt;0),P645+1,0)</f>
        <v>13</v>
      </c>
      <c r="Q647" s="189" t="str">
        <f t="shared" ref="Q647" si="2648">IF(C647&lt;&gt;"",C647&amp;"-"&amp;P647,"")</f>
        <v>HTS-5 Pourcentage de personnes récemment diagnostiquées comme séropositives admises dans des services de prise en charge du VIH-13</v>
      </c>
      <c r="R647" s="189" t="str">
        <f t="array" ref="R647">IFERROR(IF(INDEX('Disaggregation Records'!$E$155:$E$385,MATCH(RIGHT(Q647,255),RIGHT('Disaggregation Records'!$D$155:$D$385,255),0))=0,"",INDEX('Disaggregation Records'!$E$155:$E$385,MATCH(RIGHT(Q647,255),RIGHT('Disaggregation Records'!$D$155:$D$385,255),0))),"")</f>
        <v/>
      </c>
      <c r="S647" s="189" t="str">
        <f t="array" ref="S647">IFERROR(IF(INDEX('Disaggregation Records'!$F$155:$F$385,MATCH(RIGHT(Q647,255),RIGHT('Disaggregation Records'!$D$155:$D$385,255),0))=0,"",INDEX('Disaggregation Records'!$F$155:$F$385,MATCH(RIGHT(Q647,255),RIGHT('Disaggregation Records'!$D$155:$D$385,255),0))),"")</f>
        <v/>
      </c>
      <c r="T647" s="189" t="str">
        <f t="array" ref="T647">IFERROR(IF(INDEX('Disaggregation Records'!$H$155:$H$385,MATCH(RIGHT(Q647,255),RIGHT('Disaggregation Records'!$D$155:$D$385,255),0))=0,"",INDEX('Disaggregation Records'!$H$155:$H$385,MATCH(RIGHT(Q647,255),RIGHT('Disaggregation Records'!$D$155:$D$385,255),0))),"")</f>
        <v/>
      </c>
      <c r="U647" s="189">
        <f t="shared" ref="U647" si="2649">U645+1</f>
        <v>1425</v>
      </c>
      <c r="V647" s="189" t="str">
        <f t="array" ref="V647">IFERROR(IF(INDEX('Disaggregation Records'!$I$155:$I$385,MATCH(RIGHT(Q647,255),RIGHT('Disaggregation Records'!$D$155:$D$385,255),0))=0,"",INDEX('Disaggregation Records'!$I$155:$I$385,MATCH(RIGHT(Q647,255),RIGHT('Disaggregation Records'!$D$155:$D$385,255),0))),"")</f>
        <v/>
      </c>
      <c r="W647" s="189" t="str">
        <f>IFERROR(INDEX('Reference Records'!L$59:L$121,MATCH(LEFT(C647,255),'Reference Records'!E$59:E$121,0)),"")</f>
        <v>HTS-5 Percentage of people newly diagnosed with HIV initiated on ART</v>
      </c>
    </row>
    <row r="648" spans="1:23" s="189" customFormat="1" ht="40.200000000000003" customHeight="1" x14ac:dyDescent="0.3">
      <c r="A648" s="678"/>
      <c r="B648" s="675"/>
      <c r="C648" s="667"/>
      <c r="D648" s="677"/>
      <c r="E648" s="677"/>
      <c r="F648" s="202"/>
      <c r="G648" s="669"/>
      <c r="H648" s="671"/>
      <c r="I648" s="673"/>
      <c r="J648" s="652"/>
      <c r="K648" s="667"/>
      <c r="L648" s="667"/>
      <c r="M648" s="652"/>
      <c r="N648" s="652"/>
    </row>
    <row r="649" spans="1:23" s="189" customFormat="1" ht="40.200000000000003" customHeight="1" x14ac:dyDescent="0.3">
      <c r="A649" s="678" t="str">
        <f t="shared" ref="A649" ca="1" si="2650">INDIRECT("'update Helper'!C"&amp;U649)</f>
        <v>a163p000002zQZbAAM</v>
      </c>
      <c r="B649" s="674">
        <v>1</v>
      </c>
      <c r="C649" s="666" t="str">
        <f>VLOOKUP(B649,'Coverage Indicators - Section D'!$A$9:$AU$70,47,FALSE)</f>
        <v>HTS-5 Pourcentage de personnes récemment diagnostiquées comme séropositives admises dans des services de prise en charge du VIH</v>
      </c>
      <c r="D649" s="676" t="str">
        <f t="shared" ref="D649" si="2651">R649</f>
        <v/>
      </c>
      <c r="E649" s="676" t="str">
        <f t="shared" ref="E649" si="2652">S649</f>
        <v/>
      </c>
      <c r="F649" s="194"/>
      <c r="G649" s="668" t="str">
        <f t="shared" ref="G649" ca="1" si="2653">IF(OR(INDIRECT("'update Helper'!E"&amp;U649)=0,F649&lt;&gt;0,F650&lt;&gt;0),IF(IFERROR((F649/F650),"")="","",(F649/F650)),INDIRECT("'update Helper'!E"&amp;U649)/100)</f>
        <v/>
      </c>
      <c r="H649" s="670"/>
      <c r="I649" s="672"/>
      <c r="J649" s="651"/>
      <c r="K649" s="666" t="str">
        <f t="shared" ref="K649" si="2654">W649</f>
        <v>HTS-5 Percentage of people newly diagnosed with HIV initiated on ART</v>
      </c>
      <c r="L649" s="666" t="str">
        <f t="shared" ref="L649" si="2655">V649</f>
        <v/>
      </c>
      <c r="M649" s="651"/>
      <c r="N649" s="651"/>
      <c r="P649" s="189">
        <f t="shared" ref="P649" si="2656">IF(AND(EXACT(C649,C647),C647&lt;&gt;0),P647+1,0)</f>
        <v>14</v>
      </c>
      <c r="Q649" s="189" t="str">
        <f t="shared" ref="Q649" si="2657">IF(C649&lt;&gt;"",C649&amp;"-"&amp;P649,"")</f>
        <v>HTS-5 Pourcentage de personnes récemment diagnostiquées comme séropositives admises dans des services de prise en charge du VIH-14</v>
      </c>
      <c r="R649" s="189" t="str">
        <f t="array" ref="R649">IFERROR(IF(INDEX('Disaggregation Records'!$E$155:$E$385,MATCH(RIGHT(Q649,255),RIGHT('Disaggregation Records'!$D$155:$D$385,255),0))=0,"",INDEX('Disaggregation Records'!$E$155:$E$385,MATCH(RIGHT(Q649,255),RIGHT('Disaggregation Records'!$D$155:$D$385,255),0))),"")</f>
        <v/>
      </c>
      <c r="S649" s="189" t="str">
        <f t="array" ref="S649">IFERROR(IF(INDEX('Disaggregation Records'!$F$155:$F$385,MATCH(RIGHT(Q649,255),RIGHT('Disaggregation Records'!$D$155:$D$385,255),0))=0,"",INDEX('Disaggregation Records'!$F$155:$F$385,MATCH(RIGHT(Q649,255),RIGHT('Disaggregation Records'!$D$155:$D$385,255),0))),"")</f>
        <v/>
      </c>
      <c r="T649" s="189" t="str">
        <f t="array" ref="T649">IFERROR(IF(INDEX('Disaggregation Records'!$H$155:$H$385,MATCH(RIGHT(Q649,255),RIGHT('Disaggregation Records'!$D$155:$D$385,255),0))=0,"",INDEX('Disaggregation Records'!$H$155:$H$385,MATCH(RIGHT(Q649,255),RIGHT('Disaggregation Records'!$D$155:$D$385,255),0))),"")</f>
        <v/>
      </c>
      <c r="U649" s="189">
        <f t="shared" ref="U649" si="2658">U647+1</f>
        <v>1426</v>
      </c>
      <c r="V649" s="189" t="str">
        <f t="array" ref="V649">IFERROR(IF(INDEX('Disaggregation Records'!$I$155:$I$385,MATCH(RIGHT(Q649,255),RIGHT('Disaggregation Records'!$D$155:$D$385,255),0))=0,"",INDEX('Disaggregation Records'!$I$155:$I$385,MATCH(RIGHT(Q649,255),RIGHT('Disaggregation Records'!$D$155:$D$385,255),0))),"")</f>
        <v/>
      </c>
      <c r="W649" s="189" t="str">
        <f>IFERROR(INDEX('Reference Records'!L$59:L$121,MATCH(LEFT(C649,255),'Reference Records'!E$59:E$121,0)),"")</f>
        <v>HTS-5 Percentage of people newly diagnosed with HIV initiated on ART</v>
      </c>
    </row>
    <row r="650" spans="1:23" s="189" customFormat="1" ht="40.200000000000003" customHeight="1" x14ac:dyDescent="0.3">
      <c r="A650" s="678"/>
      <c r="B650" s="675"/>
      <c r="C650" s="667"/>
      <c r="D650" s="677"/>
      <c r="E650" s="677"/>
      <c r="F650" s="202"/>
      <c r="G650" s="669"/>
      <c r="H650" s="671"/>
      <c r="I650" s="673"/>
      <c r="J650" s="652"/>
      <c r="K650" s="667"/>
      <c r="L650" s="667"/>
      <c r="M650" s="652"/>
      <c r="N650" s="652"/>
    </row>
    <row r="651" spans="1:23" s="189" customFormat="1" ht="40.200000000000003" customHeight="1" x14ac:dyDescent="0.3">
      <c r="A651" s="678" t="str">
        <f t="shared" ref="A651" ca="1" si="2659">INDIRECT("'update Helper'!C"&amp;U651)</f>
        <v>a163p000002zQZcAAM</v>
      </c>
      <c r="B651" s="674">
        <v>1</v>
      </c>
      <c r="C651" s="666" t="str">
        <f>VLOOKUP(B651,'Coverage Indicators - Section D'!$A$9:$AU$70,47,FALSE)</f>
        <v>HTS-5 Pourcentage de personnes récemment diagnostiquées comme séropositives admises dans des services de prise en charge du VIH</v>
      </c>
      <c r="D651" s="676" t="str">
        <f t="shared" ref="D651" si="2660">R651</f>
        <v/>
      </c>
      <c r="E651" s="676" t="str">
        <f t="shared" ref="E651" si="2661">S651</f>
        <v/>
      </c>
      <c r="F651" s="194"/>
      <c r="G651" s="668" t="str">
        <f t="shared" ref="G651" ca="1" si="2662">IF(OR(INDIRECT("'update Helper'!E"&amp;U651)=0,F651&lt;&gt;0,F652&lt;&gt;0),IF(IFERROR((F651/F652),"")="","",(F651/F652)),INDIRECT("'update Helper'!E"&amp;U651)/100)</f>
        <v/>
      </c>
      <c r="H651" s="670"/>
      <c r="I651" s="672"/>
      <c r="J651" s="651"/>
      <c r="K651" s="666" t="str">
        <f t="shared" ref="K651" si="2663">W651</f>
        <v>HTS-5 Percentage of people newly diagnosed with HIV initiated on ART</v>
      </c>
      <c r="L651" s="666" t="str">
        <f t="shared" ref="L651" si="2664">V651</f>
        <v/>
      </c>
      <c r="M651" s="651"/>
      <c r="N651" s="651"/>
      <c r="P651" s="189">
        <f t="shared" ref="P651" si="2665">IF(AND(EXACT(C651,C649),C649&lt;&gt;0),P649+1,0)</f>
        <v>15</v>
      </c>
      <c r="Q651" s="189" t="str">
        <f t="shared" ref="Q651" si="2666">IF(C651&lt;&gt;"",C651&amp;"-"&amp;P651,"")</f>
        <v>HTS-5 Pourcentage de personnes récemment diagnostiquées comme séropositives admises dans des services de prise en charge du VIH-15</v>
      </c>
      <c r="R651" s="189" t="str">
        <f t="array" ref="R651">IFERROR(IF(INDEX('Disaggregation Records'!$E$155:$E$385,MATCH(RIGHT(Q651,255),RIGHT('Disaggregation Records'!$D$155:$D$385,255),0))=0,"",INDEX('Disaggregation Records'!$E$155:$E$385,MATCH(RIGHT(Q651,255),RIGHT('Disaggregation Records'!$D$155:$D$385,255),0))),"")</f>
        <v/>
      </c>
      <c r="S651" s="189" t="str">
        <f t="array" ref="S651">IFERROR(IF(INDEX('Disaggregation Records'!$F$155:$F$385,MATCH(RIGHT(Q651,255),RIGHT('Disaggregation Records'!$D$155:$D$385,255),0))=0,"",INDEX('Disaggregation Records'!$F$155:$F$385,MATCH(RIGHT(Q651,255),RIGHT('Disaggregation Records'!$D$155:$D$385,255),0))),"")</f>
        <v/>
      </c>
      <c r="T651" s="189" t="str">
        <f t="array" ref="T651">IFERROR(IF(INDEX('Disaggregation Records'!$H$155:$H$385,MATCH(RIGHT(Q651,255),RIGHT('Disaggregation Records'!$D$155:$D$385,255),0))=0,"",INDEX('Disaggregation Records'!$H$155:$H$385,MATCH(RIGHT(Q651,255),RIGHT('Disaggregation Records'!$D$155:$D$385,255),0))),"")</f>
        <v/>
      </c>
      <c r="U651" s="189">
        <f t="shared" ref="U651" si="2667">U649+1</f>
        <v>1427</v>
      </c>
      <c r="V651" s="189" t="str">
        <f t="array" ref="V651">IFERROR(IF(INDEX('Disaggregation Records'!$I$155:$I$385,MATCH(RIGHT(Q651,255),RIGHT('Disaggregation Records'!$D$155:$D$385,255),0))=0,"",INDEX('Disaggregation Records'!$I$155:$I$385,MATCH(RIGHT(Q651,255),RIGHT('Disaggregation Records'!$D$155:$D$385,255),0))),"")</f>
        <v/>
      </c>
      <c r="W651" s="189" t="str">
        <f>IFERROR(INDEX('Reference Records'!L$59:L$121,MATCH(LEFT(C651,255),'Reference Records'!E$59:E$121,0)),"")</f>
        <v>HTS-5 Percentage of people newly diagnosed with HIV initiated on ART</v>
      </c>
    </row>
    <row r="652" spans="1:23" s="189" customFormat="1" ht="40.200000000000003" customHeight="1" x14ac:dyDescent="0.3">
      <c r="A652" s="678"/>
      <c r="B652" s="675"/>
      <c r="C652" s="667"/>
      <c r="D652" s="677"/>
      <c r="E652" s="677"/>
      <c r="F652" s="202"/>
      <c r="G652" s="669"/>
      <c r="H652" s="671"/>
      <c r="I652" s="673"/>
      <c r="J652" s="652"/>
      <c r="K652" s="667"/>
      <c r="L652" s="667"/>
      <c r="M652" s="652"/>
      <c r="N652" s="652"/>
    </row>
    <row r="653" spans="1:23" s="189" customFormat="1" ht="40.200000000000003" customHeight="1" x14ac:dyDescent="0.3">
      <c r="A653" s="678" t="str">
        <f t="shared" ref="A653" ca="1" si="2668">INDIRECT("'update Helper'!C"&amp;U653)</f>
        <v>a163p000002zQZdAAM</v>
      </c>
      <c r="B653" s="674">
        <v>1</v>
      </c>
      <c r="C653" s="666" t="str">
        <f>VLOOKUP(B653,'Coverage Indicators - Section D'!$A$9:$AU$70,47,FALSE)</f>
        <v>HTS-5 Pourcentage de personnes récemment diagnostiquées comme séropositives admises dans des services de prise en charge du VIH</v>
      </c>
      <c r="D653" s="676" t="str">
        <f t="shared" ref="D653" si="2669">R653</f>
        <v/>
      </c>
      <c r="E653" s="676" t="str">
        <f t="shared" ref="E653" si="2670">S653</f>
        <v/>
      </c>
      <c r="F653" s="194"/>
      <c r="G653" s="668" t="str">
        <f t="shared" ref="G653" ca="1" si="2671">IF(OR(INDIRECT("'update Helper'!E"&amp;U653)=0,F653&lt;&gt;0,F654&lt;&gt;0),IF(IFERROR((F653/F654),"")="","",(F653/F654)),INDIRECT("'update Helper'!E"&amp;U653)/100)</f>
        <v/>
      </c>
      <c r="H653" s="670"/>
      <c r="I653" s="672"/>
      <c r="J653" s="651"/>
      <c r="K653" s="666" t="str">
        <f t="shared" ref="K653" si="2672">W653</f>
        <v>HTS-5 Percentage of people newly diagnosed with HIV initiated on ART</v>
      </c>
      <c r="L653" s="666" t="str">
        <f t="shared" ref="L653" si="2673">V653</f>
        <v/>
      </c>
      <c r="M653" s="651"/>
      <c r="N653" s="651"/>
      <c r="P653" s="189">
        <f t="shared" ref="P653" si="2674">IF(AND(EXACT(C653,C651),C651&lt;&gt;0),P651+1,0)</f>
        <v>16</v>
      </c>
      <c r="Q653" s="189" t="str">
        <f t="shared" ref="Q653" si="2675">IF(C653&lt;&gt;"",C653&amp;"-"&amp;P653,"")</f>
        <v>HTS-5 Pourcentage de personnes récemment diagnostiquées comme séropositives admises dans des services de prise en charge du VIH-16</v>
      </c>
      <c r="R653" s="189" t="str">
        <f t="array" ref="R653">IFERROR(IF(INDEX('Disaggregation Records'!$E$155:$E$385,MATCH(RIGHT(Q653,255),RIGHT('Disaggregation Records'!$D$155:$D$385,255),0))=0,"",INDEX('Disaggregation Records'!$E$155:$E$385,MATCH(RIGHT(Q653,255),RIGHT('Disaggregation Records'!$D$155:$D$385,255),0))),"")</f>
        <v/>
      </c>
      <c r="S653" s="189" t="str">
        <f t="array" ref="S653">IFERROR(IF(INDEX('Disaggregation Records'!$F$155:$F$385,MATCH(RIGHT(Q653,255),RIGHT('Disaggregation Records'!$D$155:$D$385,255),0))=0,"",INDEX('Disaggregation Records'!$F$155:$F$385,MATCH(RIGHT(Q653,255),RIGHT('Disaggregation Records'!$D$155:$D$385,255),0))),"")</f>
        <v/>
      </c>
      <c r="T653" s="189" t="str">
        <f t="array" ref="T653">IFERROR(IF(INDEX('Disaggregation Records'!$H$155:$H$385,MATCH(RIGHT(Q653,255),RIGHT('Disaggregation Records'!$D$155:$D$385,255),0))=0,"",INDEX('Disaggregation Records'!$H$155:$H$385,MATCH(RIGHT(Q653,255),RIGHT('Disaggregation Records'!$D$155:$D$385,255),0))),"")</f>
        <v/>
      </c>
      <c r="U653" s="189">
        <f t="shared" ref="U653" si="2676">U651+1</f>
        <v>1428</v>
      </c>
      <c r="V653" s="189" t="str">
        <f t="array" ref="V653">IFERROR(IF(INDEX('Disaggregation Records'!$I$155:$I$385,MATCH(RIGHT(Q653,255),RIGHT('Disaggregation Records'!$D$155:$D$385,255),0))=0,"",INDEX('Disaggregation Records'!$I$155:$I$385,MATCH(RIGHT(Q653,255),RIGHT('Disaggregation Records'!$D$155:$D$385,255),0))),"")</f>
        <v/>
      </c>
      <c r="W653" s="189" t="str">
        <f>IFERROR(INDEX('Reference Records'!L$59:L$121,MATCH(LEFT(C653,255),'Reference Records'!E$59:E$121,0)),"")</f>
        <v>HTS-5 Percentage of people newly diagnosed with HIV initiated on ART</v>
      </c>
    </row>
    <row r="654" spans="1:23" s="189" customFormat="1" ht="40.200000000000003" customHeight="1" x14ac:dyDescent="0.3">
      <c r="A654" s="678"/>
      <c r="B654" s="675"/>
      <c r="C654" s="667"/>
      <c r="D654" s="677"/>
      <c r="E654" s="677"/>
      <c r="F654" s="202"/>
      <c r="G654" s="669"/>
      <c r="H654" s="671"/>
      <c r="I654" s="673"/>
      <c r="J654" s="652"/>
      <c r="K654" s="667"/>
      <c r="L654" s="667"/>
      <c r="M654" s="652"/>
      <c r="N654" s="652"/>
    </row>
    <row r="655" spans="1:23" s="189" customFormat="1" ht="40.200000000000003" customHeight="1" x14ac:dyDescent="0.3">
      <c r="A655" s="678" t="str">
        <f t="shared" ref="A655" ca="1" si="2677">INDIRECT("'update Helper'!C"&amp;U655)</f>
        <v>a163p000002zQZeAAM</v>
      </c>
      <c r="B655" s="674">
        <v>1</v>
      </c>
      <c r="C655" s="666" t="str">
        <f>VLOOKUP(B655,'Coverage Indicators - Section D'!$A$9:$AU$70,47,FALSE)</f>
        <v>HTS-5 Pourcentage de personnes récemment diagnostiquées comme séropositives admises dans des services de prise en charge du VIH</v>
      </c>
      <c r="D655" s="676" t="str">
        <f t="shared" ref="D655" si="2678">R655</f>
        <v/>
      </c>
      <c r="E655" s="676" t="str">
        <f t="shared" ref="E655" si="2679">S655</f>
        <v/>
      </c>
      <c r="F655" s="194"/>
      <c r="G655" s="668" t="str">
        <f t="shared" ref="G655" ca="1" si="2680">IF(OR(INDIRECT("'update Helper'!E"&amp;U655)=0,F655&lt;&gt;0,F656&lt;&gt;0),IF(IFERROR((F655/F656),"")="","",(F655/F656)),INDIRECT("'update Helper'!E"&amp;U655)/100)</f>
        <v/>
      </c>
      <c r="H655" s="670"/>
      <c r="I655" s="672"/>
      <c r="J655" s="651"/>
      <c r="K655" s="666" t="str">
        <f t="shared" ref="K655" si="2681">W655</f>
        <v>HTS-5 Percentage of people newly diagnosed with HIV initiated on ART</v>
      </c>
      <c r="L655" s="666" t="str">
        <f t="shared" ref="L655" si="2682">V655</f>
        <v/>
      </c>
      <c r="M655" s="651"/>
      <c r="N655" s="651"/>
      <c r="P655" s="189">
        <f t="shared" ref="P655" si="2683">IF(AND(EXACT(C655,C653),C653&lt;&gt;0),P653+1,0)</f>
        <v>17</v>
      </c>
      <c r="Q655" s="189" t="str">
        <f t="shared" ref="Q655" si="2684">IF(C655&lt;&gt;"",C655&amp;"-"&amp;P655,"")</f>
        <v>HTS-5 Pourcentage de personnes récemment diagnostiquées comme séropositives admises dans des services de prise en charge du VIH-17</v>
      </c>
      <c r="R655" s="189" t="str">
        <f t="array" ref="R655">IFERROR(IF(INDEX('Disaggregation Records'!$E$155:$E$385,MATCH(RIGHT(Q655,255),RIGHT('Disaggregation Records'!$D$155:$D$385,255),0))=0,"",INDEX('Disaggregation Records'!$E$155:$E$385,MATCH(RIGHT(Q655,255),RIGHT('Disaggregation Records'!$D$155:$D$385,255),0))),"")</f>
        <v/>
      </c>
      <c r="S655" s="189" t="str">
        <f t="array" ref="S655">IFERROR(IF(INDEX('Disaggregation Records'!$F$155:$F$385,MATCH(RIGHT(Q655,255),RIGHT('Disaggregation Records'!$D$155:$D$385,255),0))=0,"",INDEX('Disaggregation Records'!$F$155:$F$385,MATCH(RIGHT(Q655,255),RIGHT('Disaggregation Records'!$D$155:$D$385,255),0))),"")</f>
        <v/>
      </c>
      <c r="T655" s="189" t="str">
        <f t="array" ref="T655">IFERROR(IF(INDEX('Disaggregation Records'!$H$155:$H$385,MATCH(RIGHT(Q655,255),RIGHT('Disaggregation Records'!$D$155:$D$385,255),0))=0,"",INDEX('Disaggregation Records'!$H$155:$H$385,MATCH(RIGHT(Q655,255),RIGHT('Disaggregation Records'!$D$155:$D$385,255),0))),"")</f>
        <v/>
      </c>
      <c r="U655" s="189">
        <f t="shared" ref="U655" si="2685">U653+1</f>
        <v>1429</v>
      </c>
      <c r="V655" s="189" t="str">
        <f t="array" ref="V655">IFERROR(IF(INDEX('Disaggregation Records'!$I$155:$I$385,MATCH(RIGHT(Q655,255),RIGHT('Disaggregation Records'!$D$155:$D$385,255),0))=0,"",INDEX('Disaggregation Records'!$I$155:$I$385,MATCH(RIGHT(Q655,255),RIGHT('Disaggregation Records'!$D$155:$D$385,255),0))),"")</f>
        <v/>
      </c>
      <c r="W655" s="189" t="str">
        <f>IFERROR(INDEX('Reference Records'!L$59:L$121,MATCH(LEFT(C655,255),'Reference Records'!E$59:E$121,0)),"")</f>
        <v>HTS-5 Percentage of people newly diagnosed with HIV initiated on ART</v>
      </c>
    </row>
    <row r="656" spans="1:23" s="189" customFormat="1" ht="40.200000000000003" customHeight="1" x14ac:dyDescent="0.3">
      <c r="A656" s="678"/>
      <c r="B656" s="675"/>
      <c r="C656" s="667"/>
      <c r="D656" s="677"/>
      <c r="E656" s="677"/>
      <c r="F656" s="202"/>
      <c r="G656" s="669"/>
      <c r="H656" s="671"/>
      <c r="I656" s="673"/>
      <c r="J656" s="652"/>
      <c r="K656" s="667"/>
      <c r="L656" s="667"/>
      <c r="M656" s="652"/>
      <c r="N656" s="652"/>
    </row>
    <row r="657" spans="1:23" s="189" customFormat="1" ht="40.200000000000003" customHeight="1" x14ac:dyDescent="0.3">
      <c r="A657" s="678" t="str">
        <f t="shared" ref="A657" ca="1" si="2686">INDIRECT("'update Helper'!C"&amp;U657)</f>
        <v>a163p000002zQZfAAM</v>
      </c>
      <c r="B657" s="674">
        <v>1</v>
      </c>
      <c r="C657" s="666" t="str">
        <f>VLOOKUP(B657,'Coverage Indicators - Section D'!$A$9:$AU$70,47,FALSE)</f>
        <v>HTS-5 Pourcentage de personnes récemment diagnostiquées comme séropositives admises dans des services de prise en charge du VIH</v>
      </c>
      <c r="D657" s="676" t="str">
        <f t="shared" ref="D657" si="2687">R657</f>
        <v/>
      </c>
      <c r="E657" s="676" t="str">
        <f t="shared" ref="E657" si="2688">S657</f>
        <v/>
      </c>
      <c r="F657" s="194"/>
      <c r="G657" s="668" t="str">
        <f t="shared" ref="G657" ca="1" si="2689">IF(OR(INDIRECT("'update Helper'!E"&amp;U657)=0,F657&lt;&gt;0,F658&lt;&gt;0),IF(IFERROR((F657/F658),"")="","",(F657/F658)),INDIRECT("'update Helper'!E"&amp;U657)/100)</f>
        <v/>
      </c>
      <c r="H657" s="670"/>
      <c r="I657" s="672"/>
      <c r="J657" s="651"/>
      <c r="K657" s="666" t="str">
        <f t="shared" ref="K657" si="2690">W657</f>
        <v>HTS-5 Percentage of people newly diagnosed with HIV initiated on ART</v>
      </c>
      <c r="L657" s="666" t="str">
        <f t="shared" ref="L657" si="2691">V657</f>
        <v/>
      </c>
      <c r="M657" s="651"/>
      <c r="N657" s="651"/>
      <c r="P657" s="189">
        <f t="shared" ref="P657" si="2692">IF(AND(EXACT(C657,C655),C655&lt;&gt;0),P655+1,0)</f>
        <v>18</v>
      </c>
      <c r="Q657" s="189" t="str">
        <f t="shared" ref="Q657" si="2693">IF(C657&lt;&gt;"",C657&amp;"-"&amp;P657,"")</f>
        <v>HTS-5 Pourcentage de personnes récemment diagnostiquées comme séropositives admises dans des services de prise en charge du VIH-18</v>
      </c>
      <c r="R657" s="189" t="str">
        <f t="array" ref="R657">IFERROR(IF(INDEX('Disaggregation Records'!$E$155:$E$385,MATCH(RIGHT(Q657,255),RIGHT('Disaggregation Records'!$D$155:$D$385,255),0))=0,"",INDEX('Disaggregation Records'!$E$155:$E$385,MATCH(RIGHT(Q657,255),RIGHT('Disaggregation Records'!$D$155:$D$385,255),0))),"")</f>
        <v/>
      </c>
      <c r="S657" s="189" t="str">
        <f t="array" ref="S657">IFERROR(IF(INDEX('Disaggregation Records'!$F$155:$F$385,MATCH(RIGHT(Q657,255),RIGHT('Disaggregation Records'!$D$155:$D$385,255),0))=0,"",INDEX('Disaggregation Records'!$F$155:$F$385,MATCH(RIGHT(Q657,255),RIGHT('Disaggregation Records'!$D$155:$D$385,255),0))),"")</f>
        <v/>
      </c>
      <c r="T657" s="189" t="str">
        <f t="array" ref="T657">IFERROR(IF(INDEX('Disaggregation Records'!$H$155:$H$385,MATCH(RIGHT(Q657,255),RIGHT('Disaggregation Records'!$D$155:$D$385,255),0))=0,"",INDEX('Disaggregation Records'!$H$155:$H$385,MATCH(RIGHT(Q657,255),RIGHT('Disaggregation Records'!$D$155:$D$385,255),0))),"")</f>
        <v/>
      </c>
      <c r="U657" s="189">
        <f t="shared" ref="U657" si="2694">U655+1</f>
        <v>1430</v>
      </c>
      <c r="V657" s="189" t="str">
        <f t="array" ref="V657">IFERROR(IF(INDEX('Disaggregation Records'!$I$155:$I$385,MATCH(RIGHT(Q657,255),RIGHT('Disaggregation Records'!$D$155:$D$385,255),0))=0,"",INDEX('Disaggregation Records'!$I$155:$I$385,MATCH(RIGHT(Q657,255),RIGHT('Disaggregation Records'!$D$155:$D$385,255),0))),"")</f>
        <v/>
      </c>
      <c r="W657" s="189" t="str">
        <f>IFERROR(INDEX('Reference Records'!L$59:L$121,MATCH(LEFT(C657,255),'Reference Records'!E$59:E$121,0)),"")</f>
        <v>HTS-5 Percentage of people newly diagnosed with HIV initiated on ART</v>
      </c>
    </row>
    <row r="658" spans="1:23" s="189" customFormat="1" ht="40.200000000000003" customHeight="1" x14ac:dyDescent="0.3">
      <c r="A658" s="678"/>
      <c r="B658" s="675"/>
      <c r="C658" s="667"/>
      <c r="D658" s="677"/>
      <c r="E658" s="677"/>
      <c r="F658" s="202"/>
      <c r="G658" s="669"/>
      <c r="H658" s="671"/>
      <c r="I658" s="673"/>
      <c r="J658" s="652"/>
      <c r="K658" s="667"/>
      <c r="L658" s="667"/>
      <c r="M658" s="652"/>
      <c r="N658" s="652"/>
    </row>
    <row r="659" spans="1:23" s="189" customFormat="1" ht="40.200000000000003" customHeight="1" x14ac:dyDescent="0.3">
      <c r="A659" s="678" t="str">
        <f t="shared" ref="A659" ca="1" si="2695">INDIRECT("'update Helper'!C"&amp;U659)</f>
        <v>a163p000002zQZgAAM</v>
      </c>
      <c r="B659" s="674">
        <v>1</v>
      </c>
      <c r="C659" s="666" t="str">
        <f>VLOOKUP(B659,'Coverage Indicators - Section D'!$A$9:$AU$70,47,FALSE)</f>
        <v>HTS-5 Pourcentage de personnes récemment diagnostiquées comme séropositives admises dans des services de prise en charge du VIH</v>
      </c>
      <c r="D659" s="676" t="str">
        <f t="shared" ref="D659" si="2696">R659</f>
        <v/>
      </c>
      <c r="E659" s="676" t="str">
        <f t="shared" ref="E659" si="2697">S659</f>
        <v/>
      </c>
      <c r="F659" s="194"/>
      <c r="G659" s="668" t="str">
        <f t="shared" ref="G659" ca="1" si="2698">IF(OR(INDIRECT("'update Helper'!E"&amp;U659)=0,F659&lt;&gt;0,F660&lt;&gt;0),IF(IFERROR((F659/F660),"")="","",(F659/F660)),INDIRECT("'update Helper'!E"&amp;U659)/100)</f>
        <v/>
      </c>
      <c r="H659" s="670"/>
      <c r="I659" s="672"/>
      <c r="J659" s="651"/>
      <c r="K659" s="666" t="str">
        <f t="shared" ref="K659" si="2699">W659</f>
        <v>HTS-5 Percentage of people newly diagnosed with HIV initiated on ART</v>
      </c>
      <c r="L659" s="666" t="str">
        <f t="shared" ref="L659" si="2700">V659</f>
        <v/>
      </c>
      <c r="M659" s="651"/>
      <c r="N659" s="651"/>
      <c r="P659" s="189">
        <f t="shared" ref="P659" si="2701">IF(AND(EXACT(C659,C657),C657&lt;&gt;0),P657+1,0)</f>
        <v>19</v>
      </c>
      <c r="Q659" s="189" t="str">
        <f t="shared" ref="Q659" si="2702">IF(C659&lt;&gt;"",C659&amp;"-"&amp;P659,"")</f>
        <v>HTS-5 Pourcentage de personnes récemment diagnostiquées comme séropositives admises dans des services de prise en charge du VIH-19</v>
      </c>
      <c r="R659" s="189" t="str">
        <f t="array" ref="R659">IFERROR(IF(INDEX('Disaggregation Records'!$E$155:$E$385,MATCH(RIGHT(Q659,255),RIGHT('Disaggregation Records'!$D$155:$D$385,255),0))=0,"",INDEX('Disaggregation Records'!$E$155:$E$385,MATCH(RIGHT(Q659,255),RIGHT('Disaggregation Records'!$D$155:$D$385,255),0))),"")</f>
        <v/>
      </c>
      <c r="S659" s="189" t="str">
        <f t="array" ref="S659">IFERROR(IF(INDEX('Disaggregation Records'!$F$155:$F$385,MATCH(RIGHT(Q659,255),RIGHT('Disaggregation Records'!$D$155:$D$385,255),0))=0,"",INDEX('Disaggregation Records'!$F$155:$F$385,MATCH(RIGHT(Q659,255),RIGHT('Disaggregation Records'!$D$155:$D$385,255),0))),"")</f>
        <v/>
      </c>
      <c r="T659" s="189" t="str">
        <f t="array" ref="T659">IFERROR(IF(INDEX('Disaggregation Records'!$H$155:$H$385,MATCH(RIGHT(Q659,255),RIGHT('Disaggregation Records'!$D$155:$D$385,255),0))=0,"",INDEX('Disaggregation Records'!$H$155:$H$385,MATCH(RIGHT(Q659,255),RIGHT('Disaggregation Records'!$D$155:$D$385,255),0))),"")</f>
        <v/>
      </c>
      <c r="U659" s="189">
        <f t="shared" ref="U659" si="2703">U657+1</f>
        <v>1431</v>
      </c>
      <c r="V659" s="189" t="str">
        <f t="array" ref="V659">IFERROR(IF(INDEX('Disaggregation Records'!$I$155:$I$385,MATCH(RIGHT(Q659,255),RIGHT('Disaggregation Records'!$D$155:$D$385,255),0))=0,"",INDEX('Disaggregation Records'!$I$155:$I$385,MATCH(RIGHT(Q659,255),RIGHT('Disaggregation Records'!$D$155:$D$385,255),0))),"")</f>
        <v/>
      </c>
      <c r="W659" s="189" t="str">
        <f>IFERROR(INDEX('Reference Records'!L$59:L$121,MATCH(LEFT(C659,255),'Reference Records'!E$59:E$121,0)),"")</f>
        <v>HTS-5 Percentage of people newly diagnosed with HIV initiated on ART</v>
      </c>
    </row>
    <row r="660" spans="1:23" s="189" customFormat="1" ht="40.200000000000003" customHeight="1" x14ac:dyDescent="0.3">
      <c r="A660" s="678"/>
      <c r="B660" s="675"/>
      <c r="C660" s="667"/>
      <c r="D660" s="677"/>
      <c r="E660" s="677"/>
      <c r="F660" s="202"/>
      <c r="G660" s="669"/>
      <c r="H660" s="671"/>
      <c r="I660" s="673"/>
      <c r="J660" s="652"/>
      <c r="K660" s="667"/>
      <c r="L660" s="667"/>
      <c r="M660" s="652"/>
      <c r="N660" s="652"/>
    </row>
    <row r="661" spans="1:23" s="189" customFormat="1" ht="40.200000000000003" customHeight="1" x14ac:dyDescent="0.3">
      <c r="A661" s="678" t="str">
        <f t="shared" ref="A661" ca="1" si="2704">INDIRECT("'update Helper'!C"&amp;U661)</f>
        <v>a163p000002zQZhAAM</v>
      </c>
      <c r="B661" s="674">
        <v>2</v>
      </c>
      <c r="C661" s="666" t="str">
        <f>VLOOKUP(B661,'Coverage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61" s="676" t="str">
        <f t="shared" ref="D661" si="2705">R661</f>
        <v>Résultat du test VIH</v>
      </c>
      <c r="E661" s="676" t="str">
        <f t="shared" ref="E661" si="2706">S661</f>
        <v>Positif</v>
      </c>
      <c r="F661" s="194"/>
      <c r="G661" s="668" t="str">
        <f t="shared" ref="G661" ca="1" si="2707">IF(OR(INDIRECT("'update Helper'!E"&amp;U661)=0,F661&lt;&gt;0,F662&lt;&gt;0),IF(IFERROR((F661/F662),"")="","",(F661/F662)),INDIRECT("'update Helper'!E"&amp;U661)/100)</f>
        <v/>
      </c>
      <c r="H661" s="670"/>
      <c r="I661" s="672"/>
      <c r="J661" s="651"/>
      <c r="K661" s="666" t="str">
        <f t="shared" ref="K661" si="2708">W661</f>
        <v>HTS-3f⁽ᴹ⁾ Number of people in prisons or other closed settings that have received an HIV test during the reporting period and know their results</v>
      </c>
      <c r="L661" s="666" t="str">
        <f t="shared" ref="L661" si="2709">V661</f>
        <v>HIV test status</v>
      </c>
      <c r="M661" s="651"/>
      <c r="N661" s="651"/>
      <c r="P661" s="189">
        <f t="shared" ref="P661" si="2710">IF(AND(EXACT(C661,C659),C659&lt;&gt;0),P659+1,0)</f>
        <v>0</v>
      </c>
      <c r="Q661" s="189" t="str">
        <f t="shared" ref="Q661" si="2711">IF(C661&lt;&gt;"",C661&amp;"-"&amp;P661,"")</f>
        <v>HTS-3f⁽ᴹ⁾ Pourcentage de personnes en détention ou se trouvant dans d’autres lieux fermés chez lesquels un dépistage du VIH a été réalisé durant la période de communication de l’information et qui connaissent leur résultat-0</v>
      </c>
      <c r="R661" s="189" t="str">
        <f t="array" ref="R661">IFERROR(IF(INDEX('Disaggregation Records'!$E$155:$E$385,MATCH(RIGHT(Q661,255),RIGHT('Disaggregation Records'!$D$155:$D$385,255),0))=0,"",INDEX('Disaggregation Records'!$E$155:$E$385,MATCH(RIGHT(Q661,255),RIGHT('Disaggregation Records'!$D$155:$D$385,255),0))),"")</f>
        <v>Résultat du test VIH</v>
      </c>
      <c r="S661" s="189" t="str">
        <f t="array" ref="S661">IFERROR(IF(INDEX('Disaggregation Records'!$F$155:$F$385,MATCH(RIGHT(Q661,255),RIGHT('Disaggregation Records'!$D$155:$D$385,255),0))=0,"",INDEX('Disaggregation Records'!$F$155:$F$385,MATCH(RIGHT(Q661,255),RIGHT('Disaggregation Records'!$D$155:$D$385,255),0))),"")</f>
        <v>Positif</v>
      </c>
      <c r="T661" s="189" t="str">
        <f t="array" ref="T661">IFERROR(IF(INDEX('Disaggregation Records'!$H$155:$H$385,MATCH(RIGHT(Q661,255),RIGHT('Disaggregation Records'!$D$155:$D$385,255),0))=0,"",INDEX('Disaggregation Records'!$H$155:$H$385,MATCH(RIGHT(Q661,255),RIGHT('Disaggregation Records'!$D$155:$D$385,255),0))),"")</f>
        <v>IDR-00929</v>
      </c>
      <c r="U661" s="189">
        <f t="shared" ref="U661" si="2712">U659+1</f>
        <v>1432</v>
      </c>
      <c r="V661" s="189" t="str">
        <f t="array" ref="V661">IFERROR(IF(INDEX('Disaggregation Records'!$I$155:$I$385,MATCH(RIGHT(Q661,255),RIGHT('Disaggregation Records'!$D$155:$D$385,255),0))=0,"",INDEX('Disaggregation Records'!$I$155:$I$385,MATCH(RIGHT(Q661,255),RIGHT('Disaggregation Records'!$D$155:$D$385,255),0))),"")</f>
        <v>HIV test status</v>
      </c>
      <c r="W661" s="189" t="str">
        <f>IFERROR(INDEX('Reference Records'!L$59:L$121,MATCH(LEFT(C661,255),'Reference Records'!E$59:E$121,0)),"")</f>
        <v>HTS-3f⁽ᴹ⁾ Number of people in prisons or other closed settings that have received an HIV test during the reporting period and know their results</v>
      </c>
    </row>
    <row r="662" spans="1:23" s="189" customFormat="1" ht="40.200000000000003" customHeight="1" x14ac:dyDescent="0.3">
      <c r="A662" s="678"/>
      <c r="B662" s="675"/>
      <c r="C662" s="667"/>
      <c r="D662" s="677"/>
      <c r="E662" s="677"/>
      <c r="F662" s="202"/>
      <c r="G662" s="669"/>
      <c r="H662" s="671"/>
      <c r="I662" s="673"/>
      <c r="J662" s="652"/>
      <c r="K662" s="667"/>
      <c r="L662" s="667"/>
      <c r="M662" s="652"/>
      <c r="N662" s="652"/>
    </row>
    <row r="663" spans="1:23" s="189" customFormat="1" ht="40.200000000000003" customHeight="1" x14ac:dyDescent="0.3">
      <c r="A663" s="678" t="str">
        <f t="shared" ref="A663" ca="1" si="2713">INDIRECT("'update Helper'!C"&amp;U663)</f>
        <v>a163p000002zQZiAAM</v>
      </c>
      <c r="B663" s="674">
        <v>2</v>
      </c>
      <c r="C663" s="666" t="str">
        <f>VLOOKUP(B663,'Coverage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63" s="676" t="str">
        <f t="shared" ref="D663" si="2714">R663</f>
        <v>Résultat du test VIH</v>
      </c>
      <c r="E663" s="676" t="str">
        <f t="shared" ref="E663" si="2715">S663</f>
        <v>Négatif</v>
      </c>
      <c r="F663" s="194"/>
      <c r="G663" s="668" t="str">
        <f t="shared" ref="G663" ca="1" si="2716">IF(OR(INDIRECT("'update Helper'!E"&amp;U663)=0,F663&lt;&gt;0,F664&lt;&gt;0),IF(IFERROR((F663/F664),"")="","",(F663/F664)),INDIRECT("'update Helper'!E"&amp;U663)/100)</f>
        <v/>
      </c>
      <c r="H663" s="670"/>
      <c r="I663" s="672"/>
      <c r="J663" s="651"/>
      <c r="K663" s="666" t="str">
        <f t="shared" ref="K663" si="2717">W663</f>
        <v>HTS-3f⁽ᴹ⁾ Number of people in prisons or other closed settings that have received an HIV test during the reporting period and know their results</v>
      </c>
      <c r="L663" s="666" t="str">
        <f t="shared" ref="L663" si="2718">V663</f>
        <v>HIV test status</v>
      </c>
      <c r="M663" s="651"/>
      <c r="N663" s="651"/>
      <c r="P663" s="189">
        <f t="shared" ref="P663" si="2719">IF(AND(EXACT(C663,C661),C661&lt;&gt;0),P661+1,0)</f>
        <v>1</v>
      </c>
      <c r="Q663" s="189" t="str">
        <f t="shared" ref="Q663" si="2720">IF(C663&lt;&gt;"",C663&amp;"-"&amp;P663,"")</f>
        <v>HTS-3f⁽ᴹ⁾ Pourcentage de personnes en détention ou se trouvant dans d’autres lieux fermés chez lesquels un dépistage du VIH a été réalisé durant la période de communication de l’information et qui connaissent leur résultat-1</v>
      </c>
      <c r="R663" s="189" t="str">
        <f t="array" ref="R663">IFERROR(IF(INDEX('Disaggregation Records'!$E$155:$E$385,MATCH(RIGHT(Q663,255),RIGHT('Disaggregation Records'!$D$155:$D$385,255),0))=0,"",INDEX('Disaggregation Records'!$E$155:$E$385,MATCH(RIGHT(Q663,255),RIGHT('Disaggregation Records'!$D$155:$D$385,255),0))),"")</f>
        <v>Résultat du test VIH</v>
      </c>
      <c r="S663" s="189" t="str">
        <f t="array" ref="S663">IFERROR(IF(INDEX('Disaggregation Records'!$F$155:$F$385,MATCH(RIGHT(Q663,255),RIGHT('Disaggregation Records'!$D$155:$D$385,255),0))=0,"",INDEX('Disaggregation Records'!$F$155:$F$385,MATCH(RIGHT(Q663,255),RIGHT('Disaggregation Records'!$D$155:$D$385,255),0))),"")</f>
        <v>Négatif</v>
      </c>
      <c r="T663" s="189" t="str">
        <f t="array" ref="T663">IFERROR(IF(INDEX('Disaggregation Records'!$H$155:$H$385,MATCH(RIGHT(Q663,255),RIGHT('Disaggregation Records'!$D$155:$D$385,255),0))=0,"",INDEX('Disaggregation Records'!$H$155:$H$385,MATCH(RIGHT(Q663,255),RIGHT('Disaggregation Records'!$D$155:$D$385,255),0))),"")</f>
        <v>IDR-00930</v>
      </c>
      <c r="U663" s="189">
        <f t="shared" ref="U663" si="2721">U661+1</f>
        <v>1433</v>
      </c>
      <c r="V663" s="189" t="str">
        <f t="array" ref="V663">IFERROR(IF(INDEX('Disaggregation Records'!$I$155:$I$385,MATCH(RIGHT(Q663,255),RIGHT('Disaggregation Records'!$D$155:$D$385,255),0))=0,"",INDEX('Disaggregation Records'!$I$155:$I$385,MATCH(RIGHT(Q663,255),RIGHT('Disaggregation Records'!$D$155:$D$385,255),0))),"")</f>
        <v>HIV test status</v>
      </c>
      <c r="W663" s="189" t="str">
        <f>IFERROR(INDEX('Reference Records'!L$59:L$121,MATCH(LEFT(C663,255),'Reference Records'!E$59:E$121,0)),"")</f>
        <v>HTS-3f⁽ᴹ⁾ Number of people in prisons or other closed settings that have received an HIV test during the reporting period and know their results</v>
      </c>
    </row>
    <row r="664" spans="1:23" s="189" customFormat="1" ht="40.200000000000003" customHeight="1" x14ac:dyDescent="0.3">
      <c r="A664" s="678"/>
      <c r="B664" s="675"/>
      <c r="C664" s="667"/>
      <c r="D664" s="677"/>
      <c r="E664" s="677"/>
      <c r="F664" s="202"/>
      <c r="G664" s="669"/>
      <c r="H664" s="671"/>
      <c r="I664" s="673"/>
      <c r="J664" s="652"/>
      <c r="K664" s="667"/>
      <c r="L664" s="667"/>
      <c r="M664" s="652"/>
      <c r="N664" s="652"/>
    </row>
    <row r="665" spans="1:23" s="189" customFormat="1" ht="40.200000000000003" customHeight="1" x14ac:dyDescent="0.3">
      <c r="A665" s="678" t="str">
        <f t="shared" ref="A665" ca="1" si="2722">INDIRECT("'update Helper'!C"&amp;U665)</f>
        <v>a163p000002zQZjAAM</v>
      </c>
      <c r="B665" s="674">
        <v>2</v>
      </c>
      <c r="C665" s="666" t="str">
        <f>VLOOKUP(B665,'Coverage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65" s="676" t="str">
        <f t="shared" ref="D665" si="2723">R665</f>
        <v/>
      </c>
      <c r="E665" s="676" t="str">
        <f t="shared" ref="E665" si="2724">S665</f>
        <v/>
      </c>
      <c r="F665" s="194"/>
      <c r="G665" s="668" t="str">
        <f t="shared" ref="G665" ca="1" si="2725">IF(OR(INDIRECT("'update Helper'!E"&amp;U665)=0,F665&lt;&gt;0,F666&lt;&gt;0),IF(IFERROR((F665/F666),"")="","",(F665/F666)),INDIRECT("'update Helper'!E"&amp;U665)/100)</f>
        <v/>
      </c>
      <c r="H665" s="670"/>
      <c r="I665" s="672"/>
      <c r="J665" s="651"/>
      <c r="K665" s="666" t="str">
        <f t="shared" ref="K665" si="2726">W665</f>
        <v>HTS-3f⁽ᴹ⁾ Number of people in prisons or other closed settings that have received an HIV test during the reporting period and know their results</v>
      </c>
      <c r="L665" s="666" t="str">
        <f t="shared" ref="L665" si="2727">V665</f>
        <v/>
      </c>
      <c r="M665" s="651"/>
      <c r="N665" s="651"/>
      <c r="P665" s="189">
        <f t="shared" ref="P665" si="2728">IF(AND(EXACT(C665,C663),C663&lt;&gt;0),P663+1,0)</f>
        <v>2</v>
      </c>
      <c r="Q665" s="189" t="str">
        <f t="shared" ref="Q665" si="2729">IF(C665&lt;&gt;"",C665&amp;"-"&amp;P665,"")</f>
        <v>HTS-3f⁽ᴹ⁾ Pourcentage de personnes en détention ou se trouvant dans d’autres lieux fermés chez lesquels un dépistage du VIH a été réalisé durant la période de communication de l’information et qui connaissent leur résultat-2</v>
      </c>
      <c r="R665" s="189" t="str">
        <f t="array" ref="R665">IFERROR(IF(INDEX('Disaggregation Records'!$E$155:$E$385,MATCH(RIGHT(Q665,255),RIGHT('Disaggregation Records'!$D$155:$D$385,255),0))=0,"",INDEX('Disaggregation Records'!$E$155:$E$385,MATCH(RIGHT(Q665,255),RIGHT('Disaggregation Records'!$D$155:$D$385,255),0))),"")</f>
        <v/>
      </c>
      <c r="S665" s="189" t="str">
        <f t="array" ref="S665">IFERROR(IF(INDEX('Disaggregation Records'!$F$155:$F$385,MATCH(RIGHT(Q665,255),RIGHT('Disaggregation Records'!$D$155:$D$385,255),0))=0,"",INDEX('Disaggregation Records'!$F$155:$F$385,MATCH(RIGHT(Q665,255),RIGHT('Disaggregation Records'!$D$155:$D$385,255),0))),"")</f>
        <v/>
      </c>
      <c r="T665" s="189" t="str">
        <f t="array" ref="T665">IFERROR(IF(INDEX('Disaggregation Records'!$H$155:$H$385,MATCH(RIGHT(Q665,255),RIGHT('Disaggregation Records'!$D$155:$D$385,255),0))=0,"",INDEX('Disaggregation Records'!$H$155:$H$385,MATCH(RIGHT(Q665,255),RIGHT('Disaggregation Records'!$D$155:$D$385,255),0))),"")</f>
        <v/>
      </c>
      <c r="U665" s="189">
        <f t="shared" ref="U665" si="2730">U663+1</f>
        <v>1434</v>
      </c>
      <c r="V665" s="189" t="str">
        <f t="array" ref="V665">IFERROR(IF(INDEX('Disaggregation Records'!$I$155:$I$385,MATCH(RIGHT(Q665,255),RIGHT('Disaggregation Records'!$D$155:$D$385,255),0))=0,"",INDEX('Disaggregation Records'!$I$155:$I$385,MATCH(RIGHT(Q665,255),RIGHT('Disaggregation Records'!$D$155:$D$385,255),0))),"")</f>
        <v/>
      </c>
      <c r="W665" s="189" t="str">
        <f>IFERROR(INDEX('Reference Records'!L$59:L$121,MATCH(LEFT(C665,255),'Reference Records'!E$59:E$121,0)),"")</f>
        <v>HTS-3f⁽ᴹ⁾ Number of people in prisons or other closed settings that have received an HIV test during the reporting period and know their results</v>
      </c>
    </row>
    <row r="666" spans="1:23" s="189" customFormat="1" ht="40.200000000000003" customHeight="1" x14ac:dyDescent="0.3">
      <c r="A666" s="678"/>
      <c r="B666" s="675"/>
      <c r="C666" s="667"/>
      <c r="D666" s="677"/>
      <c r="E666" s="677"/>
      <c r="F666" s="202"/>
      <c r="G666" s="669"/>
      <c r="H666" s="671"/>
      <c r="I666" s="673"/>
      <c r="J666" s="652"/>
      <c r="K666" s="667"/>
      <c r="L666" s="667"/>
      <c r="M666" s="652"/>
      <c r="N666" s="652"/>
    </row>
    <row r="667" spans="1:23" s="189" customFormat="1" ht="40.200000000000003" customHeight="1" x14ac:dyDescent="0.3">
      <c r="A667" s="678" t="str">
        <f t="shared" ref="A667" ca="1" si="2731">INDIRECT("'update Helper'!C"&amp;U667)</f>
        <v>a163p000002zQZkAAM</v>
      </c>
      <c r="B667" s="674">
        <v>2</v>
      </c>
      <c r="C667" s="666" t="str">
        <f>VLOOKUP(B667,'Coverage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67" s="676" t="str">
        <f t="shared" ref="D667" si="2732">R667</f>
        <v/>
      </c>
      <c r="E667" s="676" t="str">
        <f t="shared" ref="E667" si="2733">S667</f>
        <v/>
      </c>
      <c r="F667" s="194"/>
      <c r="G667" s="668" t="str">
        <f t="shared" ref="G667" ca="1" si="2734">IF(OR(INDIRECT("'update Helper'!E"&amp;U667)=0,F667&lt;&gt;0,F668&lt;&gt;0),IF(IFERROR((F667/F668),"")="","",(F667/F668)),INDIRECT("'update Helper'!E"&amp;U667)/100)</f>
        <v/>
      </c>
      <c r="H667" s="670"/>
      <c r="I667" s="672"/>
      <c r="J667" s="651"/>
      <c r="K667" s="666" t="str">
        <f t="shared" ref="K667" si="2735">W667</f>
        <v>HTS-3f⁽ᴹ⁾ Number of people in prisons or other closed settings that have received an HIV test during the reporting period and know their results</v>
      </c>
      <c r="L667" s="666" t="str">
        <f t="shared" ref="L667" si="2736">V667</f>
        <v/>
      </c>
      <c r="M667" s="651"/>
      <c r="N667" s="651"/>
      <c r="P667" s="189">
        <f t="shared" ref="P667" si="2737">IF(AND(EXACT(C667,C665),C665&lt;&gt;0),P665+1,0)</f>
        <v>3</v>
      </c>
      <c r="Q667" s="189" t="str">
        <f t="shared" ref="Q667" si="2738">IF(C667&lt;&gt;"",C667&amp;"-"&amp;P667,"")</f>
        <v>HTS-3f⁽ᴹ⁾ Pourcentage de personnes en détention ou se trouvant dans d’autres lieux fermés chez lesquels un dépistage du VIH a été réalisé durant la période de communication de l’information et qui connaissent leur résultat-3</v>
      </c>
      <c r="R667" s="189" t="str">
        <f t="array" ref="R667">IFERROR(IF(INDEX('Disaggregation Records'!$E$155:$E$385,MATCH(RIGHT(Q667,255),RIGHT('Disaggregation Records'!$D$155:$D$385,255),0))=0,"",INDEX('Disaggregation Records'!$E$155:$E$385,MATCH(RIGHT(Q667,255),RIGHT('Disaggregation Records'!$D$155:$D$385,255),0))),"")</f>
        <v/>
      </c>
      <c r="S667" s="189" t="str">
        <f t="array" ref="S667">IFERROR(IF(INDEX('Disaggregation Records'!$F$155:$F$385,MATCH(RIGHT(Q667,255),RIGHT('Disaggregation Records'!$D$155:$D$385,255),0))=0,"",INDEX('Disaggregation Records'!$F$155:$F$385,MATCH(RIGHT(Q667,255),RIGHT('Disaggregation Records'!$D$155:$D$385,255),0))),"")</f>
        <v/>
      </c>
      <c r="T667" s="189" t="str">
        <f t="array" ref="T667">IFERROR(IF(INDEX('Disaggregation Records'!$H$155:$H$385,MATCH(RIGHT(Q667,255),RIGHT('Disaggregation Records'!$D$155:$D$385,255),0))=0,"",INDEX('Disaggregation Records'!$H$155:$H$385,MATCH(RIGHT(Q667,255),RIGHT('Disaggregation Records'!$D$155:$D$385,255),0))),"")</f>
        <v/>
      </c>
      <c r="U667" s="189">
        <f t="shared" ref="U667" si="2739">U665+1</f>
        <v>1435</v>
      </c>
      <c r="V667" s="189" t="str">
        <f t="array" ref="V667">IFERROR(IF(INDEX('Disaggregation Records'!$I$155:$I$385,MATCH(RIGHT(Q667,255),RIGHT('Disaggregation Records'!$D$155:$D$385,255),0))=0,"",INDEX('Disaggregation Records'!$I$155:$I$385,MATCH(RIGHT(Q667,255),RIGHT('Disaggregation Records'!$D$155:$D$385,255),0))),"")</f>
        <v/>
      </c>
      <c r="W667" s="189" t="str">
        <f>IFERROR(INDEX('Reference Records'!L$59:L$121,MATCH(LEFT(C667,255),'Reference Records'!E$59:E$121,0)),"")</f>
        <v>HTS-3f⁽ᴹ⁾ Number of people in prisons or other closed settings that have received an HIV test during the reporting period and know their results</v>
      </c>
    </row>
    <row r="668" spans="1:23" s="189" customFormat="1" ht="40.200000000000003" customHeight="1" x14ac:dyDescent="0.3">
      <c r="A668" s="678"/>
      <c r="B668" s="675"/>
      <c r="C668" s="667"/>
      <c r="D668" s="677"/>
      <c r="E668" s="677"/>
      <c r="F668" s="202"/>
      <c r="G668" s="669"/>
      <c r="H668" s="671"/>
      <c r="I668" s="673"/>
      <c r="J668" s="652"/>
      <c r="K668" s="667"/>
      <c r="L668" s="667"/>
      <c r="M668" s="652"/>
      <c r="N668" s="652"/>
    </row>
    <row r="669" spans="1:23" s="189" customFormat="1" ht="40.200000000000003" customHeight="1" x14ac:dyDescent="0.3">
      <c r="A669" s="678" t="str">
        <f t="shared" ref="A669" ca="1" si="2740">INDIRECT("'update Helper'!C"&amp;U669)</f>
        <v>a163p000002zQZlAAM</v>
      </c>
      <c r="B669" s="674">
        <v>2</v>
      </c>
      <c r="C669" s="666" t="str">
        <f>VLOOKUP(B669,'Coverage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69" s="676" t="str">
        <f t="shared" ref="D669" si="2741">R669</f>
        <v/>
      </c>
      <c r="E669" s="676" t="str">
        <f t="shared" ref="E669" si="2742">S669</f>
        <v/>
      </c>
      <c r="F669" s="194"/>
      <c r="G669" s="668" t="str">
        <f t="shared" ref="G669" ca="1" si="2743">IF(OR(INDIRECT("'update Helper'!E"&amp;U669)=0,F669&lt;&gt;0,F670&lt;&gt;0),IF(IFERROR((F669/F670),"")="","",(F669/F670)),INDIRECT("'update Helper'!E"&amp;U669)/100)</f>
        <v/>
      </c>
      <c r="H669" s="670"/>
      <c r="I669" s="672"/>
      <c r="J669" s="651"/>
      <c r="K669" s="666" t="str">
        <f t="shared" ref="K669" si="2744">W669</f>
        <v>HTS-3f⁽ᴹ⁾ Number of people in prisons or other closed settings that have received an HIV test during the reporting period and know their results</v>
      </c>
      <c r="L669" s="666" t="str">
        <f t="shared" ref="L669" si="2745">V669</f>
        <v/>
      </c>
      <c r="M669" s="651"/>
      <c r="N669" s="651"/>
      <c r="P669" s="189">
        <f t="shared" ref="P669" si="2746">IF(AND(EXACT(C669,C667),C667&lt;&gt;0),P667+1,0)</f>
        <v>4</v>
      </c>
      <c r="Q669" s="189" t="str">
        <f t="shared" ref="Q669" si="2747">IF(C669&lt;&gt;"",C669&amp;"-"&amp;P669,"")</f>
        <v>HTS-3f⁽ᴹ⁾ Pourcentage de personnes en détention ou se trouvant dans d’autres lieux fermés chez lesquels un dépistage du VIH a été réalisé durant la période de communication de l’information et qui connaissent leur résultat-4</v>
      </c>
      <c r="R669" s="189" t="str">
        <f t="array" ref="R669">IFERROR(IF(INDEX('Disaggregation Records'!$E$155:$E$385,MATCH(RIGHT(Q669,255),RIGHT('Disaggregation Records'!$D$155:$D$385,255),0))=0,"",INDEX('Disaggregation Records'!$E$155:$E$385,MATCH(RIGHT(Q669,255),RIGHT('Disaggregation Records'!$D$155:$D$385,255),0))),"")</f>
        <v/>
      </c>
      <c r="S669" s="189" t="str">
        <f t="array" ref="S669">IFERROR(IF(INDEX('Disaggregation Records'!$F$155:$F$385,MATCH(RIGHT(Q669,255),RIGHT('Disaggregation Records'!$D$155:$D$385,255),0))=0,"",INDEX('Disaggregation Records'!$F$155:$F$385,MATCH(RIGHT(Q669,255),RIGHT('Disaggregation Records'!$D$155:$D$385,255),0))),"")</f>
        <v/>
      </c>
      <c r="T669" s="189" t="str">
        <f t="array" ref="T669">IFERROR(IF(INDEX('Disaggregation Records'!$H$155:$H$385,MATCH(RIGHT(Q669,255),RIGHT('Disaggregation Records'!$D$155:$D$385,255),0))=0,"",INDEX('Disaggregation Records'!$H$155:$H$385,MATCH(RIGHT(Q669,255),RIGHT('Disaggregation Records'!$D$155:$D$385,255),0))),"")</f>
        <v/>
      </c>
      <c r="U669" s="189">
        <f t="shared" ref="U669" si="2748">U667+1</f>
        <v>1436</v>
      </c>
      <c r="V669" s="189" t="str">
        <f t="array" ref="V669">IFERROR(IF(INDEX('Disaggregation Records'!$I$155:$I$385,MATCH(RIGHT(Q669,255),RIGHT('Disaggregation Records'!$D$155:$D$385,255),0))=0,"",INDEX('Disaggregation Records'!$I$155:$I$385,MATCH(RIGHT(Q669,255),RIGHT('Disaggregation Records'!$D$155:$D$385,255),0))),"")</f>
        <v/>
      </c>
      <c r="W669" s="189" t="str">
        <f>IFERROR(INDEX('Reference Records'!L$59:L$121,MATCH(LEFT(C669,255),'Reference Records'!E$59:E$121,0)),"")</f>
        <v>HTS-3f⁽ᴹ⁾ Number of people in prisons or other closed settings that have received an HIV test during the reporting period and know their results</v>
      </c>
    </row>
    <row r="670" spans="1:23" s="189" customFormat="1" ht="40.200000000000003" customHeight="1" x14ac:dyDescent="0.3">
      <c r="A670" s="678"/>
      <c r="B670" s="675"/>
      <c r="C670" s="667"/>
      <c r="D670" s="677"/>
      <c r="E670" s="677"/>
      <c r="F670" s="202"/>
      <c r="G670" s="669"/>
      <c r="H670" s="671"/>
      <c r="I670" s="673"/>
      <c r="J670" s="652"/>
      <c r="K670" s="667"/>
      <c r="L670" s="667"/>
      <c r="M670" s="652"/>
      <c r="N670" s="652"/>
    </row>
    <row r="671" spans="1:23" s="189" customFormat="1" ht="40.200000000000003" customHeight="1" x14ac:dyDescent="0.3">
      <c r="A671" s="678" t="str">
        <f t="shared" ref="A671" ca="1" si="2749">INDIRECT("'update Helper'!C"&amp;U671)</f>
        <v>a163p000002zQZmAAM</v>
      </c>
      <c r="B671" s="674">
        <v>2</v>
      </c>
      <c r="C671" s="666" t="str">
        <f>VLOOKUP(B671,'Coverage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71" s="676" t="str">
        <f t="shared" ref="D671" si="2750">R671</f>
        <v/>
      </c>
      <c r="E671" s="676" t="str">
        <f t="shared" ref="E671" si="2751">S671</f>
        <v/>
      </c>
      <c r="F671" s="194"/>
      <c r="G671" s="668" t="str">
        <f t="shared" ref="G671" ca="1" si="2752">IF(OR(INDIRECT("'update Helper'!E"&amp;U671)=0,F671&lt;&gt;0,F672&lt;&gt;0),IF(IFERROR((F671/F672),"")="","",(F671/F672)),INDIRECT("'update Helper'!E"&amp;U671)/100)</f>
        <v/>
      </c>
      <c r="H671" s="670"/>
      <c r="I671" s="672"/>
      <c r="J671" s="651"/>
      <c r="K671" s="666" t="str">
        <f t="shared" ref="K671" si="2753">W671</f>
        <v>HTS-3f⁽ᴹ⁾ Number of people in prisons or other closed settings that have received an HIV test during the reporting period and know their results</v>
      </c>
      <c r="L671" s="666" t="str">
        <f t="shared" ref="L671" si="2754">V671</f>
        <v/>
      </c>
      <c r="M671" s="651"/>
      <c r="N671" s="651"/>
      <c r="P671" s="189">
        <f t="shared" ref="P671" si="2755">IF(AND(EXACT(C671,C669),C669&lt;&gt;0),P669+1,0)</f>
        <v>5</v>
      </c>
      <c r="Q671" s="189" t="str">
        <f t="shared" ref="Q671" si="2756">IF(C671&lt;&gt;"",C671&amp;"-"&amp;P671,"")</f>
        <v>HTS-3f⁽ᴹ⁾ Pourcentage de personnes en détention ou se trouvant dans d’autres lieux fermés chez lesquels un dépistage du VIH a été réalisé durant la période de communication de l’information et qui connaissent leur résultat-5</v>
      </c>
      <c r="R671" s="189" t="str">
        <f t="array" ref="R671">IFERROR(IF(INDEX('Disaggregation Records'!$E$155:$E$385,MATCH(RIGHT(Q671,255),RIGHT('Disaggregation Records'!$D$155:$D$385,255),0))=0,"",INDEX('Disaggregation Records'!$E$155:$E$385,MATCH(RIGHT(Q671,255),RIGHT('Disaggregation Records'!$D$155:$D$385,255),0))),"")</f>
        <v/>
      </c>
      <c r="S671" s="189" t="str">
        <f t="array" ref="S671">IFERROR(IF(INDEX('Disaggregation Records'!$F$155:$F$385,MATCH(RIGHT(Q671,255),RIGHT('Disaggregation Records'!$D$155:$D$385,255),0))=0,"",INDEX('Disaggregation Records'!$F$155:$F$385,MATCH(RIGHT(Q671,255),RIGHT('Disaggregation Records'!$D$155:$D$385,255),0))),"")</f>
        <v/>
      </c>
      <c r="T671" s="189" t="str">
        <f t="array" ref="T671">IFERROR(IF(INDEX('Disaggregation Records'!$H$155:$H$385,MATCH(RIGHT(Q671,255),RIGHT('Disaggregation Records'!$D$155:$D$385,255),0))=0,"",INDEX('Disaggregation Records'!$H$155:$H$385,MATCH(RIGHT(Q671,255),RIGHT('Disaggregation Records'!$D$155:$D$385,255),0))),"")</f>
        <v/>
      </c>
      <c r="U671" s="189">
        <f t="shared" ref="U671" si="2757">U669+1</f>
        <v>1437</v>
      </c>
      <c r="V671" s="189" t="str">
        <f t="array" ref="V671">IFERROR(IF(INDEX('Disaggregation Records'!$I$155:$I$385,MATCH(RIGHT(Q671,255),RIGHT('Disaggregation Records'!$D$155:$D$385,255),0))=0,"",INDEX('Disaggregation Records'!$I$155:$I$385,MATCH(RIGHT(Q671,255),RIGHT('Disaggregation Records'!$D$155:$D$385,255),0))),"")</f>
        <v/>
      </c>
      <c r="W671" s="189" t="str">
        <f>IFERROR(INDEX('Reference Records'!L$59:L$121,MATCH(LEFT(C671,255),'Reference Records'!E$59:E$121,0)),"")</f>
        <v>HTS-3f⁽ᴹ⁾ Number of people in prisons or other closed settings that have received an HIV test during the reporting period and know their results</v>
      </c>
    </row>
    <row r="672" spans="1:23" s="189" customFormat="1" ht="40.200000000000003" customHeight="1" x14ac:dyDescent="0.3">
      <c r="A672" s="678"/>
      <c r="B672" s="675"/>
      <c r="C672" s="667"/>
      <c r="D672" s="677"/>
      <c r="E672" s="677"/>
      <c r="F672" s="202"/>
      <c r="G672" s="669"/>
      <c r="H672" s="671"/>
      <c r="I672" s="673"/>
      <c r="J672" s="652"/>
      <c r="K672" s="667"/>
      <c r="L672" s="667"/>
      <c r="M672" s="652"/>
      <c r="N672" s="652"/>
    </row>
    <row r="673" spans="1:23" s="189" customFormat="1" ht="40.200000000000003" customHeight="1" x14ac:dyDescent="0.3">
      <c r="A673" s="678" t="str">
        <f t="shared" ref="A673" ca="1" si="2758">INDIRECT("'update Helper'!C"&amp;U673)</f>
        <v>a163p000002zQZnAAM</v>
      </c>
      <c r="B673" s="674">
        <v>2</v>
      </c>
      <c r="C673" s="666" t="str">
        <f>VLOOKUP(B673,'Coverage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73" s="676" t="str">
        <f t="shared" ref="D673" si="2759">R673</f>
        <v/>
      </c>
      <c r="E673" s="676" t="str">
        <f t="shared" ref="E673" si="2760">S673</f>
        <v/>
      </c>
      <c r="F673" s="194"/>
      <c r="G673" s="668" t="str">
        <f t="shared" ref="G673" ca="1" si="2761">IF(OR(INDIRECT("'update Helper'!E"&amp;U673)=0,F673&lt;&gt;0,F674&lt;&gt;0),IF(IFERROR((F673/F674),"")="","",(F673/F674)),INDIRECT("'update Helper'!E"&amp;U673)/100)</f>
        <v/>
      </c>
      <c r="H673" s="670"/>
      <c r="I673" s="672"/>
      <c r="J673" s="651"/>
      <c r="K673" s="666" t="str">
        <f t="shared" ref="K673" si="2762">W673</f>
        <v>HTS-3f⁽ᴹ⁾ Number of people in prisons or other closed settings that have received an HIV test during the reporting period and know their results</v>
      </c>
      <c r="L673" s="666" t="str">
        <f t="shared" ref="L673" si="2763">V673</f>
        <v/>
      </c>
      <c r="M673" s="651"/>
      <c r="N673" s="651"/>
      <c r="P673" s="189">
        <f t="shared" ref="P673" si="2764">IF(AND(EXACT(C673,C671),C671&lt;&gt;0),P671+1,0)</f>
        <v>6</v>
      </c>
      <c r="Q673" s="189" t="str">
        <f t="shared" ref="Q673" si="2765">IF(C673&lt;&gt;"",C673&amp;"-"&amp;P673,"")</f>
        <v>HTS-3f⁽ᴹ⁾ Pourcentage de personnes en détention ou se trouvant dans d’autres lieux fermés chez lesquels un dépistage du VIH a été réalisé durant la période de communication de l’information et qui connaissent leur résultat-6</v>
      </c>
      <c r="R673" s="189" t="str">
        <f t="array" ref="R673">IFERROR(IF(INDEX('Disaggregation Records'!$E$155:$E$385,MATCH(RIGHT(Q673,255),RIGHT('Disaggregation Records'!$D$155:$D$385,255),0))=0,"",INDEX('Disaggregation Records'!$E$155:$E$385,MATCH(RIGHT(Q673,255),RIGHT('Disaggregation Records'!$D$155:$D$385,255),0))),"")</f>
        <v/>
      </c>
      <c r="S673" s="189" t="str">
        <f t="array" ref="S673">IFERROR(IF(INDEX('Disaggregation Records'!$F$155:$F$385,MATCH(RIGHT(Q673,255),RIGHT('Disaggregation Records'!$D$155:$D$385,255),0))=0,"",INDEX('Disaggregation Records'!$F$155:$F$385,MATCH(RIGHT(Q673,255),RIGHT('Disaggregation Records'!$D$155:$D$385,255),0))),"")</f>
        <v/>
      </c>
      <c r="T673" s="189" t="str">
        <f t="array" ref="T673">IFERROR(IF(INDEX('Disaggregation Records'!$H$155:$H$385,MATCH(RIGHT(Q673,255),RIGHT('Disaggregation Records'!$D$155:$D$385,255),0))=0,"",INDEX('Disaggregation Records'!$H$155:$H$385,MATCH(RIGHT(Q673,255),RIGHT('Disaggregation Records'!$D$155:$D$385,255),0))),"")</f>
        <v/>
      </c>
      <c r="U673" s="189">
        <f t="shared" ref="U673" si="2766">U671+1</f>
        <v>1438</v>
      </c>
      <c r="V673" s="189" t="str">
        <f t="array" ref="V673">IFERROR(IF(INDEX('Disaggregation Records'!$I$155:$I$385,MATCH(RIGHT(Q673,255),RIGHT('Disaggregation Records'!$D$155:$D$385,255),0))=0,"",INDEX('Disaggregation Records'!$I$155:$I$385,MATCH(RIGHT(Q673,255),RIGHT('Disaggregation Records'!$D$155:$D$385,255),0))),"")</f>
        <v/>
      </c>
      <c r="W673" s="189" t="str">
        <f>IFERROR(INDEX('Reference Records'!L$59:L$121,MATCH(LEFT(C673,255),'Reference Records'!E$59:E$121,0)),"")</f>
        <v>HTS-3f⁽ᴹ⁾ Number of people in prisons or other closed settings that have received an HIV test during the reporting period and know their results</v>
      </c>
    </row>
    <row r="674" spans="1:23" s="189" customFormat="1" ht="40.200000000000003" customHeight="1" x14ac:dyDescent="0.3">
      <c r="A674" s="678"/>
      <c r="B674" s="675"/>
      <c r="C674" s="667"/>
      <c r="D674" s="677"/>
      <c r="E674" s="677"/>
      <c r="F674" s="202"/>
      <c r="G674" s="669"/>
      <c r="H674" s="671"/>
      <c r="I674" s="673"/>
      <c r="J674" s="652"/>
      <c r="K674" s="667"/>
      <c r="L674" s="667"/>
      <c r="M674" s="652"/>
      <c r="N674" s="652"/>
    </row>
    <row r="675" spans="1:23" s="189" customFormat="1" ht="40.200000000000003" customHeight="1" x14ac:dyDescent="0.3">
      <c r="A675" s="678" t="str">
        <f t="shared" ref="A675" ca="1" si="2767">INDIRECT("'update Helper'!C"&amp;U675)</f>
        <v>a163p000002zQZoAAM</v>
      </c>
      <c r="B675" s="674">
        <v>2</v>
      </c>
      <c r="C675" s="666" t="str">
        <f>VLOOKUP(B675,'Coverage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75" s="676" t="str">
        <f t="shared" ref="D675" si="2768">R675</f>
        <v/>
      </c>
      <c r="E675" s="676" t="str">
        <f t="shared" ref="E675" si="2769">S675</f>
        <v/>
      </c>
      <c r="F675" s="194"/>
      <c r="G675" s="668" t="str">
        <f t="shared" ref="G675" ca="1" si="2770">IF(OR(INDIRECT("'update Helper'!E"&amp;U675)=0,F675&lt;&gt;0,F676&lt;&gt;0),IF(IFERROR((F675/F676),"")="","",(F675/F676)),INDIRECT("'update Helper'!E"&amp;U675)/100)</f>
        <v/>
      </c>
      <c r="H675" s="670"/>
      <c r="I675" s="672"/>
      <c r="J675" s="651"/>
      <c r="K675" s="666" t="str">
        <f t="shared" ref="K675" si="2771">W675</f>
        <v>HTS-3f⁽ᴹ⁾ Number of people in prisons or other closed settings that have received an HIV test during the reporting period and know their results</v>
      </c>
      <c r="L675" s="666" t="str">
        <f t="shared" ref="L675" si="2772">V675</f>
        <v/>
      </c>
      <c r="M675" s="651"/>
      <c r="N675" s="651"/>
      <c r="P675" s="189">
        <f t="shared" ref="P675" si="2773">IF(AND(EXACT(C675,C673),C673&lt;&gt;0),P673+1,0)</f>
        <v>7</v>
      </c>
      <c r="Q675" s="189" t="str">
        <f t="shared" ref="Q675" si="2774">IF(C675&lt;&gt;"",C675&amp;"-"&amp;P675,"")</f>
        <v>HTS-3f⁽ᴹ⁾ Pourcentage de personnes en détention ou se trouvant dans d’autres lieux fermés chez lesquels un dépistage du VIH a été réalisé durant la période de communication de l’information et qui connaissent leur résultat-7</v>
      </c>
      <c r="R675" s="189" t="str">
        <f t="array" ref="R675">IFERROR(IF(INDEX('Disaggregation Records'!$E$155:$E$385,MATCH(RIGHT(Q675,255),RIGHT('Disaggregation Records'!$D$155:$D$385,255),0))=0,"",INDEX('Disaggregation Records'!$E$155:$E$385,MATCH(RIGHT(Q675,255),RIGHT('Disaggregation Records'!$D$155:$D$385,255),0))),"")</f>
        <v/>
      </c>
      <c r="S675" s="189" t="str">
        <f t="array" ref="S675">IFERROR(IF(INDEX('Disaggregation Records'!$F$155:$F$385,MATCH(RIGHT(Q675,255),RIGHT('Disaggregation Records'!$D$155:$D$385,255),0))=0,"",INDEX('Disaggregation Records'!$F$155:$F$385,MATCH(RIGHT(Q675,255),RIGHT('Disaggregation Records'!$D$155:$D$385,255),0))),"")</f>
        <v/>
      </c>
      <c r="T675" s="189" t="str">
        <f t="array" ref="T675">IFERROR(IF(INDEX('Disaggregation Records'!$H$155:$H$385,MATCH(RIGHT(Q675,255),RIGHT('Disaggregation Records'!$D$155:$D$385,255),0))=0,"",INDEX('Disaggregation Records'!$H$155:$H$385,MATCH(RIGHT(Q675,255),RIGHT('Disaggregation Records'!$D$155:$D$385,255),0))),"")</f>
        <v/>
      </c>
      <c r="U675" s="189">
        <f t="shared" ref="U675" si="2775">U673+1</f>
        <v>1439</v>
      </c>
      <c r="V675" s="189" t="str">
        <f t="array" ref="V675">IFERROR(IF(INDEX('Disaggregation Records'!$I$155:$I$385,MATCH(RIGHT(Q675,255),RIGHT('Disaggregation Records'!$D$155:$D$385,255),0))=0,"",INDEX('Disaggregation Records'!$I$155:$I$385,MATCH(RIGHT(Q675,255),RIGHT('Disaggregation Records'!$D$155:$D$385,255),0))),"")</f>
        <v/>
      </c>
      <c r="W675" s="189" t="str">
        <f>IFERROR(INDEX('Reference Records'!L$59:L$121,MATCH(LEFT(C675,255),'Reference Records'!E$59:E$121,0)),"")</f>
        <v>HTS-3f⁽ᴹ⁾ Number of people in prisons or other closed settings that have received an HIV test during the reporting period and know their results</v>
      </c>
    </row>
    <row r="676" spans="1:23" s="189" customFormat="1" ht="40.200000000000003" customHeight="1" x14ac:dyDescent="0.3">
      <c r="A676" s="678"/>
      <c r="B676" s="675"/>
      <c r="C676" s="667"/>
      <c r="D676" s="677"/>
      <c r="E676" s="677"/>
      <c r="F676" s="202"/>
      <c r="G676" s="669"/>
      <c r="H676" s="671"/>
      <c r="I676" s="673"/>
      <c r="J676" s="652"/>
      <c r="K676" s="667"/>
      <c r="L676" s="667"/>
      <c r="M676" s="652"/>
      <c r="N676" s="652"/>
    </row>
    <row r="677" spans="1:23" s="189" customFormat="1" ht="40.200000000000003" customHeight="1" x14ac:dyDescent="0.3">
      <c r="A677" s="678" t="str">
        <f t="shared" ref="A677" ca="1" si="2776">INDIRECT("'update Helper'!C"&amp;U677)</f>
        <v>a163p000002zQZpAAM</v>
      </c>
      <c r="B677" s="674">
        <v>2</v>
      </c>
      <c r="C677" s="666" t="str">
        <f>VLOOKUP(B677,'Coverage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77" s="676" t="str">
        <f t="shared" ref="D677" si="2777">R677</f>
        <v/>
      </c>
      <c r="E677" s="676" t="str">
        <f t="shared" ref="E677" si="2778">S677</f>
        <v/>
      </c>
      <c r="F677" s="194"/>
      <c r="G677" s="668" t="str">
        <f t="shared" ref="G677" ca="1" si="2779">IF(OR(INDIRECT("'update Helper'!E"&amp;U677)=0,F677&lt;&gt;0,F678&lt;&gt;0),IF(IFERROR((F677/F678),"")="","",(F677/F678)),INDIRECT("'update Helper'!E"&amp;U677)/100)</f>
        <v/>
      </c>
      <c r="H677" s="670"/>
      <c r="I677" s="672"/>
      <c r="J677" s="651"/>
      <c r="K677" s="666" t="str">
        <f t="shared" ref="K677" si="2780">W677</f>
        <v>HTS-3f⁽ᴹ⁾ Number of people in prisons or other closed settings that have received an HIV test during the reporting period and know their results</v>
      </c>
      <c r="L677" s="666" t="str">
        <f t="shared" ref="L677" si="2781">V677</f>
        <v/>
      </c>
      <c r="M677" s="651"/>
      <c r="N677" s="651"/>
      <c r="P677" s="189">
        <f t="shared" ref="P677" si="2782">IF(AND(EXACT(C677,C675),C675&lt;&gt;0),P675+1,0)</f>
        <v>8</v>
      </c>
      <c r="Q677" s="189" t="str">
        <f t="shared" ref="Q677" si="2783">IF(C677&lt;&gt;"",C677&amp;"-"&amp;P677,"")</f>
        <v>HTS-3f⁽ᴹ⁾ Pourcentage de personnes en détention ou se trouvant dans d’autres lieux fermés chez lesquels un dépistage du VIH a été réalisé durant la période de communication de l’information et qui connaissent leur résultat-8</v>
      </c>
      <c r="R677" s="189" t="str">
        <f t="array" ref="R677">IFERROR(IF(INDEX('Disaggregation Records'!$E$155:$E$385,MATCH(RIGHT(Q677,255),RIGHT('Disaggregation Records'!$D$155:$D$385,255),0))=0,"",INDEX('Disaggregation Records'!$E$155:$E$385,MATCH(RIGHT(Q677,255),RIGHT('Disaggregation Records'!$D$155:$D$385,255),0))),"")</f>
        <v/>
      </c>
      <c r="S677" s="189" t="str">
        <f t="array" ref="S677">IFERROR(IF(INDEX('Disaggregation Records'!$F$155:$F$385,MATCH(RIGHT(Q677,255),RIGHT('Disaggregation Records'!$D$155:$D$385,255),0))=0,"",INDEX('Disaggregation Records'!$F$155:$F$385,MATCH(RIGHT(Q677,255),RIGHT('Disaggregation Records'!$D$155:$D$385,255),0))),"")</f>
        <v/>
      </c>
      <c r="T677" s="189" t="str">
        <f t="array" ref="T677">IFERROR(IF(INDEX('Disaggregation Records'!$H$155:$H$385,MATCH(RIGHT(Q677,255),RIGHT('Disaggregation Records'!$D$155:$D$385,255),0))=0,"",INDEX('Disaggregation Records'!$H$155:$H$385,MATCH(RIGHT(Q677,255),RIGHT('Disaggregation Records'!$D$155:$D$385,255),0))),"")</f>
        <v/>
      </c>
      <c r="U677" s="189">
        <f t="shared" ref="U677" si="2784">U675+1</f>
        <v>1440</v>
      </c>
      <c r="V677" s="189" t="str">
        <f t="array" ref="V677">IFERROR(IF(INDEX('Disaggregation Records'!$I$155:$I$385,MATCH(RIGHT(Q677,255),RIGHT('Disaggregation Records'!$D$155:$D$385,255),0))=0,"",INDEX('Disaggregation Records'!$I$155:$I$385,MATCH(RIGHT(Q677,255),RIGHT('Disaggregation Records'!$D$155:$D$385,255),0))),"")</f>
        <v/>
      </c>
      <c r="W677" s="189" t="str">
        <f>IFERROR(INDEX('Reference Records'!L$59:L$121,MATCH(LEFT(C677,255),'Reference Records'!E$59:E$121,0)),"")</f>
        <v>HTS-3f⁽ᴹ⁾ Number of people in prisons or other closed settings that have received an HIV test during the reporting period and know their results</v>
      </c>
    </row>
    <row r="678" spans="1:23" s="189" customFormat="1" ht="40.200000000000003" customHeight="1" x14ac:dyDescent="0.3">
      <c r="A678" s="678"/>
      <c r="B678" s="675"/>
      <c r="C678" s="667"/>
      <c r="D678" s="677"/>
      <c r="E678" s="677"/>
      <c r="F678" s="202"/>
      <c r="G678" s="669"/>
      <c r="H678" s="671"/>
      <c r="I678" s="673"/>
      <c r="J678" s="652"/>
      <c r="K678" s="667"/>
      <c r="L678" s="667"/>
      <c r="M678" s="652"/>
      <c r="N678" s="652"/>
    </row>
    <row r="679" spans="1:23" s="189" customFormat="1" ht="40.200000000000003" customHeight="1" x14ac:dyDescent="0.3">
      <c r="A679" s="678" t="str">
        <f t="shared" ref="A679" ca="1" si="2785">INDIRECT("'update Helper'!C"&amp;U679)</f>
        <v>a163p000002zQZqAAM</v>
      </c>
      <c r="B679" s="674">
        <v>2</v>
      </c>
      <c r="C679" s="666" t="str">
        <f>VLOOKUP(B679,'Coverage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79" s="676" t="str">
        <f t="shared" ref="D679" si="2786">R679</f>
        <v/>
      </c>
      <c r="E679" s="676" t="str">
        <f t="shared" ref="E679" si="2787">S679</f>
        <v/>
      </c>
      <c r="F679" s="194"/>
      <c r="G679" s="668" t="str">
        <f t="shared" ref="G679" ca="1" si="2788">IF(OR(INDIRECT("'update Helper'!E"&amp;U679)=0,F679&lt;&gt;0,F680&lt;&gt;0),IF(IFERROR((F679/F680),"")="","",(F679/F680)),INDIRECT("'update Helper'!E"&amp;U679)/100)</f>
        <v/>
      </c>
      <c r="H679" s="670"/>
      <c r="I679" s="672"/>
      <c r="J679" s="651"/>
      <c r="K679" s="666" t="str">
        <f t="shared" ref="K679" si="2789">W679</f>
        <v>HTS-3f⁽ᴹ⁾ Number of people in prisons or other closed settings that have received an HIV test during the reporting period and know their results</v>
      </c>
      <c r="L679" s="666" t="str">
        <f t="shared" ref="L679" si="2790">V679</f>
        <v/>
      </c>
      <c r="M679" s="651"/>
      <c r="N679" s="651"/>
      <c r="P679" s="189">
        <f t="shared" ref="P679" si="2791">IF(AND(EXACT(C679,C677),C677&lt;&gt;0),P677+1,0)</f>
        <v>9</v>
      </c>
      <c r="Q679" s="189" t="str">
        <f t="shared" ref="Q679" si="2792">IF(C679&lt;&gt;"",C679&amp;"-"&amp;P679,"")</f>
        <v>HTS-3f⁽ᴹ⁾ Pourcentage de personnes en détention ou se trouvant dans d’autres lieux fermés chez lesquels un dépistage du VIH a été réalisé durant la période de communication de l’information et qui connaissent leur résultat-9</v>
      </c>
      <c r="R679" s="189" t="str">
        <f t="array" ref="R679">IFERROR(IF(INDEX('Disaggregation Records'!$E$155:$E$385,MATCH(RIGHT(Q679,255),RIGHT('Disaggregation Records'!$D$155:$D$385,255),0))=0,"",INDEX('Disaggregation Records'!$E$155:$E$385,MATCH(RIGHT(Q679,255),RIGHT('Disaggregation Records'!$D$155:$D$385,255),0))),"")</f>
        <v/>
      </c>
      <c r="S679" s="189" t="str">
        <f t="array" ref="S679">IFERROR(IF(INDEX('Disaggregation Records'!$F$155:$F$385,MATCH(RIGHT(Q679,255),RIGHT('Disaggregation Records'!$D$155:$D$385,255),0))=0,"",INDEX('Disaggregation Records'!$F$155:$F$385,MATCH(RIGHT(Q679,255),RIGHT('Disaggregation Records'!$D$155:$D$385,255),0))),"")</f>
        <v/>
      </c>
      <c r="T679" s="189" t="str">
        <f t="array" ref="T679">IFERROR(IF(INDEX('Disaggregation Records'!$H$155:$H$385,MATCH(RIGHT(Q679,255),RIGHT('Disaggregation Records'!$D$155:$D$385,255),0))=0,"",INDEX('Disaggregation Records'!$H$155:$H$385,MATCH(RIGHT(Q679,255),RIGHT('Disaggregation Records'!$D$155:$D$385,255),0))),"")</f>
        <v/>
      </c>
      <c r="U679" s="189">
        <f t="shared" ref="U679" si="2793">U677+1</f>
        <v>1441</v>
      </c>
      <c r="V679" s="189" t="str">
        <f t="array" ref="V679">IFERROR(IF(INDEX('Disaggregation Records'!$I$155:$I$385,MATCH(RIGHT(Q679,255),RIGHT('Disaggregation Records'!$D$155:$D$385,255),0))=0,"",INDEX('Disaggregation Records'!$I$155:$I$385,MATCH(RIGHT(Q679,255),RIGHT('Disaggregation Records'!$D$155:$D$385,255),0))),"")</f>
        <v/>
      </c>
      <c r="W679" s="189" t="str">
        <f>IFERROR(INDEX('Reference Records'!L$59:L$121,MATCH(LEFT(C679,255),'Reference Records'!E$59:E$121,0)),"")</f>
        <v>HTS-3f⁽ᴹ⁾ Number of people in prisons or other closed settings that have received an HIV test during the reporting period and know their results</v>
      </c>
    </row>
    <row r="680" spans="1:23" s="189" customFormat="1" ht="40.200000000000003" customHeight="1" x14ac:dyDescent="0.3">
      <c r="A680" s="678"/>
      <c r="B680" s="675"/>
      <c r="C680" s="667"/>
      <c r="D680" s="677"/>
      <c r="E680" s="677"/>
      <c r="F680" s="202"/>
      <c r="G680" s="669"/>
      <c r="H680" s="671"/>
      <c r="I680" s="673"/>
      <c r="J680" s="652"/>
      <c r="K680" s="667"/>
      <c r="L680" s="667"/>
      <c r="M680" s="652"/>
      <c r="N680" s="652"/>
    </row>
    <row r="681" spans="1:23" s="189" customFormat="1" ht="40.200000000000003" customHeight="1" x14ac:dyDescent="0.3">
      <c r="A681" s="678" t="str">
        <f t="shared" ref="A681" ca="1" si="2794">INDIRECT("'update Helper'!C"&amp;U681)</f>
        <v>a163p000002zQZrAAM</v>
      </c>
      <c r="B681" s="674">
        <v>2</v>
      </c>
      <c r="C681" s="666" t="str">
        <f>VLOOKUP(B681,'Coverage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81" s="676" t="str">
        <f t="shared" ref="D681" si="2795">R681</f>
        <v/>
      </c>
      <c r="E681" s="676" t="str">
        <f t="shared" ref="E681" si="2796">S681</f>
        <v/>
      </c>
      <c r="F681" s="194"/>
      <c r="G681" s="668" t="str">
        <f t="shared" ref="G681" ca="1" si="2797">IF(OR(INDIRECT("'update Helper'!E"&amp;U681)=0,F681&lt;&gt;0,F682&lt;&gt;0),IF(IFERROR((F681/F682),"")="","",(F681/F682)),INDIRECT("'update Helper'!E"&amp;U681)/100)</f>
        <v/>
      </c>
      <c r="H681" s="670"/>
      <c r="I681" s="672"/>
      <c r="J681" s="651"/>
      <c r="K681" s="666" t="str">
        <f t="shared" ref="K681" si="2798">W681</f>
        <v>HTS-3f⁽ᴹ⁾ Number of people in prisons or other closed settings that have received an HIV test during the reporting period and know their results</v>
      </c>
      <c r="L681" s="666" t="str">
        <f t="shared" ref="L681" si="2799">V681</f>
        <v/>
      </c>
      <c r="M681" s="651"/>
      <c r="N681" s="651"/>
      <c r="P681" s="189">
        <f t="shared" ref="P681" si="2800">IF(AND(EXACT(C681,C679),C679&lt;&gt;0),P679+1,0)</f>
        <v>10</v>
      </c>
      <c r="Q681" s="189" t="str">
        <f t="shared" ref="Q681" si="2801">IF(C681&lt;&gt;"",C681&amp;"-"&amp;P681,"")</f>
        <v>HTS-3f⁽ᴹ⁾ Pourcentage de personnes en détention ou se trouvant dans d’autres lieux fermés chez lesquels un dépistage du VIH a été réalisé durant la période de communication de l’information et qui connaissent leur résultat-10</v>
      </c>
      <c r="R681" s="189" t="str">
        <f t="array" ref="R681">IFERROR(IF(INDEX('Disaggregation Records'!$E$155:$E$385,MATCH(RIGHT(Q681,255),RIGHT('Disaggregation Records'!$D$155:$D$385,255),0))=0,"",INDEX('Disaggregation Records'!$E$155:$E$385,MATCH(RIGHT(Q681,255),RIGHT('Disaggregation Records'!$D$155:$D$385,255),0))),"")</f>
        <v/>
      </c>
      <c r="S681" s="189" t="str">
        <f t="array" ref="S681">IFERROR(IF(INDEX('Disaggregation Records'!$F$155:$F$385,MATCH(RIGHT(Q681,255),RIGHT('Disaggregation Records'!$D$155:$D$385,255),0))=0,"",INDEX('Disaggregation Records'!$F$155:$F$385,MATCH(RIGHT(Q681,255),RIGHT('Disaggregation Records'!$D$155:$D$385,255),0))),"")</f>
        <v/>
      </c>
      <c r="T681" s="189" t="str">
        <f t="array" ref="T681">IFERROR(IF(INDEX('Disaggregation Records'!$H$155:$H$385,MATCH(RIGHT(Q681,255),RIGHT('Disaggregation Records'!$D$155:$D$385,255),0))=0,"",INDEX('Disaggregation Records'!$H$155:$H$385,MATCH(RIGHT(Q681,255),RIGHT('Disaggregation Records'!$D$155:$D$385,255),0))),"")</f>
        <v/>
      </c>
      <c r="U681" s="189">
        <f t="shared" ref="U681" si="2802">U679+1</f>
        <v>1442</v>
      </c>
      <c r="V681" s="189" t="str">
        <f t="array" ref="V681">IFERROR(IF(INDEX('Disaggregation Records'!$I$155:$I$385,MATCH(RIGHT(Q681,255),RIGHT('Disaggregation Records'!$D$155:$D$385,255),0))=0,"",INDEX('Disaggregation Records'!$I$155:$I$385,MATCH(RIGHT(Q681,255),RIGHT('Disaggregation Records'!$D$155:$D$385,255),0))),"")</f>
        <v/>
      </c>
      <c r="W681" s="189" t="str">
        <f>IFERROR(INDEX('Reference Records'!L$59:L$121,MATCH(LEFT(C681,255),'Reference Records'!E$59:E$121,0)),"")</f>
        <v>HTS-3f⁽ᴹ⁾ Number of people in prisons or other closed settings that have received an HIV test during the reporting period and know their results</v>
      </c>
    </row>
    <row r="682" spans="1:23" s="189" customFormat="1" ht="40.200000000000003" customHeight="1" x14ac:dyDescent="0.3">
      <c r="A682" s="678"/>
      <c r="B682" s="675"/>
      <c r="C682" s="667"/>
      <c r="D682" s="677"/>
      <c r="E682" s="677"/>
      <c r="F682" s="202"/>
      <c r="G682" s="669"/>
      <c r="H682" s="671"/>
      <c r="I682" s="673"/>
      <c r="J682" s="652"/>
      <c r="K682" s="667"/>
      <c r="L682" s="667"/>
      <c r="M682" s="652"/>
      <c r="N682" s="652"/>
    </row>
    <row r="683" spans="1:23" s="189" customFormat="1" ht="40.200000000000003" customHeight="1" x14ac:dyDescent="0.3">
      <c r="A683" s="678" t="str">
        <f t="shared" ref="A683" ca="1" si="2803">INDIRECT("'update Helper'!C"&amp;U683)</f>
        <v>a163p000002zQZsAAM</v>
      </c>
      <c r="B683" s="674">
        <v>2</v>
      </c>
      <c r="C683" s="666" t="str">
        <f>VLOOKUP(B683,'Coverage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83" s="676" t="str">
        <f t="shared" ref="D683" si="2804">R683</f>
        <v/>
      </c>
      <c r="E683" s="676" t="str">
        <f t="shared" ref="E683" si="2805">S683</f>
        <v/>
      </c>
      <c r="F683" s="194"/>
      <c r="G683" s="668" t="str">
        <f t="shared" ref="G683" ca="1" si="2806">IF(OR(INDIRECT("'update Helper'!E"&amp;U683)=0,F683&lt;&gt;0,F684&lt;&gt;0),IF(IFERROR((F683/F684),"")="","",(F683/F684)),INDIRECT("'update Helper'!E"&amp;U683)/100)</f>
        <v/>
      </c>
      <c r="H683" s="670"/>
      <c r="I683" s="672"/>
      <c r="J683" s="651"/>
      <c r="K683" s="666" t="str">
        <f t="shared" ref="K683" si="2807">W683</f>
        <v>HTS-3f⁽ᴹ⁾ Number of people in prisons or other closed settings that have received an HIV test during the reporting period and know their results</v>
      </c>
      <c r="L683" s="666" t="str">
        <f t="shared" ref="L683" si="2808">V683</f>
        <v/>
      </c>
      <c r="M683" s="651"/>
      <c r="N683" s="651"/>
      <c r="P683" s="189">
        <f t="shared" ref="P683" si="2809">IF(AND(EXACT(C683,C681),C681&lt;&gt;0),P681+1,0)</f>
        <v>11</v>
      </c>
      <c r="Q683" s="189" t="str">
        <f t="shared" ref="Q683" si="2810">IF(C683&lt;&gt;"",C683&amp;"-"&amp;P683,"")</f>
        <v>HTS-3f⁽ᴹ⁾ Pourcentage de personnes en détention ou se trouvant dans d’autres lieux fermés chez lesquels un dépistage du VIH a été réalisé durant la période de communication de l’information et qui connaissent leur résultat-11</v>
      </c>
      <c r="R683" s="189" t="str">
        <f t="array" ref="R683">IFERROR(IF(INDEX('Disaggregation Records'!$E$155:$E$385,MATCH(RIGHT(Q683,255),RIGHT('Disaggregation Records'!$D$155:$D$385,255),0))=0,"",INDEX('Disaggregation Records'!$E$155:$E$385,MATCH(RIGHT(Q683,255),RIGHT('Disaggregation Records'!$D$155:$D$385,255),0))),"")</f>
        <v/>
      </c>
      <c r="S683" s="189" t="str">
        <f t="array" ref="S683">IFERROR(IF(INDEX('Disaggregation Records'!$F$155:$F$385,MATCH(RIGHT(Q683,255),RIGHT('Disaggregation Records'!$D$155:$D$385,255),0))=0,"",INDEX('Disaggregation Records'!$F$155:$F$385,MATCH(RIGHT(Q683,255),RIGHT('Disaggregation Records'!$D$155:$D$385,255),0))),"")</f>
        <v/>
      </c>
      <c r="T683" s="189" t="str">
        <f t="array" ref="T683">IFERROR(IF(INDEX('Disaggregation Records'!$H$155:$H$385,MATCH(RIGHT(Q683,255),RIGHT('Disaggregation Records'!$D$155:$D$385,255),0))=0,"",INDEX('Disaggregation Records'!$H$155:$H$385,MATCH(RIGHT(Q683,255),RIGHT('Disaggregation Records'!$D$155:$D$385,255),0))),"")</f>
        <v/>
      </c>
      <c r="U683" s="189">
        <f t="shared" ref="U683" si="2811">U681+1</f>
        <v>1443</v>
      </c>
      <c r="V683" s="189" t="str">
        <f t="array" ref="V683">IFERROR(IF(INDEX('Disaggregation Records'!$I$155:$I$385,MATCH(RIGHT(Q683,255),RIGHT('Disaggregation Records'!$D$155:$D$385,255),0))=0,"",INDEX('Disaggregation Records'!$I$155:$I$385,MATCH(RIGHT(Q683,255),RIGHT('Disaggregation Records'!$D$155:$D$385,255),0))),"")</f>
        <v/>
      </c>
      <c r="W683" s="189" t="str">
        <f>IFERROR(INDEX('Reference Records'!L$59:L$121,MATCH(LEFT(C683,255),'Reference Records'!E$59:E$121,0)),"")</f>
        <v>HTS-3f⁽ᴹ⁾ Number of people in prisons or other closed settings that have received an HIV test during the reporting period and know their results</v>
      </c>
    </row>
    <row r="684" spans="1:23" s="189" customFormat="1" ht="40.200000000000003" customHeight="1" x14ac:dyDescent="0.3">
      <c r="A684" s="678"/>
      <c r="B684" s="675"/>
      <c r="C684" s="667"/>
      <c r="D684" s="677"/>
      <c r="E684" s="677"/>
      <c r="F684" s="202"/>
      <c r="G684" s="669"/>
      <c r="H684" s="671"/>
      <c r="I684" s="673"/>
      <c r="J684" s="652"/>
      <c r="K684" s="667"/>
      <c r="L684" s="667"/>
      <c r="M684" s="652"/>
      <c r="N684" s="652"/>
    </row>
    <row r="685" spans="1:23" s="189" customFormat="1" ht="40.200000000000003" customHeight="1" x14ac:dyDescent="0.3">
      <c r="A685" s="678" t="str">
        <f t="shared" ref="A685" ca="1" si="2812">INDIRECT("'update Helper'!C"&amp;U685)</f>
        <v>a163p000002zQZtAAM</v>
      </c>
      <c r="B685" s="674">
        <v>2</v>
      </c>
      <c r="C685" s="666" t="str">
        <f>VLOOKUP(B685,'Coverage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85" s="676" t="str">
        <f t="shared" ref="D685" si="2813">R685</f>
        <v/>
      </c>
      <c r="E685" s="676" t="str">
        <f t="shared" ref="E685" si="2814">S685</f>
        <v/>
      </c>
      <c r="F685" s="194"/>
      <c r="G685" s="668" t="str">
        <f t="shared" ref="G685" ca="1" si="2815">IF(OR(INDIRECT("'update Helper'!E"&amp;U685)=0,F685&lt;&gt;0,F686&lt;&gt;0),IF(IFERROR((F685/F686),"")="","",(F685/F686)),INDIRECT("'update Helper'!E"&amp;U685)/100)</f>
        <v/>
      </c>
      <c r="H685" s="670"/>
      <c r="I685" s="672"/>
      <c r="J685" s="651"/>
      <c r="K685" s="666" t="str">
        <f t="shared" ref="K685" si="2816">W685</f>
        <v>HTS-3f⁽ᴹ⁾ Number of people in prisons or other closed settings that have received an HIV test during the reporting period and know their results</v>
      </c>
      <c r="L685" s="666" t="str">
        <f t="shared" ref="L685" si="2817">V685</f>
        <v/>
      </c>
      <c r="M685" s="651"/>
      <c r="N685" s="651"/>
      <c r="P685" s="189">
        <f t="shared" ref="P685" si="2818">IF(AND(EXACT(C685,C683),C683&lt;&gt;0),P683+1,0)</f>
        <v>12</v>
      </c>
      <c r="Q685" s="189" t="str">
        <f t="shared" ref="Q685" si="2819">IF(C685&lt;&gt;"",C685&amp;"-"&amp;P685,"")</f>
        <v>HTS-3f⁽ᴹ⁾ Pourcentage de personnes en détention ou se trouvant dans d’autres lieux fermés chez lesquels un dépistage du VIH a été réalisé durant la période de communication de l’information et qui connaissent leur résultat-12</v>
      </c>
      <c r="R685" s="189" t="str">
        <f t="array" ref="R685">IFERROR(IF(INDEX('Disaggregation Records'!$E$155:$E$385,MATCH(RIGHT(Q685,255),RIGHT('Disaggregation Records'!$D$155:$D$385,255),0))=0,"",INDEX('Disaggregation Records'!$E$155:$E$385,MATCH(RIGHT(Q685,255),RIGHT('Disaggregation Records'!$D$155:$D$385,255),0))),"")</f>
        <v/>
      </c>
      <c r="S685" s="189" t="str">
        <f t="array" ref="S685">IFERROR(IF(INDEX('Disaggregation Records'!$F$155:$F$385,MATCH(RIGHT(Q685,255),RIGHT('Disaggregation Records'!$D$155:$D$385,255),0))=0,"",INDEX('Disaggregation Records'!$F$155:$F$385,MATCH(RIGHT(Q685,255),RIGHT('Disaggregation Records'!$D$155:$D$385,255),0))),"")</f>
        <v/>
      </c>
      <c r="T685" s="189" t="str">
        <f t="array" ref="T685">IFERROR(IF(INDEX('Disaggregation Records'!$H$155:$H$385,MATCH(RIGHT(Q685,255),RIGHT('Disaggregation Records'!$D$155:$D$385,255),0))=0,"",INDEX('Disaggregation Records'!$H$155:$H$385,MATCH(RIGHT(Q685,255),RIGHT('Disaggregation Records'!$D$155:$D$385,255),0))),"")</f>
        <v/>
      </c>
      <c r="U685" s="189">
        <f t="shared" ref="U685" si="2820">U683+1</f>
        <v>1444</v>
      </c>
      <c r="V685" s="189" t="str">
        <f t="array" ref="V685">IFERROR(IF(INDEX('Disaggregation Records'!$I$155:$I$385,MATCH(RIGHT(Q685,255),RIGHT('Disaggregation Records'!$D$155:$D$385,255),0))=0,"",INDEX('Disaggregation Records'!$I$155:$I$385,MATCH(RIGHT(Q685,255),RIGHT('Disaggregation Records'!$D$155:$D$385,255),0))),"")</f>
        <v/>
      </c>
      <c r="W685" s="189" t="str">
        <f>IFERROR(INDEX('Reference Records'!L$59:L$121,MATCH(LEFT(C685,255),'Reference Records'!E$59:E$121,0)),"")</f>
        <v>HTS-3f⁽ᴹ⁾ Number of people in prisons or other closed settings that have received an HIV test during the reporting period and know their results</v>
      </c>
    </row>
    <row r="686" spans="1:23" s="189" customFormat="1" ht="40.200000000000003" customHeight="1" x14ac:dyDescent="0.3">
      <c r="A686" s="678"/>
      <c r="B686" s="675"/>
      <c r="C686" s="667"/>
      <c r="D686" s="677"/>
      <c r="E686" s="677"/>
      <c r="F686" s="202"/>
      <c r="G686" s="669"/>
      <c r="H686" s="671"/>
      <c r="I686" s="673"/>
      <c r="J686" s="652"/>
      <c r="K686" s="667"/>
      <c r="L686" s="667"/>
      <c r="M686" s="652"/>
      <c r="N686" s="652"/>
    </row>
    <row r="687" spans="1:23" s="189" customFormat="1" ht="40.200000000000003" customHeight="1" x14ac:dyDescent="0.3">
      <c r="A687" s="678" t="str">
        <f t="shared" ref="A687" ca="1" si="2821">INDIRECT("'update Helper'!C"&amp;U687)</f>
        <v>a163p000002zQZuAAM</v>
      </c>
      <c r="B687" s="674">
        <v>2</v>
      </c>
      <c r="C687" s="666" t="str">
        <f>VLOOKUP(B687,'Coverage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87" s="676" t="str">
        <f t="shared" ref="D687" si="2822">R687</f>
        <v/>
      </c>
      <c r="E687" s="676" t="str">
        <f t="shared" ref="E687" si="2823">S687</f>
        <v/>
      </c>
      <c r="F687" s="194"/>
      <c r="G687" s="668" t="str">
        <f t="shared" ref="G687" ca="1" si="2824">IF(OR(INDIRECT("'update Helper'!E"&amp;U687)=0,F687&lt;&gt;0,F688&lt;&gt;0),IF(IFERROR((F687/F688),"")="","",(F687/F688)),INDIRECT("'update Helper'!E"&amp;U687)/100)</f>
        <v/>
      </c>
      <c r="H687" s="670"/>
      <c r="I687" s="672"/>
      <c r="J687" s="651"/>
      <c r="K687" s="666" t="str">
        <f t="shared" ref="K687" si="2825">W687</f>
        <v>HTS-3f⁽ᴹ⁾ Number of people in prisons or other closed settings that have received an HIV test during the reporting period and know their results</v>
      </c>
      <c r="L687" s="666" t="str">
        <f t="shared" ref="L687" si="2826">V687</f>
        <v/>
      </c>
      <c r="M687" s="651"/>
      <c r="N687" s="651"/>
      <c r="P687" s="189">
        <f t="shared" ref="P687" si="2827">IF(AND(EXACT(C687,C685),C685&lt;&gt;0),P685+1,0)</f>
        <v>13</v>
      </c>
      <c r="Q687" s="189" t="str">
        <f t="shared" ref="Q687" si="2828">IF(C687&lt;&gt;"",C687&amp;"-"&amp;P687,"")</f>
        <v>HTS-3f⁽ᴹ⁾ Pourcentage de personnes en détention ou se trouvant dans d’autres lieux fermés chez lesquels un dépistage du VIH a été réalisé durant la période de communication de l’information et qui connaissent leur résultat-13</v>
      </c>
      <c r="R687" s="189" t="str">
        <f t="array" ref="R687">IFERROR(IF(INDEX('Disaggregation Records'!$E$155:$E$385,MATCH(RIGHT(Q687,255),RIGHT('Disaggregation Records'!$D$155:$D$385,255),0))=0,"",INDEX('Disaggregation Records'!$E$155:$E$385,MATCH(RIGHT(Q687,255),RIGHT('Disaggregation Records'!$D$155:$D$385,255),0))),"")</f>
        <v/>
      </c>
      <c r="S687" s="189" t="str">
        <f t="array" ref="S687">IFERROR(IF(INDEX('Disaggregation Records'!$F$155:$F$385,MATCH(RIGHT(Q687,255),RIGHT('Disaggregation Records'!$D$155:$D$385,255),0))=0,"",INDEX('Disaggregation Records'!$F$155:$F$385,MATCH(RIGHT(Q687,255),RIGHT('Disaggregation Records'!$D$155:$D$385,255),0))),"")</f>
        <v/>
      </c>
      <c r="T687" s="189" t="str">
        <f t="array" ref="T687">IFERROR(IF(INDEX('Disaggregation Records'!$H$155:$H$385,MATCH(RIGHT(Q687,255),RIGHT('Disaggregation Records'!$D$155:$D$385,255),0))=0,"",INDEX('Disaggregation Records'!$H$155:$H$385,MATCH(RIGHT(Q687,255),RIGHT('Disaggregation Records'!$D$155:$D$385,255),0))),"")</f>
        <v/>
      </c>
      <c r="U687" s="189">
        <f t="shared" ref="U687" si="2829">U685+1</f>
        <v>1445</v>
      </c>
      <c r="V687" s="189" t="str">
        <f t="array" ref="V687">IFERROR(IF(INDEX('Disaggregation Records'!$I$155:$I$385,MATCH(RIGHT(Q687,255),RIGHT('Disaggregation Records'!$D$155:$D$385,255),0))=0,"",INDEX('Disaggregation Records'!$I$155:$I$385,MATCH(RIGHT(Q687,255),RIGHT('Disaggregation Records'!$D$155:$D$385,255),0))),"")</f>
        <v/>
      </c>
      <c r="W687" s="189" t="str">
        <f>IFERROR(INDEX('Reference Records'!L$59:L$121,MATCH(LEFT(C687,255),'Reference Records'!E$59:E$121,0)),"")</f>
        <v>HTS-3f⁽ᴹ⁾ Number of people in prisons or other closed settings that have received an HIV test during the reporting period and know their results</v>
      </c>
    </row>
    <row r="688" spans="1:23" s="189" customFormat="1" ht="40.200000000000003" customHeight="1" x14ac:dyDescent="0.3">
      <c r="A688" s="678"/>
      <c r="B688" s="675"/>
      <c r="C688" s="667"/>
      <c r="D688" s="677"/>
      <c r="E688" s="677"/>
      <c r="F688" s="202"/>
      <c r="G688" s="669"/>
      <c r="H688" s="671"/>
      <c r="I688" s="673"/>
      <c r="J688" s="652"/>
      <c r="K688" s="667"/>
      <c r="L688" s="667"/>
      <c r="M688" s="652"/>
      <c r="N688" s="652"/>
    </row>
    <row r="689" spans="1:23" s="189" customFormat="1" ht="40.200000000000003" customHeight="1" x14ac:dyDescent="0.3">
      <c r="A689" s="678" t="str">
        <f t="shared" ref="A689" ca="1" si="2830">INDIRECT("'update Helper'!C"&amp;U689)</f>
        <v>a163p000002zQZvAAM</v>
      </c>
      <c r="B689" s="674">
        <v>2</v>
      </c>
      <c r="C689" s="666" t="str">
        <f>VLOOKUP(B689,'Coverage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89" s="676" t="str">
        <f t="shared" ref="D689" si="2831">R689</f>
        <v/>
      </c>
      <c r="E689" s="676" t="str">
        <f t="shared" ref="E689" si="2832">S689</f>
        <v/>
      </c>
      <c r="F689" s="194"/>
      <c r="G689" s="668" t="str">
        <f t="shared" ref="G689" ca="1" si="2833">IF(OR(INDIRECT("'update Helper'!E"&amp;U689)=0,F689&lt;&gt;0,F690&lt;&gt;0),IF(IFERROR((F689/F690),"")="","",(F689/F690)),INDIRECT("'update Helper'!E"&amp;U689)/100)</f>
        <v/>
      </c>
      <c r="H689" s="670"/>
      <c r="I689" s="672"/>
      <c r="J689" s="651"/>
      <c r="K689" s="666" t="str">
        <f t="shared" ref="K689" si="2834">W689</f>
        <v>HTS-3f⁽ᴹ⁾ Number of people in prisons or other closed settings that have received an HIV test during the reporting period and know their results</v>
      </c>
      <c r="L689" s="666" t="str">
        <f t="shared" ref="L689" si="2835">V689</f>
        <v/>
      </c>
      <c r="M689" s="651"/>
      <c r="N689" s="651"/>
      <c r="P689" s="189">
        <f t="shared" ref="P689" si="2836">IF(AND(EXACT(C689,C687),C687&lt;&gt;0),P687+1,0)</f>
        <v>14</v>
      </c>
      <c r="Q689" s="189" t="str">
        <f t="shared" ref="Q689" si="2837">IF(C689&lt;&gt;"",C689&amp;"-"&amp;P689,"")</f>
        <v>HTS-3f⁽ᴹ⁾ Pourcentage de personnes en détention ou se trouvant dans d’autres lieux fermés chez lesquels un dépistage du VIH a été réalisé durant la période de communication de l’information et qui connaissent leur résultat-14</v>
      </c>
      <c r="R689" s="189" t="str">
        <f t="array" ref="R689">IFERROR(IF(INDEX('Disaggregation Records'!$E$155:$E$385,MATCH(RIGHT(Q689,255),RIGHT('Disaggregation Records'!$D$155:$D$385,255),0))=0,"",INDEX('Disaggregation Records'!$E$155:$E$385,MATCH(RIGHT(Q689,255),RIGHT('Disaggregation Records'!$D$155:$D$385,255),0))),"")</f>
        <v/>
      </c>
      <c r="S689" s="189" t="str">
        <f t="array" ref="S689">IFERROR(IF(INDEX('Disaggregation Records'!$F$155:$F$385,MATCH(RIGHT(Q689,255),RIGHT('Disaggregation Records'!$D$155:$D$385,255),0))=0,"",INDEX('Disaggregation Records'!$F$155:$F$385,MATCH(RIGHT(Q689,255),RIGHT('Disaggregation Records'!$D$155:$D$385,255),0))),"")</f>
        <v/>
      </c>
      <c r="T689" s="189" t="str">
        <f t="array" ref="T689">IFERROR(IF(INDEX('Disaggregation Records'!$H$155:$H$385,MATCH(RIGHT(Q689,255),RIGHT('Disaggregation Records'!$D$155:$D$385,255),0))=0,"",INDEX('Disaggregation Records'!$H$155:$H$385,MATCH(RIGHT(Q689,255),RIGHT('Disaggregation Records'!$D$155:$D$385,255),0))),"")</f>
        <v/>
      </c>
      <c r="U689" s="189">
        <f t="shared" ref="U689" si="2838">U687+1</f>
        <v>1446</v>
      </c>
      <c r="V689" s="189" t="str">
        <f t="array" ref="V689">IFERROR(IF(INDEX('Disaggregation Records'!$I$155:$I$385,MATCH(RIGHT(Q689,255),RIGHT('Disaggregation Records'!$D$155:$D$385,255),0))=0,"",INDEX('Disaggregation Records'!$I$155:$I$385,MATCH(RIGHT(Q689,255),RIGHT('Disaggregation Records'!$D$155:$D$385,255),0))),"")</f>
        <v/>
      </c>
      <c r="W689" s="189" t="str">
        <f>IFERROR(INDEX('Reference Records'!L$59:L$121,MATCH(LEFT(C689,255),'Reference Records'!E$59:E$121,0)),"")</f>
        <v>HTS-3f⁽ᴹ⁾ Number of people in prisons or other closed settings that have received an HIV test during the reporting period and know their results</v>
      </c>
    </row>
    <row r="690" spans="1:23" s="189" customFormat="1" ht="40.200000000000003" customHeight="1" x14ac:dyDescent="0.3">
      <c r="A690" s="678"/>
      <c r="B690" s="675"/>
      <c r="C690" s="667"/>
      <c r="D690" s="677"/>
      <c r="E690" s="677"/>
      <c r="F690" s="202"/>
      <c r="G690" s="669"/>
      <c r="H690" s="671"/>
      <c r="I690" s="673"/>
      <c r="J690" s="652"/>
      <c r="K690" s="667"/>
      <c r="L690" s="667"/>
      <c r="M690" s="652"/>
      <c r="N690" s="652"/>
    </row>
    <row r="691" spans="1:23" s="189" customFormat="1" ht="40.200000000000003" customHeight="1" x14ac:dyDescent="0.3">
      <c r="A691" s="678" t="str">
        <f t="shared" ref="A691" ca="1" si="2839">INDIRECT("'update Helper'!C"&amp;U691)</f>
        <v>a163p000002zQZwAAM</v>
      </c>
      <c r="B691" s="674">
        <v>2</v>
      </c>
      <c r="C691" s="666" t="str">
        <f>VLOOKUP(B691,'Coverage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91" s="676" t="str">
        <f t="shared" ref="D691" si="2840">R691</f>
        <v/>
      </c>
      <c r="E691" s="676" t="str">
        <f t="shared" ref="E691" si="2841">S691</f>
        <v/>
      </c>
      <c r="F691" s="194"/>
      <c r="G691" s="668" t="str">
        <f t="shared" ref="G691" ca="1" si="2842">IF(OR(INDIRECT("'update Helper'!E"&amp;U691)=0,F691&lt;&gt;0,F692&lt;&gt;0),IF(IFERROR((F691/F692),"")="","",(F691/F692)),INDIRECT("'update Helper'!E"&amp;U691)/100)</f>
        <v/>
      </c>
      <c r="H691" s="670"/>
      <c r="I691" s="672"/>
      <c r="J691" s="651"/>
      <c r="K691" s="666" t="str">
        <f t="shared" ref="K691" si="2843">W691</f>
        <v>HTS-3f⁽ᴹ⁾ Number of people in prisons or other closed settings that have received an HIV test during the reporting period and know their results</v>
      </c>
      <c r="L691" s="666" t="str">
        <f t="shared" ref="L691" si="2844">V691</f>
        <v/>
      </c>
      <c r="M691" s="651"/>
      <c r="N691" s="651"/>
      <c r="P691" s="189">
        <f t="shared" ref="P691" si="2845">IF(AND(EXACT(C691,C689),C689&lt;&gt;0),P689+1,0)</f>
        <v>15</v>
      </c>
      <c r="Q691" s="189" t="str">
        <f t="shared" ref="Q691" si="2846">IF(C691&lt;&gt;"",C691&amp;"-"&amp;P691,"")</f>
        <v>HTS-3f⁽ᴹ⁾ Pourcentage de personnes en détention ou se trouvant dans d’autres lieux fermés chez lesquels un dépistage du VIH a été réalisé durant la période de communication de l’information et qui connaissent leur résultat-15</v>
      </c>
      <c r="R691" s="189" t="str">
        <f t="array" ref="R691">IFERROR(IF(INDEX('Disaggregation Records'!$E$155:$E$385,MATCH(RIGHT(Q691,255),RIGHT('Disaggregation Records'!$D$155:$D$385,255),0))=0,"",INDEX('Disaggregation Records'!$E$155:$E$385,MATCH(RIGHT(Q691,255),RIGHT('Disaggregation Records'!$D$155:$D$385,255),0))),"")</f>
        <v/>
      </c>
      <c r="S691" s="189" t="str">
        <f t="array" ref="S691">IFERROR(IF(INDEX('Disaggregation Records'!$F$155:$F$385,MATCH(RIGHT(Q691,255),RIGHT('Disaggregation Records'!$D$155:$D$385,255),0))=0,"",INDEX('Disaggregation Records'!$F$155:$F$385,MATCH(RIGHT(Q691,255),RIGHT('Disaggregation Records'!$D$155:$D$385,255),0))),"")</f>
        <v/>
      </c>
      <c r="T691" s="189" t="str">
        <f t="array" ref="T691">IFERROR(IF(INDEX('Disaggregation Records'!$H$155:$H$385,MATCH(RIGHT(Q691,255),RIGHT('Disaggregation Records'!$D$155:$D$385,255),0))=0,"",INDEX('Disaggregation Records'!$H$155:$H$385,MATCH(RIGHT(Q691,255),RIGHT('Disaggregation Records'!$D$155:$D$385,255),0))),"")</f>
        <v/>
      </c>
      <c r="U691" s="189">
        <f t="shared" ref="U691" si="2847">U689+1</f>
        <v>1447</v>
      </c>
      <c r="V691" s="189" t="str">
        <f t="array" ref="V691">IFERROR(IF(INDEX('Disaggregation Records'!$I$155:$I$385,MATCH(RIGHT(Q691,255),RIGHT('Disaggregation Records'!$D$155:$D$385,255),0))=0,"",INDEX('Disaggregation Records'!$I$155:$I$385,MATCH(RIGHT(Q691,255),RIGHT('Disaggregation Records'!$D$155:$D$385,255),0))),"")</f>
        <v/>
      </c>
      <c r="W691" s="189" t="str">
        <f>IFERROR(INDEX('Reference Records'!L$59:L$121,MATCH(LEFT(C691,255),'Reference Records'!E$59:E$121,0)),"")</f>
        <v>HTS-3f⁽ᴹ⁾ Number of people in prisons or other closed settings that have received an HIV test during the reporting period and know their results</v>
      </c>
    </row>
    <row r="692" spans="1:23" s="189" customFormat="1" ht="40.200000000000003" customHeight="1" x14ac:dyDescent="0.3">
      <c r="A692" s="678"/>
      <c r="B692" s="675"/>
      <c r="C692" s="667"/>
      <c r="D692" s="677"/>
      <c r="E692" s="677"/>
      <c r="F692" s="202"/>
      <c r="G692" s="669"/>
      <c r="H692" s="671"/>
      <c r="I692" s="673"/>
      <c r="J692" s="652"/>
      <c r="K692" s="667"/>
      <c r="L692" s="667"/>
      <c r="M692" s="652"/>
      <c r="N692" s="652"/>
    </row>
    <row r="693" spans="1:23" s="189" customFormat="1" ht="40.200000000000003" customHeight="1" x14ac:dyDescent="0.3">
      <c r="A693" s="678" t="str">
        <f t="shared" ref="A693" ca="1" si="2848">INDIRECT("'update Helper'!C"&amp;U693)</f>
        <v>a163p000002zQZxAAM</v>
      </c>
      <c r="B693" s="674">
        <v>2</v>
      </c>
      <c r="C693" s="666" t="str">
        <f>VLOOKUP(B693,'Coverage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93" s="676" t="str">
        <f t="shared" ref="D693" si="2849">R693</f>
        <v/>
      </c>
      <c r="E693" s="676" t="str">
        <f t="shared" ref="E693" si="2850">S693</f>
        <v/>
      </c>
      <c r="F693" s="194"/>
      <c r="G693" s="668" t="str">
        <f t="shared" ref="G693" ca="1" si="2851">IF(OR(INDIRECT("'update Helper'!E"&amp;U693)=0,F693&lt;&gt;0,F694&lt;&gt;0),IF(IFERROR((F693/F694),"")="","",(F693/F694)),INDIRECT("'update Helper'!E"&amp;U693)/100)</f>
        <v/>
      </c>
      <c r="H693" s="670"/>
      <c r="I693" s="672"/>
      <c r="J693" s="651"/>
      <c r="K693" s="666" t="str">
        <f t="shared" ref="K693" si="2852">W693</f>
        <v>HTS-3f⁽ᴹ⁾ Number of people in prisons or other closed settings that have received an HIV test during the reporting period and know their results</v>
      </c>
      <c r="L693" s="666" t="str">
        <f t="shared" ref="L693" si="2853">V693</f>
        <v/>
      </c>
      <c r="M693" s="651"/>
      <c r="N693" s="651"/>
      <c r="P693" s="189">
        <f t="shared" ref="P693" si="2854">IF(AND(EXACT(C693,C691),C691&lt;&gt;0),P691+1,0)</f>
        <v>16</v>
      </c>
      <c r="Q693" s="189" t="str">
        <f t="shared" ref="Q693" si="2855">IF(C693&lt;&gt;"",C693&amp;"-"&amp;P693,"")</f>
        <v>HTS-3f⁽ᴹ⁾ Pourcentage de personnes en détention ou se trouvant dans d’autres lieux fermés chez lesquels un dépistage du VIH a été réalisé durant la période de communication de l’information et qui connaissent leur résultat-16</v>
      </c>
      <c r="R693" s="189" t="str">
        <f t="array" ref="R693">IFERROR(IF(INDEX('Disaggregation Records'!$E$155:$E$385,MATCH(RIGHT(Q693,255),RIGHT('Disaggregation Records'!$D$155:$D$385,255),0))=0,"",INDEX('Disaggregation Records'!$E$155:$E$385,MATCH(RIGHT(Q693,255),RIGHT('Disaggregation Records'!$D$155:$D$385,255),0))),"")</f>
        <v/>
      </c>
      <c r="S693" s="189" t="str">
        <f t="array" ref="S693">IFERROR(IF(INDEX('Disaggregation Records'!$F$155:$F$385,MATCH(RIGHT(Q693,255),RIGHT('Disaggregation Records'!$D$155:$D$385,255),0))=0,"",INDEX('Disaggregation Records'!$F$155:$F$385,MATCH(RIGHT(Q693,255),RIGHT('Disaggregation Records'!$D$155:$D$385,255),0))),"")</f>
        <v/>
      </c>
      <c r="T693" s="189" t="str">
        <f t="array" ref="T693">IFERROR(IF(INDEX('Disaggregation Records'!$H$155:$H$385,MATCH(RIGHT(Q693,255),RIGHT('Disaggregation Records'!$D$155:$D$385,255),0))=0,"",INDEX('Disaggregation Records'!$H$155:$H$385,MATCH(RIGHT(Q693,255),RIGHT('Disaggregation Records'!$D$155:$D$385,255),0))),"")</f>
        <v/>
      </c>
      <c r="U693" s="189">
        <f t="shared" ref="U693" si="2856">U691+1</f>
        <v>1448</v>
      </c>
      <c r="V693" s="189" t="str">
        <f t="array" ref="V693">IFERROR(IF(INDEX('Disaggregation Records'!$I$155:$I$385,MATCH(RIGHT(Q693,255),RIGHT('Disaggregation Records'!$D$155:$D$385,255),0))=0,"",INDEX('Disaggregation Records'!$I$155:$I$385,MATCH(RIGHT(Q693,255),RIGHT('Disaggregation Records'!$D$155:$D$385,255),0))),"")</f>
        <v/>
      </c>
      <c r="W693" s="189" t="str">
        <f>IFERROR(INDEX('Reference Records'!L$59:L$121,MATCH(LEFT(C693,255),'Reference Records'!E$59:E$121,0)),"")</f>
        <v>HTS-3f⁽ᴹ⁾ Number of people in prisons or other closed settings that have received an HIV test during the reporting period and know their results</v>
      </c>
    </row>
    <row r="694" spans="1:23" s="189" customFormat="1" ht="40.200000000000003" customHeight="1" x14ac:dyDescent="0.3">
      <c r="A694" s="678"/>
      <c r="B694" s="675"/>
      <c r="C694" s="667"/>
      <c r="D694" s="677"/>
      <c r="E694" s="677"/>
      <c r="F694" s="202"/>
      <c r="G694" s="669"/>
      <c r="H694" s="671"/>
      <c r="I694" s="673"/>
      <c r="J694" s="652"/>
      <c r="K694" s="667"/>
      <c r="L694" s="667"/>
      <c r="M694" s="652"/>
      <c r="N694" s="652"/>
    </row>
    <row r="695" spans="1:23" s="189" customFormat="1" ht="40.200000000000003" customHeight="1" x14ac:dyDescent="0.3">
      <c r="A695" s="678" t="str">
        <f t="shared" ref="A695" ca="1" si="2857">INDIRECT("'update Helper'!C"&amp;U695)</f>
        <v>a163p000002zQZyAAM</v>
      </c>
      <c r="B695" s="674">
        <v>2</v>
      </c>
      <c r="C695" s="666" t="str">
        <f>VLOOKUP(B695,'Coverage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95" s="676" t="str">
        <f t="shared" ref="D695" si="2858">R695</f>
        <v/>
      </c>
      <c r="E695" s="676" t="str">
        <f t="shared" ref="E695" si="2859">S695</f>
        <v/>
      </c>
      <c r="F695" s="194"/>
      <c r="G695" s="668" t="str">
        <f t="shared" ref="G695" ca="1" si="2860">IF(OR(INDIRECT("'update Helper'!E"&amp;U695)=0,F695&lt;&gt;0,F696&lt;&gt;0),IF(IFERROR((F695/F696),"")="","",(F695/F696)),INDIRECT("'update Helper'!E"&amp;U695)/100)</f>
        <v/>
      </c>
      <c r="H695" s="670"/>
      <c r="I695" s="672"/>
      <c r="J695" s="651"/>
      <c r="K695" s="666" t="str">
        <f t="shared" ref="K695" si="2861">W695</f>
        <v>HTS-3f⁽ᴹ⁾ Number of people in prisons or other closed settings that have received an HIV test during the reporting period and know their results</v>
      </c>
      <c r="L695" s="666" t="str">
        <f t="shared" ref="L695" si="2862">V695</f>
        <v/>
      </c>
      <c r="M695" s="651"/>
      <c r="N695" s="651"/>
      <c r="P695" s="189">
        <f t="shared" ref="P695" si="2863">IF(AND(EXACT(C695,C693),C693&lt;&gt;0),P693+1,0)</f>
        <v>17</v>
      </c>
      <c r="Q695" s="189" t="str">
        <f t="shared" ref="Q695" si="2864">IF(C695&lt;&gt;"",C695&amp;"-"&amp;P695,"")</f>
        <v>HTS-3f⁽ᴹ⁾ Pourcentage de personnes en détention ou se trouvant dans d’autres lieux fermés chez lesquels un dépistage du VIH a été réalisé durant la période de communication de l’information et qui connaissent leur résultat-17</v>
      </c>
      <c r="R695" s="189" t="str">
        <f t="array" ref="R695">IFERROR(IF(INDEX('Disaggregation Records'!$E$155:$E$385,MATCH(RIGHT(Q695,255),RIGHT('Disaggregation Records'!$D$155:$D$385,255),0))=0,"",INDEX('Disaggregation Records'!$E$155:$E$385,MATCH(RIGHT(Q695,255),RIGHT('Disaggregation Records'!$D$155:$D$385,255),0))),"")</f>
        <v/>
      </c>
      <c r="S695" s="189" t="str">
        <f t="array" ref="S695">IFERROR(IF(INDEX('Disaggregation Records'!$F$155:$F$385,MATCH(RIGHT(Q695,255),RIGHT('Disaggregation Records'!$D$155:$D$385,255),0))=0,"",INDEX('Disaggregation Records'!$F$155:$F$385,MATCH(RIGHT(Q695,255),RIGHT('Disaggregation Records'!$D$155:$D$385,255),0))),"")</f>
        <v/>
      </c>
      <c r="T695" s="189" t="str">
        <f t="array" ref="T695">IFERROR(IF(INDEX('Disaggregation Records'!$H$155:$H$385,MATCH(RIGHT(Q695,255),RIGHT('Disaggregation Records'!$D$155:$D$385,255),0))=0,"",INDEX('Disaggregation Records'!$H$155:$H$385,MATCH(RIGHT(Q695,255),RIGHT('Disaggregation Records'!$D$155:$D$385,255),0))),"")</f>
        <v/>
      </c>
      <c r="U695" s="189">
        <f t="shared" ref="U695" si="2865">U693+1</f>
        <v>1449</v>
      </c>
      <c r="V695" s="189" t="str">
        <f t="array" ref="V695">IFERROR(IF(INDEX('Disaggregation Records'!$I$155:$I$385,MATCH(RIGHT(Q695,255),RIGHT('Disaggregation Records'!$D$155:$D$385,255),0))=0,"",INDEX('Disaggregation Records'!$I$155:$I$385,MATCH(RIGHT(Q695,255),RIGHT('Disaggregation Records'!$D$155:$D$385,255),0))),"")</f>
        <v/>
      </c>
      <c r="W695" s="189" t="str">
        <f>IFERROR(INDEX('Reference Records'!L$59:L$121,MATCH(LEFT(C695,255),'Reference Records'!E$59:E$121,0)),"")</f>
        <v>HTS-3f⁽ᴹ⁾ Number of people in prisons or other closed settings that have received an HIV test during the reporting period and know their results</v>
      </c>
    </row>
    <row r="696" spans="1:23" s="189" customFormat="1" ht="40.200000000000003" customHeight="1" x14ac:dyDescent="0.3">
      <c r="A696" s="678"/>
      <c r="B696" s="675"/>
      <c r="C696" s="667"/>
      <c r="D696" s="677"/>
      <c r="E696" s="677"/>
      <c r="F696" s="202"/>
      <c r="G696" s="669"/>
      <c r="H696" s="671"/>
      <c r="I696" s="673"/>
      <c r="J696" s="652"/>
      <c r="K696" s="667"/>
      <c r="L696" s="667"/>
      <c r="M696" s="652"/>
      <c r="N696" s="652"/>
    </row>
    <row r="697" spans="1:23" s="189" customFormat="1" ht="40.200000000000003" customHeight="1" x14ac:dyDescent="0.3">
      <c r="A697" s="678" t="str">
        <f t="shared" ref="A697" ca="1" si="2866">INDIRECT("'update Helper'!C"&amp;U697)</f>
        <v>a163p000002zQZzAAM</v>
      </c>
      <c r="B697" s="674">
        <v>2</v>
      </c>
      <c r="C697" s="666" t="str">
        <f>VLOOKUP(B697,'Coverage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97" s="676" t="str">
        <f t="shared" ref="D697" si="2867">R697</f>
        <v/>
      </c>
      <c r="E697" s="676" t="str">
        <f t="shared" ref="E697" si="2868">S697</f>
        <v/>
      </c>
      <c r="F697" s="194"/>
      <c r="G697" s="668" t="str">
        <f t="shared" ref="G697" ca="1" si="2869">IF(OR(INDIRECT("'update Helper'!E"&amp;U697)=0,F697&lt;&gt;0,F698&lt;&gt;0),IF(IFERROR((F697/F698),"")="","",(F697/F698)),INDIRECT("'update Helper'!E"&amp;U697)/100)</f>
        <v/>
      </c>
      <c r="H697" s="670"/>
      <c r="I697" s="672"/>
      <c r="J697" s="651"/>
      <c r="K697" s="666" t="str">
        <f t="shared" ref="K697" si="2870">W697</f>
        <v>HTS-3f⁽ᴹ⁾ Number of people in prisons or other closed settings that have received an HIV test during the reporting period and know their results</v>
      </c>
      <c r="L697" s="666" t="str">
        <f t="shared" ref="L697" si="2871">V697</f>
        <v/>
      </c>
      <c r="M697" s="651"/>
      <c r="N697" s="651"/>
      <c r="P697" s="189">
        <f t="shared" ref="P697" si="2872">IF(AND(EXACT(C697,C695),C695&lt;&gt;0),P695+1,0)</f>
        <v>18</v>
      </c>
      <c r="Q697" s="189" t="str">
        <f t="shared" ref="Q697" si="2873">IF(C697&lt;&gt;"",C697&amp;"-"&amp;P697,"")</f>
        <v>HTS-3f⁽ᴹ⁾ Pourcentage de personnes en détention ou se trouvant dans d’autres lieux fermés chez lesquels un dépistage du VIH a été réalisé durant la période de communication de l’information et qui connaissent leur résultat-18</v>
      </c>
      <c r="R697" s="189" t="str">
        <f t="array" ref="R697">IFERROR(IF(INDEX('Disaggregation Records'!$E$155:$E$385,MATCH(RIGHT(Q697,255),RIGHT('Disaggregation Records'!$D$155:$D$385,255),0))=0,"",INDEX('Disaggregation Records'!$E$155:$E$385,MATCH(RIGHT(Q697,255),RIGHT('Disaggregation Records'!$D$155:$D$385,255),0))),"")</f>
        <v/>
      </c>
      <c r="S697" s="189" t="str">
        <f t="array" ref="S697">IFERROR(IF(INDEX('Disaggregation Records'!$F$155:$F$385,MATCH(RIGHT(Q697,255),RIGHT('Disaggregation Records'!$D$155:$D$385,255),0))=0,"",INDEX('Disaggregation Records'!$F$155:$F$385,MATCH(RIGHT(Q697,255),RIGHT('Disaggregation Records'!$D$155:$D$385,255),0))),"")</f>
        <v/>
      </c>
      <c r="T697" s="189" t="str">
        <f t="array" ref="T697">IFERROR(IF(INDEX('Disaggregation Records'!$H$155:$H$385,MATCH(RIGHT(Q697,255),RIGHT('Disaggregation Records'!$D$155:$D$385,255),0))=0,"",INDEX('Disaggregation Records'!$H$155:$H$385,MATCH(RIGHT(Q697,255),RIGHT('Disaggregation Records'!$D$155:$D$385,255),0))),"")</f>
        <v/>
      </c>
      <c r="U697" s="189">
        <f t="shared" ref="U697" si="2874">U695+1</f>
        <v>1450</v>
      </c>
      <c r="V697" s="189" t="str">
        <f t="array" ref="V697">IFERROR(IF(INDEX('Disaggregation Records'!$I$155:$I$385,MATCH(RIGHT(Q697,255),RIGHT('Disaggregation Records'!$D$155:$D$385,255),0))=0,"",INDEX('Disaggregation Records'!$I$155:$I$385,MATCH(RIGHT(Q697,255),RIGHT('Disaggregation Records'!$D$155:$D$385,255),0))),"")</f>
        <v/>
      </c>
      <c r="W697" s="189" t="str">
        <f>IFERROR(INDEX('Reference Records'!L$59:L$121,MATCH(LEFT(C697,255),'Reference Records'!E$59:E$121,0)),"")</f>
        <v>HTS-3f⁽ᴹ⁾ Number of people in prisons or other closed settings that have received an HIV test during the reporting period and know their results</v>
      </c>
    </row>
    <row r="698" spans="1:23" s="189" customFormat="1" ht="40.200000000000003" customHeight="1" x14ac:dyDescent="0.3">
      <c r="A698" s="678"/>
      <c r="B698" s="675"/>
      <c r="C698" s="667"/>
      <c r="D698" s="677"/>
      <c r="E698" s="677"/>
      <c r="F698" s="202"/>
      <c r="G698" s="669"/>
      <c r="H698" s="671"/>
      <c r="I698" s="673"/>
      <c r="J698" s="652"/>
      <c r="K698" s="667"/>
      <c r="L698" s="667"/>
      <c r="M698" s="652"/>
      <c r="N698" s="652"/>
    </row>
    <row r="699" spans="1:23" s="189" customFormat="1" ht="40.200000000000003" customHeight="1" x14ac:dyDescent="0.3">
      <c r="A699" s="678" t="str">
        <f t="shared" ref="A699" ca="1" si="2875">INDIRECT("'update Helper'!C"&amp;U699)</f>
        <v>a163p000002zQa0AAE</v>
      </c>
      <c r="B699" s="674">
        <v>2</v>
      </c>
      <c r="C699" s="666" t="str">
        <f>VLOOKUP(B699,'Coverage Indicators - Section D'!$A$9:$AU$70,47,FALSE)</f>
        <v>HTS-3f⁽ᴹ⁾ Pourcentage de personnes en détention ou se trouvant dans d’autres lieux fermés chez lesquels un dépistage du VIH a été réalisé durant la période de communication de l’information et qui connaissent leur résultat</v>
      </c>
      <c r="D699" s="676" t="str">
        <f t="shared" ref="D699" si="2876">R699</f>
        <v/>
      </c>
      <c r="E699" s="676" t="str">
        <f t="shared" ref="E699" si="2877">S699</f>
        <v/>
      </c>
      <c r="F699" s="194"/>
      <c r="G699" s="668" t="str">
        <f t="shared" ref="G699" ca="1" si="2878">IF(OR(INDIRECT("'update Helper'!E"&amp;U699)=0,F699&lt;&gt;0,F700&lt;&gt;0),IF(IFERROR((F699/F700),"")="","",(F699/F700)),INDIRECT("'update Helper'!E"&amp;U699)/100)</f>
        <v/>
      </c>
      <c r="H699" s="670"/>
      <c r="I699" s="672"/>
      <c r="J699" s="651"/>
      <c r="K699" s="666" t="str">
        <f t="shared" ref="K699" si="2879">W699</f>
        <v>HTS-3f⁽ᴹ⁾ Number of people in prisons or other closed settings that have received an HIV test during the reporting period and know their results</v>
      </c>
      <c r="L699" s="666" t="str">
        <f t="shared" ref="L699" si="2880">V699</f>
        <v/>
      </c>
      <c r="M699" s="651"/>
      <c r="N699" s="651"/>
      <c r="P699" s="189">
        <f t="shared" ref="P699" si="2881">IF(AND(EXACT(C699,C697),C697&lt;&gt;0),P697+1,0)</f>
        <v>19</v>
      </c>
      <c r="Q699" s="189" t="str">
        <f t="shared" ref="Q699" si="2882">IF(C699&lt;&gt;"",C699&amp;"-"&amp;P699,"")</f>
        <v>HTS-3f⁽ᴹ⁾ Pourcentage de personnes en détention ou se trouvant dans d’autres lieux fermés chez lesquels un dépistage du VIH a été réalisé durant la période de communication de l’information et qui connaissent leur résultat-19</v>
      </c>
      <c r="R699" s="189" t="str">
        <f t="array" ref="R699">IFERROR(IF(INDEX('Disaggregation Records'!$E$155:$E$385,MATCH(RIGHT(Q699,255),RIGHT('Disaggregation Records'!$D$155:$D$385,255),0))=0,"",INDEX('Disaggregation Records'!$E$155:$E$385,MATCH(RIGHT(Q699,255),RIGHT('Disaggregation Records'!$D$155:$D$385,255),0))),"")</f>
        <v/>
      </c>
      <c r="S699" s="189" t="str">
        <f t="array" ref="S699">IFERROR(IF(INDEX('Disaggregation Records'!$F$155:$F$385,MATCH(RIGHT(Q699,255),RIGHT('Disaggregation Records'!$D$155:$D$385,255),0))=0,"",INDEX('Disaggregation Records'!$F$155:$F$385,MATCH(RIGHT(Q699,255),RIGHT('Disaggregation Records'!$D$155:$D$385,255),0))),"")</f>
        <v/>
      </c>
      <c r="T699" s="189" t="str">
        <f t="array" ref="T699">IFERROR(IF(INDEX('Disaggregation Records'!$H$155:$H$385,MATCH(RIGHT(Q699,255),RIGHT('Disaggregation Records'!$D$155:$D$385,255),0))=0,"",INDEX('Disaggregation Records'!$H$155:$H$385,MATCH(RIGHT(Q699,255),RIGHT('Disaggregation Records'!$D$155:$D$385,255),0))),"")</f>
        <v/>
      </c>
      <c r="U699" s="189">
        <f t="shared" ref="U699" si="2883">U697+1</f>
        <v>1451</v>
      </c>
      <c r="V699" s="189" t="str">
        <f t="array" ref="V699">IFERROR(IF(INDEX('Disaggregation Records'!$I$155:$I$385,MATCH(RIGHT(Q699,255),RIGHT('Disaggregation Records'!$D$155:$D$385,255),0))=0,"",INDEX('Disaggregation Records'!$I$155:$I$385,MATCH(RIGHT(Q699,255),RIGHT('Disaggregation Records'!$D$155:$D$385,255),0))),"")</f>
        <v/>
      </c>
      <c r="W699" s="189" t="str">
        <f>IFERROR(INDEX('Reference Records'!L$59:L$121,MATCH(LEFT(C699,255),'Reference Records'!E$59:E$121,0)),"")</f>
        <v>HTS-3f⁽ᴹ⁾ Number of people in prisons or other closed settings that have received an HIV test during the reporting period and know their results</v>
      </c>
    </row>
    <row r="700" spans="1:23" s="189" customFormat="1" ht="40.200000000000003" customHeight="1" x14ac:dyDescent="0.3">
      <c r="A700" s="678"/>
      <c r="B700" s="675"/>
      <c r="C700" s="667"/>
      <c r="D700" s="677"/>
      <c r="E700" s="677"/>
      <c r="F700" s="202"/>
      <c r="G700" s="669"/>
      <c r="H700" s="671"/>
      <c r="I700" s="673"/>
      <c r="J700" s="652"/>
      <c r="K700" s="667"/>
      <c r="L700" s="667"/>
      <c r="M700" s="652"/>
      <c r="N700" s="652"/>
    </row>
    <row r="701" spans="1:23" s="189" customFormat="1" ht="40.200000000000003" customHeight="1" x14ac:dyDescent="0.3">
      <c r="A701" s="678" t="str">
        <f t="shared" ref="A701" ca="1" si="2884">INDIRECT("'update Helper'!C"&amp;U701)</f>
        <v>a163p000002zQa1AAE</v>
      </c>
      <c r="B701" s="674">
        <v>3</v>
      </c>
      <c r="C701" s="666" t="str">
        <f>VLOOKUP(B701,'Coverage Indicators - Section D'!$A$9:$AU$70,47,FALSE)</f>
        <v>PMTCT-1 Pourcentage de femmes enceintes qui connaissent leur statut sérologique pour le VIH</v>
      </c>
      <c r="D701" s="676" t="str">
        <f t="shared" ref="D701" si="2885">R701</f>
        <v>Résultat du test VIH</v>
      </c>
      <c r="E701" s="676" t="str">
        <f t="shared" ref="E701" si="2886">S701</f>
        <v>Positif</v>
      </c>
      <c r="F701" s="194"/>
      <c r="G701" s="668" t="str">
        <f t="shared" ref="G701" ca="1" si="2887">IF(OR(INDIRECT("'update Helper'!E"&amp;U701)=0,F701&lt;&gt;0,F702&lt;&gt;0),IF(IFERROR((F701/F702),"")="","",(F701/F702)),INDIRECT("'update Helper'!E"&amp;U701)/100)</f>
        <v/>
      </c>
      <c r="H701" s="670"/>
      <c r="I701" s="672"/>
      <c r="J701" s="651"/>
      <c r="K701" s="666" t="str">
        <f t="shared" ref="K701" si="2888">W701</f>
        <v>PMTCT-1 Percentage of pregnant women who know their HIV status</v>
      </c>
      <c r="L701" s="666" t="str">
        <f t="shared" ref="L701" si="2889">V701</f>
        <v>HIV test status</v>
      </c>
      <c r="M701" s="651"/>
      <c r="N701" s="651"/>
      <c r="P701" s="189">
        <f t="shared" ref="P701" si="2890">IF(AND(EXACT(C701,C699),C699&lt;&gt;0),P699+1,0)</f>
        <v>0</v>
      </c>
      <c r="Q701" s="189" t="str">
        <f t="shared" ref="Q701" si="2891">IF(C701&lt;&gt;"",C701&amp;"-"&amp;P701,"")</f>
        <v>PMTCT-1 Pourcentage de femmes enceintes qui connaissent leur statut sérologique pour le VIH-0</v>
      </c>
      <c r="R701" s="189" t="str">
        <f t="array" ref="R701">IFERROR(IF(INDEX('Disaggregation Records'!$E$155:$E$385,MATCH(RIGHT(Q701,255),RIGHT('Disaggregation Records'!$D$155:$D$385,255),0))=0,"",INDEX('Disaggregation Records'!$E$155:$E$385,MATCH(RIGHT(Q701,255),RIGHT('Disaggregation Records'!$D$155:$D$385,255),0))),"")</f>
        <v>Résultat du test VIH</v>
      </c>
      <c r="S701" s="189" t="str">
        <f t="array" ref="S701">IFERROR(IF(INDEX('Disaggregation Records'!$F$155:$F$385,MATCH(RIGHT(Q701,255),RIGHT('Disaggregation Records'!$D$155:$D$385,255),0))=0,"",INDEX('Disaggregation Records'!$F$155:$F$385,MATCH(RIGHT(Q701,255),RIGHT('Disaggregation Records'!$D$155:$D$385,255),0))),"")</f>
        <v>Positif</v>
      </c>
      <c r="T701" s="189" t="str">
        <f t="array" ref="T701">IFERROR(IF(INDEX('Disaggregation Records'!$H$155:$H$385,MATCH(RIGHT(Q701,255),RIGHT('Disaggregation Records'!$D$155:$D$385,255),0))=0,"",INDEX('Disaggregation Records'!$H$155:$H$385,MATCH(RIGHT(Q701,255),RIGHT('Disaggregation Records'!$D$155:$D$385,255),0))),"")</f>
        <v>IDR-00912</v>
      </c>
      <c r="U701" s="189">
        <f t="shared" ref="U701" si="2892">U699+1</f>
        <v>1452</v>
      </c>
      <c r="V701" s="189" t="str">
        <f t="array" ref="V701">IFERROR(IF(INDEX('Disaggregation Records'!$I$155:$I$385,MATCH(RIGHT(Q701,255),RIGHT('Disaggregation Records'!$D$155:$D$385,255),0))=0,"",INDEX('Disaggregation Records'!$I$155:$I$385,MATCH(RIGHT(Q701,255),RIGHT('Disaggregation Records'!$D$155:$D$385,255),0))),"")</f>
        <v>HIV test status</v>
      </c>
      <c r="W701" s="189" t="str">
        <f>IFERROR(INDEX('Reference Records'!L$59:L$121,MATCH(LEFT(C701,255),'Reference Records'!E$59:E$121,0)),"")</f>
        <v>PMTCT-1 Percentage of pregnant women who know their HIV status</v>
      </c>
    </row>
    <row r="702" spans="1:23" s="189" customFormat="1" ht="40.200000000000003" customHeight="1" x14ac:dyDescent="0.3">
      <c r="A702" s="678"/>
      <c r="B702" s="675"/>
      <c r="C702" s="667"/>
      <c r="D702" s="677"/>
      <c r="E702" s="677"/>
      <c r="F702" s="202"/>
      <c r="G702" s="669"/>
      <c r="H702" s="671"/>
      <c r="I702" s="673"/>
      <c r="J702" s="652"/>
      <c r="K702" s="667"/>
      <c r="L702" s="667"/>
      <c r="M702" s="652"/>
      <c r="N702" s="652"/>
    </row>
    <row r="703" spans="1:23" s="189" customFormat="1" ht="40.200000000000003" customHeight="1" x14ac:dyDescent="0.3">
      <c r="A703" s="678" t="str">
        <f t="shared" ref="A703" ca="1" si="2893">INDIRECT("'update Helper'!C"&amp;U703)</f>
        <v>a163p000002zQa2AAE</v>
      </c>
      <c r="B703" s="674">
        <v>3</v>
      </c>
      <c r="C703" s="666" t="str">
        <f>VLOOKUP(B703,'Coverage Indicators - Section D'!$A$9:$AU$70,47,FALSE)</f>
        <v>PMTCT-1 Pourcentage de femmes enceintes qui connaissent leur statut sérologique pour le VIH</v>
      </c>
      <c r="D703" s="676" t="str">
        <f t="shared" ref="D703" si="2894">R703</f>
        <v>Résultat du test VIH</v>
      </c>
      <c r="E703" s="676" t="str">
        <f t="shared" ref="E703" si="2895">S703</f>
        <v>Négatif</v>
      </c>
      <c r="F703" s="194"/>
      <c r="G703" s="668" t="str">
        <f t="shared" ref="G703" ca="1" si="2896">IF(OR(INDIRECT("'update Helper'!E"&amp;U703)=0,F703&lt;&gt;0,F704&lt;&gt;0),IF(IFERROR((F703/F704),"")="","",(F703/F704)),INDIRECT("'update Helper'!E"&amp;U703)/100)</f>
        <v/>
      </c>
      <c r="H703" s="670"/>
      <c r="I703" s="672"/>
      <c r="J703" s="651"/>
      <c r="K703" s="666" t="str">
        <f t="shared" ref="K703" si="2897">W703</f>
        <v>PMTCT-1 Percentage of pregnant women who know their HIV status</v>
      </c>
      <c r="L703" s="666" t="str">
        <f t="shared" ref="L703" si="2898">V703</f>
        <v>HIV test status</v>
      </c>
      <c r="M703" s="651"/>
      <c r="N703" s="651"/>
      <c r="P703" s="189">
        <f t="shared" ref="P703" si="2899">IF(AND(EXACT(C703,C701),C701&lt;&gt;0),P701+1,0)</f>
        <v>1</v>
      </c>
      <c r="Q703" s="189" t="str">
        <f t="shared" ref="Q703" si="2900">IF(C703&lt;&gt;"",C703&amp;"-"&amp;P703,"")</f>
        <v>PMTCT-1 Pourcentage de femmes enceintes qui connaissent leur statut sérologique pour le VIH-1</v>
      </c>
      <c r="R703" s="189" t="str">
        <f t="array" ref="R703">IFERROR(IF(INDEX('Disaggregation Records'!$E$155:$E$385,MATCH(RIGHT(Q703,255),RIGHT('Disaggregation Records'!$D$155:$D$385,255),0))=0,"",INDEX('Disaggregation Records'!$E$155:$E$385,MATCH(RIGHT(Q703,255),RIGHT('Disaggregation Records'!$D$155:$D$385,255),0))),"")</f>
        <v>Résultat du test VIH</v>
      </c>
      <c r="S703" s="189" t="str">
        <f t="array" ref="S703">IFERROR(IF(INDEX('Disaggregation Records'!$F$155:$F$385,MATCH(RIGHT(Q703,255),RIGHT('Disaggregation Records'!$D$155:$D$385,255),0))=0,"",INDEX('Disaggregation Records'!$F$155:$F$385,MATCH(RIGHT(Q703,255),RIGHT('Disaggregation Records'!$D$155:$D$385,255),0))),"")</f>
        <v>Négatif</v>
      </c>
      <c r="T703" s="189" t="str">
        <f t="array" ref="T703">IFERROR(IF(INDEX('Disaggregation Records'!$H$155:$H$385,MATCH(RIGHT(Q703,255),RIGHT('Disaggregation Records'!$D$155:$D$385,255),0))=0,"",INDEX('Disaggregation Records'!$H$155:$H$385,MATCH(RIGHT(Q703,255),RIGHT('Disaggregation Records'!$D$155:$D$385,255),0))),"")</f>
        <v>IDR-00913</v>
      </c>
      <c r="U703" s="189">
        <f t="shared" ref="U703" si="2901">U701+1</f>
        <v>1453</v>
      </c>
      <c r="V703" s="189" t="str">
        <f t="array" ref="V703">IFERROR(IF(INDEX('Disaggregation Records'!$I$155:$I$385,MATCH(RIGHT(Q703,255),RIGHT('Disaggregation Records'!$D$155:$D$385,255),0))=0,"",INDEX('Disaggregation Records'!$I$155:$I$385,MATCH(RIGHT(Q703,255),RIGHT('Disaggregation Records'!$D$155:$D$385,255),0))),"")</f>
        <v>HIV test status</v>
      </c>
      <c r="W703" s="189" t="str">
        <f>IFERROR(INDEX('Reference Records'!L$59:L$121,MATCH(LEFT(C703,255),'Reference Records'!E$59:E$121,0)),"")</f>
        <v>PMTCT-1 Percentage of pregnant women who know their HIV status</v>
      </c>
    </row>
    <row r="704" spans="1:23" s="189" customFormat="1" ht="40.200000000000003" customHeight="1" x14ac:dyDescent="0.3">
      <c r="A704" s="678"/>
      <c r="B704" s="675"/>
      <c r="C704" s="667"/>
      <c r="D704" s="677"/>
      <c r="E704" s="677"/>
      <c r="F704" s="202"/>
      <c r="G704" s="669"/>
      <c r="H704" s="671"/>
      <c r="I704" s="673"/>
      <c r="J704" s="652"/>
      <c r="K704" s="667"/>
      <c r="L704" s="667"/>
      <c r="M704" s="652"/>
      <c r="N704" s="652"/>
    </row>
    <row r="705" spans="1:23" s="189" customFormat="1" ht="40.200000000000003" customHeight="1" x14ac:dyDescent="0.3">
      <c r="A705" s="678" t="str">
        <f t="shared" ref="A705" ca="1" si="2902">INDIRECT("'update Helper'!C"&amp;U705)</f>
        <v>a163p000002zQa3AAE</v>
      </c>
      <c r="B705" s="674">
        <v>3</v>
      </c>
      <c r="C705" s="666" t="str">
        <f>VLOOKUP(B705,'Coverage Indicators - Section D'!$A$9:$AU$70,47,FALSE)</f>
        <v>PMTCT-1 Pourcentage de femmes enceintes qui connaissent leur statut sérologique pour le VIH</v>
      </c>
      <c r="D705" s="676" t="str">
        <f t="shared" ref="D705" si="2903">R705</f>
        <v/>
      </c>
      <c r="E705" s="676" t="str">
        <f t="shared" ref="E705" si="2904">S705</f>
        <v/>
      </c>
      <c r="F705" s="194"/>
      <c r="G705" s="668" t="str">
        <f t="shared" ref="G705" ca="1" si="2905">IF(OR(INDIRECT("'update Helper'!E"&amp;U705)=0,F705&lt;&gt;0,F706&lt;&gt;0),IF(IFERROR((F705/F706),"")="","",(F705/F706)),INDIRECT("'update Helper'!E"&amp;U705)/100)</f>
        <v/>
      </c>
      <c r="H705" s="670"/>
      <c r="I705" s="672"/>
      <c r="J705" s="651"/>
      <c r="K705" s="666" t="str">
        <f t="shared" ref="K705" si="2906">W705</f>
        <v>PMTCT-1 Percentage of pregnant women who know their HIV status</v>
      </c>
      <c r="L705" s="666" t="str">
        <f t="shared" ref="L705" si="2907">V705</f>
        <v/>
      </c>
      <c r="M705" s="651"/>
      <c r="N705" s="651"/>
      <c r="P705" s="189">
        <f t="shared" ref="P705" si="2908">IF(AND(EXACT(C705,C703),C703&lt;&gt;0),P703+1,0)</f>
        <v>2</v>
      </c>
      <c r="Q705" s="189" t="str">
        <f t="shared" ref="Q705" si="2909">IF(C705&lt;&gt;"",C705&amp;"-"&amp;P705,"")</f>
        <v>PMTCT-1 Pourcentage de femmes enceintes qui connaissent leur statut sérologique pour le VIH-2</v>
      </c>
      <c r="R705" s="189" t="str">
        <f t="array" ref="R705">IFERROR(IF(INDEX('Disaggregation Records'!$E$155:$E$385,MATCH(RIGHT(Q705,255),RIGHT('Disaggregation Records'!$D$155:$D$385,255),0))=0,"",INDEX('Disaggregation Records'!$E$155:$E$385,MATCH(RIGHT(Q705,255),RIGHT('Disaggregation Records'!$D$155:$D$385,255),0))),"")</f>
        <v/>
      </c>
      <c r="S705" s="189" t="str">
        <f t="array" ref="S705">IFERROR(IF(INDEX('Disaggregation Records'!$F$155:$F$385,MATCH(RIGHT(Q705,255),RIGHT('Disaggregation Records'!$D$155:$D$385,255),0))=0,"",INDEX('Disaggregation Records'!$F$155:$F$385,MATCH(RIGHT(Q705,255),RIGHT('Disaggregation Records'!$D$155:$D$385,255),0))),"")</f>
        <v/>
      </c>
      <c r="T705" s="189" t="str">
        <f t="array" ref="T705">IFERROR(IF(INDEX('Disaggregation Records'!$H$155:$H$385,MATCH(RIGHT(Q705,255),RIGHT('Disaggregation Records'!$D$155:$D$385,255),0))=0,"",INDEX('Disaggregation Records'!$H$155:$H$385,MATCH(RIGHT(Q705,255),RIGHT('Disaggregation Records'!$D$155:$D$385,255),0))),"")</f>
        <v/>
      </c>
      <c r="U705" s="189">
        <f t="shared" ref="U705" si="2910">U703+1</f>
        <v>1454</v>
      </c>
      <c r="V705" s="189" t="str">
        <f t="array" ref="V705">IFERROR(IF(INDEX('Disaggregation Records'!$I$155:$I$385,MATCH(RIGHT(Q705,255),RIGHT('Disaggregation Records'!$D$155:$D$385,255),0))=0,"",INDEX('Disaggregation Records'!$I$155:$I$385,MATCH(RIGHT(Q705,255),RIGHT('Disaggregation Records'!$D$155:$D$385,255),0))),"")</f>
        <v/>
      </c>
      <c r="W705" s="189" t="str">
        <f>IFERROR(INDEX('Reference Records'!L$59:L$121,MATCH(LEFT(C705,255),'Reference Records'!E$59:E$121,0)),"")</f>
        <v>PMTCT-1 Percentage of pregnant women who know their HIV status</v>
      </c>
    </row>
    <row r="706" spans="1:23" s="189" customFormat="1" ht="40.200000000000003" customHeight="1" x14ac:dyDescent="0.3">
      <c r="A706" s="678"/>
      <c r="B706" s="675"/>
      <c r="C706" s="667"/>
      <c r="D706" s="677"/>
      <c r="E706" s="677"/>
      <c r="F706" s="202"/>
      <c r="G706" s="669"/>
      <c r="H706" s="671"/>
      <c r="I706" s="673"/>
      <c r="J706" s="652"/>
      <c r="K706" s="667"/>
      <c r="L706" s="667"/>
      <c r="M706" s="652"/>
      <c r="N706" s="652"/>
    </row>
    <row r="707" spans="1:23" s="189" customFormat="1" ht="40.200000000000003" customHeight="1" x14ac:dyDescent="0.3">
      <c r="A707" s="678" t="str">
        <f t="shared" ref="A707" ca="1" si="2911">INDIRECT("'update Helper'!C"&amp;U707)</f>
        <v>a163p000002zQa4AAE</v>
      </c>
      <c r="B707" s="674">
        <v>3</v>
      </c>
      <c r="C707" s="666" t="str">
        <f>VLOOKUP(B707,'Coverage Indicators - Section D'!$A$9:$AU$70,47,FALSE)</f>
        <v>PMTCT-1 Pourcentage de femmes enceintes qui connaissent leur statut sérologique pour le VIH</v>
      </c>
      <c r="D707" s="676" t="str">
        <f t="shared" ref="D707" si="2912">R707</f>
        <v/>
      </c>
      <c r="E707" s="676" t="str">
        <f t="shared" ref="E707" si="2913">S707</f>
        <v/>
      </c>
      <c r="F707" s="194"/>
      <c r="G707" s="668" t="str">
        <f t="shared" ref="G707" ca="1" si="2914">IF(OR(INDIRECT("'update Helper'!E"&amp;U707)=0,F707&lt;&gt;0,F708&lt;&gt;0),IF(IFERROR((F707/F708),"")="","",(F707/F708)),INDIRECT("'update Helper'!E"&amp;U707)/100)</f>
        <v/>
      </c>
      <c r="H707" s="670"/>
      <c r="I707" s="672"/>
      <c r="J707" s="651"/>
      <c r="K707" s="666" t="str">
        <f t="shared" ref="K707" si="2915">W707</f>
        <v>PMTCT-1 Percentage of pregnant women who know their HIV status</v>
      </c>
      <c r="L707" s="666" t="str">
        <f t="shared" ref="L707" si="2916">V707</f>
        <v/>
      </c>
      <c r="M707" s="651"/>
      <c r="N707" s="651"/>
      <c r="P707" s="189">
        <f t="shared" ref="P707" si="2917">IF(AND(EXACT(C707,C705),C705&lt;&gt;0),P705+1,0)</f>
        <v>3</v>
      </c>
      <c r="Q707" s="189" t="str">
        <f t="shared" ref="Q707" si="2918">IF(C707&lt;&gt;"",C707&amp;"-"&amp;P707,"")</f>
        <v>PMTCT-1 Pourcentage de femmes enceintes qui connaissent leur statut sérologique pour le VIH-3</v>
      </c>
      <c r="R707" s="189" t="str">
        <f t="array" ref="R707">IFERROR(IF(INDEX('Disaggregation Records'!$E$155:$E$385,MATCH(RIGHT(Q707,255),RIGHT('Disaggregation Records'!$D$155:$D$385,255),0))=0,"",INDEX('Disaggregation Records'!$E$155:$E$385,MATCH(RIGHT(Q707,255),RIGHT('Disaggregation Records'!$D$155:$D$385,255),0))),"")</f>
        <v/>
      </c>
      <c r="S707" s="189" t="str">
        <f t="array" ref="S707">IFERROR(IF(INDEX('Disaggregation Records'!$F$155:$F$385,MATCH(RIGHT(Q707,255),RIGHT('Disaggregation Records'!$D$155:$D$385,255),0))=0,"",INDEX('Disaggregation Records'!$F$155:$F$385,MATCH(RIGHT(Q707,255),RIGHT('Disaggregation Records'!$D$155:$D$385,255),0))),"")</f>
        <v/>
      </c>
      <c r="T707" s="189" t="str">
        <f t="array" ref="T707">IFERROR(IF(INDEX('Disaggregation Records'!$H$155:$H$385,MATCH(RIGHT(Q707,255),RIGHT('Disaggregation Records'!$D$155:$D$385,255),0))=0,"",INDEX('Disaggregation Records'!$H$155:$H$385,MATCH(RIGHT(Q707,255),RIGHT('Disaggregation Records'!$D$155:$D$385,255),0))),"")</f>
        <v/>
      </c>
      <c r="U707" s="189">
        <f t="shared" ref="U707" si="2919">U705+1</f>
        <v>1455</v>
      </c>
      <c r="V707" s="189" t="str">
        <f t="array" ref="V707">IFERROR(IF(INDEX('Disaggregation Records'!$I$155:$I$385,MATCH(RIGHT(Q707,255),RIGHT('Disaggregation Records'!$D$155:$D$385,255),0))=0,"",INDEX('Disaggregation Records'!$I$155:$I$385,MATCH(RIGHT(Q707,255),RIGHT('Disaggregation Records'!$D$155:$D$385,255),0))),"")</f>
        <v/>
      </c>
      <c r="W707" s="189" t="str">
        <f>IFERROR(INDEX('Reference Records'!L$59:L$121,MATCH(LEFT(C707,255),'Reference Records'!E$59:E$121,0)),"")</f>
        <v>PMTCT-1 Percentage of pregnant women who know their HIV status</v>
      </c>
    </row>
    <row r="708" spans="1:23" s="189" customFormat="1" ht="40.200000000000003" customHeight="1" x14ac:dyDescent="0.3">
      <c r="A708" s="678"/>
      <c r="B708" s="675"/>
      <c r="C708" s="667"/>
      <c r="D708" s="677"/>
      <c r="E708" s="677"/>
      <c r="F708" s="202"/>
      <c r="G708" s="669"/>
      <c r="H708" s="671"/>
      <c r="I708" s="673"/>
      <c r="J708" s="652"/>
      <c r="K708" s="667"/>
      <c r="L708" s="667"/>
      <c r="M708" s="652"/>
      <c r="N708" s="652"/>
    </row>
    <row r="709" spans="1:23" s="189" customFormat="1" ht="40.200000000000003" customHeight="1" x14ac:dyDescent="0.3">
      <c r="A709" s="678" t="str">
        <f t="shared" ref="A709" ca="1" si="2920">INDIRECT("'update Helper'!C"&amp;U709)</f>
        <v>a163p000002zQa5AAE</v>
      </c>
      <c r="B709" s="674">
        <v>3</v>
      </c>
      <c r="C709" s="666" t="str">
        <f>VLOOKUP(B709,'Coverage Indicators - Section D'!$A$9:$AU$70,47,FALSE)</f>
        <v>PMTCT-1 Pourcentage de femmes enceintes qui connaissent leur statut sérologique pour le VIH</v>
      </c>
      <c r="D709" s="676" t="str">
        <f t="shared" ref="D709" si="2921">R709</f>
        <v/>
      </c>
      <c r="E709" s="676" t="str">
        <f t="shared" ref="E709" si="2922">S709</f>
        <v/>
      </c>
      <c r="F709" s="194"/>
      <c r="G709" s="668" t="str">
        <f t="shared" ref="G709" ca="1" si="2923">IF(OR(INDIRECT("'update Helper'!E"&amp;U709)=0,F709&lt;&gt;0,F710&lt;&gt;0),IF(IFERROR((F709/F710),"")="","",(F709/F710)),INDIRECT("'update Helper'!E"&amp;U709)/100)</f>
        <v/>
      </c>
      <c r="H709" s="670"/>
      <c r="I709" s="672"/>
      <c r="J709" s="651"/>
      <c r="K709" s="666" t="str">
        <f t="shared" ref="K709" si="2924">W709</f>
        <v>PMTCT-1 Percentage of pregnant women who know their HIV status</v>
      </c>
      <c r="L709" s="666" t="str">
        <f t="shared" ref="L709" si="2925">V709</f>
        <v/>
      </c>
      <c r="M709" s="651"/>
      <c r="N709" s="651"/>
      <c r="P709" s="189">
        <f t="shared" ref="P709" si="2926">IF(AND(EXACT(C709,C707),C707&lt;&gt;0),P707+1,0)</f>
        <v>4</v>
      </c>
      <c r="Q709" s="189" t="str">
        <f t="shared" ref="Q709" si="2927">IF(C709&lt;&gt;"",C709&amp;"-"&amp;P709,"")</f>
        <v>PMTCT-1 Pourcentage de femmes enceintes qui connaissent leur statut sérologique pour le VIH-4</v>
      </c>
      <c r="R709" s="189" t="str">
        <f t="array" ref="R709">IFERROR(IF(INDEX('Disaggregation Records'!$E$155:$E$385,MATCH(RIGHT(Q709,255),RIGHT('Disaggregation Records'!$D$155:$D$385,255),0))=0,"",INDEX('Disaggregation Records'!$E$155:$E$385,MATCH(RIGHT(Q709,255),RIGHT('Disaggregation Records'!$D$155:$D$385,255),0))),"")</f>
        <v/>
      </c>
      <c r="S709" s="189" t="str">
        <f t="array" ref="S709">IFERROR(IF(INDEX('Disaggregation Records'!$F$155:$F$385,MATCH(RIGHT(Q709,255),RIGHT('Disaggregation Records'!$D$155:$D$385,255),0))=0,"",INDEX('Disaggregation Records'!$F$155:$F$385,MATCH(RIGHT(Q709,255),RIGHT('Disaggregation Records'!$D$155:$D$385,255),0))),"")</f>
        <v/>
      </c>
      <c r="T709" s="189" t="str">
        <f t="array" ref="T709">IFERROR(IF(INDEX('Disaggregation Records'!$H$155:$H$385,MATCH(RIGHT(Q709,255),RIGHT('Disaggregation Records'!$D$155:$D$385,255),0))=0,"",INDEX('Disaggregation Records'!$H$155:$H$385,MATCH(RIGHT(Q709,255),RIGHT('Disaggregation Records'!$D$155:$D$385,255),0))),"")</f>
        <v/>
      </c>
      <c r="U709" s="189">
        <f t="shared" ref="U709" si="2928">U707+1</f>
        <v>1456</v>
      </c>
      <c r="V709" s="189" t="str">
        <f t="array" ref="V709">IFERROR(IF(INDEX('Disaggregation Records'!$I$155:$I$385,MATCH(RIGHT(Q709,255),RIGHT('Disaggregation Records'!$D$155:$D$385,255),0))=0,"",INDEX('Disaggregation Records'!$I$155:$I$385,MATCH(RIGHT(Q709,255),RIGHT('Disaggregation Records'!$D$155:$D$385,255),0))),"")</f>
        <v/>
      </c>
      <c r="W709" s="189" t="str">
        <f>IFERROR(INDEX('Reference Records'!L$59:L$121,MATCH(LEFT(C709,255),'Reference Records'!E$59:E$121,0)),"")</f>
        <v>PMTCT-1 Percentage of pregnant women who know their HIV status</v>
      </c>
    </row>
    <row r="710" spans="1:23" s="189" customFormat="1" ht="40.200000000000003" customHeight="1" x14ac:dyDescent="0.3">
      <c r="A710" s="678"/>
      <c r="B710" s="675"/>
      <c r="C710" s="667"/>
      <c r="D710" s="677"/>
      <c r="E710" s="677"/>
      <c r="F710" s="202"/>
      <c r="G710" s="669"/>
      <c r="H710" s="671"/>
      <c r="I710" s="673"/>
      <c r="J710" s="652"/>
      <c r="K710" s="667"/>
      <c r="L710" s="667"/>
      <c r="M710" s="652"/>
      <c r="N710" s="652"/>
    </row>
    <row r="711" spans="1:23" s="189" customFormat="1" ht="40.200000000000003" customHeight="1" x14ac:dyDescent="0.3">
      <c r="A711" s="678" t="str">
        <f t="shared" ref="A711" ca="1" si="2929">INDIRECT("'update Helper'!C"&amp;U711)</f>
        <v>a163p000002zQa6AAE</v>
      </c>
      <c r="B711" s="674">
        <v>3</v>
      </c>
      <c r="C711" s="666" t="str">
        <f>VLOOKUP(B711,'Coverage Indicators - Section D'!$A$9:$AU$70,47,FALSE)</f>
        <v>PMTCT-1 Pourcentage de femmes enceintes qui connaissent leur statut sérologique pour le VIH</v>
      </c>
      <c r="D711" s="676" t="str">
        <f t="shared" ref="D711" si="2930">R711</f>
        <v/>
      </c>
      <c r="E711" s="676" t="str">
        <f t="shared" ref="E711" si="2931">S711</f>
        <v/>
      </c>
      <c r="F711" s="194"/>
      <c r="G711" s="668" t="str">
        <f t="shared" ref="G711" ca="1" si="2932">IF(OR(INDIRECT("'update Helper'!E"&amp;U711)=0,F711&lt;&gt;0,F712&lt;&gt;0),IF(IFERROR((F711/F712),"")="","",(F711/F712)),INDIRECT("'update Helper'!E"&amp;U711)/100)</f>
        <v/>
      </c>
      <c r="H711" s="670"/>
      <c r="I711" s="672"/>
      <c r="J711" s="651"/>
      <c r="K711" s="666" t="str">
        <f t="shared" ref="K711" si="2933">W711</f>
        <v>PMTCT-1 Percentage of pregnant women who know their HIV status</v>
      </c>
      <c r="L711" s="666" t="str">
        <f t="shared" ref="L711" si="2934">V711</f>
        <v/>
      </c>
      <c r="M711" s="651"/>
      <c r="N711" s="651"/>
      <c r="P711" s="189">
        <f t="shared" ref="P711" si="2935">IF(AND(EXACT(C711,C709),C709&lt;&gt;0),P709+1,0)</f>
        <v>5</v>
      </c>
      <c r="Q711" s="189" t="str">
        <f t="shared" ref="Q711" si="2936">IF(C711&lt;&gt;"",C711&amp;"-"&amp;P711,"")</f>
        <v>PMTCT-1 Pourcentage de femmes enceintes qui connaissent leur statut sérologique pour le VIH-5</v>
      </c>
      <c r="R711" s="189" t="str">
        <f t="array" ref="R711">IFERROR(IF(INDEX('Disaggregation Records'!$E$155:$E$385,MATCH(RIGHT(Q711,255),RIGHT('Disaggregation Records'!$D$155:$D$385,255),0))=0,"",INDEX('Disaggregation Records'!$E$155:$E$385,MATCH(RIGHT(Q711,255),RIGHT('Disaggregation Records'!$D$155:$D$385,255),0))),"")</f>
        <v/>
      </c>
      <c r="S711" s="189" t="str">
        <f t="array" ref="S711">IFERROR(IF(INDEX('Disaggregation Records'!$F$155:$F$385,MATCH(RIGHT(Q711,255),RIGHT('Disaggregation Records'!$D$155:$D$385,255),0))=0,"",INDEX('Disaggregation Records'!$F$155:$F$385,MATCH(RIGHT(Q711,255),RIGHT('Disaggregation Records'!$D$155:$D$385,255),0))),"")</f>
        <v/>
      </c>
      <c r="T711" s="189" t="str">
        <f t="array" ref="T711">IFERROR(IF(INDEX('Disaggregation Records'!$H$155:$H$385,MATCH(RIGHT(Q711,255),RIGHT('Disaggregation Records'!$D$155:$D$385,255),0))=0,"",INDEX('Disaggregation Records'!$H$155:$H$385,MATCH(RIGHT(Q711,255),RIGHT('Disaggregation Records'!$D$155:$D$385,255),0))),"")</f>
        <v/>
      </c>
      <c r="U711" s="189">
        <f t="shared" ref="U711" si="2937">U709+1</f>
        <v>1457</v>
      </c>
      <c r="V711" s="189" t="str">
        <f t="array" ref="V711">IFERROR(IF(INDEX('Disaggregation Records'!$I$155:$I$385,MATCH(RIGHT(Q711,255),RIGHT('Disaggregation Records'!$D$155:$D$385,255),0))=0,"",INDEX('Disaggregation Records'!$I$155:$I$385,MATCH(RIGHT(Q711,255),RIGHT('Disaggregation Records'!$D$155:$D$385,255),0))),"")</f>
        <v/>
      </c>
      <c r="W711" s="189" t="str">
        <f>IFERROR(INDEX('Reference Records'!L$59:L$121,MATCH(LEFT(C711,255),'Reference Records'!E$59:E$121,0)),"")</f>
        <v>PMTCT-1 Percentage of pregnant women who know their HIV status</v>
      </c>
    </row>
    <row r="712" spans="1:23" s="189" customFormat="1" ht="40.200000000000003" customHeight="1" x14ac:dyDescent="0.3">
      <c r="A712" s="678"/>
      <c r="B712" s="675"/>
      <c r="C712" s="667"/>
      <c r="D712" s="677"/>
      <c r="E712" s="677"/>
      <c r="F712" s="202"/>
      <c r="G712" s="669"/>
      <c r="H712" s="671"/>
      <c r="I712" s="673"/>
      <c r="J712" s="652"/>
      <c r="K712" s="667"/>
      <c r="L712" s="667"/>
      <c r="M712" s="652"/>
      <c r="N712" s="652"/>
    </row>
    <row r="713" spans="1:23" s="189" customFormat="1" ht="40.200000000000003" customHeight="1" x14ac:dyDescent="0.3">
      <c r="A713" s="678" t="str">
        <f t="shared" ref="A713" ca="1" si="2938">INDIRECT("'update Helper'!C"&amp;U713)</f>
        <v>a163p000002zQa7AAE</v>
      </c>
      <c r="B713" s="674">
        <v>3</v>
      </c>
      <c r="C713" s="666" t="str">
        <f>VLOOKUP(B713,'Coverage Indicators - Section D'!$A$9:$AU$70,47,FALSE)</f>
        <v>PMTCT-1 Pourcentage de femmes enceintes qui connaissent leur statut sérologique pour le VIH</v>
      </c>
      <c r="D713" s="676" t="str">
        <f t="shared" ref="D713" si="2939">R713</f>
        <v/>
      </c>
      <c r="E713" s="676" t="str">
        <f t="shared" ref="E713" si="2940">S713</f>
        <v/>
      </c>
      <c r="F713" s="194"/>
      <c r="G713" s="668" t="str">
        <f t="shared" ref="G713" ca="1" si="2941">IF(OR(INDIRECT("'update Helper'!E"&amp;U713)=0,F713&lt;&gt;0,F714&lt;&gt;0),IF(IFERROR((F713/F714),"")="","",(F713/F714)),INDIRECT("'update Helper'!E"&amp;U713)/100)</f>
        <v/>
      </c>
      <c r="H713" s="670"/>
      <c r="I713" s="672"/>
      <c r="J713" s="651"/>
      <c r="K713" s="666" t="str">
        <f t="shared" ref="K713" si="2942">W713</f>
        <v>PMTCT-1 Percentage of pregnant women who know their HIV status</v>
      </c>
      <c r="L713" s="666" t="str">
        <f t="shared" ref="L713" si="2943">V713</f>
        <v/>
      </c>
      <c r="M713" s="651"/>
      <c r="N713" s="651"/>
      <c r="P713" s="189">
        <f t="shared" ref="P713" si="2944">IF(AND(EXACT(C713,C711),C711&lt;&gt;0),P711+1,0)</f>
        <v>6</v>
      </c>
      <c r="Q713" s="189" t="str">
        <f t="shared" ref="Q713" si="2945">IF(C713&lt;&gt;"",C713&amp;"-"&amp;P713,"")</f>
        <v>PMTCT-1 Pourcentage de femmes enceintes qui connaissent leur statut sérologique pour le VIH-6</v>
      </c>
      <c r="R713" s="189" t="str">
        <f t="array" ref="R713">IFERROR(IF(INDEX('Disaggregation Records'!$E$155:$E$385,MATCH(RIGHT(Q713,255),RIGHT('Disaggregation Records'!$D$155:$D$385,255),0))=0,"",INDEX('Disaggregation Records'!$E$155:$E$385,MATCH(RIGHT(Q713,255),RIGHT('Disaggregation Records'!$D$155:$D$385,255),0))),"")</f>
        <v/>
      </c>
      <c r="S713" s="189" t="str">
        <f t="array" ref="S713">IFERROR(IF(INDEX('Disaggregation Records'!$F$155:$F$385,MATCH(RIGHT(Q713,255),RIGHT('Disaggregation Records'!$D$155:$D$385,255),0))=0,"",INDEX('Disaggregation Records'!$F$155:$F$385,MATCH(RIGHT(Q713,255),RIGHT('Disaggregation Records'!$D$155:$D$385,255),0))),"")</f>
        <v/>
      </c>
      <c r="T713" s="189" t="str">
        <f t="array" ref="T713">IFERROR(IF(INDEX('Disaggregation Records'!$H$155:$H$385,MATCH(RIGHT(Q713,255),RIGHT('Disaggregation Records'!$D$155:$D$385,255),0))=0,"",INDEX('Disaggregation Records'!$H$155:$H$385,MATCH(RIGHT(Q713,255),RIGHT('Disaggregation Records'!$D$155:$D$385,255),0))),"")</f>
        <v/>
      </c>
      <c r="U713" s="189">
        <f t="shared" ref="U713" si="2946">U711+1</f>
        <v>1458</v>
      </c>
      <c r="V713" s="189" t="str">
        <f t="array" ref="V713">IFERROR(IF(INDEX('Disaggregation Records'!$I$155:$I$385,MATCH(RIGHT(Q713,255),RIGHT('Disaggregation Records'!$D$155:$D$385,255),0))=0,"",INDEX('Disaggregation Records'!$I$155:$I$385,MATCH(RIGHT(Q713,255),RIGHT('Disaggregation Records'!$D$155:$D$385,255),0))),"")</f>
        <v/>
      </c>
      <c r="W713" s="189" t="str">
        <f>IFERROR(INDEX('Reference Records'!L$59:L$121,MATCH(LEFT(C713,255),'Reference Records'!E$59:E$121,0)),"")</f>
        <v>PMTCT-1 Percentage of pregnant women who know their HIV status</v>
      </c>
    </row>
    <row r="714" spans="1:23" s="189" customFormat="1" ht="40.200000000000003" customHeight="1" x14ac:dyDescent="0.3">
      <c r="A714" s="678"/>
      <c r="B714" s="675"/>
      <c r="C714" s="667"/>
      <c r="D714" s="677"/>
      <c r="E714" s="677"/>
      <c r="F714" s="202"/>
      <c r="G714" s="669"/>
      <c r="H714" s="671"/>
      <c r="I714" s="673"/>
      <c r="J714" s="652"/>
      <c r="K714" s="667"/>
      <c r="L714" s="667"/>
      <c r="M714" s="652"/>
      <c r="N714" s="652"/>
    </row>
    <row r="715" spans="1:23" s="189" customFormat="1" ht="40.200000000000003" customHeight="1" x14ac:dyDescent="0.3">
      <c r="A715" s="678" t="str">
        <f t="shared" ref="A715" ca="1" si="2947">INDIRECT("'update Helper'!C"&amp;U715)</f>
        <v>a163p000002zQa8AAE</v>
      </c>
      <c r="B715" s="674">
        <v>3</v>
      </c>
      <c r="C715" s="666" t="str">
        <f>VLOOKUP(B715,'Coverage Indicators - Section D'!$A$9:$AU$70,47,FALSE)</f>
        <v>PMTCT-1 Pourcentage de femmes enceintes qui connaissent leur statut sérologique pour le VIH</v>
      </c>
      <c r="D715" s="676" t="str">
        <f t="shared" ref="D715" si="2948">R715</f>
        <v/>
      </c>
      <c r="E715" s="676" t="str">
        <f t="shared" ref="E715" si="2949">S715</f>
        <v/>
      </c>
      <c r="F715" s="194"/>
      <c r="G715" s="668" t="str">
        <f t="shared" ref="G715" ca="1" si="2950">IF(OR(INDIRECT("'update Helper'!E"&amp;U715)=0,F715&lt;&gt;0,F716&lt;&gt;0),IF(IFERROR((F715/F716),"")="","",(F715/F716)),INDIRECT("'update Helper'!E"&amp;U715)/100)</f>
        <v/>
      </c>
      <c r="H715" s="670"/>
      <c r="I715" s="672"/>
      <c r="J715" s="651"/>
      <c r="K715" s="666" t="str">
        <f t="shared" ref="K715" si="2951">W715</f>
        <v>PMTCT-1 Percentage of pregnant women who know their HIV status</v>
      </c>
      <c r="L715" s="666" t="str">
        <f t="shared" ref="L715" si="2952">V715</f>
        <v/>
      </c>
      <c r="M715" s="651"/>
      <c r="N715" s="651"/>
      <c r="P715" s="189">
        <f t="shared" ref="P715" si="2953">IF(AND(EXACT(C715,C713),C713&lt;&gt;0),P713+1,0)</f>
        <v>7</v>
      </c>
      <c r="Q715" s="189" t="str">
        <f t="shared" ref="Q715" si="2954">IF(C715&lt;&gt;"",C715&amp;"-"&amp;P715,"")</f>
        <v>PMTCT-1 Pourcentage de femmes enceintes qui connaissent leur statut sérologique pour le VIH-7</v>
      </c>
      <c r="R715" s="189" t="str">
        <f t="array" ref="R715">IFERROR(IF(INDEX('Disaggregation Records'!$E$155:$E$385,MATCH(RIGHT(Q715,255),RIGHT('Disaggregation Records'!$D$155:$D$385,255),0))=0,"",INDEX('Disaggregation Records'!$E$155:$E$385,MATCH(RIGHT(Q715,255),RIGHT('Disaggregation Records'!$D$155:$D$385,255),0))),"")</f>
        <v/>
      </c>
      <c r="S715" s="189" t="str">
        <f t="array" ref="S715">IFERROR(IF(INDEX('Disaggregation Records'!$F$155:$F$385,MATCH(RIGHT(Q715,255),RIGHT('Disaggregation Records'!$D$155:$D$385,255),0))=0,"",INDEX('Disaggregation Records'!$F$155:$F$385,MATCH(RIGHT(Q715,255),RIGHT('Disaggregation Records'!$D$155:$D$385,255),0))),"")</f>
        <v/>
      </c>
      <c r="T715" s="189" t="str">
        <f t="array" ref="T715">IFERROR(IF(INDEX('Disaggregation Records'!$H$155:$H$385,MATCH(RIGHT(Q715,255),RIGHT('Disaggregation Records'!$D$155:$D$385,255),0))=0,"",INDEX('Disaggregation Records'!$H$155:$H$385,MATCH(RIGHT(Q715,255),RIGHT('Disaggregation Records'!$D$155:$D$385,255),0))),"")</f>
        <v/>
      </c>
      <c r="U715" s="189">
        <f t="shared" ref="U715" si="2955">U713+1</f>
        <v>1459</v>
      </c>
      <c r="V715" s="189" t="str">
        <f t="array" ref="V715">IFERROR(IF(INDEX('Disaggregation Records'!$I$155:$I$385,MATCH(RIGHT(Q715,255),RIGHT('Disaggregation Records'!$D$155:$D$385,255),0))=0,"",INDEX('Disaggregation Records'!$I$155:$I$385,MATCH(RIGHT(Q715,255),RIGHT('Disaggregation Records'!$D$155:$D$385,255),0))),"")</f>
        <v/>
      </c>
      <c r="W715" s="189" t="str">
        <f>IFERROR(INDEX('Reference Records'!L$59:L$121,MATCH(LEFT(C715,255),'Reference Records'!E$59:E$121,0)),"")</f>
        <v>PMTCT-1 Percentage of pregnant women who know their HIV status</v>
      </c>
    </row>
    <row r="716" spans="1:23" s="189" customFormat="1" ht="40.200000000000003" customHeight="1" x14ac:dyDescent="0.3">
      <c r="A716" s="678"/>
      <c r="B716" s="675"/>
      <c r="C716" s="667"/>
      <c r="D716" s="677"/>
      <c r="E716" s="677"/>
      <c r="F716" s="202"/>
      <c r="G716" s="669"/>
      <c r="H716" s="671"/>
      <c r="I716" s="673"/>
      <c r="J716" s="652"/>
      <c r="K716" s="667"/>
      <c r="L716" s="667"/>
      <c r="M716" s="652"/>
      <c r="N716" s="652"/>
    </row>
    <row r="717" spans="1:23" s="189" customFormat="1" ht="40.200000000000003" customHeight="1" x14ac:dyDescent="0.3">
      <c r="A717" s="678" t="str">
        <f t="shared" ref="A717" ca="1" si="2956">INDIRECT("'update Helper'!C"&amp;U717)</f>
        <v>a163p000002zQa9AAE</v>
      </c>
      <c r="B717" s="674">
        <v>3</v>
      </c>
      <c r="C717" s="666" t="str">
        <f>VLOOKUP(B717,'Coverage Indicators - Section D'!$A$9:$AU$70,47,FALSE)</f>
        <v>PMTCT-1 Pourcentage de femmes enceintes qui connaissent leur statut sérologique pour le VIH</v>
      </c>
      <c r="D717" s="676" t="str">
        <f t="shared" ref="D717" si="2957">R717</f>
        <v/>
      </c>
      <c r="E717" s="676" t="str">
        <f t="shared" ref="E717" si="2958">S717</f>
        <v/>
      </c>
      <c r="F717" s="194"/>
      <c r="G717" s="668" t="str">
        <f t="shared" ref="G717" ca="1" si="2959">IF(OR(INDIRECT("'update Helper'!E"&amp;U717)=0,F717&lt;&gt;0,F718&lt;&gt;0),IF(IFERROR((F717/F718),"")="","",(F717/F718)),INDIRECT("'update Helper'!E"&amp;U717)/100)</f>
        <v/>
      </c>
      <c r="H717" s="670"/>
      <c r="I717" s="672"/>
      <c r="J717" s="651"/>
      <c r="K717" s="666" t="str">
        <f t="shared" ref="K717" si="2960">W717</f>
        <v>PMTCT-1 Percentage of pregnant women who know their HIV status</v>
      </c>
      <c r="L717" s="666" t="str">
        <f t="shared" ref="L717" si="2961">V717</f>
        <v/>
      </c>
      <c r="M717" s="651"/>
      <c r="N717" s="651"/>
      <c r="P717" s="189">
        <f t="shared" ref="P717" si="2962">IF(AND(EXACT(C717,C715),C715&lt;&gt;0),P715+1,0)</f>
        <v>8</v>
      </c>
      <c r="Q717" s="189" t="str">
        <f t="shared" ref="Q717" si="2963">IF(C717&lt;&gt;"",C717&amp;"-"&amp;P717,"")</f>
        <v>PMTCT-1 Pourcentage de femmes enceintes qui connaissent leur statut sérologique pour le VIH-8</v>
      </c>
      <c r="R717" s="189" t="str">
        <f t="array" ref="R717">IFERROR(IF(INDEX('Disaggregation Records'!$E$155:$E$385,MATCH(RIGHT(Q717,255),RIGHT('Disaggregation Records'!$D$155:$D$385,255),0))=0,"",INDEX('Disaggregation Records'!$E$155:$E$385,MATCH(RIGHT(Q717,255),RIGHT('Disaggregation Records'!$D$155:$D$385,255),0))),"")</f>
        <v/>
      </c>
      <c r="S717" s="189" t="str">
        <f t="array" ref="S717">IFERROR(IF(INDEX('Disaggregation Records'!$F$155:$F$385,MATCH(RIGHT(Q717,255),RIGHT('Disaggregation Records'!$D$155:$D$385,255),0))=0,"",INDEX('Disaggregation Records'!$F$155:$F$385,MATCH(RIGHT(Q717,255),RIGHT('Disaggregation Records'!$D$155:$D$385,255),0))),"")</f>
        <v/>
      </c>
      <c r="T717" s="189" t="str">
        <f t="array" ref="T717">IFERROR(IF(INDEX('Disaggregation Records'!$H$155:$H$385,MATCH(RIGHT(Q717,255),RIGHT('Disaggregation Records'!$D$155:$D$385,255),0))=0,"",INDEX('Disaggregation Records'!$H$155:$H$385,MATCH(RIGHT(Q717,255),RIGHT('Disaggregation Records'!$D$155:$D$385,255),0))),"")</f>
        <v/>
      </c>
      <c r="U717" s="189">
        <f t="shared" ref="U717" si="2964">U715+1</f>
        <v>1460</v>
      </c>
      <c r="V717" s="189" t="str">
        <f t="array" ref="V717">IFERROR(IF(INDEX('Disaggregation Records'!$I$155:$I$385,MATCH(RIGHT(Q717,255),RIGHT('Disaggregation Records'!$D$155:$D$385,255),0))=0,"",INDEX('Disaggregation Records'!$I$155:$I$385,MATCH(RIGHT(Q717,255),RIGHT('Disaggregation Records'!$D$155:$D$385,255),0))),"")</f>
        <v/>
      </c>
      <c r="W717" s="189" t="str">
        <f>IFERROR(INDEX('Reference Records'!L$59:L$121,MATCH(LEFT(C717,255),'Reference Records'!E$59:E$121,0)),"")</f>
        <v>PMTCT-1 Percentage of pregnant women who know their HIV status</v>
      </c>
    </row>
    <row r="718" spans="1:23" s="189" customFormat="1" ht="40.200000000000003" customHeight="1" x14ac:dyDescent="0.3">
      <c r="A718" s="678"/>
      <c r="B718" s="675"/>
      <c r="C718" s="667"/>
      <c r="D718" s="677"/>
      <c r="E718" s="677"/>
      <c r="F718" s="202"/>
      <c r="G718" s="669"/>
      <c r="H718" s="671"/>
      <c r="I718" s="673"/>
      <c r="J718" s="652"/>
      <c r="K718" s="667"/>
      <c r="L718" s="667"/>
      <c r="M718" s="652"/>
      <c r="N718" s="652"/>
    </row>
    <row r="719" spans="1:23" s="189" customFormat="1" ht="40.200000000000003" customHeight="1" x14ac:dyDescent="0.3">
      <c r="A719" s="678" t="str">
        <f t="shared" ref="A719" ca="1" si="2965">INDIRECT("'update Helper'!C"&amp;U719)</f>
        <v>a163p000002zQaAAAU</v>
      </c>
      <c r="B719" s="674">
        <v>3</v>
      </c>
      <c r="C719" s="666" t="str">
        <f>VLOOKUP(B719,'Coverage Indicators - Section D'!$A$9:$AU$70,47,FALSE)</f>
        <v>PMTCT-1 Pourcentage de femmes enceintes qui connaissent leur statut sérologique pour le VIH</v>
      </c>
      <c r="D719" s="676" t="str">
        <f t="shared" ref="D719" si="2966">R719</f>
        <v/>
      </c>
      <c r="E719" s="676" t="str">
        <f t="shared" ref="E719" si="2967">S719</f>
        <v/>
      </c>
      <c r="F719" s="194"/>
      <c r="G719" s="668" t="str">
        <f t="shared" ref="G719" ca="1" si="2968">IF(OR(INDIRECT("'update Helper'!E"&amp;U719)=0,F719&lt;&gt;0,F720&lt;&gt;0),IF(IFERROR((F719/F720),"")="","",(F719/F720)),INDIRECT("'update Helper'!E"&amp;U719)/100)</f>
        <v/>
      </c>
      <c r="H719" s="670"/>
      <c r="I719" s="672"/>
      <c r="J719" s="651"/>
      <c r="K719" s="666" t="str">
        <f t="shared" ref="K719" si="2969">W719</f>
        <v>PMTCT-1 Percentage of pregnant women who know their HIV status</v>
      </c>
      <c r="L719" s="666" t="str">
        <f t="shared" ref="L719" si="2970">V719</f>
        <v/>
      </c>
      <c r="M719" s="651"/>
      <c r="N719" s="651"/>
      <c r="P719" s="189">
        <f t="shared" ref="P719" si="2971">IF(AND(EXACT(C719,C717),C717&lt;&gt;0),P717+1,0)</f>
        <v>9</v>
      </c>
      <c r="Q719" s="189" t="str">
        <f t="shared" ref="Q719" si="2972">IF(C719&lt;&gt;"",C719&amp;"-"&amp;P719,"")</f>
        <v>PMTCT-1 Pourcentage de femmes enceintes qui connaissent leur statut sérologique pour le VIH-9</v>
      </c>
      <c r="R719" s="189" t="str">
        <f t="array" ref="R719">IFERROR(IF(INDEX('Disaggregation Records'!$E$155:$E$385,MATCH(RIGHT(Q719,255),RIGHT('Disaggregation Records'!$D$155:$D$385,255),0))=0,"",INDEX('Disaggregation Records'!$E$155:$E$385,MATCH(RIGHT(Q719,255),RIGHT('Disaggregation Records'!$D$155:$D$385,255),0))),"")</f>
        <v/>
      </c>
      <c r="S719" s="189" t="str">
        <f t="array" ref="S719">IFERROR(IF(INDEX('Disaggregation Records'!$F$155:$F$385,MATCH(RIGHT(Q719,255),RIGHT('Disaggregation Records'!$D$155:$D$385,255),0))=0,"",INDEX('Disaggregation Records'!$F$155:$F$385,MATCH(RIGHT(Q719,255),RIGHT('Disaggregation Records'!$D$155:$D$385,255),0))),"")</f>
        <v/>
      </c>
      <c r="T719" s="189" t="str">
        <f t="array" ref="T719">IFERROR(IF(INDEX('Disaggregation Records'!$H$155:$H$385,MATCH(RIGHT(Q719,255),RIGHT('Disaggregation Records'!$D$155:$D$385,255),0))=0,"",INDEX('Disaggregation Records'!$H$155:$H$385,MATCH(RIGHT(Q719,255),RIGHT('Disaggregation Records'!$D$155:$D$385,255),0))),"")</f>
        <v/>
      </c>
      <c r="U719" s="189">
        <f t="shared" ref="U719" si="2973">U717+1</f>
        <v>1461</v>
      </c>
      <c r="V719" s="189" t="str">
        <f t="array" ref="V719">IFERROR(IF(INDEX('Disaggregation Records'!$I$155:$I$385,MATCH(RIGHT(Q719,255),RIGHT('Disaggregation Records'!$D$155:$D$385,255),0))=0,"",INDEX('Disaggregation Records'!$I$155:$I$385,MATCH(RIGHT(Q719,255),RIGHT('Disaggregation Records'!$D$155:$D$385,255),0))),"")</f>
        <v/>
      </c>
      <c r="W719" s="189" t="str">
        <f>IFERROR(INDEX('Reference Records'!L$59:L$121,MATCH(LEFT(C719,255),'Reference Records'!E$59:E$121,0)),"")</f>
        <v>PMTCT-1 Percentage of pregnant women who know their HIV status</v>
      </c>
    </row>
    <row r="720" spans="1:23" s="189" customFormat="1" ht="40.200000000000003" customHeight="1" x14ac:dyDescent="0.3">
      <c r="A720" s="678"/>
      <c r="B720" s="675"/>
      <c r="C720" s="667"/>
      <c r="D720" s="677"/>
      <c r="E720" s="677"/>
      <c r="F720" s="202"/>
      <c r="G720" s="669"/>
      <c r="H720" s="671"/>
      <c r="I720" s="673"/>
      <c r="J720" s="652"/>
      <c r="K720" s="667"/>
      <c r="L720" s="667"/>
      <c r="M720" s="652"/>
      <c r="N720" s="652"/>
    </row>
    <row r="721" spans="1:23" s="189" customFormat="1" ht="40.200000000000003" customHeight="1" x14ac:dyDescent="0.3">
      <c r="A721" s="678" t="str">
        <f t="shared" ref="A721" ca="1" si="2974">INDIRECT("'update Helper'!C"&amp;U721)</f>
        <v>a163p000002zQaBAAU</v>
      </c>
      <c r="B721" s="674">
        <v>3</v>
      </c>
      <c r="C721" s="666" t="str">
        <f>VLOOKUP(B721,'Coverage Indicators - Section D'!$A$9:$AU$70,47,FALSE)</f>
        <v>PMTCT-1 Pourcentage de femmes enceintes qui connaissent leur statut sérologique pour le VIH</v>
      </c>
      <c r="D721" s="676" t="str">
        <f t="shared" ref="D721" si="2975">R721</f>
        <v/>
      </c>
      <c r="E721" s="676" t="str">
        <f t="shared" ref="E721" si="2976">S721</f>
        <v/>
      </c>
      <c r="F721" s="194"/>
      <c r="G721" s="668" t="str">
        <f t="shared" ref="G721" ca="1" si="2977">IF(OR(INDIRECT("'update Helper'!E"&amp;U721)=0,F721&lt;&gt;0,F722&lt;&gt;0),IF(IFERROR((F721/F722),"")="","",(F721/F722)),INDIRECT("'update Helper'!E"&amp;U721)/100)</f>
        <v/>
      </c>
      <c r="H721" s="670"/>
      <c r="I721" s="672"/>
      <c r="J721" s="651"/>
      <c r="K721" s="666" t="str">
        <f t="shared" ref="K721" si="2978">W721</f>
        <v>PMTCT-1 Percentage of pregnant women who know their HIV status</v>
      </c>
      <c r="L721" s="666" t="str">
        <f t="shared" ref="L721" si="2979">V721</f>
        <v/>
      </c>
      <c r="M721" s="651"/>
      <c r="N721" s="651"/>
      <c r="P721" s="189">
        <f t="shared" ref="P721" si="2980">IF(AND(EXACT(C721,C719),C719&lt;&gt;0),P719+1,0)</f>
        <v>10</v>
      </c>
      <c r="Q721" s="189" t="str">
        <f t="shared" ref="Q721" si="2981">IF(C721&lt;&gt;"",C721&amp;"-"&amp;P721,"")</f>
        <v>PMTCT-1 Pourcentage de femmes enceintes qui connaissent leur statut sérologique pour le VIH-10</v>
      </c>
      <c r="R721" s="189" t="str">
        <f t="array" ref="R721">IFERROR(IF(INDEX('Disaggregation Records'!$E$155:$E$385,MATCH(RIGHT(Q721,255),RIGHT('Disaggregation Records'!$D$155:$D$385,255),0))=0,"",INDEX('Disaggregation Records'!$E$155:$E$385,MATCH(RIGHT(Q721,255),RIGHT('Disaggregation Records'!$D$155:$D$385,255),0))),"")</f>
        <v/>
      </c>
      <c r="S721" s="189" t="str">
        <f t="array" ref="S721">IFERROR(IF(INDEX('Disaggregation Records'!$F$155:$F$385,MATCH(RIGHT(Q721,255),RIGHT('Disaggregation Records'!$D$155:$D$385,255),0))=0,"",INDEX('Disaggregation Records'!$F$155:$F$385,MATCH(RIGHT(Q721,255),RIGHT('Disaggregation Records'!$D$155:$D$385,255),0))),"")</f>
        <v/>
      </c>
      <c r="T721" s="189" t="str">
        <f t="array" ref="T721">IFERROR(IF(INDEX('Disaggregation Records'!$H$155:$H$385,MATCH(RIGHT(Q721,255),RIGHT('Disaggregation Records'!$D$155:$D$385,255),0))=0,"",INDEX('Disaggregation Records'!$H$155:$H$385,MATCH(RIGHT(Q721,255),RIGHT('Disaggregation Records'!$D$155:$D$385,255),0))),"")</f>
        <v/>
      </c>
      <c r="U721" s="189">
        <f t="shared" ref="U721" si="2982">U719+1</f>
        <v>1462</v>
      </c>
      <c r="V721" s="189" t="str">
        <f t="array" ref="V721">IFERROR(IF(INDEX('Disaggregation Records'!$I$155:$I$385,MATCH(RIGHT(Q721,255),RIGHT('Disaggregation Records'!$D$155:$D$385,255),0))=0,"",INDEX('Disaggregation Records'!$I$155:$I$385,MATCH(RIGHT(Q721,255),RIGHT('Disaggregation Records'!$D$155:$D$385,255),0))),"")</f>
        <v/>
      </c>
      <c r="W721" s="189" t="str">
        <f>IFERROR(INDEX('Reference Records'!L$59:L$121,MATCH(LEFT(C721,255),'Reference Records'!E$59:E$121,0)),"")</f>
        <v>PMTCT-1 Percentage of pregnant women who know their HIV status</v>
      </c>
    </row>
    <row r="722" spans="1:23" s="189" customFormat="1" ht="40.200000000000003" customHeight="1" x14ac:dyDescent="0.3">
      <c r="A722" s="678"/>
      <c r="B722" s="675"/>
      <c r="C722" s="667"/>
      <c r="D722" s="677"/>
      <c r="E722" s="677"/>
      <c r="F722" s="202"/>
      <c r="G722" s="669"/>
      <c r="H722" s="671"/>
      <c r="I722" s="673"/>
      <c r="J722" s="652"/>
      <c r="K722" s="667"/>
      <c r="L722" s="667"/>
      <c r="M722" s="652"/>
      <c r="N722" s="652"/>
    </row>
    <row r="723" spans="1:23" s="189" customFormat="1" ht="40.200000000000003" customHeight="1" x14ac:dyDescent="0.3">
      <c r="A723" s="678" t="str">
        <f t="shared" ref="A723" ca="1" si="2983">INDIRECT("'update Helper'!C"&amp;U723)</f>
        <v>a163p000002zQaCAAU</v>
      </c>
      <c r="B723" s="674">
        <v>3</v>
      </c>
      <c r="C723" s="666" t="str">
        <f>VLOOKUP(B723,'Coverage Indicators - Section D'!$A$9:$AU$70,47,FALSE)</f>
        <v>PMTCT-1 Pourcentage de femmes enceintes qui connaissent leur statut sérologique pour le VIH</v>
      </c>
      <c r="D723" s="676" t="str">
        <f t="shared" ref="D723" si="2984">R723</f>
        <v/>
      </c>
      <c r="E723" s="676" t="str">
        <f t="shared" ref="E723" si="2985">S723</f>
        <v/>
      </c>
      <c r="F723" s="194"/>
      <c r="G723" s="668" t="str">
        <f t="shared" ref="G723" ca="1" si="2986">IF(OR(INDIRECT("'update Helper'!E"&amp;U723)=0,F723&lt;&gt;0,F724&lt;&gt;0),IF(IFERROR((F723/F724),"")="","",(F723/F724)),INDIRECT("'update Helper'!E"&amp;U723)/100)</f>
        <v/>
      </c>
      <c r="H723" s="670"/>
      <c r="I723" s="672"/>
      <c r="J723" s="651"/>
      <c r="K723" s="666" t="str">
        <f t="shared" ref="K723" si="2987">W723</f>
        <v>PMTCT-1 Percentage of pregnant women who know their HIV status</v>
      </c>
      <c r="L723" s="666" t="str">
        <f t="shared" ref="L723" si="2988">V723</f>
        <v/>
      </c>
      <c r="M723" s="651"/>
      <c r="N723" s="651"/>
      <c r="P723" s="189">
        <f t="shared" ref="P723" si="2989">IF(AND(EXACT(C723,C721),C721&lt;&gt;0),P721+1,0)</f>
        <v>11</v>
      </c>
      <c r="Q723" s="189" t="str">
        <f t="shared" ref="Q723" si="2990">IF(C723&lt;&gt;"",C723&amp;"-"&amp;P723,"")</f>
        <v>PMTCT-1 Pourcentage de femmes enceintes qui connaissent leur statut sérologique pour le VIH-11</v>
      </c>
      <c r="R723" s="189" t="str">
        <f t="array" ref="R723">IFERROR(IF(INDEX('Disaggregation Records'!$E$155:$E$385,MATCH(RIGHT(Q723,255),RIGHT('Disaggregation Records'!$D$155:$D$385,255),0))=0,"",INDEX('Disaggregation Records'!$E$155:$E$385,MATCH(RIGHT(Q723,255),RIGHT('Disaggregation Records'!$D$155:$D$385,255),0))),"")</f>
        <v/>
      </c>
      <c r="S723" s="189" t="str">
        <f t="array" ref="S723">IFERROR(IF(INDEX('Disaggregation Records'!$F$155:$F$385,MATCH(RIGHT(Q723,255),RIGHT('Disaggregation Records'!$D$155:$D$385,255),0))=0,"",INDEX('Disaggregation Records'!$F$155:$F$385,MATCH(RIGHT(Q723,255),RIGHT('Disaggregation Records'!$D$155:$D$385,255),0))),"")</f>
        <v/>
      </c>
      <c r="T723" s="189" t="str">
        <f t="array" ref="T723">IFERROR(IF(INDEX('Disaggregation Records'!$H$155:$H$385,MATCH(RIGHT(Q723,255),RIGHT('Disaggregation Records'!$D$155:$D$385,255),0))=0,"",INDEX('Disaggregation Records'!$H$155:$H$385,MATCH(RIGHT(Q723,255),RIGHT('Disaggregation Records'!$D$155:$D$385,255),0))),"")</f>
        <v/>
      </c>
      <c r="U723" s="189">
        <f t="shared" ref="U723" si="2991">U721+1</f>
        <v>1463</v>
      </c>
      <c r="V723" s="189" t="str">
        <f t="array" ref="V723">IFERROR(IF(INDEX('Disaggregation Records'!$I$155:$I$385,MATCH(RIGHT(Q723,255),RIGHT('Disaggregation Records'!$D$155:$D$385,255),0))=0,"",INDEX('Disaggregation Records'!$I$155:$I$385,MATCH(RIGHT(Q723,255),RIGHT('Disaggregation Records'!$D$155:$D$385,255),0))),"")</f>
        <v/>
      </c>
      <c r="W723" s="189" t="str">
        <f>IFERROR(INDEX('Reference Records'!L$59:L$121,MATCH(LEFT(C723,255),'Reference Records'!E$59:E$121,0)),"")</f>
        <v>PMTCT-1 Percentage of pregnant women who know their HIV status</v>
      </c>
    </row>
    <row r="724" spans="1:23" s="189" customFormat="1" ht="40.200000000000003" customHeight="1" x14ac:dyDescent="0.3">
      <c r="A724" s="678"/>
      <c r="B724" s="675"/>
      <c r="C724" s="667"/>
      <c r="D724" s="677"/>
      <c r="E724" s="677"/>
      <c r="F724" s="202"/>
      <c r="G724" s="669"/>
      <c r="H724" s="671"/>
      <c r="I724" s="673"/>
      <c r="J724" s="652"/>
      <c r="K724" s="667"/>
      <c r="L724" s="667"/>
      <c r="M724" s="652"/>
      <c r="N724" s="652"/>
    </row>
    <row r="725" spans="1:23" s="189" customFormat="1" ht="40.200000000000003" customHeight="1" x14ac:dyDescent="0.3">
      <c r="A725" s="678" t="str">
        <f t="shared" ref="A725" ca="1" si="2992">INDIRECT("'update Helper'!C"&amp;U725)</f>
        <v>a163p000002zQaDAAU</v>
      </c>
      <c r="B725" s="674">
        <v>3</v>
      </c>
      <c r="C725" s="666" t="str">
        <f>VLOOKUP(B725,'Coverage Indicators - Section D'!$A$9:$AU$70,47,FALSE)</f>
        <v>PMTCT-1 Pourcentage de femmes enceintes qui connaissent leur statut sérologique pour le VIH</v>
      </c>
      <c r="D725" s="676" t="str">
        <f t="shared" ref="D725" si="2993">R725</f>
        <v/>
      </c>
      <c r="E725" s="676" t="str">
        <f t="shared" ref="E725" si="2994">S725</f>
        <v/>
      </c>
      <c r="F725" s="194"/>
      <c r="G725" s="668" t="str">
        <f t="shared" ref="G725" ca="1" si="2995">IF(OR(INDIRECT("'update Helper'!E"&amp;U725)=0,F725&lt;&gt;0,F726&lt;&gt;0),IF(IFERROR((F725/F726),"")="","",(F725/F726)),INDIRECT("'update Helper'!E"&amp;U725)/100)</f>
        <v/>
      </c>
      <c r="H725" s="670"/>
      <c r="I725" s="672"/>
      <c r="J725" s="651"/>
      <c r="K725" s="666" t="str">
        <f t="shared" ref="K725" si="2996">W725</f>
        <v>PMTCT-1 Percentage of pregnant women who know their HIV status</v>
      </c>
      <c r="L725" s="666" t="str">
        <f t="shared" ref="L725" si="2997">V725</f>
        <v/>
      </c>
      <c r="M725" s="651"/>
      <c r="N725" s="651"/>
      <c r="P725" s="189">
        <f t="shared" ref="P725" si="2998">IF(AND(EXACT(C725,C723),C723&lt;&gt;0),P723+1,0)</f>
        <v>12</v>
      </c>
      <c r="Q725" s="189" t="str">
        <f t="shared" ref="Q725" si="2999">IF(C725&lt;&gt;"",C725&amp;"-"&amp;P725,"")</f>
        <v>PMTCT-1 Pourcentage de femmes enceintes qui connaissent leur statut sérologique pour le VIH-12</v>
      </c>
      <c r="R725" s="189" t="str">
        <f t="array" ref="R725">IFERROR(IF(INDEX('Disaggregation Records'!$E$155:$E$385,MATCH(RIGHT(Q725,255),RIGHT('Disaggregation Records'!$D$155:$D$385,255),0))=0,"",INDEX('Disaggregation Records'!$E$155:$E$385,MATCH(RIGHT(Q725,255),RIGHT('Disaggregation Records'!$D$155:$D$385,255),0))),"")</f>
        <v/>
      </c>
      <c r="S725" s="189" t="str">
        <f t="array" ref="S725">IFERROR(IF(INDEX('Disaggregation Records'!$F$155:$F$385,MATCH(RIGHT(Q725,255),RIGHT('Disaggregation Records'!$D$155:$D$385,255),0))=0,"",INDEX('Disaggregation Records'!$F$155:$F$385,MATCH(RIGHT(Q725,255),RIGHT('Disaggregation Records'!$D$155:$D$385,255),0))),"")</f>
        <v/>
      </c>
      <c r="T725" s="189" t="str">
        <f t="array" ref="T725">IFERROR(IF(INDEX('Disaggregation Records'!$H$155:$H$385,MATCH(RIGHT(Q725,255),RIGHT('Disaggregation Records'!$D$155:$D$385,255),0))=0,"",INDEX('Disaggregation Records'!$H$155:$H$385,MATCH(RIGHT(Q725,255),RIGHT('Disaggregation Records'!$D$155:$D$385,255),0))),"")</f>
        <v/>
      </c>
      <c r="U725" s="189">
        <f t="shared" ref="U725" si="3000">U723+1</f>
        <v>1464</v>
      </c>
      <c r="V725" s="189" t="str">
        <f t="array" ref="V725">IFERROR(IF(INDEX('Disaggregation Records'!$I$155:$I$385,MATCH(RIGHT(Q725,255),RIGHT('Disaggregation Records'!$D$155:$D$385,255),0))=0,"",INDEX('Disaggregation Records'!$I$155:$I$385,MATCH(RIGHT(Q725,255),RIGHT('Disaggregation Records'!$D$155:$D$385,255),0))),"")</f>
        <v/>
      </c>
      <c r="W725" s="189" t="str">
        <f>IFERROR(INDEX('Reference Records'!L$59:L$121,MATCH(LEFT(C725,255),'Reference Records'!E$59:E$121,0)),"")</f>
        <v>PMTCT-1 Percentage of pregnant women who know their HIV status</v>
      </c>
    </row>
    <row r="726" spans="1:23" s="189" customFormat="1" ht="40.200000000000003" customHeight="1" x14ac:dyDescent="0.3">
      <c r="A726" s="678"/>
      <c r="B726" s="675"/>
      <c r="C726" s="667"/>
      <c r="D726" s="677"/>
      <c r="E726" s="677"/>
      <c r="F726" s="202"/>
      <c r="G726" s="669"/>
      <c r="H726" s="671"/>
      <c r="I726" s="673"/>
      <c r="J726" s="652"/>
      <c r="K726" s="667"/>
      <c r="L726" s="667"/>
      <c r="M726" s="652"/>
      <c r="N726" s="652"/>
    </row>
    <row r="727" spans="1:23" s="189" customFormat="1" ht="40.200000000000003" customHeight="1" x14ac:dyDescent="0.3">
      <c r="A727" s="678" t="str">
        <f t="shared" ref="A727" ca="1" si="3001">INDIRECT("'update Helper'!C"&amp;U727)</f>
        <v>a163p000002zQaEAAU</v>
      </c>
      <c r="B727" s="674">
        <v>3</v>
      </c>
      <c r="C727" s="666" t="str">
        <f>VLOOKUP(B727,'Coverage Indicators - Section D'!$A$9:$AU$70,47,FALSE)</f>
        <v>PMTCT-1 Pourcentage de femmes enceintes qui connaissent leur statut sérologique pour le VIH</v>
      </c>
      <c r="D727" s="676" t="str">
        <f t="shared" ref="D727" si="3002">R727</f>
        <v/>
      </c>
      <c r="E727" s="676" t="str">
        <f t="shared" ref="E727" si="3003">S727</f>
        <v/>
      </c>
      <c r="F727" s="194"/>
      <c r="G727" s="668" t="str">
        <f t="shared" ref="G727" ca="1" si="3004">IF(OR(INDIRECT("'update Helper'!E"&amp;U727)=0,F727&lt;&gt;0,F728&lt;&gt;0),IF(IFERROR((F727/F728),"")="","",(F727/F728)),INDIRECT("'update Helper'!E"&amp;U727)/100)</f>
        <v/>
      </c>
      <c r="H727" s="670"/>
      <c r="I727" s="672"/>
      <c r="J727" s="651"/>
      <c r="K727" s="666" t="str">
        <f t="shared" ref="K727" si="3005">W727</f>
        <v>PMTCT-1 Percentage of pregnant women who know their HIV status</v>
      </c>
      <c r="L727" s="666" t="str">
        <f t="shared" ref="L727" si="3006">V727</f>
        <v/>
      </c>
      <c r="M727" s="651"/>
      <c r="N727" s="651"/>
      <c r="P727" s="189">
        <f t="shared" ref="P727" si="3007">IF(AND(EXACT(C727,C725),C725&lt;&gt;0),P725+1,0)</f>
        <v>13</v>
      </c>
      <c r="Q727" s="189" t="str">
        <f t="shared" ref="Q727" si="3008">IF(C727&lt;&gt;"",C727&amp;"-"&amp;P727,"")</f>
        <v>PMTCT-1 Pourcentage de femmes enceintes qui connaissent leur statut sérologique pour le VIH-13</v>
      </c>
      <c r="R727" s="189" t="str">
        <f t="array" ref="R727">IFERROR(IF(INDEX('Disaggregation Records'!$E$155:$E$385,MATCH(RIGHT(Q727,255),RIGHT('Disaggregation Records'!$D$155:$D$385,255),0))=0,"",INDEX('Disaggregation Records'!$E$155:$E$385,MATCH(RIGHT(Q727,255),RIGHT('Disaggregation Records'!$D$155:$D$385,255),0))),"")</f>
        <v/>
      </c>
      <c r="S727" s="189" t="str">
        <f t="array" ref="S727">IFERROR(IF(INDEX('Disaggregation Records'!$F$155:$F$385,MATCH(RIGHT(Q727,255),RIGHT('Disaggregation Records'!$D$155:$D$385,255),0))=0,"",INDEX('Disaggregation Records'!$F$155:$F$385,MATCH(RIGHT(Q727,255),RIGHT('Disaggregation Records'!$D$155:$D$385,255),0))),"")</f>
        <v/>
      </c>
      <c r="T727" s="189" t="str">
        <f t="array" ref="T727">IFERROR(IF(INDEX('Disaggregation Records'!$H$155:$H$385,MATCH(RIGHT(Q727,255),RIGHT('Disaggregation Records'!$D$155:$D$385,255),0))=0,"",INDEX('Disaggregation Records'!$H$155:$H$385,MATCH(RIGHT(Q727,255),RIGHT('Disaggregation Records'!$D$155:$D$385,255),0))),"")</f>
        <v/>
      </c>
      <c r="U727" s="189">
        <f t="shared" ref="U727" si="3009">U725+1</f>
        <v>1465</v>
      </c>
      <c r="V727" s="189" t="str">
        <f t="array" ref="V727">IFERROR(IF(INDEX('Disaggregation Records'!$I$155:$I$385,MATCH(RIGHT(Q727,255),RIGHT('Disaggregation Records'!$D$155:$D$385,255),0))=0,"",INDEX('Disaggregation Records'!$I$155:$I$385,MATCH(RIGHT(Q727,255),RIGHT('Disaggregation Records'!$D$155:$D$385,255),0))),"")</f>
        <v/>
      </c>
      <c r="W727" s="189" t="str">
        <f>IFERROR(INDEX('Reference Records'!L$59:L$121,MATCH(LEFT(C727,255),'Reference Records'!E$59:E$121,0)),"")</f>
        <v>PMTCT-1 Percentage of pregnant women who know their HIV status</v>
      </c>
    </row>
    <row r="728" spans="1:23" s="189" customFormat="1" ht="40.200000000000003" customHeight="1" x14ac:dyDescent="0.3">
      <c r="A728" s="678"/>
      <c r="B728" s="675"/>
      <c r="C728" s="667"/>
      <c r="D728" s="677"/>
      <c r="E728" s="677"/>
      <c r="F728" s="202"/>
      <c r="G728" s="669"/>
      <c r="H728" s="671"/>
      <c r="I728" s="673"/>
      <c r="J728" s="652"/>
      <c r="K728" s="667"/>
      <c r="L728" s="667"/>
      <c r="M728" s="652"/>
      <c r="N728" s="652"/>
    </row>
    <row r="729" spans="1:23" s="189" customFormat="1" ht="40.200000000000003" customHeight="1" x14ac:dyDescent="0.3">
      <c r="A729" s="678" t="str">
        <f t="shared" ref="A729" ca="1" si="3010">INDIRECT("'update Helper'!C"&amp;U729)</f>
        <v>a163p000002zQaFAAU</v>
      </c>
      <c r="B729" s="674">
        <v>3</v>
      </c>
      <c r="C729" s="666" t="str">
        <f>VLOOKUP(B729,'Coverage Indicators - Section D'!$A$9:$AU$70,47,FALSE)</f>
        <v>PMTCT-1 Pourcentage de femmes enceintes qui connaissent leur statut sérologique pour le VIH</v>
      </c>
      <c r="D729" s="676" t="str">
        <f t="shared" ref="D729" si="3011">R729</f>
        <v/>
      </c>
      <c r="E729" s="676" t="str">
        <f t="shared" ref="E729" si="3012">S729</f>
        <v/>
      </c>
      <c r="F729" s="194"/>
      <c r="G729" s="668" t="str">
        <f t="shared" ref="G729" ca="1" si="3013">IF(OR(INDIRECT("'update Helper'!E"&amp;U729)=0,F729&lt;&gt;0,F730&lt;&gt;0),IF(IFERROR((F729/F730),"")="","",(F729/F730)),INDIRECT("'update Helper'!E"&amp;U729)/100)</f>
        <v/>
      </c>
      <c r="H729" s="670"/>
      <c r="I729" s="672"/>
      <c r="J729" s="651"/>
      <c r="K729" s="666" t="str">
        <f t="shared" ref="K729" si="3014">W729</f>
        <v>PMTCT-1 Percentage of pregnant women who know their HIV status</v>
      </c>
      <c r="L729" s="666" t="str">
        <f t="shared" ref="L729" si="3015">V729</f>
        <v/>
      </c>
      <c r="M729" s="651"/>
      <c r="N729" s="651"/>
      <c r="P729" s="189">
        <f t="shared" ref="P729" si="3016">IF(AND(EXACT(C729,C727),C727&lt;&gt;0),P727+1,0)</f>
        <v>14</v>
      </c>
      <c r="Q729" s="189" t="str">
        <f t="shared" ref="Q729" si="3017">IF(C729&lt;&gt;"",C729&amp;"-"&amp;P729,"")</f>
        <v>PMTCT-1 Pourcentage de femmes enceintes qui connaissent leur statut sérologique pour le VIH-14</v>
      </c>
      <c r="R729" s="189" t="str">
        <f t="array" ref="R729">IFERROR(IF(INDEX('Disaggregation Records'!$E$155:$E$385,MATCH(RIGHT(Q729,255),RIGHT('Disaggregation Records'!$D$155:$D$385,255),0))=0,"",INDEX('Disaggregation Records'!$E$155:$E$385,MATCH(RIGHT(Q729,255),RIGHT('Disaggregation Records'!$D$155:$D$385,255),0))),"")</f>
        <v/>
      </c>
      <c r="S729" s="189" t="str">
        <f t="array" ref="S729">IFERROR(IF(INDEX('Disaggregation Records'!$F$155:$F$385,MATCH(RIGHT(Q729,255),RIGHT('Disaggregation Records'!$D$155:$D$385,255),0))=0,"",INDEX('Disaggregation Records'!$F$155:$F$385,MATCH(RIGHT(Q729,255),RIGHT('Disaggregation Records'!$D$155:$D$385,255),0))),"")</f>
        <v/>
      </c>
      <c r="T729" s="189" t="str">
        <f t="array" ref="T729">IFERROR(IF(INDEX('Disaggregation Records'!$H$155:$H$385,MATCH(RIGHT(Q729,255),RIGHT('Disaggregation Records'!$D$155:$D$385,255),0))=0,"",INDEX('Disaggregation Records'!$H$155:$H$385,MATCH(RIGHT(Q729,255),RIGHT('Disaggregation Records'!$D$155:$D$385,255),0))),"")</f>
        <v/>
      </c>
      <c r="U729" s="189">
        <f t="shared" ref="U729" si="3018">U727+1</f>
        <v>1466</v>
      </c>
      <c r="V729" s="189" t="str">
        <f t="array" ref="V729">IFERROR(IF(INDEX('Disaggregation Records'!$I$155:$I$385,MATCH(RIGHT(Q729,255),RIGHT('Disaggregation Records'!$D$155:$D$385,255),0))=0,"",INDEX('Disaggregation Records'!$I$155:$I$385,MATCH(RIGHT(Q729,255),RIGHT('Disaggregation Records'!$D$155:$D$385,255),0))),"")</f>
        <v/>
      </c>
      <c r="W729" s="189" t="str">
        <f>IFERROR(INDEX('Reference Records'!L$59:L$121,MATCH(LEFT(C729,255),'Reference Records'!E$59:E$121,0)),"")</f>
        <v>PMTCT-1 Percentage of pregnant women who know their HIV status</v>
      </c>
    </row>
    <row r="730" spans="1:23" s="189" customFormat="1" ht="40.200000000000003" customHeight="1" x14ac:dyDescent="0.3">
      <c r="A730" s="678"/>
      <c r="B730" s="675"/>
      <c r="C730" s="667"/>
      <c r="D730" s="677"/>
      <c r="E730" s="677"/>
      <c r="F730" s="202"/>
      <c r="G730" s="669"/>
      <c r="H730" s="671"/>
      <c r="I730" s="673"/>
      <c r="J730" s="652"/>
      <c r="K730" s="667"/>
      <c r="L730" s="667"/>
      <c r="M730" s="652"/>
      <c r="N730" s="652"/>
    </row>
    <row r="731" spans="1:23" s="189" customFormat="1" ht="40.200000000000003" customHeight="1" x14ac:dyDescent="0.3">
      <c r="A731" s="678" t="str">
        <f t="shared" ref="A731" ca="1" si="3019">INDIRECT("'update Helper'!C"&amp;U731)</f>
        <v>a163p000002zQaGAAU</v>
      </c>
      <c r="B731" s="674">
        <v>3</v>
      </c>
      <c r="C731" s="666" t="str">
        <f>VLOOKUP(B731,'Coverage Indicators - Section D'!$A$9:$AU$70,47,FALSE)</f>
        <v>PMTCT-1 Pourcentage de femmes enceintes qui connaissent leur statut sérologique pour le VIH</v>
      </c>
      <c r="D731" s="676" t="str">
        <f t="shared" ref="D731" si="3020">R731</f>
        <v/>
      </c>
      <c r="E731" s="676" t="str">
        <f t="shared" ref="E731" si="3021">S731</f>
        <v/>
      </c>
      <c r="F731" s="194"/>
      <c r="G731" s="668" t="str">
        <f t="shared" ref="G731" ca="1" si="3022">IF(OR(INDIRECT("'update Helper'!E"&amp;U731)=0,F731&lt;&gt;0,F732&lt;&gt;0),IF(IFERROR((F731/F732),"")="","",(F731/F732)),INDIRECT("'update Helper'!E"&amp;U731)/100)</f>
        <v/>
      </c>
      <c r="H731" s="670"/>
      <c r="I731" s="672"/>
      <c r="J731" s="651"/>
      <c r="K731" s="666" t="str">
        <f t="shared" ref="K731" si="3023">W731</f>
        <v>PMTCT-1 Percentage of pregnant women who know their HIV status</v>
      </c>
      <c r="L731" s="666" t="str">
        <f t="shared" ref="L731" si="3024">V731</f>
        <v/>
      </c>
      <c r="M731" s="651"/>
      <c r="N731" s="651"/>
      <c r="P731" s="189">
        <f t="shared" ref="P731" si="3025">IF(AND(EXACT(C731,C729),C729&lt;&gt;0),P729+1,0)</f>
        <v>15</v>
      </c>
      <c r="Q731" s="189" t="str">
        <f t="shared" ref="Q731" si="3026">IF(C731&lt;&gt;"",C731&amp;"-"&amp;P731,"")</f>
        <v>PMTCT-1 Pourcentage de femmes enceintes qui connaissent leur statut sérologique pour le VIH-15</v>
      </c>
      <c r="R731" s="189" t="str">
        <f t="array" ref="R731">IFERROR(IF(INDEX('Disaggregation Records'!$E$155:$E$385,MATCH(RIGHT(Q731,255),RIGHT('Disaggregation Records'!$D$155:$D$385,255),0))=0,"",INDEX('Disaggregation Records'!$E$155:$E$385,MATCH(RIGHT(Q731,255),RIGHT('Disaggregation Records'!$D$155:$D$385,255),0))),"")</f>
        <v/>
      </c>
      <c r="S731" s="189" t="str">
        <f t="array" ref="S731">IFERROR(IF(INDEX('Disaggregation Records'!$F$155:$F$385,MATCH(RIGHT(Q731,255),RIGHT('Disaggregation Records'!$D$155:$D$385,255),0))=0,"",INDEX('Disaggregation Records'!$F$155:$F$385,MATCH(RIGHT(Q731,255),RIGHT('Disaggregation Records'!$D$155:$D$385,255),0))),"")</f>
        <v/>
      </c>
      <c r="T731" s="189" t="str">
        <f t="array" ref="T731">IFERROR(IF(INDEX('Disaggregation Records'!$H$155:$H$385,MATCH(RIGHT(Q731,255),RIGHT('Disaggregation Records'!$D$155:$D$385,255),0))=0,"",INDEX('Disaggregation Records'!$H$155:$H$385,MATCH(RIGHT(Q731,255),RIGHT('Disaggregation Records'!$D$155:$D$385,255),0))),"")</f>
        <v/>
      </c>
      <c r="U731" s="189">
        <f t="shared" ref="U731" si="3027">U729+1</f>
        <v>1467</v>
      </c>
      <c r="V731" s="189" t="str">
        <f t="array" ref="V731">IFERROR(IF(INDEX('Disaggregation Records'!$I$155:$I$385,MATCH(RIGHT(Q731,255),RIGHT('Disaggregation Records'!$D$155:$D$385,255),0))=0,"",INDEX('Disaggregation Records'!$I$155:$I$385,MATCH(RIGHT(Q731,255),RIGHT('Disaggregation Records'!$D$155:$D$385,255),0))),"")</f>
        <v/>
      </c>
      <c r="W731" s="189" t="str">
        <f>IFERROR(INDEX('Reference Records'!L$59:L$121,MATCH(LEFT(C731,255),'Reference Records'!E$59:E$121,0)),"")</f>
        <v>PMTCT-1 Percentage of pregnant women who know their HIV status</v>
      </c>
    </row>
    <row r="732" spans="1:23" s="189" customFormat="1" ht="40.200000000000003" customHeight="1" x14ac:dyDescent="0.3">
      <c r="A732" s="678"/>
      <c r="B732" s="675"/>
      <c r="C732" s="667"/>
      <c r="D732" s="677"/>
      <c r="E732" s="677"/>
      <c r="F732" s="202"/>
      <c r="G732" s="669"/>
      <c r="H732" s="671"/>
      <c r="I732" s="673"/>
      <c r="J732" s="652"/>
      <c r="K732" s="667"/>
      <c r="L732" s="667"/>
      <c r="M732" s="652"/>
      <c r="N732" s="652"/>
    </row>
    <row r="733" spans="1:23" s="189" customFormat="1" ht="40.200000000000003" customHeight="1" x14ac:dyDescent="0.3">
      <c r="A733" s="678" t="str">
        <f t="shared" ref="A733" ca="1" si="3028">INDIRECT("'update Helper'!C"&amp;U733)</f>
        <v>a163p000002zQaHAAU</v>
      </c>
      <c r="B733" s="674">
        <v>3</v>
      </c>
      <c r="C733" s="666" t="str">
        <f>VLOOKUP(B733,'Coverage Indicators - Section D'!$A$9:$AU$70,47,FALSE)</f>
        <v>PMTCT-1 Pourcentage de femmes enceintes qui connaissent leur statut sérologique pour le VIH</v>
      </c>
      <c r="D733" s="676" t="str">
        <f t="shared" ref="D733" si="3029">R733</f>
        <v/>
      </c>
      <c r="E733" s="676" t="str">
        <f t="shared" ref="E733" si="3030">S733</f>
        <v/>
      </c>
      <c r="F733" s="194"/>
      <c r="G733" s="668" t="str">
        <f t="shared" ref="G733" ca="1" si="3031">IF(OR(INDIRECT("'update Helper'!E"&amp;U733)=0,F733&lt;&gt;0,F734&lt;&gt;0),IF(IFERROR((F733/F734),"")="","",(F733/F734)),INDIRECT("'update Helper'!E"&amp;U733)/100)</f>
        <v/>
      </c>
      <c r="H733" s="670"/>
      <c r="I733" s="672"/>
      <c r="J733" s="651"/>
      <c r="K733" s="666" t="str">
        <f t="shared" ref="K733" si="3032">W733</f>
        <v>PMTCT-1 Percentage of pregnant women who know their HIV status</v>
      </c>
      <c r="L733" s="666" t="str">
        <f t="shared" ref="L733" si="3033">V733</f>
        <v/>
      </c>
      <c r="M733" s="651"/>
      <c r="N733" s="651"/>
      <c r="P733" s="189">
        <f t="shared" ref="P733" si="3034">IF(AND(EXACT(C733,C731),C731&lt;&gt;0),P731+1,0)</f>
        <v>16</v>
      </c>
      <c r="Q733" s="189" t="str">
        <f t="shared" ref="Q733" si="3035">IF(C733&lt;&gt;"",C733&amp;"-"&amp;P733,"")</f>
        <v>PMTCT-1 Pourcentage de femmes enceintes qui connaissent leur statut sérologique pour le VIH-16</v>
      </c>
      <c r="R733" s="189" t="str">
        <f t="array" ref="R733">IFERROR(IF(INDEX('Disaggregation Records'!$E$155:$E$385,MATCH(RIGHT(Q733,255),RIGHT('Disaggregation Records'!$D$155:$D$385,255),0))=0,"",INDEX('Disaggregation Records'!$E$155:$E$385,MATCH(RIGHT(Q733,255),RIGHT('Disaggregation Records'!$D$155:$D$385,255),0))),"")</f>
        <v/>
      </c>
      <c r="S733" s="189" t="str">
        <f t="array" ref="S733">IFERROR(IF(INDEX('Disaggregation Records'!$F$155:$F$385,MATCH(RIGHT(Q733,255),RIGHT('Disaggregation Records'!$D$155:$D$385,255),0))=0,"",INDEX('Disaggregation Records'!$F$155:$F$385,MATCH(RIGHT(Q733,255),RIGHT('Disaggregation Records'!$D$155:$D$385,255),0))),"")</f>
        <v/>
      </c>
      <c r="T733" s="189" t="str">
        <f t="array" ref="T733">IFERROR(IF(INDEX('Disaggregation Records'!$H$155:$H$385,MATCH(RIGHT(Q733,255),RIGHT('Disaggregation Records'!$D$155:$D$385,255),0))=0,"",INDEX('Disaggregation Records'!$H$155:$H$385,MATCH(RIGHT(Q733,255),RIGHT('Disaggregation Records'!$D$155:$D$385,255),0))),"")</f>
        <v/>
      </c>
      <c r="U733" s="189">
        <f t="shared" ref="U733" si="3036">U731+1</f>
        <v>1468</v>
      </c>
      <c r="V733" s="189" t="str">
        <f t="array" ref="V733">IFERROR(IF(INDEX('Disaggregation Records'!$I$155:$I$385,MATCH(RIGHT(Q733,255),RIGHT('Disaggregation Records'!$D$155:$D$385,255),0))=0,"",INDEX('Disaggregation Records'!$I$155:$I$385,MATCH(RIGHT(Q733,255),RIGHT('Disaggregation Records'!$D$155:$D$385,255),0))),"")</f>
        <v/>
      </c>
      <c r="W733" s="189" t="str">
        <f>IFERROR(INDEX('Reference Records'!L$59:L$121,MATCH(LEFT(C733,255),'Reference Records'!E$59:E$121,0)),"")</f>
        <v>PMTCT-1 Percentage of pregnant women who know their HIV status</v>
      </c>
    </row>
    <row r="734" spans="1:23" s="189" customFormat="1" ht="40.200000000000003" customHeight="1" x14ac:dyDescent="0.3">
      <c r="A734" s="678"/>
      <c r="B734" s="675"/>
      <c r="C734" s="667"/>
      <c r="D734" s="677"/>
      <c r="E734" s="677"/>
      <c r="F734" s="202"/>
      <c r="G734" s="669"/>
      <c r="H734" s="671"/>
      <c r="I734" s="673"/>
      <c r="J734" s="652"/>
      <c r="K734" s="667"/>
      <c r="L734" s="667"/>
      <c r="M734" s="652"/>
      <c r="N734" s="652"/>
    </row>
    <row r="735" spans="1:23" s="189" customFormat="1" ht="40.200000000000003" customHeight="1" x14ac:dyDescent="0.3">
      <c r="A735" s="678" t="str">
        <f t="shared" ref="A735" ca="1" si="3037">INDIRECT("'update Helper'!C"&amp;U735)</f>
        <v>a163p000002zQaIAAU</v>
      </c>
      <c r="B735" s="674">
        <v>3</v>
      </c>
      <c r="C735" s="666" t="str">
        <f>VLOOKUP(B735,'Coverage Indicators - Section D'!$A$9:$AU$70,47,FALSE)</f>
        <v>PMTCT-1 Pourcentage de femmes enceintes qui connaissent leur statut sérologique pour le VIH</v>
      </c>
      <c r="D735" s="676" t="str">
        <f t="shared" ref="D735" si="3038">R735</f>
        <v/>
      </c>
      <c r="E735" s="676" t="str">
        <f t="shared" ref="E735" si="3039">S735</f>
        <v/>
      </c>
      <c r="F735" s="194"/>
      <c r="G735" s="668" t="str">
        <f t="shared" ref="G735" ca="1" si="3040">IF(OR(INDIRECT("'update Helper'!E"&amp;U735)=0,F735&lt;&gt;0,F736&lt;&gt;0),IF(IFERROR((F735/F736),"")="","",(F735/F736)),INDIRECT("'update Helper'!E"&amp;U735)/100)</f>
        <v/>
      </c>
      <c r="H735" s="670"/>
      <c r="I735" s="672"/>
      <c r="J735" s="651"/>
      <c r="K735" s="666" t="str">
        <f t="shared" ref="K735" si="3041">W735</f>
        <v>PMTCT-1 Percentage of pregnant women who know their HIV status</v>
      </c>
      <c r="L735" s="666" t="str">
        <f t="shared" ref="L735" si="3042">V735</f>
        <v/>
      </c>
      <c r="M735" s="651"/>
      <c r="N735" s="651"/>
      <c r="P735" s="189">
        <f t="shared" ref="P735" si="3043">IF(AND(EXACT(C735,C733),C733&lt;&gt;0),P733+1,0)</f>
        <v>17</v>
      </c>
      <c r="Q735" s="189" t="str">
        <f t="shared" ref="Q735" si="3044">IF(C735&lt;&gt;"",C735&amp;"-"&amp;P735,"")</f>
        <v>PMTCT-1 Pourcentage de femmes enceintes qui connaissent leur statut sérologique pour le VIH-17</v>
      </c>
      <c r="R735" s="189" t="str">
        <f t="array" ref="R735">IFERROR(IF(INDEX('Disaggregation Records'!$E$155:$E$385,MATCH(RIGHT(Q735,255),RIGHT('Disaggregation Records'!$D$155:$D$385,255),0))=0,"",INDEX('Disaggregation Records'!$E$155:$E$385,MATCH(RIGHT(Q735,255),RIGHT('Disaggregation Records'!$D$155:$D$385,255),0))),"")</f>
        <v/>
      </c>
      <c r="S735" s="189" t="str">
        <f t="array" ref="S735">IFERROR(IF(INDEX('Disaggregation Records'!$F$155:$F$385,MATCH(RIGHT(Q735,255),RIGHT('Disaggregation Records'!$D$155:$D$385,255),0))=0,"",INDEX('Disaggregation Records'!$F$155:$F$385,MATCH(RIGHT(Q735,255),RIGHT('Disaggregation Records'!$D$155:$D$385,255),0))),"")</f>
        <v/>
      </c>
      <c r="T735" s="189" t="str">
        <f t="array" ref="T735">IFERROR(IF(INDEX('Disaggregation Records'!$H$155:$H$385,MATCH(RIGHT(Q735,255),RIGHT('Disaggregation Records'!$D$155:$D$385,255),0))=0,"",INDEX('Disaggregation Records'!$H$155:$H$385,MATCH(RIGHT(Q735,255),RIGHT('Disaggregation Records'!$D$155:$D$385,255),0))),"")</f>
        <v/>
      </c>
      <c r="U735" s="189">
        <f t="shared" ref="U735" si="3045">U733+1</f>
        <v>1469</v>
      </c>
      <c r="V735" s="189" t="str">
        <f t="array" ref="V735">IFERROR(IF(INDEX('Disaggregation Records'!$I$155:$I$385,MATCH(RIGHT(Q735,255),RIGHT('Disaggregation Records'!$D$155:$D$385,255),0))=0,"",INDEX('Disaggregation Records'!$I$155:$I$385,MATCH(RIGHT(Q735,255),RIGHT('Disaggregation Records'!$D$155:$D$385,255),0))),"")</f>
        <v/>
      </c>
      <c r="W735" s="189" t="str">
        <f>IFERROR(INDEX('Reference Records'!L$59:L$121,MATCH(LEFT(C735,255),'Reference Records'!E$59:E$121,0)),"")</f>
        <v>PMTCT-1 Percentage of pregnant women who know their HIV status</v>
      </c>
    </row>
    <row r="736" spans="1:23" s="189" customFormat="1" ht="40.200000000000003" customHeight="1" x14ac:dyDescent="0.3">
      <c r="A736" s="678"/>
      <c r="B736" s="675"/>
      <c r="C736" s="667"/>
      <c r="D736" s="677"/>
      <c r="E736" s="677"/>
      <c r="F736" s="202"/>
      <c r="G736" s="669"/>
      <c r="H736" s="671"/>
      <c r="I736" s="673"/>
      <c r="J736" s="652"/>
      <c r="K736" s="667"/>
      <c r="L736" s="667"/>
      <c r="M736" s="652"/>
      <c r="N736" s="652"/>
    </row>
    <row r="737" spans="1:23" s="189" customFormat="1" ht="40.200000000000003" customHeight="1" x14ac:dyDescent="0.3">
      <c r="A737" s="678" t="str">
        <f t="shared" ref="A737" ca="1" si="3046">INDIRECT("'update Helper'!C"&amp;U737)</f>
        <v>a163p000002zQaJAAU</v>
      </c>
      <c r="B737" s="674">
        <v>3</v>
      </c>
      <c r="C737" s="666" t="str">
        <f>VLOOKUP(B737,'Coverage Indicators - Section D'!$A$9:$AU$70,47,FALSE)</f>
        <v>PMTCT-1 Pourcentage de femmes enceintes qui connaissent leur statut sérologique pour le VIH</v>
      </c>
      <c r="D737" s="676" t="str">
        <f t="shared" ref="D737" si="3047">R737</f>
        <v/>
      </c>
      <c r="E737" s="676" t="str">
        <f t="shared" ref="E737" si="3048">S737</f>
        <v/>
      </c>
      <c r="F737" s="194"/>
      <c r="G737" s="668" t="str">
        <f t="shared" ref="G737" ca="1" si="3049">IF(OR(INDIRECT("'update Helper'!E"&amp;U737)=0,F737&lt;&gt;0,F738&lt;&gt;0),IF(IFERROR((F737/F738),"")="","",(F737/F738)),INDIRECT("'update Helper'!E"&amp;U737)/100)</f>
        <v/>
      </c>
      <c r="H737" s="670"/>
      <c r="I737" s="672"/>
      <c r="J737" s="651"/>
      <c r="K737" s="666" t="str">
        <f t="shared" ref="K737" si="3050">W737</f>
        <v>PMTCT-1 Percentage of pregnant women who know their HIV status</v>
      </c>
      <c r="L737" s="666" t="str">
        <f t="shared" ref="L737" si="3051">V737</f>
        <v/>
      </c>
      <c r="M737" s="651"/>
      <c r="N737" s="651"/>
      <c r="P737" s="189">
        <f t="shared" ref="P737" si="3052">IF(AND(EXACT(C737,C735),C735&lt;&gt;0),P735+1,0)</f>
        <v>18</v>
      </c>
      <c r="Q737" s="189" t="str">
        <f t="shared" ref="Q737" si="3053">IF(C737&lt;&gt;"",C737&amp;"-"&amp;P737,"")</f>
        <v>PMTCT-1 Pourcentage de femmes enceintes qui connaissent leur statut sérologique pour le VIH-18</v>
      </c>
      <c r="R737" s="189" t="str">
        <f t="array" ref="R737">IFERROR(IF(INDEX('Disaggregation Records'!$E$155:$E$385,MATCH(RIGHT(Q737,255),RIGHT('Disaggregation Records'!$D$155:$D$385,255),0))=0,"",INDEX('Disaggregation Records'!$E$155:$E$385,MATCH(RIGHT(Q737,255),RIGHT('Disaggregation Records'!$D$155:$D$385,255),0))),"")</f>
        <v/>
      </c>
      <c r="S737" s="189" t="str">
        <f t="array" ref="S737">IFERROR(IF(INDEX('Disaggregation Records'!$F$155:$F$385,MATCH(RIGHT(Q737,255),RIGHT('Disaggregation Records'!$D$155:$D$385,255),0))=0,"",INDEX('Disaggregation Records'!$F$155:$F$385,MATCH(RIGHT(Q737,255),RIGHT('Disaggregation Records'!$D$155:$D$385,255),0))),"")</f>
        <v/>
      </c>
      <c r="T737" s="189" t="str">
        <f t="array" ref="T737">IFERROR(IF(INDEX('Disaggregation Records'!$H$155:$H$385,MATCH(RIGHT(Q737,255),RIGHT('Disaggregation Records'!$D$155:$D$385,255),0))=0,"",INDEX('Disaggregation Records'!$H$155:$H$385,MATCH(RIGHT(Q737,255),RIGHT('Disaggregation Records'!$D$155:$D$385,255),0))),"")</f>
        <v/>
      </c>
      <c r="U737" s="189">
        <f t="shared" ref="U737" si="3054">U735+1</f>
        <v>1470</v>
      </c>
      <c r="V737" s="189" t="str">
        <f t="array" ref="V737">IFERROR(IF(INDEX('Disaggregation Records'!$I$155:$I$385,MATCH(RIGHT(Q737,255),RIGHT('Disaggregation Records'!$D$155:$D$385,255),0))=0,"",INDEX('Disaggregation Records'!$I$155:$I$385,MATCH(RIGHT(Q737,255),RIGHT('Disaggregation Records'!$D$155:$D$385,255),0))),"")</f>
        <v/>
      </c>
      <c r="W737" s="189" t="str">
        <f>IFERROR(INDEX('Reference Records'!L$59:L$121,MATCH(LEFT(C737,255),'Reference Records'!E$59:E$121,0)),"")</f>
        <v>PMTCT-1 Percentage of pregnant women who know their HIV status</v>
      </c>
    </row>
    <row r="738" spans="1:23" s="189" customFormat="1" ht="40.200000000000003" customHeight="1" x14ac:dyDescent="0.3">
      <c r="A738" s="678"/>
      <c r="B738" s="675"/>
      <c r="C738" s="667"/>
      <c r="D738" s="677"/>
      <c r="E738" s="677"/>
      <c r="F738" s="202"/>
      <c r="G738" s="669"/>
      <c r="H738" s="671"/>
      <c r="I738" s="673"/>
      <c r="J738" s="652"/>
      <c r="K738" s="667"/>
      <c r="L738" s="667"/>
      <c r="M738" s="652"/>
      <c r="N738" s="652"/>
    </row>
    <row r="739" spans="1:23" s="189" customFormat="1" ht="40.200000000000003" customHeight="1" x14ac:dyDescent="0.3">
      <c r="A739" s="678" t="str">
        <f t="shared" ref="A739" ca="1" si="3055">INDIRECT("'update Helper'!C"&amp;U739)</f>
        <v>a163p000002zQaKAAU</v>
      </c>
      <c r="B739" s="674">
        <v>3</v>
      </c>
      <c r="C739" s="666" t="str">
        <f>VLOOKUP(B739,'Coverage Indicators - Section D'!$A$9:$AU$70,47,FALSE)</f>
        <v>PMTCT-1 Pourcentage de femmes enceintes qui connaissent leur statut sérologique pour le VIH</v>
      </c>
      <c r="D739" s="676" t="str">
        <f t="shared" ref="D739" si="3056">R739</f>
        <v/>
      </c>
      <c r="E739" s="676" t="str">
        <f t="shared" ref="E739" si="3057">S739</f>
        <v/>
      </c>
      <c r="F739" s="194"/>
      <c r="G739" s="668" t="str">
        <f t="shared" ref="G739" ca="1" si="3058">IF(OR(INDIRECT("'update Helper'!E"&amp;U739)=0,F739&lt;&gt;0,F740&lt;&gt;0),IF(IFERROR((F739/F740),"")="","",(F739/F740)),INDIRECT("'update Helper'!E"&amp;U739)/100)</f>
        <v/>
      </c>
      <c r="H739" s="670"/>
      <c r="I739" s="672"/>
      <c r="J739" s="651"/>
      <c r="K739" s="666" t="str">
        <f t="shared" ref="K739" si="3059">W739</f>
        <v>PMTCT-1 Percentage of pregnant women who know their HIV status</v>
      </c>
      <c r="L739" s="666" t="str">
        <f t="shared" ref="L739" si="3060">V739</f>
        <v/>
      </c>
      <c r="M739" s="651"/>
      <c r="N739" s="651"/>
      <c r="P739" s="189">
        <f t="shared" ref="P739" si="3061">IF(AND(EXACT(C739,C737),C737&lt;&gt;0),P737+1,0)</f>
        <v>19</v>
      </c>
      <c r="Q739" s="189" t="str">
        <f t="shared" ref="Q739" si="3062">IF(C739&lt;&gt;"",C739&amp;"-"&amp;P739,"")</f>
        <v>PMTCT-1 Pourcentage de femmes enceintes qui connaissent leur statut sérologique pour le VIH-19</v>
      </c>
      <c r="R739" s="189" t="str">
        <f t="array" ref="R739">IFERROR(IF(INDEX('Disaggregation Records'!$E$155:$E$385,MATCH(RIGHT(Q739,255),RIGHT('Disaggregation Records'!$D$155:$D$385,255),0))=0,"",INDEX('Disaggregation Records'!$E$155:$E$385,MATCH(RIGHT(Q739,255),RIGHT('Disaggregation Records'!$D$155:$D$385,255),0))),"")</f>
        <v/>
      </c>
      <c r="S739" s="189" t="str">
        <f t="array" ref="S739">IFERROR(IF(INDEX('Disaggregation Records'!$F$155:$F$385,MATCH(RIGHT(Q739,255),RIGHT('Disaggregation Records'!$D$155:$D$385,255),0))=0,"",INDEX('Disaggregation Records'!$F$155:$F$385,MATCH(RIGHT(Q739,255),RIGHT('Disaggregation Records'!$D$155:$D$385,255),0))),"")</f>
        <v/>
      </c>
      <c r="T739" s="189" t="str">
        <f t="array" ref="T739">IFERROR(IF(INDEX('Disaggregation Records'!$H$155:$H$385,MATCH(RIGHT(Q739,255),RIGHT('Disaggregation Records'!$D$155:$D$385,255),0))=0,"",INDEX('Disaggregation Records'!$H$155:$H$385,MATCH(RIGHT(Q739,255),RIGHT('Disaggregation Records'!$D$155:$D$385,255),0))),"")</f>
        <v/>
      </c>
      <c r="U739" s="189">
        <f t="shared" ref="U739" si="3063">U737+1</f>
        <v>1471</v>
      </c>
      <c r="V739" s="189" t="str">
        <f t="array" ref="V739">IFERROR(IF(INDEX('Disaggregation Records'!$I$155:$I$385,MATCH(RIGHT(Q739,255),RIGHT('Disaggregation Records'!$D$155:$D$385,255),0))=0,"",INDEX('Disaggregation Records'!$I$155:$I$385,MATCH(RIGHT(Q739,255),RIGHT('Disaggregation Records'!$D$155:$D$385,255),0))),"")</f>
        <v/>
      </c>
      <c r="W739" s="189" t="str">
        <f>IFERROR(INDEX('Reference Records'!L$59:L$121,MATCH(LEFT(C739,255),'Reference Records'!E$59:E$121,0)),"")</f>
        <v>PMTCT-1 Percentage of pregnant women who know their HIV status</v>
      </c>
    </row>
    <row r="740" spans="1:23" s="189" customFormat="1" ht="40.200000000000003" customHeight="1" x14ac:dyDescent="0.3">
      <c r="A740" s="678"/>
      <c r="B740" s="675"/>
      <c r="C740" s="667"/>
      <c r="D740" s="677"/>
      <c r="E740" s="677"/>
      <c r="F740" s="202"/>
      <c r="G740" s="669"/>
      <c r="H740" s="671"/>
      <c r="I740" s="673"/>
      <c r="J740" s="652"/>
      <c r="K740" s="667"/>
      <c r="L740" s="667"/>
      <c r="M740" s="652"/>
      <c r="N740" s="652"/>
    </row>
    <row r="741" spans="1:23" s="189" customFormat="1" ht="40.200000000000003" customHeight="1" x14ac:dyDescent="0.3">
      <c r="A741" s="678" t="str">
        <f t="shared" ref="A741" ca="1" si="3064">INDIRECT("'update Helper'!C"&amp;U741)</f>
        <v>a163p000002zQaLAAU</v>
      </c>
      <c r="B741" s="674">
        <v>4</v>
      </c>
      <c r="C741" s="666" t="str">
        <f>VLOOKUP(B741,'Coverage Indicators - Section D'!$A$9:$AU$70,47,FALSE)</f>
        <v>PMTCT-2.1 Pourcentage de femmes enceintes séropositives pour le VIH ayant reçu une TARV durant leur grossesse et/ou le travail et l'accouchement</v>
      </c>
      <c r="D741" s="676" t="str">
        <f t="shared" ref="D741" si="3065">R741</f>
        <v/>
      </c>
      <c r="E741" s="676" t="str">
        <f t="shared" ref="E741" si="3066">S741</f>
        <v/>
      </c>
      <c r="F741" s="194"/>
      <c r="G741" s="668" t="str">
        <f t="shared" ref="G741" ca="1" si="3067">IF(OR(INDIRECT("'update Helper'!E"&amp;U741)=0,F741&lt;&gt;0,F742&lt;&gt;0),IF(IFERROR((F741/F742),"")="","",(F741/F742)),INDIRECT("'update Helper'!E"&amp;U741)/100)</f>
        <v/>
      </c>
      <c r="H741" s="670"/>
      <c r="I741" s="672"/>
      <c r="J741" s="651"/>
      <c r="K741" s="666" t="str">
        <f t="shared" ref="K741" si="3068">W741</f>
        <v>PMTCT-2.1 Percentage of HIV-positive women who received ART during pregnancy and/or labour and delivery</v>
      </c>
      <c r="L741" s="666" t="str">
        <f t="shared" ref="L741" si="3069">V741</f>
        <v/>
      </c>
      <c r="M741" s="651"/>
      <c r="N741" s="651"/>
      <c r="P741" s="189">
        <f t="shared" ref="P741" si="3070">IF(AND(EXACT(C741,C739),C739&lt;&gt;0),P739+1,0)</f>
        <v>0</v>
      </c>
      <c r="Q741" s="189" t="str">
        <f t="shared" ref="Q741" si="3071">IF(C741&lt;&gt;"",C741&amp;"-"&amp;P741,"")</f>
        <v>PMTCT-2.1 Pourcentage de femmes enceintes séropositives pour le VIH ayant reçu une TARV durant leur grossesse et/ou le travail et l'accouchement-0</v>
      </c>
      <c r="R741" s="189" t="str">
        <f t="array" ref="R741">IFERROR(IF(INDEX('Disaggregation Records'!$E$155:$E$385,MATCH(RIGHT(Q741,255),RIGHT('Disaggregation Records'!$D$155:$D$385,255),0))=0,"",INDEX('Disaggregation Records'!$E$155:$E$385,MATCH(RIGHT(Q741,255),RIGHT('Disaggregation Records'!$D$155:$D$385,255),0))),"")</f>
        <v/>
      </c>
      <c r="S741" s="189" t="str">
        <f t="array" ref="S741">IFERROR(IF(INDEX('Disaggregation Records'!$F$155:$F$385,MATCH(RIGHT(Q741,255),RIGHT('Disaggregation Records'!$D$155:$D$385,255),0))=0,"",INDEX('Disaggregation Records'!$F$155:$F$385,MATCH(RIGHT(Q741,255),RIGHT('Disaggregation Records'!$D$155:$D$385,255),0))),"")</f>
        <v/>
      </c>
      <c r="T741" s="189" t="str">
        <f t="array" ref="T741">IFERROR(IF(INDEX('Disaggregation Records'!$H$155:$H$385,MATCH(RIGHT(Q741,255),RIGHT('Disaggregation Records'!$D$155:$D$385,255),0))=0,"",INDEX('Disaggregation Records'!$H$155:$H$385,MATCH(RIGHT(Q741,255),RIGHT('Disaggregation Records'!$D$155:$D$385,255),0))),"")</f>
        <v/>
      </c>
      <c r="U741" s="189">
        <f t="shared" ref="U741" si="3072">U739+1</f>
        <v>1472</v>
      </c>
      <c r="V741" s="189" t="str">
        <f t="array" ref="V741">IFERROR(IF(INDEX('Disaggregation Records'!$I$155:$I$385,MATCH(RIGHT(Q741,255),RIGHT('Disaggregation Records'!$D$155:$D$385,255),0))=0,"",INDEX('Disaggregation Records'!$I$155:$I$385,MATCH(RIGHT(Q741,255),RIGHT('Disaggregation Records'!$D$155:$D$385,255),0))),"")</f>
        <v/>
      </c>
      <c r="W741" s="189" t="str">
        <f>IFERROR(INDEX('Reference Records'!L$59:L$121,MATCH(LEFT(C741,255),'Reference Records'!E$59:E$121,0)),"")</f>
        <v>PMTCT-2.1 Percentage of HIV-positive women who received ART during pregnancy and/or labour and delivery</v>
      </c>
    </row>
    <row r="742" spans="1:23" s="189" customFormat="1" ht="40.200000000000003" customHeight="1" x14ac:dyDescent="0.3">
      <c r="A742" s="678"/>
      <c r="B742" s="675"/>
      <c r="C742" s="667"/>
      <c r="D742" s="677"/>
      <c r="E742" s="677"/>
      <c r="F742" s="202"/>
      <c r="G742" s="669"/>
      <c r="H742" s="671"/>
      <c r="I742" s="673"/>
      <c r="J742" s="652"/>
      <c r="K742" s="667"/>
      <c r="L742" s="667"/>
      <c r="M742" s="652"/>
      <c r="N742" s="652"/>
    </row>
    <row r="743" spans="1:23" s="189" customFormat="1" ht="40.200000000000003" customHeight="1" x14ac:dyDescent="0.3">
      <c r="A743" s="678" t="str">
        <f t="shared" ref="A743" ca="1" si="3073">INDIRECT("'update Helper'!C"&amp;U743)</f>
        <v>a163p000002zQaMAAU</v>
      </c>
      <c r="B743" s="674">
        <v>4</v>
      </c>
      <c r="C743" s="666" t="str">
        <f>VLOOKUP(B743,'Coverage Indicators - Section D'!$A$9:$AU$70,47,FALSE)</f>
        <v>PMTCT-2.1 Pourcentage de femmes enceintes séropositives pour le VIH ayant reçu une TARV durant leur grossesse et/ou le travail et l'accouchement</v>
      </c>
      <c r="D743" s="676" t="str">
        <f t="shared" ref="D743" si="3074">R743</f>
        <v/>
      </c>
      <c r="E743" s="676" t="str">
        <f t="shared" ref="E743" si="3075">S743</f>
        <v/>
      </c>
      <c r="F743" s="194"/>
      <c r="G743" s="668" t="str">
        <f t="shared" ref="G743" ca="1" si="3076">IF(OR(INDIRECT("'update Helper'!E"&amp;U743)=0,F743&lt;&gt;0,F744&lt;&gt;0),IF(IFERROR((F743/F744),"")="","",(F743/F744)),INDIRECT("'update Helper'!E"&amp;U743)/100)</f>
        <v/>
      </c>
      <c r="H743" s="670"/>
      <c r="I743" s="672"/>
      <c r="J743" s="651"/>
      <c r="K743" s="666" t="str">
        <f t="shared" ref="K743" si="3077">W743</f>
        <v>PMTCT-2.1 Percentage of HIV-positive women who received ART during pregnancy and/or labour and delivery</v>
      </c>
      <c r="L743" s="666" t="str">
        <f t="shared" ref="L743" si="3078">V743</f>
        <v/>
      </c>
      <c r="M743" s="651"/>
      <c r="N743" s="651"/>
      <c r="P743" s="189">
        <f t="shared" ref="P743" si="3079">IF(AND(EXACT(C743,C741),C741&lt;&gt;0),P741+1,0)</f>
        <v>1</v>
      </c>
      <c r="Q743" s="189" t="str">
        <f t="shared" ref="Q743" si="3080">IF(C743&lt;&gt;"",C743&amp;"-"&amp;P743,"")</f>
        <v>PMTCT-2.1 Pourcentage de femmes enceintes séropositives pour le VIH ayant reçu une TARV durant leur grossesse et/ou le travail et l'accouchement-1</v>
      </c>
      <c r="R743" s="189" t="str">
        <f t="array" ref="R743">IFERROR(IF(INDEX('Disaggregation Records'!$E$155:$E$385,MATCH(RIGHT(Q743,255),RIGHT('Disaggregation Records'!$D$155:$D$385,255),0))=0,"",INDEX('Disaggregation Records'!$E$155:$E$385,MATCH(RIGHT(Q743,255),RIGHT('Disaggregation Records'!$D$155:$D$385,255),0))),"")</f>
        <v/>
      </c>
      <c r="S743" s="189" t="str">
        <f t="array" ref="S743">IFERROR(IF(INDEX('Disaggregation Records'!$F$155:$F$385,MATCH(RIGHT(Q743,255),RIGHT('Disaggregation Records'!$D$155:$D$385,255),0))=0,"",INDEX('Disaggregation Records'!$F$155:$F$385,MATCH(RIGHT(Q743,255),RIGHT('Disaggregation Records'!$D$155:$D$385,255),0))),"")</f>
        <v/>
      </c>
      <c r="T743" s="189" t="str">
        <f t="array" ref="T743">IFERROR(IF(INDEX('Disaggregation Records'!$H$155:$H$385,MATCH(RIGHT(Q743,255),RIGHT('Disaggregation Records'!$D$155:$D$385,255),0))=0,"",INDEX('Disaggregation Records'!$H$155:$H$385,MATCH(RIGHT(Q743,255),RIGHT('Disaggregation Records'!$D$155:$D$385,255),0))),"")</f>
        <v/>
      </c>
      <c r="U743" s="189">
        <f t="shared" ref="U743" si="3081">U741+1</f>
        <v>1473</v>
      </c>
      <c r="V743" s="189" t="str">
        <f t="array" ref="V743">IFERROR(IF(INDEX('Disaggregation Records'!$I$155:$I$385,MATCH(RIGHT(Q743,255),RIGHT('Disaggregation Records'!$D$155:$D$385,255),0))=0,"",INDEX('Disaggregation Records'!$I$155:$I$385,MATCH(RIGHT(Q743,255),RIGHT('Disaggregation Records'!$D$155:$D$385,255),0))),"")</f>
        <v/>
      </c>
      <c r="W743" s="189" t="str">
        <f>IFERROR(INDEX('Reference Records'!L$59:L$121,MATCH(LEFT(C743,255),'Reference Records'!E$59:E$121,0)),"")</f>
        <v>PMTCT-2.1 Percentage of HIV-positive women who received ART during pregnancy and/or labour and delivery</v>
      </c>
    </row>
    <row r="744" spans="1:23" s="189" customFormat="1" ht="40.200000000000003" customHeight="1" x14ac:dyDescent="0.3">
      <c r="A744" s="678"/>
      <c r="B744" s="675"/>
      <c r="C744" s="667"/>
      <c r="D744" s="677"/>
      <c r="E744" s="677"/>
      <c r="F744" s="202"/>
      <c r="G744" s="669"/>
      <c r="H744" s="671"/>
      <c r="I744" s="673"/>
      <c r="J744" s="652"/>
      <c r="K744" s="667"/>
      <c r="L744" s="667"/>
      <c r="M744" s="652"/>
      <c r="N744" s="652"/>
    </row>
    <row r="745" spans="1:23" s="189" customFormat="1" ht="40.200000000000003" customHeight="1" x14ac:dyDescent="0.3">
      <c r="A745" s="678" t="str">
        <f t="shared" ref="A745" ca="1" si="3082">INDIRECT("'update Helper'!C"&amp;U745)</f>
        <v>a163p000002zQaNAAU</v>
      </c>
      <c r="B745" s="674">
        <v>4</v>
      </c>
      <c r="C745" s="666" t="str">
        <f>VLOOKUP(B745,'Coverage Indicators - Section D'!$A$9:$AU$70,47,FALSE)</f>
        <v>PMTCT-2.1 Pourcentage de femmes enceintes séropositives pour le VIH ayant reçu une TARV durant leur grossesse et/ou le travail et l'accouchement</v>
      </c>
      <c r="D745" s="676" t="str">
        <f t="shared" ref="D745" si="3083">R745</f>
        <v/>
      </c>
      <c r="E745" s="676" t="str">
        <f t="shared" ref="E745" si="3084">S745</f>
        <v/>
      </c>
      <c r="F745" s="194"/>
      <c r="G745" s="668" t="str">
        <f t="shared" ref="G745" ca="1" si="3085">IF(OR(INDIRECT("'update Helper'!E"&amp;U745)=0,F745&lt;&gt;0,F746&lt;&gt;0),IF(IFERROR((F745/F746),"")="","",(F745/F746)),INDIRECT("'update Helper'!E"&amp;U745)/100)</f>
        <v/>
      </c>
      <c r="H745" s="670"/>
      <c r="I745" s="672"/>
      <c r="J745" s="651"/>
      <c r="K745" s="666" t="str">
        <f t="shared" ref="K745" si="3086">W745</f>
        <v>PMTCT-2.1 Percentage of HIV-positive women who received ART during pregnancy and/or labour and delivery</v>
      </c>
      <c r="L745" s="666" t="str">
        <f t="shared" ref="L745" si="3087">V745</f>
        <v/>
      </c>
      <c r="M745" s="651"/>
      <c r="N745" s="651"/>
      <c r="P745" s="189">
        <f t="shared" ref="P745" si="3088">IF(AND(EXACT(C745,C743),C743&lt;&gt;0),P743+1,0)</f>
        <v>2</v>
      </c>
      <c r="Q745" s="189" t="str">
        <f t="shared" ref="Q745" si="3089">IF(C745&lt;&gt;"",C745&amp;"-"&amp;P745,"")</f>
        <v>PMTCT-2.1 Pourcentage de femmes enceintes séropositives pour le VIH ayant reçu une TARV durant leur grossesse et/ou le travail et l'accouchement-2</v>
      </c>
      <c r="R745" s="189" t="str">
        <f t="array" ref="R745">IFERROR(IF(INDEX('Disaggregation Records'!$E$155:$E$385,MATCH(RIGHT(Q745,255),RIGHT('Disaggregation Records'!$D$155:$D$385,255),0))=0,"",INDEX('Disaggregation Records'!$E$155:$E$385,MATCH(RIGHT(Q745,255),RIGHT('Disaggregation Records'!$D$155:$D$385,255),0))),"")</f>
        <v/>
      </c>
      <c r="S745" s="189" t="str">
        <f t="array" ref="S745">IFERROR(IF(INDEX('Disaggregation Records'!$F$155:$F$385,MATCH(RIGHT(Q745,255),RIGHT('Disaggregation Records'!$D$155:$D$385,255),0))=0,"",INDEX('Disaggregation Records'!$F$155:$F$385,MATCH(RIGHT(Q745,255),RIGHT('Disaggregation Records'!$D$155:$D$385,255),0))),"")</f>
        <v/>
      </c>
      <c r="T745" s="189" t="str">
        <f t="array" ref="T745">IFERROR(IF(INDEX('Disaggregation Records'!$H$155:$H$385,MATCH(RIGHT(Q745,255),RIGHT('Disaggregation Records'!$D$155:$D$385,255),0))=0,"",INDEX('Disaggregation Records'!$H$155:$H$385,MATCH(RIGHT(Q745,255),RIGHT('Disaggregation Records'!$D$155:$D$385,255),0))),"")</f>
        <v/>
      </c>
      <c r="U745" s="189">
        <f t="shared" ref="U745" si="3090">U743+1</f>
        <v>1474</v>
      </c>
      <c r="V745" s="189" t="str">
        <f t="array" ref="V745">IFERROR(IF(INDEX('Disaggregation Records'!$I$155:$I$385,MATCH(RIGHT(Q745,255),RIGHT('Disaggregation Records'!$D$155:$D$385,255),0))=0,"",INDEX('Disaggregation Records'!$I$155:$I$385,MATCH(RIGHT(Q745,255),RIGHT('Disaggregation Records'!$D$155:$D$385,255),0))),"")</f>
        <v/>
      </c>
      <c r="W745" s="189" t="str">
        <f>IFERROR(INDEX('Reference Records'!L$59:L$121,MATCH(LEFT(C745,255),'Reference Records'!E$59:E$121,0)),"")</f>
        <v>PMTCT-2.1 Percentage of HIV-positive women who received ART during pregnancy and/or labour and delivery</v>
      </c>
    </row>
    <row r="746" spans="1:23" s="189" customFormat="1" ht="40.200000000000003" customHeight="1" x14ac:dyDescent="0.3">
      <c r="A746" s="678"/>
      <c r="B746" s="675"/>
      <c r="C746" s="667"/>
      <c r="D746" s="677"/>
      <c r="E746" s="677"/>
      <c r="F746" s="202"/>
      <c r="G746" s="669"/>
      <c r="H746" s="671"/>
      <c r="I746" s="673"/>
      <c r="J746" s="652"/>
      <c r="K746" s="667"/>
      <c r="L746" s="667"/>
      <c r="M746" s="652"/>
      <c r="N746" s="652"/>
    </row>
    <row r="747" spans="1:23" s="189" customFormat="1" ht="40.200000000000003" customHeight="1" x14ac:dyDescent="0.3">
      <c r="A747" s="678" t="str">
        <f t="shared" ref="A747" ca="1" si="3091">INDIRECT("'update Helper'!C"&amp;U747)</f>
        <v>a163p000002zQaOAAU</v>
      </c>
      <c r="B747" s="674">
        <v>4</v>
      </c>
      <c r="C747" s="666" t="str">
        <f>VLOOKUP(B747,'Coverage Indicators - Section D'!$A$9:$AU$70,47,FALSE)</f>
        <v>PMTCT-2.1 Pourcentage de femmes enceintes séropositives pour le VIH ayant reçu une TARV durant leur grossesse et/ou le travail et l'accouchement</v>
      </c>
      <c r="D747" s="676" t="str">
        <f t="shared" ref="D747" si="3092">R747</f>
        <v/>
      </c>
      <c r="E747" s="676" t="str">
        <f t="shared" ref="E747" si="3093">S747</f>
        <v/>
      </c>
      <c r="F747" s="194"/>
      <c r="G747" s="668" t="str">
        <f t="shared" ref="G747" ca="1" si="3094">IF(OR(INDIRECT("'update Helper'!E"&amp;U747)=0,F747&lt;&gt;0,F748&lt;&gt;0),IF(IFERROR((F747/F748),"")="","",(F747/F748)),INDIRECT("'update Helper'!E"&amp;U747)/100)</f>
        <v/>
      </c>
      <c r="H747" s="670"/>
      <c r="I747" s="672"/>
      <c r="J747" s="651"/>
      <c r="K747" s="666" t="str">
        <f t="shared" ref="K747" si="3095">W747</f>
        <v>PMTCT-2.1 Percentage of HIV-positive women who received ART during pregnancy and/or labour and delivery</v>
      </c>
      <c r="L747" s="666" t="str">
        <f t="shared" ref="L747" si="3096">V747</f>
        <v/>
      </c>
      <c r="M747" s="651"/>
      <c r="N747" s="651"/>
      <c r="P747" s="189">
        <f t="shared" ref="P747" si="3097">IF(AND(EXACT(C747,C745),C745&lt;&gt;0),P745+1,0)</f>
        <v>3</v>
      </c>
      <c r="Q747" s="189" t="str">
        <f t="shared" ref="Q747" si="3098">IF(C747&lt;&gt;"",C747&amp;"-"&amp;P747,"")</f>
        <v>PMTCT-2.1 Pourcentage de femmes enceintes séropositives pour le VIH ayant reçu une TARV durant leur grossesse et/ou le travail et l'accouchement-3</v>
      </c>
      <c r="R747" s="189" t="str">
        <f t="array" ref="R747">IFERROR(IF(INDEX('Disaggregation Records'!$E$155:$E$385,MATCH(RIGHT(Q747,255),RIGHT('Disaggregation Records'!$D$155:$D$385,255),0))=0,"",INDEX('Disaggregation Records'!$E$155:$E$385,MATCH(RIGHT(Q747,255),RIGHT('Disaggregation Records'!$D$155:$D$385,255),0))),"")</f>
        <v/>
      </c>
      <c r="S747" s="189" t="str">
        <f t="array" ref="S747">IFERROR(IF(INDEX('Disaggregation Records'!$F$155:$F$385,MATCH(RIGHT(Q747,255),RIGHT('Disaggregation Records'!$D$155:$D$385,255),0))=0,"",INDEX('Disaggregation Records'!$F$155:$F$385,MATCH(RIGHT(Q747,255),RIGHT('Disaggregation Records'!$D$155:$D$385,255),0))),"")</f>
        <v/>
      </c>
      <c r="T747" s="189" t="str">
        <f t="array" ref="T747">IFERROR(IF(INDEX('Disaggregation Records'!$H$155:$H$385,MATCH(RIGHT(Q747,255),RIGHT('Disaggregation Records'!$D$155:$D$385,255),0))=0,"",INDEX('Disaggregation Records'!$H$155:$H$385,MATCH(RIGHT(Q747,255),RIGHT('Disaggregation Records'!$D$155:$D$385,255),0))),"")</f>
        <v/>
      </c>
      <c r="U747" s="189">
        <f t="shared" ref="U747" si="3099">U745+1</f>
        <v>1475</v>
      </c>
      <c r="V747" s="189" t="str">
        <f t="array" ref="V747">IFERROR(IF(INDEX('Disaggregation Records'!$I$155:$I$385,MATCH(RIGHT(Q747,255),RIGHT('Disaggregation Records'!$D$155:$D$385,255),0))=0,"",INDEX('Disaggregation Records'!$I$155:$I$385,MATCH(RIGHT(Q747,255),RIGHT('Disaggregation Records'!$D$155:$D$385,255),0))),"")</f>
        <v/>
      </c>
      <c r="W747" s="189" t="str">
        <f>IFERROR(INDEX('Reference Records'!L$59:L$121,MATCH(LEFT(C747,255),'Reference Records'!E$59:E$121,0)),"")</f>
        <v>PMTCT-2.1 Percentage of HIV-positive women who received ART during pregnancy and/or labour and delivery</v>
      </c>
    </row>
    <row r="748" spans="1:23" s="189" customFormat="1" ht="40.200000000000003" customHeight="1" x14ac:dyDescent="0.3">
      <c r="A748" s="678"/>
      <c r="B748" s="675"/>
      <c r="C748" s="667"/>
      <c r="D748" s="677"/>
      <c r="E748" s="677"/>
      <c r="F748" s="202"/>
      <c r="G748" s="669"/>
      <c r="H748" s="671"/>
      <c r="I748" s="673"/>
      <c r="J748" s="652"/>
      <c r="K748" s="667"/>
      <c r="L748" s="667"/>
      <c r="M748" s="652"/>
      <c r="N748" s="652"/>
    </row>
    <row r="749" spans="1:23" s="189" customFormat="1" ht="40.200000000000003" customHeight="1" x14ac:dyDescent="0.3">
      <c r="A749" s="678" t="str">
        <f t="shared" ref="A749" ca="1" si="3100">INDIRECT("'update Helper'!C"&amp;U749)</f>
        <v>a163p000002zQaPAAU</v>
      </c>
      <c r="B749" s="674">
        <v>4</v>
      </c>
      <c r="C749" s="666" t="str">
        <f>VLOOKUP(B749,'Coverage Indicators - Section D'!$A$9:$AU$70,47,FALSE)</f>
        <v>PMTCT-2.1 Pourcentage de femmes enceintes séropositives pour le VIH ayant reçu une TARV durant leur grossesse et/ou le travail et l'accouchement</v>
      </c>
      <c r="D749" s="676" t="str">
        <f t="shared" ref="D749" si="3101">R749</f>
        <v/>
      </c>
      <c r="E749" s="676" t="str">
        <f t="shared" ref="E749" si="3102">S749</f>
        <v/>
      </c>
      <c r="F749" s="194"/>
      <c r="G749" s="668" t="str">
        <f t="shared" ref="G749" ca="1" si="3103">IF(OR(INDIRECT("'update Helper'!E"&amp;U749)=0,F749&lt;&gt;0,F750&lt;&gt;0),IF(IFERROR((F749/F750),"")="","",(F749/F750)),INDIRECT("'update Helper'!E"&amp;U749)/100)</f>
        <v/>
      </c>
      <c r="H749" s="670"/>
      <c r="I749" s="672"/>
      <c r="J749" s="651"/>
      <c r="K749" s="666" t="str">
        <f t="shared" ref="K749" si="3104">W749</f>
        <v>PMTCT-2.1 Percentage of HIV-positive women who received ART during pregnancy and/or labour and delivery</v>
      </c>
      <c r="L749" s="666" t="str">
        <f t="shared" ref="L749" si="3105">V749</f>
        <v/>
      </c>
      <c r="M749" s="651"/>
      <c r="N749" s="651"/>
      <c r="P749" s="189">
        <f t="shared" ref="P749" si="3106">IF(AND(EXACT(C749,C747),C747&lt;&gt;0),P747+1,0)</f>
        <v>4</v>
      </c>
      <c r="Q749" s="189" t="str">
        <f t="shared" ref="Q749" si="3107">IF(C749&lt;&gt;"",C749&amp;"-"&amp;P749,"")</f>
        <v>PMTCT-2.1 Pourcentage de femmes enceintes séropositives pour le VIH ayant reçu une TARV durant leur grossesse et/ou le travail et l'accouchement-4</v>
      </c>
      <c r="R749" s="189" t="str">
        <f t="array" ref="R749">IFERROR(IF(INDEX('Disaggregation Records'!$E$155:$E$385,MATCH(RIGHT(Q749,255),RIGHT('Disaggregation Records'!$D$155:$D$385,255),0))=0,"",INDEX('Disaggregation Records'!$E$155:$E$385,MATCH(RIGHT(Q749,255),RIGHT('Disaggregation Records'!$D$155:$D$385,255),0))),"")</f>
        <v/>
      </c>
      <c r="S749" s="189" t="str">
        <f t="array" ref="S749">IFERROR(IF(INDEX('Disaggregation Records'!$F$155:$F$385,MATCH(RIGHT(Q749,255),RIGHT('Disaggregation Records'!$D$155:$D$385,255),0))=0,"",INDEX('Disaggregation Records'!$F$155:$F$385,MATCH(RIGHT(Q749,255),RIGHT('Disaggregation Records'!$D$155:$D$385,255),0))),"")</f>
        <v/>
      </c>
      <c r="T749" s="189" t="str">
        <f t="array" ref="T749">IFERROR(IF(INDEX('Disaggregation Records'!$H$155:$H$385,MATCH(RIGHT(Q749,255),RIGHT('Disaggregation Records'!$D$155:$D$385,255),0))=0,"",INDEX('Disaggregation Records'!$H$155:$H$385,MATCH(RIGHT(Q749,255),RIGHT('Disaggregation Records'!$D$155:$D$385,255),0))),"")</f>
        <v/>
      </c>
      <c r="U749" s="189">
        <f t="shared" ref="U749" si="3108">U747+1</f>
        <v>1476</v>
      </c>
      <c r="V749" s="189" t="str">
        <f t="array" ref="V749">IFERROR(IF(INDEX('Disaggregation Records'!$I$155:$I$385,MATCH(RIGHT(Q749,255),RIGHT('Disaggregation Records'!$D$155:$D$385,255),0))=0,"",INDEX('Disaggregation Records'!$I$155:$I$385,MATCH(RIGHT(Q749,255),RIGHT('Disaggregation Records'!$D$155:$D$385,255),0))),"")</f>
        <v/>
      </c>
      <c r="W749" s="189" t="str">
        <f>IFERROR(INDEX('Reference Records'!L$59:L$121,MATCH(LEFT(C749,255),'Reference Records'!E$59:E$121,0)),"")</f>
        <v>PMTCT-2.1 Percentage of HIV-positive women who received ART during pregnancy and/or labour and delivery</v>
      </c>
    </row>
    <row r="750" spans="1:23" s="189" customFormat="1" ht="40.200000000000003" customHeight="1" x14ac:dyDescent="0.3">
      <c r="A750" s="678"/>
      <c r="B750" s="675"/>
      <c r="C750" s="667"/>
      <c r="D750" s="677"/>
      <c r="E750" s="677"/>
      <c r="F750" s="202"/>
      <c r="G750" s="669"/>
      <c r="H750" s="671"/>
      <c r="I750" s="673"/>
      <c r="J750" s="652"/>
      <c r="K750" s="667"/>
      <c r="L750" s="667"/>
      <c r="M750" s="652"/>
      <c r="N750" s="652"/>
    </row>
    <row r="751" spans="1:23" s="189" customFormat="1" ht="40.200000000000003" customHeight="1" x14ac:dyDescent="0.3">
      <c r="A751" s="678" t="str">
        <f t="shared" ref="A751" ca="1" si="3109">INDIRECT("'update Helper'!C"&amp;U751)</f>
        <v>a163p000002zQaQAAU</v>
      </c>
      <c r="B751" s="674">
        <v>4</v>
      </c>
      <c r="C751" s="666" t="str">
        <f>VLOOKUP(B751,'Coverage Indicators - Section D'!$A$9:$AU$70,47,FALSE)</f>
        <v>PMTCT-2.1 Pourcentage de femmes enceintes séropositives pour le VIH ayant reçu une TARV durant leur grossesse et/ou le travail et l'accouchement</v>
      </c>
      <c r="D751" s="676" t="str">
        <f t="shared" ref="D751" si="3110">R751</f>
        <v/>
      </c>
      <c r="E751" s="676" t="str">
        <f t="shared" ref="E751" si="3111">S751</f>
        <v/>
      </c>
      <c r="F751" s="194"/>
      <c r="G751" s="668" t="str">
        <f t="shared" ref="G751" ca="1" si="3112">IF(OR(INDIRECT("'update Helper'!E"&amp;U751)=0,F751&lt;&gt;0,F752&lt;&gt;0),IF(IFERROR((F751/F752),"")="","",(F751/F752)),INDIRECT("'update Helper'!E"&amp;U751)/100)</f>
        <v/>
      </c>
      <c r="H751" s="670"/>
      <c r="I751" s="672"/>
      <c r="J751" s="651"/>
      <c r="K751" s="666" t="str">
        <f t="shared" ref="K751" si="3113">W751</f>
        <v>PMTCT-2.1 Percentage of HIV-positive women who received ART during pregnancy and/or labour and delivery</v>
      </c>
      <c r="L751" s="666" t="str">
        <f t="shared" ref="L751" si="3114">V751</f>
        <v/>
      </c>
      <c r="M751" s="651"/>
      <c r="N751" s="651"/>
      <c r="P751" s="189">
        <f t="shared" ref="P751" si="3115">IF(AND(EXACT(C751,C749),C749&lt;&gt;0),P749+1,0)</f>
        <v>5</v>
      </c>
      <c r="Q751" s="189" t="str">
        <f t="shared" ref="Q751" si="3116">IF(C751&lt;&gt;"",C751&amp;"-"&amp;P751,"")</f>
        <v>PMTCT-2.1 Pourcentage de femmes enceintes séropositives pour le VIH ayant reçu une TARV durant leur grossesse et/ou le travail et l'accouchement-5</v>
      </c>
      <c r="R751" s="189" t="str">
        <f t="array" ref="R751">IFERROR(IF(INDEX('Disaggregation Records'!$E$155:$E$385,MATCH(RIGHT(Q751,255),RIGHT('Disaggregation Records'!$D$155:$D$385,255),0))=0,"",INDEX('Disaggregation Records'!$E$155:$E$385,MATCH(RIGHT(Q751,255),RIGHT('Disaggregation Records'!$D$155:$D$385,255),0))),"")</f>
        <v/>
      </c>
      <c r="S751" s="189" t="str">
        <f t="array" ref="S751">IFERROR(IF(INDEX('Disaggregation Records'!$F$155:$F$385,MATCH(RIGHT(Q751,255),RIGHT('Disaggregation Records'!$D$155:$D$385,255),0))=0,"",INDEX('Disaggregation Records'!$F$155:$F$385,MATCH(RIGHT(Q751,255),RIGHT('Disaggregation Records'!$D$155:$D$385,255),0))),"")</f>
        <v/>
      </c>
      <c r="T751" s="189" t="str">
        <f t="array" ref="T751">IFERROR(IF(INDEX('Disaggregation Records'!$H$155:$H$385,MATCH(RIGHT(Q751,255),RIGHT('Disaggregation Records'!$D$155:$D$385,255),0))=0,"",INDEX('Disaggregation Records'!$H$155:$H$385,MATCH(RIGHT(Q751,255),RIGHT('Disaggregation Records'!$D$155:$D$385,255),0))),"")</f>
        <v/>
      </c>
      <c r="U751" s="189">
        <f t="shared" ref="U751" si="3117">U749+1</f>
        <v>1477</v>
      </c>
      <c r="V751" s="189" t="str">
        <f t="array" ref="V751">IFERROR(IF(INDEX('Disaggregation Records'!$I$155:$I$385,MATCH(RIGHT(Q751,255),RIGHT('Disaggregation Records'!$D$155:$D$385,255),0))=0,"",INDEX('Disaggregation Records'!$I$155:$I$385,MATCH(RIGHT(Q751,255),RIGHT('Disaggregation Records'!$D$155:$D$385,255),0))),"")</f>
        <v/>
      </c>
      <c r="W751" s="189" t="str">
        <f>IFERROR(INDEX('Reference Records'!L$59:L$121,MATCH(LEFT(C751,255),'Reference Records'!E$59:E$121,0)),"")</f>
        <v>PMTCT-2.1 Percentage of HIV-positive women who received ART during pregnancy and/or labour and delivery</v>
      </c>
    </row>
    <row r="752" spans="1:23" s="189" customFormat="1" ht="40.200000000000003" customHeight="1" x14ac:dyDescent="0.3">
      <c r="A752" s="678"/>
      <c r="B752" s="675"/>
      <c r="C752" s="667"/>
      <c r="D752" s="677"/>
      <c r="E752" s="677"/>
      <c r="F752" s="202"/>
      <c r="G752" s="669"/>
      <c r="H752" s="671"/>
      <c r="I752" s="673"/>
      <c r="J752" s="652"/>
      <c r="K752" s="667"/>
      <c r="L752" s="667"/>
      <c r="M752" s="652"/>
      <c r="N752" s="652"/>
    </row>
    <row r="753" spans="1:23" s="189" customFormat="1" ht="40.200000000000003" customHeight="1" x14ac:dyDescent="0.3">
      <c r="A753" s="678" t="str">
        <f t="shared" ref="A753" ca="1" si="3118">INDIRECT("'update Helper'!C"&amp;U753)</f>
        <v>a163p000002zQaRAAU</v>
      </c>
      <c r="B753" s="674">
        <v>4</v>
      </c>
      <c r="C753" s="666" t="str">
        <f>VLOOKUP(B753,'Coverage Indicators - Section D'!$A$9:$AU$70,47,FALSE)</f>
        <v>PMTCT-2.1 Pourcentage de femmes enceintes séropositives pour le VIH ayant reçu une TARV durant leur grossesse et/ou le travail et l'accouchement</v>
      </c>
      <c r="D753" s="676" t="str">
        <f t="shared" ref="D753" si="3119">R753</f>
        <v/>
      </c>
      <c r="E753" s="676" t="str">
        <f t="shared" ref="E753" si="3120">S753</f>
        <v/>
      </c>
      <c r="F753" s="194"/>
      <c r="G753" s="668" t="str">
        <f t="shared" ref="G753" ca="1" si="3121">IF(OR(INDIRECT("'update Helper'!E"&amp;U753)=0,F753&lt;&gt;0,F754&lt;&gt;0),IF(IFERROR((F753/F754),"")="","",(F753/F754)),INDIRECT("'update Helper'!E"&amp;U753)/100)</f>
        <v/>
      </c>
      <c r="H753" s="670"/>
      <c r="I753" s="672"/>
      <c r="J753" s="651"/>
      <c r="K753" s="666" t="str">
        <f t="shared" ref="K753" si="3122">W753</f>
        <v>PMTCT-2.1 Percentage of HIV-positive women who received ART during pregnancy and/or labour and delivery</v>
      </c>
      <c r="L753" s="666" t="str">
        <f t="shared" ref="L753" si="3123">V753</f>
        <v/>
      </c>
      <c r="M753" s="651"/>
      <c r="N753" s="651"/>
      <c r="P753" s="189">
        <f t="shared" ref="P753" si="3124">IF(AND(EXACT(C753,C751),C751&lt;&gt;0),P751+1,0)</f>
        <v>6</v>
      </c>
      <c r="Q753" s="189" t="str">
        <f t="shared" ref="Q753" si="3125">IF(C753&lt;&gt;"",C753&amp;"-"&amp;P753,"")</f>
        <v>PMTCT-2.1 Pourcentage de femmes enceintes séropositives pour le VIH ayant reçu une TARV durant leur grossesse et/ou le travail et l'accouchement-6</v>
      </c>
      <c r="R753" s="189" t="str">
        <f t="array" ref="R753">IFERROR(IF(INDEX('Disaggregation Records'!$E$155:$E$385,MATCH(RIGHT(Q753,255),RIGHT('Disaggregation Records'!$D$155:$D$385,255),0))=0,"",INDEX('Disaggregation Records'!$E$155:$E$385,MATCH(RIGHT(Q753,255),RIGHT('Disaggregation Records'!$D$155:$D$385,255),0))),"")</f>
        <v/>
      </c>
      <c r="S753" s="189" t="str">
        <f t="array" ref="S753">IFERROR(IF(INDEX('Disaggregation Records'!$F$155:$F$385,MATCH(RIGHT(Q753,255),RIGHT('Disaggregation Records'!$D$155:$D$385,255),0))=0,"",INDEX('Disaggregation Records'!$F$155:$F$385,MATCH(RIGHT(Q753,255),RIGHT('Disaggregation Records'!$D$155:$D$385,255),0))),"")</f>
        <v/>
      </c>
      <c r="T753" s="189" t="str">
        <f t="array" ref="T753">IFERROR(IF(INDEX('Disaggregation Records'!$H$155:$H$385,MATCH(RIGHT(Q753,255),RIGHT('Disaggregation Records'!$D$155:$D$385,255),0))=0,"",INDEX('Disaggregation Records'!$H$155:$H$385,MATCH(RIGHT(Q753,255),RIGHT('Disaggregation Records'!$D$155:$D$385,255),0))),"")</f>
        <v/>
      </c>
      <c r="U753" s="189">
        <f t="shared" ref="U753" si="3126">U751+1</f>
        <v>1478</v>
      </c>
      <c r="V753" s="189" t="str">
        <f t="array" ref="V753">IFERROR(IF(INDEX('Disaggregation Records'!$I$155:$I$385,MATCH(RIGHT(Q753,255),RIGHT('Disaggregation Records'!$D$155:$D$385,255),0))=0,"",INDEX('Disaggregation Records'!$I$155:$I$385,MATCH(RIGHT(Q753,255),RIGHT('Disaggregation Records'!$D$155:$D$385,255),0))),"")</f>
        <v/>
      </c>
      <c r="W753" s="189" t="str">
        <f>IFERROR(INDEX('Reference Records'!L$59:L$121,MATCH(LEFT(C753,255),'Reference Records'!E$59:E$121,0)),"")</f>
        <v>PMTCT-2.1 Percentage of HIV-positive women who received ART during pregnancy and/or labour and delivery</v>
      </c>
    </row>
    <row r="754" spans="1:23" s="189" customFormat="1" ht="40.200000000000003" customHeight="1" x14ac:dyDescent="0.3">
      <c r="A754" s="678"/>
      <c r="B754" s="675"/>
      <c r="C754" s="667"/>
      <c r="D754" s="677"/>
      <c r="E754" s="677"/>
      <c r="F754" s="202"/>
      <c r="G754" s="669"/>
      <c r="H754" s="671"/>
      <c r="I754" s="673"/>
      <c r="J754" s="652"/>
      <c r="K754" s="667"/>
      <c r="L754" s="667"/>
      <c r="M754" s="652"/>
      <c r="N754" s="652"/>
    </row>
    <row r="755" spans="1:23" s="189" customFormat="1" ht="40.200000000000003" customHeight="1" x14ac:dyDescent="0.3">
      <c r="A755" s="678" t="str">
        <f t="shared" ref="A755" ca="1" si="3127">INDIRECT("'update Helper'!C"&amp;U755)</f>
        <v>a163p000002zQaSAAU</v>
      </c>
      <c r="B755" s="674">
        <v>4</v>
      </c>
      <c r="C755" s="666" t="str">
        <f>VLOOKUP(B755,'Coverage Indicators - Section D'!$A$9:$AU$70,47,FALSE)</f>
        <v>PMTCT-2.1 Pourcentage de femmes enceintes séropositives pour le VIH ayant reçu une TARV durant leur grossesse et/ou le travail et l'accouchement</v>
      </c>
      <c r="D755" s="676" t="str">
        <f t="shared" ref="D755" si="3128">R755</f>
        <v/>
      </c>
      <c r="E755" s="676" t="str">
        <f t="shared" ref="E755" si="3129">S755</f>
        <v/>
      </c>
      <c r="F755" s="194"/>
      <c r="G755" s="668" t="str">
        <f t="shared" ref="G755" ca="1" si="3130">IF(OR(INDIRECT("'update Helper'!E"&amp;U755)=0,F755&lt;&gt;0,F756&lt;&gt;0),IF(IFERROR((F755/F756),"")="","",(F755/F756)),INDIRECT("'update Helper'!E"&amp;U755)/100)</f>
        <v/>
      </c>
      <c r="H755" s="670"/>
      <c r="I755" s="672"/>
      <c r="J755" s="651"/>
      <c r="K755" s="666" t="str">
        <f t="shared" ref="K755" si="3131">W755</f>
        <v>PMTCT-2.1 Percentage of HIV-positive women who received ART during pregnancy and/or labour and delivery</v>
      </c>
      <c r="L755" s="666" t="str">
        <f t="shared" ref="L755" si="3132">V755</f>
        <v/>
      </c>
      <c r="M755" s="651"/>
      <c r="N755" s="651"/>
      <c r="P755" s="189">
        <f t="shared" ref="P755" si="3133">IF(AND(EXACT(C755,C753),C753&lt;&gt;0),P753+1,0)</f>
        <v>7</v>
      </c>
      <c r="Q755" s="189" t="str">
        <f t="shared" ref="Q755" si="3134">IF(C755&lt;&gt;"",C755&amp;"-"&amp;P755,"")</f>
        <v>PMTCT-2.1 Pourcentage de femmes enceintes séropositives pour le VIH ayant reçu une TARV durant leur grossesse et/ou le travail et l'accouchement-7</v>
      </c>
      <c r="R755" s="189" t="str">
        <f t="array" ref="R755">IFERROR(IF(INDEX('Disaggregation Records'!$E$155:$E$385,MATCH(RIGHT(Q755,255),RIGHT('Disaggregation Records'!$D$155:$D$385,255),0))=0,"",INDEX('Disaggregation Records'!$E$155:$E$385,MATCH(RIGHT(Q755,255),RIGHT('Disaggregation Records'!$D$155:$D$385,255),0))),"")</f>
        <v/>
      </c>
      <c r="S755" s="189" t="str">
        <f t="array" ref="S755">IFERROR(IF(INDEX('Disaggregation Records'!$F$155:$F$385,MATCH(RIGHT(Q755,255),RIGHT('Disaggregation Records'!$D$155:$D$385,255),0))=0,"",INDEX('Disaggregation Records'!$F$155:$F$385,MATCH(RIGHT(Q755,255),RIGHT('Disaggregation Records'!$D$155:$D$385,255),0))),"")</f>
        <v/>
      </c>
      <c r="T755" s="189" t="str">
        <f t="array" ref="T755">IFERROR(IF(INDEX('Disaggregation Records'!$H$155:$H$385,MATCH(RIGHT(Q755,255),RIGHT('Disaggregation Records'!$D$155:$D$385,255),0))=0,"",INDEX('Disaggregation Records'!$H$155:$H$385,MATCH(RIGHT(Q755,255),RIGHT('Disaggregation Records'!$D$155:$D$385,255),0))),"")</f>
        <v/>
      </c>
      <c r="U755" s="189">
        <f t="shared" ref="U755" si="3135">U753+1</f>
        <v>1479</v>
      </c>
      <c r="V755" s="189" t="str">
        <f t="array" ref="V755">IFERROR(IF(INDEX('Disaggregation Records'!$I$155:$I$385,MATCH(RIGHT(Q755,255),RIGHT('Disaggregation Records'!$D$155:$D$385,255),0))=0,"",INDEX('Disaggregation Records'!$I$155:$I$385,MATCH(RIGHT(Q755,255),RIGHT('Disaggregation Records'!$D$155:$D$385,255),0))),"")</f>
        <v/>
      </c>
      <c r="W755" s="189" t="str">
        <f>IFERROR(INDEX('Reference Records'!L$59:L$121,MATCH(LEFT(C755,255),'Reference Records'!E$59:E$121,0)),"")</f>
        <v>PMTCT-2.1 Percentage of HIV-positive women who received ART during pregnancy and/or labour and delivery</v>
      </c>
    </row>
    <row r="756" spans="1:23" s="189" customFormat="1" ht="40.200000000000003" customHeight="1" x14ac:dyDescent="0.3">
      <c r="A756" s="678"/>
      <c r="B756" s="675"/>
      <c r="C756" s="667"/>
      <c r="D756" s="677"/>
      <c r="E756" s="677"/>
      <c r="F756" s="202"/>
      <c r="G756" s="669"/>
      <c r="H756" s="671"/>
      <c r="I756" s="673"/>
      <c r="J756" s="652"/>
      <c r="K756" s="667"/>
      <c r="L756" s="667"/>
      <c r="M756" s="652"/>
      <c r="N756" s="652"/>
    </row>
    <row r="757" spans="1:23" s="189" customFormat="1" ht="40.200000000000003" customHeight="1" x14ac:dyDescent="0.3">
      <c r="A757" s="678" t="str">
        <f t="shared" ref="A757" ca="1" si="3136">INDIRECT("'update Helper'!C"&amp;U757)</f>
        <v>a163p000002zQaTAAU</v>
      </c>
      <c r="B757" s="674">
        <v>4</v>
      </c>
      <c r="C757" s="666" t="str">
        <f>VLOOKUP(B757,'Coverage Indicators - Section D'!$A$9:$AU$70,47,FALSE)</f>
        <v>PMTCT-2.1 Pourcentage de femmes enceintes séropositives pour le VIH ayant reçu une TARV durant leur grossesse et/ou le travail et l'accouchement</v>
      </c>
      <c r="D757" s="676" t="str">
        <f t="shared" ref="D757" si="3137">R757</f>
        <v/>
      </c>
      <c r="E757" s="676" t="str">
        <f t="shared" ref="E757" si="3138">S757</f>
        <v/>
      </c>
      <c r="F757" s="194"/>
      <c r="G757" s="668" t="str">
        <f t="shared" ref="G757" ca="1" si="3139">IF(OR(INDIRECT("'update Helper'!E"&amp;U757)=0,F757&lt;&gt;0,F758&lt;&gt;0),IF(IFERROR((F757/F758),"")="","",(F757/F758)),INDIRECT("'update Helper'!E"&amp;U757)/100)</f>
        <v/>
      </c>
      <c r="H757" s="670"/>
      <c r="I757" s="672"/>
      <c r="J757" s="651"/>
      <c r="K757" s="666" t="str">
        <f t="shared" ref="K757" si="3140">W757</f>
        <v>PMTCT-2.1 Percentage of HIV-positive women who received ART during pregnancy and/or labour and delivery</v>
      </c>
      <c r="L757" s="666" t="str">
        <f t="shared" ref="L757" si="3141">V757</f>
        <v/>
      </c>
      <c r="M757" s="651"/>
      <c r="N757" s="651"/>
      <c r="P757" s="189">
        <f t="shared" ref="P757" si="3142">IF(AND(EXACT(C757,C755),C755&lt;&gt;0),P755+1,0)</f>
        <v>8</v>
      </c>
      <c r="Q757" s="189" t="str">
        <f t="shared" ref="Q757" si="3143">IF(C757&lt;&gt;"",C757&amp;"-"&amp;P757,"")</f>
        <v>PMTCT-2.1 Pourcentage de femmes enceintes séropositives pour le VIH ayant reçu une TARV durant leur grossesse et/ou le travail et l'accouchement-8</v>
      </c>
      <c r="R757" s="189" t="str">
        <f t="array" ref="R757">IFERROR(IF(INDEX('Disaggregation Records'!$E$155:$E$385,MATCH(RIGHT(Q757,255),RIGHT('Disaggregation Records'!$D$155:$D$385,255),0))=0,"",INDEX('Disaggregation Records'!$E$155:$E$385,MATCH(RIGHT(Q757,255),RIGHT('Disaggregation Records'!$D$155:$D$385,255),0))),"")</f>
        <v/>
      </c>
      <c r="S757" s="189" t="str">
        <f t="array" ref="S757">IFERROR(IF(INDEX('Disaggregation Records'!$F$155:$F$385,MATCH(RIGHT(Q757,255),RIGHT('Disaggregation Records'!$D$155:$D$385,255),0))=0,"",INDEX('Disaggregation Records'!$F$155:$F$385,MATCH(RIGHT(Q757,255),RIGHT('Disaggregation Records'!$D$155:$D$385,255),0))),"")</f>
        <v/>
      </c>
      <c r="T757" s="189" t="str">
        <f t="array" ref="T757">IFERROR(IF(INDEX('Disaggregation Records'!$H$155:$H$385,MATCH(RIGHT(Q757,255),RIGHT('Disaggregation Records'!$D$155:$D$385,255),0))=0,"",INDEX('Disaggregation Records'!$H$155:$H$385,MATCH(RIGHT(Q757,255),RIGHT('Disaggregation Records'!$D$155:$D$385,255),0))),"")</f>
        <v/>
      </c>
      <c r="U757" s="189">
        <f t="shared" ref="U757" si="3144">U755+1</f>
        <v>1480</v>
      </c>
      <c r="V757" s="189" t="str">
        <f t="array" ref="V757">IFERROR(IF(INDEX('Disaggregation Records'!$I$155:$I$385,MATCH(RIGHT(Q757,255),RIGHT('Disaggregation Records'!$D$155:$D$385,255),0))=0,"",INDEX('Disaggregation Records'!$I$155:$I$385,MATCH(RIGHT(Q757,255),RIGHT('Disaggregation Records'!$D$155:$D$385,255),0))),"")</f>
        <v/>
      </c>
      <c r="W757" s="189" t="str">
        <f>IFERROR(INDEX('Reference Records'!L$59:L$121,MATCH(LEFT(C757,255),'Reference Records'!E$59:E$121,0)),"")</f>
        <v>PMTCT-2.1 Percentage of HIV-positive women who received ART during pregnancy and/or labour and delivery</v>
      </c>
    </row>
    <row r="758" spans="1:23" s="189" customFormat="1" ht="40.200000000000003" customHeight="1" x14ac:dyDescent="0.3">
      <c r="A758" s="678"/>
      <c r="B758" s="675"/>
      <c r="C758" s="667"/>
      <c r="D758" s="677"/>
      <c r="E758" s="677"/>
      <c r="F758" s="202"/>
      <c r="G758" s="669"/>
      <c r="H758" s="671"/>
      <c r="I758" s="673"/>
      <c r="J758" s="652"/>
      <c r="K758" s="667"/>
      <c r="L758" s="667"/>
      <c r="M758" s="652"/>
      <c r="N758" s="652"/>
    </row>
    <row r="759" spans="1:23" s="189" customFormat="1" ht="40.200000000000003" customHeight="1" x14ac:dyDescent="0.3">
      <c r="A759" s="678" t="str">
        <f t="shared" ref="A759" ca="1" si="3145">INDIRECT("'update Helper'!C"&amp;U759)</f>
        <v>a163p000002zQaUAAU</v>
      </c>
      <c r="B759" s="674">
        <v>4</v>
      </c>
      <c r="C759" s="666" t="str">
        <f>VLOOKUP(B759,'Coverage Indicators - Section D'!$A$9:$AU$70,47,FALSE)</f>
        <v>PMTCT-2.1 Pourcentage de femmes enceintes séropositives pour le VIH ayant reçu une TARV durant leur grossesse et/ou le travail et l'accouchement</v>
      </c>
      <c r="D759" s="676" t="str">
        <f t="shared" ref="D759" si="3146">R759</f>
        <v/>
      </c>
      <c r="E759" s="676" t="str">
        <f t="shared" ref="E759" si="3147">S759</f>
        <v/>
      </c>
      <c r="F759" s="194"/>
      <c r="G759" s="668" t="str">
        <f t="shared" ref="G759" ca="1" si="3148">IF(OR(INDIRECT("'update Helper'!E"&amp;U759)=0,F759&lt;&gt;0,F760&lt;&gt;0),IF(IFERROR((F759/F760),"")="","",(F759/F760)),INDIRECT("'update Helper'!E"&amp;U759)/100)</f>
        <v/>
      </c>
      <c r="H759" s="670"/>
      <c r="I759" s="672"/>
      <c r="J759" s="651"/>
      <c r="K759" s="666" t="str">
        <f t="shared" ref="K759" si="3149">W759</f>
        <v>PMTCT-2.1 Percentage of HIV-positive women who received ART during pregnancy and/or labour and delivery</v>
      </c>
      <c r="L759" s="666" t="str">
        <f t="shared" ref="L759" si="3150">V759</f>
        <v/>
      </c>
      <c r="M759" s="651"/>
      <c r="N759" s="651"/>
      <c r="P759" s="189">
        <f t="shared" ref="P759" si="3151">IF(AND(EXACT(C759,C757),C757&lt;&gt;0),P757+1,0)</f>
        <v>9</v>
      </c>
      <c r="Q759" s="189" t="str">
        <f t="shared" ref="Q759" si="3152">IF(C759&lt;&gt;"",C759&amp;"-"&amp;P759,"")</f>
        <v>PMTCT-2.1 Pourcentage de femmes enceintes séropositives pour le VIH ayant reçu une TARV durant leur grossesse et/ou le travail et l'accouchement-9</v>
      </c>
      <c r="R759" s="189" t="str">
        <f t="array" ref="R759">IFERROR(IF(INDEX('Disaggregation Records'!$E$155:$E$385,MATCH(RIGHT(Q759,255),RIGHT('Disaggregation Records'!$D$155:$D$385,255),0))=0,"",INDEX('Disaggregation Records'!$E$155:$E$385,MATCH(RIGHT(Q759,255),RIGHT('Disaggregation Records'!$D$155:$D$385,255),0))),"")</f>
        <v/>
      </c>
      <c r="S759" s="189" t="str">
        <f t="array" ref="S759">IFERROR(IF(INDEX('Disaggregation Records'!$F$155:$F$385,MATCH(RIGHT(Q759,255),RIGHT('Disaggregation Records'!$D$155:$D$385,255),0))=0,"",INDEX('Disaggregation Records'!$F$155:$F$385,MATCH(RIGHT(Q759,255),RIGHT('Disaggregation Records'!$D$155:$D$385,255),0))),"")</f>
        <v/>
      </c>
      <c r="T759" s="189" t="str">
        <f t="array" ref="T759">IFERROR(IF(INDEX('Disaggregation Records'!$H$155:$H$385,MATCH(RIGHT(Q759,255),RIGHT('Disaggregation Records'!$D$155:$D$385,255),0))=0,"",INDEX('Disaggregation Records'!$H$155:$H$385,MATCH(RIGHT(Q759,255),RIGHT('Disaggregation Records'!$D$155:$D$385,255),0))),"")</f>
        <v/>
      </c>
      <c r="U759" s="189">
        <f t="shared" ref="U759" si="3153">U757+1</f>
        <v>1481</v>
      </c>
      <c r="V759" s="189" t="str">
        <f t="array" ref="V759">IFERROR(IF(INDEX('Disaggregation Records'!$I$155:$I$385,MATCH(RIGHT(Q759,255),RIGHT('Disaggregation Records'!$D$155:$D$385,255),0))=0,"",INDEX('Disaggregation Records'!$I$155:$I$385,MATCH(RIGHT(Q759,255),RIGHT('Disaggregation Records'!$D$155:$D$385,255),0))),"")</f>
        <v/>
      </c>
      <c r="W759" s="189" t="str">
        <f>IFERROR(INDEX('Reference Records'!L$59:L$121,MATCH(LEFT(C759,255),'Reference Records'!E$59:E$121,0)),"")</f>
        <v>PMTCT-2.1 Percentage of HIV-positive women who received ART during pregnancy and/or labour and delivery</v>
      </c>
    </row>
    <row r="760" spans="1:23" s="189" customFormat="1" ht="40.200000000000003" customHeight="1" x14ac:dyDescent="0.3">
      <c r="A760" s="678"/>
      <c r="B760" s="675"/>
      <c r="C760" s="667"/>
      <c r="D760" s="677"/>
      <c r="E760" s="677"/>
      <c r="F760" s="202"/>
      <c r="G760" s="669"/>
      <c r="H760" s="671"/>
      <c r="I760" s="673"/>
      <c r="J760" s="652"/>
      <c r="K760" s="667"/>
      <c r="L760" s="667"/>
      <c r="M760" s="652"/>
      <c r="N760" s="652"/>
    </row>
    <row r="761" spans="1:23" s="189" customFormat="1" ht="40.200000000000003" customHeight="1" x14ac:dyDescent="0.3">
      <c r="A761" s="678" t="str">
        <f t="shared" ref="A761" ca="1" si="3154">INDIRECT("'update Helper'!C"&amp;U761)</f>
        <v>a163p000002zQaVAAU</v>
      </c>
      <c r="B761" s="674">
        <v>4</v>
      </c>
      <c r="C761" s="666" t="str">
        <f>VLOOKUP(B761,'Coverage Indicators - Section D'!$A$9:$AU$70,47,FALSE)</f>
        <v>PMTCT-2.1 Pourcentage de femmes enceintes séropositives pour le VIH ayant reçu une TARV durant leur grossesse et/ou le travail et l'accouchement</v>
      </c>
      <c r="D761" s="676" t="str">
        <f t="shared" ref="D761" si="3155">R761</f>
        <v/>
      </c>
      <c r="E761" s="676" t="str">
        <f t="shared" ref="E761" si="3156">S761</f>
        <v/>
      </c>
      <c r="F761" s="194"/>
      <c r="G761" s="668" t="str">
        <f t="shared" ref="G761" ca="1" si="3157">IF(OR(INDIRECT("'update Helper'!E"&amp;U761)=0,F761&lt;&gt;0,F762&lt;&gt;0),IF(IFERROR((F761/F762),"")="","",(F761/F762)),INDIRECT("'update Helper'!E"&amp;U761)/100)</f>
        <v/>
      </c>
      <c r="H761" s="670"/>
      <c r="I761" s="672"/>
      <c r="J761" s="651"/>
      <c r="K761" s="666" t="str">
        <f t="shared" ref="K761" si="3158">W761</f>
        <v>PMTCT-2.1 Percentage of HIV-positive women who received ART during pregnancy and/or labour and delivery</v>
      </c>
      <c r="L761" s="666" t="str">
        <f t="shared" ref="L761" si="3159">V761</f>
        <v/>
      </c>
      <c r="M761" s="651"/>
      <c r="N761" s="651"/>
      <c r="P761" s="189">
        <f t="shared" ref="P761" si="3160">IF(AND(EXACT(C761,C759),C759&lt;&gt;0),P759+1,0)</f>
        <v>10</v>
      </c>
      <c r="Q761" s="189" t="str">
        <f t="shared" ref="Q761" si="3161">IF(C761&lt;&gt;"",C761&amp;"-"&amp;P761,"")</f>
        <v>PMTCT-2.1 Pourcentage de femmes enceintes séropositives pour le VIH ayant reçu une TARV durant leur grossesse et/ou le travail et l'accouchement-10</v>
      </c>
      <c r="R761" s="189" t="str">
        <f t="array" ref="R761">IFERROR(IF(INDEX('Disaggregation Records'!$E$155:$E$385,MATCH(RIGHT(Q761,255),RIGHT('Disaggregation Records'!$D$155:$D$385,255),0))=0,"",INDEX('Disaggregation Records'!$E$155:$E$385,MATCH(RIGHT(Q761,255),RIGHT('Disaggregation Records'!$D$155:$D$385,255),0))),"")</f>
        <v/>
      </c>
      <c r="S761" s="189" t="str">
        <f t="array" ref="S761">IFERROR(IF(INDEX('Disaggregation Records'!$F$155:$F$385,MATCH(RIGHT(Q761,255),RIGHT('Disaggregation Records'!$D$155:$D$385,255),0))=0,"",INDEX('Disaggregation Records'!$F$155:$F$385,MATCH(RIGHT(Q761,255),RIGHT('Disaggregation Records'!$D$155:$D$385,255),0))),"")</f>
        <v/>
      </c>
      <c r="T761" s="189" t="str">
        <f t="array" ref="T761">IFERROR(IF(INDEX('Disaggregation Records'!$H$155:$H$385,MATCH(RIGHT(Q761,255),RIGHT('Disaggregation Records'!$D$155:$D$385,255),0))=0,"",INDEX('Disaggregation Records'!$H$155:$H$385,MATCH(RIGHT(Q761,255),RIGHT('Disaggregation Records'!$D$155:$D$385,255),0))),"")</f>
        <v/>
      </c>
      <c r="U761" s="189">
        <f t="shared" ref="U761" si="3162">U759+1</f>
        <v>1482</v>
      </c>
      <c r="V761" s="189" t="str">
        <f t="array" ref="V761">IFERROR(IF(INDEX('Disaggregation Records'!$I$155:$I$385,MATCH(RIGHT(Q761,255),RIGHT('Disaggregation Records'!$D$155:$D$385,255),0))=0,"",INDEX('Disaggregation Records'!$I$155:$I$385,MATCH(RIGHT(Q761,255),RIGHT('Disaggregation Records'!$D$155:$D$385,255),0))),"")</f>
        <v/>
      </c>
      <c r="W761" s="189" t="str">
        <f>IFERROR(INDEX('Reference Records'!L$59:L$121,MATCH(LEFT(C761,255),'Reference Records'!E$59:E$121,0)),"")</f>
        <v>PMTCT-2.1 Percentage of HIV-positive women who received ART during pregnancy and/or labour and delivery</v>
      </c>
    </row>
    <row r="762" spans="1:23" s="189" customFormat="1" ht="40.200000000000003" customHeight="1" x14ac:dyDescent="0.3">
      <c r="A762" s="678"/>
      <c r="B762" s="675"/>
      <c r="C762" s="667"/>
      <c r="D762" s="677"/>
      <c r="E762" s="677"/>
      <c r="F762" s="202"/>
      <c r="G762" s="669"/>
      <c r="H762" s="671"/>
      <c r="I762" s="673"/>
      <c r="J762" s="652"/>
      <c r="K762" s="667"/>
      <c r="L762" s="667"/>
      <c r="M762" s="652"/>
      <c r="N762" s="652"/>
    </row>
    <row r="763" spans="1:23" s="189" customFormat="1" ht="40.200000000000003" customHeight="1" x14ac:dyDescent="0.3">
      <c r="A763" s="678" t="str">
        <f t="shared" ref="A763" ca="1" si="3163">INDIRECT("'update Helper'!C"&amp;U763)</f>
        <v>a163p000002zQaWAAU</v>
      </c>
      <c r="B763" s="674">
        <v>4</v>
      </c>
      <c r="C763" s="666" t="str">
        <f>VLOOKUP(B763,'Coverage Indicators - Section D'!$A$9:$AU$70,47,FALSE)</f>
        <v>PMTCT-2.1 Pourcentage de femmes enceintes séropositives pour le VIH ayant reçu une TARV durant leur grossesse et/ou le travail et l'accouchement</v>
      </c>
      <c r="D763" s="676" t="str">
        <f t="shared" ref="D763" si="3164">R763</f>
        <v/>
      </c>
      <c r="E763" s="676" t="str">
        <f t="shared" ref="E763" si="3165">S763</f>
        <v/>
      </c>
      <c r="F763" s="194"/>
      <c r="G763" s="668" t="str">
        <f t="shared" ref="G763" ca="1" si="3166">IF(OR(INDIRECT("'update Helper'!E"&amp;U763)=0,F763&lt;&gt;0,F764&lt;&gt;0),IF(IFERROR((F763/F764),"")="","",(F763/F764)),INDIRECT("'update Helper'!E"&amp;U763)/100)</f>
        <v/>
      </c>
      <c r="H763" s="670"/>
      <c r="I763" s="672"/>
      <c r="J763" s="651"/>
      <c r="K763" s="666" t="str">
        <f t="shared" ref="K763" si="3167">W763</f>
        <v>PMTCT-2.1 Percentage of HIV-positive women who received ART during pregnancy and/or labour and delivery</v>
      </c>
      <c r="L763" s="666" t="str">
        <f t="shared" ref="L763" si="3168">V763</f>
        <v/>
      </c>
      <c r="M763" s="651"/>
      <c r="N763" s="651"/>
      <c r="P763" s="189">
        <f t="shared" ref="P763" si="3169">IF(AND(EXACT(C763,C761),C761&lt;&gt;0),P761+1,0)</f>
        <v>11</v>
      </c>
      <c r="Q763" s="189" t="str">
        <f t="shared" ref="Q763" si="3170">IF(C763&lt;&gt;"",C763&amp;"-"&amp;P763,"")</f>
        <v>PMTCT-2.1 Pourcentage de femmes enceintes séropositives pour le VIH ayant reçu une TARV durant leur grossesse et/ou le travail et l'accouchement-11</v>
      </c>
      <c r="R763" s="189" t="str">
        <f t="array" ref="R763">IFERROR(IF(INDEX('Disaggregation Records'!$E$155:$E$385,MATCH(RIGHT(Q763,255),RIGHT('Disaggregation Records'!$D$155:$D$385,255),0))=0,"",INDEX('Disaggregation Records'!$E$155:$E$385,MATCH(RIGHT(Q763,255),RIGHT('Disaggregation Records'!$D$155:$D$385,255),0))),"")</f>
        <v/>
      </c>
      <c r="S763" s="189" t="str">
        <f t="array" ref="S763">IFERROR(IF(INDEX('Disaggregation Records'!$F$155:$F$385,MATCH(RIGHT(Q763,255),RIGHT('Disaggregation Records'!$D$155:$D$385,255),0))=0,"",INDEX('Disaggregation Records'!$F$155:$F$385,MATCH(RIGHT(Q763,255),RIGHT('Disaggregation Records'!$D$155:$D$385,255),0))),"")</f>
        <v/>
      </c>
      <c r="T763" s="189" t="str">
        <f t="array" ref="T763">IFERROR(IF(INDEX('Disaggregation Records'!$H$155:$H$385,MATCH(RIGHT(Q763,255),RIGHT('Disaggregation Records'!$D$155:$D$385,255),0))=0,"",INDEX('Disaggregation Records'!$H$155:$H$385,MATCH(RIGHT(Q763,255),RIGHT('Disaggregation Records'!$D$155:$D$385,255),0))),"")</f>
        <v/>
      </c>
      <c r="U763" s="189">
        <f t="shared" ref="U763" si="3171">U761+1</f>
        <v>1483</v>
      </c>
      <c r="V763" s="189" t="str">
        <f t="array" ref="V763">IFERROR(IF(INDEX('Disaggregation Records'!$I$155:$I$385,MATCH(RIGHT(Q763,255),RIGHT('Disaggregation Records'!$D$155:$D$385,255),0))=0,"",INDEX('Disaggregation Records'!$I$155:$I$385,MATCH(RIGHT(Q763,255),RIGHT('Disaggregation Records'!$D$155:$D$385,255),0))),"")</f>
        <v/>
      </c>
      <c r="W763" s="189" t="str">
        <f>IFERROR(INDEX('Reference Records'!L$59:L$121,MATCH(LEFT(C763,255),'Reference Records'!E$59:E$121,0)),"")</f>
        <v>PMTCT-2.1 Percentage of HIV-positive women who received ART during pregnancy and/or labour and delivery</v>
      </c>
    </row>
    <row r="764" spans="1:23" s="189" customFormat="1" ht="40.200000000000003" customHeight="1" x14ac:dyDescent="0.3">
      <c r="A764" s="678"/>
      <c r="B764" s="675"/>
      <c r="C764" s="667"/>
      <c r="D764" s="677"/>
      <c r="E764" s="677"/>
      <c r="F764" s="202"/>
      <c r="G764" s="669"/>
      <c r="H764" s="671"/>
      <c r="I764" s="673"/>
      <c r="J764" s="652"/>
      <c r="K764" s="667"/>
      <c r="L764" s="667"/>
      <c r="M764" s="652"/>
      <c r="N764" s="652"/>
    </row>
    <row r="765" spans="1:23" s="189" customFormat="1" ht="40.200000000000003" customHeight="1" x14ac:dyDescent="0.3">
      <c r="A765" s="678" t="str">
        <f t="shared" ref="A765" ca="1" si="3172">INDIRECT("'update Helper'!C"&amp;U765)</f>
        <v>a163p000002zQaXAAU</v>
      </c>
      <c r="B765" s="674">
        <v>4</v>
      </c>
      <c r="C765" s="666" t="str">
        <f>VLOOKUP(B765,'Coverage Indicators - Section D'!$A$9:$AU$70,47,FALSE)</f>
        <v>PMTCT-2.1 Pourcentage de femmes enceintes séropositives pour le VIH ayant reçu une TARV durant leur grossesse et/ou le travail et l'accouchement</v>
      </c>
      <c r="D765" s="676" t="str">
        <f t="shared" ref="D765" si="3173">R765</f>
        <v/>
      </c>
      <c r="E765" s="676" t="str">
        <f t="shared" ref="E765" si="3174">S765</f>
        <v/>
      </c>
      <c r="F765" s="194"/>
      <c r="G765" s="668" t="str">
        <f t="shared" ref="G765" ca="1" si="3175">IF(OR(INDIRECT("'update Helper'!E"&amp;U765)=0,F765&lt;&gt;0,F766&lt;&gt;0),IF(IFERROR((F765/F766),"")="","",(F765/F766)),INDIRECT("'update Helper'!E"&amp;U765)/100)</f>
        <v/>
      </c>
      <c r="H765" s="670"/>
      <c r="I765" s="672"/>
      <c r="J765" s="651"/>
      <c r="K765" s="666" t="str">
        <f t="shared" ref="K765" si="3176">W765</f>
        <v>PMTCT-2.1 Percentage of HIV-positive women who received ART during pregnancy and/or labour and delivery</v>
      </c>
      <c r="L765" s="666" t="str">
        <f t="shared" ref="L765" si="3177">V765</f>
        <v/>
      </c>
      <c r="M765" s="651"/>
      <c r="N765" s="651"/>
      <c r="P765" s="189">
        <f t="shared" ref="P765" si="3178">IF(AND(EXACT(C765,C763),C763&lt;&gt;0),P763+1,0)</f>
        <v>12</v>
      </c>
      <c r="Q765" s="189" t="str">
        <f t="shared" ref="Q765" si="3179">IF(C765&lt;&gt;"",C765&amp;"-"&amp;P765,"")</f>
        <v>PMTCT-2.1 Pourcentage de femmes enceintes séropositives pour le VIH ayant reçu une TARV durant leur grossesse et/ou le travail et l'accouchement-12</v>
      </c>
      <c r="R765" s="189" t="str">
        <f t="array" ref="R765">IFERROR(IF(INDEX('Disaggregation Records'!$E$155:$E$385,MATCH(RIGHT(Q765,255),RIGHT('Disaggregation Records'!$D$155:$D$385,255),0))=0,"",INDEX('Disaggregation Records'!$E$155:$E$385,MATCH(RIGHT(Q765,255),RIGHT('Disaggregation Records'!$D$155:$D$385,255),0))),"")</f>
        <v/>
      </c>
      <c r="S765" s="189" t="str">
        <f t="array" ref="S765">IFERROR(IF(INDEX('Disaggregation Records'!$F$155:$F$385,MATCH(RIGHT(Q765,255),RIGHT('Disaggregation Records'!$D$155:$D$385,255),0))=0,"",INDEX('Disaggregation Records'!$F$155:$F$385,MATCH(RIGHT(Q765,255),RIGHT('Disaggregation Records'!$D$155:$D$385,255),0))),"")</f>
        <v/>
      </c>
      <c r="T765" s="189" t="str">
        <f t="array" ref="T765">IFERROR(IF(INDEX('Disaggregation Records'!$H$155:$H$385,MATCH(RIGHT(Q765,255),RIGHT('Disaggregation Records'!$D$155:$D$385,255),0))=0,"",INDEX('Disaggregation Records'!$H$155:$H$385,MATCH(RIGHT(Q765,255),RIGHT('Disaggregation Records'!$D$155:$D$385,255),0))),"")</f>
        <v/>
      </c>
      <c r="U765" s="189">
        <f t="shared" ref="U765" si="3180">U763+1</f>
        <v>1484</v>
      </c>
      <c r="V765" s="189" t="str">
        <f t="array" ref="V765">IFERROR(IF(INDEX('Disaggregation Records'!$I$155:$I$385,MATCH(RIGHT(Q765,255),RIGHT('Disaggregation Records'!$D$155:$D$385,255),0))=0,"",INDEX('Disaggregation Records'!$I$155:$I$385,MATCH(RIGHT(Q765,255),RIGHT('Disaggregation Records'!$D$155:$D$385,255),0))),"")</f>
        <v/>
      </c>
      <c r="W765" s="189" t="str">
        <f>IFERROR(INDEX('Reference Records'!L$59:L$121,MATCH(LEFT(C765,255),'Reference Records'!E$59:E$121,0)),"")</f>
        <v>PMTCT-2.1 Percentage of HIV-positive women who received ART during pregnancy and/or labour and delivery</v>
      </c>
    </row>
    <row r="766" spans="1:23" s="189" customFormat="1" ht="40.200000000000003" customHeight="1" x14ac:dyDescent="0.3">
      <c r="A766" s="678"/>
      <c r="B766" s="675"/>
      <c r="C766" s="667"/>
      <c r="D766" s="677"/>
      <c r="E766" s="677"/>
      <c r="F766" s="202"/>
      <c r="G766" s="669"/>
      <c r="H766" s="671"/>
      <c r="I766" s="673"/>
      <c r="J766" s="652"/>
      <c r="K766" s="667"/>
      <c r="L766" s="667"/>
      <c r="M766" s="652"/>
      <c r="N766" s="652"/>
    </row>
    <row r="767" spans="1:23" s="189" customFormat="1" ht="40.200000000000003" customHeight="1" x14ac:dyDescent="0.3">
      <c r="A767" s="678" t="str">
        <f t="shared" ref="A767" ca="1" si="3181">INDIRECT("'update Helper'!C"&amp;U767)</f>
        <v>a163p000002zQaYAAU</v>
      </c>
      <c r="B767" s="674">
        <v>4</v>
      </c>
      <c r="C767" s="666" t="str">
        <f>VLOOKUP(B767,'Coverage Indicators - Section D'!$A$9:$AU$70,47,FALSE)</f>
        <v>PMTCT-2.1 Pourcentage de femmes enceintes séropositives pour le VIH ayant reçu une TARV durant leur grossesse et/ou le travail et l'accouchement</v>
      </c>
      <c r="D767" s="676" t="str">
        <f t="shared" ref="D767" si="3182">R767</f>
        <v/>
      </c>
      <c r="E767" s="676" t="str">
        <f t="shared" ref="E767" si="3183">S767</f>
        <v/>
      </c>
      <c r="F767" s="194"/>
      <c r="G767" s="668" t="str">
        <f t="shared" ref="G767" ca="1" si="3184">IF(OR(INDIRECT("'update Helper'!E"&amp;U767)=0,F767&lt;&gt;0,F768&lt;&gt;0),IF(IFERROR((F767/F768),"")="","",(F767/F768)),INDIRECT("'update Helper'!E"&amp;U767)/100)</f>
        <v/>
      </c>
      <c r="H767" s="670"/>
      <c r="I767" s="672"/>
      <c r="J767" s="651"/>
      <c r="K767" s="666" t="str">
        <f t="shared" ref="K767" si="3185">W767</f>
        <v>PMTCT-2.1 Percentage of HIV-positive women who received ART during pregnancy and/or labour and delivery</v>
      </c>
      <c r="L767" s="666" t="str">
        <f t="shared" ref="L767" si="3186">V767</f>
        <v/>
      </c>
      <c r="M767" s="651"/>
      <c r="N767" s="651"/>
      <c r="P767" s="189">
        <f t="shared" ref="P767" si="3187">IF(AND(EXACT(C767,C765),C765&lt;&gt;0),P765+1,0)</f>
        <v>13</v>
      </c>
      <c r="Q767" s="189" t="str">
        <f t="shared" ref="Q767" si="3188">IF(C767&lt;&gt;"",C767&amp;"-"&amp;P767,"")</f>
        <v>PMTCT-2.1 Pourcentage de femmes enceintes séropositives pour le VIH ayant reçu une TARV durant leur grossesse et/ou le travail et l'accouchement-13</v>
      </c>
      <c r="R767" s="189" t="str">
        <f t="array" ref="R767">IFERROR(IF(INDEX('Disaggregation Records'!$E$155:$E$385,MATCH(RIGHT(Q767,255),RIGHT('Disaggregation Records'!$D$155:$D$385,255),0))=0,"",INDEX('Disaggregation Records'!$E$155:$E$385,MATCH(RIGHT(Q767,255),RIGHT('Disaggregation Records'!$D$155:$D$385,255),0))),"")</f>
        <v/>
      </c>
      <c r="S767" s="189" t="str">
        <f t="array" ref="S767">IFERROR(IF(INDEX('Disaggregation Records'!$F$155:$F$385,MATCH(RIGHT(Q767,255),RIGHT('Disaggregation Records'!$D$155:$D$385,255),0))=0,"",INDEX('Disaggregation Records'!$F$155:$F$385,MATCH(RIGHT(Q767,255),RIGHT('Disaggregation Records'!$D$155:$D$385,255),0))),"")</f>
        <v/>
      </c>
      <c r="T767" s="189" t="str">
        <f t="array" ref="T767">IFERROR(IF(INDEX('Disaggregation Records'!$H$155:$H$385,MATCH(RIGHT(Q767,255),RIGHT('Disaggregation Records'!$D$155:$D$385,255),0))=0,"",INDEX('Disaggregation Records'!$H$155:$H$385,MATCH(RIGHT(Q767,255),RIGHT('Disaggregation Records'!$D$155:$D$385,255),0))),"")</f>
        <v/>
      </c>
      <c r="U767" s="189">
        <f t="shared" ref="U767" si="3189">U765+1</f>
        <v>1485</v>
      </c>
      <c r="V767" s="189" t="str">
        <f t="array" ref="V767">IFERROR(IF(INDEX('Disaggregation Records'!$I$155:$I$385,MATCH(RIGHT(Q767,255),RIGHT('Disaggregation Records'!$D$155:$D$385,255),0))=0,"",INDEX('Disaggregation Records'!$I$155:$I$385,MATCH(RIGHT(Q767,255),RIGHT('Disaggregation Records'!$D$155:$D$385,255),0))),"")</f>
        <v/>
      </c>
      <c r="W767" s="189" t="str">
        <f>IFERROR(INDEX('Reference Records'!L$59:L$121,MATCH(LEFT(C767,255),'Reference Records'!E$59:E$121,0)),"")</f>
        <v>PMTCT-2.1 Percentage of HIV-positive women who received ART during pregnancy and/or labour and delivery</v>
      </c>
    </row>
    <row r="768" spans="1:23" s="189" customFormat="1" ht="40.200000000000003" customHeight="1" x14ac:dyDescent="0.3">
      <c r="A768" s="678"/>
      <c r="B768" s="675"/>
      <c r="C768" s="667"/>
      <c r="D768" s="677"/>
      <c r="E768" s="677"/>
      <c r="F768" s="202"/>
      <c r="G768" s="669"/>
      <c r="H768" s="671"/>
      <c r="I768" s="673"/>
      <c r="J768" s="652"/>
      <c r="K768" s="667"/>
      <c r="L768" s="667"/>
      <c r="M768" s="652"/>
      <c r="N768" s="652"/>
    </row>
    <row r="769" spans="1:23" s="189" customFormat="1" ht="40.200000000000003" customHeight="1" x14ac:dyDescent="0.3">
      <c r="A769" s="678" t="str">
        <f t="shared" ref="A769" ca="1" si="3190">INDIRECT("'update Helper'!C"&amp;U769)</f>
        <v>a163p000002zQaZAAU</v>
      </c>
      <c r="B769" s="674">
        <v>4</v>
      </c>
      <c r="C769" s="666" t="str">
        <f>VLOOKUP(B769,'Coverage Indicators - Section D'!$A$9:$AU$70,47,FALSE)</f>
        <v>PMTCT-2.1 Pourcentage de femmes enceintes séropositives pour le VIH ayant reçu une TARV durant leur grossesse et/ou le travail et l'accouchement</v>
      </c>
      <c r="D769" s="676" t="str">
        <f t="shared" ref="D769" si="3191">R769</f>
        <v/>
      </c>
      <c r="E769" s="676" t="str">
        <f t="shared" ref="E769" si="3192">S769</f>
        <v/>
      </c>
      <c r="F769" s="194"/>
      <c r="G769" s="668" t="str">
        <f t="shared" ref="G769" ca="1" si="3193">IF(OR(INDIRECT("'update Helper'!E"&amp;U769)=0,F769&lt;&gt;0,F770&lt;&gt;0),IF(IFERROR((F769/F770),"")="","",(F769/F770)),INDIRECT("'update Helper'!E"&amp;U769)/100)</f>
        <v/>
      </c>
      <c r="H769" s="670"/>
      <c r="I769" s="672"/>
      <c r="J769" s="651"/>
      <c r="K769" s="666" t="str">
        <f t="shared" ref="K769" si="3194">W769</f>
        <v>PMTCT-2.1 Percentage of HIV-positive women who received ART during pregnancy and/or labour and delivery</v>
      </c>
      <c r="L769" s="666" t="str">
        <f t="shared" ref="L769" si="3195">V769</f>
        <v/>
      </c>
      <c r="M769" s="651"/>
      <c r="N769" s="651"/>
      <c r="P769" s="189">
        <f t="shared" ref="P769" si="3196">IF(AND(EXACT(C769,C767),C767&lt;&gt;0),P767+1,0)</f>
        <v>14</v>
      </c>
      <c r="Q769" s="189" t="str">
        <f t="shared" ref="Q769" si="3197">IF(C769&lt;&gt;"",C769&amp;"-"&amp;P769,"")</f>
        <v>PMTCT-2.1 Pourcentage de femmes enceintes séropositives pour le VIH ayant reçu une TARV durant leur grossesse et/ou le travail et l'accouchement-14</v>
      </c>
      <c r="R769" s="189" t="str">
        <f t="array" ref="R769">IFERROR(IF(INDEX('Disaggregation Records'!$E$155:$E$385,MATCH(RIGHT(Q769,255),RIGHT('Disaggregation Records'!$D$155:$D$385,255),0))=0,"",INDEX('Disaggregation Records'!$E$155:$E$385,MATCH(RIGHT(Q769,255),RIGHT('Disaggregation Records'!$D$155:$D$385,255),0))),"")</f>
        <v/>
      </c>
      <c r="S769" s="189" t="str">
        <f t="array" ref="S769">IFERROR(IF(INDEX('Disaggregation Records'!$F$155:$F$385,MATCH(RIGHT(Q769,255),RIGHT('Disaggregation Records'!$D$155:$D$385,255),0))=0,"",INDEX('Disaggregation Records'!$F$155:$F$385,MATCH(RIGHT(Q769,255),RIGHT('Disaggregation Records'!$D$155:$D$385,255),0))),"")</f>
        <v/>
      </c>
      <c r="T769" s="189" t="str">
        <f t="array" ref="T769">IFERROR(IF(INDEX('Disaggregation Records'!$H$155:$H$385,MATCH(RIGHT(Q769,255),RIGHT('Disaggregation Records'!$D$155:$D$385,255),0))=0,"",INDEX('Disaggregation Records'!$H$155:$H$385,MATCH(RIGHT(Q769,255),RIGHT('Disaggregation Records'!$D$155:$D$385,255),0))),"")</f>
        <v/>
      </c>
      <c r="U769" s="189">
        <f t="shared" ref="U769" si="3198">U767+1</f>
        <v>1486</v>
      </c>
      <c r="V769" s="189" t="str">
        <f t="array" ref="V769">IFERROR(IF(INDEX('Disaggregation Records'!$I$155:$I$385,MATCH(RIGHT(Q769,255),RIGHT('Disaggregation Records'!$D$155:$D$385,255),0))=0,"",INDEX('Disaggregation Records'!$I$155:$I$385,MATCH(RIGHT(Q769,255),RIGHT('Disaggregation Records'!$D$155:$D$385,255),0))),"")</f>
        <v/>
      </c>
      <c r="W769" s="189" t="str">
        <f>IFERROR(INDEX('Reference Records'!L$59:L$121,MATCH(LEFT(C769,255),'Reference Records'!E$59:E$121,0)),"")</f>
        <v>PMTCT-2.1 Percentage of HIV-positive women who received ART during pregnancy and/or labour and delivery</v>
      </c>
    </row>
    <row r="770" spans="1:23" s="189" customFormat="1" ht="40.200000000000003" customHeight="1" x14ac:dyDescent="0.3">
      <c r="A770" s="678"/>
      <c r="B770" s="675"/>
      <c r="C770" s="667"/>
      <c r="D770" s="677"/>
      <c r="E770" s="677"/>
      <c r="F770" s="202"/>
      <c r="G770" s="669"/>
      <c r="H770" s="671"/>
      <c r="I770" s="673"/>
      <c r="J770" s="652"/>
      <c r="K770" s="667"/>
      <c r="L770" s="667"/>
      <c r="M770" s="652"/>
      <c r="N770" s="652"/>
    </row>
    <row r="771" spans="1:23" s="189" customFormat="1" ht="40.200000000000003" customHeight="1" x14ac:dyDescent="0.3">
      <c r="A771" s="678" t="str">
        <f t="shared" ref="A771" ca="1" si="3199">INDIRECT("'update Helper'!C"&amp;U771)</f>
        <v>a163p000002zQaaAAE</v>
      </c>
      <c r="B771" s="674">
        <v>4</v>
      </c>
      <c r="C771" s="666" t="str">
        <f>VLOOKUP(B771,'Coverage Indicators - Section D'!$A$9:$AU$70,47,FALSE)</f>
        <v>PMTCT-2.1 Pourcentage de femmes enceintes séropositives pour le VIH ayant reçu une TARV durant leur grossesse et/ou le travail et l'accouchement</v>
      </c>
      <c r="D771" s="676" t="str">
        <f t="shared" ref="D771" si="3200">R771</f>
        <v/>
      </c>
      <c r="E771" s="676" t="str">
        <f t="shared" ref="E771" si="3201">S771</f>
        <v/>
      </c>
      <c r="F771" s="194"/>
      <c r="G771" s="668" t="str">
        <f t="shared" ref="G771" ca="1" si="3202">IF(OR(INDIRECT("'update Helper'!E"&amp;U771)=0,F771&lt;&gt;0,F772&lt;&gt;0),IF(IFERROR((F771/F772),"")="","",(F771/F772)),INDIRECT("'update Helper'!E"&amp;U771)/100)</f>
        <v/>
      </c>
      <c r="H771" s="670"/>
      <c r="I771" s="672"/>
      <c r="J771" s="651"/>
      <c r="K771" s="666" t="str">
        <f t="shared" ref="K771" si="3203">W771</f>
        <v>PMTCT-2.1 Percentage of HIV-positive women who received ART during pregnancy and/or labour and delivery</v>
      </c>
      <c r="L771" s="666" t="str">
        <f t="shared" ref="L771" si="3204">V771</f>
        <v/>
      </c>
      <c r="M771" s="651"/>
      <c r="N771" s="651"/>
      <c r="P771" s="189">
        <f t="shared" ref="P771" si="3205">IF(AND(EXACT(C771,C769),C769&lt;&gt;0),P769+1,0)</f>
        <v>15</v>
      </c>
      <c r="Q771" s="189" t="str">
        <f t="shared" ref="Q771" si="3206">IF(C771&lt;&gt;"",C771&amp;"-"&amp;P771,"")</f>
        <v>PMTCT-2.1 Pourcentage de femmes enceintes séropositives pour le VIH ayant reçu une TARV durant leur grossesse et/ou le travail et l'accouchement-15</v>
      </c>
      <c r="R771" s="189" t="str">
        <f t="array" ref="R771">IFERROR(IF(INDEX('Disaggregation Records'!$E$155:$E$385,MATCH(RIGHT(Q771,255),RIGHT('Disaggregation Records'!$D$155:$D$385,255),0))=0,"",INDEX('Disaggregation Records'!$E$155:$E$385,MATCH(RIGHT(Q771,255),RIGHT('Disaggregation Records'!$D$155:$D$385,255),0))),"")</f>
        <v/>
      </c>
      <c r="S771" s="189" t="str">
        <f t="array" ref="S771">IFERROR(IF(INDEX('Disaggregation Records'!$F$155:$F$385,MATCH(RIGHT(Q771,255),RIGHT('Disaggregation Records'!$D$155:$D$385,255),0))=0,"",INDEX('Disaggregation Records'!$F$155:$F$385,MATCH(RIGHT(Q771,255),RIGHT('Disaggregation Records'!$D$155:$D$385,255),0))),"")</f>
        <v/>
      </c>
      <c r="T771" s="189" t="str">
        <f t="array" ref="T771">IFERROR(IF(INDEX('Disaggregation Records'!$H$155:$H$385,MATCH(RIGHT(Q771,255),RIGHT('Disaggregation Records'!$D$155:$D$385,255),0))=0,"",INDEX('Disaggregation Records'!$H$155:$H$385,MATCH(RIGHT(Q771,255),RIGHT('Disaggregation Records'!$D$155:$D$385,255),0))),"")</f>
        <v/>
      </c>
      <c r="U771" s="189">
        <f t="shared" ref="U771" si="3207">U769+1</f>
        <v>1487</v>
      </c>
      <c r="V771" s="189" t="str">
        <f t="array" ref="V771">IFERROR(IF(INDEX('Disaggregation Records'!$I$155:$I$385,MATCH(RIGHT(Q771,255),RIGHT('Disaggregation Records'!$D$155:$D$385,255),0))=0,"",INDEX('Disaggregation Records'!$I$155:$I$385,MATCH(RIGHT(Q771,255),RIGHT('Disaggregation Records'!$D$155:$D$385,255),0))),"")</f>
        <v/>
      </c>
      <c r="W771" s="189" t="str">
        <f>IFERROR(INDEX('Reference Records'!L$59:L$121,MATCH(LEFT(C771,255),'Reference Records'!E$59:E$121,0)),"")</f>
        <v>PMTCT-2.1 Percentage of HIV-positive women who received ART during pregnancy and/or labour and delivery</v>
      </c>
    </row>
    <row r="772" spans="1:23" s="189" customFormat="1" ht="40.200000000000003" customHeight="1" x14ac:dyDescent="0.3">
      <c r="A772" s="678"/>
      <c r="B772" s="675"/>
      <c r="C772" s="667"/>
      <c r="D772" s="677"/>
      <c r="E772" s="677"/>
      <c r="F772" s="202"/>
      <c r="G772" s="669"/>
      <c r="H772" s="671"/>
      <c r="I772" s="673"/>
      <c r="J772" s="652"/>
      <c r="K772" s="667"/>
      <c r="L772" s="667"/>
      <c r="M772" s="652"/>
      <c r="N772" s="652"/>
    </row>
    <row r="773" spans="1:23" s="189" customFormat="1" ht="40.200000000000003" customHeight="1" x14ac:dyDescent="0.3">
      <c r="A773" s="678" t="str">
        <f t="shared" ref="A773" ca="1" si="3208">INDIRECT("'update Helper'!C"&amp;U773)</f>
        <v>a163p000002zQabAAE</v>
      </c>
      <c r="B773" s="674">
        <v>4</v>
      </c>
      <c r="C773" s="666" t="str">
        <f>VLOOKUP(B773,'Coverage Indicators - Section D'!$A$9:$AU$70,47,FALSE)</f>
        <v>PMTCT-2.1 Pourcentage de femmes enceintes séropositives pour le VIH ayant reçu une TARV durant leur grossesse et/ou le travail et l'accouchement</v>
      </c>
      <c r="D773" s="676" t="str">
        <f t="shared" ref="D773" si="3209">R773</f>
        <v/>
      </c>
      <c r="E773" s="676" t="str">
        <f t="shared" ref="E773" si="3210">S773</f>
        <v/>
      </c>
      <c r="F773" s="194"/>
      <c r="G773" s="668" t="str">
        <f t="shared" ref="G773" ca="1" si="3211">IF(OR(INDIRECT("'update Helper'!E"&amp;U773)=0,F773&lt;&gt;0,F774&lt;&gt;0),IF(IFERROR((F773/F774),"")="","",(F773/F774)),INDIRECT("'update Helper'!E"&amp;U773)/100)</f>
        <v/>
      </c>
      <c r="H773" s="670"/>
      <c r="I773" s="672"/>
      <c r="J773" s="651"/>
      <c r="K773" s="666" t="str">
        <f t="shared" ref="K773" si="3212">W773</f>
        <v>PMTCT-2.1 Percentage of HIV-positive women who received ART during pregnancy and/or labour and delivery</v>
      </c>
      <c r="L773" s="666" t="str">
        <f t="shared" ref="L773" si="3213">V773</f>
        <v/>
      </c>
      <c r="M773" s="651"/>
      <c r="N773" s="651"/>
      <c r="P773" s="189">
        <f t="shared" ref="P773" si="3214">IF(AND(EXACT(C773,C771),C771&lt;&gt;0),P771+1,0)</f>
        <v>16</v>
      </c>
      <c r="Q773" s="189" t="str">
        <f t="shared" ref="Q773" si="3215">IF(C773&lt;&gt;"",C773&amp;"-"&amp;P773,"")</f>
        <v>PMTCT-2.1 Pourcentage de femmes enceintes séropositives pour le VIH ayant reçu une TARV durant leur grossesse et/ou le travail et l'accouchement-16</v>
      </c>
      <c r="R773" s="189" t="str">
        <f t="array" ref="R773">IFERROR(IF(INDEX('Disaggregation Records'!$E$155:$E$385,MATCH(RIGHT(Q773,255),RIGHT('Disaggregation Records'!$D$155:$D$385,255),0))=0,"",INDEX('Disaggregation Records'!$E$155:$E$385,MATCH(RIGHT(Q773,255),RIGHT('Disaggregation Records'!$D$155:$D$385,255),0))),"")</f>
        <v/>
      </c>
      <c r="S773" s="189" t="str">
        <f t="array" ref="S773">IFERROR(IF(INDEX('Disaggregation Records'!$F$155:$F$385,MATCH(RIGHT(Q773,255),RIGHT('Disaggregation Records'!$D$155:$D$385,255),0))=0,"",INDEX('Disaggregation Records'!$F$155:$F$385,MATCH(RIGHT(Q773,255),RIGHT('Disaggregation Records'!$D$155:$D$385,255),0))),"")</f>
        <v/>
      </c>
      <c r="T773" s="189" t="str">
        <f t="array" ref="T773">IFERROR(IF(INDEX('Disaggregation Records'!$H$155:$H$385,MATCH(RIGHT(Q773,255),RIGHT('Disaggregation Records'!$D$155:$D$385,255),0))=0,"",INDEX('Disaggregation Records'!$H$155:$H$385,MATCH(RIGHT(Q773,255),RIGHT('Disaggregation Records'!$D$155:$D$385,255),0))),"")</f>
        <v/>
      </c>
      <c r="U773" s="189">
        <f t="shared" ref="U773" si="3216">U771+1</f>
        <v>1488</v>
      </c>
      <c r="V773" s="189" t="str">
        <f t="array" ref="V773">IFERROR(IF(INDEX('Disaggregation Records'!$I$155:$I$385,MATCH(RIGHT(Q773,255),RIGHT('Disaggregation Records'!$D$155:$D$385,255),0))=0,"",INDEX('Disaggregation Records'!$I$155:$I$385,MATCH(RIGHT(Q773,255),RIGHT('Disaggregation Records'!$D$155:$D$385,255),0))),"")</f>
        <v/>
      </c>
      <c r="W773" s="189" t="str">
        <f>IFERROR(INDEX('Reference Records'!L$59:L$121,MATCH(LEFT(C773,255),'Reference Records'!E$59:E$121,0)),"")</f>
        <v>PMTCT-2.1 Percentage of HIV-positive women who received ART during pregnancy and/or labour and delivery</v>
      </c>
    </row>
    <row r="774" spans="1:23" s="189" customFormat="1" ht="40.200000000000003" customHeight="1" x14ac:dyDescent="0.3">
      <c r="A774" s="678"/>
      <c r="B774" s="675"/>
      <c r="C774" s="667"/>
      <c r="D774" s="677"/>
      <c r="E774" s="677"/>
      <c r="F774" s="202"/>
      <c r="G774" s="669"/>
      <c r="H774" s="671"/>
      <c r="I774" s="673"/>
      <c r="J774" s="652"/>
      <c r="K774" s="667"/>
      <c r="L774" s="667"/>
      <c r="M774" s="652"/>
      <c r="N774" s="652"/>
    </row>
    <row r="775" spans="1:23" s="189" customFormat="1" ht="40.200000000000003" customHeight="1" x14ac:dyDescent="0.3">
      <c r="A775" s="678" t="str">
        <f t="shared" ref="A775" ca="1" si="3217">INDIRECT("'update Helper'!C"&amp;U775)</f>
        <v>a163p000002zQacAAE</v>
      </c>
      <c r="B775" s="674">
        <v>4</v>
      </c>
      <c r="C775" s="666" t="str">
        <f>VLOOKUP(B775,'Coverage Indicators - Section D'!$A$9:$AU$70,47,FALSE)</f>
        <v>PMTCT-2.1 Pourcentage de femmes enceintes séropositives pour le VIH ayant reçu une TARV durant leur grossesse et/ou le travail et l'accouchement</v>
      </c>
      <c r="D775" s="676" t="str">
        <f t="shared" ref="D775" si="3218">R775</f>
        <v/>
      </c>
      <c r="E775" s="676" t="str">
        <f t="shared" ref="E775" si="3219">S775</f>
        <v/>
      </c>
      <c r="F775" s="194"/>
      <c r="G775" s="668" t="str">
        <f t="shared" ref="G775" ca="1" si="3220">IF(OR(INDIRECT("'update Helper'!E"&amp;U775)=0,F775&lt;&gt;0,F776&lt;&gt;0),IF(IFERROR((F775/F776),"")="","",(F775/F776)),INDIRECT("'update Helper'!E"&amp;U775)/100)</f>
        <v/>
      </c>
      <c r="H775" s="670"/>
      <c r="I775" s="672"/>
      <c r="J775" s="651"/>
      <c r="K775" s="666" t="str">
        <f t="shared" ref="K775" si="3221">W775</f>
        <v>PMTCT-2.1 Percentage of HIV-positive women who received ART during pregnancy and/or labour and delivery</v>
      </c>
      <c r="L775" s="666" t="str">
        <f t="shared" ref="L775" si="3222">V775</f>
        <v/>
      </c>
      <c r="M775" s="651"/>
      <c r="N775" s="651"/>
      <c r="P775" s="189">
        <f t="shared" ref="P775" si="3223">IF(AND(EXACT(C775,C773),C773&lt;&gt;0),P773+1,0)</f>
        <v>17</v>
      </c>
      <c r="Q775" s="189" t="str">
        <f t="shared" ref="Q775" si="3224">IF(C775&lt;&gt;"",C775&amp;"-"&amp;P775,"")</f>
        <v>PMTCT-2.1 Pourcentage de femmes enceintes séropositives pour le VIH ayant reçu une TARV durant leur grossesse et/ou le travail et l'accouchement-17</v>
      </c>
      <c r="R775" s="189" t="str">
        <f t="array" ref="R775">IFERROR(IF(INDEX('Disaggregation Records'!$E$155:$E$385,MATCH(RIGHT(Q775,255),RIGHT('Disaggregation Records'!$D$155:$D$385,255),0))=0,"",INDEX('Disaggregation Records'!$E$155:$E$385,MATCH(RIGHT(Q775,255),RIGHT('Disaggregation Records'!$D$155:$D$385,255),0))),"")</f>
        <v/>
      </c>
      <c r="S775" s="189" t="str">
        <f t="array" ref="S775">IFERROR(IF(INDEX('Disaggregation Records'!$F$155:$F$385,MATCH(RIGHT(Q775,255),RIGHT('Disaggregation Records'!$D$155:$D$385,255),0))=0,"",INDEX('Disaggregation Records'!$F$155:$F$385,MATCH(RIGHT(Q775,255),RIGHT('Disaggregation Records'!$D$155:$D$385,255),0))),"")</f>
        <v/>
      </c>
      <c r="T775" s="189" t="str">
        <f t="array" ref="T775">IFERROR(IF(INDEX('Disaggregation Records'!$H$155:$H$385,MATCH(RIGHT(Q775,255),RIGHT('Disaggregation Records'!$D$155:$D$385,255),0))=0,"",INDEX('Disaggregation Records'!$H$155:$H$385,MATCH(RIGHT(Q775,255),RIGHT('Disaggregation Records'!$D$155:$D$385,255),0))),"")</f>
        <v/>
      </c>
      <c r="U775" s="189">
        <f t="shared" ref="U775" si="3225">U773+1</f>
        <v>1489</v>
      </c>
      <c r="V775" s="189" t="str">
        <f t="array" ref="V775">IFERROR(IF(INDEX('Disaggregation Records'!$I$155:$I$385,MATCH(RIGHT(Q775,255),RIGHT('Disaggregation Records'!$D$155:$D$385,255),0))=0,"",INDEX('Disaggregation Records'!$I$155:$I$385,MATCH(RIGHT(Q775,255),RIGHT('Disaggregation Records'!$D$155:$D$385,255),0))),"")</f>
        <v/>
      </c>
      <c r="W775" s="189" t="str">
        <f>IFERROR(INDEX('Reference Records'!L$59:L$121,MATCH(LEFT(C775,255),'Reference Records'!E$59:E$121,0)),"")</f>
        <v>PMTCT-2.1 Percentage of HIV-positive women who received ART during pregnancy and/or labour and delivery</v>
      </c>
    </row>
    <row r="776" spans="1:23" s="189" customFormat="1" ht="40.200000000000003" customHeight="1" x14ac:dyDescent="0.3">
      <c r="A776" s="678"/>
      <c r="B776" s="675"/>
      <c r="C776" s="667"/>
      <c r="D776" s="677"/>
      <c r="E776" s="677"/>
      <c r="F776" s="202"/>
      <c r="G776" s="669"/>
      <c r="H776" s="671"/>
      <c r="I776" s="673"/>
      <c r="J776" s="652"/>
      <c r="K776" s="667"/>
      <c r="L776" s="667"/>
      <c r="M776" s="652"/>
      <c r="N776" s="652"/>
    </row>
    <row r="777" spans="1:23" s="189" customFormat="1" ht="40.200000000000003" customHeight="1" x14ac:dyDescent="0.3">
      <c r="A777" s="678" t="str">
        <f t="shared" ref="A777" ca="1" si="3226">INDIRECT("'update Helper'!C"&amp;U777)</f>
        <v>a163p000002zQadAAE</v>
      </c>
      <c r="B777" s="674">
        <v>4</v>
      </c>
      <c r="C777" s="666" t="str">
        <f>VLOOKUP(B777,'Coverage Indicators - Section D'!$A$9:$AU$70,47,FALSE)</f>
        <v>PMTCT-2.1 Pourcentage de femmes enceintes séropositives pour le VIH ayant reçu une TARV durant leur grossesse et/ou le travail et l'accouchement</v>
      </c>
      <c r="D777" s="676" t="str">
        <f t="shared" ref="D777" si="3227">R777</f>
        <v/>
      </c>
      <c r="E777" s="676" t="str">
        <f t="shared" ref="E777" si="3228">S777</f>
        <v/>
      </c>
      <c r="F777" s="194"/>
      <c r="G777" s="668" t="str">
        <f t="shared" ref="G777" ca="1" si="3229">IF(OR(INDIRECT("'update Helper'!E"&amp;U777)=0,F777&lt;&gt;0,F778&lt;&gt;0),IF(IFERROR((F777/F778),"")="","",(F777/F778)),INDIRECT("'update Helper'!E"&amp;U777)/100)</f>
        <v/>
      </c>
      <c r="H777" s="670"/>
      <c r="I777" s="672"/>
      <c r="J777" s="651"/>
      <c r="K777" s="666" t="str">
        <f t="shared" ref="K777" si="3230">W777</f>
        <v>PMTCT-2.1 Percentage of HIV-positive women who received ART during pregnancy and/or labour and delivery</v>
      </c>
      <c r="L777" s="666" t="str">
        <f t="shared" ref="L777" si="3231">V777</f>
        <v/>
      </c>
      <c r="M777" s="651"/>
      <c r="N777" s="651"/>
      <c r="P777" s="189">
        <f t="shared" ref="P777" si="3232">IF(AND(EXACT(C777,C775),C775&lt;&gt;0),P775+1,0)</f>
        <v>18</v>
      </c>
      <c r="Q777" s="189" t="str">
        <f t="shared" ref="Q777" si="3233">IF(C777&lt;&gt;"",C777&amp;"-"&amp;P777,"")</f>
        <v>PMTCT-2.1 Pourcentage de femmes enceintes séropositives pour le VIH ayant reçu une TARV durant leur grossesse et/ou le travail et l'accouchement-18</v>
      </c>
      <c r="R777" s="189" t="str">
        <f t="array" ref="R777">IFERROR(IF(INDEX('Disaggregation Records'!$E$155:$E$385,MATCH(RIGHT(Q777,255),RIGHT('Disaggregation Records'!$D$155:$D$385,255),0))=0,"",INDEX('Disaggregation Records'!$E$155:$E$385,MATCH(RIGHT(Q777,255),RIGHT('Disaggregation Records'!$D$155:$D$385,255),0))),"")</f>
        <v/>
      </c>
      <c r="S777" s="189" t="str">
        <f t="array" ref="S777">IFERROR(IF(INDEX('Disaggregation Records'!$F$155:$F$385,MATCH(RIGHT(Q777,255),RIGHT('Disaggregation Records'!$D$155:$D$385,255),0))=0,"",INDEX('Disaggregation Records'!$F$155:$F$385,MATCH(RIGHT(Q777,255),RIGHT('Disaggregation Records'!$D$155:$D$385,255),0))),"")</f>
        <v/>
      </c>
      <c r="T777" s="189" t="str">
        <f t="array" ref="T777">IFERROR(IF(INDEX('Disaggregation Records'!$H$155:$H$385,MATCH(RIGHT(Q777,255),RIGHT('Disaggregation Records'!$D$155:$D$385,255),0))=0,"",INDEX('Disaggregation Records'!$H$155:$H$385,MATCH(RIGHT(Q777,255),RIGHT('Disaggregation Records'!$D$155:$D$385,255),0))),"")</f>
        <v/>
      </c>
      <c r="U777" s="189">
        <f t="shared" ref="U777" si="3234">U775+1</f>
        <v>1490</v>
      </c>
      <c r="V777" s="189" t="str">
        <f t="array" ref="V777">IFERROR(IF(INDEX('Disaggregation Records'!$I$155:$I$385,MATCH(RIGHT(Q777,255),RIGHT('Disaggregation Records'!$D$155:$D$385,255),0))=0,"",INDEX('Disaggregation Records'!$I$155:$I$385,MATCH(RIGHT(Q777,255),RIGHT('Disaggregation Records'!$D$155:$D$385,255),0))),"")</f>
        <v/>
      </c>
      <c r="W777" s="189" t="str">
        <f>IFERROR(INDEX('Reference Records'!L$59:L$121,MATCH(LEFT(C777,255),'Reference Records'!E$59:E$121,0)),"")</f>
        <v>PMTCT-2.1 Percentage of HIV-positive women who received ART during pregnancy and/or labour and delivery</v>
      </c>
    </row>
    <row r="778" spans="1:23" s="189" customFormat="1" ht="40.200000000000003" customHeight="1" x14ac:dyDescent="0.3">
      <c r="A778" s="678"/>
      <c r="B778" s="675"/>
      <c r="C778" s="667"/>
      <c r="D778" s="677"/>
      <c r="E778" s="677"/>
      <c r="F778" s="202"/>
      <c r="G778" s="669"/>
      <c r="H778" s="671"/>
      <c r="I778" s="673"/>
      <c r="J778" s="652"/>
      <c r="K778" s="667"/>
      <c r="L778" s="667"/>
      <c r="M778" s="652"/>
      <c r="N778" s="652"/>
    </row>
    <row r="779" spans="1:23" s="189" customFormat="1" ht="40.200000000000003" customHeight="1" x14ac:dyDescent="0.3">
      <c r="A779" s="678" t="str">
        <f t="shared" ref="A779" ca="1" si="3235">INDIRECT("'update Helper'!C"&amp;U779)</f>
        <v>a163p000002zQaeAAE</v>
      </c>
      <c r="B779" s="674">
        <v>4</v>
      </c>
      <c r="C779" s="666" t="str">
        <f>VLOOKUP(B779,'Coverage Indicators - Section D'!$A$9:$AU$70,47,FALSE)</f>
        <v>PMTCT-2.1 Pourcentage de femmes enceintes séropositives pour le VIH ayant reçu une TARV durant leur grossesse et/ou le travail et l'accouchement</v>
      </c>
      <c r="D779" s="676" t="str">
        <f t="shared" ref="D779" si="3236">R779</f>
        <v/>
      </c>
      <c r="E779" s="676" t="str">
        <f t="shared" ref="E779" si="3237">S779</f>
        <v/>
      </c>
      <c r="F779" s="194"/>
      <c r="G779" s="668" t="str">
        <f t="shared" ref="G779" ca="1" si="3238">IF(OR(INDIRECT("'update Helper'!E"&amp;U779)=0,F779&lt;&gt;0,F780&lt;&gt;0),IF(IFERROR((F779/F780),"")="","",(F779/F780)),INDIRECT("'update Helper'!E"&amp;U779)/100)</f>
        <v/>
      </c>
      <c r="H779" s="670"/>
      <c r="I779" s="672"/>
      <c r="J779" s="651"/>
      <c r="K779" s="666" t="str">
        <f t="shared" ref="K779" si="3239">W779</f>
        <v>PMTCT-2.1 Percentage of HIV-positive women who received ART during pregnancy and/or labour and delivery</v>
      </c>
      <c r="L779" s="666" t="str">
        <f t="shared" ref="L779" si="3240">V779</f>
        <v/>
      </c>
      <c r="M779" s="651"/>
      <c r="N779" s="651"/>
      <c r="P779" s="189">
        <f t="shared" ref="P779" si="3241">IF(AND(EXACT(C779,C777),C777&lt;&gt;0),P777+1,0)</f>
        <v>19</v>
      </c>
      <c r="Q779" s="189" t="str">
        <f t="shared" ref="Q779" si="3242">IF(C779&lt;&gt;"",C779&amp;"-"&amp;P779,"")</f>
        <v>PMTCT-2.1 Pourcentage de femmes enceintes séropositives pour le VIH ayant reçu une TARV durant leur grossesse et/ou le travail et l'accouchement-19</v>
      </c>
      <c r="R779" s="189" t="str">
        <f t="array" ref="R779">IFERROR(IF(INDEX('Disaggregation Records'!$E$155:$E$385,MATCH(RIGHT(Q779,255),RIGHT('Disaggregation Records'!$D$155:$D$385,255),0))=0,"",INDEX('Disaggregation Records'!$E$155:$E$385,MATCH(RIGHT(Q779,255),RIGHT('Disaggregation Records'!$D$155:$D$385,255),0))),"")</f>
        <v/>
      </c>
      <c r="S779" s="189" t="str">
        <f t="array" ref="S779">IFERROR(IF(INDEX('Disaggregation Records'!$F$155:$F$385,MATCH(RIGHT(Q779,255),RIGHT('Disaggregation Records'!$D$155:$D$385,255),0))=0,"",INDEX('Disaggregation Records'!$F$155:$F$385,MATCH(RIGHT(Q779,255),RIGHT('Disaggregation Records'!$D$155:$D$385,255),0))),"")</f>
        <v/>
      </c>
      <c r="T779" s="189" t="str">
        <f t="array" ref="T779">IFERROR(IF(INDEX('Disaggregation Records'!$H$155:$H$385,MATCH(RIGHT(Q779,255),RIGHT('Disaggregation Records'!$D$155:$D$385,255),0))=0,"",INDEX('Disaggregation Records'!$H$155:$H$385,MATCH(RIGHT(Q779,255),RIGHT('Disaggregation Records'!$D$155:$D$385,255),0))),"")</f>
        <v/>
      </c>
      <c r="U779" s="189">
        <f t="shared" ref="U779" si="3243">U777+1</f>
        <v>1491</v>
      </c>
      <c r="V779" s="189" t="str">
        <f t="array" ref="V779">IFERROR(IF(INDEX('Disaggregation Records'!$I$155:$I$385,MATCH(RIGHT(Q779,255),RIGHT('Disaggregation Records'!$D$155:$D$385,255),0))=0,"",INDEX('Disaggregation Records'!$I$155:$I$385,MATCH(RIGHT(Q779,255),RIGHT('Disaggregation Records'!$D$155:$D$385,255),0))),"")</f>
        <v/>
      </c>
      <c r="W779" s="189" t="str">
        <f>IFERROR(INDEX('Reference Records'!L$59:L$121,MATCH(LEFT(C779,255),'Reference Records'!E$59:E$121,0)),"")</f>
        <v>PMTCT-2.1 Percentage of HIV-positive women who received ART during pregnancy and/or labour and delivery</v>
      </c>
    </row>
    <row r="780" spans="1:23" s="189" customFormat="1" ht="40.200000000000003" customHeight="1" x14ac:dyDescent="0.3">
      <c r="A780" s="678"/>
      <c r="B780" s="675"/>
      <c r="C780" s="667"/>
      <c r="D780" s="677"/>
      <c r="E780" s="677"/>
      <c r="F780" s="202"/>
      <c r="G780" s="669"/>
      <c r="H780" s="671"/>
      <c r="I780" s="673"/>
      <c r="J780" s="652"/>
      <c r="K780" s="667"/>
      <c r="L780" s="667"/>
      <c r="M780" s="652"/>
      <c r="N780" s="652"/>
    </row>
    <row r="781" spans="1:23" s="189" customFormat="1" ht="40.200000000000003" customHeight="1" x14ac:dyDescent="0.3">
      <c r="A781" s="678" t="str">
        <f t="shared" ref="A781" ca="1" si="3244">INDIRECT("'update Helper'!C"&amp;U781)</f>
        <v>a163p000002zQafAAE</v>
      </c>
      <c r="B781" s="674">
        <v>5</v>
      </c>
      <c r="C781" s="666" t="str">
        <f>VLOOKUP(B781,'Coverage Indicators - Section D'!$A$9:$AU$70,47,FALSE)</f>
        <v>PMTCT-3.1 Pourcentage de nourrissons exposés au VIH ayant bénéficié d’un dépistage du VIH dans les 2 mois qui ont suivi leur naissance</v>
      </c>
      <c r="D781" s="676" t="str">
        <f t="shared" ref="D781" si="3245">R781</f>
        <v>Résultat du test VIH</v>
      </c>
      <c r="E781" s="676" t="str">
        <f t="shared" ref="E781" si="3246">S781</f>
        <v>Positif</v>
      </c>
      <c r="F781" s="194"/>
      <c r="G781" s="668" t="str">
        <f t="shared" ref="G781" ca="1" si="3247">IF(OR(INDIRECT("'update Helper'!E"&amp;U781)=0,F781&lt;&gt;0,F782&lt;&gt;0),IF(IFERROR((F781/F782),"")="","",(F781/F782)),INDIRECT("'update Helper'!E"&amp;U781)/100)</f>
        <v/>
      </c>
      <c r="H781" s="670"/>
      <c r="I781" s="672"/>
      <c r="J781" s="651"/>
      <c r="K781" s="666" t="str">
        <f t="shared" ref="K781" si="3248">W781</f>
        <v>PMTCT-3.1 Percentage of HIV-exposed infants receiving a virological test for HIV within 2 months of birth</v>
      </c>
      <c r="L781" s="666" t="str">
        <f t="shared" ref="L781" si="3249">V781</f>
        <v>HIV test status</v>
      </c>
      <c r="M781" s="651"/>
      <c r="N781" s="651"/>
      <c r="P781" s="189">
        <f t="shared" ref="P781" si="3250">IF(AND(EXACT(C781,C779),C779&lt;&gt;0),P779+1,0)</f>
        <v>0</v>
      </c>
      <c r="Q781" s="189" t="str">
        <f t="shared" ref="Q781" si="3251">IF(C781&lt;&gt;"",C781&amp;"-"&amp;P781,"")</f>
        <v>PMTCT-3.1 Pourcentage de nourrissons exposés au VIH ayant bénéficié d’un dépistage du VIH dans les 2 mois qui ont suivi leur naissance-0</v>
      </c>
      <c r="R781" s="189" t="str">
        <f t="array" ref="R781">IFERROR(IF(INDEX('Disaggregation Records'!$E$155:$E$385,MATCH(RIGHT(Q781,255),RIGHT('Disaggregation Records'!$D$155:$D$385,255),0))=0,"",INDEX('Disaggregation Records'!$E$155:$E$385,MATCH(RIGHT(Q781,255),RIGHT('Disaggregation Records'!$D$155:$D$385,255),0))),"")</f>
        <v>Résultat du test VIH</v>
      </c>
      <c r="S781" s="189" t="str">
        <f t="array" ref="S781">IFERROR(IF(INDEX('Disaggregation Records'!$F$155:$F$385,MATCH(RIGHT(Q781,255),RIGHT('Disaggregation Records'!$D$155:$D$385,255),0))=0,"",INDEX('Disaggregation Records'!$F$155:$F$385,MATCH(RIGHT(Q781,255),RIGHT('Disaggregation Records'!$D$155:$D$385,255),0))),"")</f>
        <v>Positif</v>
      </c>
      <c r="T781" s="189" t="str">
        <f t="array" ref="T781">IFERROR(IF(INDEX('Disaggregation Records'!$H$155:$H$385,MATCH(RIGHT(Q781,255),RIGHT('Disaggregation Records'!$D$155:$D$385,255),0))=0,"",INDEX('Disaggregation Records'!$H$155:$H$385,MATCH(RIGHT(Q781,255),RIGHT('Disaggregation Records'!$D$155:$D$385,255),0))),"")</f>
        <v>IDR-00914</v>
      </c>
      <c r="U781" s="189">
        <f t="shared" ref="U781" si="3252">U779+1</f>
        <v>1492</v>
      </c>
      <c r="V781" s="189" t="str">
        <f t="array" ref="V781">IFERROR(IF(INDEX('Disaggregation Records'!$I$155:$I$385,MATCH(RIGHT(Q781,255),RIGHT('Disaggregation Records'!$D$155:$D$385,255),0))=0,"",INDEX('Disaggregation Records'!$I$155:$I$385,MATCH(RIGHT(Q781,255),RIGHT('Disaggregation Records'!$D$155:$D$385,255),0))),"")</f>
        <v>HIV test status</v>
      </c>
      <c r="W781" s="189" t="str">
        <f>IFERROR(INDEX('Reference Records'!L$59:L$121,MATCH(LEFT(C781,255),'Reference Records'!E$59:E$121,0)),"")</f>
        <v>PMTCT-3.1 Percentage of HIV-exposed infants receiving a virological test for HIV within 2 months of birth</v>
      </c>
    </row>
    <row r="782" spans="1:23" s="189" customFormat="1" ht="40.200000000000003" customHeight="1" x14ac:dyDescent="0.3">
      <c r="A782" s="678"/>
      <c r="B782" s="675"/>
      <c r="C782" s="667"/>
      <c r="D782" s="677"/>
      <c r="E782" s="677"/>
      <c r="F782" s="202"/>
      <c r="G782" s="669"/>
      <c r="H782" s="671"/>
      <c r="I782" s="673"/>
      <c r="J782" s="652"/>
      <c r="K782" s="667"/>
      <c r="L782" s="667"/>
      <c r="M782" s="652"/>
      <c r="N782" s="652"/>
    </row>
    <row r="783" spans="1:23" s="189" customFormat="1" ht="40.200000000000003" customHeight="1" x14ac:dyDescent="0.3">
      <c r="A783" s="678" t="str">
        <f t="shared" ref="A783" ca="1" si="3253">INDIRECT("'update Helper'!C"&amp;U783)</f>
        <v>a163p000002zQagAAE</v>
      </c>
      <c r="B783" s="674">
        <v>5</v>
      </c>
      <c r="C783" s="666" t="str">
        <f>VLOOKUP(B783,'Coverage Indicators - Section D'!$A$9:$AU$70,47,FALSE)</f>
        <v>PMTCT-3.1 Pourcentage de nourrissons exposés au VIH ayant bénéficié d’un dépistage du VIH dans les 2 mois qui ont suivi leur naissance</v>
      </c>
      <c r="D783" s="676" t="str">
        <f t="shared" ref="D783" si="3254">R783</f>
        <v>Résultat du test VIH</v>
      </c>
      <c r="E783" s="676" t="str">
        <f t="shared" ref="E783" si="3255">S783</f>
        <v>Négatif</v>
      </c>
      <c r="F783" s="194"/>
      <c r="G783" s="668" t="str">
        <f t="shared" ref="G783" ca="1" si="3256">IF(OR(INDIRECT("'update Helper'!E"&amp;U783)=0,F783&lt;&gt;0,F784&lt;&gt;0),IF(IFERROR((F783/F784),"")="","",(F783/F784)),INDIRECT("'update Helper'!E"&amp;U783)/100)</f>
        <v/>
      </c>
      <c r="H783" s="670"/>
      <c r="I783" s="672"/>
      <c r="J783" s="651"/>
      <c r="K783" s="666" t="str">
        <f t="shared" ref="K783" si="3257">W783</f>
        <v>PMTCT-3.1 Percentage of HIV-exposed infants receiving a virological test for HIV within 2 months of birth</v>
      </c>
      <c r="L783" s="666" t="str">
        <f t="shared" ref="L783" si="3258">V783</f>
        <v>HIV test status</v>
      </c>
      <c r="M783" s="651"/>
      <c r="N783" s="651"/>
      <c r="P783" s="189">
        <f t="shared" ref="P783" si="3259">IF(AND(EXACT(C783,C781),C781&lt;&gt;0),P781+1,0)</f>
        <v>1</v>
      </c>
      <c r="Q783" s="189" t="str">
        <f t="shared" ref="Q783" si="3260">IF(C783&lt;&gt;"",C783&amp;"-"&amp;P783,"")</f>
        <v>PMTCT-3.1 Pourcentage de nourrissons exposés au VIH ayant bénéficié d’un dépistage du VIH dans les 2 mois qui ont suivi leur naissance-1</v>
      </c>
      <c r="R783" s="189" t="str">
        <f t="array" ref="R783">IFERROR(IF(INDEX('Disaggregation Records'!$E$155:$E$385,MATCH(RIGHT(Q783,255),RIGHT('Disaggregation Records'!$D$155:$D$385,255),0))=0,"",INDEX('Disaggregation Records'!$E$155:$E$385,MATCH(RIGHT(Q783,255),RIGHT('Disaggregation Records'!$D$155:$D$385,255),0))),"")</f>
        <v>Résultat du test VIH</v>
      </c>
      <c r="S783" s="189" t="str">
        <f t="array" ref="S783">IFERROR(IF(INDEX('Disaggregation Records'!$F$155:$F$385,MATCH(RIGHT(Q783,255),RIGHT('Disaggregation Records'!$D$155:$D$385,255),0))=0,"",INDEX('Disaggregation Records'!$F$155:$F$385,MATCH(RIGHT(Q783,255),RIGHT('Disaggregation Records'!$D$155:$D$385,255),0))),"")</f>
        <v>Négatif</v>
      </c>
      <c r="T783" s="189" t="str">
        <f t="array" ref="T783">IFERROR(IF(INDEX('Disaggregation Records'!$H$155:$H$385,MATCH(RIGHT(Q783,255),RIGHT('Disaggregation Records'!$D$155:$D$385,255),0))=0,"",INDEX('Disaggregation Records'!$H$155:$H$385,MATCH(RIGHT(Q783,255),RIGHT('Disaggregation Records'!$D$155:$D$385,255),0))),"")</f>
        <v>IDR-00915</v>
      </c>
      <c r="U783" s="189">
        <f t="shared" ref="U783" si="3261">U781+1</f>
        <v>1493</v>
      </c>
      <c r="V783" s="189" t="str">
        <f t="array" ref="V783">IFERROR(IF(INDEX('Disaggregation Records'!$I$155:$I$385,MATCH(RIGHT(Q783,255),RIGHT('Disaggregation Records'!$D$155:$D$385,255),0))=0,"",INDEX('Disaggregation Records'!$I$155:$I$385,MATCH(RIGHT(Q783,255),RIGHT('Disaggregation Records'!$D$155:$D$385,255),0))),"")</f>
        <v>HIV test status</v>
      </c>
      <c r="W783" s="189" t="str">
        <f>IFERROR(INDEX('Reference Records'!L$59:L$121,MATCH(LEFT(C783,255),'Reference Records'!E$59:E$121,0)),"")</f>
        <v>PMTCT-3.1 Percentage of HIV-exposed infants receiving a virological test for HIV within 2 months of birth</v>
      </c>
    </row>
    <row r="784" spans="1:23" s="189" customFormat="1" ht="40.200000000000003" customHeight="1" x14ac:dyDescent="0.3">
      <c r="A784" s="678"/>
      <c r="B784" s="675"/>
      <c r="C784" s="667"/>
      <c r="D784" s="677"/>
      <c r="E784" s="677"/>
      <c r="F784" s="202"/>
      <c r="G784" s="669"/>
      <c r="H784" s="671"/>
      <c r="I784" s="673"/>
      <c r="J784" s="652"/>
      <c r="K784" s="667"/>
      <c r="L784" s="667"/>
      <c r="M784" s="652"/>
      <c r="N784" s="652"/>
    </row>
    <row r="785" spans="1:23" s="189" customFormat="1" ht="40.200000000000003" customHeight="1" x14ac:dyDescent="0.3">
      <c r="A785" s="678" t="str">
        <f t="shared" ref="A785" ca="1" si="3262">INDIRECT("'update Helper'!C"&amp;U785)</f>
        <v>a163p000002zQahAAE</v>
      </c>
      <c r="B785" s="674">
        <v>5</v>
      </c>
      <c r="C785" s="666" t="str">
        <f>VLOOKUP(B785,'Coverage Indicators - Section D'!$A$9:$AU$70,47,FALSE)</f>
        <v>PMTCT-3.1 Pourcentage de nourrissons exposés au VIH ayant bénéficié d’un dépistage du VIH dans les 2 mois qui ont suivi leur naissance</v>
      </c>
      <c r="D785" s="676" t="str">
        <f t="shared" ref="D785" si="3263">R785</f>
        <v>Résultat du test VIH</v>
      </c>
      <c r="E785" s="676" t="str">
        <f t="shared" ref="E785" si="3264">S785</f>
        <v>Indéterminé</v>
      </c>
      <c r="F785" s="194"/>
      <c r="G785" s="668" t="str">
        <f t="shared" ref="G785" ca="1" si="3265">IF(OR(INDIRECT("'update Helper'!E"&amp;U785)=0,F785&lt;&gt;0,F786&lt;&gt;0),IF(IFERROR((F785/F786),"")="","",(F785/F786)),INDIRECT("'update Helper'!E"&amp;U785)/100)</f>
        <v/>
      </c>
      <c r="H785" s="670"/>
      <c r="I785" s="672"/>
      <c r="J785" s="651"/>
      <c r="K785" s="666" t="str">
        <f t="shared" ref="K785" si="3266">W785</f>
        <v>PMTCT-3.1 Percentage of HIV-exposed infants receiving a virological test for HIV within 2 months of birth</v>
      </c>
      <c r="L785" s="666" t="str">
        <f t="shared" ref="L785" si="3267">V785</f>
        <v>HIV test status</v>
      </c>
      <c r="M785" s="651"/>
      <c r="N785" s="651"/>
      <c r="P785" s="189">
        <f t="shared" ref="P785" si="3268">IF(AND(EXACT(C785,C783),C783&lt;&gt;0),P783+1,0)</f>
        <v>2</v>
      </c>
      <c r="Q785" s="189" t="str">
        <f t="shared" ref="Q785" si="3269">IF(C785&lt;&gt;"",C785&amp;"-"&amp;P785,"")</f>
        <v>PMTCT-3.1 Pourcentage de nourrissons exposés au VIH ayant bénéficié d’un dépistage du VIH dans les 2 mois qui ont suivi leur naissance-2</v>
      </c>
      <c r="R785" s="189" t="str">
        <f t="array" ref="R785">IFERROR(IF(INDEX('Disaggregation Records'!$E$155:$E$385,MATCH(RIGHT(Q785,255),RIGHT('Disaggregation Records'!$D$155:$D$385,255),0))=0,"",INDEX('Disaggregation Records'!$E$155:$E$385,MATCH(RIGHT(Q785,255),RIGHT('Disaggregation Records'!$D$155:$D$385,255),0))),"")</f>
        <v>Résultat du test VIH</v>
      </c>
      <c r="S785" s="189" t="str">
        <f t="array" ref="S785">IFERROR(IF(INDEX('Disaggregation Records'!$F$155:$F$385,MATCH(RIGHT(Q785,255),RIGHT('Disaggregation Records'!$D$155:$D$385,255),0))=0,"",INDEX('Disaggregation Records'!$F$155:$F$385,MATCH(RIGHT(Q785,255),RIGHT('Disaggregation Records'!$D$155:$D$385,255),0))),"")</f>
        <v>Indéterminé</v>
      </c>
      <c r="T785" s="189" t="str">
        <f t="array" ref="T785">IFERROR(IF(INDEX('Disaggregation Records'!$H$155:$H$385,MATCH(RIGHT(Q785,255),RIGHT('Disaggregation Records'!$D$155:$D$385,255),0))=0,"",INDEX('Disaggregation Records'!$H$155:$H$385,MATCH(RIGHT(Q785,255),RIGHT('Disaggregation Records'!$D$155:$D$385,255),0))),"")</f>
        <v>IDR-00916</v>
      </c>
      <c r="U785" s="189">
        <f t="shared" ref="U785" si="3270">U783+1</f>
        <v>1494</v>
      </c>
      <c r="V785" s="189" t="str">
        <f t="array" ref="V785">IFERROR(IF(INDEX('Disaggregation Records'!$I$155:$I$385,MATCH(RIGHT(Q785,255),RIGHT('Disaggregation Records'!$D$155:$D$385,255),0))=0,"",INDEX('Disaggregation Records'!$I$155:$I$385,MATCH(RIGHT(Q785,255),RIGHT('Disaggregation Records'!$D$155:$D$385,255),0))),"")</f>
        <v>HIV test status</v>
      </c>
      <c r="W785" s="189" t="str">
        <f>IFERROR(INDEX('Reference Records'!L$59:L$121,MATCH(LEFT(C785,255),'Reference Records'!E$59:E$121,0)),"")</f>
        <v>PMTCT-3.1 Percentage of HIV-exposed infants receiving a virological test for HIV within 2 months of birth</v>
      </c>
    </row>
    <row r="786" spans="1:23" s="189" customFormat="1" ht="40.200000000000003" customHeight="1" x14ac:dyDescent="0.3">
      <c r="A786" s="678"/>
      <c r="B786" s="675"/>
      <c r="C786" s="667"/>
      <c r="D786" s="677"/>
      <c r="E786" s="677"/>
      <c r="F786" s="202"/>
      <c r="G786" s="669"/>
      <c r="H786" s="671"/>
      <c r="I786" s="673"/>
      <c r="J786" s="652"/>
      <c r="K786" s="667"/>
      <c r="L786" s="667"/>
      <c r="M786" s="652"/>
      <c r="N786" s="652"/>
    </row>
    <row r="787" spans="1:23" s="189" customFormat="1" ht="40.200000000000003" customHeight="1" x14ac:dyDescent="0.3">
      <c r="A787" s="678" t="str">
        <f t="shared" ref="A787" ca="1" si="3271">INDIRECT("'update Helper'!C"&amp;U787)</f>
        <v>a163p000002zQaiAAE</v>
      </c>
      <c r="B787" s="674">
        <v>5</v>
      </c>
      <c r="C787" s="666" t="str">
        <f>VLOOKUP(B787,'Coverage Indicators - Section D'!$A$9:$AU$70,47,FALSE)</f>
        <v>PMTCT-3.1 Pourcentage de nourrissons exposés au VIH ayant bénéficié d’un dépistage du VIH dans les 2 mois qui ont suivi leur naissance</v>
      </c>
      <c r="D787" s="676" t="str">
        <f t="shared" ref="D787" si="3272">R787</f>
        <v/>
      </c>
      <c r="E787" s="676" t="str">
        <f t="shared" ref="E787" si="3273">S787</f>
        <v/>
      </c>
      <c r="F787" s="194"/>
      <c r="G787" s="668" t="str">
        <f t="shared" ref="G787" ca="1" si="3274">IF(OR(INDIRECT("'update Helper'!E"&amp;U787)=0,F787&lt;&gt;0,F788&lt;&gt;0),IF(IFERROR((F787/F788),"")="","",(F787/F788)),INDIRECT("'update Helper'!E"&amp;U787)/100)</f>
        <v/>
      </c>
      <c r="H787" s="670"/>
      <c r="I787" s="672"/>
      <c r="J787" s="651"/>
      <c r="K787" s="666" t="str">
        <f t="shared" ref="K787" si="3275">W787</f>
        <v>PMTCT-3.1 Percentage of HIV-exposed infants receiving a virological test for HIV within 2 months of birth</v>
      </c>
      <c r="L787" s="666" t="str">
        <f t="shared" ref="L787" si="3276">V787</f>
        <v/>
      </c>
      <c r="M787" s="651"/>
      <c r="N787" s="651"/>
      <c r="P787" s="189">
        <f t="shared" ref="P787" si="3277">IF(AND(EXACT(C787,C785),C785&lt;&gt;0),P785+1,0)</f>
        <v>3</v>
      </c>
      <c r="Q787" s="189" t="str">
        <f t="shared" ref="Q787" si="3278">IF(C787&lt;&gt;"",C787&amp;"-"&amp;P787,"")</f>
        <v>PMTCT-3.1 Pourcentage de nourrissons exposés au VIH ayant bénéficié d’un dépistage du VIH dans les 2 mois qui ont suivi leur naissance-3</v>
      </c>
      <c r="R787" s="189" t="str">
        <f t="array" ref="R787">IFERROR(IF(INDEX('Disaggregation Records'!$E$155:$E$385,MATCH(RIGHT(Q787,255),RIGHT('Disaggregation Records'!$D$155:$D$385,255),0))=0,"",INDEX('Disaggregation Records'!$E$155:$E$385,MATCH(RIGHT(Q787,255),RIGHT('Disaggregation Records'!$D$155:$D$385,255),0))),"")</f>
        <v/>
      </c>
      <c r="S787" s="189" t="str">
        <f t="array" ref="S787">IFERROR(IF(INDEX('Disaggregation Records'!$F$155:$F$385,MATCH(RIGHT(Q787,255),RIGHT('Disaggregation Records'!$D$155:$D$385,255),0))=0,"",INDEX('Disaggregation Records'!$F$155:$F$385,MATCH(RIGHT(Q787,255),RIGHT('Disaggregation Records'!$D$155:$D$385,255),0))),"")</f>
        <v/>
      </c>
      <c r="T787" s="189" t="str">
        <f t="array" ref="T787">IFERROR(IF(INDEX('Disaggregation Records'!$H$155:$H$385,MATCH(RIGHT(Q787,255),RIGHT('Disaggregation Records'!$D$155:$D$385,255),0))=0,"",INDEX('Disaggregation Records'!$H$155:$H$385,MATCH(RIGHT(Q787,255),RIGHT('Disaggregation Records'!$D$155:$D$385,255),0))),"")</f>
        <v/>
      </c>
      <c r="U787" s="189">
        <f t="shared" ref="U787" si="3279">U785+1</f>
        <v>1495</v>
      </c>
      <c r="V787" s="189" t="str">
        <f t="array" ref="V787">IFERROR(IF(INDEX('Disaggregation Records'!$I$155:$I$385,MATCH(RIGHT(Q787,255),RIGHT('Disaggregation Records'!$D$155:$D$385,255),0))=0,"",INDEX('Disaggregation Records'!$I$155:$I$385,MATCH(RIGHT(Q787,255),RIGHT('Disaggregation Records'!$D$155:$D$385,255),0))),"")</f>
        <v/>
      </c>
      <c r="W787" s="189" t="str">
        <f>IFERROR(INDEX('Reference Records'!L$59:L$121,MATCH(LEFT(C787,255),'Reference Records'!E$59:E$121,0)),"")</f>
        <v>PMTCT-3.1 Percentage of HIV-exposed infants receiving a virological test for HIV within 2 months of birth</v>
      </c>
    </row>
    <row r="788" spans="1:23" s="189" customFormat="1" ht="40.200000000000003" customHeight="1" x14ac:dyDescent="0.3">
      <c r="A788" s="678"/>
      <c r="B788" s="675"/>
      <c r="C788" s="667"/>
      <c r="D788" s="677"/>
      <c r="E788" s="677"/>
      <c r="F788" s="202"/>
      <c r="G788" s="669"/>
      <c r="H788" s="671"/>
      <c r="I788" s="673"/>
      <c r="J788" s="652"/>
      <c r="K788" s="667"/>
      <c r="L788" s="667"/>
      <c r="M788" s="652"/>
      <c r="N788" s="652"/>
    </row>
    <row r="789" spans="1:23" s="189" customFormat="1" ht="40.200000000000003" customHeight="1" x14ac:dyDescent="0.3">
      <c r="A789" s="678" t="str">
        <f t="shared" ref="A789" ca="1" si="3280">INDIRECT("'update Helper'!C"&amp;U789)</f>
        <v>a163p000002zQajAAE</v>
      </c>
      <c r="B789" s="674">
        <v>5</v>
      </c>
      <c r="C789" s="666" t="str">
        <f>VLOOKUP(B789,'Coverage Indicators - Section D'!$A$9:$AU$70,47,FALSE)</f>
        <v>PMTCT-3.1 Pourcentage de nourrissons exposés au VIH ayant bénéficié d’un dépistage du VIH dans les 2 mois qui ont suivi leur naissance</v>
      </c>
      <c r="D789" s="676" t="str">
        <f t="shared" ref="D789" si="3281">R789</f>
        <v/>
      </c>
      <c r="E789" s="676" t="str">
        <f t="shared" ref="E789" si="3282">S789</f>
        <v/>
      </c>
      <c r="F789" s="194"/>
      <c r="G789" s="668" t="str">
        <f t="shared" ref="G789" ca="1" si="3283">IF(OR(INDIRECT("'update Helper'!E"&amp;U789)=0,F789&lt;&gt;0,F790&lt;&gt;0),IF(IFERROR((F789/F790),"")="","",(F789/F790)),INDIRECT("'update Helper'!E"&amp;U789)/100)</f>
        <v/>
      </c>
      <c r="H789" s="670"/>
      <c r="I789" s="672"/>
      <c r="J789" s="651"/>
      <c r="K789" s="666" t="str">
        <f t="shared" ref="K789" si="3284">W789</f>
        <v>PMTCT-3.1 Percentage of HIV-exposed infants receiving a virological test for HIV within 2 months of birth</v>
      </c>
      <c r="L789" s="666" t="str">
        <f t="shared" ref="L789" si="3285">V789</f>
        <v/>
      </c>
      <c r="M789" s="651"/>
      <c r="N789" s="651"/>
      <c r="P789" s="189">
        <f t="shared" ref="P789" si="3286">IF(AND(EXACT(C789,C787),C787&lt;&gt;0),P787+1,0)</f>
        <v>4</v>
      </c>
      <c r="Q789" s="189" t="str">
        <f t="shared" ref="Q789" si="3287">IF(C789&lt;&gt;"",C789&amp;"-"&amp;P789,"")</f>
        <v>PMTCT-3.1 Pourcentage de nourrissons exposés au VIH ayant bénéficié d’un dépistage du VIH dans les 2 mois qui ont suivi leur naissance-4</v>
      </c>
      <c r="R789" s="189" t="str">
        <f t="array" ref="R789">IFERROR(IF(INDEX('Disaggregation Records'!$E$155:$E$385,MATCH(RIGHT(Q789,255),RIGHT('Disaggregation Records'!$D$155:$D$385,255),0))=0,"",INDEX('Disaggregation Records'!$E$155:$E$385,MATCH(RIGHT(Q789,255),RIGHT('Disaggregation Records'!$D$155:$D$385,255),0))),"")</f>
        <v/>
      </c>
      <c r="S789" s="189" t="str">
        <f t="array" ref="S789">IFERROR(IF(INDEX('Disaggregation Records'!$F$155:$F$385,MATCH(RIGHT(Q789,255),RIGHT('Disaggregation Records'!$D$155:$D$385,255),0))=0,"",INDEX('Disaggregation Records'!$F$155:$F$385,MATCH(RIGHT(Q789,255),RIGHT('Disaggregation Records'!$D$155:$D$385,255),0))),"")</f>
        <v/>
      </c>
      <c r="T789" s="189" t="str">
        <f t="array" ref="T789">IFERROR(IF(INDEX('Disaggregation Records'!$H$155:$H$385,MATCH(RIGHT(Q789,255),RIGHT('Disaggregation Records'!$D$155:$D$385,255),0))=0,"",INDEX('Disaggregation Records'!$H$155:$H$385,MATCH(RIGHT(Q789,255),RIGHT('Disaggregation Records'!$D$155:$D$385,255),0))),"")</f>
        <v/>
      </c>
      <c r="U789" s="189">
        <f t="shared" ref="U789" si="3288">U787+1</f>
        <v>1496</v>
      </c>
      <c r="V789" s="189" t="str">
        <f t="array" ref="V789">IFERROR(IF(INDEX('Disaggregation Records'!$I$155:$I$385,MATCH(RIGHT(Q789,255),RIGHT('Disaggregation Records'!$D$155:$D$385,255),0))=0,"",INDEX('Disaggregation Records'!$I$155:$I$385,MATCH(RIGHT(Q789,255),RIGHT('Disaggregation Records'!$D$155:$D$385,255),0))),"")</f>
        <v/>
      </c>
      <c r="W789" s="189" t="str">
        <f>IFERROR(INDEX('Reference Records'!L$59:L$121,MATCH(LEFT(C789,255),'Reference Records'!E$59:E$121,0)),"")</f>
        <v>PMTCT-3.1 Percentage of HIV-exposed infants receiving a virological test for HIV within 2 months of birth</v>
      </c>
    </row>
    <row r="790" spans="1:23" s="189" customFormat="1" ht="40.200000000000003" customHeight="1" x14ac:dyDescent="0.3">
      <c r="A790" s="678"/>
      <c r="B790" s="675"/>
      <c r="C790" s="667"/>
      <c r="D790" s="677"/>
      <c r="E790" s="677"/>
      <c r="F790" s="202"/>
      <c r="G790" s="669"/>
      <c r="H790" s="671"/>
      <c r="I790" s="673"/>
      <c r="J790" s="652"/>
      <c r="K790" s="667"/>
      <c r="L790" s="667"/>
      <c r="M790" s="652"/>
      <c r="N790" s="652"/>
    </row>
    <row r="791" spans="1:23" s="189" customFormat="1" ht="40.200000000000003" customHeight="1" x14ac:dyDescent="0.3">
      <c r="A791" s="678" t="str">
        <f t="shared" ref="A791" ca="1" si="3289">INDIRECT("'update Helper'!C"&amp;U791)</f>
        <v>a163p000002zQakAAE</v>
      </c>
      <c r="B791" s="674">
        <v>5</v>
      </c>
      <c r="C791" s="666" t="str">
        <f>VLOOKUP(B791,'Coverage Indicators - Section D'!$A$9:$AU$70,47,FALSE)</f>
        <v>PMTCT-3.1 Pourcentage de nourrissons exposés au VIH ayant bénéficié d’un dépistage du VIH dans les 2 mois qui ont suivi leur naissance</v>
      </c>
      <c r="D791" s="676" t="str">
        <f t="shared" ref="D791" si="3290">R791</f>
        <v/>
      </c>
      <c r="E791" s="676" t="str">
        <f t="shared" ref="E791" si="3291">S791</f>
        <v/>
      </c>
      <c r="F791" s="194"/>
      <c r="G791" s="668" t="str">
        <f t="shared" ref="G791" ca="1" si="3292">IF(OR(INDIRECT("'update Helper'!E"&amp;U791)=0,F791&lt;&gt;0,F792&lt;&gt;0),IF(IFERROR((F791/F792),"")="","",(F791/F792)),INDIRECT("'update Helper'!E"&amp;U791)/100)</f>
        <v/>
      </c>
      <c r="H791" s="670"/>
      <c r="I791" s="672"/>
      <c r="J791" s="651"/>
      <c r="K791" s="666" t="str">
        <f t="shared" ref="K791" si="3293">W791</f>
        <v>PMTCT-3.1 Percentage of HIV-exposed infants receiving a virological test for HIV within 2 months of birth</v>
      </c>
      <c r="L791" s="666" t="str">
        <f t="shared" ref="L791" si="3294">V791</f>
        <v/>
      </c>
      <c r="M791" s="651"/>
      <c r="N791" s="651"/>
      <c r="P791" s="189">
        <f t="shared" ref="P791" si="3295">IF(AND(EXACT(C791,C789),C789&lt;&gt;0),P789+1,0)</f>
        <v>5</v>
      </c>
      <c r="Q791" s="189" t="str">
        <f t="shared" ref="Q791" si="3296">IF(C791&lt;&gt;"",C791&amp;"-"&amp;P791,"")</f>
        <v>PMTCT-3.1 Pourcentage de nourrissons exposés au VIH ayant bénéficié d’un dépistage du VIH dans les 2 mois qui ont suivi leur naissance-5</v>
      </c>
      <c r="R791" s="189" t="str">
        <f t="array" ref="R791">IFERROR(IF(INDEX('Disaggregation Records'!$E$155:$E$385,MATCH(RIGHT(Q791,255),RIGHT('Disaggregation Records'!$D$155:$D$385,255),0))=0,"",INDEX('Disaggregation Records'!$E$155:$E$385,MATCH(RIGHT(Q791,255),RIGHT('Disaggregation Records'!$D$155:$D$385,255),0))),"")</f>
        <v/>
      </c>
      <c r="S791" s="189" t="str">
        <f t="array" ref="S791">IFERROR(IF(INDEX('Disaggregation Records'!$F$155:$F$385,MATCH(RIGHT(Q791,255),RIGHT('Disaggregation Records'!$D$155:$D$385,255),0))=0,"",INDEX('Disaggregation Records'!$F$155:$F$385,MATCH(RIGHT(Q791,255),RIGHT('Disaggregation Records'!$D$155:$D$385,255),0))),"")</f>
        <v/>
      </c>
      <c r="T791" s="189" t="str">
        <f t="array" ref="T791">IFERROR(IF(INDEX('Disaggregation Records'!$H$155:$H$385,MATCH(RIGHT(Q791,255),RIGHT('Disaggregation Records'!$D$155:$D$385,255),0))=0,"",INDEX('Disaggregation Records'!$H$155:$H$385,MATCH(RIGHT(Q791,255),RIGHT('Disaggregation Records'!$D$155:$D$385,255),0))),"")</f>
        <v/>
      </c>
      <c r="U791" s="189">
        <f t="shared" ref="U791" si="3297">U789+1</f>
        <v>1497</v>
      </c>
      <c r="V791" s="189" t="str">
        <f t="array" ref="V791">IFERROR(IF(INDEX('Disaggregation Records'!$I$155:$I$385,MATCH(RIGHT(Q791,255),RIGHT('Disaggregation Records'!$D$155:$D$385,255),0))=0,"",INDEX('Disaggregation Records'!$I$155:$I$385,MATCH(RIGHT(Q791,255),RIGHT('Disaggregation Records'!$D$155:$D$385,255),0))),"")</f>
        <v/>
      </c>
      <c r="W791" s="189" t="str">
        <f>IFERROR(INDEX('Reference Records'!L$59:L$121,MATCH(LEFT(C791,255),'Reference Records'!E$59:E$121,0)),"")</f>
        <v>PMTCT-3.1 Percentage of HIV-exposed infants receiving a virological test for HIV within 2 months of birth</v>
      </c>
    </row>
    <row r="792" spans="1:23" s="189" customFormat="1" ht="40.200000000000003" customHeight="1" x14ac:dyDescent="0.3">
      <c r="A792" s="678"/>
      <c r="B792" s="675"/>
      <c r="C792" s="667"/>
      <c r="D792" s="677"/>
      <c r="E792" s="677"/>
      <c r="F792" s="202"/>
      <c r="G792" s="669"/>
      <c r="H792" s="671"/>
      <c r="I792" s="673"/>
      <c r="J792" s="652"/>
      <c r="K792" s="667"/>
      <c r="L792" s="667"/>
      <c r="M792" s="652"/>
      <c r="N792" s="652"/>
    </row>
    <row r="793" spans="1:23" s="189" customFormat="1" ht="40.200000000000003" customHeight="1" x14ac:dyDescent="0.3">
      <c r="A793" s="678" t="str">
        <f t="shared" ref="A793" ca="1" si="3298">INDIRECT("'update Helper'!C"&amp;U793)</f>
        <v>a163p000002zQalAAE</v>
      </c>
      <c r="B793" s="674">
        <v>5</v>
      </c>
      <c r="C793" s="666" t="str">
        <f>VLOOKUP(B793,'Coverage Indicators - Section D'!$A$9:$AU$70,47,FALSE)</f>
        <v>PMTCT-3.1 Pourcentage de nourrissons exposés au VIH ayant bénéficié d’un dépistage du VIH dans les 2 mois qui ont suivi leur naissance</v>
      </c>
      <c r="D793" s="676" t="str">
        <f t="shared" ref="D793" si="3299">R793</f>
        <v/>
      </c>
      <c r="E793" s="676" t="str">
        <f t="shared" ref="E793" si="3300">S793</f>
        <v/>
      </c>
      <c r="F793" s="194"/>
      <c r="G793" s="668" t="str">
        <f t="shared" ref="G793" ca="1" si="3301">IF(OR(INDIRECT("'update Helper'!E"&amp;U793)=0,F793&lt;&gt;0,F794&lt;&gt;0),IF(IFERROR((F793/F794),"")="","",(F793/F794)),INDIRECT("'update Helper'!E"&amp;U793)/100)</f>
        <v/>
      </c>
      <c r="H793" s="670"/>
      <c r="I793" s="672"/>
      <c r="J793" s="651"/>
      <c r="K793" s="666" t="str">
        <f t="shared" ref="K793" si="3302">W793</f>
        <v>PMTCT-3.1 Percentage of HIV-exposed infants receiving a virological test for HIV within 2 months of birth</v>
      </c>
      <c r="L793" s="666" t="str">
        <f t="shared" ref="L793" si="3303">V793</f>
        <v/>
      </c>
      <c r="M793" s="651"/>
      <c r="N793" s="651"/>
      <c r="P793" s="189">
        <f t="shared" ref="P793" si="3304">IF(AND(EXACT(C793,C791),C791&lt;&gt;0),P791+1,0)</f>
        <v>6</v>
      </c>
      <c r="Q793" s="189" t="str">
        <f t="shared" ref="Q793" si="3305">IF(C793&lt;&gt;"",C793&amp;"-"&amp;P793,"")</f>
        <v>PMTCT-3.1 Pourcentage de nourrissons exposés au VIH ayant bénéficié d’un dépistage du VIH dans les 2 mois qui ont suivi leur naissance-6</v>
      </c>
      <c r="R793" s="189" t="str">
        <f t="array" ref="R793">IFERROR(IF(INDEX('Disaggregation Records'!$E$155:$E$385,MATCH(RIGHT(Q793,255),RIGHT('Disaggregation Records'!$D$155:$D$385,255),0))=0,"",INDEX('Disaggregation Records'!$E$155:$E$385,MATCH(RIGHT(Q793,255),RIGHT('Disaggregation Records'!$D$155:$D$385,255),0))),"")</f>
        <v/>
      </c>
      <c r="S793" s="189" t="str">
        <f t="array" ref="S793">IFERROR(IF(INDEX('Disaggregation Records'!$F$155:$F$385,MATCH(RIGHT(Q793,255),RIGHT('Disaggregation Records'!$D$155:$D$385,255),0))=0,"",INDEX('Disaggregation Records'!$F$155:$F$385,MATCH(RIGHT(Q793,255),RIGHT('Disaggregation Records'!$D$155:$D$385,255),0))),"")</f>
        <v/>
      </c>
      <c r="T793" s="189" t="str">
        <f t="array" ref="T793">IFERROR(IF(INDEX('Disaggregation Records'!$H$155:$H$385,MATCH(RIGHT(Q793,255),RIGHT('Disaggregation Records'!$D$155:$D$385,255),0))=0,"",INDEX('Disaggregation Records'!$H$155:$H$385,MATCH(RIGHT(Q793,255),RIGHT('Disaggregation Records'!$D$155:$D$385,255),0))),"")</f>
        <v/>
      </c>
      <c r="U793" s="189">
        <f t="shared" ref="U793" si="3306">U791+1</f>
        <v>1498</v>
      </c>
      <c r="V793" s="189" t="str">
        <f t="array" ref="V793">IFERROR(IF(INDEX('Disaggregation Records'!$I$155:$I$385,MATCH(RIGHT(Q793,255),RIGHT('Disaggregation Records'!$D$155:$D$385,255),0))=0,"",INDEX('Disaggregation Records'!$I$155:$I$385,MATCH(RIGHT(Q793,255),RIGHT('Disaggregation Records'!$D$155:$D$385,255),0))),"")</f>
        <v/>
      </c>
      <c r="W793" s="189" t="str">
        <f>IFERROR(INDEX('Reference Records'!L$59:L$121,MATCH(LEFT(C793,255),'Reference Records'!E$59:E$121,0)),"")</f>
        <v>PMTCT-3.1 Percentage of HIV-exposed infants receiving a virological test for HIV within 2 months of birth</v>
      </c>
    </row>
    <row r="794" spans="1:23" s="189" customFormat="1" ht="40.200000000000003" customHeight="1" x14ac:dyDescent="0.3">
      <c r="A794" s="678"/>
      <c r="B794" s="675"/>
      <c r="C794" s="667"/>
      <c r="D794" s="677"/>
      <c r="E794" s="677"/>
      <c r="F794" s="202"/>
      <c r="G794" s="669"/>
      <c r="H794" s="671"/>
      <c r="I794" s="673"/>
      <c r="J794" s="652"/>
      <c r="K794" s="667"/>
      <c r="L794" s="667"/>
      <c r="M794" s="652"/>
      <c r="N794" s="652"/>
    </row>
    <row r="795" spans="1:23" s="189" customFormat="1" ht="40.200000000000003" customHeight="1" x14ac:dyDescent="0.3">
      <c r="A795" s="678" t="str">
        <f t="shared" ref="A795" ca="1" si="3307">INDIRECT("'update Helper'!C"&amp;U795)</f>
        <v>a163p000002zQamAAE</v>
      </c>
      <c r="B795" s="674">
        <v>5</v>
      </c>
      <c r="C795" s="666" t="str">
        <f>VLOOKUP(B795,'Coverage Indicators - Section D'!$A$9:$AU$70,47,FALSE)</f>
        <v>PMTCT-3.1 Pourcentage de nourrissons exposés au VIH ayant bénéficié d’un dépistage du VIH dans les 2 mois qui ont suivi leur naissance</v>
      </c>
      <c r="D795" s="676" t="str">
        <f t="shared" ref="D795" si="3308">R795</f>
        <v/>
      </c>
      <c r="E795" s="676" t="str">
        <f t="shared" ref="E795" si="3309">S795</f>
        <v/>
      </c>
      <c r="F795" s="194"/>
      <c r="G795" s="668" t="str">
        <f t="shared" ref="G795" ca="1" si="3310">IF(OR(INDIRECT("'update Helper'!E"&amp;U795)=0,F795&lt;&gt;0,F796&lt;&gt;0),IF(IFERROR((F795/F796),"")="","",(F795/F796)),INDIRECT("'update Helper'!E"&amp;U795)/100)</f>
        <v/>
      </c>
      <c r="H795" s="670"/>
      <c r="I795" s="672"/>
      <c r="J795" s="651"/>
      <c r="K795" s="666" t="str">
        <f t="shared" ref="K795" si="3311">W795</f>
        <v>PMTCT-3.1 Percentage of HIV-exposed infants receiving a virological test for HIV within 2 months of birth</v>
      </c>
      <c r="L795" s="666" t="str">
        <f t="shared" ref="L795" si="3312">V795</f>
        <v/>
      </c>
      <c r="M795" s="651"/>
      <c r="N795" s="651"/>
      <c r="P795" s="189">
        <f t="shared" ref="P795" si="3313">IF(AND(EXACT(C795,C793),C793&lt;&gt;0),P793+1,0)</f>
        <v>7</v>
      </c>
      <c r="Q795" s="189" t="str">
        <f t="shared" ref="Q795" si="3314">IF(C795&lt;&gt;"",C795&amp;"-"&amp;P795,"")</f>
        <v>PMTCT-3.1 Pourcentage de nourrissons exposés au VIH ayant bénéficié d’un dépistage du VIH dans les 2 mois qui ont suivi leur naissance-7</v>
      </c>
      <c r="R795" s="189" t="str">
        <f t="array" ref="R795">IFERROR(IF(INDEX('Disaggregation Records'!$E$155:$E$385,MATCH(RIGHT(Q795,255),RIGHT('Disaggregation Records'!$D$155:$D$385,255),0))=0,"",INDEX('Disaggregation Records'!$E$155:$E$385,MATCH(RIGHT(Q795,255),RIGHT('Disaggregation Records'!$D$155:$D$385,255),0))),"")</f>
        <v/>
      </c>
      <c r="S795" s="189" t="str">
        <f t="array" ref="S795">IFERROR(IF(INDEX('Disaggregation Records'!$F$155:$F$385,MATCH(RIGHT(Q795,255),RIGHT('Disaggregation Records'!$D$155:$D$385,255),0))=0,"",INDEX('Disaggregation Records'!$F$155:$F$385,MATCH(RIGHT(Q795,255),RIGHT('Disaggregation Records'!$D$155:$D$385,255),0))),"")</f>
        <v/>
      </c>
      <c r="T795" s="189" t="str">
        <f t="array" ref="T795">IFERROR(IF(INDEX('Disaggregation Records'!$H$155:$H$385,MATCH(RIGHT(Q795,255),RIGHT('Disaggregation Records'!$D$155:$D$385,255),0))=0,"",INDEX('Disaggregation Records'!$H$155:$H$385,MATCH(RIGHT(Q795,255),RIGHT('Disaggregation Records'!$D$155:$D$385,255),0))),"")</f>
        <v/>
      </c>
      <c r="U795" s="189">
        <f t="shared" ref="U795" si="3315">U793+1</f>
        <v>1499</v>
      </c>
      <c r="V795" s="189" t="str">
        <f t="array" ref="V795">IFERROR(IF(INDEX('Disaggregation Records'!$I$155:$I$385,MATCH(RIGHT(Q795,255),RIGHT('Disaggregation Records'!$D$155:$D$385,255),0))=0,"",INDEX('Disaggregation Records'!$I$155:$I$385,MATCH(RIGHT(Q795,255),RIGHT('Disaggregation Records'!$D$155:$D$385,255),0))),"")</f>
        <v/>
      </c>
      <c r="W795" s="189" t="str">
        <f>IFERROR(INDEX('Reference Records'!L$59:L$121,MATCH(LEFT(C795,255),'Reference Records'!E$59:E$121,0)),"")</f>
        <v>PMTCT-3.1 Percentage of HIV-exposed infants receiving a virological test for HIV within 2 months of birth</v>
      </c>
    </row>
    <row r="796" spans="1:23" s="189" customFormat="1" ht="40.200000000000003" customHeight="1" x14ac:dyDescent="0.3">
      <c r="A796" s="678"/>
      <c r="B796" s="675"/>
      <c r="C796" s="667"/>
      <c r="D796" s="677"/>
      <c r="E796" s="677"/>
      <c r="F796" s="202"/>
      <c r="G796" s="669"/>
      <c r="H796" s="671"/>
      <c r="I796" s="673"/>
      <c r="J796" s="652"/>
      <c r="K796" s="667"/>
      <c r="L796" s="667"/>
      <c r="M796" s="652"/>
      <c r="N796" s="652"/>
    </row>
    <row r="797" spans="1:23" s="189" customFormat="1" ht="40.200000000000003" customHeight="1" x14ac:dyDescent="0.3">
      <c r="A797" s="678" t="str">
        <f t="shared" ref="A797" ca="1" si="3316">INDIRECT("'update Helper'!C"&amp;U797)</f>
        <v>a163p000002zQanAAE</v>
      </c>
      <c r="B797" s="674">
        <v>5</v>
      </c>
      <c r="C797" s="666" t="str">
        <f>VLOOKUP(B797,'Coverage Indicators - Section D'!$A$9:$AU$70,47,FALSE)</f>
        <v>PMTCT-3.1 Pourcentage de nourrissons exposés au VIH ayant bénéficié d’un dépistage du VIH dans les 2 mois qui ont suivi leur naissance</v>
      </c>
      <c r="D797" s="676" t="str">
        <f t="shared" ref="D797" si="3317">R797</f>
        <v/>
      </c>
      <c r="E797" s="676" t="str">
        <f t="shared" ref="E797" si="3318">S797</f>
        <v/>
      </c>
      <c r="F797" s="194"/>
      <c r="G797" s="668" t="str">
        <f t="shared" ref="G797" ca="1" si="3319">IF(OR(INDIRECT("'update Helper'!E"&amp;U797)=0,F797&lt;&gt;0,F798&lt;&gt;0),IF(IFERROR((F797/F798),"")="","",(F797/F798)),INDIRECT("'update Helper'!E"&amp;U797)/100)</f>
        <v/>
      </c>
      <c r="H797" s="670"/>
      <c r="I797" s="672"/>
      <c r="J797" s="651"/>
      <c r="K797" s="666" t="str">
        <f t="shared" ref="K797" si="3320">W797</f>
        <v>PMTCT-3.1 Percentage of HIV-exposed infants receiving a virological test for HIV within 2 months of birth</v>
      </c>
      <c r="L797" s="666" t="str">
        <f t="shared" ref="L797" si="3321">V797</f>
        <v/>
      </c>
      <c r="M797" s="651"/>
      <c r="N797" s="651"/>
      <c r="P797" s="189">
        <f t="shared" ref="P797" si="3322">IF(AND(EXACT(C797,C795),C795&lt;&gt;0),P795+1,0)</f>
        <v>8</v>
      </c>
      <c r="Q797" s="189" t="str">
        <f t="shared" ref="Q797" si="3323">IF(C797&lt;&gt;"",C797&amp;"-"&amp;P797,"")</f>
        <v>PMTCT-3.1 Pourcentage de nourrissons exposés au VIH ayant bénéficié d’un dépistage du VIH dans les 2 mois qui ont suivi leur naissance-8</v>
      </c>
      <c r="R797" s="189" t="str">
        <f t="array" ref="R797">IFERROR(IF(INDEX('Disaggregation Records'!$E$155:$E$385,MATCH(RIGHT(Q797,255),RIGHT('Disaggregation Records'!$D$155:$D$385,255),0))=0,"",INDEX('Disaggregation Records'!$E$155:$E$385,MATCH(RIGHT(Q797,255),RIGHT('Disaggregation Records'!$D$155:$D$385,255),0))),"")</f>
        <v/>
      </c>
      <c r="S797" s="189" t="str">
        <f t="array" ref="S797">IFERROR(IF(INDEX('Disaggregation Records'!$F$155:$F$385,MATCH(RIGHT(Q797,255),RIGHT('Disaggregation Records'!$D$155:$D$385,255),0))=0,"",INDEX('Disaggregation Records'!$F$155:$F$385,MATCH(RIGHT(Q797,255),RIGHT('Disaggregation Records'!$D$155:$D$385,255),0))),"")</f>
        <v/>
      </c>
      <c r="T797" s="189" t="str">
        <f t="array" ref="T797">IFERROR(IF(INDEX('Disaggregation Records'!$H$155:$H$385,MATCH(RIGHT(Q797,255),RIGHT('Disaggregation Records'!$D$155:$D$385,255),0))=0,"",INDEX('Disaggregation Records'!$H$155:$H$385,MATCH(RIGHT(Q797,255),RIGHT('Disaggregation Records'!$D$155:$D$385,255),0))),"")</f>
        <v/>
      </c>
      <c r="U797" s="189">
        <f t="shared" ref="U797" si="3324">U795+1</f>
        <v>1500</v>
      </c>
      <c r="V797" s="189" t="str">
        <f t="array" ref="V797">IFERROR(IF(INDEX('Disaggregation Records'!$I$155:$I$385,MATCH(RIGHT(Q797,255),RIGHT('Disaggregation Records'!$D$155:$D$385,255),0))=0,"",INDEX('Disaggregation Records'!$I$155:$I$385,MATCH(RIGHT(Q797,255),RIGHT('Disaggregation Records'!$D$155:$D$385,255),0))),"")</f>
        <v/>
      </c>
      <c r="W797" s="189" t="str">
        <f>IFERROR(INDEX('Reference Records'!L$59:L$121,MATCH(LEFT(C797,255),'Reference Records'!E$59:E$121,0)),"")</f>
        <v>PMTCT-3.1 Percentage of HIV-exposed infants receiving a virological test for HIV within 2 months of birth</v>
      </c>
    </row>
    <row r="798" spans="1:23" s="189" customFormat="1" ht="40.200000000000003" customHeight="1" x14ac:dyDescent="0.3">
      <c r="A798" s="678"/>
      <c r="B798" s="675"/>
      <c r="C798" s="667"/>
      <c r="D798" s="677"/>
      <c r="E798" s="677"/>
      <c r="F798" s="202"/>
      <c r="G798" s="669"/>
      <c r="H798" s="671"/>
      <c r="I798" s="673"/>
      <c r="J798" s="652"/>
      <c r="K798" s="667"/>
      <c r="L798" s="667"/>
      <c r="M798" s="652"/>
      <c r="N798" s="652"/>
    </row>
    <row r="799" spans="1:23" s="189" customFormat="1" ht="40.200000000000003" customHeight="1" x14ac:dyDescent="0.3">
      <c r="A799" s="678" t="str">
        <f t="shared" ref="A799" ca="1" si="3325">INDIRECT("'update Helper'!C"&amp;U799)</f>
        <v>a163p000002zQaoAAE</v>
      </c>
      <c r="B799" s="674">
        <v>5</v>
      </c>
      <c r="C799" s="666" t="str">
        <f>VLOOKUP(B799,'Coverage Indicators - Section D'!$A$9:$AU$70,47,FALSE)</f>
        <v>PMTCT-3.1 Pourcentage de nourrissons exposés au VIH ayant bénéficié d’un dépistage du VIH dans les 2 mois qui ont suivi leur naissance</v>
      </c>
      <c r="D799" s="676" t="str">
        <f t="shared" ref="D799" si="3326">R799</f>
        <v/>
      </c>
      <c r="E799" s="676" t="str">
        <f t="shared" ref="E799" si="3327">S799</f>
        <v/>
      </c>
      <c r="F799" s="194"/>
      <c r="G799" s="668" t="str">
        <f t="shared" ref="G799" ca="1" si="3328">IF(OR(INDIRECT("'update Helper'!E"&amp;U799)=0,F799&lt;&gt;0,F800&lt;&gt;0),IF(IFERROR((F799/F800),"")="","",(F799/F800)),INDIRECT("'update Helper'!E"&amp;U799)/100)</f>
        <v/>
      </c>
      <c r="H799" s="670"/>
      <c r="I799" s="672"/>
      <c r="J799" s="651"/>
      <c r="K799" s="666" t="str">
        <f t="shared" ref="K799" si="3329">W799</f>
        <v>PMTCT-3.1 Percentage of HIV-exposed infants receiving a virological test for HIV within 2 months of birth</v>
      </c>
      <c r="L799" s="666" t="str">
        <f t="shared" ref="L799" si="3330">V799</f>
        <v/>
      </c>
      <c r="M799" s="651"/>
      <c r="N799" s="651"/>
      <c r="P799" s="189">
        <f t="shared" ref="P799" si="3331">IF(AND(EXACT(C799,C797),C797&lt;&gt;0),P797+1,0)</f>
        <v>9</v>
      </c>
      <c r="Q799" s="189" t="str">
        <f t="shared" ref="Q799" si="3332">IF(C799&lt;&gt;"",C799&amp;"-"&amp;P799,"")</f>
        <v>PMTCT-3.1 Pourcentage de nourrissons exposés au VIH ayant bénéficié d’un dépistage du VIH dans les 2 mois qui ont suivi leur naissance-9</v>
      </c>
      <c r="R799" s="189" t="str">
        <f t="array" ref="R799">IFERROR(IF(INDEX('Disaggregation Records'!$E$155:$E$385,MATCH(RIGHT(Q799,255),RIGHT('Disaggregation Records'!$D$155:$D$385,255),0))=0,"",INDEX('Disaggregation Records'!$E$155:$E$385,MATCH(RIGHT(Q799,255),RIGHT('Disaggregation Records'!$D$155:$D$385,255),0))),"")</f>
        <v/>
      </c>
      <c r="S799" s="189" t="str">
        <f t="array" ref="S799">IFERROR(IF(INDEX('Disaggregation Records'!$F$155:$F$385,MATCH(RIGHT(Q799,255),RIGHT('Disaggregation Records'!$D$155:$D$385,255),0))=0,"",INDEX('Disaggregation Records'!$F$155:$F$385,MATCH(RIGHT(Q799,255),RIGHT('Disaggregation Records'!$D$155:$D$385,255),0))),"")</f>
        <v/>
      </c>
      <c r="T799" s="189" t="str">
        <f t="array" ref="T799">IFERROR(IF(INDEX('Disaggregation Records'!$H$155:$H$385,MATCH(RIGHT(Q799,255),RIGHT('Disaggregation Records'!$D$155:$D$385,255),0))=0,"",INDEX('Disaggregation Records'!$H$155:$H$385,MATCH(RIGHT(Q799,255),RIGHT('Disaggregation Records'!$D$155:$D$385,255),0))),"")</f>
        <v/>
      </c>
      <c r="U799" s="189">
        <f t="shared" ref="U799" si="3333">U797+1</f>
        <v>1501</v>
      </c>
      <c r="V799" s="189" t="str">
        <f t="array" ref="V799">IFERROR(IF(INDEX('Disaggregation Records'!$I$155:$I$385,MATCH(RIGHT(Q799,255),RIGHT('Disaggregation Records'!$D$155:$D$385,255),0))=0,"",INDEX('Disaggregation Records'!$I$155:$I$385,MATCH(RIGHT(Q799,255),RIGHT('Disaggregation Records'!$D$155:$D$385,255),0))),"")</f>
        <v/>
      </c>
      <c r="W799" s="189" t="str">
        <f>IFERROR(INDEX('Reference Records'!L$59:L$121,MATCH(LEFT(C799,255),'Reference Records'!E$59:E$121,0)),"")</f>
        <v>PMTCT-3.1 Percentage of HIV-exposed infants receiving a virological test for HIV within 2 months of birth</v>
      </c>
    </row>
    <row r="800" spans="1:23" s="189" customFormat="1" ht="40.200000000000003" customHeight="1" x14ac:dyDescent="0.3">
      <c r="A800" s="678"/>
      <c r="B800" s="675"/>
      <c r="C800" s="667"/>
      <c r="D800" s="677"/>
      <c r="E800" s="677"/>
      <c r="F800" s="202"/>
      <c r="G800" s="669"/>
      <c r="H800" s="671"/>
      <c r="I800" s="673"/>
      <c r="J800" s="652"/>
      <c r="K800" s="667"/>
      <c r="L800" s="667"/>
      <c r="M800" s="652"/>
      <c r="N800" s="652"/>
    </row>
    <row r="801" spans="1:23" s="189" customFormat="1" ht="40.200000000000003" customHeight="1" x14ac:dyDescent="0.3">
      <c r="A801" s="678" t="str">
        <f t="shared" ref="A801" ca="1" si="3334">INDIRECT("'update Helper'!C"&amp;U801)</f>
        <v>a163p000002zQapAAE</v>
      </c>
      <c r="B801" s="674">
        <v>5</v>
      </c>
      <c r="C801" s="666" t="str">
        <f>VLOOKUP(B801,'Coverage Indicators - Section D'!$A$9:$AU$70,47,FALSE)</f>
        <v>PMTCT-3.1 Pourcentage de nourrissons exposés au VIH ayant bénéficié d’un dépistage du VIH dans les 2 mois qui ont suivi leur naissance</v>
      </c>
      <c r="D801" s="676" t="str">
        <f t="shared" ref="D801" si="3335">R801</f>
        <v/>
      </c>
      <c r="E801" s="676" t="str">
        <f t="shared" ref="E801" si="3336">S801</f>
        <v/>
      </c>
      <c r="F801" s="194"/>
      <c r="G801" s="668" t="str">
        <f t="shared" ref="G801" ca="1" si="3337">IF(OR(INDIRECT("'update Helper'!E"&amp;U801)=0,F801&lt;&gt;0,F802&lt;&gt;0),IF(IFERROR((F801/F802),"")="","",(F801/F802)),INDIRECT("'update Helper'!E"&amp;U801)/100)</f>
        <v/>
      </c>
      <c r="H801" s="670"/>
      <c r="I801" s="672"/>
      <c r="J801" s="651"/>
      <c r="K801" s="666" t="str">
        <f t="shared" ref="K801" si="3338">W801</f>
        <v>PMTCT-3.1 Percentage of HIV-exposed infants receiving a virological test for HIV within 2 months of birth</v>
      </c>
      <c r="L801" s="666" t="str">
        <f t="shared" ref="L801" si="3339">V801</f>
        <v/>
      </c>
      <c r="M801" s="651"/>
      <c r="N801" s="651"/>
      <c r="P801" s="189">
        <f t="shared" ref="P801" si="3340">IF(AND(EXACT(C801,C799),C799&lt;&gt;0),P799+1,0)</f>
        <v>10</v>
      </c>
      <c r="Q801" s="189" t="str">
        <f t="shared" ref="Q801" si="3341">IF(C801&lt;&gt;"",C801&amp;"-"&amp;P801,"")</f>
        <v>PMTCT-3.1 Pourcentage de nourrissons exposés au VIH ayant bénéficié d’un dépistage du VIH dans les 2 mois qui ont suivi leur naissance-10</v>
      </c>
      <c r="R801" s="189" t="str">
        <f t="array" ref="R801">IFERROR(IF(INDEX('Disaggregation Records'!$E$155:$E$385,MATCH(RIGHT(Q801,255),RIGHT('Disaggregation Records'!$D$155:$D$385,255),0))=0,"",INDEX('Disaggregation Records'!$E$155:$E$385,MATCH(RIGHT(Q801,255),RIGHT('Disaggregation Records'!$D$155:$D$385,255),0))),"")</f>
        <v/>
      </c>
      <c r="S801" s="189" t="str">
        <f t="array" ref="S801">IFERROR(IF(INDEX('Disaggregation Records'!$F$155:$F$385,MATCH(RIGHT(Q801,255),RIGHT('Disaggregation Records'!$D$155:$D$385,255),0))=0,"",INDEX('Disaggregation Records'!$F$155:$F$385,MATCH(RIGHT(Q801,255),RIGHT('Disaggregation Records'!$D$155:$D$385,255),0))),"")</f>
        <v/>
      </c>
      <c r="T801" s="189" t="str">
        <f t="array" ref="T801">IFERROR(IF(INDEX('Disaggregation Records'!$H$155:$H$385,MATCH(RIGHT(Q801,255),RIGHT('Disaggregation Records'!$D$155:$D$385,255),0))=0,"",INDEX('Disaggregation Records'!$H$155:$H$385,MATCH(RIGHT(Q801,255),RIGHT('Disaggregation Records'!$D$155:$D$385,255),0))),"")</f>
        <v/>
      </c>
      <c r="U801" s="189">
        <f t="shared" ref="U801" si="3342">U799+1</f>
        <v>1502</v>
      </c>
      <c r="V801" s="189" t="str">
        <f t="array" ref="V801">IFERROR(IF(INDEX('Disaggregation Records'!$I$155:$I$385,MATCH(RIGHT(Q801,255),RIGHT('Disaggregation Records'!$D$155:$D$385,255),0))=0,"",INDEX('Disaggregation Records'!$I$155:$I$385,MATCH(RIGHT(Q801,255),RIGHT('Disaggregation Records'!$D$155:$D$385,255),0))),"")</f>
        <v/>
      </c>
      <c r="W801" s="189" t="str">
        <f>IFERROR(INDEX('Reference Records'!L$59:L$121,MATCH(LEFT(C801,255),'Reference Records'!E$59:E$121,0)),"")</f>
        <v>PMTCT-3.1 Percentage of HIV-exposed infants receiving a virological test for HIV within 2 months of birth</v>
      </c>
    </row>
    <row r="802" spans="1:23" s="189" customFormat="1" ht="40.200000000000003" customHeight="1" x14ac:dyDescent="0.3">
      <c r="A802" s="678"/>
      <c r="B802" s="675"/>
      <c r="C802" s="667"/>
      <c r="D802" s="677"/>
      <c r="E802" s="677"/>
      <c r="F802" s="202"/>
      <c r="G802" s="669"/>
      <c r="H802" s="671"/>
      <c r="I802" s="673"/>
      <c r="J802" s="652"/>
      <c r="K802" s="667"/>
      <c r="L802" s="667"/>
      <c r="M802" s="652"/>
      <c r="N802" s="652"/>
    </row>
    <row r="803" spans="1:23" s="189" customFormat="1" ht="40.200000000000003" customHeight="1" x14ac:dyDescent="0.3">
      <c r="A803" s="678" t="str">
        <f t="shared" ref="A803" ca="1" si="3343">INDIRECT("'update Helper'!C"&amp;U803)</f>
        <v>a163p000002zQaqAAE</v>
      </c>
      <c r="B803" s="674">
        <v>5</v>
      </c>
      <c r="C803" s="666" t="str">
        <f>VLOOKUP(B803,'Coverage Indicators - Section D'!$A$9:$AU$70,47,FALSE)</f>
        <v>PMTCT-3.1 Pourcentage de nourrissons exposés au VIH ayant bénéficié d’un dépistage du VIH dans les 2 mois qui ont suivi leur naissance</v>
      </c>
      <c r="D803" s="676" t="str">
        <f t="shared" ref="D803" si="3344">R803</f>
        <v/>
      </c>
      <c r="E803" s="676" t="str">
        <f t="shared" ref="E803" si="3345">S803</f>
        <v/>
      </c>
      <c r="F803" s="194"/>
      <c r="G803" s="668" t="str">
        <f t="shared" ref="G803" ca="1" si="3346">IF(OR(INDIRECT("'update Helper'!E"&amp;U803)=0,F803&lt;&gt;0,F804&lt;&gt;0),IF(IFERROR((F803/F804),"")="","",(F803/F804)),INDIRECT("'update Helper'!E"&amp;U803)/100)</f>
        <v/>
      </c>
      <c r="H803" s="670"/>
      <c r="I803" s="672"/>
      <c r="J803" s="651"/>
      <c r="K803" s="666" t="str">
        <f t="shared" ref="K803" si="3347">W803</f>
        <v>PMTCT-3.1 Percentage of HIV-exposed infants receiving a virological test for HIV within 2 months of birth</v>
      </c>
      <c r="L803" s="666" t="str">
        <f t="shared" ref="L803" si="3348">V803</f>
        <v/>
      </c>
      <c r="M803" s="651"/>
      <c r="N803" s="651"/>
      <c r="P803" s="189">
        <f t="shared" ref="P803" si="3349">IF(AND(EXACT(C803,C801),C801&lt;&gt;0),P801+1,0)</f>
        <v>11</v>
      </c>
      <c r="Q803" s="189" t="str">
        <f t="shared" ref="Q803" si="3350">IF(C803&lt;&gt;"",C803&amp;"-"&amp;P803,"")</f>
        <v>PMTCT-3.1 Pourcentage de nourrissons exposés au VIH ayant bénéficié d’un dépistage du VIH dans les 2 mois qui ont suivi leur naissance-11</v>
      </c>
      <c r="R803" s="189" t="str">
        <f t="array" ref="R803">IFERROR(IF(INDEX('Disaggregation Records'!$E$155:$E$385,MATCH(RIGHT(Q803,255),RIGHT('Disaggregation Records'!$D$155:$D$385,255),0))=0,"",INDEX('Disaggregation Records'!$E$155:$E$385,MATCH(RIGHT(Q803,255),RIGHT('Disaggregation Records'!$D$155:$D$385,255),0))),"")</f>
        <v/>
      </c>
      <c r="S803" s="189" t="str">
        <f t="array" ref="S803">IFERROR(IF(INDEX('Disaggregation Records'!$F$155:$F$385,MATCH(RIGHT(Q803,255),RIGHT('Disaggregation Records'!$D$155:$D$385,255),0))=0,"",INDEX('Disaggregation Records'!$F$155:$F$385,MATCH(RIGHT(Q803,255),RIGHT('Disaggregation Records'!$D$155:$D$385,255),0))),"")</f>
        <v/>
      </c>
      <c r="T803" s="189" t="str">
        <f t="array" ref="T803">IFERROR(IF(INDEX('Disaggregation Records'!$H$155:$H$385,MATCH(RIGHT(Q803,255),RIGHT('Disaggregation Records'!$D$155:$D$385,255),0))=0,"",INDEX('Disaggregation Records'!$H$155:$H$385,MATCH(RIGHT(Q803,255),RIGHT('Disaggregation Records'!$D$155:$D$385,255),0))),"")</f>
        <v/>
      </c>
      <c r="U803" s="189">
        <f t="shared" ref="U803" si="3351">U801+1</f>
        <v>1503</v>
      </c>
      <c r="V803" s="189" t="str">
        <f t="array" ref="V803">IFERROR(IF(INDEX('Disaggregation Records'!$I$155:$I$385,MATCH(RIGHT(Q803,255),RIGHT('Disaggregation Records'!$D$155:$D$385,255),0))=0,"",INDEX('Disaggregation Records'!$I$155:$I$385,MATCH(RIGHT(Q803,255),RIGHT('Disaggregation Records'!$D$155:$D$385,255),0))),"")</f>
        <v/>
      </c>
      <c r="W803" s="189" t="str">
        <f>IFERROR(INDEX('Reference Records'!L$59:L$121,MATCH(LEFT(C803,255),'Reference Records'!E$59:E$121,0)),"")</f>
        <v>PMTCT-3.1 Percentage of HIV-exposed infants receiving a virological test for HIV within 2 months of birth</v>
      </c>
    </row>
    <row r="804" spans="1:23" s="189" customFormat="1" ht="40.200000000000003" customHeight="1" x14ac:dyDescent="0.3">
      <c r="A804" s="678"/>
      <c r="B804" s="675"/>
      <c r="C804" s="667"/>
      <c r="D804" s="677"/>
      <c r="E804" s="677"/>
      <c r="F804" s="202"/>
      <c r="G804" s="669"/>
      <c r="H804" s="671"/>
      <c r="I804" s="673"/>
      <c r="J804" s="652"/>
      <c r="K804" s="667"/>
      <c r="L804" s="667"/>
      <c r="M804" s="652"/>
      <c r="N804" s="652"/>
    </row>
    <row r="805" spans="1:23" s="189" customFormat="1" ht="40.200000000000003" customHeight="1" x14ac:dyDescent="0.3">
      <c r="A805" s="678" t="str">
        <f t="shared" ref="A805" ca="1" si="3352">INDIRECT("'update Helper'!C"&amp;U805)</f>
        <v>a163p000002zQarAAE</v>
      </c>
      <c r="B805" s="674">
        <v>5</v>
      </c>
      <c r="C805" s="666" t="str">
        <f>VLOOKUP(B805,'Coverage Indicators - Section D'!$A$9:$AU$70,47,FALSE)</f>
        <v>PMTCT-3.1 Pourcentage de nourrissons exposés au VIH ayant bénéficié d’un dépistage du VIH dans les 2 mois qui ont suivi leur naissance</v>
      </c>
      <c r="D805" s="676" t="str">
        <f t="shared" ref="D805" si="3353">R805</f>
        <v/>
      </c>
      <c r="E805" s="676" t="str">
        <f t="shared" ref="E805" si="3354">S805</f>
        <v/>
      </c>
      <c r="F805" s="194"/>
      <c r="G805" s="668" t="str">
        <f t="shared" ref="G805" ca="1" si="3355">IF(OR(INDIRECT("'update Helper'!E"&amp;U805)=0,F805&lt;&gt;0,F806&lt;&gt;0),IF(IFERROR((F805/F806),"")="","",(F805/F806)),INDIRECT("'update Helper'!E"&amp;U805)/100)</f>
        <v/>
      </c>
      <c r="H805" s="670"/>
      <c r="I805" s="672"/>
      <c r="J805" s="651"/>
      <c r="K805" s="666" t="str">
        <f t="shared" ref="K805" si="3356">W805</f>
        <v>PMTCT-3.1 Percentage of HIV-exposed infants receiving a virological test for HIV within 2 months of birth</v>
      </c>
      <c r="L805" s="666" t="str">
        <f t="shared" ref="L805" si="3357">V805</f>
        <v/>
      </c>
      <c r="M805" s="651"/>
      <c r="N805" s="651"/>
      <c r="P805" s="189">
        <f t="shared" ref="P805" si="3358">IF(AND(EXACT(C805,C803),C803&lt;&gt;0),P803+1,0)</f>
        <v>12</v>
      </c>
      <c r="Q805" s="189" t="str">
        <f t="shared" ref="Q805" si="3359">IF(C805&lt;&gt;"",C805&amp;"-"&amp;P805,"")</f>
        <v>PMTCT-3.1 Pourcentage de nourrissons exposés au VIH ayant bénéficié d’un dépistage du VIH dans les 2 mois qui ont suivi leur naissance-12</v>
      </c>
      <c r="R805" s="189" t="str">
        <f t="array" ref="R805">IFERROR(IF(INDEX('Disaggregation Records'!$E$155:$E$385,MATCH(RIGHT(Q805,255),RIGHT('Disaggregation Records'!$D$155:$D$385,255),0))=0,"",INDEX('Disaggregation Records'!$E$155:$E$385,MATCH(RIGHT(Q805,255),RIGHT('Disaggregation Records'!$D$155:$D$385,255),0))),"")</f>
        <v/>
      </c>
      <c r="S805" s="189" t="str">
        <f t="array" ref="S805">IFERROR(IF(INDEX('Disaggregation Records'!$F$155:$F$385,MATCH(RIGHT(Q805,255),RIGHT('Disaggregation Records'!$D$155:$D$385,255),0))=0,"",INDEX('Disaggregation Records'!$F$155:$F$385,MATCH(RIGHT(Q805,255),RIGHT('Disaggregation Records'!$D$155:$D$385,255),0))),"")</f>
        <v/>
      </c>
      <c r="T805" s="189" t="str">
        <f t="array" ref="T805">IFERROR(IF(INDEX('Disaggregation Records'!$H$155:$H$385,MATCH(RIGHT(Q805,255),RIGHT('Disaggregation Records'!$D$155:$D$385,255),0))=0,"",INDEX('Disaggregation Records'!$H$155:$H$385,MATCH(RIGHT(Q805,255),RIGHT('Disaggregation Records'!$D$155:$D$385,255),0))),"")</f>
        <v/>
      </c>
      <c r="U805" s="189">
        <f t="shared" ref="U805" si="3360">U803+1</f>
        <v>1504</v>
      </c>
      <c r="V805" s="189" t="str">
        <f t="array" ref="V805">IFERROR(IF(INDEX('Disaggregation Records'!$I$155:$I$385,MATCH(RIGHT(Q805,255),RIGHT('Disaggregation Records'!$D$155:$D$385,255),0))=0,"",INDEX('Disaggregation Records'!$I$155:$I$385,MATCH(RIGHT(Q805,255),RIGHT('Disaggregation Records'!$D$155:$D$385,255),0))),"")</f>
        <v/>
      </c>
      <c r="W805" s="189" t="str">
        <f>IFERROR(INDEX('Reference Records'!L$59:L$121,MATCH(LEFT(C805,255),'Reference Records'!E$59:E$121,0)),"")</f>
        <v>PMTCT-3.1 Percentage of HIV-exposed infants receiving a virological test for HIV within 2 months of birth</v>
      </c>
    </row>
    <row r="806" spans="1:23" s="189" customFormat="1" ht="40.200000000000003" customHeight="1" x14ac:dyDescent="0.3">
      <c r="A806" s="678"/>
      <c r="B806" s="675"/>
      <c r="C806" s="667"/>
      <c r="D806" s="677"/>
      <c r="E806" s="677"/>
      <c r="F806" s="202"/>
      <c r="G806" s="669"/>
      <c r="H806" s="671"/>
      <c r="I806" s="673"/>
      <c r="J806" s="652"/>
      <c r="K806" s="667"/>
      <c r="L806" s="667"/>
      <c r="M806" s="652"/>
      <c r="N806" s="652"/>
    </row>
    <row r="807" spans="1:23" s="189" customFormat="1" ht="40.200000000000003" customHeight="1" x14ac:dyDescent="0.3">
      <c r="A807" s="678" t="str">
        <f t="shared" ref="A807" ca="1" si="3361">INDIRECT("'update Helper'!C"&amp;U807)</f>
        <v>a163p000002zQasAAE</v>
      </c>
      <c r="B807" s="674">
        <v>5</v>
      </c>
      <c r="C807" s="666" t="str">
        <f>VLOOKUP(B807,'Coverage Indicators - Section D'!$A$9:$AU$70,47,FALSE)</f>
        <v>PMTCT-3.1 Pourcentage de nourrissons exposés au VIH ayant bénéficié d’un dépistage du VIH dans les 2 mois qui ont suivi leur naissance</v>
      </c>
      <c r="D807" s="676" t="str">
        <f t="shared" ref="D807" si="3362">R807</f>
        <v/>
      </c>
      <c r="E807" s="676" t="str">
        <f t="shared" ref="E807" si="3363">S807</f>
        <v/>
      </c>
      <c r="F807" s="194"/>
      <c r="G807" s="668" t="str">
        <f t="shared" ref="G807" ca="1" si="3364">IF(OR(INDIRECT("'update Helper'!E"&amp;U807)=0,F807&lt;&gt;0,F808&lt;&gt;0),IF(IFERROR((F807/F808),"")="","",(F807/F808)),INDIRECT("'update Helper'!E"&amp;U807)/100)</f>
        <v/>
      </c>
      <c r="H807" s="670"/>
      <c r="I807" s="672"/>
      <c r="J807" s="651"/>
      <c r="K807" s="666" t="str">
        <f t="shared" ref="K807" si="3365">W807</f>
        <v>PMTCT-3.1 Percentage of HIV-exposed infants receiving a virological test for HIV within 2 months of birth</v>
      </c>
      <c r="L807" s="666" t="str">
        <f t="shared" ref="L807" si="3366">V807</f>
        <v/>
      </c>
      <c r="M807" s="651"/>
      <c r="N807" s="651"/>
      <c r="P807" s="189">
        <f t="shared" ref="P807" si="3367">IF(AND(EXACT(C807,C805),C805&lt;&gt;0),P805+1,0)</f>
        <v>13</v>
      </c>
      <c r="Q807" s="189" t="str">
        <f t="shared" ref="Q807" si="3368">IF(C807&lt;&gt;"",C807&amp;"-"&amp;P807,"")</f>
        <v>PMTCT-3.1 Pourcentage de nourrissons exposés au VIH ayant bénéficié d’un dépistage du VIH dans les 2 mois qui ont suivi leur naissance-13</v>
      </c>
      <c r="R807" s="189" t="str">
        <f t="array" ref="R807">IFERROR(IF(INDEX('Disaggregation Records'!$E$155:$E$385,MATCH(RIGHT(Q807,255),RIGHT('Disaggregation Records'!$D$155:$D$385,255),0))=0,"",INDEX('Disaggregation Records'!$E$155:$E$385,MATCH(RIGHT(Q807,255),RIGHT('Disaggregation Records'!$D$155:$D$385,255),0))),"")</f>
        <v/>
      </c>
      <c r="S807" s="189" t="str">
        <f t="array" ref="S807">IFERROR(IF(INDEX('Disaggregation Records'!$F$155:$F$385,MATCH(RIGHT(Q807,255),RIGHT('Disaggregation Records'!$D$155:$D$385,255),0))=0,"",INDEX('Disaggregation Records'!$F$155:$F$385,MATCH(RIGHT(Q807,255),RIGHT('Disaggregation Records'!$D$155:$D$385,255),0))),"")</f>
        <v/>
      </c>
      <c r="T807" s="189" t="str">
        <f t="array" ref="T807">IFERROR(IF(INDEX('Disaggregation Records'!$H$155:$H$385,MATCH(RIGHT(Q807,255),RIGHT('Disaggregation Records'!$D$155:$D$385,255),0))=0,"",INDEX('Disaggregation Records'!$H$155:$H$385,MATCH(RIGHT(Q807,255),RIGHT('Disaggregation Records'!$D$155:$D$385,255),0))),"")</f>
        <v/>
      </c>
      <c r="U807" s="189">
        <f t="shared" ref="U807" si="3369">U805+1</f>
        <v>1505</v>
      </c>
      <c r="V807" s="189" t="str">
        <f t="array" ref="V807">IFERROR(IF(INDEX('Disaggregation Records'!$I$155:$I$385,MATCH(RIGHT(Q807,255),RIGHT('Disaggregation Records'!$D$155:$D$385,255),0))=0,"",INDEX('Disaggregation Records'!$I$155:$I$385,MATCH(RIGHT(Q807,255),RIGHT('Disaggregation Records'!$D$155:$D$385,255),0))),"")</f>
        <v/>
      </c>
      <c r="W807" s="189" t="str">
        <f>IFERROR(INDEX('Reference Records'!L$59:L$121,MATCH(LEFT(C807,255),'Reference Records'!E$59:E$121,0)),"")</f>
        <v>PMTCT-3.1 Percentage of HIV-exposed infants receiving a virological test for HIV within 2 months of birth</v>
      </c>
    </row>
    <row r="808" spans="1:23" s="189" customFormat="1" ht="40.200000000000003" customHeight="1" x14ac:dyDescent="0.3">
      <c r="A808" s="678"/>
      <c r="B808" s="675"/>
      <c r="C808" s="667"/>
      <c r="D808" s="677"/>
      <c r="E808" s="677"/>
      <c r="F808" s="202"/>
      <c r="G808" s="669"/>
      <c r="H808" s="671"/>
      <c r="I808" s="673"/>
      <c r="J808" s="652"/>
      <c r="K808" s="667"/>
      <c r="L808" s="667"/>
      <c r="M808" s="652"/>
      <c r="N808" s="652"/>
    </row>
    <row r="809" spans="1:23" s="189" customFormat="1" ht="40.200000000000003" customHeight="1" x14ac:dyDescent="0.3">
      <c r="A809" s="678" t="str">
        <f t="shared" ref="A809" ca="1" si="3370">INDIRECT("'update Helper'!C"&amp;U809)</f>
        <v>a163p000002zQatAAE</v>
      </c>
      <c r="B809" s="674">
        <v>5</v>
      </c>
      <c r="C809" s="666" t="str">
        <f>VLOOKUP(B809,'Coverage Indicators - Section D'!$A$9:$AU$70,47,FALSE)</f>
        <v>PMTCT-3.1 Pourcentage de nourrissons exposés au VIH ayant bénéficié d’un dépistage du VIH dans les 2 mois qui ont suivi leur naissance</v>
      </c>
      <c r="D809" s="676" t="str">
        <f t="shared" ref="D809" si="3371">R809</f>
        <v/>
      </c>
      <c r="E809" s="676" t="str">
        <f t="shared" ref="E809" si="3372">S809</f>
        <v/>
      </c>
      <c r="F809" s="194"/>
      <c r="G809" s="668" t="str">
        <f t="shared" ref="G809" ca="1" si="3373">IF(OR(INDIRECT("'update Helper'!E"&amp;U809)=0,F809&lt;&gt;0,F810&lt;&gt;0),IF(IFERROR((F809/F810),"")="","",(F809/F810)),INDIRECT("'update Helper'!E"&amp;U809)/100)</f>
        <v/>
      </c>
      <c r="H809" s="670"/>
      <c r="I809" s="672"/>
      <c r="J809" s="651"/>
      <c r="K809" s="666" t="str">
        <f t="shared" ref="K809" si="3374">W809</f>
        <v>PMTCT-3.1 Percentage of HIV-exposed infants receiving a virological test for HIV within 2 months of birth</v>
      </c>
      <c r="L809" s="666" t="str">
        <f t="shared" ref="L809" si="3375">V809</f>
        <v/>
      </c>
      <c r="M809" s="651"/>
      <c r="N809" s="651"/>
      <c r="P809" s="189">
        <f t="shared" ref="P809" si="3376">IF(AND(EXACT(C809,C807),C807&lt;&gt;0),P807+1,0)</f>
        <v>14</v>
      </c>
      <c r="Q809" s="189" t="str">
        <f t="shared" ref="Q809" si="3377">IF(C809&lt;&gt;"",C809&amp;"-"&amp;P809,"")</f>
        <v>PMTCT-3.1 Pourcentage de nourrissons exposés au VIH ayant bénéficié d’un dépistage du VIH dans les 2 mois qui ont suivi leur naissance-14</v>
      </c>
      <c r="R809" s="189" t="str">
        <f t="array" ref="R809">IFERROR(IF(INDEX('Disaggregation Records'!$E$155:$E$385,MATCH(RIGHT(Q809,255),RIGHT('Disaggregation Records'!$D$155:$D$385,255),0))=0,"",INDEX('Disaggregation Records'!$E$155:$E$385,MATCH(RIGHT(Q809,255),RIGHT('Disaggregation Records'!$D$155:$D$385,255),0))),"")</f>
        <v/>
      </c>
      <c r="S809" s="189" t="str">
        <f t="array" ref="S809">IFERROR(IF(INDEX('Disaggregation Records'!$F$155:$F$385,MATCH(RIGHT(Q809,255),RIGHT('Disaggregation Records'!$D$155:$D$385,255),0))=0,"",INDEX('Disaggregation Records'!$F$155:$F$385,MATCH(RIGHT(Q809,255),RIGHT('Disaggregation Records'!$D$155:$D$385,255),0))),"")</f>
        <v/>
      </c>
      <c r="T809" s="189" t="str">
        <f t="array" ref="T809">IFERROR(IF(INDEX('Disaggregation Records'!$H$155:$H$385,MATCH(RIGHT(Q809,255),RIGHT('Disaggregation Records'!$D$155:$D$385,255),0))=0,"",INDEX('Disaggregation Records'!$H$155:$H$385,MATCH(RIGHT(Q809,255),RIGHT('Disaggregation Records'!$D$155:$D$385,255),0))),"")</f>
        <v/>
      </c>
      <c r="U809" s="189">
        <f t="shared" ref="U809" si="3378">U807+1</f>
        <v>1506</v>
      </c>
      <c r="V809" s="189" t="str">
        <f t="array" ref="V809">IFERROR(IF(INDEX('Disaggregation Records'!$I$155:$I$385,MATCH(RIGHT(Q809,255),RIGHT('Disaggregation Records'!$D$155:$D$385,255),0))=0,"",INDEX('Disaggregation Records'!$I$155:$I$385,MATCH(RIGHT(Q809,255),RIGHT('Disaggregation Records'!$D$155:$D$385,255),0))),"")</f>
        <v/>
      </c>
      <c r="W809" s="189" t="str">
        <f>IFERROR(INDEX('Reference Records'!L$59:L$121,MATCH(LEFT(C809,255),'Reference Records'!E$59:E$121,0)),"")</f>
        <v>PMTCT-3.1 Percentage of HIV-exposed infants receiving a virological test for HIV within 2 months of birth</v>
      </c>
    </row>
    <row r="810" spans="1:23" s="189" customFormat="1" ht="40.200000000000003" customHeight="1" x14ac:dyDescent="0.3">
      <c r="A810" s="678"/>
      <c r="B810" s="675"/>
      <c r="C810" s="667"/>
      <c r="D810" s="677"/>
      <c r="E810" s="677"/>
      <c r="F810" s="202"/>
      <c r="G810" s="669"/>
      <c r="H810" s="671"/>
      <c r="I810" s="673"/>
      <c r="J810" s="652"/>
      <c r="K810" s="667"/>
      <c r="L810" s="667"/>
      <c r="M810" s="652"/>
      <c r="N810" s="652"/>
    </row>
    <row r="811" spans="1:23" s="189" customFormat="1" ht="40.200000000000003" customHeight="1" x14ac:dyDescent="0.3">
      <c r="A811" s="678" t="str">
        <f t="shared" ref="A811" ca="1" si="3379">INDIRECT("'update Helper'!C"&amp;U811)</f>
        <v>a163p000002zQauAAE</v>
      </c>
      <c r="B811" s="674">
        <v>5</v>
      </c>
      <c r="C811" s="666" t="str">
        <f>VLOOKUP(B811,'Coverage Indicators - Section D'!$A$9:$AU$70,47,FALSE)</f>
        <v>PMTCT-3.1 Pourcentage de nourrissons exposés au VIH ayant bénéficié d’un dépistage du VIH dans les 2 mois qui ont suivi leur naissance</v>
      </c>
      <c r="D811" s="676" t="str">
        <f t="shared" ref="D811" si="3380">R811</f>
        <v/>
      </c>
      <c r="E811" s="676" t="str">
        <f t="shared" ref="E811" si="3381">S811</f>
        <v/>
      </c>
      <c r="F811" s="194"/>
      <c r="G811" s="668" t="str">
        <f t="shared" ref="G811" ca="1" si="3382">IF(OR(INDIRECT("'update Helper'!E"&amp;U811)=0,F811&lt;&gt;0,F812&lt;&gt;0),IF(IFERROR((F811/F812),"")="","",(F811/F812)),INDIRECT("'update Helper'!E"&amp;U811)/100)</f>
        <v/>
      </c>
      <c r="H811" s="670"/>
      <c r="I811" s="672"/>
      <c r="J811" s="651"/>
      <c r="K811" s="666" t="str">
        <f t="shared" ref="K811" si="3383">W811</f>
        <v>PMTCT-3.1 Percentage of HIV-exposed infants receiving a virological test for HIV within 2 months of birth</v>
      </c>
      <c r="L811" s="666" t="str">
        <f t="shared" ref="L811" si="3384">V811</f>
        <v/>
      </c>
      <c r="M811" s="651"/>
      <c r="N811" s="651"/>
      <c r="P811" s="189">
        <f t="shared" ref="P811" si="3385">IF(AND(EXACT(C811,C809),C809&lt;&gt;0),P809+1,0)</f>
        <v>15</v>
      </c>
      <c r="Q811" s="189" t="str">
        <f t="shared" ref="Q811" si="3386">IF(C811&lt;&gt;"",C811&amp;"-"&amp;P811,"")</f>
        <v>PMTCT-3.1 Pourcentage de nourrissons exposés au VIH ayant bénéficié d’un dépistage du VIH dans les 2 mois qui ont suivi leur naissance-15</v>
      </c>
      <c r="R811" s="189" t="str">
        <f t="array" ref="R811">IFERROR(IF(INDEX('Disaggregation Records'!$E$155:$E$385,MATCH(RIGHT(Q811,255),RIGHT('Disaggregation Records'!$D$155:$D$385,255),0))=0,"",INDEX('Disaggregation Records'!$E$155:$E$385,MATCH(RIGHT(Q811,255),RIGHT('Disaggregation Records'!$D$155:$D$385,255),0))),"")</f>
        <v/>
      </c>
      <c r="S811" s="189" t="str">
        <f t="array" ref="S811">IFERROR(IF(INDEX('Disaggregation Records'!$F$155:$F$385,MATCH(RIGHT(Q811,255),RIGHT('Disaggregation Records'!$D$155:$D$385,255),0))=0,"",INDEX('Disaggregation Records'!$F$155:$F$385,MATCH(RIGHT(Q811,255),RIGHT('Disaggregation Records'!$D$155:$D$385,255),0))),"")</f>
        <v/>
      </c>
      <c r="T811" s="189" t="str">
        <f t="array" ref="T811">IFERROR(IF(INDEX('Disaggregation Records'!$H$155:$H$385,MATCH(RIGHT(Q811,255),RIGHT('Disaggregation Records'!$D$155:$D$385,255),0))=0,"",INDEX('Disaggregation Records'!$H$155:$H$385,MATCH(RIGHT(Q811,255),RIGHT('Disaggregation Records'!$D$155:$D$385,255),0))),"")</f>
        <v/>
      </c>
      <c r="U811" s="189">
        <f t="shared" ref="U811" si="3387">U809+1</f>
        <v>1507</v>
      </c>
      <c r="V811" s="189" t="str">
        <f t="array" ref="V811">IFERROR(IF(INDEX('Disaggregation Records'!$I$155:$I$385,MATCH(RIGHT(Q811,255),RIGHT('Disaggregation Records'!$D$155:$D$385,255),0))=0,"",INDEX('Disaggregation Records'!$I$155:$I$385,MATCH(RIGHT(Q811,255),RIGHT('Disaggregation Records'!$D$155:$D$385,255),0))),"")</f>
        <v/>
      </c>
      <c r="W811" s="189" t="str">
        <f>IFERROR(INDEX('Reference Records'!L$59:L$121,MATCH(LEFT(C811,255),'Reference Records'!E$59:E$121,0)),"")</f>
        <v>PMTCT-3.1 Percentage of HIV-exposed infants receiving a virological test for HIV within 2 months of birth</v>
      </c>
    </row>
    <row r="812" spans="1:23" s="189" customFormat="1" ht="40.200000000000003" customHeight="1" x14ac:dyDescent="0.3">
      <c r="A812" s="678"/>
      <c r="B812" s="675"/>
      <c r="C812" s="667"/>
      <c r="D812" s="677"/>
      <c r="E812" s="677"/>
      <c r="F812" s="202"/>
      <c r="G812" s="669"/>
      <c r="H812" s="671"/>
      <c r="I812" s="673"/>
      <c r="J812" s="652"/>
      <c r="K812" s="667"/>
      <c r="L812" s="667"/>
      <c r="M812" s="652"/>
      <c r="N812" s="652"/>
    </row>
    <row r="813" spans="1:23" s="189" customFormat="1" ht="40.200000000000003" customHeight="1" x14ac:dyDescent="0.3">
      <c r="A813" s="678" t="str">
        <f t="shared" ref="A813" ca="1" si="3388">INDIRECT("'update Helper'!C"&amp;U813)</f>
        <v>a163p000002zQavAAE</v>
      </c>
      <c r="B813" s="674">
        <v>5</v>
      </c>
      <c r="C813" s="666" t="str">
        <f>VLOOKUP(B813,'Coverage Indicators - Section D'!$A$9:$AU$70,47,FALSE)</f>
        <v>PMTCT-3.1 Pourcentage de nourrissons exposés au VIH ayant bénéficié d’un dépistage du VIH dans les 2 mois qui ont suivi leur naissance</v>
      </c>
      <c r="D813" s="676" t="str">
        <f t="shared" ref="D813" si="3389">R813</f>
        <v/>
      </c>
      <c r="E813" s="676" t="str">
        <f t="shared" ref="E813" si="3390">S813</f>
        <v/>
      </c>
      <c r="F813" s="194"/>
      <c r="G813" s="668" t="str">
        <f t="shared" ref="G813" ca="1" si="3391">IF(OR(INDIRECT("'update Helper'!E"&amp;U813)=0,F813&lt;&gt;0,F814&lt;&gt;0),IF(IFERROR((F813/F814),"")="","",(F813/F814)),INDIRECT("'update Helper'!E"&amp;U813)/100)</f>
        <v/>
      </c>
      <c r="H813" s="670"/>
      <c r="I813" s="672"/>
      <c r="J813" s="651"/>
      <c r="K813" s="666" t="str">
        <f t="shared" ref="K813" si="3392">W813</f>
        <v>PMTCT-3.1 Percentage of HIV-exposed infants receiving a virological test for HIV within 2 months of birth</v>
      </c>
      <c r="L813" s="666" t="str">
        <f t="shared" ref="L813" si="3393">V813</f>
        <v/>
      </c>
      <c r="M813" s="651"/>
      <c r="N813" s="651"/>
      <c r="P813" s="189">
        <f t="shared" ref="P813" si="3394">IF(AND(EXACT(C813,C811),C811&lt;&gt;0),P811+1,0)</f>
        <v>16</v>
      </c>
      <c r="Q813" s="189" t="str">
        <f t="shared" ref="Q813" si="3395">IF(C813&lt;&gt;"",C813&amp;"-"&amp;P813,"")</f>
        <v>PMTCT-3.1 Pourcentage de nourrissons exposés au VIH ayant bénéficié d’un dépistage du VIH dans les 2 mois qui ont suivi leur naissance-16</v>
      </c>
      <c r="R813" s="189" t="str">
        <f t="array" ref="R813">IFERROR(IF(INDEX('Disaggregation Records'!$E$155:$E$385,MATCH(RIGHT(Q813,255),RIGHT('Disaggregation Records'!$D$155:$D$385,255),0))=0,"",INDEX('Disaggregation Records'!$E$155:$E$385,MATCH(RIGHT(Q813,255),RIGHT('Disaggregation Records'!$D$155:$D$385,255),0))),"")</f>
        <v/>
      </c>
      <c r="S813" s="189" t="str">
        <f t="array" ref="S813">IFERROR(IF(INDEX('Disaggregation Records'!$F$155:$F$385,MATCH(RIGHT(Q813,255),RIGHT('Disaggregation Records'!$D$155:$D$385,255),0))=0,"",INDEX('Disaggregation Records'!$F$155:$F$385,MATCH(RIGHT(Q813,255),RIGHT('Disaggregation Records'!$D$155:$D$385,255),0))),"")</f>
        <v/>
      </c>
      <c r="T813" s="189" t="str">
        <f t="array" ref="T813">IFERROR(IF(INDEX('Disaggregation Records'!$H$155:$H$385,MATCH(RIGHT(Q813,255),RIGHT('Disaggregation Records'!$D$155:$D$385,255),0))=0,"",INDEX('Disaggregation Records'!$H$155:$H$385,MATCH(RIGHT(Q813,255),RIGHT('Disaggregation Records'!$D$155:$D$385,255),0))),"")</f>
        <v/>
      </c>
      <c r="U813" s="189">
        <f t="shared" ref="U813" si="3396">U811+1</f>
        <v>1508</v>
      </c>
      <c r="V813" s="189" t="str">
        <f t="array" ref="V813">IFERROR(IF(INDEX('Disaggregation Records'!$I$155:$I$385,MATCH(RIGHT(Q813,255),RIGHT('Disaggregation Records'!$D$155:$D$385,255),0))=0,"",INDEX('Disaggregation Records'!$I$155:$I$385,MATCH(RIGHT(Q813,255),RIGHT('Disaggregation Records'!$D$155:$D$385,255),0))),"")</f>
        <v/>
      </c>
      <c r="W813" s="189" t="str">
        <f>IFERROR(INDEX('Reference Records'!L$59:L$121,MATCH(LEFT(C813,255),'Reference Records'!E$59:E$121,0)),"")</f>
        <v>PMTCT-3.1 Percentage of HIV-exposed infants receiving a virological test for HIV within 2 months of birth</v>
      </c>
    </row>
    <row r="814" spans="1:23" s="189" customFormat="1" ht="40.200000000000003" customHeight="1" x14ac:dyDescent="0.3">
      <c r="A814" s="678"/>
      <c r="B814" s="675"/>
      <c r="C814" s="667"/>
      <c r="D814" s="677"/>
      <c r="E814" s="677"/>
      <c r="F814" s="202"/>
      <c r="G814" s="669"/>
      <c r="H814" s="671"/>
      <c r="I814" s="673"/>
      <c r="J814" s="652"/>
      <c r="K814" s="667"/>
      <c r="L814" s="667"/>
      <c r="M814" s="652"/>
      <c r="N814" s="652"/>
    </row>
    <row r="815" spans="1:23" s="189" customFormat="1" ht="40.200000000000003" customHeight="1" x14ac:dyDescent="0.3">
      <c r="A815" s="678" t="str">
        <f t="shared" ref="A815" ca="1" si="3397">INDIRECT("'update Helper'!C"&amp;U815)</f>
        <v>a163p000002zQawAAE</v>
      </c>
      <c r="B815" s="674">
        <v>5</v>
      </c>
      <c r="C815" s="666" t="str">
        <f>VLOOKUP(B815,'Coverage Indicators - Section D'!$A$9:$AU$70,47,FALSE)</f>
        <v>PMTCT-3.1 Pourcentage de nourrissons exposés au VIH ayant bénéficié d’un dépistage du VIH dans les 2 mois qui ont suivi leur naissance</v>
      </c>
      <c r="D815" s="676" t="str">
        <f t="shared" ref="D815" si="3398">R815</f>
        <v/>
      </c>
      <c r="E815" s="676" t="str">
        <f t="shared" ref="E815" si="3399">S815</f>
        <v/>
      </c>
      <c r="F815" s="194"/>
      <c r="G815" s="668" t="str">
        <f t="shared" ref="G815" ca="1" si="3400">IF(OR(INDIRECT("'update Helper'!E"&amp;U815)=0,F815&lt;&gt;0,F816&lt;&gt;0),IF(IFERROR((F815/F816),"")="","",(F815/F816)),INDIRECT("'update Helper'!E"&amp;U815)/100)</f>
        <v/>
      </c>
      <c r="H815" s="670"/>
      <c r="I815" s="672"/>
      <c r="J815" s="651"/>
      <c r="K815" s="666" t="str">
        <f t="shared" ref="K815" si="3401">W815</f>
        <v>PMTCT-3.1 Percentage of HIV-exposed infants receiving a virological test for HIV within 2 months of birth</v>
      </c>
      <c r="L815" s="666" t="str">
        <f t="shared" ref="L815" si="3402">V815</f>
        <v/>
      </c>
      <c r="M815" s="651"/>
      <c r="N815" s="651"/>
      <c r="P815" s="189">
        <f t="shared" ref="P815" si="3403">IF(AND(EXACT(C815,C813),C813&lt;&gt;0),P813+1,0)</f>
        <v>17</v>
      </c>
      <c r="Q815" s="189" t="str">
        <f t="shared" ref="Q815" si="3404">IF(C815&lt;&gt;"",C815&amp;"-"&amp;P815,"")</f>
        <v>PMTCT-3.1 Pourcentage de nourrissons exposés au VIH ayant bénéficié d’un dépistage du VIH dans les 2 mois qui ont suivi leur naissance-17</v>
      </c>
      <c r="R815" s="189" t="str">
        <f t="array" ref="R815">IFERROR(IF(INDEX('Disaggregation Records'!$E$155:$E$385,MATCH(RIGHT(Q815,255),RIGHT('Disaggregation Records'!$D$155:$D$385,255),0))=0,"",INDEX('Disaggregation Records'!$E$155:$E$385,MATCH(RIGHT(Q815,255),RIGHT('Disaggregation Records'!$D$155:$D$385,255),0))),"")</f>
        <v/>
      </c>
      <c r="S815" s="189" t="str">
        <f t="array" ref="S815">IFERROR(IF(INDEX('Disaggregation Records'!$F$155:$F$385,MATCH(RIGHT(Q815,255),RIGHT('Disaggregation Records'!$D$155:$D$385,255),0))=0,"",INDEX('Disaggregation Records'!$F$155:$F$385,MATCH(RIGHT(Q815,255),RIGHT('Disaggregation Records'!$D$155:$D$385,255),0))),"")</f>
        <v/>
      </c>
      <c r="T815" s="189" t="str">
        <f t="array" ref="T815">IFERROR(IF(INDEX('Disaggregation Records'!$H$155:$H$385,MATCH(RIGHT(Q815,255),RIGHT('Disaggregation Records'!$D$155:$D$385,255),0))=0,"",INDEX('Disaggregation Records'!$H$155:$H$385,MATCH(RIGHT(Q815,255),RIGHT('Disaggregation Records'!$D$155:$D$385,255),0))),"")</f>
        <v/>
      </c>
      <c r="U815" s="189">
        <f t="shared" ref="U815" si="3405">U813+1</f>
        <v>1509</v>
      </c>
      <c r="V815" s="189" t="str">
        <f t="array" ref="V815">IFERROR(IF(INDEX('Disaggregation Records'!$I$155:$I$385,MATCH(RIGHT(Q815,255),RIGHT('Disaggregation Records'!$D$155:$D$385,255),0))=0,"",INDEX('Disaggregation Records'!$I$155:$I$385,MATCH(RIGHT(Q815,255),RIGHT('Disaggregation Records'!$D$155:$D$385,255),0))),"")</f>
        <v/>
      </c>
      <c r="W815" s="189" t="str">
        <f>IFERROR(INDEX('Reference Records'!L$59:L$121,MATCH(LEFT(C815,255),'Reference Records'!E$59:E$121,0)),"")</f>
        <v>PMTCT-3.1 Percentage of HIV-exposed infants receiving a virological test for HIV within 2 months of birth</v>
      </c>
    </row>
    <row r="816" spans="1:23" s="189" customFormat="1" ht="40.200000000000003" customHeight="1" x14ac:dyDescent="0.3">
      <c r="A816" s="678"/>
      <c r="B816" s="675"/>
      <c r="C816" s="667"/>
      <c r="D816" s="677"/>
      <c r="E816" s="677"/>
      <c r="F816" s="202"/>
      <c r="G816" s="669"/>
      <c r="H816" s="671"/>
      <c r="I816" s="673"/>
      <c r="J816" s="652"/>
      <c r="K816" s="667"/>
      <c r="L816" s="667"/>
      <c r="M816" s="652"/>
      <c r="N816" s="652"/>
    </row>
    <row r="817" spans="1:23" s="189" customFormat="1" ht="40.200000000000003" customHeight="1" x14ac:dyDescent="0.3">
      <c r="A817" s="678" t="str">
        <f t="shared" ref="A817" ca="1" si="3406">INDIRECT("'update Helper'!C"&amp;U817)</f>
        <v>a163p000002zQaxAAE</v>
      </c>
      <c r="B817" s="674">
        <v>5</v>
      </c>
      <c r="C817" s="666" t="str">
        <f>VLOOKUP(B817,'Coverage Indicators - Section D'!$A$9:$AU$70,47,FALSE)</f>
        <v>PMTCT-3.1 Pourcentage de nourrissons exposés au VIH ayant bénéficié d’un dépistage du VIH dans les 2 mois qui ont suivi leur naissance</v>
      </c>
      <c r="D817" s="676" t="str">
        <f t="shared" ref="D817" si="3407">R817</f>
        <v/>
      </c>
      <c r="E817" s="676" t="str">
        <f t="shared" ref="E817" si="3408">S817</f>
        <v/>
      </c>
      <c r="F817" s="194"/>
      <c r="G817" s="668" t="str">
        <f t="shared" ref="G817" ca="1" si="3409">IF(OR(INDIRECT("'update Helper'!E"&amp;U817)=0,F817&lt;&gt;0,F818&lt;&gt;0),IF(IFERROR((F817/F818),"")="","",(F817/F818)),INDIRECT("'update Helper'!E"&amp;U817)/100)</f>
        <v/>
      </c>
      <c r="H817" s="670"/>
      <c r="I817" s="672"/>
      <c r="J817" s="651"/>
      <c r="K817" s="666" t="str">
        <f t="shared" ref="K817" si="3410">W817</f>
        <v>PMTCT-3.1 Percentage of HIV-exposed infants receiving a virological test for HIV within 2 months of birth</v>
      </c>
      <c r="L817" s="666" t="str">
        <f t="shared" ref="L817" si="3411">V817</f>
        <v/>
      </c>
      <c r="M817" s="651"/>
      <c r="N817" s="651"/>
      <c r="P817" s="189">
        <f t="shared" ref="P817" si="3412">IF(AND(EXACT(C817,C815),C815&lt;&gt;0),P815+1,0)</f>
        <v>18</v>
      </c>
      <c r="Q817" s="189" t="str">
        <f t="shared" ref="Q817" si="3413">IF(C817&lt;&gt;"",C817&amp;"-"&amp;P817,"")</f>
        <v>PMTCT-3.1 Pourcentage de nourrissons exposés au VIH ayant bénéficié d’un dépistage du VIH dans les 2 mois qui ont suivi leur naissance-18</v>
      </c>
      <c r="R817" s="189" t="str">
        <f t="array" ref="R817">IFERROR(IF(INDEX('Disaggregation Records'!$E$155:$E$385,MATCH(RIGHT(Q817,255),RIGHT('Disaggregation Records'!$D$155:$D$385,255),0))=0,"",INDEX('Disaggregation Records'!$E$155:$E$385,MATCH(RIGHT(Q817,255),RIGHT('Disaggregation Records'!$D$155:$D$385,255),0))),"")</f>
        <v/>
      </c>
      <c r="S817" s="189" t="str">
        <f t="array" ref="S817">IFERROR(IF(INDEX('Disaggregation Records'!$F$155:$F$385,MATCH(RIGHT(Q817,255),RIGHT('Disaggregation Records'!$D$155:$D$385,255),0))=0,"",INDEX('Disaggregation Records'!$F$155:$F$385,MATCH(RIGHT(Q817,255),RIGHT('Disaggregation Records'!$D$155:$D$385,255),0))),"")</f>
        <v/>
      </c>
      <c r="T817" s="189" t="str">
        <f t="array" ref="T817">IFERROR(IF(INDEX('Disaggregation Records'!$H$155:$H$385,MATCH(RIGHT(Q817,255),RIGHT('Disaggregation Records'!$D$155:$D$385,255),0))=0,"",INDEX('Disaggregation Records'!$H$155:$H$385,MATCH(RIGHT(Q817,255),RIGHT('Disaggregation Records'!$D$155:$D$385,255),0))),"")</f>
        <v/>
      </c>
      <c r="U817" s="189">
        <f t="shared" ref="U817" si="3414">U815+1</f>
        <v>1510</v>
      </c>
      <c r="V817" s="189" t="str">
        <f t="array" ref="V817">IFERROR(IF(INDEX('Disaggregation Records'!$I$155:$I$385,MATCH(RIGHT(Q817,255),RIGHT('Disaggregation Records'!$D$155:$D$385,255),0))=0,"",INDEX('Disaggregation Records'!$I$155:$I$385,MATCH(RIGHT(Q817,255),RIGHT('Disaggregation Records'!$D$155:$D$385,255),0))),"")</f>
        <v/>
      </c>
      <c r="W817" s="189" t="str">
        <f>IFERROR(INDEX('Reference Records'!L$59:L$121,MATCH(LEFT(C817,255),'Reference Records'!E$59:E$121,0)),"")</f>
        <v>PMTCT-3.1 Percentage of HIV-exposed infants receiving a virological test for HIV within 2 months of birth</v>
      </c>
    </row>
    <row r="818" spans="1:23" s="189" customFormat="1" ht="40.200000000000003" customHeight="1" x14ac:dyDescent="0.3">
      <c r="A818" s="678"/>
      <c r="B818" s="675"/>
      <c r="C818" s="667"/>
      <c r="D818" s="677"/>
      <c r="E818" s="677"/>
      <c r="F818" s="202"/>
      <c r="G818" s="669"/>
      <c r="H818" s="671"/>
      <c r="I818" s="673"/>
      <c r="J818" s="652"/>
      <c r="K818" s="667"/>
      <c r="L818" s="667"/>
      <c r="M818" s="652"/>
      <c r="N818" s="652"/>
    </row>
    <row r="819" spans="1:23" s="189" customFormat="1" ht="40.200000000000003" customHeight="1" x14ac:dyDescent="0.3">
      <c r="A819" s="678" t="str">
        <f t="shared" ref="A819" ca="1" si="3415">INDIRECT("'update Helper'!C"&amp;U819)</f>
        <v>a163p000002zQayAAE</v>
      </c>
      <c r="B819" s="674">
        <v>5</v>
      </c>
      <c r="C819" s="666" t="str">
        <f>VLOOKUP(B819,'Coverage Indicators - Section D'!$A$9:$AU$70,47,FALSE)</f>
        <v>PMTCT-3.1 Pourcentage de nourrissons exposés au VIH ayant bénéficié d’un dépistage du VIH dans les 2 mois qui ont suivi leur naissance</v>
      </c>
      <c r="D819" s="676" t="str">
        <f t="shared" ref="D819" si="3416">R819</f>
        <v/>
      </c>
      <c r="E819" s="676" t="str">
        <f t="shared" ref="E819" si="3417">S819</f>
        <v/>
      </c>
      <c r="F819" s="194"/>
      <c r="G819" s="668" t="str">
        <f t="shared" ref="G819" ca="1" si="3418">IF(OR(INDIRECT("'update Helper'!E"&amp;U819)=0,F819&lt;&gt;0,F820&lt;&gt;0),IF(IFERROR((F819/F820),"")="","",(F819/F820)),INDIRECT("'update Helper'!E"&amp;U819)/100)</f>
        <v/>
      </c>
      <c r="H819" s="670"/>
      <c r="I819" s="672"/>
      <c r="J819" s="651"/>
      <c r="K819" s="666" t="str">
        <f t="shared" ref="K819" si="3419">W819</f>
        <v>PMTCT-3.1 Percentage of HIV-exposed infants receiving a virological test for HIV within 2 months of birth</v>
      </c>
      <c r="L819" s="666" t="str">
        <f t="shared" ref="L819" si="3420">V819</f>
        <v/>
      </c>
      <c r="M819" s="651"/>
      <c r="N819" s="651"/>
      <c r="P819" s="189">
        <f t="shared" ref="P819" si="3421">IF(AND(EXACT(C819,C817),C817&lt;&gt;0),P817+1,0)</f>
        <v>19</v>
      </c>
      <c r="Q819" s="189" t="str">
        <f t="shared" ref="Q819" si="3422">IF(C819&lt;&gt;"",C819&amp;"-"&amp;P819,"")</f>
        <v>PMTCT-3.1 Pourcentage de nourrissons exposés au VIH ayant bénéficié d’un dépistage du VIH dans les 2 mois qui ont suivi leur naissance-19</v>
      </c>
      <c r="R819" s="189" t="str">
        <f t="array" ref="R819">IFERROR(IF(INDEX('Disaggregation Records'!$E$155:$E$385,MATCH(RIGHT(Q819,255),RIGHT('Disaggregation Records'!$D$155:$D$385,255),0))=0,"",INDEX('Disaggregation Records'!$E$155:$E$385,MATCH(RIGHT(Q819,255),RIGHT('Disaggregation Records'!$D$155:$D$385,255),0))),"")</f>
        <v/>
      </c>
      <c r="S819" s="189" t="str">
        <f t="array" ref="S819">IFERROR(IF(INDEX('Disaggregation Records'!$F$155:$F$385,MATCH(RIGHT(Q819,255),RIGHT('Disaggregation Records'!$D$155:$D$385,255),0))=0,"",INDEX('Disaggregation Records'!$F$155:$F$385,MATCH(RIGHT(Q819,255),RIGHT('Disaggregation Records'!$D$155:$D$385,255),0))),"")</f>
        <v/>
      </c>
      <c r="T819" s="189" t="str">
        <f t="array" ref="T819">IFERROR(IF(INDEX('Disaggregation Records'!$H$155:$H$385,MATCH(RIGHT(Q819,255),RIGHT('Disaggregation Records'!$D$155:$D$385,255),0))=0,"",INDEX('Disaggregation Records'!$H$155:$H$385,MATCH(RIGHT(Q819,255),RIGHT('Disaggregation Records'!$D$155:$D$385,255),0))),"")</f>
        <v/>
      </c>
      <c r="U819" s="189">
        <f t="shared" ref="U819" si="3423">U817+1</f>
        <v>1511</v>
      </c>
      <c r="V819" s="189" t="str">
        <f t="array" ref="V819">IFERROR(IF(INDEX('Disaggregation Records'!$I$155:$I$385,MATCH(RIGHT(Q819,255),RIGHT('Disaggregation Records'!$D$155:$D$385,255),0))=0,"",INDEX('Disaggregation Records'!$I$155:$I$385,MATCH(RIGHT(Q819,255),RIGHT('Disaggregation Records'!$D$155:$D$385,255),0))),"")</f>
        <v/>
      </c>
      <c r="W819" s="189" t="str">
        <f>IFERROR(INDEX('Reference Records'!L$59:L$121,MATCH(LEFT(C819,255),'Reference Records'!E$59:E$121,0)),"")</f>
        <v>PMTCT-3.1 Percentage of HIV-exposed infants receiving a virological test for HIV within 2 months of birth</v>
      </c>
    </row>
    <row r="820" spans="1:23" s="189" customFormat="1" ht="40.200000000000003" customHeight="1" x14ac:dyDescent="0.3">
      <c r="A820" s="678"/>
      <c r="B820" s="675"/>
      <c r="C820" s="667"/>
      <c r="D820" s="677"/>
      <c r="E820" s="677"/>
      <c r="F820" s="202"/>
      <c r="G820" s="669"/>
      <c r="H820" s="671"/>
      <c r="I820" s="673"/>
      <c r="J820" s="652"/>
      <c r="K820" s="667"/>
      <c r="L820" s="667"/>
      <c r="M820" s="652"/>
      <c r="N820" s="652"/>
    </row>
    <row r="821" spans="1:23" s="189" customFormat="1" ht="40.200000000000003" customHeight="1" x14ac:dyDescent="0.3">
      <c r="A821" s="678" t="str">
        <f t="shared" ref="A821" ca="1" si="3424">INDIRECT("'update Helper'!C"&amp;U821)</f>
        <v>a163p000002zQazAAE</v>
      </c>
      <c r="B821" s="674">
        <v>6</v>
      </c>
      <c r="C821" s="666" t="str">
        <f>VLOOKUP(B821,'Coverage Indicators - Section D'!$A$9:$AU$70,47,FALSE)</f>
        <v>TCS-1.1⁽ᴹ⁾ Pourcentage de personnes sous TARV parmi toutes les personnes vivant avec le VIH à la fin de la période de rapportage</v>
      </c>
      <c r="D821" s="676" t="str">
        <f t="shared" ref="D821" si="3425">R821</f>
        <v>Age</v>
      </c>
      <c r="E821" s="676" t="str">
        <f t="shared" ref="E821" si="3426">S821</f>
        <v>&lt;15</v>
      </c>
      <c r="F821" s="194"/>
      <c r="G821" s="668" t="str">
        <f t="shared" ref="G821" ca="1" si="3427">IF(OR(INDIRECT("'update Helper'!E"&amp;U821)=0,F821&lt;&gt;0,F822&lt;&gt;0),IF(IFERROR((F821/F822),"")="","",(F821/F822)),INDIRECT("'update Helper'!E"&amp;U821)/100)</f>
        <v/>
      </c>
      <c r="H821" s="670"/>
      <c r="I821" s="672"/>
      <c r="J821" s="651"/>
      <c r="K821" s="666" t="str">
        <f t="shared" ref="K821" si="3428">W821</f>
        <v>TCS-1.1⁽ᴹ⁾ Percentage of people on ART among all people living with HIV at the end of the reporting period</v>
      </c>
      <c r="L821" s="666" t="str">
        <f t="shared" ref="L821" si="3429">V821</f>
        <v>Age</v>
      </c>
      <c r="M821" s="651"/>
      <c r="N821" s="651"/>
      <c r="P821" s="189">
        <f t="shared" ref="P821" si="3430">IF(AND(EXACT(C821,C819),C819&lt;&gt;0),P819+1,0)</f>
        <v>0</v>
      </c>
      <c r="Q821" s="189" t="str">
        <f t="shared" ref="Q821" si="3431">IF(C821&lt;&gt;"",C821&amp;"-"&amp;P821,"")</f>
        <v>TCS-1.1⁽ᴹ⁾ Pourcentage de personnes sous TARV parmi toutes les personnes vivant avec le VIH à la fin de la période de rapportage-0</v>
      </c>
      <c r="R821" s="189" t="str">
        <f t="array" ref="R821">IFERROR(IF(INDEX('Disaggregation Records'!$E$155:$E$385,MATCH(RIGHT(Q821,255),RIGHT('Disaggregation Records'!$D$155:$D$385,255),0))=0,"",INDEX('Disaggregation Records'!$E$155:$E$385,MATCH(RIGHT(Q821,255),RIGHT('Disaggregation Records'!$D$155:$D$385,255),0))),"")</f>
        <v>Age</v>
      </c>
      <c r="S821" s="189" t="str">
        <f t="array" ref="S821">IFERROR(IF(INDEX('Disaggregation Records'!$F$155:$F$385,MATCH(RIGHT(Q821,255),RIGHT('Disaggregation Records'!$D$155:$D$385,255),0))=0,"",INDEX('Disaggregation Records'!$F$155:$F$385,MATCH(RIGHT(Q821,255),RIGHT('Disaggregation Records'!$D$155:$D$385,255),0))),"")</f>
        <v>&lt;15</v>
      </c>
      <c r="T821" s="189" t="str">
        <f t="array" ref="T821">IFERROR(IF(INDEX('Disaggregation Records'!$H$155:$H$385,MATCH(RIGHT(Q821,255),RIGHT('Disaggregation Records'!$D$155:$D$385,255),0))=0,"",INDEX('Disaggregation Records'!$H$155:$H$385,MATCH(RIGHT(Q821,255),RIGHT('Disaggregation Records'!$D$155:$D$385,255),0))),"")</f>
        <v>IDR-00723</v>
      </c>
      <c r="U821" s="189">
        <f t="shared" ref="U821" si="3432">U819+1</f>
        <v>1512</v>
      </c>
      <c r="V821" s="189" t="str">
        <f t="array" ref="V821">IFERROR(IF(INDEX('Disaggregation Records'!$I$155:$I$385,MATCH(RIGHT(Q821,255),RIGHT('Disaggregation Records'!$D$155:$D$385,255),0))=0,"",INDEX('Disaggregation Records'!$I$155:$I$385,MATCH(RIGHT(Q821,255),RIGHT('Disaggregation Records'!$D$155:$D$385,255),0))),"")</f>
        <v>Age</v>
      </c>
      <c r="W821" s="189" t="str">
        <f>IFERROR(INDEX('Reference Records'!L$59:L$121,MATCH(LEFT(C821,255),'Reference Records'!E$59:E$121,0)),"")</f>
        <v>TCS-1.1⁽ᴹ⁾ Percentage of people on ART among all people living with HIV at the end of the reporting period</v>
      </c>
    </row>
    <row r="822" spans="1:23" s="189" customFormat="1" ht="40.200000000000003" customHeight="1" x14ac:dyDescent="0.3">
      <c r="A822" s="678"/>
      <c r="B822" s="675"/>
      <c r="C822" s="667"/>
      <c r="D822" s="677"/>
      <c r="E822" s="677"/>
      <c r="F822" s="202"/>
      <c r="G822" s="669"/>
      <c r="H822" s="671"/>
      <c r="I822" s="673"/>
      <c r="J822" s="652"/>
      <c r="K822" s="667"/>
      <c r="L822" s="667"/>
      <c r="M822" s="652"/>
      <c r="N822" s="652"/>
    </row>
    <row r="823" spans="1:23" s="189" customFormat="1" ht="40.200000000000003" customHeight="1" x14ac:dyDescent="0.3">
      <c r="A823" s="678" t="str">
        <f t="shared" ref="A823" ca="1" si="3433">INDIRECT("'update Helper'!C"&amp;U823)</f>
        <v>a163p000002zQb0AAE</v>
      </c>
      <c r="B823" s="674">
        <v>6</v>
      </c>
      <c r="C823" s="666" t="str">
        <f>VLOOKUP(B823,'Coverage Indicators - Section D'!$A$9:$AU$70,47,FALSE)</f>
        <v>TCS-1.1⁽ᴹ⁾ Pourcentage de personnes sous TARV parmi toutes les personnes vivant avec le VIH à la fin de la période de rapportage</v>
      </c>
      <c r="D823" s="676" t="str">
        <f t="shared" ref="D823" si="3434">R823</f>
        <v>Age</v>
      </c>
      <c r="E823" s="676" t="str">
        <f t="shared" ref="E823" si="3435">S823</f>
        <v>15+</v>
      </c>
      <c r="F823" s="194"/>
      <c r="G823" s="668" t="str">
        <f t="shared" ref="G823" ca="1" si="3436">IF(OR(INDIRECT("'update Helper'!E"&amp;U823)=0,F823&lt;&gt;0,F824&lt;&gt;0),IF(IFERROR((F823/F824),"")="","",(F823/F824)),INDIRECT("'update Helper'!E"&amp;U823)/100)</f>
        <v/>
      </c>
      <c r="H823" s="670"/>
      <c r="I823" s="672"/>
      <c r="J823" s="651"/>
      <c r="K823" s="666" t="str">
        <f t="shared" ref="K823" si="3437">W823</f>
        <v>TCS-1.1⁽ᴹ⁾ Percentage of people on ART among all people living with HIV at the end of the reporting period</v>
      </c>
      <c r="L823" s="666" t="str">
        <f t="shared" ref="L823" si="3438">V823</f>
        <v>Age</v>
      </c>
      <c r="M823" s="651"/>
      <c r="N823" s="651"/>
      <c r="P823" s="189">
        <f t="shared" ref="P823" si="3439">IF(AND(EXACT(C823,C821),C821&lt;&gt;0),P821+1,0)</f>
        <v>1</v>
      </c>
      <c r="Q823" s="189" t="str">
        <f t="shared" ref="Q823" si="3440">IF(C823&lt;&gt;"",C823&amp;"-"&amp;P823,"")</f>
        <v>TCS-1.1⁽ᴹ⁾ Pourcentage de personnes sous TARV parmi toutes les personnes vivant avec le VIH à la fin de la période de rapportage-1</v>
      </c>
      <c r="R823" s="189" t="str">
        <f t="array" ref="R823">IFERROR(IF(INDEX('Disaggregation Records'!$E$155:$E$385,MATCH(RIGHT(Q823,255),RIGHT('Disaggregation Records'!$D$155:$D$385,255),0))=0,"",INDEX('Disaggregation Records'!$E$155:$E$385,MATCH(RIGHT(Q823,255),RIGHT('Disaggregation Records'!$D$155:$D$385,255),0))),"")</f>
        <v>Age</v>
      </c>
      <c r="S823" s="189" t="str">
        <f t="array" ref="S823">IFERROR(IF(INDEX('Disaggregation Records'!$F$155:$F$385,MATCH(RIGHT(Q823,255),RIGHT('Disaggregation Records'!$D$155:$D$385,255),0))=0,"",INDEX('Disaggregation Records'!$F$155:$F$385,MATCH(RIGHT(Q823,255),RIGHT('Disaggregation Records'!$D$155:$D$385,255),0))),"")</f>
        <v>15+</v>
      </c>
      <c r="T823" s="189" t="str">
        <f t="array" ref="T823">IFERROR(IF(INDEX('Disaggregation Records'!$H$155:$H$385,MATCH(RIGHT(Q823,255),RIGHT('Disaggregation Records'!$D$155:$D$385,255),0))=0,"",INDEX('Disaggregation Records'!$H$155:$H$385,MATCH(RIGHT(Q823,255),RIGHT('Disaggregation Records'!$D$155:$D$385,255),0))),"")</f>
        <v>IDR-00724</v>
      </c>
      <c r="U823" s="189">
        <f t="shared" ref="U823" si="3441">U821+1</f>
        <v>1513</v>
      </c>
      <c r="V823" s="189" t="str">
        <f t="array" ref="V823">IFERROR(IF(INDEX('Disaggregation Records'!$I$155:$I$385,MATCH(RIGHT(Q823,255),RIGHT('Disaggregation Records'!$D$155:$D$385,255),0))=0,"",INDEX('Disaggregation Records'!$I$155:$I$385,MATCH(RIGHT(Q823,255),RIGHT('Disaggregation Records'!$D$155:$D$385,255),0))),"")</f>
        <v>Age</v>
      </c>
      <c r="W823" s="189" t="str">
        <f>IFERROR(INDEX('Reference Records'!L$59:L$121,MATCH(LEFT(C823,255),'Reference Records'!E$59:E$121,0)),"")</f>
        <v>TCS-1.1⁽ᴹ⁾ Percentage of people on ART among all people living with HIV at the end of the reporting period</v>
      </c>
    </row>
    <row r="824" spans="1:23" s="189" customFormat="1" ht="40.200000000000003" customHeight="1" x14ac:dyDescent="0.3">
      <c r="A824" s="678"/>
      <c r="B824" s="675"/>
      <c r="C824" s="667"/>
      <c r="D824" s="677"/>
      <c r="E824" s="677"/>
      <c r="F824" s="202"/>
      <c r="G824" s="669"/>
      <c r="H824" s="671"/>
      <c r="I824" s="673"/>
      <c r="J824" s="652"/>
      <c r="K824" s="667"/>
      <c r="L824" s="667"/>
      <c r="M824" s="652"/>
      <c r="N824" s="652"/>
    </row>
    <row r="825" spans="1:23" s="189" customFormat="1" ht="40.200000000000003" customHeight="1" x14ac:dyDescent="0.3">
      <c r="A825" s="678" t="str">
        <f t="shared" ref="A825" ca="1" si="3442">INDIRECT("'update Helper'!C"&amp;U825)</f>
        <v>a163p000002zQb1AAE</v>
      </c>
      <c r="B825" s="674">
        <v>6</v>
      </c>
      <c r="C825" s="666" t="str">
        <f>VLOOKUP(B825,'Coverage Indicators - Section D'!$A$9:$AU$70,47,FALSE)</f>
        <v>TCS-1.1⁽ᴹ⁾ Pourcentage de personnes sous TARV parmi toutes les personnes vivant avec le VIH à la fin de la période de rapportage</v>
      </c>
      <c r="D825" s="676" t="str">
        <f t="shared" ref="D825" si="3443">R825</f>
        <v>Durée du traitement</v>
      </c>
      <c r="E825" s="676" t="str">
        <f t="shared" ref="E825" si="3444">S825</f>
        <v>Ayant récemment commencé un traitement antirétroviral</v>
      </c>
      <c r="F825" s="194"/>
      <c r="G825" s="668" t="str">
        <f t="shared" ref="G825" ca="1" si="3445">IF(OR(INDIRECT("'update Helper'!E"&amp;U825)=0,F825&lt;&gt;0,F826&lt;&gt;0),IF(IFERROR((F825/F826),"")="","",(F825/F826)),INDIRECT("'update Helper'!E"&amp;U825)/100)</f>
        <v/>
      </c>
      <c r="H825" s="670"/>
      <c r="I825" s="672"/>
      <c r="J825" s="651"/>
      <c r="K825" s="666" t="str">
        <f t="shared" ref="K825" si="3446">W825</f>
        <v>TCS-1.1⁽ᴹ⁾ Percentage of people on ART among all people living with HIV at the end of the reporting period</v>
      </c>
      <c r="L825" s="666" t="str">
        <f t="shared" ref="L825" si="3447">V825</f>
        <v>Duration of treatment</v>
      </c>
      <c r="M825" s="651"/>
      <c r="N825" s="651"/>
      <c r="P825" s="189">
        <f t="shared" ref="P825" si="3448">IF(AND(EXACT(C825,C823),C823&lt;&gt;0),P823+1,0)</f>
        <v>2</v>
      </c>
      <c r="Q825" s="189" t="str">
        <f t="shared" ref="Q825" si="3449">IF(C825&lt;&gt;"",C825&amp;"-"&amp;P825,"")</f>
        <v>TCS-1.1⁽ᴹ⁾ Pourcentage de personnes sous TARV parmi toutes les personnes vivant avec le VIH à la fin de la période de rapportage-2</v>
      </c>
      <c r="R825" s="189" t="str">
        <f t="array" ref="R825">IFERROR(IF(INDEX('Disaggregation Records'!$E$155:$E$385,MATCH(RIGHT(Q825,255),RIGHT('Disaggregation Records'!$D$155:$D$385,255),0))=0,"",INDEX('Disaggregation Records'!$E$155:$E$385,MATCH(RIGHT(Q825,255),RIGHT('Disaggregation Records'!$D$155:$D$385,255),0))),"")</f>
        <v>Durée du traitement</v>
      </c>
      <c r="S825" s="189" t="str">
        <f t="array" ref="S825">IFERROR(IF(INDEX('Disaggregation Records'!$F$155:$F$385,MATCH(RIGHT(Q825,255),RIGHT('Disaggregation Records'!$D$155:$D$385,255),0))=0,"",INDEX('Disaggregation Records'!$F$155:$F$385,MATCH(RIGHT(Q825,255),RIGHT('Disaggregation Records'!$D$155:$D$385,255),0))),"")</f>
        <v>Ayant récemment commencé un traitement antirétroviral</v>
      </c>
      <c r="T825" s="189" t="str">
        <f t="array" ref="T825">IFERROR(IF(INDEX('Disaggregation Records'!$H$155:$H$385,MATCH(RIGHT(Q825,255),RIGHT('Disaggregation Records'!$D$155:$D$385,255),0))=0,"",INDEX('Disaggregation Records'!$H$155:$H$385,MATCH(RIGHT(Q825,255),RIGHT('Disaggregation Records'!$D$155:$D$385,255),0))),"")</f>
        <v>IDR-00904</v>
      </c>
      <c r="U825" s="189">
        <f t="shared" ref="U825" si="3450">U823+1</f>
        <v>1514</v>
      </c>
      <c r="V825" s="189" t="str">
        <f t="array" ref="V825">IFERROR(IF(INDEX('Disaggregation Records'!$I$155:$I$385,MATCH(RIGHT(Q825,255),RIGHT('Disaggregation Records'!$D$155:$D$385,255),0))=0,"",INDEX('Disaggregation Records'!$I$155:$I$385,MATCH(RIGHT(Q825,255),RIGHT('Disaggregation Records'!$D$155:$D$385,255),0))),"")</f>
        <v>Duration of treatment</v>
      </c>
      <c r="W825" s="189" t="str">
        <f>IFERROR(INDEX('Reference Records'!L$59:L$121,MATCH(LEFT(C825,255),'Reference Records'!E$59:E$121,0)),"")</f>
        <v>TCS-1.1⁽ᴹ⁾ Percentage of people on ART among all people living with HIV at the end of the reporting period</v>
      </c>
    </row>
    <row r="826" spans="1:23" s="189" customFormat="1" ht="40.200000000000003" customHeight="1" x14ac:dyDescent="0.3">
      <c r="A826" s="678"/>
      <c r="B826" s="675"/>
      <c r="C826" s="667"/>
      <c r="D826" s="677"/>
      <c r="E826" s="677"/>
      <c r="F826" s="202"/>
      <c r="G826" s="669"/>
      <c r="H826" s="671"/>
      <c r="I826" s="673"/>
      <c r="J826" s="652"/>
      <c r="K826" s="667"/>
      <c r="L826" s="667"/>
      <c r="M826" s="652"/>
      <c r="N826" s="652"/>
    </row>
    <row r="827" spans="1:23" s="189" customFormat="1" ht="40.200000000000003" customHeight="1" x14ac:dyDescent="0.3">
      <c r="A827" s="678" t="str">
        <f t="shared" ref="A827" ca="1" si="3451">INDIRECT("'update Helper'!C"&amp;U827)</f>
        <v>a163p000002zQb2AAE</v>
      </c>
      <c r="B827" s="674">
        <v>6</v>
      </c>
      <c r="C827" s="666" t="str">
        <f>VLOOKUP(B827,'Coverage Indicators - Section D'!$A$9:$AU$70,47,FALSE)</f>
        <v>TCS-1.1⁽ᴹ⁾ Pourcentage de personnes sous TARV parmi toutes les personnes vivant avec le VIH à la fin de la période de rapportage</v>
      </c>
      <c r="D827" s="676" t="str">
        <f t="shared" ref="D827" si="3452">R827</f>
        <v>Sexe</v>
      </c>
      <c r="E827" s="676" t="str">
        <f t="shared" ref="E827" si="3453">S827</f>
        <v>Homme</v>
      </c>
      <c r="F827" s="194"/>
      <c r="G827" s="668" t="str">
        <f t="shared" ref="G827" ca="1" si="3454">IF(OR(INDIRECT("'update Helper'!E"&amp;U827)=0,F827&lt;&gt;0,F828&lt;&gt;0),IF(IFERROR((F827/F828),"")="","",(F827/F828)),INDIRECT("'update Helper'!E"&amp;U827)/100)</f>
        <v/>
      </c>
      <c r="H827" s="670"/>
      <c r="I827" s="672"/>
      <c r="J827" s="651"/>
      <c r="K827" s="666" t="str">
        <f t="shared" ref="K827" si="3455">W827</f>
        <v>TCS-1.1⁽ᴹ⁾ Percentage of people on ART among all people living with HIV at the end of the reporting period</v>
      </c>
      <c r="L827" s="666" t="str">
        <f t="shared" ref="L827" si="3456">V827</f>
        <v>Gender</v>
      </c>
      <c r="M827" s="651"/>
      <c r="N827" s="651"/>
      <c r="P827" s="189">
        <f t="shared" ref="P827" si="3457">IF(AND(EXACT(C827,C825),C825&lt;&gt;0),P825+1,0)</f>
        <v>3</v>
      </c>
      <c r="Q827" s="189" t="str">
        <f t="shared" ref="Q827" si="3458">IF(C827&lt;&gt;"",C827&amp;"-"&amp;P827,"")</f>
        <v>TCS-1.1⁽ᴹ⁾ Pourcentage de personnes sous TARV parmi toutes les personnes vivant avec le VIH à la fin de la période de rapportage-3</v>
      </c>
      <c r="R827" s="189" t="str">
        <f t="array" ref="R827">IFERROR(IF(INDEX('Disaggregation Records'!$E$155:$E$385,MATCH(RIGHT(Q827,255),RIGHT('Disaggregation Records'!$D$155:$D$385,255),0))=0,"",INDEX('Disaggregation Records'!$E$155:$E$385,MATCH(RIGHT(Q827,255),RIGHT('Disaggregation Records'!$D$155:$D$385,255),0))),"")</f>
        <v>Sexe</v>
      </c>
      <c r="S827" s="189" t="str">
        <f t="array" ref="S827">IFERROR(IF(INDEX('Disaggregation Records'!$F$155:$F$385,MATCH(RIGHT(Q827,255),RIGHT('Disaggregation Records'!$D$155:$D$385,255),0))=0,"",INDEX('Disaggregation Records'!$F$155:$F$385,MATCH(RIGHT(Q827,255),RIGHT('Disaggregation Records'!$D$155:$D$385,255),0))),"")</f>
        <v>Homme</v>
      </c>
      <c r="T827" s="189" t="str">
        <f t="array" ref="T827">IFERROR(IF(INDEX('Disaggregation Records'!$H$155:$H$385,MATCH(RIGHT(Q827,255),RIGHT('Disaggregation Records'!$D$155:$D$385,255),0))=0,"",INDEX('Disaggregation Records'!$H$155:$H$385,MATCH(RIGHT(Q827,255),RIGHT('Disaggregation Records'!$D$155:$D$385,255),0))),"")</f>
        <v>IDR-00844</v>
      </c>
      <c r="U827" s="189">
        <f t="shared" ref="U827" si="3459">U825+1</f>
        <v>1515</v>
      </c>
      <c r="V827" s="189" t="str">
        <f t="array" ref="V827">IFERROR(IF(INDEX('Disaggregation Records'!$I$155:$I$385,MATCH(RIGHT(Q827,255),RIGHT('Disaggregation Records'!$D$155:$D$385,255),0))=0,"",INDEX('Disaggregation Records'!$I$155:$I$385,MATCH(RIGHT(Q827,255),RIGHT('Disaggregation Records'!$D$155:$D$385,255),0))),"")</f>
        <v>Gender</v>
      </c>
      <c r="W827" s="189" t="str">
        <f>IFERROR(INDEX('Reference Records'!L$59:L$121,MATCH(LEFT(C827,255),'Reference Records'!E$59:E$121,0)),"")</f>
        <v>TCS-1.1⁽ᴹ⁾ Percentage of people on ART among all people living with HIV at the end of the reporting period</v>
      </c>
    </row>
    <row r="828" spans="1:23" s="189" customFormat="1" ht="40.200000000000003" customHeight="1" x14ac:dyDescent="0.3">
      <c r="A828" s="678"/>
      <c r="B828" s="675"/>
      <c r="C828" s="667"/>
      <c r="D828" s="677"/>
      <c r="E828" s="677"/>
      <c r="F828" s="202"/>
      <c r="G828" s="669"/>
      <c r="H828" s="671"/>
      <c r="I828" s="673"/>
      <c r="J828" s="652"/>
      <c r="K828" s="667"/>
      <c r="L828" s="667"/>
      <c r="M828" s="652"/>
      <c r="N828" s="652"/>
    </row>
    <row r="829" spans="1:23" s="189" customFormat="1" ht="40.200000000000003" customHeight="1" x14ac:dyDescent="0.3">
      <c r="A829" s="678" t="str">
        <f t="shared" ref="A829" ca="1" si="3460">INDIRECT("'update Helper'!C"&amp;U829)</f>
        <v>a163p000002zQb3AAE</v>
      </c>
      <c r="B829" s="674">
        <v>6</v>
      </c>
      <c r="C829" s="666" t="str">
        <f>VLOOKUP(B829,'Coverage Indicators - Section D'!$A$9:$AU$70,47,FALSE)</f>
        <v>TCS-1.1⁽ᴹ⁾ Pourcentage de personnes sous TARV parmi toutes les personnes vivant avec le VIH à la fin de la période de rapportage</v>
      </c>
      <c r="D829" s="676" t="str">
        <f t="shared" ref="D829" si="3461">R829</f>
        <v>Sexe</v>
      </c>
      <c r="E829" s="676" t="str">
        <f t="shared" ref="E829" si="3462">S829</f>
        <v>Femme</v>
      </c>
      <c r="F829" s="194"/>
      <c r="G829" s="668" t="str">
        <f t="shared" ref="G829" ca="1" si="3463">IF(OR(INDIRECT("'update Helper'!E"&amp;U829)=0,F829&lt;&gt;0,F830&lt;&gt;0),IF(IFERROR((F829/F830),"")="","",(F829/F830)),INDIRECT("'update Helper'!E"&amp;U829)/100)</f>
        <v/>
      </c>
      <c r="H829" s="670"/>
      <c r="I829" s="672"/>
      <c r="J829" s="651"/>
      <c r="K829" s="666" t="str">
        <f t="shared" ref="K829" si="3464">W829</f>
        <v>TCS-1.1⁽ᴹ⁾ Percentage of people on ART among all people living with HIV at the end of the reporting period</v>
      </c>
      <c r="L829" s="666" t="str">
        <f t="shared" ref="L829" si="3465">V829</f>
        <v>Gender</v>
      </c>
      <c r="M829" s="651"/>
      <c r="N829" s="651"/>
      <c r="P829" s="189">
        <f t="shared" ref="P829" si="3466">IF(AND(EXACT(C829,C827),C827&lt;&gt;0),P827+1,0)</f>
        <v>4</v>
      </c>
      <c r="Q829" s="189" t="str">
        <f t="shared" ref="Q829" si="3467">IF(C829&lt;&gt;"",C829&amp;"-"&amp;P829,"")</f>
        <v>TCS-1.1⁽ᴹ⁾ Pourcentage de personnes sous TARV parmi toutes les personnes vivant avec le VIH à la fin de la période de rapportage-4</v>
      </c>
      <c r="R829" s="189" t="str">
        <f t="array" ref="R829">IFERROR(IF(INDEX('Disaggregation Records'!$E$155:$E$385,MATCH(RIGHT(Q829,255),RIGHT('Disaggregation Records'!$D$155:$D$385,255),0))=0,"",INDEX('Disaggregation Records'!$E$155:$E$385,MATCH(RIGHT(Q829,255),RIGHT('Disaggregation Records'!$D$155:$D$385,255),0))),"")</f>
        <v>Sexe</v>
      </c>
      <c r="S829" s="189" t="str">
        <f t="array" ref="S829">IFERROR(IF(INDEX('Disaggregation Records'!$F$155:$F$385,MATCH(RIGHT(Q829,255),RIGHT('Disaggregation Records'!$D$155:$D$385,255),0))=0,"",INDEX('Disaggregation Records'!$F$155:$F$385,MATCH(RIGHT(Q829,255),RIGHT('Disaggregation Records'!$D$155:$D$385,255),0))),"")</f>
        <v>Femme</v>
      </c>
      <c r="T829" s="189" t="str">
        <f t="array" ref="T829">IFERROR(IF(INDEX('Disaggregation Records'!$H$155:$H$385,MATCH(RIGHT(Q829,255),RIGHT('Disaggregation Records'!$D$155:$D$385,255),0))=0,"",INDEX('Disaggregation Records'!$H$155:$H$385,MATCH(RIGHT(Q829,255),RIGHT('Disaggregation Records'!$D$155:$D$385,255),0))),"")</f>
        <v>IDR-00845</v>
      </c>
      <c r="U829" s="189">
        <f t="shared" ref="U829" si="3468">U827+1</f>
        <v>1516</v>
      </c>
      <c r="V829" s="189" t="str">
        <f t="array" ref="V829">IFERROR(IF(INDEX('Disaggregation Records'!$I$155:$I$385,MATCH(RIGHT(Q829,255),RIGHT('Disaggregation Records'!$D$155:$D$385,255),0))=0,"",INDEX('Disaggregation Records'!$I$155:$I$385,MATCH(RIGHT(Q829,255),RIGHT('Disaggregation Records'!$D$155:$D$385,255),0))),"")</f>
        <v>Gender</v>
      </c>
      <c r="W829" s="189" t="str">
        <f>IFERROR(INDEX('Reference Records'!L$59:L$121,MATCH(LEFT(C829,255),'Reference Records'!E$59:E$121,0)),"")</f>
        <v>TCS-1.1⁽ᴹ⁾ Percentage of people on ART among all people living with HIV at the end of the reporting period</v>
      </c>
    </row>
    <row r="830" spans="1:23" s="189" customFormat="1" ht="40.200000000000003" customHeight="1" x14ac:dyDescent="0.3">
      <c r="A830" s="678"/>
      <c r="B830" s="675"/>
      <c r="C830" s="667"/>
      <c r="D830" s="677"/>
      <c r="E830" s="677"/>
      <c r="F830" s="202"/>
      <c r="G830" s="669"/>
      <c r="H830" s="671"/>
      <c r="I830" s="673"/>
      <c r="J830" s="652"/>
      <c r="K830" s="667"/>
      <c r="L830" s="667"/>
      <c r="M830" s="652"/>
      <c r="N830" s="652"/>
    </row>
    <row r="831" spans="1:23" s="189" customFormat="1" ht="40.200000000000003" customHeight="1" x14ac:dyDescent="0.3">
      <c r="A831" s="678" t="str">
        <f t="shared" ref="A831" ca="1" si="3469">INDIRECT("'update Helper'!C"&amp;U831)</f>
        <v>a163p000002zQb4AAE</v>
      </c>
      <c r="B831" s="674">
        <v>6</v>
      </c>
      <c r="C831" s="666" t="str">
        <f>VLOOKUP(B831,'Coverage Indicators - Section D'!$A$9:$AU$70,47,FALSE)</f>
        <v>TCS-1.1⁽ᴹ⁾ Pourcentage de personnes sous TARV parmi toutes les personnes vivant avec le VIH à la fin de la période de rapportage</v>
      </c>
      <c r="D831" s="676" t="str">
        <f t="shared" ref="D831" si="3470">R831</f>
        <v>Sexe</v>
      </c>
      <c r="E831" s="676" t="str">
        <f t="shared" ref="E831" si="3471">S831</f>
        <v>Transgenre</v>
      </c>
      <c r="F831" s="194"/>
      <c r="G831" s="668" t="str">
        <f t="shared" ref="G831" ca="1" si="3472">IF(OR(INDIRECT("'update Helper'!E"&amp;U831)=0,F831&lt;&gt;0,F832&lt;&gt;0),IF(IFERROR((F831/F832),"")="","",(F831/F832)),INDIRECT("'update Helper'!E"&amp;U831)/100)</f>
        <v/>
      </c>
      <c r="H831" s="670"/>
      <c r="I831" s="672"/>
      <c r="J831" s="651"/>
      <c r="K831" s="666" t="str">
        <f t="shared" ref="K831" si="3473">W831</f>
        <v>TCS-1.1⁽ᴹ⁾ Percentage of people on ART among all people living with HIV at the end of the reporting period</v>
      </c>
      <c r="L831" s="666" t="str">
        <f t="shared" ref="L831" si="3474">V831</f>
        <v>Gender</v>
      </c>
      <c r="M831" s="651"/>
      <c r="N831" s="651"/>
      <c r="P831" s="189">
        <f t="shared" ref="P831" si="3475">IF(AND(EXACT(C831,C829),C829&lt;&gt;0),P829+1,0)</f>
        <v>5</v>
      </c>
      <c r="Q831" s="189" t="str">
        <f t="shared" ref="Q831" si="3476">IF(C831&lt;&gt;"",C831&amp;"-"&amp;P831,"")</f>
        <v>TCS-1.1⁽ᴹ⁾ Pourcentage de personnes sous TARV parmi toutes les personnes vivant avec le VIH à la fin de la période de rapportage-5</v>
      </c>
      <c r="R831" s="189" t="str">
        <f t="array" ref="R831">IFERROR(IF(INDEX('Disaggregation Records'!$E$155:$E$385,MATCH(RIGHT(Q831,255),RIGHT('Disaggregation Records'!$D$155:$D$385,255),0))=0,"",INDEX('Disaggregation Records'!$E$155:$E$385,MATCH(RIGHT(Q831,255),RIGHT('Disaggregation Records'!$D$155:$D$385,255),0))),"")</f>
        <v>Sexe</v>
      </c>
      <c r="S831" s="189" t="str">
        <f t="array" ref="S831">IFERROR(IF(INDEX('Disaggregation Records'!$F$155:$F$385,MATCH(RIGHT(Q831,255),RIGHT('Disaggregation Records'!$D$155:$D$385,255),0))=0,"",INDEX('Disaggregation Records'!$F$155:$F$385,MATCH(RIGHT(Q831,255),RIGHT('Disaggregation Records'!$D$155:$D$385,255),0))),"")</f>
        <v>Transgenre</v>
      </c>
      <c r="T831" s="189" t="str">
        <f t="array" ref="T831">IFERROR(IF(INDEX('Disaggregation Records'!$H$155:$H$385,MATCH(RIGHT(Q831,255),RIGHT('Disaggregation Records'!$D$155:$D$385,255),0))=0,"",INDEX('Disaggregation Records'!$H$155:$H$385,MATCH(RIGHT(Q831,255),RIGHT('Disaggregation Records'!$D$155:$D$385,255),0))),"")</f>
        <v>IDR-00846</v>
      </c>
      <c r="U831" s="189">
        <f t="shared" ref="U831" si="3477">U829+1</f>
        <v>1517</v>
      </c>
      <c r="V831" s="189" t="str">
        <f t="array" ref="V831">IFERROR(IF(INDEX('Disaggregation Records'!$I$155:$I$385,MATCH(RIGHT(Q831,255),RIGHT('Disaggregation Records'!$D$155:$D$385,255),0))=0,"",INDEX('Disaggregation Records'!$I$155:$I$385,MATCH(RIGHT(Q831,255),RIGHT('Disaggregation Records'!$D$155:$D$385,255),0))),"")</f>
        <v>Gender</v>
      </c>
      <c r="W831" s="189" t="str">
        <f>IFERROR(INDEX('Reference Records'!L$59:L$121,MATCH(LEFT(C831,255),'Reference Records'!E$59:E$121,0)),"")</f>
        <v>TCS-1.1⁽ᴹ⁾ Percentage of people on ART among all people living with HIV at the end of the reporting period</v>
      </c>
    </row>
    <row r="832" spans="1:23" s="189" customFormat="1" ht="40.200000000000003" customHeight="1" x14ac:dyDescent="0.3">
      <c r="A832" s="678"/>
      <c r="B832" s="675"/>
      <c r="C832" s="667"/>
      <c r="D832" s="677"/>
      <c r="E832" s="677"/>
      <c r="F832" s="202"/>
      <c r="G832" s="669"/>
      <c r="H832" s="671"/>
      <c r="I832" s="673"/>
      <c r="J832" s="652"/>
      <c r="K832" s="667"/>
      <c r="L832" s="667"/>
      <c r="M832" s="652"/>
      <c r="N832" s="652"/>
    </row>
    <row r="833" spans="1:23" s="189" customFormat="1" ht="40.200000000000003" customHeight="1" x14ac:dyDescent="0.3">
      <c r="A833" s="678" t="str">
        <f t="shared" ref="A833" ca="1" si="3478">INDIRECT("'update Helper'!C"&amp;U833)</f>
        <v>a163p000002zQb5AAE</v>
      </c>
      <c r="B833" s="674">
        <v>6</v>
      </c>
      <c r="C833" s="666" t="str">
        <f>VLOOKUP(B833,'Coverage Indicators - Section D'!$A$9:$AU$70,47,FALSE)</f>
        <v>TCS-1.1⁽ᴹ⁾ Pourcentage de personnes sous TARV parmi toutes les personnes vivant avec le VIH à la fin de la période de rapportage</v>
      </c>
      <c r="D833" s="676" t="str">
        <f t="shared" ref="D833" si="3479">R833</f>
        <v>Sexe | Age</v>
      </c>
      <c r="E833" s="676" t="str">
        <f t="shared" ref="E833" si="3480">S833</f>
        <v>Homme 15+</v>
      </c>
      <c r="F833" s="194"/>
      <c r="G833" s="668" t="str">
        <f t="shared" ref="G833" ca="1" si="3481">IF(OR(INDIRECT("'update Helper'!E"&amp;U833)=0,F833&lt;&gt;0,F834&lt;&gt;0),IF(IFERROR((F833/F834),"")="","",(F833/F834)),INDIRECT("'update Helper'!E"&amp;U833)/100)</f>
        <v/>
      </c>
      <c r="H833" s="670"/>
      <c r="I833" s="672"/>
      <c r="J833" s="651"/>
      <c r="K833" s="666" t="str">
        <f t="shared" ref="K833" si="3482">W833</f>
        <v>TCS-1.1⁽ᴹ⁾ Percentage of people on ART among all people living with HIV at the end of the reporting period</v>
      </c>
      <c r="L833" s="666" t="str">
        <f t="shared" ref="L833" si="3483">V833</f>
        <v>Gender | Age</v>
      </c>
      <c r="M833" s="651"/>
      <c r="N833" s="651"/>
      <c r="P833" s="189">
        <f t="shared" ref="P833" si="3484">IF(AND(EXACT(C833,C831),C831&lt;&gt;0),P831+1,0)</f>
        <v>6</v>
      </c>
      <c r="Q833" s="189" t="str">
        <f t="shared" ref="Q833" si="3485">IF(C833&lt;&gt;"",C833&amp;"-"&amp;P833,"")</f>
        <v>TCS-1.1⁽ᴹ⁾ Pourcentage de personnes sous TARV parmi toutes les personnes vivant avec le VIH à la fin de la période de rapportage-6</v>
      </c>
      <c r="R833" s="189" t="str">
        <f t="array" ref="R833">IFERROR(IF(INDEX('Disaggregation Records'!$E$155:$E$385,MATCH(RIGHT(Q833,255),RIGHT('Disaggregation Records'!$D$155:$D$385,255),0))=0,"",INDEX('Disaggregation Records'!$E$155:$E$385,MATCH(RIGHT(Q833,255),RIGHT('Disaggregation Records'!$D$155:$D$385,255),0))),"")</f>
        <v>Sexe | Age</v>
      </c>
      <c r="S833" s="189" t="str">
        <f t="array" ref="S833">IFERROR(IF(INDEX('Disaggregation Records'!$F$155:$F$385,MATCH(RIGHT(Q833,255),RIGHT('Disaggregation Records'!$D$155:$D$385,255),0))=0,"",INDEX('Disaggregation Records'!$F$155:$F$385,MATCH(RIGHT(Q833,255),RIGHT('Disaggregation Records'!$D$155:$D$385,255),0))),"")</f>
        <v>Homme 15+</v>
      </c>
      <c r="T833" s="189" t="str">
        <f t="array" ref="T833">IFERROR(IF(INDEX('Disaggregation Records'!$H$155:$H$385,MATCH(RIGHT(Q833,255),RIGHT('Disaggregation Records'!$D$155:$D$385,255),0))=0,"",INDEX('Disaggregation Records'!$H$155:$H$385,MATCH(RIGHT(Q833,255),RIGHT('Disaggregation Records'!$D$155:$D$385,255),0))),"")</f>
        <v>IDR-00884</v>
      </c>
      <c r="U833" s="189">
        <f t="shared" ref="U833" si="3486">U831+1</f>
        <v>1518</v>
      </c>
      <c r="V833" s="189" t="str">
        <f t="array" ref="V833">IFERROR(IF(INDEX('Disaggregation Records'!$I$155:$I$385,MATCH(RIGHT(Q833,255),RIGHT('Disaggregation Records'!$D$155:$D$385,255),0))=0,"",INDEX('Disaggregation Records'!$I$155:$I$385,MATCH(RIGHT(Q833,255),RIGHT('Disaggregation Records'!$D$155:$D$385,255),0))),"")</f>
        <v>Gender | Age</v>
      </c>
      <c r="W833" s="189" t="str">
        <f>IFERROR(INDEX('Reference Records'!L$59:L$121,MATCH(LEFT(C833,255),'Reference Records'!E$59:E$121,0)),"")</f>
        <v>TCS-1.1⁽ᴹ⁾ Percentage of people on ART among all people living with HIV at the end of the reporting period</v>
      </c>
    </row>
    <row r="834" spans="1:23" s="189" customFormat="1" ht="40.200000000000003" customHeight="1" x14ac:dyDescent="0.3">
      <c r="A834" s="678"/>
      <c r="B834" s="675"/>
      <c r="C834" s="667"/>
      <c r="D834" s="677"/>
      <c r="E834" s="677"/>
      <c r="F834" s="202"/>
      <c r="G834" s="669"/>
      <c r="H834" s="671"/>
      <c r="I834" s="673"/>
      <c r="J834" s="652"/>
      <c r="K834" s="667"/>
      <c r="L834" s="667"/>
      <c r="M834" s="652"/>
      <c r="N834" s="652"/>
    </row>
    <row r="835" spans="1:23" s="189" customFormat="1" ht="40.200000000000003" customHeight="1" x14ac:dyDescent="0.3">
      <c r="A835" s="678" t="str">
        <f t="shared" ref="A835" ca="1" si="3487">INDIRECT("'update Helper'!C"&amp;U835)</f>
        <v>a163p000002zQb6AAE</v>
      </c>
      <c r="B835" s="674">
        <v>6</v>
      </c>
      <c r="C835" s="666" t="str">
        <f>VLOOKUP(B835,'Coverage Indicators - Section D'!$A$9:$AU$70,47,FALSE)</f>
        <v>TCS-1.1⁽ᴹ⁾ Pourcentage de personnes sous TARV parmi toutes les personnes vivant avec le VIH à la fin de la période de rapportage</v>
      </c>
      <c r="D835" s="676" t="str">
        <f t="shared" ref="D835" si="3488">R835</f>
        <v>Sexe | Age</v>
      </c>
      <c r="E835" s="676" t="str">
        <f t="shared" ref="E835" si="3489">S835</f>
        <v>Femme 15+</v>
      </c>
      <c r="F835" s="194"/>
      <c r="G835" s="668" t="str">
        <f t="shared" ref="G835" ca="1" si="3490">IF(OR(INDIRECT("'update Helper'!E"&amp;U835)=0,F835&lt;&gt;0,F836&lt;&gt;0),IF(IFERROR((F835/F836),"")="","",(F835/F836)),INDIRECT("'update Helper'!E"&amp;U835)/100)</f>
        <v/>
      </c>
      <c r="H835" s="670"/>
      <c r="I835" s="672"/>
      <c r="J835" s="651"/>
      <c r="K835" s="666" t="str">
        <f t="shared" ref="K835" si="3491">W835</f>
        <v>TCS-1.1⁽ᴹ⁾ Percentage of people on ART among all people living with HIV at the end of the reporting period</v>
      </c>
      <c r="L835" s="666" t="str">
        <f t="shared" ref="L835" si="3492">V835</f>
        <v>Gender | Age</v>
      </c>
      <c r="M835" s="651"/>
      <c r="N835" s="651"/>
      <c r="P835" s="189">
        <f t="shared" ref="P835" si="3493">IF(AND(EXACT(C835,C833),C833&lt;&gt;0),P833+1,0)</f>
        <v>7</v>
      </c>
      <c r="Q835" s="189" t="str">
        <f t="shared" ref="Q835" si="3494">IF(C835&lt;&gt;"",C835&amp;"-"&amp;P835,"")</f>
        <v>TCS-1.1⁽ᴹ⁾ Pourcentage de personnes sous TARV parmi toutes les personnes vivant avec le VIH à la fin de la période de rapportage-7</v>
      </c>
      <c r="R835" s="189" t="str">
        <f t="array" ref="R835">IFERROR(IF(INDEX('Disaggregation Records'!$E$155:$E$385,MATCH(RIGHT(Q835,255),RIGHT('Disaggregation Records'!$D$155:$D$385,255),0))=0,"",INDEX('Disaggregation Records'!$E$155:$E$385,MATCH(RIGHT(Q835,255),RIGHT('Disaggregation Records'!$D$155:$D$385,255),0))),"")</f>
        <v>Sexe | Age</v>
      </c>
      <c r="S835" s="189" t="str">
        <f t="array" ref="S835">IFERROR(IF(INDEX('Disaggregation Records'!$F$155:$F$385,MATCH(RIGHT(Q835,255),RIGHT('Disaggregation Records'!$D$155:$D$385,255),0))=0,"",INDEX('Disaggregation Records'!$F$155:$F$385,MATCH(RIGHT(Q835,255),RIGHT('Disaggregation Records'!$D$155:$D$385,255),0))),"")</f>
        <v>Femme 15+</v>
      </c>
      <c r="T835" s="189" t="str">
        <f t="array" ref="T835">IFERROR(IF(INDEX('Disaggregation Records'!$H$155:$H$385,MATCH(RIGHT(Q835,255),RIGHT('Disaggregation Records'!$D$155:$D$385,255),0))=0,"",INDEX('Disaggregation Records'!$H$155:$H$385,MATCH(RIGHT(Q835,255),RIGHT('Disaggregation Records'!$D$155:$D$385,255),0))),"")</f>
        <v>IDR-00885</v>
      </c>
      <c r="U835" s="189">
        <f t="shared" ref="U835" si="3495">U833+1</f>
        <v>1519</v>
      </c>
      <c r="V835" s="189" t="str">
        <f t="array" ref="V835">IFERROR(IF(INDEX('Disaggregation Records'!$I$155:$I$385,MATCH(RIGHT(Q835,255),RIGHT('Disaggregation Records'!$D$155:$D$385,255),0))=0,"",INDEX('Disaggregation Records'!$I$155:$I$385,MATCH(RIGHT(Q835,255),RIGHT('Disaggregation Records'!$D$155:$D$385,255),0))),"")</f>
        <v>Gender | Age</v>
      </c>
      <c r="W835" s="189" t="str">
        <f>IFERROR(INDEX('Reference Records'!L$59:L$121,MATCH(LEFT(C835,255),'Reference Records'!E$59:E$121,0)),"")</f>
        <v>TCS-1.1⁽ᴹ⁾ Percentage of people on ART among all people living with HIV at the end of the reporting period</v>
      </c>
    </row>
    <row r="836" spans="1:23" s="189" customFormat="1" ht="40.200000000000003" customHeight="1" x14ac:dyDescent="0.3">
      <c r="A836" s="678"/>
      <c r="B836" s="675"/>
      <c r="C836" s="667"/>
      <c r="D836" s="677"/>
      <c r="E836" s="677"/>
      <c r="F836" s="202"/>
      <c r="G836" s="669"/>
      <c r="H836" s="671"/>
      <c r="I836" s="673"/>
      <c r="J836" s="652"/>
      <c r="K836" s="667"/>
      <c r="L836" s="667"/>
      <c r="M836" s="652"/>
      <c r="N836" s="652"/>
    </row>
    <row r="837" spans="1:23" s="189" customFormat="1" ht="40.200000000000003" customHeight="1" x14ac:dyDescent="0.3">
      <c r="A837" s="678" t="str">
        <f t="shared" ref="A837" ca="1" si="3496">INDIRECT("'update Helper'!C"&amp;U837)</f>
        <v>a163p000002zQb7AAE</v>
      </c>
      <c r="B837" s="674">
        <v>6</v>
      </c>
      <c r="C837" s="666" t="str">
        <f>VLOOKUP(B837,'Coverage Indicators - Section D'!$A$9:$AU$70,47,FALSE)</f>
        <v>TCS-1.1⁽ᴹ⁾ Pourcentage de personnes sous TARV parmi toutes les personnes vivant avec le VIH à la fin de la période de rapportage</v>
      </c>
      <c r="D837" s="676" t="str">
        <f t="shared" ref="D837" si="3497">R837</f>
        <v>Sexe | Age</v>
      </c>
      <c r="E837" s="676" t="str">
        <f t="shared" ref="E837" si="3498">S837</f>
        <v>Homme 15-19</v>
      </c>
      <c r="F837" s="194"/>
      <c r="G837" s="668" t="str">
        <f t="shared" ref="G837" ca="1" si="3499">IF(OR(INDIRECT("'update Helper'!E"&amp;U837)=0,F837&lt;&gt;0,F838&lt;&gt;0),IF(IFERROR((F837/F838),"")="","",(F837/F838)),INDIRECT("'update Helper'!E"&amp;U837)/100)</f>
        <v/>
      </c>
      <c r="H837" s="670"/>
      <c r="I837" s="672"/>
      <c r="J837" s="651"/>
      <c r="K837" s="666" t="str">
        <f t="shared" ref="K837" si="3500">W837</f>
        <v>TCS-1.1⁽ᴹ⁾ Percentage of people on ART among all people living with HIV at the end of the reporting period</v>
      </c>
      <c r="L837" s="666" t="str">
        <f t="shared" ref="L837" si="3501">V837</f>
        <v>Gender | Age</v>
      </c>
      <c r="M837" s="651"/>
      <c r="N837" s="651"/>
      <c r="P837" s="189">
        <f t="shared" ref="P837" si="3502">IF(AND(EXACT(C837,C835),C835&lt;&gt;0),P835+1,0)</f>
        <v>8</v>
      </c>
      <c r="Q837" s="189" t="str">
        <f t="shared" ref="Q837" si="3503">IF(C837&lt;&gt;"",C837&amp;"-"&amp;P837,"")</f>
        <v>TCS-1.1⁽ᴹ⁾ Pourcentage de personnes sous TARV parmi toutes les personnes vivant avec le VIH à la fin de la période de rapportage-8</v>
      </c>
      <c r="R837" s="189" t="str">
        <f t="array" ref="R837">IFERROR(IF(INDEX('Disaggregation Records'!$E$155:$E$385,MATCH(RIGHT(Q837,255),RIGHT('Disaggregation Records'!$D$155:$D$385,255),0))=0,"",INDEX('Disaggregation Records'!$E$155:$E$385,MATCH(RIGHT(Q837,255),RIGHT('Disaggregation Records'!$D$155:$D$385,255),0))),"")</f>
        <v>Sexe | Age</v>
      </c>
      <c r="S837" s="189" t="str">
        <f t="array" ref="S837">IFERROR(IF(INDEX('Disaggregation Records'!$F$155:$F$385,MATCH(RIGHT(Q837,255),RIGHT('Disaggregation Records'!$D$155:$D$385,255),0))=0,"",INDEX('Disaggregation Records'!$F$155:$F$385,MATCH(RIGHT(Q837,255),RIGHT('Disaggregation Records'!$D$155:$D$385,255),0))),"")</f>
        <v>Homme 15-19</v>
      </c>
      <c r="T837" s="189" t="str">
        <f t="array" ref="T837">IFERROR(IF(INDEX('Disaggregation Records'!$H$155:$H$385,MATCH(RIGHT(Q837,255),RIGHT('Disaggregation Records'!$D$155:$D$385,255),0))=0,"",INDEX('Disaggregation Records'!$H$155:$H$385,MATCH(RIGHT(Q837,255),RIGHT('Disaggregation Records'!$D$155:$D$385,255),0))),"")</f>
        <v>IDR-00886</v>
      </c>
      <c r="U837" s="189">
        <f t="shared" ref="U837" si="3504">U835+1</f>
        <v>1520</v>
      </c>
      <c r="V837" s="189" t="str">
        <f t="array" ref="V837">IFERROR(IF(INDEX('Disaggregation Records'!$I$155:$I$385,MATCH(RIGHT(Q837,255),RIGHT('Disaggregation Records'!$D$155:$D$385,255),0))=0,"",INDEX('Disaggregation Records'!$I$155:$I$385,MATCH(RIGHT(Q837,255),RIGHT('Disaggregation Records'!$D$155:$D$385,255),0))),"")</f>
        <v>Gender | Age</v>
      </c>
      <c r="W837" s="189" t="str">
        <f>IFERROR(INDEX('Reference Records'!L$59:L$121,MATCH(LEFT(C837,255),'Reference Records'!E$59:E$121,0)),"")</f>
        <v>TCS-1.1⁽ᴹ⁾ Percentage of people on ART among all people living with HIV at the end of the reporting period</v>
      </c>
    </row>
    <row r="838" spans="1:23" s="189" customFormat="1" ht="40.200000000000003" customHeight="1" x14ac:dyDescent="0.3">
      <c r="A838" s="678"/>
      <c r="B838" s="675"/>
      <c r="C838" s="667"/>
      <c r="D838" s="677"/>
      <c r="E838" s="677"/>
      <c r="F838" s="202"/>
      <c r="G838" s="669"/>
      <c r="H838" s="671"/>
      <c r="I838" s="673"/>
      <c r="J838" s="652"/>
      <c r="K838" s="667"/>
      <c r="L838" s="667"/>
      <c r="M838" s="652"/>
      <c r="N838" s="652"/>
    </row>
    <row r="839" spans="1:23" s="189" customFormat="1" ht="40.200000000000003" customHeight="1" x14ac:dyDescent="0.3">
      <c r="A839" s="678" t="str">
        <f t="shared" ref="A839" ca="1" si="3505">INDIRECT("'update Helper'!C"&amp;U839)</f>
        <v>a163p000002zQb8AAE</v>
      </c>
      <c r="B839" s="674">
        <v>6</v>
      </c>
      <c r="C839" s="666" t="str">
        <f>VLOOKUP(B839,'Coverage Indicators - Section D'!$A$9:$AU$70,47,FALSE)</f>
        <v>TCS-1.1⁽ᴹ⁾ Pourcentage de personnes sous TARV parmi toutes les personnes vivant avec le VIH à la fin de la période de rapportage</v>
      </c>
      <c r="D839" s="676" t="str">
        <f t="shared" ref="D839" si="3506">R839</f>
        <v>Sexe | Age</v>
      </c>
      <c r="E839" s="676" t="str">
        <f t="shared" ref="E839" si="3507">S839</f>
        <v>Femme 15-19</v>
      </c>
      <c r="F839" s="194"/>
      <c r="G839" s="668" t="str">
        <f t="shared" ref="G839" ca="1" si="3508">IF(OR(INDIRECT("'update Helper'!E"&amp;U839)=0,F839&lt;&gt;0,F840&lt;&gt;0),IF(IFERROR((F839/F840),"")="","",(F839/F840)),INDIRECT("'update Helper'!E"&amp;U839)/100)</f>
        <v/>
      </c>
      <c r="H839" s="670"/>
      <c r="I839" s="672"/>
      <c r="J839" s="651"/>
      <c r="K839" s="666" t="str">
        <f t="shared" ref="K839" si="3509">W839</f>
        <v>TCS-1.1⁽ᴹ⁾ Percentage of people on ART among all people living with HIV at the end of the reporting period</v>
      </c>
      <c r="L839" s="666" t="str">
        <f t="shared" ref="L839" si="3510">V839</f>
        <v>Gender | Age</v>
      </c>
      <c r="M839" s="651"/>
      <c r="N839" s="651"/>
      <c r="P839" s="189">
        <f t="shared" ref="P839" si="3511">IF(AND(EXACT(C839,C837),C837&lt;&gt;0),P837+1,0)</f>
        <v>9</v>
      </c>
      <c r="Q839" s="189" t="str">
        <f t="shared" ref="Q839" si="3512">IF(C839&lt;&gt;"",C839&amp;"-"&amp;P839,"")</f>
        <v>TCS-1.1⁽ᴹ⁾ Pourcentage de personnes sous TARV parmi toutes les personnes vivant avec le VIH à la fin de la période de rapportage-9</v>
      </c>
      <c r="R839" s="189" t="str">
        <f t="array" ref="R839">IFERROR(IF(INDEX('Disaggregation Records'!$E$155:$E$385,MATCH(RIGHT(Q839,255),RIGHT('Disaggregation Records'!$D$155:$D$385,255),0))=0,"",INDEX('Disaggregation Records'!$E$155:$E$385,MATCH(RIGHT(Q839,255),RIGHT('Disaggregation Records'!$D$155:$D$385,255),0))),"")</f>
        <v>Sexe | Age</v>
      </c>
      <c r="S839" s="189" t="str">
        <f t="array" ref="S839">IFERROR(IF(INDEX('Disaggregation Records'!$F$155:$F$385,MATCH(RIGHT(Q839,255),RIGHT('Disaggregation Records'!$D$155:$D$385,255),0))=0,"",INDEX('Disaggregation Records'!$F$155:$F$385,MATCH(RIGHT(Q839,255),RIGHT('Disaggregation Records'!$D$155:$D$385,255),0))),"")</f>
        <v>Femme 15-19</v>
      </c>
      <c r="T839" s="189" t="str">
        <f t="array" ref="T839">IFERROR(IF(INDEX('Disaggregation Records'!$H$155:$H$385,MATCH(RIGHT(Q839,255),RIGHT('Disaggregation Records'!$D$155:$D$385,255),0))=0,"",INDEX('Disaggregation Records'!$H$155:$H$385,MATCH(RIGHT(Q839,255),RIGHT('Disaggregation Records'!$D$155:$D$385,255),0))),"")</f>
        <v>IDR-00887</v>
      </c>
      <c r="U839" s="189">
        <f t="shared" ref="U839" si="3513">U837+1</f>
        <v>1521</v>
      </c>
      <c r="V839" s="189" t="str">
        <f t="array" ref="V839">IFERROR(IF(INDEX('Disaggregation Records'!$I$155:$I$385,MATCH(RIGHT(Q839,255),RIGHT('Disaggregation Records'!$D$155:$D$385,255),0))=0,"",INDEX('Disaggregation Records'!$I$155:$I$385,MATCH(RIGHT(Q839,255),RIGHT('Disaggregation Records'!$D$155:$D$385,255),0))),"")</f>
        <v>Gender | Age</v>
      </c>
      <c r="W839" s="189" t="str">
        <f>IFERROR(INDEX('Reference Records'!L$59:L$121,MATCH(LEFT(C839,255),'Reference Records'!E$59:E$121,0)),"")</f>
        <v>TCS-1.1⁽ᴹ⁾ Percentage of people on ART among all people living with HIV at the end of the reporting period</v>
      </c>
    </row>
    <row r="840" spans="1:23" s="189" customFormat="1" ht="40.200000000000003" customHeight="1" x14ac:dyDescent="0.3">
      <c r="A840" s="678"/>
      <c r="B840" s="675"/>
      <c r="C840" s="667"/>
      <c r="D840" s="677"/>
      <c r="E840" s="677"/>
      <c r="F840" s="202"/>
      <c r="G840" s="669"/>
      <c r="H840" s="671"/>
      <c r="I840" s="673"/>
      <c r="J840" s="652"/>
      <c r="K840" s="667"/>
      <c r="L840" s="667"/>
      <c r="M840" s="652"/>
      <c r="N840" s="652"/>
    </row>
    <row r="841" spans="1:23" s="189" customFormat="1" ht="40.200000000000003" customHeight="1" x14ac:dyDescent="0.3">
      <c r="A841" s="678" t="str">
        <f t="shared" ref="A841" ca="1" si="3514">INDIRECT("'update Helper'!C"&amp;U841)</f>
        <v>a163p000002zQb9AAE</v>
      </c>
      <c r="B841" s="674">
        <v>6</v>
      </c>
      <c r="C841" s="666" t="str">
        <f>VLOOKUP(B841,'Coverage Indicators - Section D'!$A$9:$AU$70,47,FALSE)</f>
        <v>TCS-1.1⁽ᴹ⁾ Pourcentage de personnes sous TARV parmi toutes les personnes vivant avec le VIH à la fin de la période de rapportage</v>
      </c>
      <c r="D841" s="676" t="str">
        <f t="shared" ref="D841" si="3515">R841</f>
        <v>Sexe | Age</v>
      </c>
      <c r="E841" s="676" t="str">
        <f t="shared" ref="E841" si="3516">S841</f>
        <v>Homme 20-24</v>
      </c>
      <c r="F841" s="194"/>
      <c r="G841" s="668" t="str">
        <f t="shared" ref="G841" ca="1" si="3517">IF(OR(INDIRECT("'update Helper'!E"&amp;U841)=0,F841&lt;&gt;0,F842&lt;&gt;0),IF(IFERROR((F841/F842),"")="","",(F841/F842)),INDIRECT("'update Helper'!E"&amp;U841)/100)</f>
        <v/>
      </c>
      <c r="H841" s="670"/>
      <c r="I841" s="672"/>
      <c r="J841" s="651"/>
      <c r="K841" s="666" t="str">
        <f t="shared" ref="K841" si="3518">W841</f>
        <v>TCS-1.1⁽ᴹ⁾ Percentage of people on ART among all people living with HIV at the end of the reporting period</v>
      </c>
      <c r="L841" s="666" t="str">
        <f t="shared" ref="L841" si="3519">V841</f>
        <v>Gender | Age</v>
      </c>
      <c r="M841" s="651"/>
      <c r="N841" s="651"/>
      <c r="P841" s="189">
        <f t="shared" ref="P841" si="3520">IF(AND(EXACT(C841,C839),C839&lt;&gt;0),P839+1,0)</f>
        <v>10</v>
      </c>
      <c r="Q841" s="189" t="str">
        <f t="shared" ref="Q841" si="3521">IF(C841&lt;&gt;"",C841&amp;"-"&amp;P841,"")</f>
        <v>TCS-1.1⁽ᴹ⁾ Pourcentage de personnes sous TARV parmi toutes les personnes vivant avec le VIH à la fin de la période de rapportage-10</v>
      </c>
      <c r="R841" s="189" t="str">
        <f t="array" ref="R841">IFERROR(IF(INDEX('Disaggregation Records'!$E$155:$E$385,MATCH(RIGHT(Q841,255),RIGHT('Disaggregation Records'!$D$155:$D$385,255),0))=0,"",INDEX('Disaggregation Records'!$E$155:$E$385,MATCH(RIGHT(Q841,255),RIGHT('Disaggregation Records'!$D$155:$D$385,255),0))),"")</f>
        <v>Sexe | Age</v>
      </c>
      <c r="S841" s="189" t="str">
        <f t="array" ref="S841">IFERROR(IF(INDEX('Disaggregation Records'!$F$155:$F$385,MATCH(RIGHT(Q841,255),RIGHT('Disaggregation Records'!$D$155:$D$385,255),0))=0,"",INDEX('Disaggregation Records'!$F$155:$F$385,MATCH(RIGHT(Q841,255),RIGHT('Disaggregation Records'!$D$155:$D$385,255),0))),"")</f>
        <v>Homme 20-24</v>
      </c>
      <c r="T841" s="189" t="str">
        <f t="array" ref="T841">IFERROR(IF(INDEX('Disaggregation Records'!$H$155:$H$385,MATCH(RIGHT(Q841,255),RIGHT('Disaggregation Records'!$D$155:$D$385,255),0))=0,"",INDEX('Disaggregation Records'!$H$155:$H$385,MATCH(RIGHT(Q841,255),RIGHT('Disaggregation Records'!$D$155:$D$385,255),0))),"")</f>
        <v>IDR-00888</v>
      </c>
      <c r="U841" s="189">
        <f t="shared" ref="U841" si="3522">U839+1</f>
        <v>1522</v>
      </c>
      <c r="V841" s="189" t="str">
        <f t="array" ref="V841">IFERROR(IF(INDEX('Disaggregation Records'!$I$155:$I$385,MATCH(RIGHT(Q841,255),RIGHT('Disaggregation Records'!$D$155:$D$385,255),0))=0,"",INDEX('Disaggregation Records'!$I$155:$I$385,MATCH(RIGHT(Q841,255),RIGHT('Disaggregation Records'!$D$155:$D$385,255),0))),"")</f>
        <v>Gender | Age</v>
      </c>
      <c r="W841" s="189" t="str">
        <f>IFERROR(INDEX('Reference Records'!L$59:L$121,MATCH(LEFT(C841,255),'Reference Records'!E$59:E$121,0)),"")</f>
        <v>TCS-1.1⁽ᴹ⁾ Percentage of people on ART among all people living with HIV at the end of the reporting period</v>
      </c>
    </row>
    <row r="842" spans="1:23" s="189" customFormat="1" ht="40.200000000000003" customHeight="1" x14ac:dyDescent="0.3">
      <c r="A842" s="678"/>
      <c r="B842" s="675"/>
      <c r="C842" s="667"/>
      <c r="D842" s="677"/>
      <c r="E842" s="677"/>
      <c r="F842" s="202"/>
      <c r="G842" s="669"/>
      <c r="H842" s="671"/>
      <c r="I842" s="673"/>
      <c r="J842" s="652"/>
      <c r="K842" s="667"/>
      <c r="L842" s="667"/>
      <c r="M842" s="652"/>
      <c r="N842" s="652"/>
    </row>
    <row r="843" spans="1:23" s="189" customFormat="1" ht="40.200000000000003" customHeight="1" x14ac:dyDescent="0.3">
      <c r="A843" s="678" t="str">
        <f t="shared" ref="A843" ca="1" si="3523">INDIRECT("'update Helper'!C"&amp;U843)</f>
        <v>a163p000002zQbAAAU</v>
      </c>
      <c r="B843" s="674">
        <v>6</v>
      </c>
      <c r="C843" s="666" t="str">
        <f>VLOOKUP(B843,'Coverage Indicators - Section D'!$A$9:$AU$70,47,FALSE)</f>
        <v>TCS-1.1⁽ᴹ⁾ Pourcentage de personnes sous TARV parmi toutes les personnes vivant avec le VIH à la fin de la période de rapportage</v>
      </c>
      <c r="D843" s="676" t="str">
        <f t="shared" ref="D843" si="3524">R843</f>
        <v>Sexe | Age</v>
      </c>
      <c r="E843" s="676" t="str">
        <f t="shared" ref="E843" si="3525">S843</f>
        <v>Femme 20-24</v>
      </c>
      <c r="F843" s="194"/>
      <c r="G843" s="668" t="str">
        <f t="shared" ref="G843" ca="1" si="3526">IF(OR(INDIRECT("'update Helper'!E"&amp;U843)=0,F843&lt;&gt;0,F844&lt;&gt;0),IF(IFERROR((F843/F844),"")="","",(F843/F844)),INDIRECT("'update Helper'!E"&amp;U843)/100)</f>
        <v/>
      </c>
      <c r="H843" s="670"/>
      <c r="I843" s="672"/>
      <c r="J843" s="651"/>
      <c r="K843" s="666" t="str">
        <f t="shared" ref="K843" si="3527">W843</f>
        <v>TCS-1.1⁽ᴹ⁾ Percentage of people on ART among all people living with HIV at the end of the reporting period</v>
      </c>
      <c r="L843" s="666" t="str">
        <f t="shared" ref="L843" si="3528">V843</f>
        <v>Gender | Age</v>
      </c>
      <c r="M843" s="651"/>
      <c r="N843" s="651"/>
      <c r="P843" s="189">
        <f t="shared" ref="P843" si="3529">IF(AND(EXACT(C843,C841),C841&lt;&gt;0),P841+1,0)</f>
        <v>11</v>
      </c>
      <c r="Q843" s="189" t="str">
        <f t="shared" ref="Q843" si="3530">IF(C843&lt;&gt;"",C843&amp;"-"&amp;P843,"")</f>
        <v>TCS-1.1⁽ᴹ⁾ Pourcentage de personnes sous TARV parmi toutes les personnes vivant avec le VIH à la fin de la période de rapportage-11</v>
      </c>
      <c r="R843" s="189" t="str">
        <f t="array" ref="R843">IFERROR(IF(INDEX('Disaggregation Records'!$E$155:$E$385,MATCH(RIGHT(Q843,255),RIGHT('Disaggregation Records'!$D$155:$D$385,255),0))=0,"",INDEX('Disaggregation Records'!$E$155:$E$385,MATCH(RIGHT(Q843,255),RIGHT('Disaggregation Records'!$D$155:$D$385,255),0))),"")</f>
        <v>Sexe | Age</v>
      </c>
      <c r="S843" s="189" t="str">
        <f t="array" ref="S843">IFERROR(IF(INDEX('Disaggregation Records'!$F$155:$F$385,MATCH(RIGHT(Q843,255),RIGHT('Disaggregation Records'!$D$155:$D$385,255),0))=0,"",INDEX('Disaggregation Records'!$F$155:$F$385,MATCH(RIGHT(Q843,255),RIGHT('Disaggregation Records'!$D$155:$D$385,255),0))),"")</f>
        <v>Femme 20-24</v>
      </c>
      <c r="T843" s="189" t="str">
        <f t="array" ref="T843">IFERROR(IF(INDEX('Disaggregation Records'!$H$155:$H$385,MATCH(RIGHT(Q843,255),RIGHT('Disaggregation Records'!$D$155:$D$385,255),0))=0,"",INDEX('Disaggregation Records'!$H$155:$H$385,MATCH(RIGHT(Q843,255),RIGHT('Disaggregation Records'!$D$155:$D$385,255),0))),"")</f>
        <v>IDR-00889</v>
      </c>
      <c r="U843" s="189">
        <f t="shared" ref="U843" si="3531">U841+1</f>
        <v>1523</v>
      </c>
      <c r="V843" s="189" t="str">
        <f t="array" ref="V843">IFERROR(IF(INDEX('Disaggregation Records'!$I$155:$I$385,MATCH(RIGHT(Q843,255),RIGHT('Disaggregation Records'!$D$155:$D$385,255),0))=0,"",INDEX('Disaggregation Records'!$I$155:$I$385,MATCH(RIGHT(Q843,255),RIGHT('Disaggregation Records'!$D$155:$D$385,255),0))),"")</f>
        <v>Gender | Age</v>
      </c>
      <c r="W843" s="189" t="str">
        <f>IFERROR(INDEX('Reference Records'!L$59:L$121,MATCH(LEFT(C843,255),'Reference Records'!E$59:E$121,0)),"")</f>
        <v>TCS-1.1⁽ᴹ⁾ Percentage of people on ART among all people living with HIV at the end of the reporting period</v>
      </c>
    </row>
    <row r="844" spans="1:23" s="189" customFormat="1" ht="40.200000000000003" customHeight="1" x14ac:dyDescent="0.3">
      <c r="A844" s="678"/>
      <c r="B844" s="675"/>
      <c r="C844" s="667"/>
      <c r="D844" s="677"/>
      <c r="E844" s="677"/>
      <c r="F844" s="202"/>
      <c r="G844" s="669"/>
      <c r="H844" s="671"/>
      <c r="I844" s="673"/>
      <c r="J844" s="652"/>
      <c r="K844" s="667"/>
      <c r="L844" s="667"/>
      <c r="M844" s="652"/>
      <c r="N844" s="652"/>
    </row>
    <row r="845" spans="1:23" s="189" customFormat="1" ht="40.200000000000003" customHeight="1" x14ac:dyDescent="0.3">
      <c r="A845" s="678" t="str">
        <f t="shared" ref="A845" ca="1" si="3532">INDIRECT("'update Helper'!C"&amp;U845)</f>
        <v>a163p000002zQbBAAU</v>
      </c>
      <c r="B845" s="674">
        <v>6</v>
      </c>
      <c r="C845" s="666" t="str">
        <f>VLOOKUP(B845,'Coverage Indicators - Section D'!$A$9:$AU$70,47,FALSE)</f>
        <v>TCS-1.1⁽ᴹ⁾ Pourcentage de personnes sous TARV parmi toutes les personnes vivant avec le VIH à la fin de la période de rapportage</v>
      </c>
      <c r="D845" s="676" t="str">
        <f t="shared" ref="D845" si="3533">R845</f>
        <v>Sexe | Age</v>
      </c>
      <c r="E845" s="676" t="str">
        <f t="shared" ref="E845" si="3534">S845</f>
        <v>Homme 15-24</v>
      </c>
      <c r="F845" s="194"/>
      <c r="G845" s="668" t="str">
        <f t="shared" ref="G845" ca="1" si="3535">IF(OR(INDIRECT("'update Helper'!E"&amp;U845)=0,F845&lt;&gt;0,F846&lt;&gt;0),IF(IFERROR((F845/F846),"")="","",(F845/F846)),INDIRECT("'update Helper'!E"&amp;U845)/100)</f>
        <v/>
      </c>
      <c r="H845" s="670"/>
      <c r="I845" s="672"/>
      <c r="J845" s="651"/>
      <c r="K845" s="666" t="str">
        <f t="shared" ref="K845" si="3536">W845</f>
        <v>TCS-1.1⁽ᴹ⁾ Percentage of people on ART among all people living with HIV at the end of the reporting period</v>
      </c>
      <c r="L845" s="666" t="str">
        <f t="shared" ref="L845" si="3537">V845</f>
        <v>Gender | Age</v>
      </c>
      <c r="M845" s="651"/>
      <c r="N845" s="651"/>
      <c r="P845" s="189">
        <f t="shared" ref="P845" si="3538">IF(AND(EXACT(C845,C843),C843&lt;&gt;0),P843+1,0)</f>
        <v>12</v>
      </c>
      <c r="Q845" s="189" t="str">
        <f t="shared" ref="Q845" si="3539">IF(C845&lt;&gt;"",C845&amp;"-"&amp;P845,"")</f>
        <v>TCS-1.1⁽ᴹ⁾ Pourcentage de personnes sous TARV parmi toutes les personnes vivant avec le VIH à la fin de la période de rapportage-12</v>
      </c>
      <c r="R845" s="189" t="str">
        <f t="array" ref="R845">IFERROR(IF(INDEX('Disaggregation Records'!$E$155:$E$385,MATCH(RIGHT(Q845,255),RIGHT('Disaggregation Records'!$D$155:$D$385,255),0))=0,"",INDEX('Disaggregation Records'!$E$155:$E$385,MATCH(RIGHT(Q845,255),RIGHT('Disaggregation Records'!$D$155:$D$385,255),0))),"")</f>
        <v>Sexe | Age</v>
      </c>
      <c r="S845" s="189" t="str">
        <f t="array" ref="S845">IFERROR(IF(INDEX('Disaggregation Records'!$F$155:$F$385,MATCH(RIGHT(Q845,255),RIGHT('Disaggregation Records'!$D$155:$D$385,255),0))=0,"",INDEX('Disaggregation Records'!$F$155:$F$385,MATCH(RIGHT(Q845,255),RIGHT('Disaggregation Records'!$D$155:$D$385,255),0))),"")</f>
        <v>Homme 15-24</v>
      </c>
      <c r="T845" s="189" t="str">
        <f t="array" ref="T845">IFERROR(IF(INDEX('Disaggregation Records'!$H$155:$H$385,MATCH(RIGHT(Q845,255),RIGHT('Disaggregation Records'!$D$155:$D$385,255),0))=0,"",INDEX('Disaggregation Records'!$H$155:$H$385,MATCH(RIGHT(Q845,255),RIGHT('Disaggregation Records'!$D$155:$D$385,255),0))),"")</f>
        <v>IDR-00890</v>
      </c>
      <c r="U845" s="189">
        <f t="shared" ref="U845" si="3540">U843+1</f>
        <v>1524</v>
      </c>
      <c r="V845" s="189" t="str">
        <f t="array" ref="V845">IFERROR(IF(INDEX('Disaggregation Records'!$I$155:$I$385,MATCH(RIGHT(Q845,255),RIGHT('Disaggregation Records'!$D$155:$D$385,255),0))=0,"",INDEX('Disaggregation Records'!$I$155:$I$385,MATCH(RIGHT(Q845,255),RIGHT('Disaggregation Records'!$D$155:$D$385,255),0))),"")</f>
        <v>Gender | Age</v>
      </c>
      <c r="W845" s="189" t="str">
        <f>IFERROR(INDEX('Reference Records'!L$59:L$121,MATCH(LEFT(C845,255),'Reference Records'!E$59:E$121,0)),"")</f>
        <v>TCS-1.1⁽ᴹ⁾ Percentage of people on ART among all people living with HIV at the end of the reporting period</v>
      </c>
    </row>
    <row r="846" spans="1:23" s="189" customFormat="1" ht="40.200000000000003" customHeight="1" x14ac:dyDescent="0.3">
      <c r="A846" s="678"/>
      <c r="B846" s="675"/>
      <c r="C846" s="667"/>
      <c r="D846" s="677"/>
      <c r="E846" s="677"/>
      <c r="F846" s="202"/>
      <c r="G846" s="669"/>
      <c r="H846" s="671"/>
      <c r="I846" s="673"/>
      <c r="J846" s="652"/>
      <c r="K846" s="667"/>
      <c r="L846" s="667"/>
      <c r="M846" s="652"/>
      <c r="N846" s="652"/>
    </row>
    <row r="847" spans="1:23" s="189" customFormat="1" ht="40.200000000000003" customHeight="1" x14ac:dyDescent="0.3">
      <c r="A847" s="678" t="str">
        <f t="shared" ref="A847" ca="1" si="3541">INDIRECT("'update Helper'!C"&amp;U847)</f>
        <v>a163p000002zQbCAAU</v>
      </c>
      <c r="B847" s="674">
        <v>6</v>
      </c>
      <c r="C847" s="666" t="str">
        <f>VLOOKUP(B847,'Coverage Indicators - Section D'!$A$9:$AU$70,47,FALSE)</f>
        <v>TCS-1.1⁽ᴹ⁾ Pourcentage de personnes sous TARV parmi toutes les personnes vivant avec le VIH à la fin de la période de rapportage</v>
      </c>
      <c r="D847" s="676" t="str">
        <f t="shared" ref="D847" si="3542">R847</f>
        <v>Sexe | Age</v>
      </c>
      <c r="E847" s="676" t="str">
        <f t="shared" ref="E847" si="3543">S847</f>
        <v>Femme 15-24</v>
      </c>
      <c r="F847" s="194"/>
      <c r="G847" s="668" t="str">
        <f t="shared" ref="G847" ca="1" si="3544">IF(OR(INDIRECT("'update Helper'!E"&amp;U847)=0,F847&lt;&gt;0,F848&lt;&gt;0),IF(IFERROR((F847/F848),"")="","",(F847/F848)),INDIRECT("'update Helper'!E"&amp;U847)/100)</f>
        <v/>
      </c>
      <c r="H847" s="670"/>
      <c r="I847" s="672"/>
      <c r="J847" s="651"/>
      <c r="K847" s="666" t="str">
        <f t="shared" ref="K847" si="3545">W847</f>
        <v>TCS-1.1⁽ᴹ⁾ Percentage of people on ART among all people living with HIV at the end of the reporting period</v>
      </c>
      <c r="L847" s="666" t="str">
        <f t="shared" ref="L847" si="3546">V847</f>
        <v>Gender | Age</v>
      </c>
      <c r="M847" s="651"/>
      <c r="N847" s="651"/>
      <c r="P847" s="189">
        <f t="shared" ref="P847" si="3547">IF(AND(EXACT(C847,C845),C845&lt;&gt;0),P845+1,0)</f>
        <v>13</v>
      </c>
      <c r="Q847" s="189" t="str">
        <f t="shared" ref="Q847" si="3548">IF(C847&lt;&gt;"",C847&amp;"-"&amp;P847,"")</f>
        <v>TCS-1.1⁽ᴹ⁾ Pourcentage de personnes sous TARV parmi toutes les personnes vivant avec le VIH à la fin de la période de rapportage-13</v>
      </c>
      <c r="R847" s="189" t="str">
        <f t="array" ref="R847">IFERROR(IF(INDEX('Disaggregation Records'!$E$155:$E$385,MATCH(RIGHT(Q847,255),RIGHT('Disaggregation Records'!$D$155:$D$385,255),0))=0,"",INDEX('Disaggregation Records'!$E$155:$E$385,MATCH(RIGHT(Q847,255),RIGHT('Disaggregation Records'!$D$155:$D$385,255),0))),"")</f>
        <v>Sexe | Age</v>
      </c>
      <c r="S847" s="189" t="str">
        <f t="array" ref="S847">IFERROR(IF(INDEX('Disaggregation Records'!$F$155:$F$385,MATCH(RIGHT(Q847,255),RIGHT('Disaggregation Records'!$D$155:$D$385,255),0))=0,"",INDEX('Disaggregation Records'!$F$155:$F$385,MATCH(RIGHT(Q847,255),RIGHT('Disaggregation Records'!$D$155:$D$385,255),0))),"")</f>
        <v>Femme 15-24</v>
      </c>
      <c r="T847" s="189" t="str">
        <f t="array" ref="T847">IFERROR(IF(INDEX('Disaggregation Records'!$H$155:$H$385,MATCH(RIGHT(Q847,255),RIGHT('Disaggregation Records'!$D$155:$D$385,255),0))=0,"",INDEX('Disaggregation Records'!$H$155:$H$385,MATCH(RIGHT(Q847,255),RIGHT('Disaggregation Records'!$D$155:$D$385,255),0))),"")</f>
        <v>IDR-00891</v>
      </c>
      <c r="U847" s="189">
        <f t="shared" ref="U847" si="3549">U845+1</f>
        <v>1525</v>
      </c>
      <c r="V847" s="189" t="str">
        <f t="array" ref="V847">IFERROR(IF(INDEX('Disaggregation Records'!$I$155:$I$385,MATCH(RIGHT(Q847,255),RIGHT('Disaggregation Records'!$D$155:$D$385,255),0))=0,"",INDEX('Disaggregation Records'!$I$155:$I$385,MATCH(RIGHT(Q847,255),RIGHT('Disaggregation Records'!$D$155:$D$385,255),0))),"")</f>
        <v>Gender | Age</v>
      </c>
      <c r="W847" s="189" t="str">
        <f>IFERROR(INDEX('Reference Records'!L$59:L$121,MATCH(LEFT(C847,255),'Reference Records'!E$59:E$121,0)),"")</f>
        <v>TCS-1.1⁽ᴹ⁾ Percentage of people on ART among all people living with HIV at the end of the reporting period</v>
      </c>
    </row>
    <row r="848" spans="1:23" s="189" customFormat="1" ht="40.200000000000003" customHeight="1" x14ac:dyDescent="0.3">
      <c r="A848" s="678"/>
      <c r="B848" s="675"/>
      <c r="C848" s="667"/>
      <c r="D848" s="677"/>
      <c r="E848" s="677"/>
      <c r="F848" s="202"/>
      <c r="G848" s="669"/>
      <c r="H848" s="671"/>
      <c r="I848" s="673"/>
      <c r="J848" s="652"/>
      <c r="K848" s="667"/>
      <c r="L848" s="667"/>
      <c r="M848" s="652"/>
      <c r="N848" s="652"/>
    </row>
    <row r="849" spans="1:23" s="189" customFormat="1" ht="40.200000000000003" customHeight="1" x14ac:dyDescent="0.3">
      <c r="A849" s="678" t="str">
        <f t="shared" ref="A849" ca="1" si="3550">INDIRECT("'update Helper'!C"&amp;U849)</f>
        <v>a163p000002zQbDAAU</v>
      </c>
      <c r="B849" s="674">
        <v>6</v>
      </c>
      <c r="C849" s="666" t="str">
        <f>VLOOKUP(B849,'Coverage Indicators - Section D'!$A$9:$AU$70,47,FALSE)</f>
        <v>TCS-1.1⁽ᴹ⁾ Pourcentage de personnes sous TARV parmi toutes les personnes vivant avec le VIH à la fin de la période de rapportage</v>
      </c>
      <c r="D849" s="676" t="str">
        <f t="shared" ref="D849" si="3551">R849</f>
        <v>Groupe à risque cible</v>
      </c>
      <c r="E849" s="676" t="str">
        <f t="shared" ref="E849" si="3552">S849</f>
        <v>HSH</v>
      </c>
      <c r="F849" s="194"/>
      <c r="G849" s="668" t="str">
        <f t="shared" ref="G849" ca="1" si="3553">IF(OR(INDIRECT("'update Helper'!E"&amp;U849)=0,F849&lt;&gt;0,F850&lt;&gt;0),IF(IFERROR((F849/F850),"")="","",(F849/F850)),INDIRECT("'update Helper'!E"&amp;U849)/100)</f>
        <v/>
      </c>
      <c r="H849" s="670"/>
      <c r="I849" s="672"/>
      <c r="J849" s="651"/>
      <c r="K849" s="666" t="str">
        <f t="shared" ref="K849" si="3554">W849</f>
        <v>TCS-1.1⁽ᴹ⁾ Percentage of people on ART among all people living with HIV at the end of the reporting period</v>
      </c>
      <c r="L849" s="666" t="str">
        <f t="shared" ref="L849" si="3555">V849</f>
        <v>Target / Risk population group</v>
      </c>
      <c r="M849" s="651"/>
      <c r="N849" s="651"/>
      <c r="P849" s="189">
        <f t="shared" ref="P849" si="3556">IF(AND(EXACT(C849,C847),C847&lt;&gt;0),P847+1,0)</f>
        <v>14</v>
      </c>
      <c r="Q849" s="189" t="str">
        <f t="shared" ref="Q849" si="3557">IF(C849&lt;&gt;"",C849&amp;"-"&amp;P849,"")</f>
        <v>TCS-1.1⁽ᴹ⁾ Pourcentage de personnes sous TARV parmi toutes les personnes vivant avec le VIH à la fin de la période de rapportage-14</v>
      </c>
      <c r="R849" s="189" t="str">
        <f t="array" ref="R849">IFERROR(IF(INDEX('Disaggregation Records'!$E$155:$E$385,MATCH(RIGHT(Q849,255),RIGHT('Disaggregation Records'!$D$155:$D$385,255),0))=0,"",INDEX('Disaggregation Records'!$E$155:$E$385,MATCH(RIGHT(Q849,255),RIGHT('Disaggregation Records'!$D$155:$D$385,255),0))),"")</f>
        <v>Groupe à risque cible</v>
      </c>
      <c r="S849" s="189" t="str">
        <f t="array" ref="S849">IFERROR(IF(INDEX('Disaggregation Records'!$F$155:$F$385,MATCH(RIGHT(Q849,255),RIGHT('Disaggregation Records'!$D$155:$D$385,255),0))=0,"",INDEX('Disaggregation Records'!$F$155:$F$385,MATCH(RIGHT(Q849,255),RIGHT('Disaggregation Records'!$D$155:$D$385,255),0))),"")</f>
        <v>HSH</v>
      </c>
      <c r="T849" s="189" t="str">
        <f t="array" ref="T849">IFERROR(IF(INDEX('Disaggregation Records'!$H$155:$H$385,MATCH(RIGHT(Q849,255),RIGHT('Disaggregation Records'!$D$155:$D$385,255),0))=0,"",INDEX('Disaggregation Records'!$H$155:$H$385,MATCH(RIGHT(Q849,255),RIGHT('Disaggregation Records'!$D$155:$D$385,255),0))),"")</f>
        <v>IDR-00977</v>
      </c>
      <c r="U849" s="189">
        <f t="shared" ref="U849" si="3558">U847+1</f>
        <v>1526</v>
      </c>
      <c r="V849" s="189" t="str">
        <f t="array" ref="V849">IFERROR(IF(INDEX('Disaggregation Records'!$I$155:$I$385,MATCH(RIGHT(Q849,255),RIGHT('Disaggregation Records'!$D$155:$D$385,255),0))=0,"",INDEX('Disaggregation Records'!$I$155:$I$385,MATCH(RIGHT(Q849,255),RIGHT('Disaggregation Records'!$D$155:$D$385,255),0))),"")</f>
        <v>Target / Risk population group</v>
      </c>
      <c r="W849" s="189" t="str">
        <f>IFERROR(INDEX('Reference Records'!L$59:L$121,MATCH(LEFT(C849,255),'Reference Records'!E$59:E$121,0)),"")</f>
        <v>TCS-1.1⁽ᴹ⁾ Percentage of people on ART among all people living with HIV at the end of the reporting period</v>
      </c>
    </row>
    <row r="850" spans="1:23" s="189" customFormat="1" ht="40.200000000000003" customHeight="1" x14ac:dyDescent="0.3">
      <c r="A850" s="678"/>
      <c r="B850" s="675"/>
      <c r="C850" s="667"/>
      <c r="D850" s="677"/>
      <c r="E850" s="677"/>
      <c r="F850" s="202"/>
      <c r="G850" s="669"/>
      <c r="H850" s="671"/>
      <c r="I850" s="673"/>
      <c r="J850" s="652"/>
      <c r="K850" s="667"/>
      <c r="L850" s="667"/>
      <c r="M850" s="652"/>
      <c r="N850" s="652"/>
    </row>
    <row r="851" spans="1:23" s="189" customFormat="1" ht="40.200000000000003" customHeight="1" x14ac:dyDescent="0.3">
      <c r="A851" s="678" t="str">
        <f t="shared" ref="A851" ca="1" si="3559">INDIRECT("'update Helper'!C"&amp;U851)</f>
        <v>a163p000002zQbEAAU</v>
      </c>
      <c r="B851" s="674">
        <v>6</v>
      </c>
      <c r="C851" s="666" t="str">
        <f>VLOOKUP(B851,'Coverage Indicators - Section D'!$A$9:$AU$70,47,FALSE)</f>
        <v>TCS-1.1⁽ᴹ⁾ Pourcentage de personnes sous TARV parmi toutes les personnes vivant avec le VIH à la fin de la période de rapportage</v>
      </c>
      <c r="D851" s="676" t="str">
        <f t="shared" ref="D851" si="3560">R851</f>
        <v>Groupe à risque cible</v>
      </c>
      <c r="E851" s="676" t="str">
        <f t="shared" ref="E851" si="3561">S851</f>
        <v>Professionnels du sexe</v>
      </c>
      <c r="F851" s="194"/>
      <c r="G851" s="668" t="str">
        <f t="shared" ref="G851" ca="1" si="3562">IF(OR(INDIRECT("'update Helper'!E"&amp;U851)=0,F851&lt;&gt;0,F852&lt;&gt;0),IF(IFERROR((F851/F852),"")="","",(F851/F852)),INDIRECT("'update Helper'!E"&amp;U851)/100)</f>
        <v/>
      </c>
      <c r="H851" s="670"/>
      <c r="I851" s="672"/>
      <c r="J851" s="651"/>
      <c r="K851" s="666" t="str">
        <f t="shared" ref="K851" si="3563">W851</f>
        <v>TCS-1.1⁽ᴹ⁾ Percentage of people on ART among all people living with HIV at the end of the reporting period</v>
      </c>
      <c r="L851" s="666" t="str">
        <f t="shared" ref="L851" si="3564">V851</f>
        <v>Target / Risk population group</v>
      </c>
      <c r="M851" s="651"/>
      <c r="N851" s="651"/>
      <c r="P851" s="189">
        <f t="shared" ref="P851" si="3565">IF(AND(EXACT(C851,C849),C849&lt;&gt;0),P849+1,0)</f>
        <v>15</v>
      </c>
      <c r="Q851" s="189" t="str">
        <f t="shared" ref="Q851" si="3566">IF(C851&lt;&gt;"",C851&amp;"-"&amp;P851,"")</f>
        <v>TCS-1.1⁽ᴹ⁾ Pourcentage de personnes sous TARV parmi toutes les personnes vivant avec le VIH à la fin de la période de rapportage-15</v>
      </c>
      <c r="R851" s="189" t="str">
        <f t="array" ref="R851">IFERROR(IF(INDEX('Disaggregation Records'!$E$155:$E$385,MATCH(RIGHT(Q851,255),RIGHT('Disaggregation Records'!$D$155:$D$385,255),0))=0,"",INDEX('Disaggregation Records'!$E$155:$E$385,MATCH(RIGHT(Q851,255),RIGHT('Disaggregation Records'!$D$155:$D$385,255),0))),"")</f>
        <v>Groupe à risque cible</v>
      </c>
      <c r="S851" s="189" t="str">
        <f t="array" ref="S851">IFERROR(IF(INDEX('Disaggregation Records'!$F$155:$F$385,MATCH(RIGHT(Q851,255),RIGHT('Disaggregation Records'!$D$155:$D$385,255),0))=0,"",INDEX('Disaggregation Records'!$F$155:$F$385,MATCH(RIGHT(Q851,255),RIGHT('Disaggregation Records'!$D$155:$D$385,255),0))),"")</f>
        <v>Professionnels du sexe</v>
      </c>
      <c r="T851" s="189" t="str">
        <f t="array" ref="T851">IFERROR(IF(INDEX('Disaggregation Records'!$H$155:$H$385,MATCH(RIGHT(Q851,255),RIGHT('Disaggregation Records'!$D$155:$D$385,255),0))=0,"",INDEX('Disaggregation Records'!$H$155:$H$385,MATCH(RIGHT(Q851,255),RIGHT('Disaggregation Records'!$D$155:$D$385,255),0))),"")</f>
        <v>IDR-00978</v>
      </c>
      <c r="U851" s="189">
        <f t="shared" ref="U851" si="3567">U849+1</f>
        <v>1527</v>
      </c>
      <c r="V851" s="189" t="str">
        <f t="array" ref="V851">IFERROR(IF(INDEX('Disaggregation Records'!$I$155:$I$385,MATCH(RIGHT(Q851,255),RIGHT('Disaggregation Records'!$D$155:$D$385,255),0))=0,"",INDEX('Disaggregation Records'!$I$155:$I$385,MATCH(RIGHT(Q851,255),RIGHT('Disaggregation Records'!$D$155:$D$385,255),0))),"")</f>
        <v>Target / Risk population group</v>
      </c>
      <c r="W851" s="189" t="str">
        <f>IFERROR(INDEX('Reference Records'!L$59:L$121,MATCH(LEFT(C851,255),'Reference Records'!E$59:E$121,0)),"")</f>
        <v>TCS-1.1⁽ᴹ⁾ Percentage of people on ART among all people living with HIV at the end of the reporting period</v>
      </c>
    </row>
    <row r="852" spans="1:23" s="189" customFormat="1" ht="40.200000000000003" customHeight="1" x14ac:dyDescent="0.3">
      <c r="A852" s="678"/>
      <c r="B852" s="675"/>
      <c r="C852" s="667"/>
      <c r="D852" s="677"/>
      <c r="E852" s="677"/>
      <c r="F852" s="202"/>
      <c r="G852" s="669"/>
      <c r="H852" s="671"/>
      <c r="I852" s="673"/>
      <c r="J852" s="652"/>
      <c r="K852" s="667"/>
      <c r="L852" s="667"/>
      <c r="M852" s="652"/>
      <c r="N852" s="652"/>
    </row>
    <row r="853" spans="1:23" s="189" customFormat="1" ht="40.200000000000003" customHeight="1" x14ac:dyDescent="0.3">
      <c r="A853" s="678" t="str">
        <f t="shared" ref="A853" ca="1" si="3568">INDIRECT("'update Helper'!C"&amp;U853)</f>
        <v>a163p000002zQbFAAU</v>
      </c>
      <c r="B853" s="674">
        <v>6</v>
      </c>
      <c r="C853" s="666" t="str">
        <f>VLOOKUP(B853,'Coverage Indicators - Section D'!$A$9:$AU$70,47,FALSE)</f>
        <v>TCS-1.1⁽ᴹ⁾ Pourcentage de personnes sous TARV parmi toutes les personnes vivant avec le VIH à la fin de la période de rapportage</v>
      </c>
      <c r="D853" s="676" t="str">
        <f t="shared" ref="D853" si="3569">R853</f>
        <v>Groupe à risque cible</v>
      </c>
      <c r="E853" s="676" t="str">
        <f t="shared" ref="E853" si="3570">S853</f>
        <v>Usagers de drogues injectables</v>
      </c>
      <c r="F853" s="194"/>
      <c r="G853" s="668" t="str">
        <f t="shared" ref="G853" ca="1" si="3571">IF(OR(INDIRECT("'update Helper'!E"&amp;U853)=0,F853&lt;&gt;0,F854&lt;&gt;0),IF(IFERROR((F853/F854),"")="","",(F853/F854)),INDIRECT("'update Helper'!E"&amp;U853)/100)</f>
        <v/>
      </c>
      <c r="H853" s="670"/>
      <c r="I853" s="672"/>
      <c r="J853" s="651"/>
      <c r="K853" s="666" t="str">
        <f t="shared" ref="K853" si="3572">W853</f>
        <v>TCS-1.1⁽ᴹ⁾ Percentage of people on ART among all people living with HIV at the end of the reporting period</v>
      </c>
      <c r="L853" s="666" t="str">
        <f t="shared" ref="L853" si="3573">V853</f>
        <v>Target / Risk population group</v>
      </c>
      <c r="M853" s="651"/>
      <c r="N853" s="651"/>
      <c r="P853" s="189">
        <f t="shared" ref="P853" si="3574">IF(AND(EXACT(C853,C851),C851&lt;&gt;0),P851+1,0)</f>
        <v>16</v>
      </c>
      <c r="Q853" s="189" t="str">
        <f t="shared" ref="Q853" si="3575">IF(C853&lt;&gt;"",C853&amp;"-"&amp;P853,"")</f>
        <v>TCS-1.1⁽ᴹ⁾ Pourcentage de personnes sous TARV parmi toutes les personnes vivant avec le VIH à la fin de la période de rapportage-16</v>
      </c>
      <c r="R853" s="189" t="str">
        <f t="array" ref="R853">IFERROR(IF(INDEX('Disaggregation Records'!$E$155:$E$385,MATCH(RIGHT(Q853,255),RIGHT('Disaggregation Records'!$D$155:$D$385,255),0))=0,"",INDEX('Disaggregation Records'!$E$155:$E$385,MATCH(RIGHT(Q853,255),RIGHT('Disaggregation Records'!$D$155:$D$385,255),0))),"")</f>
        <v>Groupe à risque cible</v>
      </c>
      <c r="S853" s="189" t="str">
        <f t="array" ref="S853">IFERROR(IF(INDEX('Disaggregation Records'!$F$155:$F$385,MATCH(RIGHT(Q853,255),RIGHT('Disaggregation Records'!$D$155:$D$385,255),0))=0,"",INDEX('Disaggregation Records'!$F$155:$F$385,MATCH(RIGHT(Q853,255),RIGHT('Disaggregation Records'!$D$155:$D$385,255),0))),"")</f>
        <v>Usagers de drogues injectables</v>
      </c>
      <c r="T853" s="189" t="str">
        <f t="array" ref="T853">IFERROR(IF(INDEX('Disaggregation Records'!$H$155:$H$385,MATCH(RIGHT(Q853,255),RIGHT('Disaggregation Records'!$D$155:$D$385,255),0))=0,"",INDEX('Disaggregation Records'!$H$155:$H$385,MATCH(RIGHT(Q853,255),RIGHT('Disaggregation Records'!$D$155:$D$385,255),0))),"")</f>
        <v>IDR-00979</v>
      </c>
      <c r="U853" s="189">
        <f t="shared" ref="U853" si="3576">U851+1</f>
        <v>1528</v>
      </c>
      <c r="V853" s="189" t="str">
        <f t="array" ref="V853">IFERROR(IF(INDEX('Disaggregation Records'!$I$155:$I$385,MATCH(RIGHT(Q853,255),RIGHT('Disaggregation Records'!$D$155:$D$385,255),0))=0,"",INDEX('Disaggregation Records'!$I$155:$I$385,MATCH(RIGHT(Q853,255),RIGHT('Disaggregation Records'!$D$155:$D$385,255),0))),"")</f>
        <v>Target / Risk population group</v>
      </c>
      <c r="W853" s="189" t="str">
        <f>IFERROR(INDEX('Reference Records'!L$59:L$121,MATCH(LEFT(C853,255),'Reference Records'!E$59:E$121,0)),"")</f>
        <v>TCS-1.1⁽ᴹ⁾ Percentage of people on ART among all people living with HIV at the end of the reporting period</v>
      </c>
    </row>
    <row r="854" spans="1:23" s="189" customFormat="1" ht="40.200000000000003" customHeight="1" x14ac:dyDescent="0.3">
      <c r="A854" s="678"/>
      <c r="B854" s="675"/>
      <c r="C854" s="667"/>
      <c r="D854" s="677"/>
      <c r="E854" s="677"/>
      <c r="F854" s="202"/>
      <c r="G854" s="669"/>
      <c r="H854" s="671"/>
      <c r="I854" s="673"/>
      <c r="J854" s="652"/>
      <c r="K854" s="667"/>
      <c r="L854" s="667"/>
      <c r="M854" s="652"/>
      <c r="N854" s="652"/>
    </row>
    <row r="855" spans="1:23" s="189" customFormat="1" ht="40.200000000000003" customHeight="1" x14ac:dyDescent="0.3">
      <c r="A855" s="678" t="str">
        <f t="shared" ref="A855" ca="1" si="3577">INDIRECT("'update Helper'!C"&amp;U855)</f>
        <v>a163p000002zQbGAAU</v>
      </c>
      <c r="B855" s="674">
        <v>6</v>
      </c>
      <c r="C855" s="666" t="str">
        <f>VLOOKUP(B855,'Coverage Indicators - Section D'!$A$9:$AU$70,47,FALSE)</f>
        <v>TCS-1.1⁽ᴹ⁾ Pourcentage de personnes sous TARV parmi toutes les personnes vivant avec le VIH à la fin de la période de rapportage</v>
      </c>
      <c r="D855" s="676" t="str">
        <f t="shared" ref="D855" si="3578">R855</f>
        <v>Groupe à risque cible</v>
      </c>
      <c r="E855" s="676" t="str">
        <f t="shared" ref="E855" si="3579">S855</f>
        <v>Prisonniers</v>
      </c>
      <c r="F855" s="194"/>
      <c r="G855" s="668" t="str">
        <f t="shared" ref="G855" ca="1" si="3580">IF(OR(INDIRECT("'update Helper'!E"&amp;U855)=0,F855&lt;&gt;0,F856&lt;&gt;0),IF(IFERROR((F855/F856),"")="","",(F855/F856)),INDIRECT("'update Helper'!E"&amp;U855)/100)</f>
        <v/>
      </c>
      <c r="H855" s="670"/>
      <c r="I855" s="672"/>
      <c r="J855" s="651"/>
      <c r="K855" s="666" t="str">
        <f t="shared" ref="K855" si="3581">W855</f>
        <v>TCS-1.1⁽ᴹ⁾ Percentage of people on ART among all people living with HIV at the end of the reporting period</v>
      </c>
      <c r="L855" s="666" t="str">
        <f t="shared" ref="L855" si="3582">V855</f>
        <v>Target / Risk population group</v>
      </c>
      <c r="M855" s="651"/>
      <c r="N855" s="651"/>
      <c r="P855" s="189">
        <f t="shared" ref="P855" si="3583">IF(AND(EXACT(C855,C853),C853&lt;&gt;0),P853+1,0)</f>
        <v>17</v>
      </c>
      <c r="Q855" s="189" t="str">
        <f t="shared" ref="Q855" si="3584">IF(C855&lt;&gt;"",C855&amp;"-"&amp;P855,"")</f>
        <v>TCS-1.1⁽ᴹ⁾ Pourcentage de personnes sous TARV parmi toutes les personnes vivant avec le VIH à la fin de la période de rapportage-17</v>
      </c>
      <c r="R855" s="189" t="str">
        <f t="array" ref="R855">IFERROR(IF(INDEX('Disaggregation Records'!$E$155:$E$385,MATCH(RIGHT(Q855,255),RIGHT('Disaggregation Records'!$D$155:$D$385,255),0))=0,"",INDEX('Disaggregation Records'!$E$155:$E$385,MATCH(RIGHT(Q855,255),RIGHT('Disaggregation Records'!$D$155:$D$385,255),0))),"")</f>
        <v>Groupe à risque cible</v>
      </c>
      <c r="S855" s="189" t="str">
        <f t="array" ref="S855">IFERROR(IF(INDEX('Disaggregation Records'!$F$155:$F$385,MATCH(RIGHT(Q855,255),RIGHT('Disaggregation Records'!$D$155:$D$385,255),0))=0,"",INDEX('Disaggregation Records'!$F$155:$F$385,MATCH(RIGHT(Q855,255),RIGHT('Disaggregation Records'!$D$155:$D$385,255),0))),"")</f>
        <v>Prisonniers</v>
      </c>
      <c r="T855" s="189" t="str">
        <f t="array" ref="T855">IFERROR(IF(INDEX('Disaggregation Records'!$H$155:$H$385,MATCH(RIGHT(Q855,255),RIGHT('Disaggregation Records'!$D$155:$D$385,255),0))=0,"",INDEX('Disaggregation Records'!$H$155:$H$385,MATCH(RIGHT(Q855,255),RIGHT('Disaggregation Records'!$D$155:$D$385,255),0))),"")</f>
        <v>IDR-00980</v>
      </c>
      <c r="U855" s="189">
        <f t="shared" ref="U855" si="3585">U853+1</f>
        <v>1529</v>
      </c>
      <c r="V855" s="189" t="str">
        <f t="array" ref="V855">IFERROR(IF(INDEX('Disaggregation Records'!$I$155:$I$385,MATCH(RIGHT(Q855,255),RIGHT('Disaggregation Records'!$D$155:$D$385,255),0))=0,"",INDEX('Disaggregation Records'!$I$155:$I$385,MATCH(RIGHT(Q855,255),RIGHT('Disaggregation Records'!$D$155:$D$385,255),0))),"")</f>
        <v>Target / Risk population group</v>
      </c>
      <c r="W855" s="189" t="str">
        <f>IFERROR(INDEX('Reference Records'!L$59:L$121,MATCH(LEFT(C855,255),'Reference Records'!E$59:E$121,0)),"")</f>
        <v>TCS-1.1⁽ᴹ⁾ Percentage of people on ART among all people living with HIV at the end of the reporting period</v>
      </c>
    </row>
    <row r="856" spans="1:23" s="189" customFormat="1" ht="40.200000000000003" customHeight="1" x14ac:dyDescent="0.3">
      <c r="A856" s="678"/>
      <c r="B856" s="675"/>
      <c r="C856" s="667"/>
      <c r="D856" s="677"/>
      <c r="E856" s="677"/>
      <c r="F856" s="202"/>
      <c r="G856" s="669"/>
      <c r="H856" s="671"/>
      <c r="I856" s="673"/>
      <c r="J856" s="652"/>
      <c r="K856" s="667"/>
      <c r="L856" s="667"/>
      <c r="M856" s="652"/>
      <c r="N856" s="652"/>
    </row>
    <row r="857" spans="1:23" s="189" customFormat="1" ht="40.200000000000003" customHeight="1" x14ac:dyDescent="0.3">
      <c r="A857" s="678" t="str">
        <f t="shared" ref="A857" ca="1" si="3586">INDIRECT("'update Helper'!C"&amp;U857)</f>
        <v>a163p000002zQbHAAU</v>
      </c>
      <c r="B857" s="674">
        <v>6</v>
      </c>
      <c r="C857" s="666" t="str">
        <f>VLOOKUP(B857,'Coverage Indicators - Section D'!$A$9:$AU$70,47,FALSE)</f>
        <v>TCS-1.1⁽ᴹ⁾ Pourcentage de personnes sous TARV parmi toutes les personnes vivant avec le VIH à la fin de la période de rapportage</v>
      </c>
      <c r="D857" s="676" t="str">
        <f t="shared" ref="D857" si="3587">R857</f>
        <v/>
      </c>
      <c r="E857" s="676" t="str">
        <f t="shared" ref="E857" si="3588">S857</f>
        <v/>
      </c>
      <c r="F857" s="194"/>
      <c r="G857" s="668" t="str">
        <f t="shared" ref="G857" ca="1" si="3589">IF(OR(INDIRECT("'update Helper'!E"&amp;U857)=0,F857&lt;&gt;0,F858&lt;&gt;0),IF(IFERROR((F857/F858),"")="","",(F857/F858)),INDIRECT("'update Helper'!E"&amp;U857)/100)</f>
        <v/>
      </c>
      <c r="H857" s="670"/>
      <c r="I857" s="672"/>
      <c r="J857" s="651"/>
      <c r="K857" s="666" t="str">
        <f t="shared" ref="K857" si="3590">W857</f>
        <v>TCS-1.1⁽ᴹ⁾ Percentage of people on ART among all people living with HIV at the end of the reporting period</v>
      </c>
      <c r="L857" s="666" t="str">
        <f t="shared" ref="L857" si="3591">V857</f>
        <v/>
      </c>
      <c r="M857" s="651"/>
      <c r="N857" s="651"/>
      <c r="P857" s="189">
        <f t="shared" ref="P857" si="3592">IF(AND(EXACT(C857,C855),C855&lt;&gt;0),P855+1,0)</f>
        <v>18</v>
      </c>
      <c r="Q857" s="189" t="str">
        <f t="shared" ref="Q857" si="3593">IF(C857&lt;&gt;"",C857&amp;"-"&amp;P857,"")</f>
        <v>TCS-1.1⁽ᴹ⁾ Pourcentage de personnes sous TARV parmi toutes les personnes vivant avec le VIH à la fin de la période de rapportage-18</v>
      </c>
      <c r="R857" s="189" t="str">
        <f t="array" ref="R857">IFERROR(IF(INDEX('Disaggregation Records'!$E$155:$E$385,MATCH(RIGHT(Q857,255),RIGHT('Disaggregation Records'!$D$155:$D$385,255),0))=0,"",INDEX('Disaggregation Records'!$E$155:$E$385,MATCH(RIGHT(Q857,255),RIGHT('Disaggregation Records'!$D$155:$D$385,255),0))),"")</f>
        <v/>
      </c>
      <c r="S857" s="189" t="str">
        <f t="array" ref="S857">IFERROR(IF(INDEX('Disaggregation Records'!$F$155:$F$385,MATCH(RIGHT(Q857,255),RIGHT('Disaggregation Records'!$D$155:$D$385,255),0))=0,"",INDEX('Disaggregation Records'!$F$155:$F$385,MATCH(RIGHT(Q857,255),RIGHT('Disaggregation Records'!$D$155:$D$385,255),0))),"")</f>
        <v/>
      </c>
      <c r="T857" s="189" t="str">
        <f t="array" ref="T857">IFERROR(IF(INDEX('Disaggregation Records'!$H$155:$H$385,MATCH(RIGHT(Q857,255),RIGHT('Disaggregation Records'!$D$155:$D$385,255),0))=0,"",INDEX('Disaggregation Records'!$H$155:$H$385,MATCH(RIGHT(Q857,255),RIGHT('Disaggregation Records'!$D$155:$D$385,255),0))),"")</f>
        <v/>
      </c>
      <c r="U857" s="189">
        <f t="shared" ref="U857" si="3594">U855+1</f>
        <v>1530</v>
      </c>
      <c r="V857" s="189" t="str">
        <f t="array" ref="V857">IFERROR(IF(INDEX('Disaggregation Records'!$I$155:$I$385,MATCH(RIGHT(Q857,255),RIGHT('Disaggregation Records'!$D$155:$D$385,255),0))=0,"",INDEX('Disaggregation Records'!$I$155:$I$385,MATCH(RIGHT(Q857,255),RIGHT('Disaggregation Records'!$D$155:$D$385,255),0))),"")</f>
        <v/>
      </c>
      <c r="W857" s="189" t="str">
        <f>IFERROR(INDEX('Reference Records'!L$59:L$121,MATCH(LEFT(C857,255),'Reference Records'!E$59:E$121,0)),"")</f>
        <v>TCS-1.1⁽ᴹ⁾ Percentage of people on ART among all people living with HIV at the end of the reporting period</v>
      </c>
    </row>
    <row r="858" spans="1:23" s="189" customFormat="1" ht="40.200000000000003" customHeight="1" x14ac:dyDescent="0.3">
      <c r="A858" s="678"/>
      <c r="B858" s="675"/>
      <c r="C858" s="667"/>
      <c r="D858" s="677"/>
      <c r="E858" s="677"/>
      <c r="F858" s="202"/>
      <c r="G858" s="669"/>
      <c r="H858" s="671"/>
      <c r="I858" s="673"/>
      <c r="J858" s="652"/>
      <c r="K858" s="667"/>
      <c r="L858" s="667"/>
      <c r="M858" s="652"/>
      <c r="N858" s="652"/>
    </row>
    <row r="859" spans="1:23" s="189" customFormat="1" ht="40.200000000000003" customHeight="1" x14ac:dyDescent="0.3">
      <c r="A859" s="678" t="str">
        <f t="shared" ref="A859" ca="1" si="3595">INDIRECT("'update Helper'!C"&amp;U859)</f>
        <v>a163p000002zQbIAAU</v>
      </c>
      <c r="B859" s="674">
        <v>6</v>
      </c>
      <c r="C859" s="666" t="str">
        <f>VLOOKUP(B859,'Coverage Indicators - Section D'!$A$9:$AU$70,47,FALSE)</f>
        <v>TCS-1.1⁽ᴹ⁾ Pourcentage de personnes sous TARV parmi toutes les personnes vivant avec le VIH à la fin de la période de rapportage</v>
      </c>
      <c r="D859" s="676" t="str">
        <f t="shared" ref="D859" si="3596">R859</f>
        <v/>
      </c>
      <c r="E859" s="676" t="str">
        <f t="shared" ref="E859" si="3597">S859</f>
        <v/>
      </c>
      <c r="F859" s="194"/>
      <c r="G859" s="668" t="str">
        <f t="shared" ref="G859" ca="1" si="3598">IF(OR(INDIRECT("'update Helper'!E"&amp;U859)=0,F859&lt;&gt;0,F860&lt;&gt;0),IF(IFERROR((F859/F860),"")="","",(F859/F860)),INDIRECT("'update Helper'!E"&amp;U859)/100)</f>
        <v/>
      </c>
      <c r="H859" s="670"/>
      <c r="I859" s="672"/>
      <c r="J859" s="651"/>
      <c r="K859" s="666" t="str">
        <f t="shared" ref="K859" si="3599">W859</f>
        <v>TCS-1.1⁽ᴹ⁾ Percentage of people on ART among all people living with HIV at the end of the reporting period</v>
      </c>
      <c r="L859" s="666" t="str">
        <f t="shared" ref="L859" si="3600">V859</f>
        <v/>
      </c>
      <c r="M859" s="651"/>
      <c r="N859" s="651"/>
      <c r="P859" s="189">
        <f t="shared" ref="P859" si="3601">IF(AND(EXACT(C859,C857),C857&lt;&gt;0),P857+1,0)</f>
        <v>19</v>
      </c>
      <c r="Q859" s="189" t="str">
        <f t="shared" ref="Q859" si="3602">IF(C859&lt;&gt;"",C859&amp;"-"&amp;P859,"")</f>
        <v>TCS-1.1⁽ᴹ⁾ Pourcentage de personnes sous TARV parmi toutes les personnes vivant avec le VIH à la fin de la période de rapportage-19</v>
      </c>
      <c r="R859" s="189" t="str">
        <f t="array" ref="R859">IFERROR(IF(INDEX('Disaggregation Records'!$E$155:$E$385,MATCH(RIGHT(Q859,255),RIGHT('Disaggregation Records'!$D$155:$D$385,255),0))=0,"",INDEX('Disaggregation Records'!$E$155:$E$385,MATCH(RIGHT(Q859,255),RIGHT('Disaggregation Records'!$D$155:$D$385,255),0))),"")</f>
        <v/>
      </c>
      <c r="S859" s="189" t="str">
        <f t="array" ref="S859">IFERROR(IF(INDEX('Disaggregation Records'!$F$155:$F$385,MATCH(RIGHT(Q859,255),RIGHT('Disaggregation Records'!$D$155:$D$385,255),0))=0,"",INDEX('Disaggregation Records'!$F$155:$F$385,MATCH(RIGHT(Q859,255),RIGHT('Disaggregation Records'!$D$155:$D$385,255),0))),"")</f>
        <v/>
      </c>
      <c r="T859" s="189" t="str">
        <f t="array" ref="T859">IFERROR(IF(INDEX('Disaggregation Records'!$H$155:$H$385,MATCH(RIGHT(Q859,255),RIGHT('Disaggregation Records'!$D$155:$D$385,255),0))=0,"",INDEX('Disaggregation Records'!$H$155:$H$385,MATCH(RIGHT(Q859,255),RIGHT('Disaggregation Records'!$D$155:$D$385,255),0))),"")</f>
        <v/>
      </c>
      <c r="U859" s="189">
        <f t="shared" ref="U859" si="3603">U857+1</f>
        <v>1531</v>
      </c>
      <c r="V859" s="189" t="str">
        <f t="array" ref="V859">IFERROR(IF(INDEX('Disaggregation Records'!$I$155:$I$385,MATCH(RIGHT(Q859,255),RIGHT('Disaggregation Records'!$D$155:$D$385,255),0))=0,"",INDEX('Disaggregation Records'!$I$155:$I$385,MATCH(RIGHT(Q859,255),RIGHT('Disaggregation Records'!$D$155:$D$385,255),0))),"")</f>
        <v/>
      </c>
      <c r="W859" s="189" t="str">
        <f>IFERROR(INDEX('Reference Records'!L$59:L$121,MATCH(LEFT(C859,255),'Reference Records'!E$59:E$121,0)),"")</f>
        <v>TCS-1.1⁽ᴹ⁾ Percentage of people on ART among all people living with HIV at the end of the reporting period</v>
      </c>
    </row>
    <row r="860" spans="1:23" s="189" customFormat="1" ht="40.200000000000003" customHeight="1" x14ac:dyDescent="0.3">
      <c r="A860" s="678"/>
      <c r="B860" s="675"/>
      <c r="C860" s="667"/>
      <c r="D860" s="677"/>
      <c r="E860" s="677"/>
      <c r="F860" s="202"/>
      <c r="G860" s="669"/>
      <c r="H860" s="671"/>
      <c r="I860" s="673"/>
      <c r="J860" s="652"/>
      <c r="K860" s="667"/>
      <c r="L860" s="667"/>
      <c r="M860" s="652"/>
      <c r="N860" s="652"/>
    </row>
    <row r="861" spans="1:23" s="189" customFormat="1" ht="40.200000000000003" customHeight="1" x14ac:dyDescent="0.3">
      <c r="A861" s="678" t="str">
        <f t="shared" ref="A861" ca="1" si="3604">INDIRECT("'update Helper'!C"&amp;U861)</f>
        <v>a163p000002zQbJAAU</v>
      </c>
      <c r="B861" s="674">
        <v>7</v>
      </c>
      <c r="C861" s="666" t="str">
        <f>VLOOKUP(B861,'Coverage Indicators - Section D'!$A$9:$AU$70,47,FALSE)</f>
        <v>TCS-1b⁽ᴹ⁾ Pourcentage d'adultes (15 ans et plus) sous TARV parmi tous les adultes vivant avec le VIH à la fin de la période de rapportage</v>
      </c>
      <c r="D861" s="676" t="str">
        <f t="shared" ref="D861" si="3605">R861</f>
        <v>Durée du traitement</v>
      </c>
      <c r="E861" s="676" t="str">
        <f t="shared" ref="E861" si="3606">S861</f>
        <v>Ayant récemment commencé un traitement antirétroviral</v>
      </c>
      <c r="F861" s="194"/>
      <c r="G861" s="668" t="str">
        <f t="shared" ref="G861" ca="1" si="3607">IF(OR(INDIRECT("'update Helper'!E"&amp;U861)=0,F861&lt;&gt;0,F862&lt;&gt;0),IF(IFERROR((F861/F862),"")="","",(F861/F862)),INDIRECT("'update Helper'!E"&amp;U861)/100)</f>
        <v/>
      </c>
      <c r="H861" s="670"/>
      <c r="I861" s="672"/>
      <c r="J861" s="651"/>
      <c r="K861" s="666" t="str">
        <f t="shared" ref="K861" si="3608">W861</f>
        <v>TCS-1b⁽ᴹ⁾ Percentage of adults (15 and above) on ART among all adults living with HIV at the end of the reporting period</v>
      </c>
      <c r="L861" s="666" t="str">
        <f t="shared" ref="L861" si="3609">V861</f>
        <v>Duration of treatment</v>
      </c>
      <c r="M861" s="651"/>
      <c r="N861" s="651"/>
      <c r="P861" s="189">
        <f t="shared" ref="P861" si="3610">IF(AND(EXACT(C861,C859),C859&lt;&gt;0),P859+1,0)</f>
        <v>0</v>
      </c>
      <c r="Q861" s="189" t="str">
        <f t="shared" ref="Q861" si="3611">IF(C861&lt;&gt;"",C861&amp;"-"&amp;P861,"")</f>
        <v>TCS-1b⁽ᴹ⁾ Pourcentage d'adultes (15 ans et plus) sous TARV parmi tous les adultes vivant avec le VIH à la fin de la période de rapportage-0</v>
      </c>
      <c r="R861" s="189" t="str">
        <f t="array" ref="R861">IFERROR(IF(INDEX('Disaggregation Records'!$E$155:$E$385,MATCH(RIGHT(Q861,255),RIGHT('Disaggregation Records'!$D$155:$D$385,255),0))=0,"",INDEX('Disaggregation Records'!$E$155:$E$385,MATCH(RIGHT(Q861,255),RIGHT('Disaggregation Records'!$D$155:$D$385,255),0))),"")</f>
        <v>Durée du traitement</v>
      </c>
      <c r="S861" s="189" t="str">
        <f t="array" ref="S861">IFERROR(IF(INDEX('Disaggregation Records'!$F$155:$F$385,MATCH(RIGHT(Q861,255),RIGHT('Disaggregation Records'!$D$155:$D$385,255),0))=0,"",INDEX('Disaggregation Records'!$F$155:$F$385,MATCH(RIGHT(Q861,255),RIGHT('Disaggregation Records'!$D$155:$D$385,255),0))),"")</f>
        <v>Ayant récemment commencé un traitement antirétroviral</v>
      </c>
      <c r="T861" s="189" t="str">
        <f t="array" ref="T861">IFERROR(IF(INDEX('Disaggregation Records'!$H$155:$H$385,MATCH(RIGHT(Q861,255),RIGHT('Disaggregation Records'!$D$155:$D$385,255),0))=0,"",INDEX('Disaggregation Records'!$H$155:$H$385,MATCH(RIGHT(Q861,255),RIGHT('Disaggregation Records'!$D$155:$D$385,255),0))),"")</f>
        <v>IDR-00905</v>
      </c>
      <c r="U861" s="189">
        <f t="shared" ref="U861" si="3612">U859+1</f>
        <v>1532</v>
      </c>
      <c r="V861" s="189" t="str">
        <f t="array" ref="V861">IFERROR(IF(INDEX('Disaggregation Records'!$I$155:$I$385,MATCH(RIGHT(Q861,255),RIGHT('Disaggregation Records'!$D$155:$D$385,255),0))=0,"",INDEX('Disaggregation Records'!$I$155:$I$385,MATCH(RIGHT(Q861,255),RIGHT('Disaggregation Records'!$D$155:$D$385,255),0))),"")</f>
        <v>Duration of treatment</v>
      </c>
      <c r="W861" s="189" t="str">
        <f>IFERROR(INDEX('Reference Records'!L$59:L$121,MATCH(LEFT(C861,255),'Reference Records'!E$59:E$121,0)),"")</f>
        <v>TCS-1b⁽ᴹ⁾ Percentage of adults (15 and above) on ART among all adults living with HIV at the end of the reporting period</v>
      </c>
    </row>
    <row r="862" spans="1:23" s="189" customFormat="1" ht="40.200000000000003" customHeight="1" x14ac:dyDescent="0.3">
      <c r="A862" s="678"/>
      <c r="B862" s="675"/>
      <c r="C862" s="667"/>
      <c r="D862" s="677"/>
      <c r="E862" s="677"/>
      <c r="F862" s="202"/>
      <c r="G862" s="669"/>
      <c r="H862" s="671"/>
      <c r="I862" s="673"/>
      <c r="J862" s="652"/>
      <c r="K862" s="667"/>
      <c r="L862" s="667"/>
      <c r="M862" s="652"/>
      <c r="N862" s="652"/>
    </row>
    <row r="863" spans="1:23" s="189" customFormat="1" ht="40.200000000000003" customHeight="1" x14ac:dyDescent="0.3">
      <c r="A863" s="678" t="str">
        <f t="shared" ref="A863" ca="1" si="3613">INDIRECT("'update Helper'!C"&amp;U863)</f>
        <v>a163p000002zQbKAAU</v>
      </c>
      <c r="B863" s="674">
        <v>7</v>
      </c>
      <c r="C863" s="666" t="str">
        <f>VLOOKUP(B863,'Coverage Indicators - Section D'!$A$9:$AU$70,47,FALSE)</f>
        <v>TCS-1b⁽ᴹ⁾ Pourcentage d'adultes (15 ans et plus) sous TARV parmi tous les adultes vivant avec le VIH à la fin de la période de rapportage</v>
      </c>
      <c r="D863" s="676" t="str">
        <f t="shared" ref="D863" si="3614">R863</f>
        <v>Sexe</v>
      </c>
      <c r="E863" s="676" t="str">
        <f t="shared" ref="E863" si="3615">S863</f>
        <v>Homme</v>
      </c>
      <c r="F863" s="194"/>
      <c r="G863" s="668" t="str">
        <f t="shared" ref="G863" ca="1" si="3616">IF(OR(INDIRECT("'update Helper'!E"&amp;U863)=0,F863&lt;&gt;0,F864&lt;&gt;0),IF(IFERROR((F863/F864),"")="","",(F863/F864)),INDIRECT("'update Helper'!E"&amp;U863)/100)</f>
        <v/>
      </c>
      <c r="H863" s="670"/>
      <c r="I863" s="672"/>
      <c r="J863" s="651"/>
      <c r="K863" s="666" t="str">
        <f t="shared" ref="K863" si="3617">W863</f>
        <v>TCS-1b⁽ᴹ⁾ Percentage of adults (15 and above) on ART among all adults living with HIV at the end of the reporting period</v>
      </c>
      <c r="L863" s="666" t="str">
        <f t="shared" ref="L863" si="3618">V863</f>
        <v>Gender</v>
      </c>
      <c r="M863" s="651"/>
      <c r="N863" s="651"/>
      <c r="P863" s="189">
        <f t="shared" ref="P863" si="3619">IF(AND(EXACT(C863,C861),C861&lt;&gt;0),P861+1,0)</f>
        <v>1</v>
      </c>
      <c r="Q863" s="189" t="str">
        <f t="shared" ref="Q863" si="3620">IF(C863&lt;&gt;"",C863&amp;"-"&amp;P863,"")</f>
        <v>TCS-1b⁽ᴹ⁾ Pourcentage d'adultes (15 ans et plus) sous TARV parmi tous les adultes vivant avec le VIH à la fin de la période de rapportage-1</v>
      </c>
      <c r="R863" s="189" t="str">
        <f t="array" ref="R863">IFERROR(IF(INDEX('Disaggregation Records'!$E$155:$E$385,MATCH(RIGHT(Q863,255),RIGHT('Disaggregation Records'!$D$155:$D$385,255),0))=0,"",INDEX('Disaggregation Records'!$E$155:$E$385,MATCH(RIGHT(Q863,255),RIGHT('Disaggregation Records'!$D$155:$D$385,255),0))),"")</f>
        <v>Sexe</v>
      </c>
      <c r="S863" s="189" t="str">
        <f t="array" ref="S863">IFERROR(IF(INDEX('Disaggregation Records'!$F$155:$F$385,MATCH(RIGHT(Q863,255),RIGHT('Disaggregation Records'!$D$155:$D$385,255),0))=0,"",INDEX('Disaggregation Records'!$F$155:$F$385,MATCH(RIGHT(Q863,255),RIGHT('Disaggregation Records'!$D$155:$D$385,255),0))),"")</f>
        <v>Homme</v>
      </c>
      <c r="T863" s="189" t="str">
        <f t="array" ref="T863">IFERROR(IF(INDEX('Disaggregation Records'!$H$155:$H$385,MATCH(RIGHT(Q863,255),RIGHT('Disaggregation Records'!$D$155:$D$385,255),0))=0,"",INDEX('Disaggregation Records'!$H$155:$H$385,MATCH(RIGHT(Q863,255),RIGHT('Disaggregation Records'!$D$155:$D$385,255),0))),"")</f>
        <v>IDR-00847</v>
      </c>
      <c r="U863" s="189">
        <f t="shared" ref="U863" si="3621">U861+1</f>
        <v>1533</v>
      </c>
      <c r="V863" s="189" t="str">
        <f t="array" ref="V863">IFERROR(IF(INDEX('Disaggregation Records'!$I$155:$I$385,MATCH(RIGHT(Q863,255),RIGHT('Disaggregation Records'!$D$155:$D$385,255),0))=0,"",INDEX('Disaggregation Records'!$I$155:$I$385,MATCH(RIGHT(Q863,255),RIGHT('Disaggregation Records'!$D$155:$D$385,255),0))),"")</f>
        <v>Gender</v>
      </c>
      <c r="W863" s="189" t="str">
        <f>IFERROR(INDEX('Reference Records'!L$59:L$121,MATCH(LEFT(C863,255),'Reference Records'!E$59:E$121,0)),"")</f>
        <v>TCS-1b⁽ᴹ⁾ Percentage of adults (15 and above) on ART among all adults living with HIV at the end of the reporting period</v>
      </c>
    </row>
    <row r="864" spans="1:23" s="189" customFormat="1" ht="40.200000000000003" customHeight="1" x14ac:dyDescent="0.3">
      <c r="A864" s="678"/>
      <c r="B864" s="675"/>
      <c r="C864" s="667"/>
      <c r="D864" s="677"/>
      <c r="E864" s="677"/>
      <c r="F864" s="202"/>
      <c r="G864" s="669"/>
      <c r="H864" s="671"/>
      <c r="I864" s="673"/>
      <c r="J864" s="652"/>
      <c r="K864" s="667"/>
      <c r="L864" s="667"/>
      <c r="M864" s="652"/>
      <c r="N864" s="652"/>
    </row>
    <row r="865" spans="1:23" s="189" customFormat="1" ht="40.200000000000003" customHeight="1" x14ac:dyDescent="0.3">
      <c r="A865" s="678" t="str">
        <f t="shared" ref="A865" ca="1" si="3622">INDIRECT("'update Helper'!C"&amp;U865)</f>
        <v>a163p000002zQbLAAU</v>
      </c>
      <c r="B865" s="674">
        <v>7</v>
      </c>
      <c r="C865" s="666" t="str">
        <f>VLOOKUP(B865,'Coverage Indicators - Section D'!$A$9:$AU$70,47,FALSE)</f>
        <v>TCS-1b⁽ᴹ⁾ Pourcentage d'adultes (15 ans et plus) sous TARV parmi tous les adultes vivant avec le VIH à la fin de la période de rapportage</v>
      </c>
      <c r="D865" s="676" t="str">
        <f t="shared" ref="D865" si="3623">R865</f>
        <v>Sexe</v>
      </c>
      <c r="E865" s="676" t="str">
        <f t="shared" ref="E865" si="3624">S865</f>
        <v>Femme</v>
      </c>
      <c r="F865" s="194"/>
      <c r="G865" s="668" t="str">
        <f t="shared" ref="G865" ca="1" si="3625">IF(OR(INDIRECT("'update Helper'!E"&amp;U865)=0,F865&lt;&gt;0,F866&lt;&gt;0),IF(IFERROR((F865/F866),"")="","",(F865/F866)),INDIRECT("'update Helper'!E"&amp;U865)/100)</f>
        <v/>
      </c>
      <c r="H865" s="670"/>
      <c r="I865" s="672"/>
      <c r="J865" s="651"/>
      <c r="K865" s="666" t="str">
        <f t="shared" ref="K865" si="3626">W865</f>
        <v>TCS-1b⁽ᴹ⁾ Percentage of adults (15 and above) on ART among all adults living with HIV at the end of the reporting period</v>
      </c>
      <c r="L865" s="666" t="str">
        <f t="shared" ref="L865" si="3627">V865</f>
        <v>Gender</v>
      </c>
      <c r="M865" s="651"/>
      <c r="N865" s="651"/>
      <c r="P865" s="189">
        <f t="shared" ref="P865" si="3628">IF(AND(EXACT(C865,C863),C863&lt;&gt;0),P863+1,0)</f>
        <v>2</v>
      </c>
      <c r="Q865" s="189" t="str">
        <f t="shared" ref="Q865" si="3629">IF(C865&lt;&gt;"",C865&amp;"-"&amp;P865,"")</f>
        <v>TCS-1b⁽ᴹ⁾ Pourcentage d'adultes (15 ans et plus) sous TARV parmi tous les adultes vivant avec le VIH à la fin de la période de rapportage-2</v>
      </c>
      <c r="R865" s="189" t="str">
        <f t="array" ref="R865">IFERROR(IF(INDEX('Disaggregation Records'!$E$155:$E$385,MATCH(RIGHT(Q865,255),RIGHT('Disaggregation Records'!$D$155:$D$385,255),0))=0,"",INDEX('Disaggregation Records'!$E$155:$E$385,MATCH(RIGHT(Q865,255),RIGHT('Disaggregation Records'!$D$155:$D$385,255),0))),"")</f>
        <v>Sexe</v>
      </c>
      <c r="S865" s="189" t="str">
        <f t="array" ref="S865">IFERROR(IF(INDEX('Disaggregation Records'!$F$155:$F$385,MATCH(RIGHT(Q865,255),RIGHT('Disaggregation Records'!$D$155:$D$385,255),0))=0,"",INDEX('Disaggregation Records'!$F$155:$F$385,MATCH(RIGHT(Q865,255),RIGHT('Disaggregation Records'!$D$155:$D$385,255),0))),"")</f>
        <v>Femme</v>
      </c>
      <c r="T865" s="189" t="str">
        <f t="array" ref="T865">IFERROR(IF(INDEX('Disaggregation Records'!$H$155:$H$385,MATCH(RIGHT(Q865,255),RIGHT('Disaggregation Records'!$D$155:$D$385,255),0))=0,"",INDEX('Disaggregation Records'!$H$155:$H$385,MATCH(RIGHT(Q865,255),RIGHT('Disaggregation Records'!$D$155:$D$385,255),0))),"")</f>
        <v>IDR-00848</v>
      </c>
      <c r="U865" s="189">
        <f t="shared" ref="U865" si="3630">U863+1</f>
        <v>1534</v>
      </c>
      <c r="V865" s="189" t="str">
        <f t="array" ref="V865">IFERROR(IF(INDEX('Disaggregation Records'!$I$155:$I$385,MATCH(RIGHT(Q865,255),RIGHT('Disaggregation Records'!$D$155:$D$385,255),0))=0,"",INDEX('Disaggregation Records'!$I$155:$I$385,MATCH(RIGHT(Q865,255),RIGHT('Disaggregation Records'!$D$155:$D$385,255),0))),"")</f>
        <v>Gender</v>
      </c>
      <c r="W865" s="189" t="str">
        <f>IFERROR(INDEX('Reference Records'!L$59:L$121,MATCH(LEFT(C865,255),'Reference Records'!E$59:E$121,0)),"")</f>
        <v>TCS-1b⁽ᴹ⁾ Percentage of adults (15 and above) on ART among all adults living with HIV at the end of the reporting period</v>
      </c>
    </row>
    <row r="866" spans="1:23" s="189" customFormat="1" ht="40.200000000000003" customHeight="1" x14ac:dyDescent="0.3">
      <c r="A866" s="678"/>
      <c r="B866" s="675"/>
      <c r="C866" s="667"/>
      <c r="D866" s="677"/>
      <c r="E866" s="677"/>
      <c r="F866" s="202"/>
      <c r="G866" s="669"/>
      <c r="H866" s="671"/>
      <c r="I866" s="673"/>
      <c r="J866" s="652"/>
      <c r="K866" s="667"/>
      <c r="L866" s="667"/>
      <c r="M866" s="652"/>
      <c r="N866" s="652"/>
    </row>
    <row r="867" spans="1:23" s="189" customFormat="1" ht="40.200000000000003" customHeight="1" x14ac:dyDescent="0.3">
      <c r="A867" s="678" t="str">
        <f t="shared" ref="A867" ca="1" si="3631">INDIRECT("'update Helper'!C"&amp;U867)</f>
        <v>a163p000002zQbMAAU</v>
      </c>
      <c r="B867" s="674">
        <v>7</v>
      </c>
      <c r="C867" s="666" t="str">
        <f>VLOOKUP(B867,'Coverage Indicators - Section D'!$A$9:$AU$70,47,FALSE)</f>
        <v>TCS-1b⁽ᴹ⁾ Pourcentage d'adultes (15 ans et plus) sous TARV parmi tous les adultes vivant avec le VIH à la fin de la période de rapportage</v>
      </c>
      <c r="D867" s="676" t="str">
        <f t="shared" ref="D867" si="3632">R867</f>
        <v>Sexe</v>
      </c>
      <c r="E867" s="676" t="str">
        <f t="shared" ref="E867" si="3633">S867</f>
        <v>Transgenre</v>
      </c>
      <c r="F867" s="194"/>
      <c r="G867" s="668" t="str">
        <f t="shared" ref="G867" ca="1" si="3634">IF(OR(INDIRECT("'update Helper'!E"&amp;U867)=0,F867&lt;&gt;0,F868&lt;&gt;0),IF(IFERROR((F867/F868),"")="","",(F867/F868)),INDIRECT("'update Helper'!E"&amp;U867)/100)</f>
        <v/>
      </c>
      <c r="H867" s="670"/>
      <c r="I867" s="672"/>
      <c r="J867" s="651"/>
      <c r="K867" s="666" t="str">
        <f t="shared" ref="K867" si="3635">W867</f>
        <v>TCS-1b⁽ᴹ⁾ Percentage of adults (15 and above) on ART among all adults living with HIV at the end of the reporting period</v>
      </c>
      <c r="L867" s="666" t="str">
        <f t="shared" ref="L867" si="3636">V867</f>
        <v>Gender</v>
      </c>
      <c r="M867" s="651"/>
      <c r="N867" s="651"/>
      <c r="P867" s="189">
        <f t="shared" ref="P867" si="3637">IF(AND(EXACT(C867,C865),C865&lt;&gt;0),P865+1,0)</f>
        <v>3</v>
      </c>
      <c r="Q867" s="189" t="str">
        <f t="shared" ref="Q867" si="3638">IF(C867&lt;&gt;"",C867&amp;"-"&amp;P867,"")</f>
        <v>TCS-1b⁽ᴹ⁾ Pourcentage d'adultes (15 ans et plus) sous TARV parmi tous les adultes vivant avec le VIH à la fin de la période de rapportage-3</v>
      </c>
      <c r="R867" s="189" t="str">
        <f t="array" ref="R867">IFERROR(IF(INDEX('Disaggregation Records'!$E$155:$E$385,MATCH(RIGHT(Q867,255),RIGHT('Disaggregation Records'!$D$155:$D$385,255),0))=0,"",INDEX('Disaggregation Records'!$E$155:$E$385,MATCH(RIGHT(Q867,255),RIGHT('Disaggregation Records'!$D$155:$D$385,255),0))),"")</f>
        <v>Sexe</v>
      </c>
      <c r="S867" s="189" t="str">
        <f t="array" ref="S867">IFERROR(IF(INDEX('Disaggregation Records'!$F$155:$F$385,MATCH(RIGHT(Q867,255),RIGHT('Disaggregation Records'!$D$155:$D$385,255),0))=0,"",INDEX('Disaggregation Records'!$F$155:$F$385,MATCH(RIGHT(Q867,255),RIGHT('Disaggregation Records'!$D$155:$D$385,255),0))),"")</f>
        <v>Transgenre</v>
      </c>
      <c r="T867" s="189" t="str">
        <f t="array" ref="T867">IFERROR(IF(INDEX('Disaggregation Records'!$H$155:$H$385,MATCH(RIGHT(Q867,255),RIGHT('Disaggregation Records'!$D$155:$D$385,255),0))=0,"",INDEX('Disaggregation Records'!$H$155:$H$385,MATCH(RIGHT(Q867,255),RIGHT('Disaggregation Records'!$D$155:$D$385,255),0))),"")</f>
        <v>IDR-00849</v>
      </c>
      <c r="U867" s="189">
        <f t="shared" ref="U867" si="3639">U865+1</f>
        <v>1535</v>
      </c>
      <c r="V867" s="189" t="str">
        <f t="array" ref="V867">IFERROR(IF(INDEX('Disaggregation Records'!$I$155:$I$385,MATCH(RIGHT(Q867,255),RIGHT('Disaggregation Records'!$D$155:$D$385,255),0))=0,"",INDEX('Disaggregation Records'!$I$155:$I$385,MATCH(RIGHT(Q867,255),RIGHT('Disaggregation Records'!$D$155:$D$385,255),0))),"")</f>
        <v>Gender</v>
      </c>
      <c r="W867" s="189" t="str">
        <f>IFERROR(INDEX('Reference Records'!L$59:L$121,MATCH(LEFT(C867,255),'Reference Records'!E$59:E$121,0)),"")</f>
        <v>TCS-1b⁽ᴹ⁾ Percentage of adults (15 and above) on ART among all adults living with HIV at the end of the reporting period</v>
      </c>
    </row>
    <row r="868" spans="1:23" s="189" customFormat="1" ht="40.200000000000003" customHeight="1" x14ac:dyDescent="0.3">
      <c r="A868" s="678"/>
      <c r="B868" s="675"/>
      <c r="C868" s="667"/>
      <c r="D868" s="677"/>
      <c r="E868" s="677"/>
      <c r="F868" s="202"/>
      <c r="G868" s="669"/>
      <c r="H868" s="671"/>
      <c r="I868" s="673"/>
      <c r="J868" s="652"/>
      <c r="K868" s="667"/>
      <c r="L868" s="667"/>
      <c r="M868" s="652"/>
      <c r="N868" s="652"/>
    </row>
    <row r="869" spans="1:23" s="189" customFormat="1" ht="40.200000000000003" customHeight="1" x14ac:dyDescent="0.3">
      <c r="A869" s="678" t="str">
        <f t="shared" ref="A869" ca="1" si="3640">INDIRECT("'update Helper'!C"&amp;U869)</f>
        <v>a163p000002zQbNAAU</v>
      </c>
      <c r="B869" s="674">
        <v>7</v>
      </c>
      <c r="C869" s="666" t="str">
        <f>VLOOKUP(B869,'Coverage Indicators - Section D'!$A$9:$AU$70,47,FALSE)</f>
        <v>TCS-1b⁽ᴹ⁾ Pourcentage d'adultes (15 ans et plus) sous TARV parmi tous les adultes vivant avec le VIH à la fin de la période de rapportage</v>
      </c>
      <c r="D869" s="676" t="str">
        <f t="shared" ref="D869" si="3641">R869</f>
        <v>Sexe | Age</v>
      </c>
      <c r="E869" s="676" t="str">
        <f t="shared" ref="E869" si="3642">S869</f>
        <v>Homme 15+</v>
      </c>
      <c r="F869" s="194"/>
      <c r="G869" s="668" t="str">
        <f t="shared" ref="G869" ca="1" si="3643">IF(OR(INDIRECT("'update Helper'!E"&amp;U869)=0,F869&lt;&gt;0,F870&lt;&gt;0),IF(IFERROR((F869/F870),"")="","",(F869/F870)),INDIRECT("'update Helper'!E"&amp;U869)/100)</f>
        <v/>
      </c>
      <c r="H869" s="670"/>
      <c r="I869" s="672"/>
      <c r="J869" s="651"/>
      <c r="K869" s="666" t="str">
        <f t="shared" ref="K869" si="3644">W869</f>
        <v>TCS-1b⁽ᴹ⁾ Percentage of adults (15 and above) on ART among all adults living with HIV at the end of the reporting period</v>
      </c>
      <c r="L869" s="666" t="str">
        <f t="shared" ref="L869" si="3645">V869</f>
        <v>Gender | Age</v>
      </c>
      <c r="M869" s="651"/>
      <c r="N869" s="651"/>
      <c r="P869" s="189">
        <f t="shared" ref="P869" si="3646">IF(AND(EXACT(C869,C867),C867&lt;&gt;0),P867+1,0)</f>
        <v>4</v>
      </c>
      <c r="Q869" s="189" t="str">
        <f t="shared" ref="Q869" si="3647">IF(C869&lt;&gt;"",C869&amp;"-"&amp;P869,"")</f>
        <v>TCS-1b⁽ᴹ⁾ Pourcentage d'adultes (15 ans et plus) sous TARV parmi tous les adultes vivant avec le VIH à la fin de la période de rapportage-4</v>
      </c>
      <c r="R869" s="189" t="str">
        <f t="array" ref="R869">IFERROR(IF(INDEX('Disaggregation Records'!$E$155:$E$385,MATCH(RIGHT(Q869,255),RIGHT('Disaggregation Records'!$D$155:$D$385,255),0))=0,"",INDEX('Disaggregation Records'!$E$155:$E$385,MATCH(RIGHT(Q869,255),RIGHT('Disaggregation Records'!$D$155:$D$385,255),0))),"")</f>
        <v>Sexe | Age</v>
      </c>
      <c r="S869" s="189" t="str">
        <f t="array" ref="S869">IFERROR(IF(INDEX('Disaggregation Records'!$F$155:$F$385,MATCH(RIGHT(Q869,255),RIGHT('Disaggregation Records'!$D$155:$D$385,255),0))=0,"",INDEX('Disaggregation Records'!$F$155:$F$385,MATCH(RIGHT(Q869,255),RIGHT('Disaggregation Records'!$D$155:$D$385,255),0))),"")</f>
        <v>Homme 15+</v>
      </c>
      <c r="T869" s="189" t="str">
        <f t="array" ref="T869">IFERROR(IF(INDEX('Disaggregation Records'!$H$155:$H$385,MATCH(RIGHT(Q869,255),RIGHT('Disaggregation Records'!$D$155:$D$385,255),0))=0,"",INDEX('Disaggregation Records'!$H$155:$H$385,MATCH(RIGHT(Q869,255),RIGHT('Disaggregation Records'!$D$155:$D$385,255),0))),"")</f>
        <v>IDR-00892</v>
      </c>
      <c r="U869" s="189">
        <f t="shared" ref="U869" si="3648">U867+1</f>
        <v>1536</v>
      </c>
      <c r="V869" s="189" t="str">
        <f t="array" ref="V869">IFERROR(IF(INDEX('Disaggregation Records'!$I$155:$I$385,MATCH(RIGHT(Q869,255),RIGHT('Disaggregation Records'!$D$155:$D$385,255),0))=0,"",INDEX('Disaggregation Records'!$I$155:$I$385,MATCH(RIGHT(Q869,255),RIGHT('Disaggregation Records'!$D$155:$D$385,255),0))),"")</f>
        <v>Gender | Age</v>
      </c>
      <c r="W869" s="189" t="str">
        <f>IFERROR(INDEX('Reference Records'!L$59:L$121,MATCH(LEFT(C869,255),'Reference Records'!E$59:E$121,0)),"")</f>
        <v>TCS-1b⁽ᴹ⁾ Percentage of adults (15 and above) on ART among all adults living with HIV at the end of the reporting period</v>
      </c>
    </row>
    <row r="870" spans="1:23" s="189" customFormat="1" ht="40.200000000000003" customHeight="1" x14ac:dyDescent="0.3">
      <c r="A870" s="678"/>
      <c r="B870" s="675"/>
      <c r="C870" s="667"/>
      <c r="D870" s="677"/>
      <c r="E870" s="677"/>
      <c r="F870" s="202"/>
      <c r="G870" s="669"/>
      <c r="H870" s="671"/>
      <c r="I870" s="673"/>
      <c r="J870" s="652"/>
      <c r="K870" s="667"/>
      <c r="L870" s="667"/>
      <c r="M870" s="652"/>
      <c r="N870" s="652"/>
    </row>
    <row r="871" spans="1:23" s="189" customFormat="1" ht="40.200000000000003" customHeight="1" x14ac:dyDescent="0.3">
      <c r="A871" s="678" t="str">
        <f t="shared" ref="A871" ca="1" si="3649">INDIRECT("'update Helper'!C"&amp;U871)</f>
        <v>a163p000002zQbOAAU</v>
      </c>
      <c r="B871" s="674">
        <v>7</v>
      </c>
      <c r="C871" s="666" t="str">
        <f>VLOOKUP(B871,'Coverage Indicators - Section D'!$A$9:$AU$70,47,FALSE)</f>
        <v>TCS-1b⁽ᴹ⁾ Pourcentage d'adultes (15 ans et plus) sous TARV parmi tous les adultes vivant avec le VIH à la fin de la période de rapportage</v>
      </c>
      <c r="D871" s="676" t="str">
        <f t="shared" ref="D871" si="3650">R871</f>
        <v>Sexe | Age</v>
      </c>
      <c r="E871" s="676" t="str">
        <f t="shared" ref="E871" si="3651">S871</f>
        <v>Femme 15+</v>
      </c>
      <c r="F871" s="194"/>
      <c r="G871" s="668" t="str">
        <f t="shared" ref="G871" ca="1" si="3652">IF(OR(INDIRECT("'update Helper'!E"&amp;U871)=0,F871&lt;&gt;0,F872&lt;&gt;0),IF(IFERROR((F871/F872),"")="","",(F871/F872)),INDIRECT("'update Helper'!E"&amp;U871)/100)</f>
        <v/>
      </c>
      <c r="H871" s="670"/>
      <c r="I871" s="672"/>
      <c r="J871" s="651"/>
      <c r="K871" s="666" t="str">
        <f t="shared" ref="K871" si="3653">W871</f>
        <v>TCS-1b⁽ᴹ⁾ Percentage of adults (15 and above) on ART among all adults living with HIV at the end of the reporting period</v>
      </c>
      <c r="L871" s="666" t="str">
        <f t="shared" ref="L871" si="3654">V871</f>
        <v>Gender | Age</v>
      </c>
      <c r="M871" s="651"/>
      <c r="N871" s="651"/>
      <c r="P871" s="189">
        <f t="shared" ref="P871" si="3655">IF(AND(EXACT(C871,C869),C869&lt;&gt;0),P869+1,0)</f>
        <v>5</v>
      </c>
      <c r="Q871" s="189" t="str">
        <f t="shared" ref="Q871" si="3656">IF(C871&lt;&gt;"",C871&amp;"-"&amp;P871,"")</f>
        <v>TCS-1b⁽ᴹ⁾ Pourcentage d'adultes (15 ans et plus) sous TARV parmi tous les adultes vivant avec le VIH à la fin de la période de rapportage-5</v>
      </c>
      <c r="R871" s="189" t="str">
        <f t="array" ref="R871">IFERROR(IF(INDEX('Disaggregation Records'!$E$155:$E$385,MATCH(RIGHT(Q871,255),RIGHT('Disaggregation Records'!$D$155:$D$385,255),0))=0,"",INDEX('Disaggregation Records'!$E$155:$E$385,MATCH(RIGHT(Q871,255),RIGHT('Disaggregation Records'!$D$155:$D$385,255),0))),"")</f>
        <v>Sexe | Age</v>
      </c>
      <c r="S871" s="189" t="str">
        <f t="array" ref="S871">IFERROR(IF(INDEX('Disaggregation Records'!$F$155:$F$385,MATCH(RIGHT(Q871,255),RIGHT('Disaggregation Records'!$D$155:$D$385,255),0))=0,"",INDEX('Disaggregation Records'!$F$155:$F$385,MATCH(RIGHT(Q871,255),RIGHT('Disaggregation Records'!$D$155:$D$385,255),0))),"")</f>
        <v>Femme 15+</v>
      </c>
      <c r="T871" s="189" t="str">
        <f t="array" ref="T871">IFERROR(IF(INDEX('Disaggregation Records'!$H$155:$H$385,MATCH(RIGHT(Q871,255),RIGHT('Disaggregation Records'!$D$155:$D$385,255),0))=0,"",INDEX('Disaggregation Records'!$H$155:$H$385,MATCH(RIGHT(Q871,255),RIGHT('Disaggregation Records'!$D$155:$D$385,255),0))),"")</f>
        <v>IDR-00893</v>
      </c>
      <c r="U871" s="189">
        <f t="shared" ref="U871" si="3657">U869+1</f>
        <v>1537</v>
      </c>
      <c r="V871" s="189" t="str">
        <f t="array" ref="V871">IFERROR(IF(INDEX('Disaggregation Records'!$I$155:$I$385,MATCH(RIGHT(Q871,255),RIGHT('Disaggregation Records'!$D$155:$D$385,255),0))=0,"",INDEX('Disaggregation Records'!$I$155:$I$385,MATCH(RIGHT(Q871,255),RIGHT('Disaggregation Records'!$D$155:$D$385,255),0))),"")</f>
        <v>Gender | Age</v>
      </c>
      <c r="W871" s="189" t="str">
        <f>IFERROR(INDEX('Reference Records'!L$59:L$121,MATCH(LEFT(C871,255),'Reference Records'!E$59:E$121,0)),"")</f>
        <v>TCS-1b⁽ᴹ⁾ Percentage of adults (15 and above) on ART among all adults living with HIV at the end of the reporting period</v>
      </c>
    </row>
    <row r="872" spans="1:23" s="189" customFormat="1" ht="40.200000000000003" customHeight="1" x14ac:dyDescent="0.3">
      <c r="A872" s="678"/>
      <c r="B872" s="675"/>
      <c r="C872" s="667"/>
      <c r="D872" s="677"/>
      <c r="E872" s="677"/>
      <c r="F872" s="202"/>
      <c r="G872" s="669"/>
      <c r="H872" s="671"/>
      <c r="I872" s="673"/>
      <c r="J872" s="652"/>
      <c r="K872" s="667"/>
      <c r="L872" s="667"/>
      <c r="M872" s="652"/>
      <c r="N872" s="652"/>
    </row>
    <row r="873" spans="1:23" s="189" customFormat="1" ht="40.200000000000003" customHeight="1" x14ac:dyDescent="0.3">
      <c r="A873" s="678" t="str">
        <f t="shared" ref="A873" ca="1" si="3658">INDIRECT("'update Helper'!C"&amp;U873)</f>
        <v>a163p000002zQbPAAU</v>
      </c>
      <c r="B873" s="674">
        <v>7</v>
      </c>
      <c r="C873" s="666" t="str">
        <f>VLOOKUP(B873,'Coverage Indicators - Section D'!$A$9:$AU$70,47,FALSE)</f>
        <v>TCS-1b⁽ᴹ⁾ Pourcentage d'adultes (15 ans et plus) sous TARV parmi tous les adultes vivant avec le VIH à la fin de la période de rapportage</v>
      </c>
      <c r="D873" s="676" t="str">
        <f t="shared" ref="D873" si="3659">R873</f>
        <v>Sexe | Age</v>
      </c>
      <c r="E873" s="676" t="str">
        <f t="shared" ref="E873" si="3660">S873</f>
        <v>Homme 15-19</v>
      </c>
      <c r="F873" s="194"/>
      <c r="G873" s="668" t="str">
        <f t="shared" ref="G873" ca="1" si="3661">IF(OR(INDIRECT("'update Helper'!E"&amp;U873)=0,F873&lt;&gt;0,F874&lt;&gt;0),IF(IFERROR((F873/F874),"")="","",(F873/F874)),INDIRECT("'update Helper'!E"&amp;U873)/100)</f>
        <v/>
      </c>
      <c r="H873" s="670"/>
      <c r="I873" s="672"/>
      <c r="J873" s="651"/>
      <c r="K873" s="666" t="str">
        <f t="shared" ref="K873" si="3662">W873</f>
        <v>TCS-1b⁽ᴹ⁾ Percentage of adults (15 and above) on ART among all adults living with HIV at the end of the reporting period</v>
      </c>
      <c r="L873" s="666" t="str">
        <f t="shared" ref="L873" si="3663">V873</f>
        <v>Gender | Age</v>
      </c>
      <c r="M873" s="651"/>
      <c r="N873" s="651"/>
      <c r="P873" s="189">
        <f t="shared" ref="P873" si="3664">IF(AND(EXACT(C873,C871),C871&lt;&gt;0),P871+1,0)</f>
        <v>6</v>
      </c>
      <c r="Q873" s="189" t="str">
        <f t="shared" ref="Q873" si="3665">IF(C873&lt;&gt;"",C873&amp;"-"&amp;P873,"")</f>
        <v>TCS-1b⁽ᴹ⁾ Pourcentage d'adultes (15 ans et plus) sous TARV parmi tous les adultes vivant avec le VIH à la fin de la période de rapportage-6</v>
      </c>
      <c r="R873" s="189" t="str">
        <f t="array" ref="R873">IFERROR(IF(INDEX('Disaggregation Records'!$E$155:$E$385,MATCH(RIGHT(Q873,255),RIGHT('Disaggregation Records'!$D$155:$D$385,255),0))=0,"",INDEX('Disaggregation Records'!$E$155:$E$385,MATCH(RIGHT(Q873,255),RIGHT('Disaggregation Records'!$D$155:$D$385,255),0))),"")</f>
        <v>Sexe | Age</v>
      </c>
      <c r="S873" s="189" t="str">
        <f t="array" ref="S873">IFERROR(IF(INDEX('Disaggregation Records'!$F$155:$F$385,MATCH(RIGHT(Q873,255),RIGHT('Disaggregation Records'!$D$155:$D$385,255),0))=0,"",INDEX('Disaggregation Records'!$F$155:$F$385,MATCH(RIGHT(Q873,255),RIGHT('Disaggregation Records'!$D$155:$D$385,255),0))),"")</f>
        <v>Homme 15-19</v>
      </c>
      <c r="T873" s="189" t="str">
        <f t="array" ref="T873">IFERROR(IF(INDEX('Disaggregation Records'!$H$155:$H$385,MATCH(RIGHT(Q873,255),RIGHT('Disaggregation Records'!$D$155:$D$385,255),0))=0,"",INDEX('Disaggregation Records'!$H$155:$H$385,MATCH(RIGHT(Q873,255),RIGHT('Disaggregation Records'!$D$155:$D$385,255),0))),"")</f>
        <v>IDR-00894</v>
      </c>
      <c r="U873" s="189">
        <f t="shared" ref="U873" si="3666">U871+1</f>
        <v>1538</v>
      </c>
      <c r="V873" s="189" t="str">
        <f t="array" ref="V873">IFERROR(IF(INDEX('Disaggregation Records'!$I$155:$I$385,MATCH(RIGHT(Q873,255),RIGHT('Disaggregation Records'!$D$155:$D$385,255),0))=0,"",INDEX('Disaggregation Records'!$I$155:$I$385,MATCH(RIGHT(Q873,255),RIGHT('Disaggregation Records'!$D$155:$D$385,255),0))),"")</f>
        <v>Gender | Age</v>
      </c>
      <c r="W873" s="189" t="str">
        <f>IFERROR(INDEX('Reference Records'!L$59:L$121,MATCH(LEFT(C873,255),'Reference Records'!E$59:E$121,0)),"")</f>
        <v>TCS-1b⁽ᴹ⁾ Percentage of adults (15 and above) on ART among all adults living with HIV at the end of the reporting period</v>
      </c>
    </row>
    <row r="874" spans="1:23" s="189" customFormat="1" ht="40.200000000000003" customHeight="1" x14ac:dyDescent="0.3">
      <c r="A874" s="678"/>
      <c r="B874" s="675"/>
      <c r="C874" s="667"/>
      <c r="D874" s="677"/>
      <c r="E874" s="677"/>
      <c r="F874" s="202"/>
      <c r="G874" s="669"/>
      <c r="H874" s="671"/>
      <c r="I874" s="673"/>
      <c r="J874" s="652"/>
      <c r="K874" s="667"/>
      <c r="L874" s="667"/>
      <c r="M874" s="652"/>
      <c r="N874" s="652"/>
    </row>
    <row r="875" spans="1:23" s="189" customFormat="1" ht="40.200000000000003" customHeight="1" x14ac:dyDescent="0.3">
      <c r="A875" s="678" t="str">
        <f t="shared" ref="A875" ca="1" si="3667">INDIRECT("'update Helper'!C"&amp;U875)</f>
        <v>a163p000002zQbQAAU</v>
      </c>
      <c r="B875" s="674">
        <v>7</v>
      </c>
      <c r="C875" s="666" t="str">
        <f>VLOOKUP(B875,'Coverage Indicators - Section D'!$A$9:$AU$70,47,FALSE)</f>
        <v>TCS-1b⁽ᴹ⁾ Pourcentage d'adultes (15 ans et plus) sous TARV parmi tous les adultes vivant avec le VIH à la fin de la période de rapportage</v>
      </c>
      <c r="D875" s="676" t="str">
        <f t="shared" ref="D875" si="3668">R875</f>
        <v>Sexe | Age</v>
      </c>
      <c r="E875" s="676" t="str">
        <f t="shared" ref="E875" si="3669">S875</f>
        <v>Femme 15-19</v>
      </c>
      <c r="F875" s="194"/>
      <c r="G875" s="668" t="str">
        <f t="shared" ref="G875" ca="1" si="3670">IF(OR(INDIRECT("'update Helper'!E"&amp;U875)=0,F875&lt;&gt;0,F876&lt;&gt;0),IF(IFERROR((F875/F876),"")="","",(F875/F876)),INDIRECT("'update Helper'!E"&amp;U875)/100)</f>
        <v/>
      </c>
      <c r="H875" s="670"/>
      <c r="I875" s="672"/>
      <c r="J875" s="651"/>
      <c r="K875" s="666" t="str">
        <f t="shared" ref="K875" si="3671">W875</f>
        <v>TCS-1b⁽ᴹ⁾ Percentage of adults (15 and above) on ART among all adults living with HIV at the end of the reporting period</v>
      </c>
      <c r="L875" s="666" t="str">
        <f t="shared" ref="L875" si="3672">V875</f>
        <v>Gender | Age</v>
      </c>
      <c r="M875" s="651"/>
      <c r="N875" s="651"/>
      <c r="P875" s="189">
        <f t="shared" ref="P875" si="3673">IF(AND(EXACT(C875,C873),C873&lt;&gt;0),P873+1,0)</f>
        <v>7</v>
      </c>
      <c r="Q875" s="189" t="str">
        <f t="shared" ref="Q875" si="3674">IF(C875&lt;&gt;"",C875&amp;"-"&amp;P875,"")</f>
        <v>TCS-1b⁽ᴹ⁾ Pourcentage d'adultes (15 ans et plus) sous TARV parmi tous les adultes vivant avec le VIH à la fin de la période de rapportage-7</v>
      </c>
      <c r="R875" s="189" t="str">
        <f t="array" ref="R875">IFERROR(IF(INDEX('Disaggregation Records'!$E$155:$E$385,MATCH(RIGHT(Q875,255),RIGHT('Disaggregation Records'!$D$155:$D$385,255),0))=0,"",INDEX('Disaggregation Records'!$E$155:$E$385,MATCH(RIGHT(Q875,255),RIGHT('Disaggregation Records'!$D$155:$D$385,255),0))),"")</f>
        <v>Sexe | Age</v>
      </c>
      <c r="S875" s="189" t="str">
        <f t="array" ref="S875">IFERROR(IF(INDEX('Disaggregation Records'!$F$155:$F$385,MATCH(RIGHT(Q875,255),RIGHT('Disaggregation Records'!$D$155:$D$385,255),0))=0,"",INDEX('Disaggregation Records'!$F$155:$F$385,MATCH(RIGHT(Q875,255),RIGHT('Disaggregation Records'!$D$155:$D$385,255),0))),"")</f>
        <v>Femme 15-19</v>
      </c>
      <c r="T875" s="189" t="str">
        <f t="array" ref="T875">IFERROR(IF(INDEX('Disaggregation Records'!$H$155:$H$385,MATCH(RIGHT(Q875,255),RIGHT('Disaggregation Records'!$D$155:$D$385,255),0))=0,"",INDEX('Disaggregation Records'!$H$155:$H$385,MATCH(RIGHT(Q875,255),RIGHT('Disaggregation Records'!$D$155:$D$385,255),0))),"")</f>
        <v>IDR-00895</v>
      </c>
      <c r="U875" s="189">
        <f t="shared" ref="U875" si="3675">U873+1</f>
        <v>1539</v>
      </c>
      <c r="V875" s="189" t="str">
        <f t="array" ref="V875">IFERROR(IF(INDEX('Disaggregation Records'!$I$155:$I$385,MATCH(RIGHT(Q875,255),RIGHT('Disaggregation Records'!$D$155:$D$385,255),0))=0,"",INDEX('Disaggregation Records'!$I$155:$I$385,MATCH(RIGHT(Q875,255),RIGHT('Disaggregation Records'!$D$155:$D$385,255),0))),"")</f>
        <v>Gender | Age</v>
      </c>
      <c r="W875" s="189" t="str">
        <f>IFERROR(INDEX('Reference Records'!L$59:L$121,MATCH(LEFT(C875,255),'Reference Records'!E$59:E$121,0)),"")</f>
        <v>TCS-1b⁽ᴹ⁾ Percentage of adults (15 and above) on ART among all adults living with HIV at the end of the reporting period</v>
      </c>
    </row>
    <row r="876" spans="1:23" s="189" customFormat="1" ht="40.200000000000003" customHeight="1" x14ac:dyDescent="0.3">
      <c r="A876" s="678"/>
      <c r="B876" s="675"/>
      <c r="C876" s="667"/>
      <c r="D876" s="677"/>
      <c r="E876" s="677"/>
      <c r="F876" s="202"/>
      <c r="G876" s="669"/>
      <c r="H876" s="671"/>
      <c r="I876" s="673"/>
      <c r="J876" s="652"/>
      <c r="K876" s="667"/>
      <c r="L876" s="667"/>
      <c r="M876" s="652"/>
      <c r="N876" s="652"/>
    </row>
    <row r="877" spans="1:23" s="189" customFormat="1" ht="40.200000000000003" customHeight="1" x14ac:dyDescent="0.3">
      <c r="A877" s="678" t="str">
        <f t="shared" ref="A877" ca="1" si="3676">INDIRECT("'update Helper'!C"&amp;U877)</f>
        <v>a163p000002zQbRAAU</v>
      </c>
      <c r="B877" s="674">
        <v>7</v>
      </c>
      <c r="C877" s="666" t="str">
        <f>VLOOKUP(B877,'Coverage Indicators - Section D'!$A$9:$AU$70,47,FALSE)</f>
        <v>TCS-1b⁽ᴹ⁾ Pourcentage d'adultes (15 ans et plus) sous TARV parmi tous les adultes vivant avec le VIH à la fin de la période de rapportage</v>
      </c>
      <c r="D877" s="676" t="str">
        <f t="shared" ref="D877" si="3677">R877</f>
        <v>Sexe | Age</v>
      </c>
      <c r="E877" s="676" t="str">
        <f t="shared" ref="E877" si="3678">S877</f>
        <v>Homme 20-24</v>
      </c>
      <c r="F877" s="194"/>
      <c r="G877" s="668" t="str">
        <f t="shared" ref="G877" ca="1" si="3679">IF(OR(INDIRECT("'update Helper'!E"&amp;U877)=0,F877&lt;&gt;0,F878&lt;&gt;0),IF(IFERROR((F877/F878),"")="","",(F877/F878)),INDIRECT("'update Helper'!E"&amp;U877)/100)</f>
        <v/>
      </c>
      <c r="H877" s="670"/>
      <c r="I877" s="672"/>
      <c r="J877" s="651"/>
      <c r="K877" s="666" t="str">
        <f t="shared" ref="K877" si="3680">W877</f>
        <v>TCS-1b⁽ᴹ⁾ Percentage of adults (15 and above) on ART among all adults living with HIV at the end of the reporting period</v>
      </c>
      <c r="L877" s="666" t="str">
        <f t="shared" ref="L877" si="3681">V877</f>
        <v>Gender | Age</v>
      </c>
      <c r="M877" s="651"/>
      <c r="N877" s="651"/>
      <c r="P877" s="189">
        <f t="shared" ref="P877" si="3682">IF(AND(EXACT(C877,C875),C875&lt;&gt;0),P875+1,0)</f>
        <v>8</v>
      </c>
      <c r="Q877" s="189" t="str">
        <f t="shared" ref="Q877" si="3683">IF(C877&lt;&gt;"",C877&amp;"-"&amp;P877,"")</f>
        <v>TCS-1b⁽ᴹ⁾ Pourcentage d'adultes (15 ans et plus) sous TARV parmi tous les adultes vivant avec le VIH à la fin de la période de rapportage-8</v>
      </c>
      <c r="R877" s="189" t="str">
        <f t="array" ref="R877">IFERROR(IF(INDEX('Disaggregation Records'!$E$155:$E$385,MATCH(RIGHT(Q877,255),RIGHT('Disaggregation Records'!$D$155:$D$385,255),0))=0,"",INDEX('Disaggregation Records'!$E$155:$E$385,MATCH(RIGHT(Q877,255),RIGHT('Disaggregation Records'!$D$155:$D$385,255),0))),"")</f>
        <v>Sexe | Age</v>
      </c>
      <c r="S877" s="189" t="str">
        <f t="array" ref="S877">IFERROR(IF(INDEX('Disaggregation Records'!$F$155:$F$385,MATCH(RIGHT(Q877,255),RIGHT('Disaggregation Records'!$D$155:$D$385,255),0))=0,"",INDEX('Disaggregation Records'!$F$155:$F$385,MATCH(RIGHT(Q877,255),RIGHT('Disaggregation Records'!$D$155:$D$385,255),0))),"")</f>
        <v>Homme 20-24</v>
      </c>
      <c r="T877" s="189" t="str">
        <f t="array" ref="T877">IFERROR(IF(INDEX('Disaggregation Records'!$H$155:$H$385,MATCH(RIGHT(Q877,255),RIGHT('Disaggregation Records'!$D$155:$D$385,255),0))=0,"",INDEX('Disaggregation Records'!$H$155:$H$385,MATCH(RIGHT(Q877,255),RIGHT('Disaggregation Records'!$D$155:$D$385,255),0))),"")</f>
        <v>IDR-00896</v>
      </c>
      <c r="U877" s="189">
        <f t="shared" ref="U877" si="3684">U875+1</f>
        <v>1540</v>
      </c>
      <c r="V877" s="189" t="str">
        <f t="array" ref="V877">IFERROR(IF(INDEX('Disaggregation Records'!$I$155:$I$385,MATCH(RIGHT(Q877,255),RIGHT('Disaggregation Records'!$D$155:$D$385,255),0))=0,"",INDEX('Disaggregation Records'!$I$155:$I$385,MATCH(RIGHT(Q877,255),RIGHT('Disaggregation Records'!$D$155:$D$385,255),0))),"")</f>
        <v>Gender | Age</v>
      </c>
      <c r="W877" s="189" t="str">
        <f>IFERROR(INDEX('Reference Records'!L$59:L$121,MATCH(LEFT(C877,255),'Reference Records'!E$59:E$121,0)),"")</f>
        <v>TCS-1b⁽ᴹ⁾ Percentage of adults (15 and above) on ART among all adults living with HIV at the end of the reporting period</v>
      </c>
    </row>
    <row r="878" spans="1:23" s="189" customFormat="1" ht="40.200000000000003" customHeight="1" x14ac:dyDescent="0.3">
      <c r="A878" s="678"/>
      <c r="B878" s="675"/>
      <c r="C878" s="667"/>
      <c r="D878" s="677"/>
      <c r="E878" s="677"/>
      <c r="F878" s="202"/>
      <c r="G878" s="669"/>
      <c r="H878" s="671"/>
      <c r="I878" s="673"/>
      <c r="J878" s="652"/>
      <c r="K878" s="667"/>
      <c r="L878" s="667"/>
      <c r="M878" s="652"/>
      <c r="N878" s="652"/>
    </row>
    <row r="879" spans="1:23" s="189" customFormat="1" ht="40.200000000000003" customHeight="1" x14ac:dyDescent="0.3">
      <c r="A879" s="678" t="str">
        <f t="shared" ref="A879" ca="1" si="3685">INDIRECT("'update Helper'!C"&amp;U879)</f>
        <v>a163p000002zQbSAAU</v>
      </c>
      <c r="B879" s="674">
        <v>7</v>
      </c>
      <c r="C879" s="666" t="str">
        <f>VLOOKUP(B879,'Coverage Indicators - Section D'!$A$9:$AU$70,47,FALSE)</f>
        <v>TCS-1b⁽ᴹ⁾ Pourcentage d'adultes (15 ans et plus) sous TARV parmi tous les adultes vivant avec le VIH à la fin de la période de rapportage</v>
      </c>
      <c r="D879" s="676" t="str">
        <f t="shared" ref="D879" si="3686">R879</f>
        <v>Sexe | Age</v>
      </c>
      <c r="E879" s="676" t="str">
        <f t="shared" ref="E879" si="3687">S879</f>
        <v>Femme 20-24</v>
      </c>
      <c r="F879" s="194"/>
      <c r="G879" s="668" t="str">
        <f t="shared" ref="G879" ca="1" si="3688">IF(OR(INDIRECT("'update Helper'!E"&amp;U879)=0,F879&lt;&gt;0,F880&lt;&gt;0),IF(IFERROR((F879/F880),"")="","",(F879/F880)),INDIRECT("'update Helper'!E"&amp;U879)/100)</f>
        <v/>
      </c>
      <c r="H879" s="670"/>
      <c r="I879" s="672"/>
      <c r="J879" s="651"/>
      <c r="K879" s="666" t="str">
        <f t="shared" ref="K879" si="3689">W879</f>
        <v>TCS-1b⁽ᴹ⁾ Percentage of adults (15 and above) on ART among all adults living with HIV at the end of the reporting period</v>
      </c>
      <c r="L879" s="666" t="str">
        <f t="shared" ref="L879" si="3690">V879</f>
        <v>Gender | Age</v>
      </c>
      <c r="M879" s="651"/>
      <c r="N879" s="651"/>
      <c r="P879" s="189">
        <f t="shared" ref="P879" si="3691">IF(AND(EXACT(C879,C877),C877&lt;&gt;0),P877+1,0)</f>
        <v>9</v>
      </c>
      <c r="Q879" s="189" t="str">
        <f t="shared" ref="Q879" si="3692">IF(C879&lt;&gt;"",C879&amp;"-"&amp;P879,"")</f>
        <v>TCS-1b⁽ᴹ⁾ Pourcentage d'adultes (15 ans et plus) sous TARV parmi tous les adultes vivant avec le VIH à la fin de la période de rapportage-9</v>
      </c>
      <c r="R879" s="189" t="str">
        <f t="array" ref="R879">IFERROR(IF(INDEX('Disaggregation Records'!$E$155:$E$385,MATCH(RIGHT(Q879,255),RIGHT('Disaggregation Records'!$D$155:$D$385,255),0))=0,"",INDEX('Disaggregation Records'!$E$155:$E$385,MATCH(RIGHT(Q879,255),RIGHT('Disaggregation Records'!$D$155:$D$385,255),0))),"")</f>
        <v>Sexe | Age</v>
      </c>
      <c r="S879" s="189" t="str">
        <f t="array" ref="S879">IFERROR(IF(INDEX('Disaggregation Records'!$F$155:$F$385,MATCH(RIGHT(Q879,255),RIGHT('Disaggregation Records'!$D$155:$D$385,255),0))=0,"",INDEX('Disaggregation Records'!$F$155:$F$385,MATCH(RIGHT(Q879,255),RIGHT('Disaggregation Records'!$D$155:$D$385,255),0))),"")</f>
        <v>Femme 20-24</v>
      </c>
      <c r="T879" s="189" t="str">
        <f t="array" ref="T879">IFERROR(IF(INDEX('Disaggregation Records'!$H$155:$H$385,MATCH(RIGHT(Q879,255),RIGHT('Disaggregation Records'!$D$155:$D$385,255),0))=0,"",INDEX('Disaggregation Records'!$H$155:$H$385,MATCH(RIGHT(Q879,255),RIGHT('Disaggregation Records'!$D$155:$D$385,255),0))),"")</f>
        <v>IDR-00897</v>
      </c>
      <c r="U879" s="189">
        <f t="shared" ref="U879" si="3693">U877+1</f>
        <v>1541</v>
      </c>
      <c r="V879" s="189" t="str">
        <f t="array" ref="V879">IFERROR(IF(INDEX('Disaggregation Records'!$I$155:$I$385,MATCH(RIGHT(Q879,255),RIGHT('Disaggregation Records'!$D$155:$D$385,255),0))=0,"",INDEX('Disaggregation Records'!$I$155:$I$385,MATCH(RIGHT(Q879,255),RIGHT('Disaggregation Records'!$D$155:$D$385,255),0))),"")</f>
        <v>Gender | Age</v>
      </c>
      <c r="W879" s="189" t="str">
        <f>IFERROR(INDEX('Reference Records'!L$59:L$121,MATCH(LEFT(C879,255),'Reference Records'!E$59:E$121,0)),"")</f>
        <v>TCS-1b⁽ᴹ⁾ Percentage of adults (15 and above) on ART among all adults living with HIV at the end of the reporting period</v>
      </c>
    </row>
    <row r="880" spans="1:23" s="189" customFormat="1" ht="40.200000000000003" customHeight="1" x14ac:dyDescent="0.3">
      <c r="A880" s="678"/>
      <c r="B880" s="675"/>
      <c r="C880" s="667"/>
      <c r="D880" s="677"/>
      <c r="E880" s="677"/>
      <c r="F880" s="202"/>
      <c r="G880" s="669"/>
      <c r="H880" s="671"/>
      <c r="I880" s="673"/>
      <c r="J880" s="652"/>
      <c r="K880" s="667"/>
      <c r="L880" s="667"/>
      <c r="M880" s="652"/>
      <c r="N880" s="652"/>
    </row>
    <row r="881" spans="1:23" s="189" customFormat="1" ht="40.200000000000003" customHeight="1" x14ac:dyDescent="0.3">
      <c r="A881" s="678" t="str">
        <f t="shared" ref="A881" ca="1" si="3694">INDIRECT("'update Helper'!C"&amp;U881)</f>
        <v>a163p000002zQbTAAU</v>
      </c>
      <c r="B881" s="674">
        <v>7</v>
      </c>
      <c r="C881" s="666" t="str">
        <f>VLOOKUP(B881,'Coverage Indicators - Section D'!$A$9:$AU$70,47,FALSE)</f>
        <v>TCS-1b⁽ᴹ⁾ Pourcentage d'adultes (15 ans et plus) sous TARV parmi tous les adultes vivant avec le VIH à la fin de la période de rapportage</v>
      </c>
      <c r="D881" s="676" t="str">
        <f t="shared" ref="D881" si="3695">R881</f>
        <v>Sexe | Age</v>
      </c>
      <c r="E881" s="676" t="str">
        <f t="shared" ref="E881" si="3696">S881</f>
        <v>Homme 15-24</v>
      </c>
      <c r="F881" s="194"/>
      <c r="G881" s="668" t="str">
        <f t="shared" ref="G881" ca="1" si="3697">IF(OR(INDIRECT("'update Helper'!E"&amp;U881)=0,F881&lt;&gt;0,F882&lt;&gt;0),IF(IFERROR((F881/F882),"")="","",(F881/F882)),INDIRECT("'update Helper'!E"&amp;U881)/100)</f>
        <v/>
      </c>
      <c r="H881" s="670"/>
      <c r="I881" s="672"/>
      <c r="J881" s="651"/>
      <c r="K881" s="666" t="str">
        <f t="shared" ref="K881" si="3698">W881</f>
        <v>TCS-1b⁽ᴹ⁾ Percentage of adults (15 and above) on ART among all adults living with HIV at the end of the reporting period</v>
      </c>
      <c r="L881" s="666" t="str">
        <f t="shared" ref="L881" si="3699">V881</f>
        <v>Gender | Age</v>
      </c>
      <c r="M881" s="651"/>
      <c r="N881" s="651"/>
      <c r="P881" s="189">
        <f t="shared" ref="P881" si="3700">IF(AND(EXACT(C881,C879),C879&lt;&gt;0),P879+1,0)</f>
        <v>10</v>
      </c>
      <c r="Q881" s="189" t="str">
        <f t="shared" ref="Q881" si="3701">IF(C881&lt;&gt;"",C881&amp;"-"&amp;P881,"")</f>
        <v>TCS-1b⁽ᴹ⁾ Pourcentage d'adultes (15 ans et plus) sous TARV parmi tous les adultes vivant avec le VIH à la fin de la période de rapportage-10</v>
      </c>
      <c r="R881" s="189" t="str">
        <f t="array" ref="R881">IFERROR(IF(INDEX('Disaggregation Records'!$E$155:$E$385,MATCH(RIGHT(Q881,255),RIGHT('Disaggregation Records'!$D$155:$D$385,255),0))=0,"",INDEX('Disaggregation Records'!$E$155:$E$385,MATCH(RIGHT(Q881,255),RIGHT('Disaggregation Records'!$D$155:$D$385,255),0))),"")</f>
        <v>Sexe | Age</v>
      </c>
      <c r="S881" s="189" t="str">
        <f t="array" ref="S881">IFERROR(IF(INDEX('Disaggregation Records'!$F$155:$F$385,MATCH(RIGHT(Q881,255),RIGHT('Disaggregation Records'!$D$155:$D$385,255),0))=0,"",INDEX('Disaggregation Records'!$F$155:$F$385,MATCH(RIGHT(Q881,255),RIGHT('Disaggregation Records'!$D$155:$D$385,255),0))),"")</f>
        <v>Homme 15-24</v>
      </c>
      <c r="T881" s="189" t="str">
        <f t="array" ref="T881">IFERROR(IF(INDEX('Disaggregation Records'!$H$155:$H$385,MATCH(RIGHT(Q881,255),RIGHT('Disaggregation Records'!$D$155:$D$385,255),0))=0,"",INDEX('Disaggregation Records'!$H$155:$H$385,MATCH(RIGHT(Q881,255),RIGHT('Disaggregation Records'!$D$155:$D$385,255),0))),"")</f>
        <v>IDR-00898</v>
      </c>
      <c r="U881" s="189">
        <f t="shared" ref="U881" si="3702">U879+1</f>
        <v>1542</v>
      </c>
      <c r="V881" s="189" t="str">
        <f t="array" ref="V881">IFERROR(IF(INDEX('Disaggregation Records'!$I$155:$I$385,MATCH(RIGHT(Q881,255),RIGHT('Disaggregation Records'!$D$155:$D$385,255),0))=0,"",INDEX('Disaggregation Records'!$I$155:$I$385,MATCH(RIGHT(Q881,255),RIGHT('Disaggregation Records'!$D$155:$D$385,255),0))),"")</f>
        <v>Gender | Age</v>
      </c>
      <c r="W881" s="189" t="str">
        <f>IFERROR(INDEX('Reference Records'!L$59:L$121,MATCH(LEFT(C881,255),'Reference Records'!E$59:E$121,0)),"")</f>
        <v>TCS-1b⁽ᴹ⁾ Percentage of adults (15 and above) on ART among all adults living with HIV at the end of the reporting period</v>
      </c>
    </row>
    <row r="882" spans="1:23" s="189" customFormat="1" ht="40.200000000000003" customHeight="1" x14ac:dyDescent="0.3">
      <c r="A882" s="678"/>
      <c r="B882" s="675"/>
      <c r="C882" s="667"/>
      <c r="D882" s="677"/>
      <c r="E882" s="677"/>
      <c r="F882" s="202"/>
      <c r="G882" s="669"/>
      <c r="H882" s="671"/>
      <c r="I882" s="673"/>
      <c r="J882" s="652"/>
      <c r="K882" s="667"/>
      <c r="L882" s="667"/>
      <c r="M882" s="652"/>
      <c r="N882" s="652"/>
    </row>
    <row r="883" spans="1:23" s="189" customFormat="1" ht="40.200000000000003" customHeight="1" x14ac:dyDescent="0.3">
      <c r="A883" s="678" t="str">
        <f t="shared" ref="A883" ca="1" si="3703">INDIRECT("'update Helper'!C"&amp;U883)</f>
        <v>a163p000002zQbUAAU</v>
      </c>
      <c r="B883" s="674">
        <v>7</v>
      </c>
      <c r="C883" s="666" t="str">
        <f>VLOOKUP(B883,'Coverage Indicators - Section D'!$A$9:$AU$70,47,FALSE)</f>
        <v>TCS-1b⁽ᴹ⁾ Pourcentage d'adultes (15 ans et plus) sous TARV parmi tous les adultes vivant avec le VIH à la fin de la période de rapportage</v>
      </c>
      <c r="D883" s="676" t="str">
        <f t="shared" ref="D883" si="3704">R883</f>
        <v>Sexe | Age</v>
      </c>
      <c r="E883" s="676" t="str">
        <f t="shared" ref="E883" si="3705">S883</f>
        <v>Femme 15-24</v>
      </c>
      <c r="F883" s="194"/>
      <c r="G883" s="668" t="str">
        <f t="shared" ref="G883" ca="1" si="3706">IF(OR(INDIRECT("'update Helper'!E"&amp;U883)=0,F883&lt;&gt;0,F884&lt;&gt;0),IF(IFERROR((F883/F884),"")="","",(F883/F884)),INDIRECT("'update Helper'!E"&amp;U883)/100)</f>
        <v/>
      </c>
      <c r="H883" s="670"/>
      <c r="I883" s="672"/>
      <c r="J883" s="651"/>
      <c r="K883" s="666" t="str">
        <f t="shared" ref="K883" si="3707">W883</f>
        <v>TCS-1b⁽ᴹ⁾ Percentage of adults (15 and above) on ART among all adults living with HIV at the end of the reporting period</v>
      </c>
      <c r="L883" s="666" t="str">
        <f t="shared" ref="L883" si="3708">V883</f>
        <v>Gender | Age</v>
      </c>
      <c r="M883" s="651"/>
      <c r="N883" s="651"/>
      <c r="P883" s="189">
        <f t="shared" ref="P883" si="3709">IF(AND(EXACT(C883,C881),C881&lt;&gt;0),P881+1,0)</f>
        <v>11</v>
      </c>
      <c r="Q883" s="189" t="str">
        <f t="shared" ref="Q883" si="3710">IF(C883&lt;&gt;"",C883&amp;"-"&amp;P883,"")</f>
        <v>TCS-1b⁽ᴹ⁾ Pourcentage d'adultes (15 ans et plus) sous TARV parmi tous les adultes vivant avec le VIH à la fin de la période de rapportage-11</v>
      </c>
      <c r="R883" s="189" t="str">
        <f t="array" ref="R883">IFERROR(IF(INDEX('Disaggregation Records'!$E$155:$E$385,MATCH(RIGHT(Q883,255),RIGHT('Disaggregation Records'!$D$155:$D$385,255),0))=0,"",INDEX('Disaggregation Records'!$E$155:$E$385,MATCH(RIGHT(Q883,255),RIGHT('Disaggregation Records'!$D$155:$D$385,255),0))),"")</f>
        <v>Sexe | Age</v>
      </c>
      <c r="S883" s="189" t="str">
        <f t="array" ref="S883">IFERROR(IF(INDEX('Disaggregation Records'!$F$155:$F$385,MATCH(RIGHT(Q883,255),RIGHT('Disaggregation Records'!$D$155:$D$385,255),0))=0,"",INDEX('Disaggregation Records'!$F$155:$F$385,MATCH(RIGHT(Q883,255),RIGHT('Disaggregation Records'!$D$155:$D$385,255),0))),"")</f>
        <v>Femme 15-24</v>
      </c>
      <c r="T883" s="189" t="str">
        <f t="array" ref="T883">IFERROR(IF(INDEX('Disaggregation Records'!$H$155:$H$385,MATCH(RIGHT(Q883,255),RIGHT('Disaggregation Records'!$D$155:$D$385,255),0))=0,"",INDEX('Disaggregation Records'!$H$155:$H$385,MATCH(RIGHT(Q883,255),RIGHT('Disaggregation Records'!$D$155:$D$385,255),0))),"")</f>
        <v>IDR-00899</v>
      </c>
      <c r="U883" s="189">
        <f t="shared" ref="U883" si="3711">U881+1</f>
        <v>1543</v>
      </c>
      <c r="V883" s="189" t="str">
        <f t="array" ref="V883">IFERROR(IF(INDEX('Disaggregation Records'!$I$155:$I$385,MATCH(RIGHT(Q883,255),RIGHT('Disaggregation Records'!$D$155:$D$385,255),0))=0,"",INDEX('Disaggregation Records'!$I$155:$I$385,MATCH(RIGHT(Q883,255),RIGHT('Disaggregation Records'!$D$155:$D$385,255),0))),"")</f>
        <v>Gender | Age</v>
      </c>
      <c r="W883" s="189" t="str">
        <f>IFERROR(INDEX('Reference Records'!L$59:L$121,MATCH(LEFT(C883,255),'Reference Records'!E$59:E$121,0)),"")</f>
        <v>TCS-1b⁽ᴹ⁾ Percentage of adults (15 and above) on ART among all adults living with HIV at the end of the reporting period</v>
      </c>
    </row>
    <row r="884" spans="1:23" s="189" customFormat="1" ht="40.200000000000003" customHeight="1" x14ac:dyDescent="0.3">
      <c r="A884" s="678"/>
      <c r="B884" s="675"/>
      <c r="C884" s="667"/>
      <c r="D884" s="677"/>
      <c r="E884" s="677"/>
      <c r="F884" s="202"/>
      <c r="G884" s="669"/>
      <c r="H884" s="671"/>
      <c r="I884" s="673"/>
      <c r="J884" s="652"/>
      <c r="K884" s="667"/>
      <c r="L884" s="667"/>
      <c r="M884" s="652"/>
      <c r="N884" s="652"/>
    </row>
    <row r="885" spans="1:23" s="189" customFormat="1" ht="40.200000000000003" customHeight="1" x14ac:dyDescent="0.3">
      <c r="A885" s="678" t="str">
        <f t="shared" ref="A885" ca="1" si="3712">INDIRECT("'update Helper'!C"&amp;U885)</f>
        <v>a163p000002zQbVAAU</v>
      </c>
      <c r="B885" s="674">
        <v>7</v>
      </c>
      <c r="C885" s="666" t="str">
        <f>VLOOKUP(B885,'Coverage Indicators - Section D'!$A$9:$AU$70,47,FALSE)</f>
        <v>TCS-1b⁽ᴹ⁾ Pourcentage d'adultes (15 ans et plus) sous TARV parmi tous les adultes vivant avec le VIH à la fin de la période de rapportage</v>
      </c>
      <c r="D885" s="676" t="str">
        <f t="shared" ref="D885" si="3713">R885</f>
        <v>Groupe à risque cible</v>
      </c>
      <c r="E885" s="676" t="str">
        <f t="shared" ref="E885" si="3714">S885</f>
        <v>HSH</v>
      </c>
      <c r="F885" s="194"/>
      <c r="G885" s="668" t="str">
        <f t="shared" ref="G885" ca="1" si="3715">IF(OR(INDIRECT("'update Helper'!E"&amp;U885)=0,F885&lt;&gt;0,F886&lt;&gt;0),IF(IFERROR((F885/F886),"")="","",(F885/F886)),INDIRECT("'update Helper'!E"&amp;U885)/100)</f>
        <v/>
      </c>
      <c r="H885" s="670"/>
      <c r="I885" s="672"/>
      <c r="J885" s="651"/>
      <c r="K885" s="666" t="str">
        <f t="shared" ref="K885" si="3716">W885</f>
        <v>TCS-1b⁽ᴹ⁾ Percentage of adults (15 and above) on ART among all adults living with HIV at the end of the reporting period</v>
      </c>
      <c r="L885" s="666" t="str">
        <f t="shared" ref="L885" si="3717">V885</f>
        <v>Target / Risk population group</v>
      </c>
      <c r="M885" s="651"/>
      <c r="N885" s="651"/>
      <c r="P885" s="189">
        <f t="shared" ref="P885" si="3718">IF(AND(EXACT(C885,C883),C883&lt;&gt;0),P883+1,0)</f>
        <v>12</v>
      </c>
      <c r="Q885" s="189" t="str">
        <f t="shared" ref="Q885" si="3719">IF(C885&lt;&gt;"",C885&amp;"-"&amp;P885,"")</f>
        <v>TCS-1b⁽ᴹ⁾ Pourcentage d'adultes (15 ans et plus) sous TARV parmi tous les adultes vivant avec le VIH à la fin de la période de rapportage-12</v>
      </c>
      <c r="R885" s="189" t="str">
        <f t="array" ref="R885">IFERROR(IF(INDEX('Disaggregation Records'!$E$155:$E$385,MATCH(RIGHT(Q885,255),RIGHT('Disaggregation Records'!$D$155:$D$385,255),0))=0,"",INDEX('Disaggregation Records'!$E$155:$E$385,MATCH(RIGHT(Q885,255),RIGHT('Disaggregation Records'!$D$155:$D$385,255),0))),"")</f>
        <v>Groupe à risque cible</v>
      </c>
      <c r="S885" s="189" t="str">
        <f t="array" ref="S885">IFERROR(IF(INDEX('Disaggregation Records'!$F$155:$F$385,MATCH(RIGHT(Q885,255),RIGHT('Disaggregation Records'!$D$155:$D$385,255),0))=0,"",INDEX('Disaggregation Records'!$F$155:$F$385,MATCH(RIGHT(Q885,255),RIGHT('Disaggregation Records'!$D$155:$D$385,255),0))),"")</f>
        <v>HSH</v>
      </c>
      <c r="T885" s="189" t="str">
        <f t="array" ref="T885">IFERROR(IF(INDEX('Disaggregation Records'!$H$155:$H$385,MATCH(RIGHT(Q885,255),RIGHT('Disaggregation Records'!$D$155:$D$385,255),0))=0,"",INDEX('Disaggregation Records'!$H$155:$H$385,MATCH(RIGHT(Q885,255),RIGHT('Disaggregation Records'!$D$155:$D$385,255),0))),"")</f>
        <v>IDR-00981</v>
      </c>
      <c r="U885" s="189">
        <f t="shared" ref="U885" si="3720">U883+1</f>
        <v>1544</v>
      </c>
      <c r="V885" s="189" t="str">
        <f t="array" ref="V885">IFERROR(IF(INDEX('Disaggregation Records'!$I$155:$I$385,MATCH(RIGHT(Q885,255),RIGHT('Disaggregation Records'!$D$155:$D$385,255),0))=0,"",INDEX('Disaggregation Records'!$I$155:$I$385,MATCH(RIGHT(Q885,255),RIGHT('Disaggregation Records'!$D$155:$D$385,255),0))),"")</f>
        <v>Target / Risk population group</v>
      </c>
      <c r="W885" s="189" t="str">
        <f>IFERROR(INDEX('Reference Records'!L$59:L$121,MATCH(LEFT(C885,255),'Reference Records'!E$59:E$121,0)),"")</f>
        <v>TCS-1b⁽ᴹ⁾ Percentage of adults (15 and above) on ART among all adults living with HIV at the end of the reporting period</v>
      </c>
    </row>
    <row r="886" spans="1:23" s="189" customFormat="1" ht="40.200000000000003" customHeight="1" x14ac:dyDescent="0.3">
      <c r="A886" s="678"/>
      <c r="B886" s="675"/>
      <c r="C886" s="667"/>
      <c r="D886" s="677"/>
      <c r="E886" s="677"/>
      <c r="F886" s="202"/>
      <c r="G886" s="669"/>
      <c r="H886" s="671"/>
      <c r="I886" s="673"/>
      <c r="J886" s="652"/>
      <c r="K886" s="667"/>
      <c r="L886" s="667"/>
      <c r="M886" s="652"/>
      <c r="N886" s="652"/>
    </row>
    <row r="887" spans="1:23" s="189" customFormat="1" ht="40.200000000000003" customHeight="1" x14ac:dyDescent="0.3">
      <c r="A887" s="678" t="str">
        <f t="shared" ref="A887" ca="1" si="3721">INDIRECT("'update Helper'!C"&amp;U887)</f>
        <v>a163p000002zQbWAAU</v>
      </c>
      <c r="B887" s="674">
        <v>7</v>
      </c>
      <c r="C887" s="666" t="str">
        <f>VLOOKUP(B887,'Coverage Indicators - Section D'!$A$9:$AU$70,47,FALSE)</f>
        <v>TCS-1b⁽ᴹ⁾ Pourcentage d'adultes (15 ans et plus) sous TARV parmi tous les adultes vivant avec le VIH à la fin de la période de rapportage</v>
      </c>
      <c r="D887" s="676" t="str">
        <f t="shared" ref="D887" si="3722">R887</f>
        <v>Groupe à risque cible</v>
      </c>
      <c r="E887" s="676" t="str">
        <f t="shared" ref="E887" si="3723">S887</f>
        <v>Professionnels du sexe</v>
      </c>
      <c r="F887" s="194"/>
      <c r="G887" s="668" t="str">
        <f t="shared" ref="G887" ca="1" si="3724">IF(OR(INDIRECT("'update Helper'!E"&amp;U887)=0,F887&lt;&gt;0,F888&lt;&gt;0),IF(IFERROR((F887/F888),"")="","",(F887/F888)),INDIRECT("'update Helper'!E"&amp;U887)/100)</f>
        <v/>
      </c>
      <c r="H887" s="670"/>
      <c r="I887" s="672"/>
      <c r="J887" s="651"/>
      <c r="K887" s="666" t="str">
        <f t="shared" ref="K887" si="3725">W887</f>
        <v>TCS-1b⁽ᴹ⁾ Percentage of adults (15 and above) on ART among all adults living with HIV at the end of the reporting period</v>
      </c>
      <c r="L887" s="666" t="str">
        <f t="shared" ref="L887" si="3726">V887</f>
        <v>Target / Risk population group</v>
      </c>
      <c r="M887" s="651"/>
      <c r="N887" s="651"/>
      <c r="P887" s="189">
        <f t="shared" ref="P887" si="3727">IF(AND(EXACT(C887,C885),C885&lt;&gt;0),P885+1,0)</f>
        <v>13</v>
      </c>
      <c r="Q887" s="189" t="str">
        <f t="shared" ref="Q887" si="3728">IF(C887&lt;&gt;"",C887&amp;"-"&amp;P887,"")</f>
        <v>TCS-1b⁽ᴹ⁾ Pourcentage d'adultes (15 ans et plus) sous TARV parmi tous les adultes vivant avec le VIH à la fin de la période de rapportage-13</v>
      </c>
      <c r="R887" s="189" t="str">
        <f t="array" ref="R887">IFERROR(IF(INDEX('Disaggregation Records'!$E$155:$E$385,MATCH(RIGHT(Q887,255),RIGHT('Disaggregation Records'!$D$155:$D$385,255),0))=0,"",INDEX('Disaggregation Records'!$E$155:$E$385,MATCH(RIGHT(Q887,255),RIGHT('Disaggregation Records'!$D$155:$D$385,255),0))),"")</f>
        <v>Groupe à risque cible</v>
      </c>
      <c r="S887" s="189" t="str">
        <f t="array" ref="S887">IFERROR(IF(INDEX('Disaggregation Records'!$F$155:$F$385,MATCH(RIGHT(Q887,255),RIGHT('Disaggregation Records'!$D$155:$D$385,255),0))=0,"",INDEX('Disaggregation Records'!$F$155:$F$385,MATCH(RIGHT(Q887,255),RIGHT('Disaggregation Records'!$D$155:$D$385,255),0))),"")</f>
        <v>Professionnels du sexe</v>
      </c>
      <c r="T887" s="189" t="str">
        <f t="array" ref="T887">IFERROR(IF(INDEX('Disaggregation Records'!$H$155:$H$385,MATCH(RIGHT(Q887,255),RIGHT('Disaggregation Records'!$D$155:$D$385,255),0))=0,"",INDEX('Disaggregation Records'!$H$155:$H$385,MATCH(RIGHT(Q887,255),RIGHT('Disaggregation Records'!$D$155:$D$385,255),0))),"")</f>
        <v>IDR-00982</v>
      </c>
      <c r="U887" s="189">
        <f t="shared" ref="U887" si="3729">U885+1</f>
        <v>1545</v>
      </c>
      <c r="V887" s="189" t="str">
        <f t="array" ref="V887">IFERROR(IF(INDEX('Disaggregation Records'!$I$155:$I$385,MATCH(RIGHT(Q887,255),RIGHT('Disaggregation Records'!$D$155:$D$385,255),0))=0,"",INDEX('Disaggregation Records'!$I$155:$I$385,MATCH(RIGHT(Q887,255),RIGHT('Disaggregation Records'!$D$155:$D$385,255),0))),"")</f>
        <v>Target / Risk population group</v>
      </c>
      <c r="W887" s="189" t="str">
        <f>IFERROR(INDEX('Reference Records'!L$59:L$121,MATCH(LEFT(C887,255),'Reference Records'!E$59:E$121,0)),"")</f>
        <v>TCS-1b⁽ᴹ⁾ Percentage of adults (15 and above) on ART among all adults living with HIV at the end of the reporting period</v>
      </c>
    </row>
    <row r="888" spans="1:23" s="189" customFormat="1" ht="40.200000000000003" customHeight="1" x14ac:dyDescent="0.3">
      <c r="A888" s="678"/>
      <c r="B888" s="675"/>
      <c r="C888" s="667"/>
      <c r="D888" s="677"/>
      <c r="E888" s="677"/>
      <c r="F888" s="202"/>
      <c r="G888" s="669"/>
      <c r="H888" s="671"/>
      <c r="I888" s="673"/>
      <c r="J888" s="652"/>
      <c r="K888" s="667"/>
      <c r="L888" s="667"/>
      <c r="M888" s="652"/>
      <c r="N888" s="652"/>
    </row>
    <row r="889" spans="1:23" s="189" customFormat="1" ht="40.200000000000003" customHeight="1" x14ac:dyDescent="0.3">
      <c r="A889" s="678" t="str">
        <f t="shared" ref="A889" ca="1" si="3730">INDIRECT("'update Helper'!C"&amp;U889)</f>
        <v>a163p000002zQbXAAU</v>
      </c>
      <c r="B889" s="674">
        <v>7</v>
      </c>
      <c r="C889" s="666" t="str">
        <f>VLOOKUP(B889,'Coverage Indicators - Section D'!$A$9:$AU$70,47,FALSE)</f>
        <v>TCS-1b⁽ᴹ⁾ Pourcentage d'adultes (15 ans et plus) sous TARV parmi tous les adultes vivant avec le VIH à la fin de la période de rapportage</v>
      </c>
      <c r="D889" s="676" t="str">
        <f t="shared" ref="D889" si="3731">R889</f>
        <v>Groupe à risque cible</v>
      </c>
      <c r="E889" s="676" t="str">
        <f t="shared" ref="E889" si="3732">S889</f>
        <v>Usagers de drogues injectables</v>
      </c>
      <c r="F889" s="194"/>
      <c r="G889" s="668" t="str">
        <f t="shared" ref="G889" ca="1" si="3733">IF(OR(INDIRECT("'update Helper'!E"&amp;U889)=0,F889&lt;&gt;0,F890&lt;&gt;0),IF(IFERROR((F889/F890),"")="","",(F889/F890)),INDIRECT("'update Helper'!E"&amp;U889)/100)</f>
        <v/>
      </c>
      <c r="H889" s="670"/>
      <c r="I889" s="672"/>
      <c r="J889" s="651"/>
      <c r="K889" s="666" t="str">
        <f t="shared" ref="K889" si="3734">W889</f>
        <v>TCS-1b⁽ᴹ⁾ Percentage of adults (15 and above) on ART among all adults living with HIV at the end of the reporting period</v>
      </c>
      <c r="L889" s="666" t="str">
        <f t="shared" ref="L889" si="3735">V889</f>
        <v>Target / Risk population group</v>
      </c>
      <c r="M889" s="651"/>
      <c r="N889" s="651"/>
      <c r="P889" s="189">
        <f t="shared" ref="P889" si="3736">IF(AND(EXACT(C889,C887),C887&lt;&gt;0),P887+1,0)</f>
        <v>14</v>
      </c>
      <c r="Q889" s="189" t="str">
        <f t="shared" ref="Q889" si="3737">IF(C889&lt;&gt;"",C889&amp;"-"&amp;P889,"")</f>
        <v>TCS-1b⁽ᴹ⁾ Pourcentage d'adultes (15 ans et plus) sous TARV parmi tous les adultes vivant avec le VIH à la fin de la période de rapportage-14</v>
      </c>
      <c r="R889" s="189" t="str">
        <f t="array" ref="R889">IFERROR(IF(INDEX('Disaggregation Records'!$E$155:$E$385,MATCH(RIGHT(Q889,255),RIGHT('Disaggregation Records'!$D$155:$D$385,255),0))=0,"",INDEX('Disaggregation Records'!$E$155:$E$385,MATCH(RIGHT(Q889,255),RIGHT('Disaggregation Records'!$D$155:$D$385,255),0))),"")</f>
        <v>Groupe à risque cible</v>
      </c>
      <c r="S889" s="189" t="str">
        <f t="array" ref="S889">IFERROR(IF(INDEX('Disaggregation Records'!$F$155:$F$385,MATCH(RIGHT(Q889,255),RIGHT('Disaggregation Records'!$D$155:$D$385,255),0))=0,"",INDEX('Disaggregation Records'!$F$155:$F$385,MATCH(RIGHT(Q889,255),RIGHT('Disaggregation Records'!$D$155:$D$385,255),0))),"")</f>
        <v>Usagers de drogues injectables</v>
      </c>
      <c r="T889" s="189" t="str">
        <f t="array" ref="T889">IFERROR(IF(INDEX('Disaggregation Records'!$H$155:$H$385,MATCH(RIGHT(Q889,255),RIGHT('Disaggregation Records'!$D$155:$D$385,255),0))=0,"",INDEX('Disaggregation Records'!$H$155:$H$385,MATCH(RIGHT(Q889,255),RIGHT('Disaggregation Records'!$D$155:$D$385,255),0))),"")</f>
        <v>IDR-00983</v>
      </c>
      <c r="U889" s="189">
        <f t="shared" ref="U889" si="3738">U887+1</f>
        <v>1546</v>
      </c>
      <c r="V889" s="189" t="str">
        <f t="array" ref="V889">IFERROR(IF(INDEX('Disaggregation Records'!$I$155:$I$385,MATCH(RIGHT(Q889,255),RIGHT('Disaggregation Records'!$D$155:$D$385,255),0))=0,"",INDEX('Disaggregation Records'!$I$155:$I$385,MATCH(RIGHT(Q889,255),RIGHT('Disaggregation Records'!$D$155:$D$385,255),0))),"")</f>
        <v>Target / Risk population group</v>
      </c>
      <c r="W889" s="189" t="str">
        <f>IFERROR(INDEX('Reference Records'!L$59:L$121,MATCH(LEFT(C889,255),'Reference Records'!E$59:E$121,0)),"")</f>
        <v>TCS-1b⁽ᴹ⁾ Percentage of adults (15 and above) on ART among all adults living with HIV at the end of the reporting period</v>
      </c>
    </row>
    <row r="890" spans="1:23" s="189" customFormat="1" ht="40.200000000000003" customHeight="1" x14ac:dyDescent="0.3">
      <c r="A890" s="678"/>
      <c r="B890" s="675"/>
      <c r="C890" s="667"/>
      <c r="D890" s="677"/>
      <c r="E890" s="677"/>
      <c r="F890" s="202"/>
      <c r="G890" s="669"/>
      <c r="H890" s="671"/>
      <c r="I890" s="673"/>
      <c r="J890" s="652"/>
      <c r="K890" s="667"/>
      <c r="L890" s="667"/>
      <c r="M890" s="652"/>
      <c r="N890" s="652"/>
    </row>
    <row r="891" spans="1:23" s="189" customFormat="1" ht="40.200000000000003" customHeight="1" x14ac:dyDescent="0.3">
      <c r="A891" s="678" t="str">
        <f t="shared" ref="A891" ca="1" si="3739">INDIRECT("'update Helper'!C"&amp;U891)</f>
        <v>a163p000002zQbYAAU</v>
      </c>
      <c r="B891" s="674">
        <v>7</v>
      </c>
      <c r="C891" s="666" t="str">
        <f>VLOOKUP(B891,'Coverage Indicators - Section D'!$A$9:$AU$70,47,FALSE)</f>
        <v>TCS-1b⁽ᴹ⁾ Pourcentage d'adultes (15 ans et plus) sous TARV parmi tous les adultes vivant avec le VIH à la fin de la période de rapportage</v>
      </c>
      <c r="D891" s="676" t="str">
        <f t="shared" ref="D891" si="3740">R891</f>
        <v>Groupe à risque cible</v>
      </c>
      <c r="E891" s="676" t="str">
        <f t="shared" ref="E891" si="3741">S891</f>
        <v>Prisonniers</v>
      </c>
      <c r="F891" s="194"/>
      <c r="G891" s="668" t="str">
        <f t="shared" ref="G891" ca="1" si="3742">IF(OR(INDIRECT("'update Helper'!E"&amp;U891)=0,F891&lt;&gt;0,F892&lt;&gt;0),IF(IFERROR((F891/F892),"")="","",(F891/F892)),INDIRECT("'update Helper'!E"&amp;U891)/100)</f>
        <v/>
      </c>
      <c r="H891" s="670"/>
      <c r="I891" s="672"/>
      <c r="J891" s="651"/>
      <c r="K891" s="666" t="str">
        <f t="shared" ref="K891" si="3743">W891</f>
        <v>TCS-1b⁽ᴹ⁾ Percentage of adults (15 and above) on ART among all adults living with HIV at the end of the reporting period</v>
      </c>
      <c r="L891" s="666" t="str">
        <f t="shared" ref="L891" si="3744">V891</f>
        <v>Target / Risk population group</v>
      </c>
      <c r="M891" s="651"/>
      <c r="N891" s="651"/>
      <c r="P891" s="189">
        <f t="shared" ref="P891" si="3745">IF(AND(EXACT(C891,C889),C889&lt;&gt;0),P889+1,0)</f>
        <v>15</v>
      </c>
      <c r="Q891" s="189" t="str">
        <f t="shared" ref="Q891" si="3746">IF(C891&lt;&gt;"",C891&amp;"-"&amp;P891,"")</f>
        <v>TCS-1b⁽ᴹ⁾ Pourcentage d'adultes (15 ans et plus) sous TARV parmi tous les adultes vivant avec le VIH à la fin de la période de rapportage-15</v>
      </c>
      <c r="R891" s="189" t="str">
        <f t="array" ref="R891">IFERROR(IF(INDEX('Disaggregation Records'!$E$155:$E$385,MATCH(RIGHT(Q891,255),RIGHT('Disaggregation Records'!$D$155:$D$385,255),0))=0,"",INDEX('Disaggregation Records'!$E$155:$E$385,MATCH(RIGHT(Q891,255),RIGHT('Disaggregation Records'!$D$155:$D$385,255),0))),"")</f>
        <v>Groupe à risque cible</v>
      </c>
      <c r="S891" s="189" t="str">
        <f t="array" ref="S891">IFERROR(IF(INDEX('Disaggregation Records'!$F$155:$F$385,MATCH(RIGHT(Q891,255),RIGHT('Disaggregation Records'!$D$155:$D$385,255),0))=0,"",INDEX('Disaggregation Records'!$F$155:$F$385,MATCH(RIGHT(Q891,255),RIGHT('Disaggregation Records'!$D$155:$D$385,255),0))),"")</f>
        <v>Prisonniers</v>
      </c>
      <c r="T891" s="189" t="str">
        <f t="array" ref="T891">IFERROR(IF(INDEX('Disaggregation Records'!$H$155:$H$385,MATCH(RIGHT(Q891,255),RIGHT('Disaggregation Records'!$D$155:$D$385,255),0))=0,"",INDEX('Disaggregation Records'!$H$155:$H$385,MATCH(RIGHT(Q891,255),RIGHT('Disaggregation Records'!$D$155:$D$385,255),0))),"")</f>
        <v>IDR-00984</v>
      </c>
      <c r="U891" s="189">
        <f t="shared" ref="U891" si="3747">U889+1</f>
        <v>1547</v>
      </c>
      <c r="V891" s="189" t="str">
        <f t="array" ref="V891">IFERROR(IF(INDEX('Disaggregation Records'!$I$155:$I$385,MATCH(RIGHT(Q891,255),RIGHT('Disaggregation Records'!$D$155:$D$385,255),0))=0,"",INDEX('Disaggregation Records'!$I$155:$I$385,MATCH(RIGHT(Q891,255),RIGHT('Disaggregation Records'!$D$155:$D$385,255),0))),"")</f>
        <v>Target / Risk population group</v>
      </c>
      <c r="W891" s="189" t="str">
        <f>IFERROR(INDEX('Reference Records'!L$59:L$121,MATCH(LEFT(C891,255),'Reference Records'!E$59:E$121,0)),"")</f>
        <v>TCS-1b⁽ᴹ⁾ Percentage of adults (15 and above) on ART among all adults living with HIV at the end of the reporting period</v>
      </c>
    </row>
    <row r="892" spans="1:23" s="189" customFormat="1" ht="40.200000000000003" customHeight="1" x14ac:dyDescent="0.3">
      <c r="A892" s="678"/>
      <c r="B892" s="675"/>
      <c r="C892" s="667"/>
      <c r="D892" s="677"/>
      <c r="E892" s="677"/>
      <c r="F892" s="202"/>
      <c r="G892" s="669"/>
      <c r="H892" s="671"/>
      <c r="I892" s="673"/>
      <c r="J892" s="652"/>
      <c r="K892" s="667"/>
      <c r="L892" s="667"/>
      <c r="M892" s="652"/>
      <c r="N892" s="652"/>
    </row>
    <row r="893" spans="1:23" s="189" customFormat="1" ht="40.200000000000003" customHeight="1" x14ac:dyDescent="0.3">
      <c r="A893" s="678" t="str">
        <f t="shared" ref="A893" ca="1" si="3748">INDIRECT("'update Helper'!C"&amp;U893)</f>
        <v>a163p000002zQbZAAU</v>
      </c>
      <c r="B893" s="674">
        <v>7</v>
      </c>
      <c r="C893" s="666" t="str">
        <f>VLOOKUP(B893,'Coverage Indicators - Section D'!$A$9:$AU$70,47,FALSE)</f>
        <v>TCS-1b⁽ᴹ⁾ Pourcentage d'adultes (15 ans et plus) sous TARV parmi tous les adultes vivant avec le VIH à la fin de la période de rapportage</v>
      </c>
      <c r="D893" s="676" t="str">
        <f t="shared" ref="D893" si="3749">R893</f>
        <v/>
      </c>
      <c r="E893" s="676" t="str">
        <f t="shared" ref="E893" si="3750">S893</f>
        <v/>
      </c>
      <c r="F893" s="194"/>
      <c r="G893" s="668" t="str">
        <f t="shared" ref="G893" ca="1" si="3751">IF(OR(INDIRECT("'update Helper'!E"&amp;U893)=0,F893&lt;&gt;0,F894&lt;&gt;0),IF(IFERROR((F893/F894),"")="","",(F893/F894)),INDIRECT("'update Helper'!E"&amp;U893)/100)</f>
        <v/>
      </c>
      <c r="H893" s="670"/>
      <c r="I893" s="672"/>
      <c r="J893" s="651"/>
      <c r="K893" s="666" t="str">
        <f t="shared" ref="K893" si="3752">W893</f>
        <v>TCS-1b⁽ᴹ⁾ Percentage of adults (15 and above) on ART among all adults living with HIV at the end of the reporting period</v>
      </c>
      <c r="L893" s="666" t="str">
        <f t="shared" ref="L893" si="3753">V893</f>
        <v/>
      </c>
      <c r="M893" s="651"/>
      <c r="N893" s="651"/>
      <c r="P893" s="189">
        <f t="shared" ref="P893" si="3754">IF(AND(EXACT(C893,C891),C891&lt;&gt;0),P891+1,0)</f>
        <v>16</v>
      </c>
      <c r="Q893" s="189" t="str">
        <f t="shared" ref="Q893" si="3755">IF(C893&lt;&gt;"",C893&amp;"-"&amp;P893,"")</f>
        <v>TCS-1b⁽ᴹ⁾ Pourcentage d'adultes (15 ans et plus) sous TARV parmi tous les adultes vivant avec le VIH à la fin de la période de rapportage-16</v>
      </c>
      <c r="R893" s="189" t="str">
        <f t="array" ref="R893">IFERROR(IF(INDEX('Disaggregation Records'!$E$155:$E$385,MATCH(RIGHT(Q893,255),RIGHT('Disaggregation Records'!$D$155:$D$385,255),0))=0,"",INDEX('Disaggregation Records'!$E$155:$E$385,MATCH(RIGHT(Q893,255),RIGHT('Disaggregation Records'!$D$155:$D$385,255),0))),"")</f>
        <v/>
      </c>
      <c r="S893" s="189" t="str">
        <f t="array" ref="S893">IFERROR(IF(INDEX('Disaggregation Records'!$F$155:$F$385,MATCH(RIGHT(Q893,255),RIGHT('Disaggregation Records'!$D$155:$D$385,255),0))=0,"",INDEX('Disaggregation Records'!$F$155:$F$385,MATCH(RIGHT(Q893,255),RIGHT('Disaggregation Records'!$D$155:$D$385,255),0))),"")</f>
        <v/>
      </c>
      <c r="T893" s="189" t="str">
        <f t="array" ref="T893">IFERROR(IF(INDEX('Disaggregation Records'!$H$155:$H$385,MATCH(RIGHT(Q893,255),RIGHT('Disaggregation Records'!$D$155:$D$385,255),0))=0,"",INDEX('Disaggregation Records'!$H$155:$H$385,MATCH(RIGHT(Q893,255),RIGHT('Disaggregation Records'!$D$155:$D$385,255),0))),"")</f>
        <v/>
      </c>
      <c r="U893" s="189">
        <f t="shared" ref="U893" si="3756">U891+1</f>
        <v>1548</v>
      </c>
      <c r="V893" s="189" t="str">
        <f t="array" ref="V893">IFERROR(IF(INDEX('Disaggregation Records'!$I$155:$I$385,MATCH(RIGHT(Q893,255),RIGHT('Disaggregation Records'!$D$155:$D$385,255),0))=0,"",INDEX('Disaggregation Records'!$I$155:$I$385,MATCH(RIGHT(Q893,255),RIGHT('Disaggregation Records'!$D$155:$D$385,255),0))),"")</f>
        <v/>
      </c>
      <c r="W893" s="189" t="str">
        <f>IFERROR(INDEX('Reference Records'!L$59:L$121,MATCH(LEFT(C893,255),'Reference Records'!E$59:E$121,0)),"")</f>
        <v>TCS-1b⁽ᴹ⁾ Percentage of adults (15 and above) on ART among all adults living with HIV at the end of the reporting period</v>
      </c>
    </row>
    <row r="894" spans="1:23" s="189" customFormat="1" ht="40.200000000000003" customHeight="1" x14ac:dyDescent="0.3">
      <c r="A894" s="678"/>
      <c r="B894" s="675"/>
      <c r="C894" s="667"/>
      <c r="D894" s="677"/>
      <c r="E894" s="677"/>
      <c r="F894" s="202"/>
      <c r="G894" s="669"/>
      <c r="H894" s="671"/>
      <c r="I894" s="673"/>
      <c r="J894" s="652"/>
      <c r="K894" s="667"/>
      <c r="L894" s="667"/>
      <c r="M894" s="652"/>
      <c r="N894" s="652"/>
    </row>
    <row r="895" spans="1:23" s="189" customFormat="1" ht="40.200000000000003" customHeight="1" x14ac:dyDescent="0.3">
      <c r="A895" s="678" t="str">
        <f t="shared" ref="A895" ca="1" si="3757">INDIRECT("'update Helper'!C"&amp;U895)</f>
        <v>a163p000002zQbaAAE</v>
      </c>
      <c r="B895" s="674">
        <v>7</v>
      </c>
      <c r="C895" s="666" t="str">
        <f>VLOOKUP(B895,'Coverage Indicators - Section D'!$A$9:$AU$70,47,FALSE)</f>
        <v>TCS-1b⁽ᴹ⁾ Pourcentage d'adultes (15 ans et plus) sous TARV parmi tous les adultes vivant avec le VIH à la fin de la période de rapportage</v>
      </c>
      <c r="D895" s="676" t="str">
        <f t="shared" ref="D895" si="3758">R895</f>
        <v/>
      </c>
      <c r="E895" s="676" t="str">
        <f t="shared" ref="E895" si="3759">S895</f>
        <v/>
      </c>
      <c r="F895" s="194"/>
      <c r="G895" s="668" t="str">
        <f t="shared" ref="G895" ca="1" si="3760">IF(OR(INDIRECT("'update Helper'!E"&amp;U895)=0,F895&lt;&gt;0,F896&lt;&gt;0),IF(IFERROR((F895/F896),"")="","",(F895/F896)),INDIRECT("'update Helper'!E"&amp;U895)/100)</f>
        <v/>
      </c>
      <c r="H895" s="670"/>
      <c r="I895" s="672"/>
      <c r="J895" s="651"/>
      <c r="K895" s="666" t="str">
        <f t="shared" ref="K895" si="3761">W895</f>
        <v>TCS-1b⁽ᴹ⁾ Percentage of adults (15 and above) on ART among all adults living with HIV at the end of the reporting period</v>
      </c>
      <c r="L895" s="666" t="str">
        <f t="shared" ref="L895" si="3762">V895</f>
        <v/>
      </c>
      <c r="M895" s="651"/>
      <c r="N895" s="651"/>
      <c r="P895" s="189">
        <f t="shared" ref="P895" si="3763">IF(AND(EXACT(C895,C893),C893&lt;&gt;0),P893+1,0)</f>
        <v>17</v>
      </c>
      <c r="Q895" s="189" t="str">
        <f t="shared" ref="Q895" si="3764">IF(C895&lt;&gt;"",C895&amp;"-"&amp;P895,"")</f>
        <v>TCS-1b⁽ᴹ⁾ Pourcentage d'adultes (15 ans et plus) sous TARV parmi tous les adultes vivant avec le VIH à la fin de la période de rapportage-17</v>
      </c>
      <c r="R895" s="189" t="str">
        <f t="array" ref="R895">IFERROR(IF(INDEX('Disaggregation Records'!$E$155:$E$385,MATCH(RIGHT(Q895,255),RIGHT('Disaggregation Records'!$D$155:$D$385,255),0))=0,"",INDEX('Disaggregation Records'!$E$155:$E$385,MATCH(RIGHT(Q895,255),RIGHT('Disaggregation Records'!$D$155:$D$385,255),0))),"")</f>
        <v/>
      </c>
      <c r="S895" s="189" t="str">
        <f t="array" ref="S895">IFERROR(IF(INDEX('Disaggregation Records'!$F$155:$F$385,MATCH(RIGHT(Q895,255),RIGHT('Disaggregation Records'!$D$155:$D$385,255),0))=0,"",INDEX('Disaggregation Records'!$F$155:$F$385,MATCH(RIGHT(Q895,255),RIGHT('Disaggregation Records'!$D$155:$D$385,255),0))),"")</f>
        <v/>
      </c>
      <c r="T895" s="189" t="str">
        <f t="array" ref="T895">IFERROR(IF(INDEX('Disaggregation Records'!$H$155:$H$385,MATCH(RIGHT(Q895,255),RIGHT('Disaggregation Records'!$D$155:$D$385,255),0))=0,"",INDEX('Disaggregation Records'!$H$155:$H$385,MATCH(RIGHT(Q895,255),RIGHT('Disaggregation Records'!$D$155:$D$385,255),0))),"")</f>
        <v/>
      </c>
      <c r="U895" s="189">
        <f t="shared" ref="U895" si="3765">U893+1</f>
        <v>1549</v>
      </c>
      <c r="V895" s="189" t="str">
        <f t="array" ref="V895">IFERROR(IF(INDEX('Disaggregation Records'!$I$155:$I$385,MATCH(RIGHT(Q895,255),RIGHT('Disaggregation Records'!$D$155:$D$385,255),0))=0,"",INDEX('Disaggregation Records'!$I$155:$I$385,MATCH(RIGHT(Q895,255),RIGHT('Disaggregation Records'!$D$155:$D$385,255),0))),"")</f>
        <v/>
      </c>
      <c r="W895" s="189" t="str">
        <f>IFERROR(INDEX('Reference Records'!L$59:L$121,MATCH(LEFT(C895,255),'Reference Records'!E$59:E$121,0)),"")</f>
        <v>TCS-1b⁽ᴹ⁾ Percentage of adults (15 and above) on ART among all adults living with HIV at the end of the reporting period</v>
      </c>
    </row>
    <row r="896" spans="1:23" s="189" customFormat="1" ht="40.200000000000003" customHeight="1" x14ac:dyDescent="0.3">
      <c r="A896" s="678"/>
      <c r="B896" s="675"/>
      <c r="C896" s="667"/>
      <c r="D896" s="677"/>
      <c r="E896" s="677"/>
      <c r="F896" s="202"/>
      <c r="G896" s="669"/>
      <c r="H896" s="671"/>
      <c r="I896" s="673"/>
      <c r="J896" s="652"/>
      <c r="K896" s="667"/>
      <c r="L896" s="667"/>
      <c r="M896" s="652"/>
      <c r="N896" s="652"/>
    </row>
    <row r="897" spans="1:23" s="189" customFormat="1" ht="40.200000000000003" customHeight="1" x14ac:dyDescent="0.3">
      <c r="A897" s="678" t="str">
        <f t="shared" ref="A897" ca="1" si="3766">INDIRECT("'update Helper'!C"&amp;U897)</f>
        <v>a163p000002zQbbAAE</v>
      </c>
      <c r="B897" s="674">
        <v>7</v>
      </c>
      <c r="C897" s="666" t="str">
        <f>VLOOKUP(B897,'Coverage Indicators - Section D'!$A$9:$AU$70,47,FALSE)</f>
        <v>TCS-1b⁽ᴹ⁾ Pourcentage d'adultes (15 ans et plus) sous TARV parmi tous les adultes vivant avec le VIH à la fin de la période de rapportage</v>
      </c>
      <c r="D897" s="676" t="str">
        <f t="shared" ref="D897" si="3767">R897</f>
        <v/>
      </c>
      <c r="E897" s="676" t="str">
        <f t="shared" ref="E897" si="3768">S897</f>
        <v/>
      </c>
      <c r="F897" s="194"/>
      <c r="G897" s="668" t="str">
        <f t="shared" ref="G897" ca="1" si="3769">IF(OR(INDIRECT("'update Helper'!E"&amp;U897)=0,F897&lt;&gt;0,F898&lt;&gt;0),IF(IFERROR((F897/F898),"")="","",(F897/F898)),INDIRECT("'update Helper'!E"&amp;U897)/100)</f>
        <v/>
      </c>
      <c r="H897" s="670"/>
      <c r="I897" s="672"/>
      <c r="J897" s="651"/>
      <c r="K897" s="666" t="str">
        <f t="shared" ref="K897" si="3770">W897</f>
        <v>TCS-1b⁽ᴹ⁾ Percentage of adults (15 and above) on ART among all adults living with HIV at the end of the reporting period</v>
      </c>
      <c r="L897" s="666" t="str">
        <f t="shared" ref="L897" si="3771">V897</f>
        <v/>
      </c>
      <c r="M897" s="651"/>
      <c r="N897" s="651"/>
      <c r="P897" s="189">
        <f t="shared" ref="P897" si="3772">IF(AND(EXACT(C897,C895),C895&lt;&gt;0),P895+1,0)</f>
        <v>18</v>
      </c>
      <c r="Q897" s="189" t="str">
        <f t="shared" ref="Q897" si="3773">IF(C897&lt;&gt;"",C897&amp;"-"&amp;P897,"")</f>
        <v>TCS-1b⁽ᴹ⁾ Pourcentage d'adultes (15 ans et plus) sous TARV parmi tous les adultes vivant avec le VIH à la fin de la période de rapportage-18</v>
      </c>
      <c r="R897" s="189" t="str">
        <f t="array" ref="R897">IFERROR(IF(INDEX('Disaggregation Records'!$E$155:$E$385,MATCH(RIGHT(Q897,255),RIGHT('Disaggregation Records'!$D$155:$D$385,255),0))=0,"",INDEX('Disaggregation Records'!$E$155:$E$385,MATCH(RIGHT(Q897,255),RIGHT('Disaggregation Records'!$D$155:$D$385,255),0))),"")</f>
        <v/>
      </c>
      <c r="S897" s="189" t="str">
        <f t="array" ref="S897">IFERROR(IF(INDEX('Disaggregation Records'!$F$155:$F$385,MATCH(RIGHT(Q897,255),RIGHT('Disaggregation Records'!$D$155:$D$385,255),0))=0,"",INDEX('Disaggregation Records'!$F$155:$F$385,MATCH(RIGHT(Q897,255),RIGHT('Disaggregation Records'!$D$155:$D$385,255),0))),"")</f>
        <v/>
      </c>
      <c r="T897" s="189" t="str">
        <f t="array" ref="T897">IFERROR(IF(INDEX('Disaggregation Records'!$H$155:$H$385,MATCH(RIGHT(Q897,255),RIGHT('Disaggregation Records'!$D$155:$D$385,255),0))=0,"",INDEX('Disaggregation Records'!$H$155:$H$385,MATCH(RIGHT(Q897,255),RIGHT('Disaggregation Records'!$D$155:$D$385,255),0))),"")</f>
        <v/>
      </c>
      <c r="U897" s="189">
        <f t="shared" ref="U897" si="3774">U895+1</f>
        <v>1550</v>
      </c>
      <c r="V897" s="189" t="str">
        <f t="array" ref="V897">IFERROR(IF(INDEX('Disaggregation Records'!$I$155:$I$385,MATCH(RIGHT(Q897,255),RIGHT('Disaggregation Records'!$D$155:$D$385,255),0))=0,"",INDEX('Disaggregation Records'!$I$155:$I$385,MATCH(RIGHT(Q897,255),RIGHT('Disaggregation Records'!$D$155:$D$385,255),0))),"")</f>
        <v/>
      </c>
      <c r="W897" s="189" t="str">
        <f>IFERROR(INDEX('Reference Records'!L$59:L$121,MATCH(LEFT(C897,255),'Reference Records'!E$59:E$121,0)),"")</f>
        <v>TCS-1b⁽ᴹ⁾ Percentage of adults (15 and above) on ART among all adults living with HIV at the end of the reporting period</v>
      </c>
    </row>
    <row r="898" spans="1:23" s="189" customFormat="1" ht="40.200000000000003" customHeight="1" x14ac:dyDescent="0.3">
      <c r="A898" s="678"/>
      <c r="B898" s="675"/>
      <c r="C898" s="667"/>
      <c r="D898" s="677"/>
      <c r="E898" s="677"/>
      <c r="F898" s="202"/>
      <c r="G898" s="669"/>
      <c r="H898" s="671"/>
      <c r="I898" s="673"/>
      <c r="J898" s="652"/>
      <c r="K898" s="667"/>
      <c r="L898" s="667"/>
      <c r="M898" s="652"/>
      <c r="N898" s="652"/>
    </row>
    <row r="899" spans="1:23" s="189" customFormat="1" ht="40.200000000000003" customHeight="1" x14ac:dyDescent="0.3">
      <c r="A899" s="678" t="str">
        <f t="shared" ref="A899" ca="1" si="3775">INDIRECT("'update Helper'!C"&amp;U899)</f>
        <v>a163p000002zQbcAAE</v>
      </c>
      <c r="B899" s="674">
        <v>7</v>
      </c>
      <c r="C899" s="666" t="str">
        <f>VLOOKUP(B899,'Coverage Indicators - Section D'!$A$9:$AU$70,47,FALSE)</f>
        <v>TCS-1b⁽ᴹ⁾ Pourcentage d'adultes (15 ans et plus) sous TARV parmi tous les adultes vivant avec le VIH à la fin de la période de rapportage</v>
      </c>
      <c r="D899" s="676" t="str">
        <f t="shared" ref="D899" si="3776">R899</f>
        <v/>
      </c>
      <c r="E899" s="676" t="str">
        <f t="shared" ref="E899" si="3777">S899</f>
        <v/>
      </c>
      <c r="F899" s="194"/>
      <c r="G899" s="668" t="str">
        <f t="shared" ref="G899" ca="1" si="3778">IF(OR(INDIRECT("'update Helper'!E"&amp;U899)=0,F899&lt;&gt;0,F900&lt;&gt;0),IF(IFERROR((F899/F900),"")="","",(F899/F900)),INDIRECT("'update Helper'!E"&amp;U899)/100)</f>
        <v/>
      </c>
      <c r="H899" s="670"/>
      <c r="I899" s="672"/>
      <c r="J899" s="651"/>
      <c r="K899" s="666" t="str">
        <f t="shared" ref="K899" si="3779">W899</f>
        <v>TCS-1b⁽ᴹ⁾ Percentage of adults (15 and above) on ART among all adults living with HIV at the end of the reporting period</v>
      </c>
      <c r="L899" s="666" t="str">
        <f t="shared" ref="L899" si="3780">V899</f>
        <v/>
      </c>
      <c r="M899" s="651"/>
      <c r="N899" s="651"/>
      <c r="P899" s="189">
        <f t="shared" ref="P899" si="3781">IF(AND(EXACT(C899,C897),C897&lt;&gt;0),P897+1,0)</f>
        <v>19</v>
      </c>
      <c r="Q899" s="189" t="str">
        <f t="shared" ref="Q899" si="3782">IF(C899&lt;&gt;"",C899&amp;"-"&amp;P899,"")</f>
        <v>TCS-1b⁽ᴹ⁾ Pourcentage d'adultes (15 ans et plus) sous TARV parmi tous les adultes vivant avec le VIH à la fin de la période de rapportage-19</v>
      </c>
      <c r="R899" s="189" t="str">
        <f t="array" ref="R899">IFERROR(IF(INDEX('Disaggregation Records'!$E$155:$E$385,MATCH(RIGHT(Q899,255),RIGHT('Disaggregation Records'!$D$155:$D$385,255),0))=0,"",INDEX('Disaggregation Records'!$E$155:$E$385,MATCH(RIGHT(Q899,255),RIGHT('Disaggregation Records'!$D$155:$D$385,255),0))),"")</f>
        <v/>
      </c>
      <c r="S899" s="189" t="str">
        <f t="array" ref="S899">IFERROR(IF(INDEX('Disaggregation Records'!$F$155:$F$385,MATCH(RIGHT(Q899,255),RIGHT('Disaggregation Records'!$D$155:$D$385,255),0))=0,"",INDEX('Disaggregation Records'!$F$155:$F$385,MATCH(RIGHT(Q899,255),RIGHT('Disaggregation Records'!$D$155:$D$385,255),0))),"")</f>
        <v/>
      </c>
      <c r="T899" s="189" t="str">
        <f t="array" ref="T899">IFERROR(IF(INDEX('Disaggregation Records'!$H$155:$H$385,MATCH(RIGHT(Q899,255),RIGHT('Disaggregation Records'!$D$155:$D$385,255),0))=0,"",INDEX('Disaggregation Records'!$H$155:$H$385,MATCH(RIGHT(Q899,255),RIGHT('Disaggregation Records'!$D$155:$D$385,255),0))),"")</f>
        <v/>
      </c>
      <c r="U899" s="189">
        <f t="shared" ref="U899" si="3783">U897+1</f>
        <v>1551</v>
      </c>
      <c r="V899" s="189" t="str">
        <f t="array" ref="V899">IFERROR(IF(INDEX('Disaggregation Records'!$I$155:$I$385,MATCH(RIGHT(Q899,255),RIGHT('Disaggregation Records'!$D$155:$D$385,255),0))=0,"",INDEX('Disaggregation Records'!$I$155:$I$385,MATCH(RIGHT(Q899,255),RIGHT('Disaggregation Records'!$D$155:$D$385,255),0))),"")</f>
        <v/>
      </c>
      <c r="W899" s="189" t="str">
        <f>IFERROR(INDEX('Reference Records'!L$59:L$121,MATCH(LEFT(C899,255),'Reference Records'!E$59:E$121,0)),"")</f>
        <v>TCS-1b⁽ᴹ⁾ Percentage of adults (15 and above) on ART among all adults living with HIV at the end of the reporting period</v>
      </c>
    </row>
    <row r="900" spans="1:23" s="189" customFormat="1" ht="40.200000000000003" customHeight="1" x14ac:dyDescent="0.3">
      <c r="A900" s="678"/>
      <c r="B900" s="675"/>
      <c r="C900" s="667"/>
      <c r="D900" s="677"/>
      <c r="E900" s="677"/>
      <c r="F900" s="202"/>
      <c r="G900" s="669"/>
      <c r="H900" s="671"/>
      <c r="I900" s="673"/>
      <c r="J900" s="652"/>
      <c r="K900" s="667"/>
      <c r="L900" s="667"/>
      <c r="M900" s="652"/>
      <c r="N900" s="652"/>
    </row>
    <row r="901" spans="1:23" s="189" customFormat="1" ht="40.200000000000003" customHeight="1" x14ac:dyDescent="0.3">
      <c r="A901" s="678" t="str">
        <f t="shared" ref="A901" ca="1" si="3784">INDIRECT("'update Helper'!C"&amp;U901)</f>
        <v>a163p000002zQbdAAE</v>
      </c>
      <c r="B901" s="674">
        <v>8</v>
      </c>
      <c r="C901" s="666" t="str">
        <f>VLOOKUP(B901,'Coverage Indicators - Section D'!$A$9:$AU$70,47,FALSE)</f>
        <v>TCS-1c⁽ᴹ⁾ Pourcentage d'enfants (de moins de 15 ans) sous TARV parmi tous les enfants vivant avec le VIH à la fin de la période de rapportage</v>
      </c>
      <c r="D901" s="676" t="str">
        <f t="shared" ref="D901" si="3785">R901</f>
        <v>Durée du traitement</v>
      </c>
      <c r="E901" s="676" t="str">
        <f t="shared" ref="E901" si="3786">S901</f>
        <v>Ayant récemment commencé un traitement antirétroviral</v>
      </c>
      <c r="F901" s="194"/>
      <c r="G901" s="668" t="str">
        <f t="shared" ref="G901" ca="1" si="3787">IF(OR(INDIRECT("'update Helper'!E"&amp;U901)=0,F901&lt;&gt;0,F902&lt;&gt;0),IF(IFERROR((F901/F902),"")="","",(F901/F902)),INDIRECT("'update Helper'!E"&amp;U901)/100)</f>
        <v/>
      </c>
      <c r="H901" s="670"/>
      <c r="I901" s="672"/>
      <c r="J901" s="651"/>
      <c r="K901" s="666" t="str">
        <f t="shared" ref="K901" si="3788">W901</f>
        <v>TCS-1c⁽ᴹ⁾ Percentage of children (under 15) on ART among all children living with HIV at the end of the reporting period</v>
      </c>
      <c r="L901" s="666" t="str">
        <f t="shared" ref="L901" si="3789">V901</f>
        <v>Duration of treatment</v>
      </c>
      <c r="M901" s="651"/>
      <c r="N901" s="651"/>
      <c r="P901" s="189">
        <f t="shared" ref="P901" si="3790">IF(AND(EXACT(C901,C899),C899&lt;&gt;0),P899+1,0)</f>
        <v>0</v>
      </c>
      <c r="Q901" s="189" t="str">
        <f t="shared" ref="Q901" si="3791">IF(C901&lt;&gt;"",C901&amp;"-"&amp;P901,"")</f>
        <v>TCS-1c⁽ᴹ⁾ Pourcentage d'enfants (de moins de 15 ans) sous TARV parmi tous les enfants vivant avec le VIH à la fin de la période de rapportage-0</v>
      </c>
      <c r="R901" s="189" t="str">
        <f t="array" ref="R901">IFERROR(IF(INDEX('Disaggregation Records'!$E$155:$E$385,MATCH(RIGHT(Q901,255),RIGHT('Disaggregation Records'!$D$155:$D$385,255),0))=0,"",INDEX('Disaggregation Records'!$E$155:$E$385,MATCH(RIGHT(Q901,255),RIGHT('Disaggregation Records'!$D$155:$D$385,255),0))),"")</f>
        <v>Durée du traitement</v>
      </c>
      <c r="S901" s="189" t="str">
        <f t="array" ref="S901">IFERROR(IF(INDEX('Disaggregation Records'!$F$155:$F$385,MATCH(RIGHT(Q901,255),RIGHT('Disaggregation Records'!$D$155:$D$385,255),0))=0,"",INDEX('Disaggregation Records'!$F$155:$F$385,MATCH(RIGHT(Q901,255),RIGHT('Disaggregation Records'!$D$155:$D$385,255),0))),"")</f>
        <v>Ayant récemment commencé un traitement antirétroviral</v>
      </c>
      <c r="T901" s="189" t="str">
        <f t="array" ref="T901">IFERROR(IF(INDEX('Disaggregation Records'!$H$155:$H$385,MATCH(RIGHT(Q901,255),RIGHT('Disaggregation Records'!$D$155:$D$385,255),0))=0,"",INDEX('Disaggregation Records'!$H$155:$H$385,MATCH(RIGHT(Q901,255),RIGHT('Disaggregation Records'!$D$155:$D$385,255),0))),"")</f>
        <v>IDR-00906</v>
      </c>
      <c r="U901" s="189">
        <f t="shared" ref="U901" si="3792">U899+1</f>
        <v>1552</v>
      </c>
      <c r="V901" s="189" t="str">
        <f t="array" ref="V901">IFERROR(IF(INDEX('Disaggregation Records'!$I$155:$I$385,MATCH(RIGHT(Q901,255),RIGHT('Disaggregation Records'!$D$155:$D$385,255),0))=0,"",INDEX('Disaggregation Records'!$I$155:$I$385,MATCH(RIGHT(Q901,255),RIGHT('Disaggregation Records'!$D$155:$D$385,255),0))),"")</f>
        <v>Duration of treatment</v>
      </c>
      <c r="W901" s="189" t="str">
        <f>IFERROR(INDEX('Reference Records'!L$59:L$121,MATCH(LEFT(C901,255),'Reference Records'!E$59:E$121,0)),"")</f>
        <v>TCS-1c⁽ᴹ⁾ Percentage of children (under 15) on ART among all children living with HIV at the end of the reporting period</v>
      </c>
    </row>
    <row r="902" spans="1:23" s="189" customFormat="1" ht="40.200000000000003" customHeight="1" x14ac:dyDescent="0.3">
      <c r="A902" s="678"/>
      <c r="B902" s="675"/>
      <c r="C902" s="667"/>
      <c r="D902" s="677"/>
      <c r="E902" s="677"/>
      <c r="F902" s="202"/>
      <c r="G902" s="669"/>
      <c r="H902" s="671"/>
      <c r="I902" s="673"/>
      <c r="J902" s="652"/>
      <c r="K902" s="667"/>
      <c r="L902" s="667"/>
      <c r="M902" s="652"/>
      <c r="N902" s="652"/>
    </row>
    <row r="903" spans="1:23" s="189" customFormat="1" ht="40.200000000000003" customHeight="1" x14ac:dyDescent="0.3">
      <c r="A903" s="678" t="str">
        <f t="shared" ref="A903" ca="1" si="3793">INDIRECT("'update Helper'!C"&amp;U903)</f>
        <v>a163p000002zQbeAAE</v>
      </c>
      <c r="B903" s="674">
        <v>8</v>
      </c>
      <c r="C903" s="666" t="str">
        <f>VLOOKUP(B903,'Coverage Indicators - Section D'!$A$9:$AU$70,47,FALSE)</f>
        <v>TCS-1c⁽ᴹ⁾ Pourcentage d'enfants (de moins de 15 ans) sous TARV parmi tous les enfants vivant avec le VIH à la fin de la période de rapportage</v>
      </c>
      <c r="D903" s="676" t="str">
        <f t="shared" ref="D903" si="3794">R903</f>
        <v>Sexe</v>
      </c>
      <c r="E903" s="676" t="str">
        <f t="shared" ref="E903" si="3795">S903</f>
        <v>Homme</v>
      </c>
      <c r="F903" s="194"/>
      <c r="G903" s="668" t="str">
        <f t="shared" ref="G903" ca="1" si="3796">IF(OR(INDIRECT("'update Helper'!E"&amp;U903)=0,F903&lt;&gt;0,F904&lt;&gt;0),IF(IFERROR((F903/F904),"")="","",(F903/F904)),INDIRECT("'update Helper'!E"&amp;U903)/100)</f>
        <v/>
      </c>
      <c r="H903" s="670"/>
      <c r="I903" s="672"/>
      <c r="J903" s="651"/>
      <c r="K903" s="666" t="str">
        <f t="shared" ref="K903" si="3797">W903</f>
        <v>TCS-1c⁽ᴹ⁾ Percentage of children (under 15) on ART among all children living with HIV at the end of the reporting period</v>
      </c>
      <c r="L903" s="666" t="str">
        <f t="shared" ref="L903" si="3798">V903</f>
        <v>Gender</v>
      </c>
      <c r="M903" s="651"/>
      <c r="N903" s="651"/>
      <c r="P903" s="189">
        <f t="shared" ref="P903" si="3799">IF(AND(EXACT(C903,C901),C901&lt;&gt;0),P901+1,0)</f>
        <v>1</v>
      </c>
      <c r="Q903" s="189" t="str">
        <f t="shared" ref="Q903" si="3800">IF(C903&lt;&gt;"",C903&amp;"-"&amp;P903,"")</f>
        <v>TCS-1c⁽ᴹ⁾ Pourcentage d'enfants (de moins de 15 ans) sous TARV parmi tous les enfants vivant avec le VIH à la fin de la période de rapportage-1</v>
      </c>
      <c r="R903" s="189" t="str">
        <f t="array" ref="R903">IFERROR(IF(INDEX('Disaggregation Records'!$E$155:$E$385,MATCH(RIGHT(Q903,255),RIGHT('Disaggregation Records'!$D$155:$D$385,255),0))=0,"",INDEX('Disaggregation Records'!$E$155:$E$385,MATCH(RIGHT(Q903,255),RIGHT('Disaggregation Records'!$D$155:$D$385,255),0))),"")</f>
        <v>Sexe</v>
      </c>
      <c r="S903" s="189" t="str">
        <f t="array" ref="S903">IFERROR(IF(INDEX('Disaggregation Records'!$F$155:$F$385,MATCH(RIGHT(Q903,255),RIGHT('Disaggregation Records'!$D$155:$D$385,255),0))=0,"",INDEX('Disaggregation Records'!$F$155:$F$385,MATCH(RIGHT(Q903,255),RIGHT('Disaggregation Records'!$D$155:$D$385,255),0))),"")</f>
        <v>Homme</v>
      </c>
      <c r="T903" s="189" t="str">
        <f t="array" ref="T903">IFERROR(IF(INDEX('Disaggregation Records'!$H$155:$H$385,MATCH(RIGHT(Q903,255),RIGHT('Disaggregation Records'!$D$155:$D$385,255),0))=0,"",INDEX('Disaggregation Records'!$H$155:$H$385,MATCH(RIGHT(Q903,255),RIGHT('Disaggregation Records'!$D$155:$D$385,255),0))),"")</f>
        <v>IDR-00850</v>
      </c>
      <c r="U903" s="189">
        <f t="shared" ref="U903" si="3801">U901+1</f>
        <v>1553</v>
      </c>
      <c r="V903" s="189" t="str">
        <f t="array" ref="V903">IFERROR(IF(INDEX('Disaggregation Records'!$I$155:$I$385,MATCH(RIGHT(Q903,255),RIGHT('Disaggregation Records'!$D$155:$D$385,255),0))=0,"",INDEX('Disaggregation Records'!$I$155:$I$385,MATCH(RIGHT(Q903,255),RIGHT('Disaggregation Records'!$D$155:$D$385,255),0))),"")</f>
        <v>Gender</v>
      </c>
      <c r="W903" s="189" t="str">
        <f>IFERROR(INDEX('Reference Records'!L$59:L$121,MATCH(LEFT(C903,255),'Reference Records'!E$59:E$121,0)),"")</f>
        <v>TCS-1c⁽ᴹ⁾ Percentage of children (under 15) on ART among all children living with HIV at the end of the reporting period</v>
      </c>
    </row>
    <row r="904" spans="1:23" s="189" customFormat="1" ht="40.200000000000003" customHeight="1" x14ac:dyDescent="0.3">
      <c r="A904" s="678"/>
      <c r="B904" s="675"/>
      <c r="C904" s="667"/>
      <c r="D904" s="677"/>
      <c r="E904" s="677"/>
      <c r="F904" s="202"/>
      <c r="G904" s="669"/>
      <c r="H904" s="671"/>
      <c r="I904" s="673"/>
      <c r="J904" s="652"/>
      <c r="K904" s="667"/>
      <c r="L904" s="667"/>
      <c r="M904" s="652"/>
      <c r="N904" s="652"/>
    </row>
    <row r="905" spans="1:23" s="189" customFormat="1" ht="40.200000000000003" customHeight="1" x14ac:dyDescent="0.3">
      <c r="A905" s="678" t="str">
        <f t="shared" ref="A905" ca="1" si="3802">INDIRECT("'update Helper'!C"&amp;U905)</f>
        <v>a163p000002zQbfAAE</v>
      </c>
      <c r="B905" s="674">
        <v>8</v>
      </c>
      <c r="C905" s="666" t="str">
        <f>VLOOKUP(B905,'Coverage Indicators - Section D'!$A$9:$AU$70,47,FALSE)</f>
        <v>TCS-1c⁽ᴹ⁾ Pourcentage d'enfants (de moins de 15 ans) sous TARV parmi tous les enfants vivant avec le VIH à la fin de la période de rapportage</v>
      </c>
      <c r="D905" s="676" t="str">
        <f t="shared" ref="D905" si="3803">R905</f>
        <v>Sexe</v>
      </c>
      <c r="E905" s="676" t="str">
        <f t="shared" ref="E905" si="3804">S905</f>
        <v>Femme</v>
      </c>
      <c r="F905" s="194"/>
      <c r="G905" s="668" t="str">
        <f t="shared" ref="G905" ca="1" si="3805">IF(OR(INDIRECT("'update Helper'!E"&amp;U905)=0,F905&lt;&gt;0,F906&lt;&gt;0),IF(IFERROR((F905/F906),"")="","",(F905/F906)),INDIRECT("'update Helper'!E"&amp;U905)/100)</f>
        <v/>
      </c>
      <c r="H905" s="670"/>
      <c r="I905" s="672"/>
      <c r="J905" s="651"/>
      <c r="K905" s="666" t="str">
        <f t="shared" ref="K905" si="3806">W905</f>
        <v>TCS-1c⁽ᴹ⁾ Percentage of children (under 15) on ART among all children living with HIV at the end of the reporting period</v>
      </c>
      <c r="L905" s="666" t="str">
        <f t="shared" ref="L905" si="3807">V905</f>
        <v>Gender</v>
      </c>
      <c r="M905" s="651"/>
      <c r="N905" s="651"/>
      <c r="P905" s="189">
        <f t="shared" ref="P905" si="3808">IF(AND(EXACT(C905,C903),C903&lt;&gt;0),P903+1,0)</f>
        <v>2</v>
      </c>
      <c r="Q905" s="189" t="str">
        <f t="shared" ref="Q905" si="3809">IF(C905&lt;&gt;"",C905&amp;"-"&amp;P905,"")</f>
        <v>TCS-1c⁽ᴹ⁾ Pourcentage d'enfants (de moins de 15 ans) sous TARV parmi tous les enfants vivant avec le VIH à la fin de la période de rapportage-2</v>
      </c>
      <c r="R905" s="189" t="str">
        <f t="array" ref="R905">IFERROR(IF(INDEX('Disaggregation Records'!$E$155:$E$385,MATCH(RIGHT(Q905,255),RIGHT('Disaggregation Records'!$D$155:$D$385,255),0))=0,"",INDEX('Disaggregation Records'!$E$155:$E$385,MATCH(RIGHT(Q905,255),RIGHT('Disaggregation Records'!$D$155:$D$385,255),0))),"")</f>
        <v>Sexe</v>
      </c>
      <c r="S905" s="189" t="str">
        <f t="array" ref="S905">IFERROR(IF(INDEX('Disaggregation Records'!$F$155:$F$385,MATCH(RIGHT(Q905,255),RIGHT('Disaggregation Records'!$D$155:$D$385,255),0))=0,"",INDEX('Disaggregation Records'!$F$155:$F$385,MATCH(RIGHT(Q905,255),RIGHT('Disaggregation Records'!$D$155:$D$385,255),0))),"")</f>
        <v>Femme</v>
      </c>
      <c r="T905" s="189" t="str">
        <f t="array" ref="T905">IFERROR(IF(INDEX('Disaggregation Records'!$H$155:$H$385,MATCH(RIGHT(Q905,255),RIGHT('Disaggregation Records'!$D$155:$D$385,255),0))=0,"",INDEX('Disaggregation Records'!$H$155:$H$385,MATCH(RIGHT(Q905,255),RIGHT('Disaggregation Records'!$D$155:$D$385,255),0))),"")</f>
        <v>IDR-00851</v>
      </c>
      <c r="U905" s="189">
        <f t="shared" ref="U905" si="3810">U903+1</f>
        <v>1554</v>
      </c>
      <c r="V905" s="189" t="str">
        <f t="array" ref="V905">IFERROR(IF(INDEX('Disaggregation Records'!$I$155:$I$385,MATCH(RIGHT(Q905,255),RIGHT('Disaggregation Records'!$D$155:$D$385,255),0))=0,"",INDEX('Disaggregation Records'!$I$155:$I$385,MATCH(RIGHT(Q905,255),RIGHT('Disaggregation Records'!$D$155:$D$385,255),0))),"")</f>
        <v>Gender</v>
      </c>
      <c r="W905" s="189" t="str">
        <f>IFERROR(INDEX('Reference Records'!L$59:L$121,MATCH(LEFT(C905,255),'Reference Records'!E$59:E$121,0)),"")</f>
        <v>TCS-1c⁽ᴹ⁾ Percentage of children (under 15) on ART among all children living with HIV at the end of the reporting period</v>
      </c>
    </row>
    <row r="906" spans="1:23" s="189" customFormat="1" ht="40.200000000000003" customHeight="1" x14ac:dyDescent="0.3">
      <c r="A906" s="678"/>
      <c r="B906" s="675"/>
      <c r="C906" s="667"/>
      <c r="D906" s="677"/>
      <c r="E906" s="677"/>
      <c r="F906" s="202"/>
      <c r="G906" s="669"/>
      <c r="H906" s="671"/>
      <c r="I906" s="673"/>
      <c r="J906" s="652"/>
      <c r="K906" s="667"/>
      <c r="L906" s="667"/>
      <c r="M906" s="652"/>
      <c r="N906" s="652"/>
    </row>
    <row r="907" spans="1:23" s="189" customFormat="1" ht="40.200000000000003" customHeight="1" x14ac:dyDescent="0.3">
      <c r="A907" s="678" t="str">
        <f t="shared" ref="A907" ca="1" si="3811">INDIRECT("'update Helper'!C"&amp;U907)</f>
        <v>a163p000002zQbgAAE</v>
      </c>
      <c r="B907" s="674">
        <v>8</v>
      </c>
      <c r="C907" s="666" t="str">
        <f>VLOOKUP(B907,'Coverage Indicators - Section D'!$A$9:$AU$70,47,FALSE)</f>
        <v>TCS-1c⁽ᴹ⁾ Pourcentage d'enfants (de moins de 15 ans) sous TARV parmi tous les enfants vivant avec le VIH à la fin de la période de rapportage</v>
      </c>
      <c r="D907" s="676" t="str">
        <f t="shared" ref="D907" si="3812">R907</f>
        <v/>
      </c>
      <c r="E907" s="676" t="str">
        <f t="shared" ref="E907" si="3813">S907</f>
        <v/>
      </c>
      <c r="F907" s="194"/>
      <c r="G907" s="668" t="str">
        <f t="shared" ref="G907" ca="1" si="3814">IF(OR(INDIRECT("'update Helper'!E"&amp;U907)=0,F907&lt;&gt;0,F908&lt;&gt;0),IF(IFERROR((F907/F908),"")="","",(F907/F908)),INDIRECT("'update Helper'!E"&amp;U907)/100)</f>
        <v/>
      </c>
      <c r="H907" s="670"/>
      <c r="I907" s="672"/>
      <c r="J907" s="651"/>
      <c r="K907" s="666" t="str">
        <f t="shared" ref="K907" si="3815">W907</f>
        <v>TCS-1c⁽ᴹ⁾ Percentage of children (under 15) on ART among all children living with HIV at the end of the reporting period</v>
      </c>
      <c r="L907" s="666" t="str">
        <f t="shared" ref="L907" si="3816">V907</f>
        <v/>
      </c>
      <c r="M907" s="651"/>
      <c r="N907" s="651"/>
      <c r="P907" s="189">
        <f t="shared" ref="P907" si="3817">IF(AND(EXACT(C907,C905),C905&lt;&gt;0),P905+1,0)</f>
        <v>3</v>
      </c>
      <c r="Q907" s="189" t="str">
        <f t="shared" ref="Q907" si="3818">IF(C907&lt;&gt;"",C907&amp;"-"&amp;P907,"")</f>
        <v>TCS-1c⁽ᴹ⁾ Pourcentage d'enfants (de moins de 15 ans) sous TARV parmi tous les enfants vivant avec le VIH à la fin de la période de rapportage-3</v>
      </c>
      <c r="R907" s="189" t="str">
        <f t="array" ref="R907">IFERROR(IF(INDEX('Disaggregation Records'!$E$155:$E$385,MATCH(RIGHT(Q907,255),RIGHT('Disaggregation Records'!$D$155:$D$385,255),0))=0,"",INDEX('Disaggregation Records'!$E$155:$E$385,MATCH(RIGHT(Q907,255),RIGHT('Disaggregation Records'!$D$155:$D$385,255),0))),"")</f>
        <v/>
      </c>
      <c r="S907" s="189" t="str">
        <f t="array" ref="S907">IFERROR(IF(INDEX('Disaggregation Records'!$F$155:$F$385,MATCH(RIGHT(Q907,255),RIGHT('Disaggregation Records'!$D$155:$D$385,255),0))=0,"",INDEX('Disaggregation Records'!$F$155:$F$385,MATCH(RIGHT(Q907,255),RIGHT('Disaggregation Records'!$D$155:$D$385,255),0))),"")</f>
        <v/>
      </c>
      <c r="T907" s="189" t="str">
        <f t="array" ref="T907">IFERROR(IF(INDEX('Disaggregation Records'!$H$155:$H$385,MATCH(RIGHT(Q907,255),RIGHT('Disaggregation Records'!$D$155:$D$385,255),0))=0,"",INDEX('Disaggregation Records'!$H$155:$H$385,MATCH(RIGHT(Q907,255),RIGHT('Disaggregation Records'!$D$155:$D$385,255),0))),"")</f>
        <v/>
      </c>
      <c r="U907" s="189">
        <f t="shared" ref="U907" si="3819">U905+1</f>
        <v>1555</v>
      </c>
      <c r="V907" s="189" t="str">
        <f t="array" ref="V907">IFERROR(IF(INDEX('Disaggregation Records'!$I$155:$I$385,MATCH(RIGHT(Q907,255),RIGHT('Disaggregation Records'!$D$155:$D$385,255),0))=0,"",INDEX('Disaggregation Records'!$I$155:$I$385,MATCH(RIGHT(Q907,255),RIGHT('Disaggregation Records'!$D$155:$D$385,255),0))),"")</f>
        <v/>
      </c>
      <c r="W907" s="189" t="str">
        <f>IFERROR(INDEX('Reference Records'!L$59:L$121,MATCH(LEFT(C907,255),'Reference Records'!E$59:E$121,0)),"")</f>
        <v>TCS-1c⁽ᴹ⁾ Percentage of children (under 15) on ART among all children living with HIV at the end of the reporting period</v>
      </c>
    </row>
    <row r="908" spans="1:23" s="189" customFormat="1" ht="40.200000000000003" customHeight="1" x14ac:dyDescent="0.3">
      <c r="A908" s="678"/>
      <c r="B908" s="675"/>
      <c r="C908" s="667"/>
      <c r="D908" s="677"/>
      <c r="E908" s="677"/>
      <c r="F908" s="202"/>
      <c r="G908" s="669"/>
      <c r="H908" s="671"/>
      <c r="I908" s="673"/>
      <c r="J908" s="652"/>
      <c r="K908" s="667"/>
      <c r="L908" s="667"/>
      <c r="M908" s="652"/>
      <c r="N908" s="652"/>
    </row>
    <row r="909" spans="1:23" s="189" customFormat="1" ht="40.200000000000003" customHeight="1" x14ac:dyDescent="0.3">
      <c r="A909" s="678" t="str">
        <f t="shared" ref="A909" ca="1" si="3820">INDIRECT("'update Helper'!C"&amp;U909)</f>
        <v>a163p000002zQbhAAE</v>
      </c>
      <c r="B909" s="674">
        <v>8</v>
      </c>
      <c r="C909" s="666" t="str">
        <f>VLOOKUP(B909,'Coverage Indicators - Section D'!$A$9:$AU$70,47,FALSE)</f>
        <v>TCS-1c⁽ᴹ⁾ Pourcentage d'enfants (de moins de 15 ans) sous TARV parmi tous les enfants vivant avec le VIH à la fin de la période de rapportage</v>
      </c>
      <c r="D909" s="676" t="str">
        <f t="shared" ref="D909" si="3821">R909</f>
        <v/>
      </c>
      <c r="E909" s="676" t="str">
        <f t="shared" ref="E909" si="3822">S909</f>
        <v/>
      </c>
      <c r="F909" s="194"/>
      <c r="G909" s="668" t="str">
        <f t="shared" ref="G909" ca="1" si="3823">IF(OR(INDIRECT("'update Helper'!E"&amp;U909)=0,F909&lt;&gt;0,F910&lt;&gt;0),IF(IFERROR((F909/F910),"")="","",(F909/F910)),INDIRECT("'update Helper'!E"&amp;U909)/100)</f>
        <v/>
      </c>
      <c r="H909" s="670"/>
      <c r="I909" s="672"/>
      <c r="J909" s="651"/>
      <c r="K909" s="666" t="str">
        <f t="shared" ref="K909" si="3824">W909</f>
        <v>TCS-1c⁽ᴹ⁾ Percentage of children (under 15) on ART among all children living with HIV at the end of the reporting period</v>
      </c>
      <c r="L909" s="666" t="str">
        <f t="shared" ref="L909" si="3825">V909</f>
        <v/>
      </c>
      <c r="M909" s="651"/>
      <c r="N909" s="651"/>
      <c r="P909" s="189">
        <f t="shared" ref="P909" si="3826">IF(AND(EXACT(C909,C907),C907&lt;&gt;0),P907+1,0)</f>
        <v>4</v>
      </c>
      <c r="Q909" s="189" t="str">
        <f t="shared" ref="Q909" si="3827">IF(C909&lt;&gt;"",C909&amp;"-"&amp;P909,"")</f>
        <v>TCS-1c⁽ᴹ⁾ Pourcentage d'enfants (de moins de 15 ans) sous TARV parmi tous les enfants vivant avec le VIH à la fin de la période de rapportage-4</v>
      </c>
      <c r="R909" s="189" t="str">
        <f t="array" ref="R909">IFERROR(IF(INDEX('Disaggregation Records'!$E$155:$E$385,MATCH(RIGHT(Q909,255),RIGHT('Disaggregation Records'!$D$155:$D$385,255),0))=0,"",INDEX('Disaggregation Records'!$E$155:$E$385,MATCH(RIGHT(Q909,255),RIGHT('Disaggregation Records'!$D$155:$D$385,255),0))),"")</f>
        <v/>
      </c>
      <c r="S909" s="189" t="str">
        <f t="array" ref="S909">IFERROR(IF(INDEX('Disaggregation Records'!$F$155:$F$385,MATCH(RIGHT(Q909,255),RIGHT('Disaggregation Records'!$D$155:$D$385,255),0))=0,"",INDEX('Disaggregation Records'!$F$155:$F$385,MATCH(RIGHT(Q909,255),RIGHT('Disaggregation Records'!$D$155:$D$385,255),0))),"")</f>
        <v/>
      </c>
      <c r="T909" s="189" t="str">
        <f t="array" ref="T909">IFERROR(IF(INDEX('Disaggregation Records'!$H$155:$H$385,MATCH(RIGHT(Q909,255),RIGHT('Disaggregation Records'!$D$155:$D$385,255),0))=0,"",INDEX('Disaggregation Records'!$H$155:$H$385,MATCH(RIGHT(Q909,255),RIGHT('Disaggregation Records'!$D$155:$D$385,255),0))),"")</f>
        <v/>
      </c>
      <c r="U909" s="189">
        <f t="shared" ref="U909" si="3828">U907+1</f>
        <v>1556</v>
      </c>
      <c r="V909" s="189" t="str">
        <f t="array" ref="V909">IFERROR(IF(INDEX('Disaggregation Records'!$I$155:$I$385,MATCH(RIGHT(Q909,255),RIGHT('Disaggregation Records'!$D$155:$D$385,255),0))=0,"",INDEX('Disaggregation Records'!$I$155:$I$385,MATCH(RIGHT(Q909,255),RIGHT('Disaggregation Records'!$D$155:$D$385,255),0))),"")</f>
        <v/>
      </c>
      <c r="W909" s="189" t="str">
        <f>IFERROR(INDEX('Reference Records'!L$59:L$121,MATCH(LEFT(C909,255),'Reference Records'!E$59:E$121,0)),"")</f>
        <v>TCS-1c⁽ᴹ⁾ Percentage of children (under 15) on ART among all children living with HIV at the end of the reporting period</v>
      </c>
    </row>
    <row r="910" spans="1:23" s="189" customFormat="1" ht="40.200000000000003" customHeight="1" x14ac:dyDescent="0.3">
      <c r="A910" s="678"/>
      <c r="B910" s="675"/>
      <c r="C910" s="667"/>
      <c r="D910" s="677"/>
      <c r="E910" s="677"/>
      <c r="F910" s="202"/>
      <c r="G910" s="669"/>
      <c r="H910" s="671"/>
      <c r="I910" s="673"/>
      <c r="J910" s="652"/>
      <c r="K910" s="667"/>
      <c r="L910" s="667"/>
      <c r="M910" s="652"/>
      <c r="N910" s="652"/>
    </row>
    <row r="911" spans="1:23" s="189" customFormat="1" ht="40.200000000000003" customHeight="1" x14ac:dyDescent="0.3">
      <c r="A911" s="678" t="str">
        <f t="shared" ref="A911" ca="1" si="3829">INDIRECT("'update Helper'!C"&amp;U911)</f>
        <v>a163p000002zQbiAAE</v>
      </c>
      <c r="B911" s="674">
        <v>8</v>
      </c>
      <c r="C911" s="666" t="str">
        <f>VLOOKUP(B911,'Coverage Indicators - Section D'!$A$9:$AU$70,47,FALSE)</f>
        <v>TCS-1c⁽ᴹ⁾ Pourcentage d'enfants (de moins de 15 ans) sous TARV parmi tous les enfants vivant avec le VIH à la fin de la période de rapportage</v>
      </c>
      <c r="D911" s="676" t="str">
        <f t="shared" ref="D911" si="3830">R911</f>
        <v/>
      </c>
      <c r="E911" s="676" t="str">
        <f t="shared" ref="E911" si="3831">S911</f>
        <v/>
      </c>
      <c r="F911" s="194"/>
      <c r="G911" s="668" t="str">
        <f t="shared" ref="G911" ca="1" si="3832">IF(OR(INDIRECT("'update Helper'!E"&amp;U911)=0,F911&lt;&gt;0,F912&lt;&gt;0),IF(IFERROR((F911/F912),"")="","",(F911/F912)),INDIRECT("'update Helper'!E"&amp;U911)/100)</f>
        <v/>
      </c>
      <c r="H911" s="670"/>
      <c r="I911" s="672"/>
      <c r="J911" s="651"/>
      <c r="K911" s="666" t="str">
        <f t="shared" ref="K911" si="3833">W911</f>
        <v>TCS-1c⁽ᴹ⁾ Percentage of children (under 15) on ART among all children living with HIV at the end of the reporting period</v>
      </c>
      <c r="L911" s="666" t="str">
        <f t="shared" ref="L911" si="3834">V911</f>
        <v/>
      </c>
      <c r="M911" s="651"/>
      <c r="N911" s="651"/>
      <c r="P911" s="189">
        <f t="shared" ref="P911" si="3835">IF(AND(EXACT(C911,C909),C909&lt;&gt;0),P909+1,0)</f>
        <v>5</v>
      </c>
      <c r="Q911" s="189" t="str">
        <f t="shared" ref="Q911" si="3836">IF(C911&lt;&gt;"",C911&amp;"-"&amp;P911,"")</f>
        <v>TCS-1c⁽ᴹ⁾ Pourcentage d'enfants (de moins de 15 ans) sous TARV parmi tous les enfants vivant avec le VIH à la fin de la période de rapportage-5</v>
      </c>
      <c r="R911" s="189" t="str">
        <f t="array" ref="R911">IFERROR(IF(INDEX('Disaggregation Records'!$E$155:$E$385,MATCH(RIGHT(Q911,255),RIGHT('Disaggregation Records'!$D$155:$D$385,255),0))=0,"",INDEX('Disaggregation Records'!$E$155:$E$385,MATCH(RIGHT(Q911,255),RIGHT('Disaggregation Records'!$D$155:$D$385,255),0))),"")</f>
        <v/>
      </c>
      <c r="S911" s="189" t="str">
        <f t="array" ref="S911">IFERROR(IF(INDEX('Disaggregation Records'!$F$155:$F$385,MATCH(RIGHT(Q911,255),RIGHT('Disaggregation Records'!$D$155:$D$385,255),0))=0,"",INDEX('Disaggregation Records'!$F$155:$F$385,MATCH(RIGHT(Q911,255),RIGHT('Disaggregation Records'!$D$155:$D$385,255),0))),"")</f>
        <v/>
      </c>
      <c r="T911" s="189" t="str">
        <f t="array" ref="T911">IFERROR(IF(INDEX('Disaggregation Records'!$H$155:$H$385,MATCH(RIGHT(Q911,255),RIGHT('Disaggregation Records'!$D$155:$D$385,255),0))=0,"",INDEX('Disaggregation Records'!$H$155:$H$385,MATCH(RIGHT(Q911,255),RIGHT('Disaggregation Records'!$D$155:$D$385,255),0))),"")</f>
        <v/>
      </c>
      <c r="U911" s="189">
        <f t="shared" ref="U911" si="3837">U909+1</f>
        <v>1557</v>
      </c>
      <c r="V911" s="189" t="str">
        <f t="array" ref="V911">IFERROR(IF(INDEX('Disaggregation Records'!$I$155:$I$385,MATCH(RIGHT(Q911,255),RIGHT('Disaggregation Records'!$D$155:$D$385,255),0))=0,"",INDEX('Disaggregation Records'!$I$155:$I$385,MATCH(RIGHT(Q911,255),RIGHT('Disaggregation Records'!$D$155:$D$385,255),0))),"")</f>
        <v/>
      </c>
      <c r="W911" s="189" t="str">
        <f>IFERROR(INDEX('Reference Records'!L$59:L$121,MATCH(LEFT(C911,255),'Reference Records'!E$59:E$121,0)),"")</f>
        <v>TCS-1c⁽ᴹ⁾ Percentage of children (under 15) on ART among all children living with HIV at the end of the reporting period</v>
      </c>
    </row>
    <row r="912" spans="1:23" s="189" customFormat="1" ht="40.200000000000003" customHeight="1" x14ac:dyDescent="0.3">
      <c r="A912" s="678"/>
      <c r="B912" s="675"/>
      <c r="C912" s="667"/>
      <c r="D912" s="677"/>
      <c r="E912" s="677"/>
      <c r="F912" s="202"/>
      <c r="G912" s="669"/>
      <c r="H912" s="671"/>
      <c r="I912" s="673"/>
      <c r="J912" s="652"/>
      <c r="K912" s="667"/>
      <c r="L912" s="667"/>
      <c r="M912" s="652"/>
      <c r="N912" s="652"/>
    </row>
    <row r="913" spans="1:23" s="189" customFormat="1" ht="40.200000000000003" customHeight="1" x14ac:dyDescent="0.3">
      <c r="A913" s="678" t="str">
        <f t="shared" ref="A913" ca="1" si="3838">INDIRECT("'update Helper'!C"&amp;U913)</f>
        <v>a163p000002zQbjAAE</v>
      </c>
      <c r="B913" s="674">
        <v>8</v>
      </c>
      <c r="C913" s="666" t="str">
        <f>VLOOKUP(B913,'Coverage Indicators - Section D'!$A$9:$AU$70,47,FALSE)</f>
        <v>TCS-1c⁽ᴹ⁾ Pourcentage d'enfants (de moins de 15 ans) sous TARV parmi tous les enfants vivant avec le VIH à la fin de la période de rapportage</v>
      </c>
      <c r="D913" s="676" t="str">
        <f t="shared" ref="D913" si="3839">R913</f>
        <v/>
      </c>
      <c r="E913" s="676" t="str">
        <f t="shared" ref="E913" si="3840">S913</f>
        <v/>
      </c>
      <c r="F913" s="194"/>
      <c r="G913" s="668" t="str">
        <f t="shared" ref="G913" ca="1" si="3841">IF(OR(INDIRECT("'update Helper'!E"&amp;U913)=0,F913&lt;&gt;0,F914&lt;&gt;0),IF(IFERROR((F913/F914),"")="","",(F913/F914)),INDIRECT("'update Helper'!E"&amp;U913)/100)</f>
        <v/>
      </c>
      <c r="H913" s="670"/>
      <c r="I913" s="672"/>
      <c r="J913" s="651"/>
      <c r="K913" s="666" t="str">
        <f t="shared" ref="K913" si="3842">W913</f>
        <v>TCS-1c⁽ᴹ⁾ Percentage of children (under 15) on ART among all children living with HIV at the end of the reporting period</v>
      </c>
      <c r="L913" s="666" t="str">
        <f t="shared" ref="L913" si="3843">V913</f>
        <v/>
      </c>
      <c r="M913" s="651"/>
      <c r="N913" s="651"/>
      <c r="P913" s="189">
        <f t="shared" ref="P913" si="3844">IF(AND(EXACT(C913,C911),C911&lt;&gt;0),P911+1,0)</f>
        <v>6</v>
      </c>
      <c r="Q913" s="189" t="str">
        <f t="shared" ref="Q913" si="3845">IF(C913&lt;&gt;"",C913&amp;"-"&amp;P913,"")</f>
        <v>TCS-1c⁽ᴹ⁾ Pourcentage d'enfants (de moins de 15 ans) sous TARV parmi tous les enfants vivant avec le VIH à la fin de la période de rapportage-6</v>
      </c>
      <c r="R913" s="189" t="str">
        <f t="array" ref="R913">IFERROR(IF(INDEX('Disaggregation Records'!$E$155:$E$385,MATCH(RIGHT(Q913,255),RIGHT('Disaggregation Records'!$D$155:$D$385,255),0))=0,"",INDEX('Disaggregation Records'!$E$155:$E$385,MATCH(RIGHT(Q913,255),RIGHT('Disaggregation Records'!$D$155:$D$385,255),0))),"")</f>
        <v/>
      </c>
      <c r="S913" s="189" t="str">
        <f t="array" ref="S913">IFERROR(IF(INDEX('Disaggregation Records'!$F$155:$F$385,MATCH(RIGHT(Q913,255),RIGHT('Disaggregation Records'!$D$155:$D$385,255),0))=0,"",INDEX('Disaggregation Records'!$F$155:$F$385,MATCH(RIGHT(Q913,255),RIGHT('Disaggregation Records'!$D$155:$D$385,255),0))),"")</f>
        <v/>
      </c>
      <c r="T913" s="189" t="str">
        <f t="array" ref="T913">IFERROR(IF(INDEX('Disaggregation Records'!$H$155:$H$385,MATCH(RIGHT(Q913,255),RIGHT('Disaggregation Records'!$D$155:$D$385,255),0))=0,"",INDEX('Disaggregation Records'!$H$155:$H$385,MATCH(RIGHT(Q913,255),RIGHT('Disaggregation Records'!$D$155:$D$385,255),0))),"")</f>
        <v/>
      </c>
      <c r="U913" s="189">
        <f t="shared" ref="U913" si="3846">U911+1</f>
        <v>1558</v>
      </c>
      <c r="V913" s="189" t="str">
        <f t="array" ref="V913">IFERROR(IF(INDEX('Disaggregation Records'!$I$155:$I$385,MATCH(RIGHT(Q913,255),RIGHT('Disaggregation Records'!$D$155:$D$385,255),0))=0,"",INDEX('Disaggregation Records'!$I$155:$I$385,MATCH(RIGHT(Q913,255),RIGHT('Disaggregation Records'!$D$155:$D$385,255),0))),"")</f>
        <v/>
      </c>
      <c r="W913" s="189" t="str">
        <f>IFERROR(INDEX('Reference Records'!L$59:L$121,MATCH(LEFT(C913,255),'Reference Records'!E$59:E$121,0)),"")</f>
        <v>TCS-1c⁽ᴹ⁾ Percentage of children (under 15) on ART among all children living with HIV at the end of the reporting period</v>
      </c>
    </row>
    <row r="914" spans="1:23" s="189" customFormat="1" ht="40.200000000000003" customHeight="1" x14ac:dyDescent="0.3">
      <c r="A914" s="678"/>
      <c r="B914" s="675"/>
      <c r="C914" s="667"/>
      <c r="D914" s="677"/>
      <c r="E914" s="677"/>
      <c r="F914" s="202"/>
      <c r="G914" s="669"/>
      <c r="H914" s="671"/>
      <c r="I914" s="673"/>
      <c r="J914" s="652"/>
      <c r="K914" s="667"/>
      <c r="L914" s="667"/>
      <c r="M914" s="652"/>
      <c r="N914" s="652"/>
    </row>
    <row r="915" spans="1:23" s="189" customFormat="1" ht="40.200000000000003" customHeight="1" x14ac:dyDescent="0.3">
      <c r="A915" s="678" t="str">
        <f t="shared" ref="A915" ca="1" si="3847">INDIRECT("'update Helper'!C"&amp;U915)</f>
        <v>a163p000002zQbkAAE</v>
      </c>
      <c r="B915" s="674">
        <v>8</v>
      </c>
      <c r="C915" s="666" t="str">
        <f>VLOOKUP(B915,'Coverage Indicators - Section D'!$A$9:$AU$70,47,FALSE)</f>
        <v>TCS-1c⁽ᴹ⁾ Pourcentage d'enfants (de moins de 15 ans) sous TARV parmi tous les enfants vivant avec le VIH à la fin de la période de rapportage</v>
      </c>
      <c r="D915" s="676" t="str">
        <f t="shared" ref="D915" si="3848">R915</f>
        <v/>
      </c>
      <c r="E915" s="676" t="str">
        <f t="shared" ref="E915" si="3849">S915</f>
        <v/>
      </c>
      <c r="F915" s="194"/>
      <c r="G915" s="668" t="str">
        <f t="shared" ref="G915" ca="1" si="3850">IF(OR(INDIRECT("'update Helper'!E"&amp;U915)=0,F915&lt;&gt;0,F916&lt;&gt;0),IF(IFERROR((F915/F916),"")="","",(F915/F916)),INDIRECT("'update Helper'!E"&amp;U915)/100)</f>
        <v/>
      </c>
      <c r="H915" s="670"/>
      <c r="I915" s="672"/>
      <c r="J915" s="651"/>
      <c r="K915" s="666" t="str">
        <f t="shared" ref="K915" si="3851">W915</f>
        <v>TCS-1c⁽ᴹ⁾ Percentage of children (under 15) on ART among all children living with HIV at the end of the reporting period</v>
      </c>
      <c r="L915" s="666" t="str">
        <f t="shared" ref="L915" si="3852">V915</f>
        <v/>
      </c>
      <c r="M915" s="651"/>
      <c r="N915" s="651"/>
      <c r="P915" s="189">
        <f t="shared" ref="P915" si="3853">IF(AND(EXACT(C915,C913),C913&lt;&gt;0),P913+1,0)</f>
        <v>7</v>
      </c>
      <c r="Q915" s="189" t="str">
        <f t="shared" ref="Q915" si="3854">IF(C915&lt;&gt;"",C915&amp;"-"&amp;P915,"")</f>
        <v>TCS-1c⁽ᴹ⁾ Pourcentage d'enfants (de moins de 15 ans) sous TARV parmi tous les enfants vivant avec le VIH à la fin de la période de rapportage-7</v>
      </c>
      <c r="R915" s="189" t="str">
        <f t="array" ref="R915">IFERROR(IF(INDEX('Disaggregation Records'!$E$155:$E$385,MATCH(RIGHT(Q915,255),RIGHT('Disaggregation Records'!$D$155:$D$385,255),0))=0,"",INDEX('Disaggregation Records'!$E$155:$E$385,MATCH(RIGHT(Q915,255),RIGHT('Disaggregation Records'!$D$155:$D$385,255),0))),"")</f>
        <v/>
      </c>
      <c r="S915" s="189" t="str">
        <f t="array" ref="S915">IFERROR(IF(INDEX('Disaggregation Records'!$F$155:$F$385,MATCH(RIGHT(Q915,255),RIGHT('Disaggregation Records'!$D$155:$D$385,255),0))=0,"",INDEX('Disaggregation Records'!$F$155:$F$385,MATCH(RIGHT(Q915,255),RIGHT('Disaggregation Records'!$D$155:$D$385,255),0))),"")</f>
        <v/>
      </c>
      <c r="T915" s="189" t="str">
        <f t="array" ref="T915">IFERROR(IF(INDEX('Disaggregation Records'!$H$155:$H$385,MATCH(RIGHT(Q915,255),RIGHT('Disaggregation Records'!$D$155:$D$385,255),0))=0,"",INDEX('Disaggregation Records'!$H$155:$H$385,MATCH(RIGHT(Q915,255),RIGHT('Disaggregation Records'!$D$155:$D$385,255),0))),"")</f>
        <v/>
      </c>
      <c r="U915" s="189">
        <f t="shared" ref="U915" si="3855">U913+1</f>
        <v>1559</v>
      </c>
      <c r="V915" s="189" t="str">
        <f t="array" ref="V915">IFERROR(IF(INDEX('Disaggregation Records'!$I$155:$I$385,MATCH(RIGHT(Q915,255),RIGHT('Disaggregation Records'!$D$155:$D$385,255),0))=0,"",INDEX('Disaggregation Records'!$I$155:$I$385,MATCH(RIGHT(Q915,255),RIGHT('Disaggregation Records'!$D$155:$D$385,255),0))),"")</f>
        <v/>
      </c>
      <c r="W915" s="189" t="str">
        <f>IFERROR(INDEX('Reference Records'!L$59:L$121,MATCH(LEFT(C915,255),'Reference Records'!E$59:E$121,0)),"")</f>
        <v>TCS-1c⁽ᴹ⁾ Percentage of children (under 15) on ART among all children living with HIV at the end of the reporting period</v>
      </c>
    </row>
    <row r="916" spans="1:23" s="189" customFormat="1" ht="40.200000000000003" customHeight="1" x14ac:dyDescent="0.3">
      <c r="A916" s="678"/>
      <c r="B916" s="675"/>
      <c r="C916" s="667"/>
      <c r="D916" s="677"/>
      <c r="E916" s="677"/>
      <c r="F916" s="202"/>
      <c r="G916" s="669"/>
      <c r="H916" s="671"/>
      <c r="I916" s="673"/>
      <c r="J916" s="652"/>
      <c r="K916" s="667"/>
      <c r="L916" s="667"/>
      <c r="M916" s="652"/>
      <c r="N916" s="652"/>
    </row>
    <row r="917" spans="1:23" s="189" customFormat="1" ht="40.200000000000003" customHeight="1" x14ac:dyDescent="0.3">
      <c r="A917" s="678" t="str">
        <f t="shared" ref="A917" ca="1" si="3856">INDIRECT("'update Helper'!C"&amp;U917)</f>
        <v>a163p000002zQblAAE</v>
      </c>
      <c r="B917" s="674">
        <v>8</v>
      </c>
      <c r="C917" s="666" t="str">
        <f>VLOOKUP(B917,'Coverage Indicators - Section D'!$A$9:$AU$70,47,FALSE)</f>
        <v>TCS-1c⁽ᴹ⁾ Pourcentage d'enfants (de moins de 15 ans) sous TARV parmi tous les enfants vivant avec le VIH à la fin de la période de rapportage</v>
      </c>
      <c r="D917" s="676" t="str">
        <f t="shared" ref="D917" si="3857">R917</f>
        <v/>
      </c>
      <c r="E917" s="676" t="str">
        <f t="shared" ref="E917" si="3858">S917</f>
        <v/>
      </c>
      <c r="F917" s="194"/>
      <c r="G917" s="668" t="str">
        <f t="shared" ref="G917" ca="1" si="3859">IF(OR(INDIRECT("'update Helper'!E"&amp;U917)=0,F917&lt;&gt;0,F918&lt;&gt;0),IF(IFERROR((F917/F918),"")="","",(F917/F918)),INDIRECT("'update Helper'!E"&amp;U917)/100)</f>
        <v/>
      </c>
      <c r="H917" s="670"/>
      <c r="I917" s="672"/>
      <c r="J917" s="651"/>
      <c r="K917" s="666" t="str">
        <f t="shared" ref="K917" si="3860">W917</f>
        <v>TCS-1c⁽ᴹ⁾ Percentage of children (under 15) on ART among all children living with HIV at the end of the reporting period</v>
      </c>
      <c r="L917" s="666" t="str">
        <f t="shared" ref="L917" si="3861">V917</f>
        <v/>
      </c>
      <c r="M917" s="651"/>
      <c r="N917" s="651"/>
      <c r="P917" s="189">
        <f t="shared" ref="P917" si="3862">IF(AND(EXACT(C917,C915),C915&lt;&gt;0),P915+1,0)</f>
        <v>8</v>
      </c>
      <c r="Q917" s="189" t="str">
        <f t="shared" ref="Q917" si="3863">IF(C917&lt;&gt;"",C917&amp;"-"&amp;P917,"")</f>
        <v>TCS-1c⁽ᴹ⁾ Pourcentage d'enfants (de moins de 15 ans) sous TARV parmi tous les enfants vivant avec le VIH à la fin de la période de rapportage-8</v>
      </c>
      <c r="R917" s="189" t="str">
        <f t="array" ref="R917">IFERROR(IF(INDEX('Disaggregation Records'!$E$155:$E$385,MATCH(RIGHT(Q917,255),RIGHT('Disaggregation Records'!$D$155:$D$385,255),0))=0,"",INDEX('Disaggregation Records'!$E$155:$E$385,MATCH(RIGHT(Q917,255),RIGHT('Disaggregation Records'!$D$155:$D$385,255),0))),"")</f>
        <v/>
      </c>
      <c r="S917" s="189" t="str">
        <f t="array" ref="S917">IFERROR(IF(INDEX('Disaggregation Records'!$F$155:$F$385,MATCH(RIGHT(Q917,255),RIGHT('Disaggregation Records'!$D$155:$D$385,255),0))=0,"",INDEX('Disaggregation Records'!$F$155:$F$385,MATCH(RIGHT(Q917,255),RIGHT('Disaggregation Records'!$D$155:$D$385,255),0))),"")</f>
        <v/>
      </c>
      <c r="T917" s="189" t="str">
        <f t="array" ref="T917">IFERROR(IF(INDEX('Disaggregation Records'!$H$155:$H$385,MATCH(RIGHT(Q917,255),RIGHT('Disaggregation Records'!$D$155:$D$385,255),0))=0,"",INDEX('Disaggregation Records'!$H$155:$H$385,MATCH(RIGHT(Q917,255),RIGHT('Disaggregation Records'!$D$155:$D$385,255),0))),"")</f>
        <v/>
      </c>
      <c r="U917" s="189">
        <f t="shared" ref="U917" si="3864">U915+1</f>
        <v>1560</v>
      </c>
      <c r="V917" s="189" t="str">
        <f t="array" ref="V917">IFERROR(IF(INDEX('Disaggregation Records'!$I$155:$I$385,MATCH(RIGHT(Q917,255),RIGHT('Disaggregation Records'!$D$155:$D$385,255),0))=0,"",INDEX('Disaggregation Records'!$I$155:$I$385,MATCH(RIGHT(Q917,255),RIGHT('Disaggregation Records'!$D$155:$D$385,255),0))),"")</f>
        <v/>
      </c>
      <c r="W917" s="189" t="str">
        <f>IFERROR(INDEX('Reference Records'!L$59:L$121,MATCH(LEFT(C917,255),'Reference Records'!E$59:E$121,0)),"")</f>
        <v>TCS-1c⁽ᴹ⁾ Percentage of children (under 15) on ART among all children living with HIV at the end of the reporting period</v>
      </c>
    </row>
    <row r="918" spans="1:23" s="189" customFormat="1" ht="40.200000000000003" customHeight="1" x14ac:dyDescent="0.3">
      <c r="A918" s="678"/>
      <c r="B918" s="675"/>
      <c r="C918" s="667"/>
      <c r="D918" s="677"/>
      <c r="E918" s="677"/>
      <c r="F918" s="202"/>
      <c r="G918" s="669"/>
      <c r="H918" s="671"/>
      <c r="I918" s="673"/>
      <c r="J918" s="652"/>
      <c r="K918" s="667"/>
      <c r="L918" s="667"/>
      <c r="M918" s="652"/>
      <c r="N918" s="652"/>
    </row>
    <row r="919" spans="1:23" s="189" customFormat="1" ht="40.200000000000003" customHeight="1" x14ac:dyDescent="0.3">
      <c r="A919" s="678" t="str">
        <f t="shared" ref="A919" ca="1" si="3865">INDIRECT("'update Helper'!C"&amp;U919)</f>
        <v>a163p000002zQbmAAE</v>
      </c>
      <c r="B919" s="674">
        <v>8</v>
      </c>
      <c r="C919" s="666" t="str">
        <f>VLOOKUP(B919,'Coverage Indicators - Section D'!$A$9:$AU$70,47,FALSE)</f>
        <v>TCS-1c⁽ᴹ⁾ Pourcentage d'enfants (de moins de 15 ans) sous TARV parmi tous les enfants vivant avec le VIH à la fin de la période de rapportage</v>
      </c>
      <c r="D919" s="676" t="str">
        <f t="shared" ref="D919" si="3866">R919</f>
        <v/>
      </c>
      <c r="E919" s="676" t="str">
        <f t="shared" ref="E919" si="3867">S919</f>
        <v/>
      </c>
      <c r="F919" s="194"/>
      <c r="G919" s="668" t="str">
        <f t="shared" ref="G919" ca="1" si="3868">IF(OR(INDIRECT("'update Helper'!E"&amp;U919)=0,F919&lt;&gt;0,F920&lt;&gt;0),IF(IFERROR((F919/F920),"")="","",(F919/F920)),INDIRECT("'update Helper'!E"&amp;U919)/100)</f>
        <v/>
      </c>
      <c r="H919" s="670"/>
      <c r="I919" s="672"/>
      <c r="J919" s="651"/>
      <c r="K919" s="666" t="str">
        <f t="shared" ref="K919" si="3869">W919</f>
        <v>TCS-1c⁽ᴹ⁾ Percentage of children (under 15) on ART among all children living with HIV at the end of the reporting period</v>
      </c>
      <c r="L919" s="666" t="str">
        <f t="shared" ref="L919" si="3870">V919</f>
        <v/>
      </c>
      <c r="M919" s="651"/>
      <c r="N919" s="651"/>
      <c r="P919" s="189">
        <f t="shared" ref="P919" si="3871">IF(AND(EXACT(C919,C917),C917&lt;&gt;0),P917+1,0)</f>
        <v>9</v>
      </c>
      <c r="Q919" s="189" t="str">
        <f t="shared" ref="Q919" si="3872">IF(C919&lt;&gt;"",C919&amp;"-"&amp;P919,"")</f>
        <v>TCS-1c⁽ᴹ⁾ Pourcentage d'enfants (de moins de 15 ans) sous TARV parmi tous les enfants vivant avec le VIH à la fin de la période de rapportage-9</v>
      </c>
      <c r="R919" s="189" t="str">
        <f t="array" ref="R919">IFERROR(IF(INDEX('Disaggregation Records'!$E$155:$E$385,MATCH(RIGHT(Q919,255),RIGHT('Disaggregation Records'!$D$155:$D$385,255),0))=0,"",INDEX('Disaggregation Records'!$E$155:$E$385,MATCH(RIGHT(Q919,255),RIGHT('Disaggregation Records'!$D$155:$D$385,255),0))),"")</f>
        <v/>
      </c>
      <c r="S919" s="189" t="str">
        <f t="array" ref="S919">IFERROR(IF(INDEX('Disaggregation Records'!$F$155:$F$385,MATCH(RIGHT(Q919,255),RIGHT('Disaggregation Records'!$D$155:$D$385,255),0))=0,"",INDEX('Disaggregation Records'!$F$155:$F$385,MATCH(RIGHT(Q919,255),RIGHT('Disaggregation Records'!$D$155:$D$385,255),0))),"")</f>
        <v/>
      </c>
      <c r="T919" s="189" t="str">
        <f t="array" ref="T919">IFERROR(IF(INDEX('Disaggregation Records'!$H$155:$H$385,MATCH(RIGHT(Q919,255),RIGHT('Disaggregation Records'!$D$155:$D$385,255),0))=0,"",INDEX('Disaggregation Records'!$H$155:$H$385,MATCH(RIGHT(Q919,255),RIGHT('Disaggregation Records'!$D$155:$D$385,255),0))),"")</f>
        <v/>
      </c>
      <c r="U919" s="189">
        <f t="shared" ref="U919" si="3873">U917+1</f>
        <v>1561</v>
      </c>
      <c r="V919" s="189" t="str">
        <f t="array" ref="V919">IFERROR(IF(INDEX('Disaggregation Records'!$I$155:$I$385,MATCH(RIGHT(Q919,255),RIGHT('Disaggregation Records'!$D$155:$D$385,255),0))=0,"",INDEX('Disaggregation Records'!$I$155:$I$385,MATCH(RIGHT(Q919,255),RIGHT('Disaggregation Records'!$D$155:$D$385,255),0))),"")</f>
        <v/>
      </c>
      <c r="W919" s="189" t="str">
        <f>IFERROR(INDEX('Reference Records'!L$59:L$121,MATCH(LEFT(C919,255),'Reference Records'!E$59:E$121,0)),"")</f>
        <v>TCS-1c⁽ᴹ⁾ Percentage of children (under 15) on ART among all children living with HIV at the end of the reporting period</v>
      </c>
    </row>
    <row r="920" spans="1:23" s="189" customFormat="1" ht="40.200000000000003" customHeight="1" x14ac:dyDescent="0.3">
      <c r="A920" s="678"/>
      <c r="B920" s="675"/>
      <c r="C920" s="667"/>
      <c r="D920" s="677"/>
      <c r="E920" s="677"/>
      <c r="F920" s="202"/>
      <c r="G920" s="669"/>
      <c r="H920" s="671"/>
      <c r="I920" s="673"/>
      <c r="J920" s="652"/>
      <c r="K920" s="667"/>
      <c r="L920" s="667"/>
      <c r="M920" s="652"/>
      <c r="N920" s="652"/>
    </row>
    <row r="921" spans="1:23" s="189" customFormat="1" ht="40.200000000000003" customHeight="1" x14ac:dyDescent="0.3">
      <c r="A921" s="678" t="str">
        <f t="shared" ref="A921" ca="1" si="3874">INDIRECT("'update Helper'!C"&amp;U921)</f>
        <v>a163p000002zQbnAAE</v>
      </c>
      <c r="B921" s="674">
        <v>8</v>
      </c>
      <c r="C921" s="666" t="str">
        <f>VLOOKUP(B921,'Coverage Indicators - Section D'!$A$9:$AU$70,47,FALSE)</f>
        <v>TCS-1c⁽ᴹ⁾ Pourcentage d'enfants (de moins de 15 ans) sous TARV parmi tous les enfants vivant avec le VIH à la fin de la période de rapportage</v>
      </c>
      <c r="D921" s="676" t="str">
        <f t="shared" ref="D921" si="3875">R921</f>
        <v/>
      </c>
      <c r="E921" s="676" t="str">
        <f t="shared" ref="E921" si="3876">S921</f>
        <v/>
      </c>
      <c r="F921" s="194"/>
      <c r="G921" s="668" t="str">
        <f t="shared" ref="G921" ca="1" si="3877">IF(OR(INDIRECT("'update Helper'!E"&amp;U921)=0,F921&lt;&gt;0,F922&lt;&gt;0),IF(IFERROR((F921/F922),"")="","",(F921/F922)),INDIRECT("'update Helper'!E"&amp;U921)/100)</f>
        <v/>
      </c>
      <c r="H921" s="670"/>
      <c r="I921" s="672"/>
      <c r="J921" s="651"/>
      <c r="K921" s="666" t="str">
        <f t="shared" ref="K921" si="3878">W921</f>
        <v>TCS-1c⁽ᴹ⁾ Percentage of children (under 15) on ART among all children living with HIV at the end of the reporting period</v>
      </c>
      <c r="L921" s="666" t="str">
        <f t="shared" ref="L921" si="3879">V921</f>
        <v/>
      </c>
      <c r="M921" s="651"/>
      <c r="N921" s="651"/>
      <c r="P921" s="189">
        <f t="shared" ref="P921" si="3880">IF(AND(EXACT(C921,C919),C919&lt;&gt;0),P919+1,0)</f>
        <v>10</v>
      </c>
      <c r="Q921" s="189" t="str">
        <f t="shared" ref="Q921" si="3881">IF(C921&lt;&gt;"",C921&amp;"-"&amp;P921,"")</f>
        <v>TCS-1c⁽ᴹ⁾ Pourcentage d'enfants (de moins de 15 ans) sous TARV parmi tous les enfants vivant avec le VIH à la fin de la période de rapportage-10</v>
      </c>
      <c r="R921" s="189" t="str">
        <f t="array" ref="R921">IFERROR(IF(INDEX('Disaggregation Records'!$E$155:$E$385,MATCH(RIGHT(Q921,255),RIGHT('Disaggregation Records'!$D$155:$D$385,255),0))=0,"",INDEX('Disaggregation Records'!$E$155:$E$385,MATCH(RIGHT(Q921,255),RIGHT('Disaggregation Records'!$D$155:$D$385,255),0))),"")</f>
        <v/>
      </c>
      <c r="S921" s="189" t="str">
        <f t="array" ref="S921">IFERROR(IF(INDEX('Disaggregation Records'!$F$155:$F$385,MATCH(RIGHT(Q921,255),RIGHT('Disaggregation Records'!$D$155:$D$385,255),0))=0,"",INDEX('Disaggregation Records'!$F$155:$F$385,MATCH(RIGHT(Q921,255),RIGHT('Disaggregation Records'!$D$155:$D$385,255),0))),"")</f>
        <v/>
      </c>
      <c r="T921" s="189" t="str">
        <f t="array" ref="T921">IFERROR(IF(INDEX('Disaggregation Records'!$H$155:$H$385,MATCH(RIGHT(Q921,255),RIGHT('Disaggregation Records'!$D$155:$D$385,255),0))=0,"",INDEX('Disaggregation Records'!$H$155:$H$385,MATCH(RIGHT(Q921,255),RIGHT('Disaggregation Records'!$D$155:$D$385,255),0))),"")</f>
        <v/>
      </c>
      <c r="U921" s="189">
        <f t="shared" ref="U921" si="3882">U919+1</f>
        <v>1562</v>
      </c>
      <c r="V921" s="189" t="str">
        <f t="array" ref="V921">IFERROR(IF(INDEX('Disaggregation Records'!$I$155:$I$385,MATCH(RIGHT(Q921,255),RIGHT('Disaggregation Records'!$D$155:$D$385,255),0))=0,"",INDEX('Disaggregation Records'!$I$155:$I$385,MATCH(RIGHT(Q921,255),RIGHT('Disaggregation Records'!$D$155:$D$385,255),0))),"")</f>
        <v/>
      </c>
      <c r="W921" s="189" t="str">
        <f>IFERROR(INDEX('Reference Records'!L$59:L$121,MATCH(LEFT(C921,255),'Reference Records'!E$59:E$121,0)),"")</f>
        <v>TCS-1c⁽ᴹ⁾ Percentage of children (under 15) on ART among all children living with HIV at the end of the reporting period</v>
      </c>
    </row>
    <row r="922" spans="1:23" s="189" customFormat="1" ht="40.200000000000003" customHeight="1" x14ac:dyDescent="0.3">
      <c r="A922" s="678"/>
      <c r="B922" s="675"/>
      <c r="C922" s="667"/>
      <c r="D922" s="677"/>
      <c r="E922" s="677"/>
      <c r="F922" s="202"/>
      <c r="G922" s="669"/>
      <c r="H922" s="671"/>
      <c r="I922" s="673"/>
      <c r="J922" s="652"/>
      <c r="K922" s="667"/>
      <c r="L922" s="667"/>
      <c r="M922" s="652"/>
      <c r="N922" s="652"/>
    </row>
    <row r="923" spans="1:23" s="189" customFormat="1" ht="40.200000000000003" customHeight="1" x14ac:dyDescent="0.3">
      <c r="A923" s="678" t="str">
        <f t="shared" ref="A923" ca="1" si="3883">INDIRECT("'update Helper'!C"&amp;U923)</f>
        <v>a163p000002zQboAAE</v>
      </c>
      <c r="B923" s="674">
        <v>8</v>
      </c>
      <c r="C923" s="666" t="str">
        <f>VLOOKUP(B923,'Coverage Indicators - Section D'!$A$9:$AU$70,47,FALSE)</f>
        <v>TCS-1c⁽ᴹ⁾ Pourcentage d'enfants (de moins de 15 ans) sous TARV parmi tous les enfants vivant avec le VIH à la fin de la période de rapportage</v>
      </c>
      <c r="D923" s="676" t="str">
        <f t="shared" ref="D923" si="3884">R923</f>
        <v/>
      </c>
      <c r="E923" s="676" t="str">
        <f t="shared" ref="E923" si="3885">S923</f>
        <v/>
      </c>
      <c r="F923" s="194"/>
      <c r="G923" s="668" t="str">
        <f t="shared" ref="G923" ca="1" si="3886">IF(OR(INDIRECT("'update Helper'!E"&amp;U923)=0,F923&lt;&gt;0,F924&lt;&gt;0),IF(IFERROR((F923/F924),"")="","",(F923/F924)),INDIRECT("'update Helper'!E"&amp;U923)/100)</f>
        <v/>
      </c>
      <c r="H923" s="670"/>
      <c r="I923" s="672"/>
      <c r="J923" s="651"/>
      <c r="K923" s="666" t="str">
        <f t="shared" ref="K923" si="3887">W923</f>
        <v>TCS-1c⁽ᴹ⁾ Percentage of children (under 15) on ART among all children living with HIV at the end of the reporting period</v>
      </c>
      <c r="L923" s="666" t="str">
        <f t="shared" ref="L923" si="3888">V923</f>
        <v/>
      </c>
      <c r="M923" s="651"/>
      <c r="N923" s="651"/>
      <c r="P923" s="189">
        <f t="shared" ref="P923" si="3889">IF(AND(EXACT(C923,C921),C921&lt;&gt;0),P921+1,0)</f>
        <v>11</v>
      </c>
      <c r="Q923" s="189" t="str">
        <f t="shared" ref="Q923" si="3890">IF(C923&lt;&gt;"",C923&amp;"-"&amp;P923,"")</f>
        <v>TCS-1c⁽ᴹ⁾ Pourcentage d'enfants (de moins de 15 ans) sous TARV parmi tous les enfants vivant avec le VIH à la fin de la période de rapportage-11</v>
      </c>
      <c r="R923" s="189" t="str">
        <f t="array" ref="R923">IFERROR(IF(INDEX('Disaggregation Records'!$E$155:$E$385,MATCH(RIGHT(Q923,255),RIGHT('Disaggregation Records'!$D$155:$D$385,255),0))=0,"",INDEX('Disaggregation Records'!$E$155:$E$385,MATCH(RIGHT(Q923,255),RIGHT('Disaggregation Records'!$D$155:$D$385,255),0))),"")</f>
        <v/>
      </c>
      <c r="S923" s="189" t="str">
        <f t="array" ref="S923">IFERROR(IF(INDEX('Disaggregation Records'!$F$155:$F$385,MATCH(RIGHT(Q923,255),RIGHT('Disaggregation Records'!$D$155:$D$385,255),0))=0,"",INDEX('Disaggregation Records'!$F$155:$F$385,MATCH(RIGHT(Q923,255),RIGHT('Disaggregation Records'!$D$155:$D$385,255),0))),"")</f>
        <v/>
      </c>
      <c r="T923" s="189" t="str">
        <f t="array" ref="T923">IFERROR(IF(INDEX('Disaggregation Records'!$H$155:$H$385,MATCH(RIGHT(Q923,255),RIGHT('Disaggregation Records'!$D$155:$D$385,255),0))=0,"",INDEX('Disaggregation Records'!$H$155:$H$385,MATCH(RIGHT(Q923,255),RIGHT('Disaggregation Records'!$D$155:$D$385,255),0))),"")</f>
        <v/>
      </c>
      <c r="U923" s="189">
        <f t="shared" ref="U923" si="3891">U921+1</f>
        <v>1563</v>
      </c>
      <c r="V923" s="189" t="str">
        <f t="array" ref="V923">IFERROR(IF(INDEX('Disaggregation Records'!$I$155:$I$385,MATCH(RIGHT(Q923,255),RIGHT('Disaggregation Records'!$D$155:$D$385,255),0))=0,"",INDEX('Disaggregation Records'!$I$155:$I$385,MATCH(RIGHT(Q923,255),RIGHT('Disaggregation Records'!$D$155:$D$385,255),0))),"")</f>
        <v/>
      </c>
      <c r="W923" s="189" t="str">
        <f>IFERROR(INDEX('Reference Records'!L$59:L$121,MATCH(LEFT(C923,255),'Reference Records'!E$59:E$121,0)),"")</f>
        <v>TCS-1c⁽ᴹ⁾ Percentage of children (under 15) on ART among all children living with HIV at the end of the reporting period</v>
      </c>
    </row>
    <row r="924" spans="1:23" s="189" customFormat="1" ht="40.200000000000003" customHeight="1" x14ac:dyDescent="0.3">
      <c r="A924" s="678"/>
      <c r="B924" s="675"/>
      <c r="C924" s="667"/>
      <c r="D924" s="677"/>
      <c r="E924" s="677"/>
      <c r="F924" s="202"/>
      <c r="G924" s="669"/>
      <c r="H924" s="671"/>
      <c r="I924" s="673"/>
      <c r="J924" s="652"/>
      <c r="K924" s="667"/>
      <c r="L924" s="667"/>
      <c r="M924" s="652"/>
      <c r="N924" s="652"/>
    </row>
    <row r="925" spans="1:23" s="189" customFormat="1" ht="40.200000000000003" customHeight="1" x14ac:dyDescent="0.3">
      <c r="A925" s="678" t="str">
        <f t="shared" ref="A925" ca="1" si="3892">INDIRECT("'update Helper'!C"&amp;U925)</f>
        <v>a163p000002zQbpAAE</v>
      </c>
      <c r="B925" s="674">
        <v>8</v>
      </c>
      <c r="C925" s="666" t="str">
        <f>VLOOKUP(B925,'Coverage Indicators - Section D'!$A$9:$AU$70,47,FALSE)</f>
        <v>TCS-1c⁽ᴹ⁾ Pourcentage d'enfants (de moins de 15 ans) sous TARV parmi tous les enfants vivant avec le VIH à la fin de la période de rapportage</v>
      </c>
      <c r="D925" s="676" t="str">
        <f t="shared" ref="D925" si="3893">R925</f>
        <v/>
      </c>
      <c r="E925" s="676" t="str">
        <f t="shared" ref="E925" si="3894">S925</f>
        <v/>
      </c>
      <c r="F925" s="194"/>
      <c r="G925" s="668" t="str">
        <f t="shared" ref="G925" ca="1" si="3895">IF(OR(INDIRECT("'update Helper'!E"&amp;U925)=0,F925&lt;&gt;0,F926&lt;&gt;0),IF(IFERROR((F925/F926),"")="","",(F925/F926)),INDIRECT("'update Helper'!E"&amp;U925)/100)</f>
        <v/>
      </c>
      <c r="H925" s="670"/>
      <c r="I925" s="672"/>
      <c r="J925" s="651"/>
      <c r="K925" s="666" t="str">
        <f t="shared" ref="K925" si="3896">W925</f>
        <v>TCS-1c⁽ᴹ⁾ Percentage of children (under 15) on ART among all children living with HIV at the end of the reporting period</v>
      </c>
      <c r="L925" s="666" t="str">
        <f t="shared" ref="L925" si="3897">V925</f>
        <v/>
      </c>
      <c r="M925" s="651"/>
      <c r="N925" s="651"/>
      <c r="P925" s="189">
        <f t="shared" ref="P925" si="3898">IF(AND(EXACT(C925,C923),C923&lt;&gt;0),P923+1,0)</f>
        <v>12</v>
      </c>
      <c r="Q925" s="189" t="str">
        <f t="shared" ref="Q925" si="3899">IF(C925&lt;&gt;"",C925&amp;"-"&amp;P925,"")</f>
        <v>TCS-1c⁽ᴹ⁾ Pourcentage d'enfants (de moins de 15 ans) sous TARV parmi tous les enfants vivant avec le VIH à la fin de la période de rapportage-12</v>
      </c>
      <c r="R925" s="189" t="str">
        <f t="array" ref="R925">IFERROR(IF(INDEX('Disaggregation Records'!$E$155:$E$385,MATCH(RIGHT(Q925,255),RIGHT('Disaggregation Records'!$D$155:$D$385,255),0))=0,"",INDEX('Disaggregation Records'!$E$155:$E$385,MATCH(RIGHT(Q925,255),RIGHT('Disaggregation Records'!$D$155:$D$385,255),0))),"")</f>
        <v/>
      </c>
      <c r="S925" s="189" t="str">
        <f t="array" ref="S925">IFERROR(IF(INDEX('Disaggregation Records'!$F$155:$F$385,MATCH(RIGHT(Q925,255),RIGHT('Disaggregation Records'!$D$155:$D$385,255),0))=0,"",INDEX('Disaggregation Records'!$F$155:$F$385,MATCH(RIGHT(Q925,255),RIGHT('Disaggregation Records'!$D$155:$D$385,255),0))),"")</f>
        <v/>
      </c>
      <c r="T925" s="189" t="str">
        <f t="array" ref="T925">IFERROR(IF(INDEX('Disaggregation Records'!$H$155:$H$385,MATCH(RIGHT(Q925,255),RIGHT('Disaggregation Records'!$D$155:$D$385,255),0))=0,"",INDEX('Disaggregation Records'!$H$155:$H$385,MATCH(RIGHT(Q925,255),RIGHT('Disaggregation Records'!$D$155:$D$385,255),0))),"")</f>
        <v/>
      </c>
      <c r="U925" s="189">
        <f t="shared" ref="U925" si="3900">U923+1</f>
        <v>1564</v>
      </c>
      <c r="V925" s="189" t="str">
        <f t="array" ref="V925">IFERROR(IF(INDEX('Disaggregation Records'!$I$155:$I$385,MATCH(RIGHT(Q925,255),RIGHT('Disaggregation Records'!$D$155:$D$385,255),0))=0,"",INDEX('Disaggregation Records'!$I$155:$I$385,MATCH(RIGHT(Q925,255),RIGHT('Disaggregation Records'!$D$155:$D$385,255),0))),"")</f>
        <v/>
      </c>
      <c r="W925" s="189" t="str">
        <f>IFERROR(INDEX('Reference Records'!L$59:L$121,MATCH(LEFT(C925,255),'Reference Records'!E$59:E$121,0)),"")</f>
        <v>TCS-1c⁽ᴹ⁾ Percentage of children (under 15) on ART among all children living with HIV at the end of the reporting period</v>
      </c>
    </row>
    <row r="926" spans="1:23" s="189" customFormat="1" ht="40.200000000000003" customHeight="1" x14ac:dyDescent="0.3">
      <c r="A926" s="678"/>
      <c r="B926" s="675"/>
      <c r="C926" s="667"/>
      <c r="D926" s="677"/>
      <c r="E926" s="677"/>
      <c r="F926" s="202"/>
      <c r="G926" s="669"/>
      <c r="H926" s="671"/>
      <c r="I926" s="673"/>
      <c r="J926" s="652"/>
      <c r="K926" s="667"/>
      <c r="L926" s="667"/>
      <c r="M926" s="652"/>
      <c r="N926" s="652"/>
    </row>
    <row r="927" spans="1:23" s="189" customFormat="1" ht="40.200000000000003" customHeight="1" x14ac:dyDescent="0.3">
      <c r="A927" s="678" t="str">
        <f t="shared" ref="A927" ca="1" si="3901">INDIRECT("'update Helper'!C"&amp;U927)</f>
        <v>a163p000002zQbqAAE</v>
      </c>
      <c r="B927" s="674">
        <v>8</v>
      </c>
      <c r="C927" s="666" t="str">
        <f>VLOOKUP(B927,'Coverage Indicators - Section D'!$A$9:$AU$70,47,FALSE)</f>
        <v>TCS-1c⁽ᴹ⁾ Pourcentage d'enfants (de moins de 15 ans) sous TARV parmi tous les enfants vivant avec le VIH à la fin de la période de rapportage</v>
      </c>
      <c r="D927" s="676" t="str">
        <f t="shared" ref="D927" si="3902">R927</f>
        <v/>
      </c>
      <c r="E927" s="676" t="str">
        <f t="shared" ref="E927" si="3903">S927</f>
        <v/>
      </c>
      <c r="F927" s="194"/>
      <c r="G927" s="668" t="str">
        <f t="shared" ref="G927" ca="1" si="3904">IF(OR(INDIRECT("'update Helper'!E"&amp;U927)=0,F927&lt;&gt;0,F928&lt;&gt;0),IF(IFERROR((F927/F928),"")="","",(F927/F928)),INDIRECT("'update Helper'!E"&amp;U927)/100)</f>
        <v/>
      </c>
      <c r="H927" s="670"/>
      <c r="I927" s="672"/>
      <c r="J927" s="651"/>
      <c r="K927" s="666" t="str">
        <f t="shared" ref="K927" si="3905">W927</f>
        <v>TCS-1c⁽ᴹ⁾ Percentage of children (under 15) on ART among all children living with HIV at the end of the reporting period</v>
      </c>
      <c r="L927" s="666" t="str">
        <f t="shared" ref="L927" si="3906">V927</f>
        <v/>
      </c>
      <c r="M927" s="651"/>
      <c r="N927" s="651"/>
      <c r="P927" s="189">
        <f t="shared" ref="P927" si="3907">IF(AND(EXACT(C927,C925),C925&lt;&gt;0),P925+1,0)</f>
        <v>13</v>
      </c>
      <c r="Q927" s="189" t="str">
        <f t="shared" ref="Q927" si="3908">IF(C927&lt;&gt;"",C927&amp;"-"&amp;P927,"")</f>
        <v>TCS-1c⁽ᴹ⁾ Pourcentage d'enfants (de moins de 15 ans) sous TARV parmi tous les enfants vivant avec le VIH à la fin de la période de rapportage-13</v>
      </c>
      <c r="R927" s="189" t="str">
        <f t="array" ref="R927">IFERROR(IF(INDEX('Disaggregation Records'!$E$155:$E$385,MATCH(RIGHT(Q927,255),RIGHT('Disaggregation Records'!$D$155:$D$385,255),0))=0,"",INDEX('Disaggregation Records'!$E$155:$E$385,MATCH(RIGHT(Q927,255),RIGHT('Disaggregation Records'!$D$155:$D$385,255),0))),"")</f>
        <v/>
      </c>
      <c r="S927" s="189" t="str">
        <f t="array" ref="S927">IFERROR(IF(INDEX('Disaggregation Records'!$F$155:$F$385,MATCH(RIGHT(Q927,255),RIGHT('Disaggregation Records'!$D$155:$D$385,255),0))=0,"",INDEX('Disaggregation Records'!$F$155:$F$385,MATCH(RIGHT(Q927,255),RIGHT('Disaggregation Records'!$D$155:$D$385,255),0))),"")</f>
        <v/>
      </c>
      <c r="T927" s="189" t="str">
        <f t="array" ref="T927">IFERROR(IF(INDEX('Disaggregation Records'!$H$155:$H$385,MATCH(RIGHT(Q927,255),RIGHT('Disaggregation Records'!$D$155:$D$385,255),0))=0,"",INDEX('Disaggregation Records'!$H$155:$H$385,MATCH(RIGHT(Q927,255),RIGHT('Disaggregation Records'!$D$155:$D$385,255),0))),"")</f>
        <v/>
      </c>
      <c r="U927" s="189">
        <f t="shared" ref="U927" si="3909">U925+1</f>
        <v>1565</v>
      </c>
      <c r="V927" s="189" t="str">
        <f t="array" ref="V927">IFERROR(IF(INDEX('Disaggregation Records'!$I$155:$I$385,MATCH(RIGHT(Q927,255),RIGHT('Disaggregation Records'!$D$155:$D$385,255),0))=0,"",INDEX('Disaggregation Records'!$I$155:$I$385,MATCH(RIGHT(Q927,255),RIGHT('Disaggregation Records'!$D$155:$D$385,255),0))),"")</f>
        <v/>
      </c>
      <c r="W927" s="189" t="str">
        <f>IFERROR(INDEX('Reference Records'!L$59:L$121,MATCH(LEFT(C927,255),'Reference Records'!E$59:E$121,0)),"")</f>
        <v>TCS-1c⁽ᴹ⁾ Percentage of children (under 15) on ART among all children living with HIV at the end of the reporting period</v>
      </c>
    </row>
    <row r="928" spans="1:23" s="189" customFormat="1" ht="40.200000000000003" customHeight="1" x14ac:dyDescent="0.3">
      <c r="A928" s="678"/>
      <c r="B928" s="675"/>
      <c r="C928" s="667"/>
      <c r="D928" s="677"/>
      <c r="E928" s="677"/>
      <c r="F928" s="202"/>
      <c r="G928" s="669"/>
      <c r="H928" s="671"/>
      <c r="I928" s="673"/>
      <c r="J928" s="652"/>
      <c r="K928" s="667"/>
      <c r="L928" s="667"/>
      <c r="M928" s="652"/>
      <c r="N928" s="652"/>
    </row>
    <row r="929" spans="1:23" s="189" customFormat="1" ht="40.200000000000003" customHeight="1" x14ac:dyDescent="0.3">
      <c r="A929" s="678" t="str">
        <f t="shared" ref="A929" ca="1" si="3910">INDIRECT("'update Helper'!C"&amp;U929)</f>
        <v>a163p000002zQbrAAE</v>
      </c>
      <c r="B929" s="674">
        <v>8</v>
      </c>
      <c r="C929" s="666" t="str">
        <f>VLOOKUP(B929,'Coverage Indicators - Section D'!$A$9:$AU$70,47,FALSE)</f>
        <v>TCS-1c⁽ᴹ⁾ Pourcentage d'enfants (de moins de 15 ans) sous TARV parmi tous les enfants vivant avec le VIH à la fin de la période de rapportage</v>
      </c>
      <c r="D929" s="676" t="str">
        <f t="shared" ref="D929" si="3911">R929</f>
        <v/>
      </c>
      <c r="E929" s="676" t="str">
        <f t="shared" ref="E929" si="3912">S929</f>
        <v/>
      </c>
      <c r="F929" s="194"/>
      <c r="G929" s="668" t="str">
        <f t="shared" ref="G929" ca="1" si="3913">IF(OR(INDIRECT("'update Helper'!E"&amp;U929)=0,F929&lt;&gt;0,F930&lt;&gt;0),IF(IFERROR((F929/F930),"")="","",(F929/F930)),INDIRECT("'update Helper'!E"&amp;U929)/100)</f>
        <v/>
      </c>
      <c r="H929" s="670"/>
      <c r="I929" s="672"/>
      <c r="J929" s="651"/>
      <c r="K929" s="666" t="str">
        <f t="shared" ref="K929" si="3914">W929</f>
        <v>TCS-1c⁽ᴹ⁾ Percentage of children (under 15) on ART among all children living with HIV at the end of the reporting period</v>
      </c>
      <c r="L929" s="666" t="str">
        <f t="shared" ref="L929" si="3915">V929</f>
        <v/>
      </c>
      <c r="M929" s="651"/>
      <c r="N929" s="651"/>
      <c r="P929" s="189">
        <f t="shared" ref="P929" si="3916">IF(AND(EXACT(C929,C927),C927&lt;&gt;0),P927+1,0)</f>
        <v>14</v>
      </c>
      <c r="Q929" s="189" t="str">
        <f t="shared" ref="Q929" si="3917">IF(C929&lt;&gt;"",C929&amp;"-"&amp;P929,"")</f>
        <v>TCS-1c⁽ᴹ⁾ Pourcentage d'enfants (de moins de 15 ans) sous TARV parmi tous les enfants vivant avec le VIH à la fin de la période de rapportage-14</v>
      </c>
      <c r="R929" s="189" t="str">
        <f t="array" ref="R929">IFERROR(IF(INDEX('Disaggregation Records'!$E$155:$E$385,MATCH(RIGHT(Q929,255),RIGHT('Disaggregation Records'!$D$155:$D$385,255),0))=0,"",INDEX('Disaggregation Records'!$E$155:$E$385,MATCH(RIGHT(Q929,255),RIGHT('Disaggregation Records'!$D$155:$D$385,255),0))),"")</f>
        <v/>
      </c>
      <c r="S929" s="189" t="str">
        <f t="array" ref="S929">IFERROR(IF(INDEX('Disaggregation Records'!$F$155:$F$385,MATCH(RIGHT(Q929,255),RIGHT('Disaggregation Records'!$D$155:$D$385,255),0))=0,"",INDEX('Disaggregation Records'!$F$155:$F$385,MATCH(RIGHT(Q929,255),RIGHT('Disaggregation Records'!$D$155:$D$385,255),0))),"")</f>
        <v/>
      </c>
      <c r="T929" s="189" t="str">
        <f t="array" ref="T929">IFERROR(IF(INDEX('Disaggregation Records'!$H$155:$H$385,MATCH(RIGHT(Q929,255),RIGHT('Disaggregation Records'!$D$155:$D$385,255),0))=0,"",INDEX('Disaggregation Records'!$H$155:$H$385,MATCH(RIGHT(Q929,255),RIGHT('Disaggregation Records'!$D$155:$D$385,255),0))),"")</f>
        <v/>
      </c>
      <c r="U929" s="189">
        <f t="shared" ref="U929" si="3918">U927+1</f>
        <v>1566</v>
      </c>
      <c r="V929" s="189" t="str">
        <f t="array" ref="V929">IFERROR(IF(INDEX('Disaggregation Records'!$I$155:$I$385,MATCH(RIGHT(Q929,255),RIGHT('Disaggregation Records'!$D$155:$D$385,255),0))=0,"",INDEX('Disaggregation Records'!$I$155:$I$385,MATCH(RIGHT(Q929,255),RIGHT('Disaggregation Records'!$D$155:$D$385,255),0))),"")</f>
        <v/>
      </c>
      <c r="W929" s="189" t="str">
        <f>IFERROR(INDEX('Reference Records'!L$59:L$121,MATCH(LEFT(C929,255),'Reference Records'!E$59:E$121,0)),"")</f>
        <v>TCS-1c⁽ᴹ⁾ Percentage of children (under 15) on ART among all children living with HIV at the end of the reporting period</v>
      </c>
    </row>
    <row r="930" spans="1:23" s="189" customFormat="1" ht="40.200000000000003" customHeight="1" x14ac:dyDescent="0.3">
      <c r="A930" s="678"/>
      <c r="B930" s="675"/>
      <c r="C930" s="667"/>
      <c r="D930" s="677"/>
      <c r="E930" s="677"/>
      <c r="F930" s="202"/>
      <c r="G930" s="669"/>
      <c r="H930" s="671"/>
      <c r="I930" s="673"/>
      <c r="J930" s="652"/>
      <c r="K930" s="667"/>
      <c r="L930" s="667"/>
      <c r="M930" s="652"/>
      <c r="N930" s="652"/>
    </row>
    <row r="931" spans="1:23" s="189" customFormat="1" ht="40.200000000000003" customHeight="1" x14ac:dyDescent="0.3">
      <c r="A931" s="678" t="str">
        <f t="shared" ref="A931" ca="1" si="3919">INDIRECT("'update Helper'!C"&amp;U931)</f>
        <v>a163p000002zQbsAAE</v>
      </c>
      <c r="B931" s="674">
        <v>8</v>
      </c>
      <c r="C931" s="666" t="str">
        <f>VLOOKUP(B931,'Coverage Indicators - Section D'!$A$9:$AU$70,47,FALSE)</f>
        <v>TCS-1c⁽ᴹ⁾ Pourcentage d'enfants (de moins de 15 ans) sous TARV parmi tous les enfants vivant avec le VIH à la fin de la période de rapportage</v>
      </c>
      <c r="D931" s="676" t="str">
        <f t="shared" ref="D931" si="3920">R931</f>
        <v/>
      </c>
      <c r="E931" s="676" t="str">
        <f t="shared" ref="E931" si="3921">S931</f>
        <v/>
      </c>
      <c r="F931" s="194"/>
      <c r="G931" s="668" t="str">
        <f t="shared" ref="G931" ca="1" si="3922">IF(OR(INDIRECT("'update Helper'!E"&amp;U931)=0,F931&lt;&gt;0,F932&lt;&gt;0),IF(IFERROR((F931/F932),"")="","",(F931/F932)),INDIRECT("'update Helper'!E"&amp;U931)/100)</f>
        <v/>
      </c>
      <c r="H931" s="670"/>
      <c r="I931" s="672"/>
      <c r="J931" s="651"/>
      <c r="K931" s="666" t="str">
        <f t="shared" ref="K931" si="3923">W931</f>
        <v>TCS-1c⁽ᴹ⁾ Percentage of children (under 15) on ART among all children living with HIV at the end of the reporting period</v>
      </c>
      <c r="L931" s="666" t="str">
        <f t="shared" ref="L931" si="3924">V931</f>
        <v/>
      </c>
      <c r="M931" s="651"/>
      <c r="N931" s="651"/>
      <c r="P931" s="189">
        <f t="shared" ref="P931" si="3925">IF(AND(EXACT(C931,C929),C929&lt;&gt;0),P929+1,0)</f>
        <v>15</v>
      </c>
      <c r="Q931" s="189" t="str">
        <f t="shared" ref="Q931" si="3926">IF(C931&lt;&gt;"",C931&amp;"-"&amp;P931,"")</f>
        <v>TCS-1c⁽ᴹ⁾ Pourcentage d'enfants (de moins de 15 ans) sous TARV parmi tous les enfants vivant avec le VIH à la fin de la période de rapportage-15</v>
      </c>
      <c r="R931" s="189" t="str">
        <f t="array" ref="R931">IFERROR(IF(INDEX('Disaggregation Records'!$E$155:$E$385,MATCH(RIGHT(Q931,255),RIGHT('Disaggregation Records'!$D$155:$D$385,255),0))=0,"",INDEX('Disaggregation Records'!$E$155:$E$385,MATCH(RIGHT(Q931,255),RIGHT('Disaggregation Records'!$D$155:$D$385,255),0))),"")</f>
        <v/>
      </c>
      <c r="S931" s="189" t="str">
        <f t="array" ref="S931">IFERROR(IF(INDEX('Disaggregation Records'!$F$155:$F$385,MATCH(RIGHT(Q931,255),RIGHT('Disaggregation Records'!$D$155:$D$385,255),0))=0,"",INDEX('Disaggregation Records'!$F$155:$F$385,MATCH(RIGHT(Q931,255),RIGHT('Disaggregation Records'!$D$155:$D$385,255),0))),"")</f>
        <v/>
      </c>
      <c r="T931" s="189" t="str">
        <f t="array" ref="T931">IFERROR(IF(INDEX('Disaggregation Records'!$H$155:$H$385,MATCH(RIGHT(Q931,255),RIGHT('Disaggregation Records'!$D$155:$D$385,255),0))=0,"",INDEX('Disaggregation Records'!$H$155:$H$385,MATCH(RIGHT(Q931,255),RIGHT('Disaggregation Records'!$D$155:$D$385,255),0))),"")</f>
        <v/>
      </c>
      <c r="U931" s="189">
        <f t="shared" ref="U931" si="3927">U929+1</f>
        <v>1567</v>
      </c>
      <c r="V931" s="189" t="str">
        <f t="array" ref="V931">IFERROR(IF(INDEX('Disaggregation Records'!$I$155:$I$385,MATCH(RIGHT(Q931,255),RIGHT('Disaggregation Records'!$D$155:$D$385,255),0))=0,"",INDEX('Disaggregation Records'!$I$155:$I$385,MATCH(RIGHT(Q931,255),RIGHT('Disaggregation Records'!$D$155:$D$385,255),0))),"")</f>
        <v/>
      </c>
      <c r="W931" s="189" t="str">
        <f>IFERROR(INDEX('Reference Records'!L$59:L$121,MATCH(LEFT(C931,255),'Reference Records'!E$59:E$121,0)),"")</f>
        <v>TCS-1c⁽ᴹ⁾ Percentage of children (under 15) on ART among all children living with HIV at the end of the reporting period</v>
      </c>
    </row>
    <row r="932" spans="1:23" s="189" customFormat="1" ht="40.200000000000003" customHeight="1" x14ac:dyDescent="0.3">
      <c r="A932" s="678"/>
      <c r="B932" s="675"/>
      <c r="C932" s="667"/>
      <c r="D932" s="677"/>
      <c r="E932" s="677"/>
      <c r="F932" s="202"/>
      <c r="G932" s="669"/>
      <c r="H932" s="671"/>
      <c r="I932" s="673"/>
      <c r="J932" s="652"/>
      <c r="K932" s="667"/>
      <c r="L932" s="667"/>
      <c r="M932" s="652"/>
      <c r="N932" s="652"/>
    </row>
    <row r="933" spans="1:23" s="189" customFormat="1" ht="40.200000000000003" customHeight="1" x14ac:dyDescent="0.3">
      <c r="A933" s="678" t="str">
        <f t="shared" ref="A933" ca="1" si="3928">INDIRECT("'update Helper'!C"&amp;U933)</f>
        <v>a163p000002zQbtAAE</v>
      </c>
      <c r="B933" s="674">
        <v>8</v>
      </c>
      <c r="C933" s="666" t="str">
        <f>VLOOKUP(B933,'Coverage Indicators - Section D'!$A$9:$AU$70,47,FALSE)</f>
        <v>TCS-1c⁽ᴹ⁾ Pourcentage d'enfants (de moins de 15 ans) sous TARV parmi tous les enfants vivant avec le VIH à la fin de la période de rapportage</v>
      </c>
      <c r="D933" s="676" t="str">
        <f t="shared" ref="D933" si="3929">R933</f>
        <v/>
      </c>
      <c r="E933" s="676" t="str">
        <f t="shared" ref="E933" si="3930">S933</f>
        <v/>
      </c>
      <c r="F933" s="194"/>
      <c r="G933" s="668" t="str">
        <f t="shared" ref="G933" ca="1" si="3931">IF(OR(INDIRECT("'update Helper'!E"&amp;U933)=0,F933&lt;&gt;0,F934&lt;&gt;0),IF(IFERROR((F933/F934),"")="","",(F933/F934)),INDIRECT("'update Helper'!E"&amp;U933)/100)</f>
        <v/>
      </c>
      <c r="H933" s="670"/>
      <c r="I933" s="672"/>
      <c r="J933" s="651"/>
      <c r="K933" s="666" t="str">
        <f t="shared" ref="K933" si="3932">W933</f>
        <v>TCS-1c⁽ᴹ⁾ Percentage of children (under 15) on ART among all children living with HIV at the end of the reporting period</v>
      </c>
      <c r="L933" s="666" t="str">
        <f t="shared" ref="L933" si="3933">V933</f>
        <v/>
      </c>
      <c r="M933" s="651"/>
      <c r="N933" s="651"/>
      <c r="P933" s="189">
        <f t="shared" ref="P933" si="3934">IF(AND(EXACT(C933,C931),C931&lt;&gt;0),P931+1,0)</f>
        <v>16</v>
      </c>
      <c r="Q933" s="189" t="str">
        <f t="shared" ref="Q933" si="3935">IF(C933&lt;&gt;"",C933&amp;"-"&amp;P933,"")</f>
        <v>TCS-1c⁽ᴹ⁾ Pourcentage d'enfants (de moins de 15 ans) sous TARV parmi tous les enfants vivant avec le VIH à la fin de la période de rapportage-16</v>
      </c>
      <c r="R933" s="189" t="str">
        <f t="array" ref="R933">IFERROR(IF(INDEX('Disaggregation Records'!$E$155:$E$385,MATCH(RIGHT(Q933,255),RIGHT('Disaggregation Records'!$D$155:$D$385,255),0))=0,"",INDEX('Disaggregation Records'!$E$155:$E$385,MATCH(RIGHT(Q933,255),RIGHT('Disaggregation Records'!$D$155:$D$385,255),0))),"")</f>
        <v/>
      </c>
      <c r="S933" s="189" t="str">
        <f t="array" ref="S933">IFERROR(IF(INDEX('Disaggregation Records'!$F$155:$F$385,MATCH(RIGHT(Q933,255),RIGHT('Disaggregation Records'!$D$155:$D$385,255),0))=0,"",INDEX('Disaggregation Records'!$F$155:$F$385,MATCH(RIGHT(Q933,255),RIGHT('Disaggregation Records'!$D$155:$D$385,255),0))),"")</f>
        <v/>
      </c>
      <c r="T933" s="189" t="str">
        <f t="array" ref="T933">IFERROR(IF(INDEX('Disaggregation Records'!$H$155:$H$385,MATCH(RIGHT(Q933,255),RIGHT('Disaggregation Records'!$D$155:$D$385,255),0))=0,"",INDEX('Disaggregation Records'!$H$155:$H$385,MATCH(RIGHT(Q933,255),RIGHT('Disaggregation Records'!$D$155:$D$385,255),0))),"")</f>
        <v/>
      </c>
      <c r="U933" s="189">
        <f t="shared" ref="U933" si="3936">U931+1</f>
        <v>1568</v>
      </c>
      <c r="V933" s="189" t="str">
        <f t="array" ref="V933">IFERROR(IF(INDEX('Disaggregation Records'!$I$155:$I$385,MATCH(RIGHT(Q933,255),RIGHT('Disaggregation Records'!$D$155:$D$385,255),0))=0,"",INDEX('Disaggregation Records'!$I$155:$I$385,MATCH(RIGHT(Q933,255),RIGHT('Disaggregation Records'!$D$155:$D$385,255),0))),"")</f>
        <v/>
      </c>
      <c r="W933" s="189" t="str">
        <f>IFERROR(INDEX('Reference Records'!L$59:L$121,MATCH(LEFT(C933,255),'Reference Records'!E$59:E$121,0)),"")</f>
        <v>TCS-1c⁽ᴹ⁾ Percentage of children (under 15) on ART among all children living with HIV at the end of the reporting period</v>
      </c>
    </row>
    <row r="934" spans="1:23" s="189" customFormat="1" ht="40.200000000000003" customHeight="1" x14ac:dyDescent="0.3">
      <c r="A934" s="678"/>
      <c r="B934" s="675"/>
      <c r="C934" s="667"/>
      <c r="D934" s="677"/>
      <c r="E934" s="677"/>
      <c r="F934" s="202"/>
      <c r="G934" s="669"/>
      <c r="H934" s="671"/>
      <c r="I934" s="673"/>
      <c r="J934" s="652"/>
      <c r="K934" s="667"/>
      <c r="L934" s="667"/>
      <c r="M934" s="652"/>
      <c r="N934" s="652"/>
    </row>
    <row r="935" spans="1:23" s="189" customFormat="1" ht="40.200000000000003" customHeight="1" x14ac:dyDescent="0.3">
      <c r="A935" s="678" t="str">
        <f t="shared" ref="A935" ca="1" si="3937">INDIRECT("'update Helper'!C"&amp;U935)</f>
        <v>a163p000002zQbuAAE</v>
      </c>
      <c r="B935" s="674">
        <v>8</v>
      </c>
      <c r="C935" s="666" t="str">
        <f>VLOOKUP(B935,'Coverage Indicators - Section D'!$A$9:$AU$70,47,FALSE)</f>
        <v>TCS-1c⁽ᴹ⁾ Pourcentage d'enfants (de moins de 15 ans) sous TARV parmi tous les enfants vivant avec le VIH à la fin de la période de rapportage</v>
      </c>
      <c r="D935" s="676" t="str">
        <f t="shared" ref="D935" si="3938">R935</f>
        <v/>
      </c>
      <c r="E935" s="676" t="str">
        <f t="shared" ref="E935" si="3939">S935</f>
        <v/>
      </c>
      <c r="F935" s="194"/>
      <c r="G935" s="668" t="str">
        <f t="shared" ref="G935" ca="1" si="3940">IF(OR(INDIRECT("'update Helper'!E"&amp;U935)=0,F935&lt;&gt;0,F936&lt;&gt;0),IF(IFERROR((F935/F936),"")="","",(F935/F936)),INDIRECT("'update Helper'!E"&amp;U935)/100)</f>
        <v/>
      </c>
      <c r="H935" s="670"/>
      <c r="I935" s="672"/>
      <c r="J935" s="651"/>
      <c r="K935" s="666" t="str">
        <f t="shared" ref="K935" si="3941">W935</f>
        <v>TCS-1c⁽ᴹ⁾ Percentage of children (under 15) on ART among all children living with HIV at the end of the reporting period</v>
      </c>
      <c r="L935" s="666" t="str">
        <f t="shared" ref="L935" si="3942">V935</f>
        <v/>
      </c>
      <c r="M935" s="651"/>
      <c r="N935" s="651"/>
      <c r="P935" s="189">
        <f t="shared" ref="P935" si="3943">IF(AND(EXACT(C935,C933),C933&lt;&gt;0),P933+1,0)</f>
        <v>17</v>
      </c>
      <c r="Q935" s="189" t="str">
        <f t="shared" ref="Q935" si="3944">IF(C935&lt;&gt;"",C935&amp;"-"&amp;P935,"")</f>
        <v>TCS-1c⁽ᴹ⁾ Pourcentage d'enfants (de moins de 15 ans) sous TARV parmi tous les enfants vivant avec le VIH à la fin de la période de rapportage-17</v>
      </c>
      <c r="R935" s="189" t="str">
        <f t="array" ref="R935">IFERROR(IF(INDEX('Disaggregation Records'!$E$155:$E$385,MATCH(RIGHT(Q935,255),RIGHT('Disaggregation Records'!$D$155:$D$385,255),0))=0,"",INDEX('Disaggregation Records'!$E$155:$E$385,MATCH(RIGHT(Q935,255),RIGHT('Disaggregation Records'!$D$155:$D$385,255),0))),"")</f>
        <v/>
      </c>
      <c r="S935" s="189" t="str">
        <f t="array" ref="S935">IFERROR(IF(INDEX('Disaggregation Records'!$F$155:$F$385,MATCH(RIGHT(Q935,255),RIGHT('Disaggregation Records'!$D$155:$D$385,255),0))=0,"",INDEX('Disaggregation Records'!$F$155:$F$385,MATCH(RIGHT(Q935,255),RIGHT('Disaggregation Records'!$D$155:$D$385,255),0))),"")</f>
        <v/>
      </c>
      <c r="T935" s="189" t="str">
        <f t="array" ref="T935">IFERROR(IF(INDEX('Disaggregation Records'!$H$155:$H$385,MATCH(RIGHT(Q935,255),RIGHT('Disaggregation Records'!$D$155:$D$385,255),0))=0,"",INDEX('Disaggregation Records'!$H$155:$H$385,MATCH(RIGHT(Q935,255),RIGHT('Disaggregation Records'!$D$155:$D$385,255),0))),"")</f>
        <v/>
      </c>
      <c r="U935" s="189">
        <f t="shared" ref="U935" si="3945">U933+1</f>
        <v>1569</v>
      </c>
      <c r="V935" s="189" t="str">
        <f t="array" ref="V935">IFERROR(IF(INDEX('Disaggregation Records'!$I$155:$I$385,MATCH(RIGHT(Q935,255),RIGHT('Disaggregation Records'!$D$155:$D$385,255),0))=0,"",INDEX('Disaggregation Records'!$I$155:$I$385,MATCH(RIGHT(Q935,255),RIGHT('Disaggregation Records'!$D$155:$D$385,255),0))),"")</f>
        <v/>
      </c>
      <c r="W935" s="189" t="str">
        <f>IFERROR(INDEX('Reference Records'!L$59:L$121,MATCH(LEFT(C935,255),'Reference Records'!E$59:E$121,0)),"")</f>
        <v>TCS-1c⁽ᴹ⁾ Percentage of children (under 15) on ART among all children living with HIV at the end of the reporting period</v>
      </c>
    </row>
    <row r="936" spans="1:23" s="189" customFormat="1" ht="40.200000000000003" customHeight="1" x14ac:dyDescent="0.3">
      <c r="A936" s="678"/>
      <c r="B936" s="675"/>
      <c r="C936" s="667"/>
      <c r="D936" s="677"/>
      <c r="E936" s="677"/>
      <c r="F936" s="202"/>
      <c r="G936" s="669"/>
      <c r="H936" s="671"/>
      <c r="I936" s="673"/>
      <c r="J936" s="652"/>
      <c r="K936" s="667"/>
      <c r="L936" s="667"/>
      <c r="M936" s="652"/>
      <c r="N936" s="652"/>
    </row>
    <row r="937" spans="1:23" s="189" customFormat="1" ht="40.200000000000003" customHeight="1" x14ac:dyDescent="0.3">
      <c r="A937" s="678" t="str">
        <f t="shared" ref="A937" ca="1" si="3946">INDIRECT("'update Helper'!C"&amp;U937)</f>
        <v>a163p000002zQbvAAE</v>
      </c>
      <c r="B937" s="674">
        <v>8</v>
      </c>
      <c r="C937" s="666" t="str">
        <f>VLOOKUP(B937,'Coverage Indicators - Section D'!$A$9:$AU$70,47,FALSE)</f>
        <v>TCS-1c⁽ᴹ⁾ Pourcentage d'enfants (de moins de 15 ans) sous TARV parmi tous les enfants vivant avec le VIH à la fin de la période de rapportage</v>
      </c>
      <c r="D937" s="676" t="str">
        <f t="shared" ref="D937" si="3947">R937</f>
        <v/>
      </c>
      <c r="E937" s="676" t="str">
        <f t="shared" ref="E937" si="3948">S937</f>
        <v/>
      </c>
      <c r="F937" s="194"/>
      <c r="G937" s="668" t="str">
        <f t="shared" ref="G937" ca="1" si="3949">IF(OR(INDIRECT("'update Helper'!E"&amp;U937)=0,F937&lt;&gt;0,F938&lt;&gt;0),IF(IFERROR((F937/F938),"")="","",(F937/F938)),INDIRECT("'update Helper'!E"&amp;U937)/100)</f>
        <v/>
      </c>
      <c r="H937" s="670"/>
      <c r="I937" s="672"/>
      <c r="J937" s="651"/>
      <c r="K937" s="666" t="str">
        <f t="shared" ref="K937" si="3950">W937</f>
        <v>TCS-1c⁽ᴹ⁾ Percentage of children (under 15) on ART among all children living with HIV at the end of the reporting period</v>
      </c>
      <c r="L937" s="666" t="str">
        <f t="shared" ref="L937" si="3951">V937</f>
        <v/>
      </c>
      <c r="M937" s="651"/>
      <c r="N937" s="651"/>
      <c r="P937" s="189">
        <f t="shared" ref="P937" si="3952">IF(AND(EXACT(C937,C935),C935&lt;&gt;0),P935+1,0)</f>
        <v>18</v>
      </c>
      <c r="Q937" s="189" t="str">
        <f t="shared" ref="Q937" si="3953">IF(C937&lt;&gt;"",C937&amp;"-"&amp;P937,"")</f>
        <v>TCS-1c⁽ᴹ⁾ Pourcentage d'enfants (de moins de 15 ans) sous TARV parmi tous les enfants vivant avec le VIH à la fin de la période de rapportage-18</v>
      </c>
      <c r="R937" s="189" t="str">
        <f t="array" ref="R937">IFERROR(IF(INDEX('Disaggregation Records'!$E$155:$E$385,MATCH(RIGHT(Q937,255),RIGHT('Disaggregation Records'!$D$155:$D$385,255),0))=0,"",INDEX('Disaggregation Records'!$E$155:$E$385,MATCH(RIGHT(Q937,255),RIGHT('Disaggregation Records'!$D$155:$D$385,255),0))),"")</f>
        <v/>
      </c>
      <c r="S937" s="189" t="str">
        <f t="array" ref="S937">IFERROR(IF(INDEX('Disaggregation Records'!$F$155:$F$385,MATCH(RIGHT(Q937,255),RIGHT('Disaggregation Records'!$D$155:$D$385,255),0))=0,"",INDEX('Disaggregation Records'!$F$155:$F$385,MATCH(RIGHT(Q937,255),RIGHT('Disaggregation Records'!$D$155:$D$385,255),0))),"")</f>
        <v/>
      </c>
      <c r="T937" s="189" t="str">
        <f t="array" ref="T937">IFERROR(IF(INDEX('Disaggregation Records'!$H$155:$H$385,MATCH(RIGHT(Q937,255),RIGHT('Disaggregation Records'!$D$155:$D$385,255),0))=0,"",INDEX('Disaggregation Records'!$H$155:$H$385,MATCH(RIGHT(Q937,255),RIGHT('Disaggregation Records'!$D$155:$D$385,255),0))),"")</f>
        <v/>
      </c>
      <c r="U937" s="189">
        <f t="shared" ref="U937" si="3954">U935+1</f>
        <v>1570</v>
      </c>
      <c r="V937" s="189" t="str">
        <f t="array" ref="V937">IFERROR(IF(INDEX('Disaggregation Records'!$I$155:$I$385,MATCH(RIGHT(Q937,255),RIGHT('Disaggregation Records'!$D$155:$D$385,255),0))=0,"",INDEX('Disaggregation Records'!$I$155:$I$385,MATCH(RIGHT(Q937,255),RIGHT('Disaggregation Records'!$D$155:$D$385,255),0))),"")</f>
        <v/>
      </c>
      <c r="W937" s="189" t="str">
        <f>IFERROR(INDEX('Reference Records'!L$59:L$121,MATCH(LEFT(C937,255),'Reference Records'!E$59:E$121,0)),"")</f>
        <v>TCS-1c⁽ᴹ⁾ Percentage of children (under 15) on ART among all children living with HIV at the end of the reporting period</v>
      </c>
    </row>
    <row r="938" spans="1:23" s="189" customFormat="1" ht="40.200000000000003" customHeight="1" x14ac:dyDescent="0.3">
      <c r="A938" s="678"/>
      <c r="B938" s="675"/>
      <c r="C938" s="667"/>
      <c r="D938" s="677"/>
      <c r="E938" s="677"/>
      <c r="F938" s="202"/>
      <c r="G938" s="669"/>
      <c r="H938" s="671"/>
      <c r="I938" s="673"/>
      <c r="J938" s="652"/>
      <c r="K938" s="667"/>
      <c r="L938" s="667"/>
      <c r="M938" s="652"/>
      <c r="N938" s="652"/>
    </row>
    <row r="939" spans="1:23" s="189" customFormat="1" ht="40.200000000000003" customHeight="1" x14ac:dyDescent="0.3">
      <c r="A939" s="678" t="str">
        <f t="shared" ref="A939" ca="1" si="3955">INDIRECT("'update Helper'!C"&amp;U939)</f>
        <v>a163p000002zQbwAAE</v>
      </c>
      <c r="B939" s="674">
        <v>8</v>
      </c>
      <c r="C939" s="666" t="str">
        <f>VLOOKUP(B939,'Coverage Indicators - Section D'!$A$9:$AU$70,47,FALSE)</f>
        <v>TCS-1c⁽ᴹ⁾ Pourcentage d'enfants (de moins de 15 ans) sous TARV parmi tous les enfants vivant avec le VIH à la fin de la période de rapportage</v>
      </c>
      <c r="D939" s="676" t="str">
        <f t="shared" ref="D939" si="3956">R939</f>
        <v/>
      </c>
      <c r="E939" s="676" t="str">
        <f t="shared" ref="E939" si="3957">S939</f>
        <v/>
      </c>
      <c r="F939" s="194"/>
      <c r="G939" s="668" t="str">
        <f t="shared" ref="G939" ca="1" si="3958">IF(OR(INDIRECT("'update Helper'!E"&amp;U939)=0,F939&lt;&gt;0,F940&lt;&gt;0),IF(IFERROR((F939/F940),"")="","",(F939/F940)),INDIRECT("'update Helper'!E"&amp;U939)/100)</f>
        <v/>
      </c>
      <c r="H939" s="670"/>
      <c r="I939" s="672"/>
      <c r="J939" s="651"/>
      <c r="K939" s="666" t="str">
        <f t="shared" ref="K939" si="3959">W939</f>
        <v>TCS-1c⁽ᴹ⁾ Percentage of children (under 15) on ART among all children living with HIV at the end of the reporting period</v>
      </c>
      <c r="L939" s="666" t="str">
        <f t="shared" ref="L939" si="3960">V939</f>
        <v/>
      </c>
      <c r="M939" s="651"/>
      <c r="N939" s="651"/>
      <c r="P939" s="189">
        <f t="shared" ref="P939" si="3961">IF(AND(EXACT(C939,C937),C937&lt;&gt;0),P937+1,0)</f>
        <v>19</v>
      </c>
      <c r="Q939" s="189" t="str">
        <f t="shared" ref="Q939" si="3962">IF(C939&lt;&gt;"",C939&amp;"-"&amp;P939,"")</f>
        <v>TCS-1c⁽ᴹ⁾ Pourcentage d'enfants (de moins de 15 ans) sous TARV parmi tous les enfants vivant avec le VIH à la fin de la période de rapportage-19</v>
      </c>
      <c r="R939" s="189" t="str">
        <f t="array" ref="R939">IFERROR(IF(INDEX('Disaggregation Records'!$E$155:$E$385,MATCH(RIGHT(Q939,255),RIGHT('Disaggregation Records'!$D$155:$D$385,255),0))=0,"",INDEX('Disaggregation Records'!$E$155:$E$385,MATCH(RIGHT(Q939,255),RIGHT('Disaggregation Records'!$D$155:$D$385,255),0))),"")</f>
        <v/>
      </c>
      <c r="S939" s="189" t="str">
        <f t="array" ref="S939">IFERROR(IF(INDEX('Disaggregation Records'!$F$155:$F$385,MATCH(RIGHT(Q939,255),RIGHT('Disaggregation Records'!$D$155:$D$385,255),0))=0,"",INDEX('Disaggregation Records'!$F$155:$F$385,MATCH(RIGHT(Q939,255),RIGHT('Disaggregation Records'!$D$155:$D$385,255),0))),"")</f>
        <v/>
      </c>
      <c r="T939" s="189" t="str">
        <f t="array" ref="T939">IFERROR(IF(INDEX('Disaggregation Records'!$H$155:$H$385,MATCH(RIGHT(Q939,255),RIGHT('Disaggregation Records'!$D$155:$D$385,255),0))=0,"",INDEX('Disaggregation Records'!$H$155:$H$385,MATCH(RIGHT(Q939,255),RIGHT('Disaggregation Records'!$D$155:$D$385,255),0))),"")</f>
        <v/>
      </c>
      <c r="U939" s="189">
        <f t="shared" ref="U939" si="3963">U937+1</f>
        <v>1571</v>
      </c>
      <c r="V939" s="189" t="str">
        <f t="array" ref="V939">IFERROR(IF(INDEX('Disaggregation Records'!$I$155:$I$385,MATCH(RIGHT(Q939,255),RIGHT('Disaggregation Records'!$D$155:$D$385,255),0))=0,"",INDEX('Disaggregation Records'!$I$155:$I$385,MATCH(RIGHT(Q939,255),RIGHT('Disaggregation Records'!$D$155:$D$385,255),0))),"")</f>
        <v/>
      </c>
      <c r="W939" s="189" t="str">
        <f>IFERROR(INDEX('Reference Records'!L$59:L$121,MATCH(LEFT(C939,255),'Reference Records'!E$59:E$121,0)),"")</f>
        <v>TCS-1c⁽ᴹ⁾ Percentage of children (under 15) on ART among all children living with HIV at the end of the reporting period</v>
      </c>
    </row>
    <row r="940" spans="1:23" s="189" customFormat="1" ht="40.200000000000003" customHeight="1" x14ac:dyDescent="0.3">
      <c r="A940" s="678"/>
      <c r="B940" s="675"/>
      <c r="C940" s="667"/>
      <c r="D940" s="677"/>
      <c r="E940" s="677"/>
      <c r="F940" s="202"/>
      <c r="G940" s="669"/>
      <c r="H940" s="671"/>
      <c r="I940" s="673"/>
      <c r="J940" s="652"/>
      <c r="K940" s="667"/>
      <c r="L940" s="667"/>
      <c r="M940" s="652"/>
      <c r="N940" s="652"/>
    </row>
    <row r="941" spans="1:23" s="189" customFormat="1" ht="40.200000000000003" customHeight="1" x14ac:dyDescent="0.3">
      <c r="A941" s="678" t="str">
        <f t="shared" ref="A941" ca="1" si="3964">INDIRECT("'update Helper'!C"&amp;U941)</f>
        <v>a163p000002zQbxAAE</v>
      </c>
      <c r="B941" s="674">
        <v>9</v>
      </c>
      <c r="C941" s="666" t="str">
        <f>VLOOKUP(B941,'Coverage Indicators - Section D'!$A$9:$AU$70,47,FALSE)</f>
        <v>TB/HIV-3.1a Pourcentage de personnes vivant avec le VIH ayant nouvellement initié la TARV chez qui les signes de la tuberculose ont été recherchés</v>
      </c>
      <c r="D941" s="676" t="str">
        <f t="shared" ref="D941" si="3965">R941</f>
        <v>Age</v>
      </c>
      <c r="E941" s="676" t="str">
        <f t="shared" ref="E941" si="3966">S941</f>
        <v>&lt;5</v>
      </c>
      <c r="F941" s="194"/>
      <c r="G941" s="668" t="str">
        <f t="shared" ref="G941" ca="1" si="3967">IF(OR(INDIRECT("'update Helper'!E"&amp;U941)=0,F941&lt;&gt;0,F942&lt;&gt;0),IF(IFERROR((F941/F942),"")="","",(F941/F942)),INDIRECT("'update Helper'!E"&amp;U941)/100)</f>
        <v/>
      </c>
      <c r="H941" s="670"/>
      <c r="I941" s="672"/>
      <c r="J941" s="651"/>
      <c r="K941" s="666" t="str">
        <f t="shared" ref="K941" si="3968">W941</f>
        <v>TB/HIV-3.1a Percentage of people living with HIV newly initiated on ART who were screened for TB</v>
      </c>
      <c r="L941" s="666" t="str">
        <f t="shared" ref="L941" si="3969">V941</f>
        <v>Age</v>
      </c>
      <c r="M941" s="651"/>
      <c r="N941" s="651"/>
      <c r="P941" s="189">
        <f t="shared" ref="P941" si="3970">IF(AND(EXACT(C941,C939),C939&lt;&gt;0),P939+1,0)</f>
        <v>0</v>
      </c>
      <c r="Q941" s="189" t="str">
        <f t="shared" ref="Q941" si="3971">IF(C941&lt;&gt;"",C941&amp;"-"&amp;P941,"")</f>
        <v>TB/HIV-3.1a Pourcentage de personnes vivant avec le VIH ayant nouvellement initié la TARV chez qui les signes de la tuberculose ont été recherchés-0</v>
      </c>
      <c r="R941" s="189" t="str">
        <f t="array" ref="R941">IFERROR(IF(INDEX('Disaggregation Records'!$E$155:$E$385,MATCH(RIGHT(Q941,255),RIGHT('Disaggregation Records'!$D$155:$D$385,255),0))=0,"",INDEX('Disaggregation Records'!$E$155:$E$385,MATCH(RIGHT(Q941,255),RIGHT('Disaggregation Records'!$D$155:$D$385,255),0))),"")</f>
        <v>Age</v>
      </c>
      <c r="S941" s="189" t="str">
        <f t="array" ref="S941">IFERROR(IF(INDEX('Disaggregation Records'!$F$155:$F$385,MATCH(RIGHT(Q941,255),RIGHT('Disaggregation Records'!$D$155:$D$385,255),0))=0,"",INDEX('Disaggregation Records'!$F$155:$F$385,MATCH(RIGHT(Q941,255),RIGHT('Disaggregation Records'!$D$155:$D$385,255),0))),"")</f>
        <v>&lt;5</v>
      </c>
      <c r="T941" s="189" t="str">
        <f t="array" ref="T941">IFERROR(IF(INDEX('Disaggregation Records'!$H$155:$H$385,MATCH(RIGHT(Q941,255),RIGHT('Disaggregation Records'!$D$155:$D$385,255),0))=0,"",INDEX('Disaggregation Records'!$H$155:$H$385,MATCH(RIGHT(Q941,255),RIGHT('Disaggregation Records'!$D$155:$D$385,255),0))),"")</f>
        <v>IDR-00732</v>
      </c>
      <c r="U941" s="189">
        <f t="shared" ref="U941" si="3972">U939+1</f>
        <v>1572</v>
      </c>
      <c r="V941" s="189" t="str">
        <f t="array" ref="V941">IFERROR(IF(INDEX('Disaggregation Records'!$I$155:$I$385,MATCH(RIGHT(Q941,255),RIGHT('Disaggregation Records'!$D$155:$D$385,255),0))=0,"",INDEX('Disaggregation Records'!$I$155:$I$385,MATCH(RIGHT(Q941,255),RIGHT('Disaggregation Records'!$D$155:$D$385,255),0))),"")</f>
        <v>Age</v>
      </c>
      <c r="W941" s="189" t="str">
        <f>IFERROR(INDEX('Reference Records'!L$59:L$121,MATCH(LEFT(C941,255),'Reference Records'!E$59:E$121,0)),"")</f>
        <v>TB/HIV-3.1a Percentage of people living with HIV newly initiated on ART who were screened for TB</v>
      </c>
    </row>
    <row r="942" spans="1:23" s="189" customFormat="1" ht="40.200000000000003" customHeight="1" x14ac:dyDescent="0.3">
      <c r="A942" s="678"/>
      <c r="B942" s="675"/>
      <c r="C942" s="667"/>
      <c r="D942" s="677"/>
      <c r="E942" s="677"/>
      <c r="F942" s="202"/>
      <c r="G942" s="669"/>
      <c r="H942" s="671"/>
      <c r="I942" s="673"/>
      <c r="J942" s="652"/>
      <c r="K942" s="667"/>
      <c r="L942" s="667"/>
      <c r="M942" s="652"/>
      <c r="N942" s="652"/>
    </row>
    <row r="943" spans="1:23" s="189" customFormat="1" ht="40.200000000000003" customHeight="1" x14ac:dyDescent="0.3">
      <c r="A943" s="678" t="str">
        <f t="shared" ref="A943" ca="1" si="3973">INDIRECT("'update Helper'!C"&amp;U943)</f>
        <v>a163p000002zQbyAAE</v>
      </c>
      <c r="B943" s="674">
        <v>9</v>
      </c>
      <c r="C943" s="666" t="str">
        <f>VLOOKUP(B943,'Coverage Indicators - Section D'!$A$9:$AU$70,47,FALSE)</f>
        <v>TB/HIV-3.1a Pourcentage de personnes vivant avec le VIH ayant nouvellement initié la TARV chez qui les signes de la tuberculose ont été recherchés</v>
      </c>
      <c r="D943" s="676" t="str">
        <f t="shared" ref="D943" si="3974">R943</f>
        <v>Age</v>
      </c>
      <c r="E943" s="676" t="str">
        <f t="shared" ref="E943" si="3975">S943</f>
        <v>5-14</v>
      </c>
      <c r="F943" s="194"/>
      <c r="G943" s="668" t="str">
        <f t="shared" ref="G943" ca="1" si="3976">IF(OR(INDIRECT("'update Helper'!E"&amp;U943)=0,F943&lt;&gt;0,F944&lt;&gt;0),IF(IFERROR((F943/F944),"")="","",(F943/F944)),INDIRECT("'update Helper'!E"&amp;U943)/100)</f>
        <v/>
      </c>
      <c r="H943" s="670"/>
      <c r="I943" s="672"/>
      <c r="J943" s="651"/>
      <c r="K943" s="666" t="str">
        <f t="shared" ref="K943" si="3977">W943</f>
        <v>TB/HIV-3.1a Percentage of people living with HIV newly initiated on ART who were screened for TB</v>
      </c>
      <c r="L943" s="666" t="str">
        <f t="shared" ref="L943" si="3978">V943</f>
        <v>Age</v>
      </c>
      <c r="M943" s="651"/>
      <c r="N943" s="651"/>
      <c r="P943" s="189">
        <f t="shared" ref="P943" si="3979">IF(AND(EXACT(C943,C941),C941&lt;&gt;0),P941+1,0)</f>
        <v>1</v>
      </c>
      <c r="Q943" s="189" t="str">
        <f t="shared" ref="Q943" si="3980">IF(C943&lt;&gt;"",C943&amp;"-"&amp;P943,"")</f>
        <v>TB/HIV-3.1a Pourcentage de personnes vivant avec le VIH ayant nouvellement initié la TARV chez qui les signes de la tuberculose ont été recherchés-1</v>
      </c>
      <c r="R943" s="189" t="str">
        <f t="array" ref="R943">IFERROR(IF(INDEX('Disaggregation Records'!$E$155:$E$385,MATCH(RIGHT(Q943,255),RIGHT('Disaggregation Records'!$D$155:$D$385,255),0))=0,"",INDEX('Disaggregation Records'!$E$155:$E$385,MATCH(RIGHT(Q943,255),RIGHT('Disaggregation Records'!$D$155:$D$385,255),0))),"")</f>
        <v>Age</v>
      </c>
      <c r="S943" s="189" t="str">
        <f t="array" ref="S943">IFERROR(IF(INDEX('Disaggregation Records'!$F$155:$F$385,MATCH(RIGHT(Q943,255),RIGHT('Disaggregation Records'!$D$155:$D$385,255),0))=0,"",INDEX('Disaggregation Records'!$F$155:$F$385,MATCH(RIGHT(Q943,255),RIGHT('Disaggregation Records'!$D$155:$D$385,255),0))),"")</f>
        <v>5-14</v>
      </c>
      <c r="T943" s="189" t="str">
        <f t="array" ref="T943">IFERROR(IF(INDEX('Disaggregation Records'!$H$155:$H$385,MATCH(RIGHT(Q943,255),RIGHT('Disaggregation Records'!$D$155:$D$385,255),0))=0,"",INDEX('Disaggregation Records'!$H$155:$H$385,MATCH(RIGHT(Q943,255),RIGHT('Disaggregation Records'!$D$155:$D$385,255),0))),"")</f>
        <v>IDR-00733</v>
      </c>
      <c r="U943" s="189">
        <f t="shared" ref="U943" si="3981">U941+1</f>
        <v>1573</v>
      </c>
      <c r="V943" s="189" t="str">
        <f t="array" ref="V943">IFERROR(IF(INDEX('Disaggregation Records'!$I$155:$I$385,MATCH(RIGHT(Q943,255),RIGHT('Disaggregation Records'!$D$155:$D$385,255),0))=0,"",INDEX('Disaggregation Records'!$I$155:$I$385,MATCH(RIGHT(Q943,255),RIGHT('Disaggregation Records'!$D$155:$D$385,255),0))),"")</f>
        <v>Age</v>
      </c>
      <c r="W943" s="189" t="str">
        <f>IFERROR(INDEX('Reference Records'!L$59:L$121,MATCH(LEFT(C943,255),'Reference Records'!E$59:E$121,0)),"")</f>
        <v>TB/HIV-3.1a Percentage of people living with HIV newly initiated on ART who were screened for TB</v>
      </c>
    </row>
    <row r="944" spans="1:23" s="189" customFormat="1" ht="40.200000000000003" customHeight="1" x14ac:dyDescent="0.3">
      <c r="A944" s="678"/>
      <c r="B944" s="675"/>
      <c r="C944" s="667"/>
      <c r="D944" s="677"/>
      <c r="E944" s="677"/>
      <c r="F944" s="202"/>
      <c r="G944" s="669"/>
      <c r="H944" s="671"/>
      <c r="I944" s="673"/>
      <c r="J944" s="652"/>
      <c r="K944" s="667"/>
      <c r="L944" s="667"/>
      <c r="M944" s="652"/>
      <c r="N944" s="652"/>
    </row>
    <row r="945" spans="1:23" s="189" customFormat="1" ht="40.200000000000003" customHeight="1" x14ac:dyDescent="0.3">
      <c r="A945" s="678" t="str">
        <f t="shared" ref="A945" ca="1" si="3982">INDIRECT("'update Helper'!C"&amp;U945)</f>
        <v>a163p000002zQbzAAE</v>
      </c>
      <c r="B945" s="674">
        <v>9</v>
      </c>
      <c r="C945" s="666" t="str">
        <f>VLOOKUP(B945,'Coverage Indicators - Section D'!$A$9:$AU$70,47,FALSE)</f>
        <v>TB/HIV-3.1a Pourcentage de personnes vivant avec le VIH ayant nouvellement initié la TARV chez qui les signes de la tuberculose ont été recherchés</v>
      </c>
      <c r="D945" s="676" t="str">
        <f t="shared" ref="D945" si="3983">R945</f>
        <v>Age</v>
      </c>
      <c r="E945" s="676" t="str">
        <f t="shared" ref="E945" si="3984">S945</f>
        <v>15+</v>
      </c>
      <c r="F945" s="194"/>
      <c r="G945" s="668" t="str">
        <f t="shared" ref="G945" ca="1" si="3985">IF(OR(INDIRECT("'update Helper'!E"&amp;U945)=0,F945&lt;&gt;0,F946&lt;&gt;0),IF(IFERROR((F945/F946),"")="","",(F945/F946)),INDIRECT("'update Helper'!E"&amp;U945)/100)</f>
        <v/>
      </c>
      <c r="H945" s="670"/>
      <c r="I945" s="672"/>
      <c r="J945" s="651"/>
      <c r="K945" s="666" t="str">
        <f t="shared" ref="K945" si="3986">W945</f>
        <v>TB/HIV-3.1a Percentage of people living with HIV newly initiated on ART who were screened for TB</v>
      </c>
      <c r="L945" s="666" t="str">
        <f t="shared" ref="L945" si="3987">V945</f>
        <v>Age</v>
      </c>
      <c r="M945" s="651"/>
      <c r="N945" s="651"/>
      <c r="P945" s="189">
        <f t="shared" ref="P945" si="3988">IF(AND(EXACT(C945,C943),C943&lt;&gt;0),P943+1,0)</f>
        <v>2</v>
      </c>
      <c r="Q945" s="189" t="str">
        <f t="shared" ref="Q945" si="3989">IF(C945&lt;&gt;"",C945&amp;"-"&amp;P945,"")</f>
        <v>TB/HIV-3.1a Pourcentage de personnes vivant avec le VIH ayant nouvellement initié la TARV chez qui les signes de la tuberculose ont été recherchés-2</v>
      </c>
      <c r="R945" s="189" t="str">
        <f t="array" ref="R945">IFERROR(IF(INDEX('Disaggregation Records'!$E$155:$E$385,MATCH(RIGHT(Q945,255),RIGHT('Disaggregation Records'!$D$155:$D$385,255),0))=0,"",INDEX('Disaggregation Records'!$E$155:$E$385,MATCH(RIGHT(Q945,255),RIGHT('Disaggregation Records'!$D$155:$D$385,255),0))),"")</f>
        <v>Age</v>
      </c>
      <c r="S945" s="189" t="str">
        <f t="array" ref="S945">IFERROR(IF(INDEX('Disaggregation Records'!$F$155:$F$385,MATCH(RIGHT(Q945,255),RIGHT('Disaggregation Records'!$D$155:$D$385,255),0))=0,"",INDEX('Disaggregation Records'!$F$155:$F$385,MATCH(RIGHT(Q945,255),RIGHT('Disaggregation Records'!$D$155:$D$385,255),0))),"")</f>
        <v>15+</v>
      </c>
      <c r="T945" s="189" t="str">
        <f t="array" ref="T945">IFERROR(IF(INDEX('Disaggregation Records'!$H$155:$H$385,MATCH(RIGHT(Q945,255),RIGHT('Disaggregation Records'!$D$155:$D$385,255),0))=0,"",INDEX('Disaggregation Records'!$H$155:$H$385,MATCH(RIGHT(Q945,255),RIGHT('Disaggregation Records'!$D$155:$D$385,255),0))),"")</f>
        <v>IDR-00734</v>
      </c>
      <c r="U945" s="189">
        <f t="shared" ref="U945" si="3990">U943+1</f>
        <v>1574</v>
      </c>
      <c r="V945" s="189" t="str">
        <f t="array" ref="V945">IFERROR(IF(INDEX('Disaggregation Records'!$I$155:$I$385,MATCH(RIGHT(Q945,255),RIGHT('Disaggregation Records'!$D$155:$D$385,255),0))=0,"",INDEX('Disaggregation Records'!$I$155:$I$385,MATCH(RIGHT(Q945,255),RIGHT('Disaggregation Records'!$D$155:$D$385,255),0))),"")</f>
        <v>Age</v>
      </c>
      <c r="W945" s="189" t="str">
        <f>IFERROR(INDEX('Reference Records'!L$59:L$121,MATCH(LEFT(C945,255),'Reference Records'!E$59:E$121,0)),"")</f>
        <v>TB/HIV-3.1a Percentage of people living with HIV newly initiated on ART who were screened for TB</v>
      </c>
    </row>
    <row r="946" spans="1:23" s="189" customFormat="1" ht="40.200000000000003" customHeight="1" x14ac:dyDescent="0.3">
      <c r="A946" s="678"/>
      <c r="B946" s="675"/>
      <c r="C946" s="667"/>
      <c r="D946" s="677"/>
      <c r="E946" s="677"/>
      <c r="F946" s="202"/>
      <c r="G946" s="669"/>
      <c r="H946" s="671"/>
      <c r="I946" s="673"/>
      <c r="J946" s="652"/>
      <c r="K946" s="667"/>
      <c r="L946" s="667"/>
      <c r="M946" s="652"/>
      <c r="N946" s="652"/>
    </row>
    <row r="947" spans="1:23" s="189" customFormat="1" ht="40.200000000000003" customHeight="1" x14ac:dyDescent="0.3">
      <c r="A947" s="678" t="str">
        <f t="shared" ref="A947" ca="1" si="3991">INDIRECT("'update Helper'!C"&amp;U947)</f>
        <v>a163p000002zQc0AAE</v>
      </c>
      <c r="B947" s="674">
        <v>9</v>
      </c>
      <c r="C947" s="666" t="str">
        <f>VLOOKUP(B947,'Coverage Indicators - Section D'!$A$9:$AU$70,47,FALSE)</f>
        <v>TB/HIV-3.1a Pourcentage de personnes vivant avec le VIH ayant nouvellement initié la TARV chez qui les signes de la tuberculose ont été recherchés</v>
      </c>
      <c r="D947" s="676" t="str">
        <f t="shared" ref="D947" si="3992">R947</f>
        <v>Sexe</v>
      </c>
      <c r="E947" s="676" t="str">
        <f t="shared" ref="E947" si="3993">S947</f>
        <v>Homme</v>
      </c>
      <c r="F947" s="194"/>
      <c r="G947" s="668" t="str">
        <f t="shared" ref="G947" ca="1" si="3994">IF(OR(INDIRECT("'update Helper'!E"&amp;U947)=0,F947&lt;&gt;0,F948&lt;&gt;0),IF(IFERROR((F947/F948),"")="","",(F947/F948)),INDIRECT("'update Helper'!E"&amp;U947)/100)</f>
        <v/>
      </c>
      <c r="H947" s="670"/>
      <c r="I947" s="672"/>
      <c r="J947" s="651"/>
      <c r="K947" s="666" t="str">
        <f t="shared" ref="K947" si="3995">W947</f>
        <v>TB/HIV-3.1a Percentage of people living with HIV newly initiated on ART who were screened for TB</v>
      </c>
      <c r="L947" s="666" t="str">
        <f t="shared" ref="L947" si="3996">V947</f>
        <v>Gender</v>
      </c>
      <c r="M947" s="651"/>
      <c r="N947" s="651"/>
      <c r="P947" s="189">
        <f t="shared" ref="P947" si="3997">IF(AND(EXACT(C947,C945),C945&lt;&gt;0),P945+1,0)</f>
        <v>3</v>
      </c>
      <c r="Q947" s="189" t="str">
        <f t="shared" ref="Q947" si="3998">IF(C947&lt;&gt;"",C947&amp;"-"&amp;P947,"")</f>
        <v>TB/HIV-3.1a Pourcentage de personnes vivant avec le VIH ayant nouvellement initié la TARV chez qui les signes de la tuberculose ont été recherchés-3</v>
      </c>
      <c r="R947" s="189" t="str">
        <f t="array" ref="R947">IFERROR(IF(INDEX('Disaggregation Records'!$E$155:$E$385,MATCH(RIGHT(Q947,255),RIGHT('Disaggregation Records'!$D$155:$D$385,255),0))=0,"",INDEX('Disaggregation Records'!$E$155:$E$385,MATCH(RIGHT(Q947,255),RIGHT('Disaggregation Records'!$D$155:$D$385,255),0))),"")</f>
        <v>Sexe</v>
      </c>
      <c r="S947" s="189" t="str">
        <f t="array" ref="S947">IFERROR(IF(INDEX('Disaggregation Records'!$F$155:$F$385,MATCH(RIGHT(Q947,255),RIGHT('Disaggregation Records'!$D$155:$D$385,255),0))=0,"",INDEX('Disaggregation Records'!$F$155:$F$385,MATCH(RIGHT(Q947,255),RIGHT('Disaggregation Records'!$D$155:$D$385,255),0))),"")</f>
        <v>Homme</v>
      </c>
      <c r="T947" s="189" t="str">
        <f t="array" ref="T947">IFERROR(IF(INDEX('Disaggregation Records'!$H$155:$H$385,MATCH(RIGHT(Q947,255),RIGHT('Disaggregation Records'!$D$155:$D$385,255),0))=0,"",INDEX('Disaggregation Records'!$H$155:$H$385,MATCH(RIGHT(Q947,255),RIGHT('Disaggregation Records'!$D$155:$D$385,255),0))),"")</f>
        <v>IDR-00856</v>
      </c>
      <c r="U947" s="189">
        <f t="shared" ref="U947" si="3999">U945+1</f>
        <v>1575</v>
      </c>
      <c r="V947" s="189" t="str">
        <f t="array" ref="V947">IFERROR(IF(INDEX('Disaggregation Records'!$I$155:$I$385,MATCH(RIGHT(Q947,255),RIGHT('Disaggregation Records'!$D$155:$D$385,255),0))=0,"",INDEX('Disaggregation Records'!$I$155:$I$385,MATCH(RIGHT(Q947,255),RIGHT('Disaggregation Records'!$D$155:$D$385,255),0))),"")</f>
        <v>Gender</v>
      </c>
      <c r="W947" s="189" t="str">
        <f>IFERROR(INDEX('Reference Records'!L$59:L$121,MATCH(LEFT(C947,255),'Reference Records'!E$59:E$121,0)),"")</f>
        <v>TB/HIV-3.1a Percentage of people living with HIV newly initiated on ART who were screened for TB</v>
      </c>
    </row>
    <row r="948" spans="1:23" s="189" customFormat="1" ht="40.200000000000003" customHeight="1" x14ac:dyDescent="0.3">
      <c r="A948" s="678"/>
      <c r="B948" s="675"/>
      <c r="C948" s="667"/>
      <c r="D948" s="677"/>
      <c r="E948" s="677"/>
      <c r="F948" s="202"/>
      <c r="G948" s="669"/>
      <c r="H948" s="671"/>
      <c r="I948" s="673"/>
      <c r="J948" s="652"/>
      <c r="K948" s="667"/>
      <c r="L948" s="667"/>
      <c r="M948" s="652"/>
      <c r="N948" s="652"/>
    </row>
    <row r="949" spans="1:23" s="189" customFormat="1" ht="40.200000000000003" customHeight="1" x14ac:dyDescent="0.3">
      <c r="A949" s="678" t="str">
        <f t="shared" ref="A949" ca="1" si="4000">INDIRECT("'update Helper'!C"&amp;U949)</f>
        <v>a163p000002zQc1AAE</v>
      </c>
      <c r="B949" s="674">
        <v>9</v>
      </c>
      <c r="C949" s="666" t="str">
        <f>VLOOKUP(B949,'Coverage Indicators - Section D'!$A$9:$AU$70,47,FALSE)</f>
        <v>TB/HIV-3.1a Pourcentage de personnes vivant avec le VIH ayant nouvellement initié la TARV chez qui les signes de la tuberculose ont été recherchés</v>
      </c>
      <c r="D949" s="676" t="str">
        <f t="shared" ref="D949" si="4001">R949</f>
        <v>Sexe</v>
      </c>
      <c r="E949" s="676" t="str">
        <f t="shared" ref="E949" si="4002">S949</f>
        <v>Femme</v>
      </c>
      <c r="F949" s="194"/>
      <c r="G949" s="668" t="str">
        <f t="shared" ref="G949" ca="1" si="4003">IF(OR(INDIRECT("'update Helper'!E"&amp;U949)=0,F949&lt;&gt;0,F950&lt;&gt;0),IF(IFERROR((F949/F950),"")="","",(F949/F950)),INDIRECT("'update Helper'!E"&amp;U949)/100)</f>
        <v/>
      </c>
      <c r="H949" s="670"/>
      <c r="I949" s="672"/>
      <c r="J949" s="651"/>
      <c r="K949" s="666" t="str">
        <f t="shared" ref="K949" si="4004">W949</f>
        <v>TB/HIV-3.1a Percentage of people living with HIV newly initiated on ART who were screened for TB</v>
      </c>
      <c r="L949" s="666" t="str">
        <f t="shared" ref="L949" si="4005">V949</f>
        <v>Gender</v>
      </c>
      <c r="M949" s="651"/>
      <c r="N949" s="651"/>
      <c r="P949" s="189">
        <f t="shared" ref="P949" si="4006">IF(AND(EXACT(C949,C947),C947&lt;&gt;0),P947+1,0)</f>
        <v>4</v>
      </c>
      <c r="Q949" s="189" t="str">
        <f t="shared" ref="Q949" si="4007">IF(C949&lt;&gt;"",C949&amp;"-"&amp;P949,"")</f>
        <v>TB/HIV-3.1a Pourcentage de personnes vivant avec le VIH ayant nouvellement initié la TARV chez qui les signes de la tuberculose ont été recherchés-4</v>
      </c>
      <c r="R949" s="189" t="str">
        <f t="array" ref="R949">IFERROR(IF(INDEX('Disaggregation Records'!$E$155:$E$385,MATCH(RIGHT(Q949,255),RIGHT('Disaggregation Records'!$D$155:$D$385,255),0))=0,"",INDEX('Disaggregation Records'!$E$155:$E$385,MATCH(RIGHT(Q949,255),RIGHT('Disaggregation Records'!$D$155:$D$385,255),0))),"")</f>
        <v>Sexe</v>
      </c>
      <c r="S949" s="189" t="str">
        <f t="array" ref="S949">IFERROR(IF(INDEX('Disaggregation Records'!$F$155:$F$385,MATCH(RIGHT(Q949,255),RIGHT('Disaggregation Records'!$D$155:$D$385,255),0))=0,"",INDEX('Disaggregation Records'!$F$155:$F$385,MATCH(RIGHT(Q949,255),RIGHT('Disaggregation Records'!$D$155:$D$385,255),0))),"")</f>
        <v>Femme</v>
      </c>
      <c r="T949" s="189" t="str">
        <f t="array" ref="T949">IFERROR(IF(INDEX('Disaggregation Records'!$H$155:$H$385,MATCH(RIGHT(Q949,255),RIGHT('Disaggregation Records'!$D$155:$D$385,255),0))=0,"",INDEX('Disaggregation Records'!$H$155:$H$385,MATCH(RIGHT(Q949,255),RIGHT('Disaggregation Records'!$D$155:$D$385,255),0))),"")</f>
        <v>IDR-00857</v>
      </c>
      <c r="U949" s="189">
        <f t="shared" ref="U949" si="4008">U947+1</f>
        <v>1576</v>
      </c>
      <c r="V949" s="189" t="str">
        <f t="array" ref="V949">IFERROR(IF(INDEX('Disaggregation Records'!$I$155:$I$385,MATCH(RIGHT(Q949,255),RIGHT('Disaggregation Records'!$D$155:$D$385,255),0))=0,"",INDEX('Disaggregation Records'!$I$155:$I$385,MATCH(RIGHT(Q949,255),RIGHT('Disaggregation Records'!$D$155:$D$385,255),0))),"")</f>
        <v>Gender</v>
      </c>
      <c r="W949" s="189" t="str">
        <f>IFERROR(INDEX('Reference Records'!L$59:L$121,MATCH(LEFT(C949,255),'Reference Records'!E$59:E$121,0)),"")</f>
        <v>TB/HIV-3.1a Percentage of people living with HIV newly initiated on ART who were screened for TB</v>
      </c>
    </row>
    <row r="950" spans="1:23" s="189" customFormat="1" ht="40.200000000000003" customHeight="1" x14ac:dyDescent="0.3">
      <c r="A950" s="678"/>
      <c r="B950" s="675"/>
      <c r="C950" s="667"/>
      <c r="D950" s="677"/>
      <c r="E950" s="677"/>
      <c r="F950" s="202"/>
      <c r="G950" s="669"/>
      <c r="H950" s="671"/>
      <c r="I950" s="673"/>
      <c r="J950" s="652"/>
      <c r="K950" s="667"/>
      <c r="L950" s="667"/>
      <c r="M950" s="652"/>
      <c r="N950" s="652"/>
    </row>
    <row r="951" spans="1:23" s="189" customFormat="1" ht="40.200000000000003" customHeight="1" x14ac:dyDescent="0.3">
      <c r="A951" s="678" t="str">
        <f t="shared" ref="A951" ca="1" si="4009">INDIRECT("'update Helper'!C"&amp;U951)</f>
        <v>a163p000002zQc2AAE</v>
      </c>
      <c r="B951" s="674">
        <v>9</v>
      </c>
      <c r="C951" s="666" t="str">
        <f>VLOOKUP(B951,'Coverage Indicators - Section D'!$A$9:$AU$70,47,FALSE)</f>
        <v>TB/HIV-3.1a Pourcentage de personnes vivant avec le VIH ayant nouvellement initié la TARV chez qui les signes de la tuberculose ont été recherchés</v>
      </c>
      <c r="D951" s="676" t="str">
        <f t="shared" ref="D951" si="4010">R951</f>
        <v/>
      </c>
      <c r="E951" s="676" t="str">
        <f t="shared" ref="E951" si="4011">S951</f>
        <v/>
      </c>
      <c r="F951" s="194"/>
      <c r="G951" s="668" t="str">
        <f t="shared" ref="G951" ca="1" si="4012">IF(OR(INDIRECT("'update Helper'!E"&amp;U951)=0,F951&lt;&gt;0,F952&lt;&gt;0),IF(IFERROR((F951/F952),"")="","",(F951/F952)),INDIRECT("'update Helper'!E"&amp;U951)/100)</f>
        <v/>
      </c>
      <c r="H951" s="670"/>
      <c r="I951" s="672"/>
      <c r="J951" s="651"/>
      <c r="K951" s="666" t="str">
        <f t="shared" ref="K951" si="4013">W951</f>
        <v>TB/HIV-3.1a Percentage of people living with HIV newly initiated on ART who were screened for TB</v>
      </c>
      <c r="L951" s="666" t="str">
        <f t="shared" ref="L951" si="4014">V951</f>
        <v/>
      </c>
      <c r="M951" s="651"/>
      <c r="N951" s="651"/>
      <c r="P951" s="189">
        <f t="shared" ref="P951" si="4015">IF(AND(EXACT(C951,C949),C949&lt;&gt;0),P949+1,0)</f>
        <v>5</v>
      </c>
      <c r="Q951" s="189" t="str">
        <f t="shared" ref="Q951" si="4016">IF(C951&lt;&gt;"",C951&amp;"-"&amp;P951,"")</f>
        <v>TB/HIV-3.1a Pourcentage de personnes vivant avec le VIH ayant nouvellement initié la TARV chez qui les signes de la tuberculose ont été recherchés-5</v>
      </c>
      <c r="R951" s="189" t="str">
        <f t="array" ref="R951">IFERROR(IF(INDEX('Disaggregation Records'!$E$155:$E$385,MATCH(RIGHT(Q951,255),RIGHT('Disaggregation Records'!$D$155:$D$385,255),0))=0,"",INDEX('Disaggregation Records'!$E$155:$E$385,MATCH(RIGHT(Q951,255),RIGHT('Disaggregation Records'!$D$155:$D$385,255),0))),"")</f>
        <v/>
      </c>
      <c r="S951" s="189" t="str">
        <f t="array" ref="S951">IFERROR(IF(INDEX('Disaggregation Records'!$F$155:$F$385,MATCH(RIGHT(Q951,255),RIGHT('Disaggregation Records'!$D$155:$D$385,255),0))=0,"",INDEX('Disaggregation Records'!$F$155:$F$385,MATCH(RIGHT(Q951,255),RIGHT('Disaggregation Records'!$D$155:$D$385,255),0))),"")</f>
        <v/>
      </c>
      <c r="T951" s="189" t="str">
        <f t="array" ref="T951">IFERROR(IF(INDEX('Disaggregation Records'!$H$155:$H$385,MATCH(RIGHT(Q951,255),RIGHT('Disaggregation Records'!$D$155:$D$385,255),0))=0,"",INDEX('Disaggregation Records'!$H$155:$H$385,MATCH(RIGHT(Q951,255),RIGHT('Disaggregation Records'!$D$155:$D$385,255),0))),"")</f>
        <v/>
      </c>
      <c r="U951" s="189">
        <f t="shared" ref="U951" si="4017">U949+1</f>
        <v>1577</v>
      </c>
      <c r="V951" s="189" t="str">
        <f t="array" ref="V951">IFERROR(IF(INDEX('Disaggregation Records'!$I$155:$I$385,MATCH(RIGHT(Q951,255),RIGHT('Disaggregation Records'!$D$155:$D$385,255),0))=0,"",INDEX('Disaggregation Records'!$I$155:$I$385,MATCH(RIGHT(Q951,255),RIGHT('Disaggregation Records'!$D$155:$D$385,255),0))),"")</f>
        <v/>
      </c>
      <c r="W951" s="189" t="str">
        <f>IFERROR(INDEX('Reference Records'!L$59:L$121,MATCH(LEFT(C951,255),'Reference Records'!E$59:E$121,0)),"")</f>
        <v>TB/HIV-3.1a Percentage of people living with HIV newly initiated on ART who were screened for TB</v>
      </c>
    </row>
    <row r="952" spans="1:23" s="189" customFormat="1" ht="40.200000000000003" customHeight="1" x14ac:dyDescent="0.3">
      <c r="A952" s="678"/>
      <c r="B952" s="675"/>
      <c r="C952" s="667"/>
      <c r="D952" s="677"/>
      <c r="E952" s="677"/>
      <c r="F952" s="202"/>
      <c r="G952" s="669"/>
      <c r="H952" s="671"/>
      <c r="I952" s="673"/>
      <c r="J952" s="652"/>
      <c r="K952" s="667"/>
      <c r="L952" s="667"/>
      <c r="M952" s="652"/>
      <c r="N952" s="652"/>
    </row>
    <row r="953" spans="1:23" s="189" customFormat="1" ht="40.200000000000003" customHeight="1" x14ac:dyDescent="0.3">
      <c r="A953" s="678" t="str">
        <f t="shared" ref="A953" ca="1" si="4018">INDIRECT("'update Helper'!C"&amp;U953)</f>
        <v>a163p000002zQc3AAE</v>
      </c>
      <c r="B953" s="674">
        <v>9</v>
      </c>
      <c r="C953" s="666" t="str">
        <f>VLOOKUP(B953,'Coverage Indicators - Section D'!$A$9:$AU$70,47,FALSE)</f>
        <v>TB/HIV-3.1a Pourcentage de personnes vivant avec le VIH ayant nouvellement initié la TARV chez qui les signes de la tuberculose ont été recherchés</v>
      </c>
      <c r="D953" s="676" t="str">
        <f t="shared" ref="D953" si="4019">R953</f>
        <v/>
      </c>
      <c r="E953" s="676" t="str">
        <f t="shared" ref="E953" si="4020">S953</f>
        <v/>
      </c>
      <c r="F953" s="194"/>
      <c r="G953" s="668" t="str">
        <f t="shared" ref="G953" ca="1" si="4021">IF(OR(INDIRECT("'update Helper'!E"&amp;U953)=0,F953&lt;&gt;0,F954&lt;&gt;0),IF(IFERROR((F953/F954),"")="","",(F953/F954)),INDIRECT("'update Helper'!E"&amp;U953)/100)</f>
        <v/>
      </c>
      <c r="H953" s="670"/>
      <c r="I953" s="672"/>
      <c r="J953" s="651"/>
      <c r="K953" s="666" t="str">
        <f t="shared" ref="K953" si="4022">W953</f>
        <v>TB/HIV-3.1a Percentage of people living with HIV newly initiated on ART who were screened for TB</v>
      </c>
      <c r="L953" s="666" t="str">
        <f t="shared" ref="L953" si="4023">V953</f>
        <v/>
      </c>
      <c r="M953" s="651"/>
      <c r="N953" s="651"/>
      <c r="P953" s="189">
        <f t="shared" ref="P953" si="4024">IF(AND(EXACT(C953,C951),C951&lt;&gt;0),P951+1,0)</f>
        <v>6</v>
      </c>
      <c r="Q953" s="189" t="str">
        <f t="shared" ref="Q953" si="4025">IF(C953&lt;&gt;"",C953&amp;"-"&amp;P953,"")</f>
        <v>TB/HIV-3.1a Pourcentage de personnes vivant avec le VIH ayant nouvellement initié la TARV chez qui les signes de la tuberculose ont été recherchés-6</v>
      </c>
      <c r="R953" s="189" t="str">
        <f t="array" ref="R953">IFERROR(IF(INDEX('Disaggregation Records'!$E$155:$E$385,MATCH(RIGHT(Q953,255),RIGHT('Disaggregation Records'!$D$155:$D$385,255),0))=0,"",INDEX('Disaggregation Records'!$E$155:$E$385,MATCH(RIGHT(Q953,255),RIGHT('Disaggregation Records'!$D$155:$D$385,255),0))),"")</f>
        <v/>
      </c>
      <c r="S953" s="189" t="str">
        <f t="array" ref="S953">IFERROR(IF(INDEX('Disaggregation Records'!$F$155:$F$385,MATCH(RIGHT(Q953,255),RIGHT('Disaggregation Records'!$D$155:$D$385,255),0))=0,"",INDEX('Disaggregation Records'!$F$155:$F$385,MATCH(RIGHT(Q953,255),RIGHT('Disaggregation Records'!$D$155:$D$385,255),0))),"")</f>
        <v/>
      </c>
      <c r="T953" s="189" t="str">
        <f t="array" ref="T953">IFERROR(IF(INDEX('Disaggregation Records'!$H$155:$H$385,MATCH(RIGHT(Q953,255),RIGHT('Disaggregation Records'!$D$155:$D$385,255),0))=0,"",INDEX('Disaggregation Records'!$H$155:$H$385,MATCH(RIGHT(Q953,255),RIGHT('Disaggregation Records'!$D$155:$D$385,255),0))),"")</f>
        <v/>
      </c>
      <c r="U953" s="189">
        <f t="shared" ref="U953" si="4026">U951+1</f>
        <v>1578</v>
      </c>
      <c r="V953" s="189" t="str">
        <f t="array" ref="V953">IFERROR(IF(INDEX('Disaggregation Records'!$I$155:$I$385,MATCH(RIGHT(Q953,255),RIGHT('Disaggregation Records'!$D$155:$D$385,255),0))=0,"",INDEX('Disaggregation Records'!$I$155:$I$385,MATCH(RIGHT(Q953,255),RIGHT('Disaggregation Records'!$D$155:$D$385,255),0))),"")</f>
        <v/>
      </c>
      <c r="W953" s="189" t="str">
        <f>IFERROR(INDEX('Reference Records'!L$59:L$121,MATCH(LEFT(C953,255),'Reference Records'!E$59:E$121,0)),"")</f>
        <v>TB/HIV-3.1a Percentage of people living with HIV newly initiated on ART who were screened for TB</v>
      </c>
    </row>
    <row r="954" spans="1:23" s="189" customFormat="1" ht="40.200000000000003" customHeight="1" x14ac:dyDescent="0.3">
      <c r="A954" s="678"/>
      <c r="B954" s="675"/>
      <c r="C954" s="667"/>
      <c r="D954" s="677"/>
      <c r="E954" s="677"/>
      <c r="F954" s="202"/>
      <c r="G954" s="669"/>
      <c r="H954" s="671"/>
      <c r="I954" s="673"/>
      <c r="J954" s="652"/>
      <c r="K954" s="667"/>
      <c r="L954" s="667"/>
      <c r="M954" s="652"/>
      <c r="N954" s="652"/>
    </row>
    <row r="955" spans="1:23" s="189" customFormat="1" ht="40.200000000000003" customHeight="1" x14ac:dyDescent="0.3">
      <c r="A955" s="678" t="str">
        <f t="shared" ref="A955" ca="1" si="4027">INDIRECT("'update Helper'!C"&amp;U955)</f>
        <v>a163p000002zQc4AAE</v>
      </c>
      <c r="B955" s="674">
        <v>9</v>
      </c>
      <c r="C955" s="666" t="str">
        <f>VLOOKUP(B955,'Coverage Indicators - Section D'!$A$9:$AU$70,47,FALSE)</f>
        <v>TB/HIV-3.1a Pourcentage de personnes vivant avec le VIH ayant nouvellement initié la TARV chez qui les signes de la tuberculose ont été recherchés</v>
      </c>
      <c r="D955" s="676" t="str">
        <f t="shared" ref="D955" si="4028">R955</f>
        <v/>
      </c>
      <c r="E955" s="676" t="str">
        <f t="shared" ref="E955" si="4029">S955</f>
        <v/>
      </c>
      <c r="F955" s="194"/>
      <c r="G955" s="668" t="str">
        <f t="shared" ref="G955" ca="1" si="4030">IF(OR(INDIRECT("'update Helper'!E"&amp;U955)=0,F955&lt;&gt;0,F956&lt;&gt;0),IF(IFERROR((F955/F956),"")="","",(F955/F956)),INDIRECT("'update Helper'!E"&amp;U955)/100)</f>
        <v/>
      </c>
      <c r="H955" s="670"/>
      <c r="I955" s="672"/>
      <c r="J955" s="651"/>
      <c r="K955" s="666" t="str">
        <f t="shared" ref="K955" si="4031">W955</f>
        <v>TB/HIV-3.1a Percentage of people living with HIV newly initiated on ART who were screened for TB</v>
      </c>
      <c r="L955" s="666" t="str">
        <f t="shared" ref="L955" si="4032">V955</f>
        <v/>
      </c>
      <c r="M955" s="651"/>
      <c r="N955" s="651"/>
      <c r="P955" s="189">
        <f t="shared" ref="P955" si="4033">IF(AND(EXACT(C955,C953),C953&lt;&gt;0),P953+1,0)</f>
        <v>7</v>
      </c>
      <c r="Q955" s="189" t="str">
        <f t="shared" ref="Q955" si="4034">IF(C955&lt;&gt;"",C955&amp;"-"&amp;P955,"")</f>
        <v>TB/HIV-3.1a Pourcentage de personnes vivant avec le VIH ayant nouvellement initié la TARV chez qui les signes de la tuberculose ont été recherchés-7</v>
      </c>
      <c r="R955" s="189" t="str">
        <f t="array" ref="R955">IFERROR(IF(INDEX('Disaggregation Records'!$E$155:$E$385,MATCH(RIGHT(Q955,255),RIGHT('Disaggregation Records'!$D$155:$D$385,255),0))=0,"",INDEX('Disaggregation Records'!$E$155:$E$385,MATCH(RIGHT(Q955,255),RIGHT('Disaggregation Records'!$D$155:$D$385,255),0))),"")</f>
        <v/>
      </c>
      <c r="S955" s="189" t="str">
        <f t="array" ref="S955">IFERROR(IF(INDEX('Disaggregation Records'!$F$155:$F$385,MATCH(RIGHT(Q955,255),RIGHT('Disaggregation Records'!$D$155:$D$385,255),0))=0,"",INDEX('Disaggregation Records'!$F$155:$F$385,MATCH(RIGHT(Q955,255),RIGHT('Disaggregation Records'!$D$155:$D$385,255),0))),"")</f>
        <v/>
      </c>
      <c r="T955" s="189" t="str">
        <f t="array" ref="T955">IFERROR(IF(INDEX('Disaggregation Records'!$H$155:$H$385,MATCH(RIGHT(Q955,255),RIGHT('Disaggregation Records'!$D$155:$D$385,255),0))=0,"",INDEX('Disaggregation Records'!$H$155:$H$385,MATCH(RIGHT(Q955,255),RIGHT('Disaggregation Records'!$D$155:$D$385,255),0))),"")</f>
        <v/>
      </c>
      <c r="U955" s="189">
        <f t="shared" ref="U955" si="4035">U953+1</f>
        <v>1579</v>
      </c>
      <c r="V955" s="189" t="str">
        <f t="array" ref="V955">IFERROR(IF(INDEX('Disaggregation Records'!$I$155:$I$385,MATCH(RIGHT(Q955,255),RIGHT('Disaggregation Records'!$D$155:$D$385,255),0))=0,"",INDEX('Disaggregation Records'!$I$155:$I$385,MATCH(RIGHT(Q955,255),RIGHT('Disaggregation Records'!$D$155:$D$385,255),0))),"")</f>
        <v/>
      </c>
      <c r="W955" s="189" t="str">
        <f>IFERROR(INDEX('Reference Records'!L$59:L$121,MATCH(LEFT(C955,255),'Reference Records'!E$59:E$121,0)),"")</f>
        <v>TB/HIV-3.1a Percentage of people living with HIV newly initiated on ART who were screened for TB</v>
      </c>
    </row>
    <row r="956" spans="1:23" s="189" customFormat="1" ht="40.200000000000003" customHeight="1" x14ac:dyDescent="0.3">
      <c r="A956" s="678"/>
      <c r="B956" s="675"/>
      <c r="C956" s="667"/>
      <c r="D956" s="677"/>
      <c r="E956" s="677"/>
      <c r="F956" s="202"/>
      <c r="G956" s="669"/>
      <c r="H956" s="671"/>
      <c r="I956" s="673"/>
      <c r="J956" s="652"/>
      <c r="K956" s="667"/>
      <c r="L956" s="667"/>
      <c r="M956" s="652"/>
      <c r="N956" s="652"/>
    </row>
    <row r="957" spans="1:23" s="189" customFormat="1" ht="40.200000000000003" customHeight="1" x14ac:dyDescent="0.3">
      <c r="A957" s="678" t="str">
        <f t="shared" ref="A957" ca="1" si="4036">INDIRECT("'update Helper'!C"&amp;U957)</f>
        <v>a163p000002zQc5AAE</v>
      </c>
      <c r="B957" s="674">
        <v>9</v>
      </c>
      <c r="C957" s="666" t="str">
        <f>VLOOKUP(B957,'Coverage Indicators - Section D'!$A$9:$AU$70,47,FALSE)</f>
        <v>TB/HIV-3.1a Pourcentage de personnes vivant avec le VIH ayant nouvellement initié la TARV chez qui les signes de la tuberculose ont été recherchés</v>
      </c>
      <c r="D957" s="676" t="str">
        <f t="shared" ref="D957" si="4037">R957</f>
        <v/>
      </c>
      <c r="E957" s="676" t="str">
        <f t="shared" ref="E957" si="4038">S957</f>
        <v/>
      </c>
      <c r="F957" s="194"/>
      <c r="G957" s="668" t="str">
        <f t="shared" ref="G957" ca="1" si="4039">IF(OR(INDIRECT("'update Helper'!E"&amp;U957)=0,F957&lt;&gt;0,F958&lt;&gt;0),IF(IFERROR((F957/F958),"")="","",(F957/F958)),INDIRECT("'update Helper'!E"&amp;U957)/100)</f>
        <v/>
      </c>
      <c r="H957" s="670"/>
      <c r="I957" s="672"/>
      <c r="J957" s="651"/>
      <c r="K957" s="666" t="str">
        <f t="shared" ref="K957" si="4040">W957</f>
        <v>TB/HIV-3.1a Percentage of people living with HIV newly initiated on ART who were screened for TB</v>
      </c>
      <c r="L957" s="666" t="str">
        <f t="shared" ref="L957" si="4041">V957</f>
        <v/>
      </c>
      <c r="M957" s="651"/>
      <c r="N957" s="651"/>
      <c r="P957" s="189">
        <f t="shared" ref="P957" si="4042">IF(AND(EXACT(C957,C955),C955&lt;&gt;0),P955+1,0)</f>
        <v>8</v>
      </c>
      <c r="Q957" s="189" t="str">
        <f t="shared" ref="Q957" si="4043">IF(C957&lt;&gt;"",C957&amp;"-"&amp;P957,"")</f>
        <v>TB/HIV-3.1a Pourcentage de personnes vivant avec le VIH ayant nouvellement initié la TARV chez qui les signes de la tuberculose ont été recherchés-8</v>
      </c>
      <c r="R957" s="189" t="str">
        <f t="array" ref="R957">IFERROR(IF(INDEX('Disaggregation Records'!$E$155:$E$385,MATCH(RIGHT(Q957,255),RIGHT('Disaggregation Records'!$D$155:$D$385,255),0))=0,"",INDEX('Disaggregation Records'!$E$155:$E$385,MATCH(RIGHT(Q957,255),RIGHT('Disaggregation Records'!$D$155:$D$385,255),0))),"")</f>
        <v/>
      </c>
      <c r="S957" s="189" t="str">
        <f t="array" ref="S957">IFERROR(IF(INDEX('Disaggregation Records'!$F$155:$F$385,MATCH(RIGHT(Q957,255),RIGHT('Disaggregation Records'!$D$155:$D$385,255),0))=0,"",INDEX('Disaggregation Records'!$F$155:$F$385,MATCH(RIGHT(Q957,255),RIGHT('Disaggregation Records'!$D$155:$D$385,255),0))),"")</f>
        <v/>
      </c>
      <c r="T957" s="189" t="str">
        <f t="array" ref="T957">IFERROR(IF(INDEX('Disaggregation Records'!$H$155:$H$385,MATCH(RIGHT(Q957,255),RIGHT('Disaggregation Records'!$D$155:$D$385,255),0))=0,"",INDEX('Disaggregation Records'!$H$155:$H$385,MATCH(RIGHT(Q957,255),RIGHT('Disaggregation Records'!$D$155:$D$385,255),0))),"")</f>
        <v/>
      </c>
      <c r="U957" s="189">
        <f t="shared" ref="U957" si="4044">U955+1</f>
        <v>1580</v>
      </c>
      <c r="V957" s="189" t="str">
        <f t="array" ref="V957">IFERROR(IF(INDEX('Disaggregation Records'!$I$155:$I$385,MATCH(RIGHT(Q957,255),RIGHT('Disaggregation Records'!$D$155:$D$385,255),0))=0,"",INDEX('Disaggregation Records'!$I$155:$I$385,MATCH(RIGHT(Q957,255),RIGHT('Disaggregation Records'!$D$155:$D$385,255),0))),"")</f>
        <v/>
      </c>
      <c r="W957" s="189" t="str">
        <f>IFERROR(INDEX('Reference Records'!L$59:L$121,MATCH(LEFT(C957,255),'Reference Records'!E$59:E$121,0)),"")</f>
        <v>TB/HIV-3.1a Percentage of people living with HIV newly initiated on ART who were screened for TB</v>
      </c>
    </row>
    <row r="958" spans="1:23" s="189" customFormat="1" ht="40.200000000000003" customHeight="1" x14ac:dyDescent="0.3">
      <c r="A958" s="678"/>
      <c r="B958" s="675"/>
      <c r="C958" s="667"/>
      <c r="D958" s="677"/>
      <c r="E958" s="677"/>
      <c r="F958" s="202"/>
      <c r="G958" s="669"/>
      <c r="H958" s="671"/>
      <c r="I958" s="673"/>
      <c r="J958" s="652"/>
      <c r="K958" s="667"/>
      <c r="L958" s="667"/>
      <c r="M958" s="652"/>
      <c r="N958" s="652"/>
    </row>
    <row r="959" spans="1:23" s="189" customFormat="1" ht="40.200000000000003" customHeight="1" x14ac:dyDescent="0.3">
      <c r="A959" s="678" t="str">
        <f t="shared" ref="A959" ca="1" si="4045">INDIRECT("'update Helper'!C"&amp;U959)</f>
        <v>a163p000002zQc6AAE</v>
      </c>
      <c r="B959" s="674">
        <v>9</v>
      </c>
      <c r="C959" s="666" t="str">
        <f>VLOOKUP(B959,'Coverage Indicators - Section D'!$A$9:$AU$70,47,FALSE)</f>
        <v>TB/HIV-3.1a Pourcentage de personnes vivant avec le VIH ayant nouvellement initié la TARV chez qui les signes de la tuberculose ont été recherchés</v>
      </c>
      <c r="D959" s="676" t="str">
        <f t="shared" ref="D959" si="4046">R959</f>
        <v/>
      </c>
      <c r="E959" s="676" t="str">
        <f t="shared" ref="E959" si="4047">S959</f>
        <v/>
      </c>
      <c r="F959" s="194"/>
      <c r="G959" s="668" t="str">
        <f t="shared" ref="G959" ca="1" si="4048">IF(OR(INDIRECT("'update Helper'!E"&amp;U959)=0,F959&lt;&gt;0,F960&lt;&gt;0),IF(IFERROR((F959/F960),"")="","",(F959/F960)),INDIRECT("'update Helper'!E"&amp;U959)/100)</f>
        <v/>
      </c>
      <c r="H959" s="670"/>
      <c r="I959" s="672"/>
      <c r="J959" s="651"/>
      <c r="K959" s="666" t="str">
        <f t="shared" ref="K959" si="4049">W959</f>
        <v>TB/HIV-3.1a Percentage of people living with HIV newly initiated on ART who were screened for TB</v>
      </c>
      <c r="L959" s="666" t="str">
        <f t="shared" ref="L959" si="4050">V959</f>
        <v/>
      </c>
      <c r="M959" s="651"/>
      <c r="N959" s="651"/>
      <c r="P959" s="189">
        <f t="shared" ref="P959" si="4051">IF(AND(EXACT(C959,C957),C957&lt;&gt;0),P957+1,0)</f>
        <v>9</v>
      </c>
      <c r="Q959" s="189" t="str">
        <f t="shared" ref="Q959" si="4052">IF(C959&lt;&gt;"",C959&amp;"-"&amp;P959,"")</f>
        <v>TB/HIV-3.1a Pourcentage de personnes vivant avec le VIH ayant nouvellement initié la TARV chez qui les signes de la tuberculose ont été recherchés-9</v>
      </c>
      <c r="R959" s="189" t="str">
        <f t="array" ref="R959">IFERROR(IF(INDEX('Disaggregation Records'!$E$155:$E$385,MATCH(RIGHT(Q959,255),RIGHT('Disaggregation Records'!$D$155:$D$385,255),0))=0,"",INDEX('Disaggregation Records'!$E$155:$E$385,MATCH(RIGHT(Q959,255),RIGHT('Disaggregation Records'!$D$155:$D$385,255),0))),"")</f>
        <v/>
      </c>
      <c r="S959" s="189" t="str">
        <f t="array" ref="S959">IFERROR(IF(INDEX('Disaggregation Records'!$F$155:$F$385,MATCH(RIGHT(Q959,255),RIGHT('Disaggregation Records'!$D$155:$D$385,255),0))=0,"",INDEX('Disaggregation Records'!$F$155:$F$385,MATCH(RIGHT(Q959,255),RIGHT('Disaggregation Records'!$D$155:$D$385,255),0))),"")</f>
        <v/>
      </c>
      <c r="T959" s="189" t="str">
        <f t="array" ref="T959">IFERROR(IF(INDEX('Disaggregation Records'!$H$155:$H$385,MATCH(RIGHT(Q959,255),RIGHT('Disaggregation Records'!$D$155:$D$385,255),0))=0,"",INDEX('Disaggregation Records'!$H$155:$H$385,MATCH(RIGHT(Q959,255),RIGHT('Disaggregation Records'!$D$155:$D$385,255),0))),"")</f>
        <v/>
      </c>
      <c r="U959" s="189">
        <f t="shared" ref="U959" si="4053">U957+1</f>
        <v>1581</v>
      </c>
      <c r="V959" s="189" t="str">
        <f t="array" ref="V959">IFERROR(IF(INDEX('Disaggregation Records'!$I$155:$I$385,MATCH(RIGHT(Q959,255),RIGHT('Disaggregation Records'!$D$155:$D$385,255),0))=0,"",INDEX('Disaggregation Records'!$I$155:$I$385,MATCH(RIGHT(Q959,255),RIGHT('Disaggregation Records'!$D$155:$D$385,255),0))),"")</f>
        <v/>
      </c>
      <c r="W959" s="189" t="str">
        <f>IFERROR(INDEX('Reference Records'!L$59:L$121,MATCH(LEFT(C959,255),'Reference Records'!E$59:E$121,0)),"")</f>
        <v>TB/HIV-3.1a Percentage of people living with HIV newly initiated on ART who were screened for TB</v>
      </c>
    </row>
    <row r="960" spans="1:23" s="189" customFormat="1" ht="40.200000000000003" customHeight="1" x14ac:dyDescent="0.3">
      <c r="A960" s="678"/>
      <c r="B960" s="675"/>
      <c r="C960" s="667"/>
      <c r="D960" s="677"/>
      <c r="E960" s="677"/>
      <c r="F960" s="202"/>
      <c r="G960" s="669"/>
      <c r="H960" s="671"/>
      <c r="I960" s="673"/>
      <c r="J960" s="652"/>
      <c r="K960" s="667"/>
      <c r="L960" s="667"/>
      <c r="M960" s="652"/>
      <c r="N960" s="652"/>
    </row>
    <row r="961" spans="1:23" s="189" customFormat="1" ht="40.200000000000003" customHeight="1" x14ac:dyDescent="0.3">
      <c r="A961" s="678" t="str">
        <f t="shared" ref="A961" ca="1" si="4054">INDIRECT("'update Helper'!C"&amp;U961)</f>
        <v>a163p000002zQc7AAE</v>
      </c>
      <c r="B961" s="674">
        <v>9</v>
      </c>
      <c r="C961" s="666" t="str">
        <f>VLOOKUP(B961,'Coverage Indicators - Section D'!$A$9:$AU$70,47,FALSE)</f>
        <v>TB/HIV-3.1a Pourcentage de personnes vivant avec le VIH ayant nouvellement initié la TARV chez qui les signes de la tuberculose ont été recherchés</v>
      </c>
      <c r="D961" s="676" t="str">
        <f t="shared" ref="D961" si="4055">R961</f>
        <v/>
      </c>
      <c r="E961" s="676" t="str">
        <f t="shared" ref="E961" si="4056">S961</f>
        <v/>
      </c>
      <c r="F961" s="194"/>
      <c r="G961" s="668" t="str">
        <f t="shared" ref="G961" ca="1" si="4057">IF(OR(INDIRECT("'update Helper'!E"&amp;U961)=0,F961&lt;&gt;0,F962&lt;&gt;0),IF(IFERROR((F961/F962),"")="","",(F961/F962)),INDIRECT("'update Helper'!E"&amp;U961)/100)</f>
        <v/>
      </c>
      <c r="H961" s="670"/>
      <c r="I961" s="672"/>
      <c r="J961" s="651"/>
      <c r="K961" s="666" t="str">
        <f t="shared" ref="K961" si="4058">W961</f>
        <v>TB/HIV-3.1a Percentage of people living with HIV newly initiated on ART who were screened for TB</v>
      </c>
      <c r="L961" s="666" t="str">
        <f t="shared" ref="L961" si="4059">V961</f>
        <v/>
      </c>
      <c r="M961" s="651"/>
      <c r="N961" s="651"/>
      <c r="P961" s="189">
        <f t="shared" ref="P961" si="4060">IF(AND(EXACT(C961,C959),C959&lt;&gt;0),P959+1,0)</f>
        <v>10</v>
      </c>
      <c r="Q961" s="189" t="str">
        <f t="shared" ref="Q961" si="4061">IF(C961&lt;&gt;"",C961&amp;"-"&amp;P961,"")</f>
        <v>TB/HIV-3.1a Pourcentage de personnes vivant avec le VIH ayant nouvellement initié la TARV chez qui les signes de la tuberculose ont été recherchés-10</v>
      </c>
      <c r="R961" s="189" t="str">
        <f t="array" ref="R961">IFERROR(IF(INDEX('Disaggregation Records'!$E$155:$E$385,MATCH(RIGHT(Q961,255),RIGHT('Disaggregation Records'!$D$155:$D$385,255),0))=0,"",INDEX('Disaggregation Records'!$E$155:$E$385,MATCH(RIGHT(Q961,255),RIGHT('Disaggregation Records'!$D$155:$D$385,255),0))),"")</f>
        <v/>
      </c>
      <c r="S961" s="189" t="str">
        <f t="array" ref="S961">IFERROR(IF(INDEX('Disaggregation Records'!$F$155:$F$385,MATCH(RIGHT(Q961,255),RIGHT('Disaggregation Records'!$D$155:$D$385,255),0))=0,"",INDEX('Disaggregation Records'!$F$155:$F$385,MATCH(RIGHT(Q961,255),RIGHT('Disaggregation Records'!$D$155:$D$385,255),0))),"")</f>
        <v/>
      </c>
      <c r="T961" s="189" t="str">
        <f t="array" ref="T961">IFERROR(IF(INDEX('Disaggregation Records'!$H$155:$H$385,MATCH(RIGHT(Q961,255),RIGHT('Disaggregation Records'!$D$155:$D$385,255),0))=0,"",INDEX('Disaggregation Records'!$H$155:$H$385,MATCH(RIGHT(Q961,255),RIGHT('Disaggregation Records'!$D$155:$D$385,255),0))),"")</f>
        <v/>
      </c>
      <c r="U961" s="189">
        <f t="shared" ref="U961" si="4062">U959+1</f>
        <v>1582</v>
      </c>
      <c r="V961" s="189" t="str">
        <f t="array" ref="V961">IFERROR(IF(INDEX('Disaggregation Records'!$I$155:$I$385,MATCH(RIGHT(Q961,255),RIGHT('Disaggregation Records'!$D$155:$D$385,255),0))=0,"",INDEX('Disaggregation Records'!$I$155:$I$385,MATCH(RIGHT(Q961,255),RIGHT('Disaggregation Records'!$D$155:$D$385,255),0))),"")</f>
        <v/>
      </c>
      <c r="W961" s="189" t="str">
        <f>IFERROR(INDEX('Reference Records'!L$59:L$121,MATCH(LEFT(C961,255),'Reference Records'!E$59:E$121,0)),"")</f>
        <v>TB/HIV-3.1a Percentage of people living with HIV newly initiated on ART who were screened for TB</v>
      </c>
    </row>
    <row r="962" spans="1:23" s="189" customFormat="1" ht="40.200000000000003" customHeight="1" x14ac:dyDescent="0.3">
      <c r="A962" s="678"/>
      <c r="B962" s="675"/>
      <c r="C962" s="667"/>
      <c r="D962" s="677"/>
      <c r="E962" s="677"/>
      <c r="F962" s="202"/>
      <c r="G962" s="669"/>
      <c r="H962" s="671"/>
      <c r="I962" s="673"/>
      <c r="J962" s="652"/>
      <c r="K962" s="667"/>
      <c r="L962" s="667"/>
      <c r="M962" s="652"/>
      <c r="N962" s="652"/>
    </row>
    <row r="963" spans="1:23" s="189" customFormat="1" ht="40.200000000000003" customHeight="1" x14ac:dyDescent="0.3">
      <c r="A963" s="678" t="str">
        <f t="shared" ref="A963" ca="1" si="4063">INDIRECT("'update Helper'!C"&amp;U963)</f>
        <v>a163p000002zQc8AAE</v>
      </c>
      <c r="B963" s="674">
        <v>9</v>
      </c>
      <c r="C963" s="666" t="str">
        <f>VLOOKUP(B963,'Coverage Indicators - Section D'!$A$9:$AU$70,47,FALSE)</f>
        <v>TB/HIV-3.1a Pourcentage de personnes vivant avec le VIH ayant nouvellement initié la TARV chez qui les signes de la tuberculose ont été recherchés</v>
      </c>
      <c r="D963" s="676" t="str">
        <f t="shared" ref="D963" si="4064">R963</f>
        <v/>
      </c>
      <c r="E963" s="676" t="str">
        <f t="shared" ref="E963" si="4065">S963</f>
        <v/>
      </c>
      <c r="F963" s="194"/>
      <c r="G963" s="668" t="str">
        <f t="shared" ref="G963" ca="1" si="4066">IF(OR(INDIRECT("'update Helper'!E"&amp;U963)=0,F963&lt;&gt;0,F964&lt;&gt;0),IF(IFERROR((F963/F964),"")="","",(F963/F964)),INDIRECT("'update Helper'!E"&amp;U963)/100)</f>
        <v/>
      </c>
      <c r="H963" s="670"/>
      <c r="I963" s="672"/>
      <c r="J963" s="651"/>
      <c r="K963" s="666" t="str">
        <f t="shared" ref="K963" si="4067">W963</f>
        <v>TB/HIV-3.1a Percentage of people living with HIV newly initiated on ART who were screened for TB</v>
      </c>
      <c r="L963" s="666" t="str">
        <f t="shared" ref="L963" si="4068">V963</f>
        <v/>
      </c>
      <c r="M963" s="651"/>
      <c r="N963" s="651"/>
      <c r="P963" s="189">
        <f t="shared" ref="P963" si="4069">IF(AND(EXACT(C963,C961),C961&lt;&gt;0),P961+1,0)</f>
        <v>11</v>
      </c>
      <c r="Q963" s="189" t="str">
        <f t="shared" ref="Q963" si="4070">IF(C963&lt;&gt;"",C963&amp;"-"&amp;P963,"")</f>
        <v>TB/HIV-3.1a Pourcentage de personnes vivant avec le VIH ayant nouvellement initié la TARV chez qui les signes de la tuberculose ont été recherchés-11</v>
      </c>
      <c r="R963" s="189" t="str">
        <f t="array" ref="R963">IFERROR(IF(INDEX('Disaggregation Records'!$E$155:$E$385,MATCH(RIGHT(Q963,255),RIGHT('Disaggregation Records'!$D$155:$D$385,255),0))=0,"",INDEX('Disaggregation Records'!$E$155:$E$385,MATCH(RIGHT(Q963,255),RIGHT('Disaggregation Records'!$D$155:$D$385,255),0))),"")</f>
        <v/>
      </c>
      <c r="S963" s="189" t="str">
        <f t="array" ref="S963">IFERROR(IF(INDEX('Disaggregation Records'!$F$155:$F$385,MATCH(RIGHT(Q963,255),RIGHT('Disaggregation Records'!$D$155:$D$385,255),0))=0,"",INDEX('Disaggregation Records'!$F$155:$F$385,MATCH(RIGHT(Q963,255),RIGHT('Disaggregation Records'!$D$155:$D$385,255),0))),"")</f>
        <v/>
      </c>
      <c r="T963" s="189" t="str">
        <f t="array" ref="T963">IFERROR(IF(INDEX('Disaggregation Records'!$H$155:$H$385,MATCH(RIGHT(Q963,255),RIGHT('Disaggregation Records'!$D$155:$D$385,255),0))=0,"",INDEX('Disaggregation Records'!$H$155:$H$385,MATCH(RIGHT(Q963,255),RIGHT('Disaggregation Records'!$D$155:$D$385,255),0))),"")</f>
        <v/>
      </c>
      <c r="U963" s="189">
        <f t="shared" ref="U963" si="4071">U961+1</f>
        <v>1583</v>
      </c>
      <c r="V963" s="189" t="str">
        <f t="array" ref="V963">IFERROR(IF(INDEX('Disaggregation Records'!$I$155:$I$385,MATCH(RIGHT(Q963,255),RIGHT('Disaggregation Records'!$D$155:$D$385,255),0))=0,"",INDEX('Disaggregation Records'!$I$155:$I$385,MATCH(RIGHT(Q963,255),RIGHT('Disaggregation Records'!$D$155:$D$385,255),0))),"")</f>
        <v/>
      </c>
      <c r="W963" s="189" t="str">
        <f>IFERROR(INDEX('Reference Records'!L$59:L$121,MATCH(LEFT(C963,255),'Reference Records'!E$59:E$121,0)),"")</f>
        <v>TB/HIV-3.1a Percentage of people living with HIV newly initiated on ART who were screened for TB</v>
      </c>
    </row>
    <row r="964" spans="1:23" s="189" customFormat="1" ht="40.200000000000003" customHeight="1" x14ac:dyDescent="0.3">
      <c r="A964" s="678"/>
      <c r="B964" s="675"/>
      <c r="C964" s="667"/>
      <c r="D964" s="677"/>
      <c r="E964" s="677"/>
      <c r="F964" s="202"/>
      <c r="G964" s="669"/>
      <c r="H964" s="671"/>
      <c r="I964" s="673"/>
      <c r="J964" s="652"/>
      <c r="K964" s="667"/>
      <c r="L964" s="667"/>
      <c r="M964" s="652"/>
      <c r="N964" s="652"/>
    </row>
    <row r="965" spans="1:23" s="189" customFormat="1" ht="40.200000000000003" customHeight="1" x14ac:dyDescent="0.3">
      <c r="A965" s="678" t="str">
        <f t="shared" ref="A965" ca="1" si="4072">INDIRECT("'update Helper'!C"&amp;U965)</f>
        <v>a163p000002zQc9AAE</v>
      </c>
      <c r="B965" s="674">
        <v>9</v>
      </c>
      <c r="C965" s="666" t="str">
        <f>VLOOKUP(B965,'Coverage Indicators - Section D'!$A$9:$AU$70,47,FALSE)</f>
        <v>TB/HIV-3.1a Pourcentage de personnes vivant avec le VIH ayant nouvellement initié la TARV chez qui les signes de la tuberculose ont été recherchés</v>
      </c>
      <c r="D965" s="676" t="str">
        <f t="shared" ref="D965" si="4073">R965</f>
        <v/>
      </c>
      <c r="E965" s="676" t="str">
        <f t="shared" ref="E965" si="4074">S965</f>
        <v/>
      </c>
      <c r="F965" s="194"/>
      <c r="G965" s="668" t="str">
        <f t="shared" ref="G965" ca="1" si="4075">IF(OR(INDIRECT("'update Helper'!E"&amp;U965)=0,F965&lt;&gt;0,F966&lt;&gt;0),IF(IFERROR((F965/F966),"")="","",(F965/F966)),INDIRECT("'update Helper'!E"&amp;U965)/100)</f>
        <v/>
      </c>
      <c r="H965" s="670"/>
      <c r="I965" s="672"/>
      <c r="J965" s="651"/>
      <c r="K965" s="666" t="str">
        <f t="shared" ref="K965" si="4076">W965</f>
        <v>TB/HIV-3.1a Percentage of people living with HIV newly initiated on ART who were screened for TB</v>
      </c>
      <c r="L965" s="666" t="str">
        <f t="shared" ref="L965" si="4077">V965</f>
        <v/>
      </c>
      <c r="M965" s="651"/>
      <c r="N965" s="651"/>
      <c r="P965" s="189">
        <f t="shared" ref="P965" si="4078">IF(AND(EXACT(C965,C963),C963&lt;&gt;0),P963+1,0)</f>
        <v>12</v>
      </c>
      <c r="Q965" s="189" t="str">
        <f t="shared" ref="Q965" si="4079">IF(C965&lt;&gt;"",C965&amp;"-"&amp;P965,"")</f>
        <v>TB/HIV-3.1a Pourcentage de personnes vivant avec le VIH ayant nouvellement initié la TARV chez qui les signes de la tuberculose ont été recherchés-12</v>
      </c>
      <c r="R965" s="189" t="str">
        <f t="array" ref="R965">IFERROR(IF(INDEX('Disaggregation Records'!$E$155:$E$385,MATCH(RIGHT(Q965,255),RIGHT('Disaggregation Records'!$D$155:$D$385,255),0))=0,"",INDEX('Disaggregation Records'!$E$155:$E$385,MATCH(RIGHT(Q965,255),RIGHT('Disaggregation Records'!$D$155:$D$385,255),0))),"")</f>
        <v/>
      </c>
      <c r="S965" s="189" t="str">
        <f t="array" ref="S965">IFERROR(IF(INDEX('Disaggregation Records'!$F$155:$F$385,MATCH(RIGHT(Q965,255),RIGHT('Disaggregation Records'!$D$155:$D$385,255),0))=0,"",INDEX('Disaggregation Records'!$F$155:$F$385,MATCH(RIGHT(Q965,255),RIGHT('Disaggregation Records'!$D$155:$D$385,255),0))),"")</f>
        <v/>
      </c>
      <c r="T965" s="189" t="str">
        <f t="array" ref="T965">IFERROR(IF(INDEX('Disaggregation Records'!$H$155:$H$385,MATCH(RIGHT(Q965,255),RIGHT('Disaggregation Records'!$D$155:$D$385,255),0))=0,"",INDEX('Disaggregation Records'!$H$155:$H$385,MATCH(RIGHT(Q965,255),RIGHT('Disaggregation Records'!$D$155:$D$385,255),0))),"")</f>
        <v/>
      </c>
      <c r="U965" s="189">
        <f t="shared" ref="U965" si="4080">U963+1</f>
        <v>1584</v>
      </c>
      <c r="V965" s="189" t="str">
        <f t="array" ref="V965">IFERROR(IF(INDEX('Disaggregation Records'!$I$155:$I$385,MATCH(RIGHT(Q965,255),RIGHT('Disaggregation Records'!$D$155:$D$385,255),0))=0,"",INDEX('Disaggregation Records'!$I$155:$I$385,MATCH(RIGHT(Q965,255),RIGHT('Disaggregation Records'!$D$155:$D$385,255),0))),"")</f>
        <v/>
      </c>
      <c r="W965" s="189" t="str">
        <f>IFERROR(INDEX('Reference Records'!L$59:L$121,MATCH(LEFT(C965,255),'Reference Records'!E$59:E$121,0)),"")</f>
        <v>TB/HIV-3.1a Percentage of people living with HIV newly initiated on ART who were screened for TB</v>
      </c>
    </row>
    <row r="966" spans="1:23" s="189" customFormat="1" ht="40.200000000000003" customHeight="1" x14ac:dyDescent="0.3">
      <c r="A966" s="678"/>
      <c r="B966" s="675"/>
      <c r="C966" s="667"/>
      <c r="D966" s="677"/>
      <c r="E966" s="677"/>
      <c r="F966" s="202"/>
      <c r="G966" s="669"/>
      <c r="H966" s="671"/>
      <c r="I966" s="673"/>
      <c r="J966" s="652"/>
      <c r="K966" s="667"/>
      <c r="L966" s="667"/>
      <c r="M966" s="652"/>
      <c r="N966" s="652"/>
    </row>
    <row r="967" spans="1:23" s="189" customFormat="1" ht="40.200000000000003" customHeight="1" x14ac:dyDescent="0.3">
      <c r="A967" s="678" t="str">
        <f t="shared" ref="A967" ca="1" si="4081">INDIRECT("'update Helper'!C"&amp;U967)</f>
        <v>a163p000002zQcAAAU</v>
      </c>
      <c r="B967" s="674">
        <v>9</v>
      </c>
      <c r="C967" s="666" t="str">
        <f>VLOOKUP(B967,'Coverage Indicators - Section D'!$A$9:$AU$70,47,FALSE)</f>
        <v>TB/HIV-3.1a Pourcentage de personnes vivant avec le VIH ayant nouvellement initié la TARV chez qui les signes de la tuberculose ont été recherchés</v>
      </c>
      <c r="D967" s="676" t="str">
        <f t="shared" ref="D967" si="4082">R967</f>
        <v/>
      </c>
      <c r="E967" s="676" t="str">
        <f t="shared" ref="E967" si="4083">S967</f>
        <v/>
      </c>
      <c r="F967" s="194"/>
      <c r="G967" s="668" t="str">
        <f t="shared" ref="G967" ca="1" si="4084">IF(OR(INDIRECT("'update Helper'!E"&amp;U967)=0,F967&lt;&gt;0,F968&lt;&gt;0),IF(IFERROR((F967/F968),"")="","",(F967/F968)),INDIRECT("'update Helper'!E"&amp;U967)/100)</f>
        <v/>
      </c>
      <c r="H967" s="670"/>
      <c r="I967" s="672"/>
      <c r="J967" s="651"/>
      <c r="K967" s="666" t="str">
        <f t="shared" ref="K967" si="4085">W967</f>
        <v>TB/HIV-3.1a Percentage of people living with HIV newly initiated on ART who were screened for TB</v>
      </c>
      <c r="L967" s="666" t="str">
        <f t="shared" ref="L967" si="4086">V967</f>
        <v/>
      </c>
      <c r="M967" s="651"/>
      <c r="N967" s="651"/>
      <c r="P967" s="189">
        <f t="shared" ref="P967" si="4087">IF(AND(EXACT(C967,C965),C965&lt;&gt;0),P965+1,0)</f>
        <v>13</v>
      </c>
      <c r="Q967" s="189" t="str">
        <f t="shared" ref="Q967" si="4088">IF(C967&lt;&gt;"",C967&amp;"-"&amp;P967,"")</f>
        <v>TB/HIV-3.1a Pourcentage de personnes vivant avec le VIH ayant nouvellement initié la TARV chez qui les signes de la tuberculose ont été recherchés-13</v>
      </c>
      <c r="R967" s="189" t="str">
        <f t="array" ref="R967">IFERROR(IF(INDEX('Disaggregation Records'!$E$155:$E$385,MATCH(RIGHT(Q967,255),RIGHT('Disaggregation Records'!$D$155:$D$385,255),0))=0,"",INDEX('Disaggregation Records'!$E$155:$E$385,MATCH(RIGHT(Q967,255),RIGHT('Disaggregation Records'!$D$155:$D$385,255),0))),"")</f>
        <v/>
      </c>
      <c r="S967" s="189" t="str">
        <f t="array" ref="S967">IFERROR(IF(INDEX('Disaggregation Records'!$F$155:$F$385,MATCH(RIGHT(Q967,255),RIGHT('Disaggregation Records'!$D$155:$D$385,255),0))=0,"",INDEX('Disaggregation Records'!$F$155:$F$385,MATCH(RIGHT(Q967,255),RIGHT('Disaggregation Records'!$D$155:$D$385,255),0))),"")</f>
        <v/>
      </c>
      <c r="T967" s="189" t="str">
        <f t="array" ref="T967">IFERROR(IF(INDEX('Disaggregation Records'!$H$155:$H$385,MATCH(RIGHT(Q967,255),RIGHT('Disaggregation Records'!$D$155:$D$385,255),0))=0,"",INDEX('Disaggregation Records'!$H$155:$H$385,MATCH(RIGHT(Q967,255),RIGHT('Disaggregation Records'!$D$155:$D$385,255),0))),"")</f>
        <v/>
      </c>
      <c r="U967" s="189">
        <f t="shared" ref="U967" si="4089">U965+1</f>
        <v>1585</v>
      </c>
      <c r="V967" s="189" t="str">
        <f t="array" ref="V967">IFERROR(IF(INDEX('Disaggregation Records'!$I$155:$I$385,MATCH(RIGHT(Q967,255),RIGHT('Disaggregation Records'!$D$155:$D$385,255),0))=0,"",INDEX('Disaggregation Records'!$I$155:$I$385,MATCH(RIGHT(Q967,255),RIGHT('Disaggregation Records'!$D$155:$D$385,255),0))),"")</f>
        <v/>
      </c>
      <c r="W967" s="189" t="str">
        <f>IFERROR(INDEX('Reference Records'!L$59:L$121,MATCH(LEFT(C967,255),'Reference Records'!E$59:E$121,0)),"")</f>
        <v>TB/HIV-3.1a Percentage of people living with HIV newly initiated on ART who were screened for TB</v>
      </c>
    </row>
    <row r="968" spans="1:23" s="189" customFormat="1" ht="40.200000000000003" customHeight="1" x14ac:dyDescent="0.3">
      <c r="A968" s="678"/>
      <c r="B968" s="675"/>
      <c r="C968" s="667"/>
      <c r="D968" s="677"/>
      <c r="E968" s="677"/>
      <c r="F968" s="202"/>
      <c r="G968" s="669"/>
      <c r="H968" s="671"/>
      <c r="I968" s="673"/>
      <c r="J968" s="652"/>
      <c r="K968" s="667"/>
      <c r="L968" s="667"/>
      <c r="M968" s="652"/>
      <c r="N968" s="652"/>
    </row>
    <row r="969" spans="1:23" s="189" customFormat="1" ht="40.200000000000003" customHeight="1" x14ac:dyDescent="0.3">
      <c r="A969" s="678" t="str">
        <f t="shared" ref="A969" ca="1" si="4090">INDIRECT("'update Helper'!C"&amp;U969)</f>
        <v>a163p000002zQcBAAU</v>
      </c>
      <c r="B969" s="674">
        <v>9</v>
      </c>
      <c r="C969" s="666" t="str">
        <f>VLOOKUP(B969,'Coverage Indicators - Section D'!$A$9:$AU$70,47,FALSE)</f>
        <v>TB/HIV-3.1a Pourcentage de personnes vivant avec le VIH ayant nouvellement initié la TARV chez qui les signes de la tuberculose ont été recherchés</v>
      </c>
      <c r="D969" s="676" t="str">
        <f t="shared" ref="D969" si="4091">R969</f>
        <v/>
      </c>
      <c r="E969" s="676" t="str">
        <f t="shared" ref="E969" si="4092">S969</f>
        <v/>
      </c>
      <c r="F969" s="194"/>
      <c r="G969" s="668" t="str">
        <f t="shared" ref="G969" ca="1" si="4093">IF(OR(INDIRECT("'update Helper'!E"&amp;U969)=0,F969&lt;&gt;0,F970&lt;&gt;0),IF(IFERROR((F969/F970),"")="","",(F969/F970)),INDIRECT("'update Helper'!E"&amp;U969)/100)</f>
        <v/>
      </c>
      <c r="H969" s="670"/>
      <c r="I969" s="672"/>
      <c r="J969" s="651"/>
      <c r="K969" s="666" t="str">
        <f t="shared" ref="K969" si="4094">W969</f>
        <v>TB/HIV-3.1a Percentage of people living with HIV newly initiated on ART who were screened for TB</v>
      </c>
      <c r="L969" s="666" t="str">
        <f t="shared" ref="L969" si="4095">V969</f>
        <v/>
      </c>
      <c r="M969" s="651"/>
      <c r="N969" s="651"/>
      <c r="P969" s="189">
        <f t="shared" ref="P969" si="4096">IF(AND(EXACT(C969,C967),C967&lt;&gt;0),P967+1,0)</f>
        <v>14</v>
      </c>
      <c r="Q969" s="189" t="str">
        <f t="shared" ref="Q969" si="4097">IF(C969&lt;&gt;"",C969&amp;"-"&amp;P969,"")</f>
        <v>TB/HIV-3.1a Pourcentage de personnes vivant avec le VIH ayant nouvellement initié la TARV chez qui les signes de la tuberculose ont été recherchés-14</v>
      </c>
      <c r="R969" s="189" t="str">
        <f t="array" ref="R969">IFERROR(IF(INDEX('Disaggregation Records'!$E$155:$E$385,MATCH(RIGHT(Q969,255),RIGHT('Disaggregation Records'!$D$155:$D$385,255),0))=0,"",INDEX('Disaggregation Records'!$E$155:$E$385,MATCH(RIGHT(Q969,255),RIGHT('Disaggregation Records'!$D$155:$D$385,255),0))),"")</f>
        <v/>
      </c>
      <c r="S969" s="189" t="str">
        <f t="array" ref="S969">IFERROR(IF(INDEX('Disaggregation Records'!$F$155:$F$385,MATCH(RIGHT(Q969,255),RIGHT('Disaggregation Records'!$D$155:$D$385,255),0))=0,"",INDEX('Disaggregation Records'!$F$155:$F$385,MATCH(RIGHT(Q969,255),RIGHT('Disaggregation Records'!$D$155:$D$385,255),0))),"")</f>
        <v/>
      </c>
      <c r="T969" s="189" t="str">
        <f t="array" ref="T969">IFERROR(IF(INDEX('Disaggregation Records'!$H$155:$H$385,MATCH(RIGHT(Q969,255),RIGHT('Disaggregation Records'!$D$155:$D$385,255),0))=0,"",INDEX('Disaggregation Records'!$H$155:$H$385,MATCH(RIGHT(Q969,255),RIGHT('Disaggregation Records'!$D$155:$D$385,255),0))),"")</f>
        <v/>
      </c>
      <c r="U969" s="189">
        <f t="shared" ref="U969" si="4098">U967+1</f>
        <v>1586</v>
      </c>
      <c r="V969" s="189" t="str">
        <f t="array" ref="V969">IFERROR(IF(INDEX('Disaggregation Records'!$I$155:$I$385,MATCH(RIGHT(Q969,255),RIGHT('Disaggregation Records'!$D$155:$D$385,255),0))=0,"",INDEX('Disaggregation Records'!$I$155:$I$385,MATCH(RIGHT(Q969,255),RIGHT('Disaggregation Records'!$D$155:$D$385,255),0))),"")</f>
        <v/>
      </c>
      <c r="W969" s="189" t="str">
        <f>IFERROR(INDEX('Reference Records'!L$59:L$121,MATCH(LEFT(C969,255),'Reference Records'!E$59:E$121,0)),"")</f>
        <v>TB/HIV-3.1a Percentage of people living with HIV newly initiated on ART who were screened for TB</v>
      </c>
    </row>
    <row r="970" spans="1:23" s="189" customFormat="1" ht="40.200000000000003" customHeight="1" x14ac:dyDescent="0.3">
      <c r="A970" s="678"/>
      <c r="B970" s="675"/>
      <c r="C970" s="667"/>
      <c r="D970" s="677"/>
      <c r="E970" s="677"/>
      <c r="F970" s="202"/>
      <c r="G970" s="669"/>
      <c r="H970" s="671"/>
      <c r="I970" s="673"/>
      <c r="J970" s="652"/>
      <c r="K970" s="667"/>
      <c r="L970" s="667"/>
      <c r="M970" s="652"/>
      <c r="N970" s="652"/>
    </row>
    <row r="971" spans="1:23" s="189" customFormat="1" ht="40.200000000000003" customHeight="1" x14ac:dyDescent="0.3">
      <c r="A971" s="678" t="str">
        <f t="shared" ref="A971" ca="1" si="4099">INDIRECT("'update Helper'!C"&amp;U971)</f>
        <v>a163p000002zQcCAAU</v>
      </c>
      <c r="B971" s="674">
        <v>9</v>
      </c>
      <c r="C971" s="666" t="str">
        <f>VLOOKUP(B971,'Coverage Indicators - Section D'!$A$9:$AU$70,47,FALSE)</f>
        <v>TB/HIV-3.1a Pourcentage de personnes vivant avec le VIH ayant nouvellement initié la TARV chez qui les signes de la tuberculose ont été recherchés</v>
      </c>
      <c r="D971" s="676" t="str">
        <f t="shared" ref="D971" si="4100">R971</f>
        <v/>
      </c>
      <c r="E971" s="676" t="str">
        <f t="shared" ref="E971" si="4101">S971</f>
        <v/>
      </c>
      <c r="F971" s="194"/>
      <c r="G971" s="668" t="str">
        <f t="shared" ref="G971" ca="1" si="4102">IF(OR(INDIRECT("'update Helper'!E"&amp;U971)=0,F971&lt;&gt;0,F972&lt;&gt;0),IF(IFERROR((F971/F972),"")="","",(F971/F972)),INDIRECT("'update Helper'!E"&amp;U971)/100)</f>
        <v/>
      </c>
      <c r="H971" s="670"/>
      <c r="I971" s="672"/>
      <c r="J971" s="651"/>
      <c r="K971" s="666" t="str">
        <f t="shared" ref="K971" si="4103">W971</f>
        <v>TB/HIV-3.1a Percentage of people living with HIV newly initiated on ART who were screened for TB</v>
      </c>
      <c r="L971" s="666" t="str">
        <f t="shared" ref="L971" si="4104">V971</f>
        <v/>
      </c>
      <c r="M971" s="651"/>
      <c r="N971" s="651"/>
      <c r="P971" s="189">
        <f t="shared" ref="P971" si="4105">IF(AND(EXACT(C971,C969),C969&lt;&gt;0),P969+1,0)</f>
        <v>15</v>
      </c>
      <c r="Q971" s="189" t="str">
        <f t="shared" ref="Q971" si="4106">IF(C971&lt;&gt;"",C971&amp;"-"&amp;P971,"")</f>
        <v>TB/HIV-3.1a Pourcentage de personnes vivant avec le VIH ayant nouvellement initié la TARV chez qui les signes de la tuberculose ont été recherchés-15</v>
      </c>
      <c r="R971" s="189" t="str">
        <f t="array" ref="R971">IFERROR(IF(INDEX('Disaggregation Records'!$E$155:$E$385,MATCH(RIGHT(Q971,255),RIGHT('Disaggregation Records'!$D$155:$D$385,255),0))=0,"",INDEX('Disaggregation Records'!$E$155:$E$385,MATCH(RIGHT(Q971,255),RIGHT('Disaggregation Records'!$D$155:$D$385,255),0))),"")</f>
        <v/>
      </c>
      <c r="S971" s="189" t="str">
        <f t="array" ref="S971">IFERROR(IF(INDEX('Disaggregation Records'!$F$155:$F$385,MATCH(RIGHT(Q971,255),RIGHT('Disaggregation Records'!$D$155:$D$385,255),0))=0,"",INDEX('Disaggregation Records'!$F$155:$F$385,MATCH(RIGHT(Q971,255),RIGHT('Disaggregation Records'!$D$155:$D$385,255),0))),"")</f>
        <v/>
      </c>
      <c r="T971" s="189" t="str">
        <f t="array" ref="T971">IFERROR(IF(INDEX('Disaggregation Records'!$H$155:$H$385,MATCH(RIGHT(Q971,255),RIGHT('Disaggregation Records'!$D$155:$D$385,255),0))=0,"",INDEX('Disaggregation Records'!$H$155:$H$385,MATCH(RIGHT(Q971,255),RIGHT('Disaggregation Records'!$D$155:$D$385,255),0))),"")</f>
        <v/>
      </c>
      <c r="U971" s="189">
        <f t="shared" ref="U971" si="4107">U969+1</f>
        <v>1587</v>
      </c>
      <c r="V971" s="189" t="str">
        <f t="array" ref="V971">IFERROR(IF(INDEX('Disaggregation Records'!$I$155:$I$385,MATCH(RIGHT(Q971,255),RIGHT('Disaggregation Records'!$D$155:$D$385,255),0))=0,"",INDEX('Disaggregation Records'!$I$155:$I$385,MATCH(RIGHT(Q971,255),RIGHT('Disaggregation Records'!$D$155:$D$385,255),0))),"")</f>
        <v/>
      </c>
      <c r="W971" s="189" t="str">
        <f>IFERROR(INDEX('Reference Records'!L$59:L$121,MATCH(LEFT(C971,255),'Reference Records'!E$59:E$121,0)),"")</f>
        <v>TB/HIV-3.1a Percentage of people living with HIV newly initiated on ART who were screened for TB</v>
      </c>
    </row>
    <row r="972" spans="1:23" s="189" customFormat="1" ht="40.200000000000003" customHeight="1" x14ac:dyDescent="0.3">
      <c r="A972" s="678"/>
      <c r="B972" s="675"/>
      <c r="C972" s="667"/>
      <c r="D972" s="677"/>
      <c r="E972" s="677"/>
      <c r="F972" s="202"/>
      <c r="G972" s="669"/>
      <c r="H972" s="671"/>
      <c r="I972" s="673"/>
      <c r="J972" s="652"/>
      <c r="K972" s="667"/>
      <c r="L972" s="667"/>
      <c r="M972" s="652"/>
      <c r="N972" s="652"/>
    </row>
    <row r="973" spans="1:23" s="189" customFormat="1" ht="40.200000000000003" customHeight="1" x14ac:dyDescent="0.3">
      <c r="A973" s="678" t="str">
        <f t="shared" ref="A973" ca="1" si="4108">INDIRECT("'update Helper'!C"&amp;U973)</f>
        <v>a163p000002zQcDAAU</v>
      </c>
      <c r="B973" s="674">
        <v>9</v>
      </c>
      <c r="C973" s="666" t="str">
        <f>VLOOKUP(B973,'Coverage Indicators - Section D'!$A$9:$AU$70,47,FALSE)</f>
        <v>TB/HIV-3.1a Pourcentage de personnes vivant avec le VIH ayant nouvellement initié la TARV chez qui les signes de la tuberculose ont été recherchés</v>
      </c>
      <c r="D973" s="676" t="str">
        <f t="shared" ref="D973" si="4109">R973</f>
        <v/>
      </c>
      <c r="E973" s="676" t="str">
        <f t="shared" ref="E973" si="4110">S973</f>
        <v/>
      </c>
      <c r="F973" s="194"/>
      <c r="G973" s="668" t="str">
        <f t="shared" ref="G973" ca="1" si="4111">IF(OR(INDIRECT("'update Helper'!E"&amp;U973)=0,F973&lt;&gt;0,F974&lt;&gt;0),IF(IFERROR((F973/F974),"")="","",(F973/F974)),INDIRECT("'update Helper'!E"&amp;U973)/100)</f>
        <v/>
      </c>
      <c r="H973" s="670"/>
      <c r="I973" s="672"/>
      <c r="J973" s="651"/>
      <c r="K973" s="666" t="str">
        <f t="shared" ref="K973" si="4112">W973</f>
        <v>TB/HIV-3.1a Percentage of people living with HIV newly initiated on ART who were screened for TB</v>
      </c>
      <c r="L973" s="666" t="str">
        <f t="shared" ref="L973" si="4113">V973</f>
        <v/>
      </c>
      <c r="M973" s="651"/>
      <c r="N973" s="651"/>
      <c r="P973" s="189">
        <f t="shared" ref="P973" si="4114">IF(AND(EXACT(C973,C971),C971&lt;&gt;0),P971+1,0)</f>
        <v>16</v>
      </c>
      <c r="Q973" s="189" t="str">
        <f t="shared" ref="Q973" si="4115">IF(C973&lt;&gt;"",C973&amp;"-"&amp;P973,"")</f>
        <v>TB/HIV-3.1a Pourcentage de personnes vivant avec le VIH ayant nouvellement initié la TARV chez qui les signes de la tuberculose ont été recherchés-16</v>
      </c>
      <c r="R973" s="189" t="str">
        <f t="array" ref="R973">IFERROR(IF(INDEX('Disaggregation Records'!$E$155:$E$385,MATCH(RIGHT(Q973,255),RIGHT('Disaggregation Records'!$D$155:$D$385,255),0))=0,"",INDEX('Disaggregation Records'!$E$155:$E$385,MATCH(RIGHT(Q973,255),RIGHT('Disaggregation Records'!$D$155:$D$385,255),0))),"")</f>
        <v/>
      </c>
      <c r="S973" s="189" t="str">
        <f t="array" ref="S973">IFERROR(IF(INDEX('Disaggregation Records'!$F$155:$F$385,MATCH(RIGHT(Q973,255),RIGHT('Disaggregation Records'!$D$155:$D$385,255),0))=0,"",INDEX('Disaggregation Records'!$F$155:$F$385,MATCH(RIGHT(Q973,255),RIGHT('Disaggregation Records'!$D$155:$D$385,255),0))),"")</f>
        <v/>
      </c>
      <c r="T973" s="189" t="str">
        <f t="array" ref="T973">IFERROR(IF(INDEX('Disaggregation Records'!$H$155:$H$385,MATCH(RIGHT(Q973,255),RIGHT('Disaggregation Records'!$D$155:$D$385,255),0))=0,"",INDEX('Disaggregation Records'!$H$155:$H$385,MATCH(RIGHT(Q973,255),RIGHT('Disaggregation Records'!$D$155:$D$385,255),0))),"")</f>
        <v/>
      </c>
      <c r="U973" s="189">
        <f t="shared" ref="U973" si="4116">U971+1</f>
        <v>1588</v>
      </c>
      <c r="V973" s="189" t="str">
        <f t="array" ref="V973">IFERROR(IF(INDEX('Disaggregation Records'!$I$155:$I$385,MATCH(RIGHT(Q973,255),RIGHT('Disaggregation Records'!$D$155:$D$385,255),0))=0,"",INDEX('Disaggregation Records'!$I$155:$I$385,MATCH(RIGHT(Q973,255),RIGHT('Disaggregation Records'!$D$155:$D$385,255),0))),"")</f>
        <v/>
      </c>
      <c r="W973" s="189" t="str">
        <f>IFERROR(INDEX('Reference Records'!L$59:L$121,MATCH(LEFT(C973,255),'Reference Records'!E$59:E$121,0)),"")</f>
        <v>TB/HIV-3.1a Percentage of people living with HIV newly initiated on ART who were screened for TB</v>
      </c>
    </row>
    <row r="974" spans="1:23" s="189" customFormat="1" ht="40.200000000000003" customHeight="1" x14ac:dyDescent="0.3">
      <c r="A974" s="678"/>
      <c r="B974" s="675"/>
      <c r="C974" s="667"/>
      <c r="D974" s="677"/>
      <c r="E974" s="677"/>
      <c r="F974" s="202"/>
      <c r="G974" s="669"/>
      <c r="H974" s="671"/>
      <c r="I974" s="673"/>
      <c r="J974" s="652"/>
      <c r="K974" s="667"/>
      <c r="L974" s="667"/>
      <c r="M974" s="652"/>
      <c r="N974" s="652"/>
    </row>
    <row r="975" spans="1:23" s="189" customFormat="1" ht="40.200000000000003" customHeight="1" x14ac:dyDescent="0.3">
      <c r="A975" s="678" t="str">
        <f t="shared" ref="A975" ca="1" si="4117">INDIRECT("'update Helper'!C"&amp;U975)</f>
        <v>a163p000002zQcEAAU</v>
      </c>
      <c r="B975" s="674">
        <v>9</v>
      </c>
      <c r="C975" s="666" t="str">
        <f>VLOOKUP(B975,'Coverage Indicators - Section D'!$A$9:$AU$70,47,FALSE)</f>
        <v>TB/HIV-3.1a Pourcentage de personnes vivant avec le VIH ayant nouvellement initié la TARV chez qui les signes de la tuberculose ont été recherchés</v>
      </c>
      <c r="D975" s="676" t="str">
        <f t="shared" ref="D975" si="4118">R975</f>
        <v/>
      </c>
      <c r="E975" s="676" t="str">
        <f t="shared" ref="E975" si="4119">S975</f>
        <v/>
      </c>
      <c r="F975" s="194"/>
      <c r="G975" s="668" t="str">
        <f t="shared" ref="G975" ca="1" si="4120">IF(OR(INDIRECT("'update Helper'!E"&amp;U975)=0,F975&lt;&gt;0,F976&lt;&gt;0),IF(IFERROR((F975/F976),"")="","",(F975/F976)),INDIRECT("'update Helper'!E"&amp;U975)/100)</f>
        <v/>
      </c>
      <c r="H975" s="670"/>
      <c r="I975" s="672"/>
      <c r="J975" s="651"/>
      <c r="K975" s="666" t="str">
        <f t="shared" ref="K975" si="4121">W975</f>
        <v>TB/HIV-3.1a Percentage of people living with HIV newly initiated on ART who were screened for TB</v>
      </c>
      <c r="L975" s="666" t="str">
        <f t="shared" ref="L975" si="4122">V975</f>
        <v/>
      </c>
      <c r="M975" s="651"/>
      <c r="N975" s="651"/>
      <c r="P975" s="189">
        <f t="shared" ref="P975" si="4123">IF(AND(EXACT(C975,C973),C973&lt;&gt;0),P973+1,0)</f>
        <v>17</v>
      </c>
      <c r="Q975" s="189" t="str">
        <f t="shared" ref="Q975" si="4124">IF(C975&lt;&gt;"",C975&amp;"-"&amp;P975,"")</f>
        <v>TB/HIV-3.1a Pourcentage de personnes vivant avec le VIH ayant nouvellement initié la TARV chez qui les signes de la tuberculose ont été recherchés-17</v>
      </c>
      <c r="R975" s="189" t="str">
        <f t="array" ref="R975">IFERROR(IF(INDEX('Disaggregation Records'!$E$155:$E$385,MATCH(RIGHT(Q975,255),RIGHT('Disaggregation Records'!$D$155:$D$385,255),0))=0,"",INDEX('Disaggregation Records'!$E$155:$E$385,MATCH(RIGHT(Q975,255),RIGHT('Disaggregation Records'!$D$155:$D$385,255),0))),"")</f>
        <v/>
      </c>
      <c r="S975" s="189" t="str">
        <f t="array" ref="S975">IFERROR(IF(INDEX('Disaggregation Records'!$F$155:$F$385,MATCH(RIGHT(Q975,255),RIGHT('Disaggregation Records'!$D$155:$D$385,255),0))=0,"",INDEX('Disaggregation Records'!$F$155:$F$385,MATCH(RIGHT(Q975,255),RIGHT('Disaggregation Records'!$D$155:$D$385,255),0))),"")</f>
        <v/>
      </c>
      <c r="T975" s="189" t="str">
        <f t="array" ref="T975">IFERROR(IF(INDEX('Disaggregation Records'!$H$155:$H$385,MATCH(RIGHT(Q975,255),RIGHT('Disaggregation Records'!$D$155:$D$385,255),0))=0,"",INDEX('Disaggregation Records'!$H$155:$H$385,MATCH(RIGHT(Q975,255),RIGHT('Disaggregation Records'!$D$155:$D$385,255),0))),"")</f>
        <v/>
      </c>
      <c r="U975" s="189">
        <f t="shared" ref="U975" si="4125">U973+1</f>
        <v>1589</v>
      </c>
      <c r="V975" s="189" t="str">
        <f t="array" ref="V975">IFERROR(IF(INDEX('Disaggregation Records'!$I$155:$I$385,MATCH(RIGHT(Q975,255),RIGHT('Disaggregation Records'!$D$155:$D$385,255),0))=0,"",INDEX('Disaggregation Records'!$I$155:$I$385,MATCH(RIGHT(Q975,255),RIGHT('Disaggregation Records'!$D$155:$D$385,255),0))),"")</f>
        <v/>
      </c>
      <c r="W975" s="189" t="str">
        <f>IFERROR(INDEX('Reference Records'!L$59:L$121,MATCH(LEFT(C975,255),'Reference Records'!E$59:E$121,0)),"")</f>
        <v>TB/HIV-3.1a Percentage of people living with HIV newly initiated on ART who were screened for TB</v>
      </c>
    </row>
    <row r="976" spans="1:23" s="189" customFormat="1" ht="40.200000000000003" customHeight="1" x14ac:dyDescent="0.3">
      <c r="A976" s="678"/>
      <c r="B976" s="675"/>
      <c r="C976" s="667"/>
      <c r="D976" s="677"/>
      <c r="E976" s="677"/>
      <c r="F976" s="202"/>
      <c r="G976" s="669"/>
      <c r="H976" s="671"/>
      <c r="I976" s="673"/>
      <c r="J976" s="652"/>
      <c r="K976" s="667"/>
      <c r="L976" s="667"/>
      <c r="M976" s="652"/>
      <c r="N976" s="652"/>
    </row>
    <row r="977" spans="1:23" s="189" customFormat="1" ht="40.200000000000003" customHeight="1" x14ac:dyDescent="0.3">
      <c r="A977" s="678" t="str">
        <f t="shared" ref="A977" ca="1" si="4126">INDIRECT("'update Helper'!C"&amp;U977)</f>
        <v>a163p000002zQcFAAU</v>
      </c>
      <c r="B977" s="674">
        <v>9</v>
      </c>
      <c r="C977" s="666" t="str">
        <f>VLOOKUP(B977,'Coverage Indicators - Section D'!$A$9:$AU$70,47,FALSE)</f>
        <v>TB/HIV-3.1a Pourcentage de personnes vivant avec le VIH ayant nouvellement initié la TARV chez qui les signes de la tuberculose ont été recherchés</v>
      </c>
      <c r="D977" s="676" t="str">
        <f t="shared" ref="D977" si="4127">R977</f>
        <v/>
      </c>
      <c r="E977" s="676" t="str">
        <f t="shared" ref="E977" si="4128">S977</f>
        <v/>
      </c>
      <c r="F977" s="194"/>
      <c r="G977" s="668" t="str">
        <f t="shared" ref="G977" ca="1" si="4129">IF(OR(INDIRECT("'update Helper'!E"&amp;U977)=0,F977&lt;&gt;0,F978&lt;&gt;0),IF(IFERROR((F977/F978),"")="","",(F977/F978)),INDIRECT("'update Helper'!E"&amp;U977)/100)</f>
        <v/>
      </c>
      <c r="H977" s="670"/>
      <c r="I977" s="672"/>
      <c r="J977" s="651"/>
      <c r="K977" s="666" t="str">
        <f t="shared" ref="K977" si="4130">W977</f>
        <v>TB/HIV-3.1a Percentage of people living with HIV newly initiated on ART who were screened for TB</v>
      </c>
      <c r="L977" s="666" t="str">
        <f t="shared" ref="L977" si="4131">V977</f>
        <v/>
      </c>
      <c r="M977" s="651"/>
      <c r="N977" s="651"/>
      <c r="P977" s="189">
        <f t="shared" ref="P977" si="4132">IF(AND(EXACT(C977,C975),C975&lt;&gt;0),P975+1,0)</f>
        <v>18</v>
      </c>
      <c r="Q977" s="189" t="str">
        <f t="shared" ref="Q977" si="4133">IF(C977&lt;&gt;"",C977&amp;"-"&amp;P977,"")</f>
        <v>TB/HIV-3.1a Pourcentage de personnes vivant avec le VIH ayant nouvellement initié la TARV chez qui les signes de la tuberculose ont été recherchés-18</v>
      </c>
      <c r="R977" s="189" t="str">
        <f t="array" ref="R977">IFERROR(IF(INDEX('Disaggregation Records'!$E$155:$E$385,MATCH(RIGHT(Q977,255),RIGHT('Disaggregation Records'!$D$155:$D$385,255),0))=0,"",INDEX('Disaggregation Records'!$E$155:$E$385,MATCH(RIGHT(Q977,255),RIGHT('Disaggregation Records'!$D$155:$D$385,255),0))),"")</f>
        <v/>
      </c>
      <c r="S977" s="189" t="str">
        <f t="array" ref="S977">IFERROR(IF(INDEX('Disaggregation Records'!$F$155:$F$385,MATCH(RIGHT(Q977,255),RIGHT('Disaggregation Records'!$D$155:$D$385,255),0))=0,"",INDEX('Disaggregation Records'!$F$155:$F$385,MATCH(RIGHT(Q977,255),RIGHT('Disaggregation Records'!$D$155:$D$385,255),0))),"")</f>
        <v/>
      </c>
      <c r="T977" s="189" t="str">
        <f t="array" ref="T977">IFERROR(IF(INDEX('Disaggregation Records'!$H$155:$H$385,MATCH(RIGHT(Q977,255),RIGHT('Disaggregation Records'!$D$155:$D$385,255),0))=0,"",INDEX('Disaggregation Records'!$H$155:$H$385,MATCH(RIGHT(Q977,255),RIGHT('Disaggregation Records'!$D$155:$D$385,255),0))),"")</f>
        <v/>
      </c>
      <c r="U977" s="189">
        <f t="shared" ref="U977" si="4134">U975+1</f>
        <v>1590</v>
      </c>
      <c r="V977" s="189" t="str">
        <f t="array" ref="V977">IFERROR(IF(INDEX('Disaggregation Records'!$I$155:$I$385,MATCH(RIGHT(Q977,255),RIGHT('Disaggregation Records'!$D$155:$D$385,255),0))=0,"",INDEX('Disaggregation Records'!$I$155:$I$385,MATCH(RIGHT(Q977,255),RIGHT('Disaggregation Records'!$D$155:$D$385,255),0))),"")</f>
        <v/>
      </c>
      <c r="W977" s="189" t="str">
        <f>IFERROR(INDEX('Reference Records'!L$59:L$121,MATCH(LEFT(C977,255),'Reference Records'!E$59:E$121,0)),"")</f>
        <v>TB/HIV-3.1a Percentage of people living with HIV newly initiated on ART who were screened for TB</v>
      </c>
    </row>
    <row r="978" spans="1:23" s="189" customFormat="1" ht="40.200000000000003" customHeight="1" x14ac:dyDescent="0.3">
      <c r="A978" s="678"/>
      <c r="B978" s="675"/>
      <c r="C978" s="667"/>
      <c r="D978" s="677"/>
      <c r="E978" s="677"/>
      <c r="F978" s="202"/>
      <c r="G978" s="669"/>
      <c r="H978" s="671"/>
      <c r="I978" s="673"/>
      <c r="J978" s="652"/>
      <c r="K978" s="667"/>
      <c r="L978" s="667"/>
      <c r="M978" s="652"/>
      <c r="N978" s="652"/>
    </row>
    <row r="979" spans="1:23" s="189" customFormat="1" ht="40.200000000000003" customHeight="1" x14ac:dyDescent="0.3">
      <c r="A979" s="678" t="str">
        <f t="shared" ref="A979" ca="1" si="4135">INDIRECT("'update Helper'!C"&amp;U979)</f>
        <v>a163p000002zQcGAAU</v>
      </c>
      <c r="B979" s="674">
        <v>9</v>
      </c>
      <c r="C979" s="666" t="str">
        <f>VLOOKUP(B979,'Coverage Indicators - Section D'!$A$9:$AU$70,47,FALSE)</f>
        <v>TB/HIV-3.1a Pourcentage de personnes vivant avec le VIH ayant nouvellement initié la TARV chez qui les signes de la tuberculose ont été recherchés</v>
      </c>
      <c r="D979" s="676" t="str">
        <f t="shared" ref="D979" si="4136">R979</f>
        <v/>
      </c>
      <c r="E979" s="676" t="str">
        <f t="shared" ref="E979" si="4137">S979</f>
        <v/>
      </c>
      <c r="F979" s="194"/>
      <c r="G979" s="668" t="str">
        <f t="shared" ref="G979" ca="1" si="4138">IF(OR(INDIRECT("'update Helper'!E"&amp;U979)=0,F979&lt;&gt;0,F980&lt;&gt;0),IF(IFERROR((F979/F980),"")="","",(F979/F980)),INDIRECT("'update Helper'!E"&amp;U979)/100)</f>
        <v/>
      </c>
      <c r="H979" s="670"/>
      <c r="I979" s="672"/>
      <c r="J979" s="651"/>
      <c r="K979" s="666" t="str">
        <f t="shared" ref="K979" si="4139">W979</f>
        <v>TB/HIV-3.1a Percentage of people living with HIV newly initiated on ART who were screened for TB</v>
      </c>
      <c r="L979" s="666" t="str">
        <f t="shared" ref="L979" si="4140">V979</f>
        <v/>
      </c>
      <c r="M979" s="651"/>
      <c r="N979" s="651"/>
      <c r="P979" s="189">
        <f t="shared" ref="P979" si="4141">IF(AND(EXACT(C979,C977),C977&lt;&gt;0),P977+1,0)</f>
        <v>19</v>
      </c>
      <c r="Q979" s="189" t="str">
        <f t="shared" ref="Q979" si="4142">IF(C979&lt;&gt;"",C979&amp;"-"&amp;P979,"")</f>
        <v>TB/HIV-3.1a Pourcentage de personnes vivant avec le VIH ayant nouvellement initié la TARV chez qui les signes de la tuberculose ont été recherchés-19</v>
      </c>
      <c r="R979" s="189" t="str">
        <f t="array" ref="R979">IFERROR(IF(INDEX('Disaggregation Records'!$E$155:$E$385,MATCH(RIGHT(Q979,255),RIGHT('Disaggregation Records'!$D$155:$D$385,255),0))=0,"",INDEX('Disaggregation Records'!$E$155:$E$385,MATCH(RIGHT(Q979,255),RIGHT('Disaggregation Records'!$D$155:$D$385,255),0))),"")</f>
        <v/>
      </c>
      <c r="S979" s="189" t="str">
        <f t="array" ref="S979">IFERROR(IF(INDEX('Disaggregation Records'!$F$155:$F$385,MATCH(RIGHT(Q979,255),RIGHT('Disaggregation Records'!$D$155:$D$385,255),0))=0,"",INDEX('Disaggregation Records'!$F$155:$F$385,MATCH(RIGHT(Q979,255),RIGHT('Disaggregation Records'!$D$155:$D$385,255),0))),"")</f>
        <v/>
      </c>
      <c r="T979" s="189" t="str">
        <f t="array" ref="T979">IFERROR(IF(INDEX('Disaggregation Records'!$H$155:$H$385,MATCH(RIGHT(Q979,255),RIGHT('Disaggregation Records'!$D$155:$D$385,255),0))=0,"",INDEX('Disaggregation Records'!$H$155:$H$385,MATCH(RIGHT(Q979,255),RIGHT('Disaggregation Records'!$D$155:$D$385,255),0))),"")</f>
        <v/>
      </c>
      <c r="U979" s="189">
        <f t="shared" ref="U979" si="4143">U977+1</f>
        <v>1591</v>
      </c>
      <c r="V979" s="189" t="str">
        <f t="array" ref="V979">IFERROR(IF(INDEX('Disaggregation Records'!$I$155:$I$385,MATCH(RIGHT(Q979,255),RIGHT('Disaggregation Records'!$D$155:$D$385,255),0))=0,"",INDEX('Disaggregation Records'!$I$155:$I$385,MATCH(RIGHT(Q979,255),RIGHT('Disaggregation Records'!$D$155:$D$385,255),0))),"")</f>
        <v/>
      </c>
      <c r="W979" s="189" t="str">
        <f>IFERROR(INDEX('Reference Records'!L$59:L$121,MATCH(LEFT(C979,255),'Reference Records'!E$59:E$121,0)),"")</f>
        <v>TB/HIV-3.1a Percentage of people living with HIV newly initiated on ART who were screened for TB</v>
      </c>
    </row>
    <row r="980" spans="1:23" s="189" customFormat="1" ht="40.200000000000003" customHeight="1" x14ac:dyDescent="0.3">
      <c r="A980" s="678"/>
      <c r="B980" s="675"/>
      <c r="C980" s="667"/>
      <c r="D980" s="677"/>
      <c r="E980" s="677"/>
      <c r="F980" s="202"/>
      <c r="G980" s="669"/>
      <c r="H980" s="671"/>
      <c r="I980" s="673"/>
      <c r="J980" s="652"/>
      <c r="K980" s="667"/>
      <c r="L980" s="667"/>
      <c r="M980" s="652"/>
      <c r="N980" s="652"/>
    </row>
    <row r="981" spans="1:23" s="189" customFormat="1" ht="40.200000000000003" customHeight="1" x14ac:dyDescent="0.3">
      <c r="A981" s="678" t="str">
        <f t="shared" ref="A981" ca="1" si="4144">INDIRECT("'update Helper'!C"&amp;U981)</f>
        <v>a163p000002zQcHAAU</v>
      </c>
      <c r="B981" s="674">
        <v>10</v>
      </c>
      <c r="C981" s="666" t="str">
        <f>VLOOKUP(B981,'Coverage Indicators - Section D'!$A$9:$AU$70,47,FALSE)</f>
        <v>TB/HIV-5 Pourcentage de patients tuberculeux enregistrés (nouveaux cas et récidives) dont le statut sérologique VIH est documenté</v>
      </c>
      <c r="D981" s="676" t="str">
        <f t="shared" ref="D981" si="4145">R981</f>
        <v>Age</v>
      </c>
      <c r="E981" s="676" t="str">
        <f t="shared" ref="E981" si="4146">S981</f>
        <v>&lt;5</v>
      </c>
      <c r="F981" s="194"/>
      <c r="G981" s="668" t="str">
        <f t="shared" ref="G981" ca="1" si="4147">IF(OR(INDIRECT("'update Helper'!E"&amp;U981)=0,F981&lt;&gt;0,F982&lt;&gt;0),IF(IFERROR((F981/F982),"")="","",(F981/F982)),INDIRECT("'update Helper'!E"&amp;U981)/100)</f>
        <v/>
      </c>
      <c r="H981" s="670"/>
      <c r="I981" s="672"/>
      <c r="J981" s="651"/>
      <c r="K981" s="666" t="str">
        <f t="shared" ref="K981" si="4148">W981</f>
        <v>TB/HIV-5 Percentage of registered new and relapse TB patients with documented HIV status</v>
      </c>
      <c r="L981" s="666" t="str">
        <f t="shared" ref="L981" si="4149">V981</f>
        <v>Age</v>
      </c>
      <c r="M981" s="651"/>
      <c r="N981" s="651"/>
      <c r="P981" s="189">
        <f t="shared" ref="P981" si="4150">IF(AND(EXACT(C981,C979),C979&lt;&gt;0),P979+1,0)</f>
        <v>0</v>
      </c>
      <c r="Q981" s="189" t="str">
        <f t="shared" ref="Q981" si="4151">IF(C981&lt;&gt;"",C981&amp;"-"&amp;P981,"")</f>
        <v>TB/HIV-5 Pourcentage de patients tuberculeux enregistrés (nouveaux cas et récidives) dont le statut sérologique VIH est documenté-0</v>
      </c>
      <c r="R981" s="189" t="str">
        <f t="array" ref="R981">IFERROR(IF(INDEX('Disaggregation Records'!$E$155:$E$385,MATCH(RIGHT(Q981,255),RIGHT('Disaggregation Records'!$D$155:$D$385,255),0))=0,"",INDEX('Disaggregation Records'!$E$155:$E$385,MATCH(RIGHT(Q981,255),RIGHT('Disaggregation Records'!$D$155:$D$385,255),0))),"")</f>
        <v>Age</v>
      </c>
      <c r="S981" s="189" t="str">
        <f t="array" ref="S981">IFERROR(IF(INDEX('Disaggregation Records'!$F$155:$F$385,MATCH(RIGHT(Q981,255),RIGHT('Disaggregation Records'!$D$155:$D$385,255),0))=0,"",INDEX('Disaggregation Records'!$F$155:$F$385,MATCH(RIGHT(Q981,255),RIGHT('Disaggregation Records'!$D$155:$D$385,255),0))),"")</f>
        <v>&lt;5</v>
      </c>
      <c r="T981" s="189" t="str">
        <f t="array" ref="T981">IFERROR(IF(INDEX('Disaggregation Records'!$H$155:$H$385,MATCH(RIGHT(Q981,255),RIGHT('Disaggregation Records'!$D$155:$D$385,255),0))=0,"",INDEX('Disaggregation Records'!$H$155:$H$385,MATCH(RIGHT(Q981,255),RIGHT('Disaggregation Records'!$D$155:$D$385,255),0))),"")</f>
        <v>IDR-00735</v>
      </c>
      <c r="U981" s="189">
        <f t="shared" ref="U981" si="4152">U979+1</f>
        <v>1592</v>
      </c>
      <c r="V981" s="189" t="str">
        <f t="array" ref="V981">IFERROR(IF(INDEX('Disaggregation Records'!$I$155:$I$385,MATCH(RIGHT(Q981,255),RIGHT('Disaggregation Records'!$D$155:$D$385,255),0))=0,"",INDEX('Disaggregation Records'!$I$155:$I$385,MATCH(RIGHT(Q981,255),RIGHT('Disaggregation Records'!$D$155:$D$385,255),0))),"")</f>
        <v>Age</v>
      </c>
      <c r="W981" s="189" t="str">
        <f>IFERROR(INDEX('Reference Records'!L$59:L$121,MATCH(LEFT(C981,255),'Reference Records'!E$59:E$121,0)),"")</f>
        <v>TB/HIV-5 Percentage of registered new and relapse TB patients with documented HIV status</v>
      </c>
    </row>
    <row r="982" spans="1:23" s="189" customFormat="1" ht="40.200000000000003" customHeight="1" x14ac:dyDescent="0.3">
      <c r="A982" s="678"/>
      <c r="B982" s="675"/>
      <c r="C982" s="667"/>
      <c r="D982" s="677"/>
      <c r="E982" s="677"/>
      <c r="F982" s="202"/>
      <c r="G982" s="669"/>
      <c r="H982" s="671"/>
      <c r="I982" s="673"/>
      <c r="J982" s="652"/>
      <c r="K982" s="667"/>
      <c r="L982" s="667"/>
      <c r="M982" s="652"/>
      <c r="N982" s="652"/>
    </row>
    <row r="983" spans="1:23" s="189" customFormat="1" ht="40.200000000000003" customHeight="1" x14ac:dyDescent="0.3">
      <c r="A983" s="678" t="str">
        <f t="shared" ref="A983" ca="1" si="4153">INDIRECT("'update Helper'!C"&amp;U983)</f>
        <v>a163p000002zQcIAAU</v>
      </c>
      <c r="B983" s="674">
        <v>10</v>
      </c>
      <c r="C983" s="666" t="str">
        <f>VLOOKUP(B983,'Coverage Indicators - Section D'!$A$9:$AU$70,47,FALSE)</f>
        <v>TB/HIV-5 Pourcentage de patients tuberculeux enregistrés (nouveaux cas et récidives) dont le statut sérologique VIH est documenté</v>
      </c>
      <c r="D983" s="676" t="str">
        <f t="shared" ref="D983" si="4154">R983</f>
        <v>Age</v>
      </c>
      <c r="E983" s="676" t="str">
        <f t="shared" ref="E983" si="4155">S983</f>
        <v>5-14</v>
      </c>
      <c r="F983" s="194"/>
      <c r="G983" s="668" t="str">
        <f t="shared" ref="G983" ca="1" si="4156">IF(OR(INDIRECT("'update Helper'!E"&amp;U983)=0,F983&lt;&gt;0,F984&lt;&gt;0),IF(IFERROR((F983/F984),"")="","",(F983/F984)),INDIRECT("'update Helper'!E"&amp;U983)/100)</f>
        <v/>
      </c>
      <c r="H983" s="670"/>
      <c r="I983" s="672"/>
      <c r="J983" s="651"/>
      <c r="K983" s="666" t="str">
        <f t="shared" ref="K983" si="4157">W983</f>
        <v>TB/HIV-5 Percentage of registered new and relapse TB patients with documented HIV status</v>
      </c>
      <c r="L983" s="666" t="str">
        <f t="shared" ref="L983" si="4158">V983</f>
        <v>Age</v>
      </c>
      <c r="M983" s="651"/>
      <c r="N983" s="651"/>
      <c r="P983" s="189">
        <f t="shared" ref="P983" si="4159">IF(AND(EXACT(C983,C981),C981&lt;&gt;0),P981+1,0)</f>
        <v>1</v>
      </c>
      <c r="Q983" s="189" t="str">
        <f t="shared" ref="Q983" si="4160">IF(C983&lt;&gt;"",C983&amp;"-"&amp;P983,"")</f>
        <v>TB/HIV-5 Pourcentage de patients tuberculeux enregistrés (nouveaux cas et récidives) dont le statut sérologique VIH est documenté-1</v>
      </c>
      <c r="R983" s="189" t="str">
        <f t="array" ref="R983">IFERROR(IF(INDEX('Disaggregation Records'!$E$155:$E$385,MATCH(RIGHT(Q983,255),RIGHT('Disaggregation Records'!$D$155:$D$385,255),0))=0,"",INDEX('Disaggregation Records'!$E$155:$E$385,MATCH(RIGHT(Q983,255),RIGHT('Disaggregation Records'!$D$155:$D$385,255),0))),"")</f>
        <v>Age</v>
      </c>
      <c r="S983" s="189" t="str">
        <f t="array" ref="S983">IFERROR(IF(INDEX('Disaggregation Records'!$F$155:$F$385,MATCH(RIGHT(Q983,255),RIGHT('Disaggregation Records'!$D$155:$D$385,255),0))=0,"",INDEX('Disaggregation Records'!$F$155:$F$385,MATCH(RIGHT(Q983,255),RIGHT('Disaggregation Records'!$D$155:$D$385,255),0))),"")</f>
        <v>5-14</v>
      </c>
      <c r="T983" s="189" t="str">
        <f t="array" ref="T983">IFERROR(IF(INDEX('Disaggregation Records'!$H$155:$H$385,MATCH(RIGHT(Q983,255),RIGHT('Disaggregation Records'!$D$155:$D$385,255),0))=0,"",INDEX('Disaggregation Records'!$H$155:$H$385,MATCH(RIGHT(Q983,255),RIGHT('Disaggregation Records'!$D$155:$D$385,255),0))),"")</f>
        <v>IDR-00736</v>
      </c>
      <c r="U983" s="189">
        <f t="shared" ref="U983" si="4161">U981+1</f>
        <v>1593</v>
      </c>
      <c r="V983" s="189" t="str">
        <f t="array" ref="V983">IFERROR(IF(INDEX('Disaggregation Records'!$I$155:$I$385,MATCH(RIGHT(Q983,255),RIGHT('Disaggregation Records'!$D$155:$D$385,255),0))=0,"",INDEX('Disaggregation Records'!$I$155:$I$385,MATCH(RIGHT(Q983,255),RIGHT('Disaggregation Records'!$D$155:$D$385,255),0))),"")</f>
        <v>Age</v>
      </c>
      <c r="W983" s="189" t="str">
        <f>IFERROR(INDEX('Reference Records'!L$59:L$121,MATCH(LEFT(C983,255),'Reference Records'!E$59:E$121,0)),"")</f>
        <v>TB/HIV-5 Percentage of registered new and relapse TB patients with documented HIV status</v>
      </c>
    </row>
    <row r="984" spans="1:23" s="189" customFormat="1" ht="40.200000000000003" customHeight="1" x14ac:dyDescent="0.3">
      <c r="A984" s="678"/>
      <c r="B984" s="675"/>
      <c r="C984" s="667"/>
      <c r="D984" s="677"/>
      <c r="E984" s="677"/>
      <c r="F984" s="202"/>
      <c r="G984" s="669"/>
      <c r="H984" s="671"/>
      <c r="I984" s="673"/>
      <c r="J984" s="652"/>
      <c r="K984" s="667"/>
      <c r="L984" s="667"/>
      <c r="M984" s="652"/>
      <c r="N984" s="652"/>
    </row>
    <row r="985" spans="1:23" s="189" customFormat="1" ht="40.200000000000003" customHeight="1" x14ac:dyDescent="0.3">
      <c r="A985" s="678" t="str">
        <f t="shared" ref="A985" ca="1" si="4162">INDIRECT("'update Helper'!C"&amp;U985)</f>
        <v>a163p000002zQcJAAU</v>
      </c>
      <c r="B985" s="674">
        <v>10</v>
      </c>
      <c r="C985" s="666" t="str">
        <f>VLOOKUP(B985,'Coverage Indicators - Section D'!$A$9:$AU$70,47,FALSE)</f>
        <v>TB/HIV-5 Pourcentage de patients tuberculeux enregistrés (nouveaux cas et récidives) dont le statut sérologique VIH est documenté</v>
      </c>
      <c r="D985" s="676" t="str">
        <f t="shared" ref="D985" si="4163">R985</f>
        <v>Age</v>
      </c>
      <c r="E985" s="676" t="str">
        <f t="shared" ref="E985" si="4164">S985</f>
        <v>15+</v>
      </c>
      <c r="F985" s="194"/>
      <c r="G985" s="668" t="str">
        <f t="shared" ref="G985" ca="1" si="4165">IF(OR(INDIRECT("'update Helper'!E"&amp;U985)=0,F985&lt;&gt;0,F986&lt;&gt;0),IF(IFERROR((F985/F986),"")="","",(F985/F986)),INDIRECT("'update Helper'!E"&amp;U985)/100)</f>
        <v/>
      </c>
      <c r="H985" s="670"/>
      <c r="I985" s="672"/>
      <c r="J985" s="651"/>
      <c r="K985" s="666" t="str">
        <f t="shared" ref="K985" si="4166">W985</f>
        <v>TB/HIV-5 Percentage of registered new and relapse TB patients with documented HIV status</v>
      </c>
      <c r="L985" s="666" t="str">
        <f t="shared" ref="L985" si="4167">V985</f>
        <v>Age</v>
      </c>
      <c r="M985" s="651"/>
      <c r="N985" s="651"/>
      <c r="P985" s="189">
        <f t="shared" ref="P985" si="4168">IF(AND(EXACT(C985,C983),C983&lt;&gt;0),P983+1,0)</f>
        <v>2</v>
      </c>
      <c r="Q985" s="189" t="str">
        <f t="shared" ref="Q985" si="4169">IF(C985&lt;&gt;"",C985&amp;"-"&amp;P985,"")</f>
        <v>TB/HIV-5 Pourcentage de patients tuberculeux enregistrés (nouveaux cas et récidives) dont le statut sérologique VIH est documenté-2</v>
      </c>
      <c r="R985" s="189" t="str">
        <f t="array" ref="R985">IFERROR(IF(INDEX('Disaggregation Records'!$E$155:$E$385,MATCH(RIGHT(Q985,255),RIGHT('Disaggregation Records'!$D$155:$D$385,255),0))=0,"",INDEX('Disaggregation Records'!$E$155:$E$385,MATCH(RIGHT(Q985,255),RIGHT('Disaggregation Records'!$D$155:$D$385,255),0))),"")</f>
        <v>Age</v>
      </c>
      <c r="S985" s="189" t="str">
        <f t="array" ref="S985">IFERROR(IF(INDEX('Disaggregation Records'!$F$155:$F$385,MATCH(RIGHT(Q985,255),RIGHT('Disaggregation Records'!$D$155:$D$385,255),0))=0,"",INDEX('Disaggregation Records'!$F$155:$F$385,MATCH(RIGHT(Q985,255),RIGHT('Disaggregation Records'!$D$155:$D$385,255),0))),"")</f>
        <v>15+</v>
      </c>
      <c r="T985" s="189" t="str">
        <f t="array" ref="T985">IFERROR(IF(INDEX('Disaggregation Records'!$H$155:$H$385,MATCH(RIGHT(Q985,255),RIGHT('Disaggregation Records'!$D$155:$D$385,255),0))=0,"",INDEX('Disaggregation Records'!$H$155:$H$385,MATCH(RIGHT(Q985,255),RIGHT('Disaggregation Records'!$D$155:$D$385,255),0))),"")</f>
        <v>IDR-00737</v>
      </c>
      <c r="U985" s="189">
        <f t="shared" ref="U985" si="4170">U983+1</f>
        <v>1594</v>
      </c>
      <c r="V985" s="189" t="str">
        <f t="array" ref="V985">IFERROR(IF(INDEX('Disaggregation Records'!$I$155:$I$385,MATCH(RIGHT(Q985,255),RIGHT('Disaggregation Records'!$D$155:$D$385,255),0))=0,"",INDEX('Disaggregation Records'!$I$155:$I$385,MATCH(RIGHT(Q985,255),RIGHT('Disaggregation Records'!$D$155:$D$385,255),0))),"")</f>
        <v>Age</v>
      </c>
      <c r="W985" s="189" t="str">
        <f>IFERROR(INDEX('Reference Records'!L$59:L$121,MATCH(LEFT(C985,255),'Reference Records'!E$59:E$121,0)),"")</f>
        <v>TB/HIV-5 Percentage of registered new and relapse TB patients with documented HIV status</v>
      </c>
    </row>
    <row r="986" spans="1:23" s="189" customFormat="1" ht="40.200000000000003" customHeight="1" x14ac:dyDescent="0.3">
      <c r="A986" s="678"/>
      <c r="B986" s="675"/>
      <c r="C986" s="667"/>
      <c r="D986" s="677"/>
      <c r="E986" s="677"/>
      <c r="F986" s="202"/>
      <c r="G986" s="669"/>
      <c r="H986" s="671"/>
      <c r="I986" s="673"/>
      <c r="J986" s="652"/>
      <c r="K986" s="667"/>
      <c r="L986" s="667"/>
      <c r="M986" s="652"/>
      <c r="N986" s="652"/>
    </row>
    <row r="987" spans="1:23" s="189" customFormat="1" ht="40.200000000000003" customHeight="1" x14ac:dyDescent="0.3">
      <c r="A987" s="678" t="str">
        <f t="shared" ref="A987" ca="1" si="4171">INDIRECT("'update Helper'!C"&amp;U987)</f>
        <v>a163p000002zQcKAAU</v>
      </c>
      <c r="B987" s="674">
        <v>10</v>
      </c>
      <c r="C987" s="666" t="str">
        <f>VLOOKUP(B987,'Coverage Indicators - Section D'!$A$9:$AU$70,47,FALSE)</f>
        <v>TB/HIV-5 Pourcentage de patients tuberculeux enregistrés (nouveaux cas et récidives) dont le statut sérologique VIH est documenté</v>
      </c>
      <c r="D987" s="676" t="str">
        <f t="shared" ref="D987" si="4172">R987</f>
        <v>Sexe</v>
      </c>
      <c r="E987" s="676" t="str">
        <f t="shared" ref="E987" si="4173">S987</f>
        <v>Homme</v>
      </c>
      <c r="F987" s="194"/>
      <c r="G987" s="668" t="str">
        <f t="shared" ref="G987" ca="1" si="4174">IF(OR(INDIRECT("'update Helper'!E"&amp;U987)=0,F987&lt;&gt;0,F988&lt;&gt;0),IF(IFERROR((F987/F988),"")="","",(F987/F988)),INDIRECT("'update Helper'!E"&amp;U987)/100)</f>
        <v/>
      </c>
      <c r="H987" s="670"/>
      <c r="I987" s="672"/>
      <c r="J987" s="651"/>
      <c r="K987" s="666" t="str">
        <f t="shared" ref="K987" si="4175">W987</f>
        <v>TB/HIV-5 Percentage of registered new and relapse TB patients with documented HIV status</v>
      </c>
      <c r="L987" s="666" t="str">
        <f t="shared" ref="L987" si="4176">V987</f>
        <v>Gender</v>
      </c>
      <c r="M987" s="651"/>
      <c r="N987" s="651"/>
      <c r="P987" s="189">
        <f t="shared" ref="P987" si="4177">IF(AND(EXACT(C987,C985),C985&lt;&gt;0),P985+1,0)</f>
        <v>3</v>
      </c>
      <c r="Q987" s="189" t="str">
        <f t="shared" ref="Q987" si="4178">IF(C987&lt;&gt;"",C987&amp;"-"&amp;P987,"")</f>
        <v>TB/HIV-5 Pourcentage de patients tuberculeux enregistrés (nouveaux cas et récidives) dont le statut sérologique VIH est documenté-3</v>
      </c>
      <c r="R987" s="189" t="str">
        <f t="array" ref="R987">IFERROR(IF(INDEX('Disaggregation Records'!$E$155:$E$385,MATCH(RIGHT(Q987,255),RIGHT('Disaggregation Records'!$D$155:$D$385,255),0))=0,"",INDEX('Disaggregation Records'!$E$155:$E$385,MATCH(RIGHT(Q987,255),RIGHT('Disaggregation Records'!$D$155:$D$385,255),0))),"")</f>
        <v>Sexe</v>
      </c>
      <c r="S987" s="189" t="str">
        <f t="array" ref="S987">IFERROR(IF(INDEX('Disaggregation Records'!$F$155:$F$385,MATCH(RIGHT(Q987,255),RIGHT('Disaggregation Records'!$D$155:$D$385,255),0))=0,"",INDEX('Disaggregation Records'!$F$155:$F$385,MATCH(RIGHT(Q987,255),RIGHT('Disaggregation Records'!$D$155:$D$385,255),0))),"")</f>
        <v>Homme</v>
      </c>
      <c r="T987" s="189" t="str">
        <f t="array" ref="T987">IFERROR(IF(INDEX('Disaggregation Records'!$H$155:$H$385,MATCH(RIGHT(Q987,255),RIGHT('Disaggregation Records'!$D$155:$D$385,255),0))=0,"",INDEX('Disaggregation Records'!$H$155:$H$385,MATCH(RIGHT(Q987,255),RIGHT('Disaggregation Records'!$D$155:$D$385,255),0))),"")</f>
        <v>IDR-00858</v>
      </c>
      <c r="U987" s="189">
        <f t="shared" ref="U987" si="4179">U985+1</f>
        <v>1595</v>
      </c>
      <c r="V987" s="189" t="str">
        <f t="array" ref="V987">IFERROR(IF(INDEX('Disaggregation Records'!$I$155:$I$385,MATCH(RIGHT(Q987,255),RIGHT('Disaggregation Records'!$D$155:$D$385,255),0))=0,"",INDEX('Disaggregation Records'!$I$155:$I$385,MATCH(RIGHT(Q987,255),RIGHT('Disaggregation Records'!$D$155:$D$385,255),0))),"")</f>
        <v>Gender</v>
      </c>
      <c r="W987" s="189" t="str">
        <f>IFERROR(INDEX('Reference Records'!L$59:L$121,MATCH(LEFT(C987,255),'Reference Records'!E$59:E$121,0)),"")</f>
        <v>TB/HIV-5 Percentage of registered new and relapse TB patients with documented HIV status</v>
      </c>
    </row>
    <row r="988" spans="1:23" s="189" customFormat="1" ht="40.200000000000003" customHeight="1" x14ac:dyDescent="0.3">
      <c r="A988" s="678"/>
      <c r="B988" s="675"/>
      <c r="C988" s="667"/>
      <c r="D988" s="677"/>
      <c r="E988" s="677"/>
      <c r="F988" s="202"/>
      <c r="G988" s="669"/>
      <c r="H988" s="671"/>
      <c r="I988" s="673"/>
      <c r="J988" s="652"/>
      <c r="K988" s="667"/>
      <c r="L988" s="667"/>
      <c r="M988" s="652"/>
      <c r="N988" s="652"/>
    </row>
    <row r="989" spans="1:23" s="189" customFormat="1" ht="40.200000000000003" customHeight="1" x14ac:dyDescent="0.3">
      <c r="A989" s="678" t="str">
        <f t="shared" ref="A989" ca="1" si="4180">INDIRECT("'update Helper'!C"&amp;U989)</f>
        <v>a163p000002zQcLAAU</v>
      </c>
      <c r="B989" s="674">
        <v>10</v>
      </c>
      <c r="C989" s="666" t="str">
        <f>VLOOKUP(B989,'Coverage Indicators - Section D'!$A$9:$AU$70,47,FALSE)</f>
        <v>TB/HIV-5 Pourcentage de patients tuberculeux enregistrés (nouveaux cas et récidives) dont le statut sérologique VIH est documenté</v>
      </c>
      <c r="D989" s="676" t="str">
        <f t="shared" ref="D989" si="4181">R989</f>
        <v>Sexe</v>
      </c>
      <c r="E989" s="676" t="str">
        <f t="shared" ref="E989" si="4182">S989</f>
        <v>Femme</v>
      </c>
      <c r="F989" s="194"/>
      <c r="G989" s="668" t="str">
        <f t="shared" ref="G989" ca="1" si="4183">IF(OR(INDIRECT("'update Helper'!E"&amp;U989)=0,F989&lt;&gt;0,F990&lt;&gt;0),IF(IFERROR((F989/F990),"")="","",(F989/F990)),INDIRECT("'update Helper'!E"&amp;U989)/100)</f>
        <v/>
      </c>
      <c r="H989" s="670"/>
      <c r="I989" s="672"/>
      <c r="J989" s="651"/>
      <c r="K989" s="666" t="str">
        <f t="shared" ref="K989" si="4184">W989</f>
        <v>TB/HIV-5 Percentage of registered new and relapse TB patients with documented HIV status</v>
      </c>
      <c r="L989" s="666" t="str">
        <f t="shared" ref="L989" si="4185">V989</f>
        <v>Gender</v>
      </c>
      <c r="M989" s="651"/>
      <c r="N989" s="651"/>
      <c r="P989" s="189">
        <f t="shared" ref="P989" si="4186">IF(AND(EXACT(C989,C987),C987&lt;&gt;0),P987+1,0)</f>
        <v>4</v>
      </c>
      <c r="Q989" s="189" t="str">
        <f t="shared" ref="Q989" si="4187">IF(C989&lt;&gt;"",C989&amp;"-"&amp;P989,"")</f>
        <v>TB/HIV-5 Pourcentage de patients tuberculeux enregistrés (nouveaux cas et récidives) dont le statut sérologique VIH est documenté-4</v>
      </c>
      <c r="R989" s="189" t="str">
        <f t="array" ref="R989">IFERROR(IF(INDEX('Disaggregation Records'!$E$155:$E$385,MATCH(RIGHT(Q989,255),RIGHT('Disaggregation Records'!$D$155:$D$385,255),0))=0,"",INDEX('Disaggregation Records'!$E$155:$E$385,MATCH(RIGHT(Q989,255),RIGHT('Disaggregation Records'!$D$155:$D$385,255),0))),"")</f>
        <v>Sexe</v>
      </c>
      <c r="S989" s="189" t="str">
        <f t="array" ref="S989">IFERROR(IF(INDEX('Disaggregation Records'!$F$155:$F$385,MATCH(RIGHT(Q989,255),RIGHT('Disaggregation Records'!$D$155:$D$385,255),0))=0,"",INDEX('Disaggregation Records'!$F$155:$F$385,MATCH(RIGHT(Q989,255),RIGHT('Disaggregation Records'!$D$155:$D$385,255),0))),"")</f>
        <v>Femme</v>
      </c>
      <c r="T989" s="189" t="str">
        <f t="array" ref="T989">IFERROR(IF(INDEX('Disaggregation Records'!$H$155:$H$385,MATCH(RIGHT(Q989,255),RIGHT('Disaggregation Records'!$D$155:$D$385,255),0))=0,"",INDEX('Disaggregation Records'!$H$155:$H$385,MATCH(RIGHT(Q989,255),RIGHT('Disaggregation Records'!$D$155:$D$385,255),0))),"")</f>
        <v>IDR-00859</v>
      </c>
      <c r="U989" s="189">
        <f t="shared" ref="U989" si="4188">U987+1</f>
        <v>1596</v>
      </c>
      <c r="V989" s="189" t="str">
        <f t="array" ref="V989">IFERROR(IF(INDEX('Disaggregation Records'!$I$155:$I$385,MATCH(RIGHT(Q989,255),RIGHT('Disaggregation Records'!$D$155:$D$385,255),0))=0,"",INDEX('Disaggregation Records'!$I$155:$I$385,MATCH(RIGHT(Q989,255),RIGHT('Disaggregation Records'!$D$155:$D$385,255),0))),"")</f>
        <v>Gender</v>
      </c>
      <c r="W989" s="189" t="str">
        <f>IFERROR(INDEX('Reference Records'!L$59:L$121,MATCH(LEFT(C989,255),'Reference Records'!E$59:E$121,0)),"")</f>
        <v>TB/HIV-5 Percentage of registered new and relapse TB patients with documented HIV status</v>
      </c>
    </row>
    <row r="990" spans="1:23" s="189" customFormat="1" ht="40.200000000000003" customHeight="1" x14ac:dyDescent="0.3">
      <c r="A990" s="678"/>
      <c r="B990" s="675"/>
      <c r="C990" s="667"/>
      <c r="D990" s="677"/>
      <c r="E990" s="677"/>
      <c r="F990" s="202"/>
      <c r="G990" s="669"/>
      <c r="H990" s="671"/>
      <c r="I990" s="673"/>
      <c r="J990" s="652"/>
      <c r="K990" s="667"/>
      <c r="L990" s="667"/>
      <c r="M990" s="652"/>
      <c r="N990" s="652"/>
    </row>
    <row r="991" spans="1:23" s="189" customFormat="1" ht="40.200000000000003" customHeight="1" x14ac:dyDescent="0.3">
      <c r="A991" s="678" t="str">
        <f t="shared" ref="A991" ca="1" si="4189">INDIRECT("'update Helper'!C"&amp;U991)</f>
        <v>a163p000002zQcMAAU</v>
      </c>
      <c r="B991" s="674">
        <v>10</v>
      </c>
      <c r="C991" s="666" t="str">
        <f>VLOOKUP(B991,'Coverage Indicators - Section D'!$A$9:$AU$70,47,FALSE)</f>
        <v>TB/HIV-5 Pourcentage de patients tuberculeux enregistrés (nouveaux cas et récidives) dont le statut sérologique VIH est documenté</v>
      </c>
      <c r="D991" s="676" t="str">
        <f t="shared" ref="D991" si="4190">R991</f>
        <v>Résultat du test VIH</v>
      </c>
      <c r="E991" s="676" t="str">
        <f t="shared" ref="E991" si="4191">S991</f>
        <v>Positif</v>
      </c>
      <c r="F991" s="194"/>
      <c r="G991" s="668" t="str">
        <f t="shared" ref="G991" ca="1" si="4192">IF(OR(INDIRECT("'update Helper'!E"&amp;U991)=0,F991&lt;&gt;0,F992&lt;&gt;0),IF(IFERROR((F991/F992),"")="","",(F991/F992)),INDIRECT("'update Helper'!E"&amp;U991)/100)</f>
        <v/>
      </c>
      <c r="H991" s="670"/>
      <c r="I991" s="672"/>
      <c r="J991" s="651"/>
      <c r="K991" s="666" t="str">
        <f t="shared" ref="K991" si="4193">W991</f>
        <v>TB/HIV-5 Percentage of registered new and relapse TB patients with documented HIV status</v>
      </c>
      <c r="L991" s="666" t="str">
        <f t="shared" ref="L991" si="4194">V991</f>
        <v>HIV test status</v>
      </c>
      <c r="M991" s="651"/>
      <c r="N991" s="651"/>
      <c r="P991" s="189">
        <f t="shared" ref="P991" si="4195">IF(AND(EXACT(C991,C989),C989&lt;&gt;0),P989+1,0)</f>
        <v>5</v>
      </c>
      <c r="Q991" s="189" t="str">
        <f t="shared" ref="Q991" si="4196">IF(C991&lt;&gt;"",C991&amp;"-"&amp;P991,"")</f>
        <v>TB/HIV-5 Pourcentage de patients tuberculeux enregistrés (nouveaux cas et récidives) dont le statut sérologique VIH est documenté-5</v>
      </c>
      <c r="R991" s="189" t="str">
        <f t="array" ref="R991">IFERROR(IF(INDEX('Disaggregation Records'!$E$155:$E$385,MATCH(RIGHT(Q991,255),RIGHT('Disaggregation Records'!$D$155:$D$385,255),0))=0,"",INDEX('Disaggregation Records'!$E$155:$E$385,MATCH(RIGHT(Q991,255),RIGHT('Disaggregation Records'!$D$155:$D$385,255),0))),"")</f>
        <v>Résultat du test VIH</v>
      </c>
      <c r="S991" s="189" t="str">
        <f t="array" ref="S991">IFERROR(IF(INDEX('Disaggregation Records'!$F$155:$F$385,MATCH(RIGHT(Q991,255),RIGHT('Disaggregation Records'!$D$155:$D$385,255),0))=0,"",INDEX('Disaggregation Records'!$F$155:$F$385,MATCH(RIGHT(Q991,255),RIGHT('Disaggregation Records'!$D$155:$D$385,255),0))),"")</f>
        <v>Positif</v>
      </c>
      <c r="T991" s="189" t="str">
        <f t="array" ref="T991">IFERROR(IF(INDEX('Disaggregation Records'!$H$155:$H$385,MATCH(RIGHT(Q991,255),RIGHT('Disaggregation Records'!$D$155:$D$385,255),0))=0,"",INDEX('Disaggregation Records'!$H$155:$H$385,MATCH(RIGHT(Q991,255),RIGHT('Disaggregation Records'!$D$155:$D$385,255),0))),"")</f>
        <v>IDR-00937</v>
      </c>
      <c r="U991" s="189">
        <f t="shared" ref="U991" si="4197">U989+1</f>
        <v>1597</v>
      </c>
      <c r="V991" s="189" t="str">
        <f t="array" ref="V991">IFERROR(IF(INDEX('Disaggregation Records'!$I$155:$I$385,MATCH(RIGHT(Q991,255),RIGHT('Disaggregation Records'!$D$155:$D$385,255),0))=0,"",INDEX('Disaggregation Records'!$I$155:$I$385,MATCH(RIGHT(Q991,255),RIGHT('Disaggregation Records'!$D$155:$D$385,255),0))),"")</f>
        <v>HIV test status</v>
      </c>
      <c r="W991" s="189" t="str">
        <f>IFERROR(INDEX('Reference Records'!L$59:L$121,MATCH(LEFT(C991,255),'Reference Records'!E$59:E$121,0)),"")</f>
        <v>TB/HIV-5 Percentage of registered new and relapse TB patients with documented HIV status</v>
      </c>
    </row>
    <row r="992" spans="1:23" s="189" customFormat="1" ht="40.200000000000003" customHeight="1" x14ac:dyDescent="0.3">
      <c r="A992" s="678"/>
      <c r="B992" s="675"/>
      <c r="C992" s="667"/>
      <c r="D992" s="677"/>
      <c r="E992" s="677"/>
      <c r="F992" s="202"/>
      <c r="G992" s="669"/>
      <c r="H992" s="671"/>
      <c r="I992" s="673"/>
      <c r="J992" s="652"/>
      <c r="K992" s="667"/>
      <c r="L992" s="667"/>
      <c r="M992" s="652"/>
      <c r="N992" s="652"/>
    </row>
    <row r="993" spans="1:23" s="189" customFormat="1" ht="40.200000000000003" customHeight="1" x14ac:dyDescent="0.3">
      <c r="A993" s="678" t="str">
        <f t="shared" ref="A993" ca="1" si="4198">INDIRECT("'update Helper'!C"&amp;U993)</f>
        <v>a163p000002zQcNAAU</v>
      </c>
      <c r="B993" s="674">
        <v>10</v>
      </c>
      <c r="C993" s="666" t="str">
        <f>VLOOKUP(B993,'Coverage Indicators - Section D'!$A$9:$AU$70,47,FALSE)</f>
        <v>TB/HIV-5 Pourcentage de patients tuberculeux enregistrés (nouveaux cas et récidives) dont le statut sérologique VIH est documenté</v>
      </c>
      <c r="D993" s="676" t="str">
        <f t="shared" ref="D993" si="4199">R993</f>
        <v/>
      </c>
      <c r="E993" s="676" t="str">
        <f t="shared" ref="E993" si="4200">S993</f>
        <v/>
      </c>
      <c r="F993" s="194"/>
      <c r="G993" s="668" t="str">
        <f t="shared" ref="G993" ca="1" si="4201">IF(OR(INDIRECT("'update Helper'!E"&amp;U993)=0,F993&lt;&gt;0,F994&lt;&gt;0),IF(IFERROR((F993/F994),"")="","",(F993/F994)),INDIRECT("'update Helper'!E"&amp;U993)/100)</f>
        <v/>
      </c>
      <c r="H993" s="670"/>
      <c r="I993" s="672"/>
      <c r="J993" s="651"/>
      <c r="K993" s="666" t="str">
        <f t="shared" ref="K993" si="4202">W993</f>
        <v>TB/HIV-5 Percentage of registered new and relapse TB patients with documented HIV status</v>
      </c>
      <c r="L993" s="666" t="str">
        <f t="shared" ref="L993" si="4203">V993</f>
        <v/>
      </c>
      <c r="M993" s="651"/>
      <c r="N993" s="651"/>
      <c r="P993" s="189">
        <f t="shared" ref="P993" si="4204">IF(AND(EXACT(C993,C991),C991&lt;&gt;0),P991+1,0)</f>
        <v>6</v>
      </c>
      <c r="Q993" s="189" t="str">
        <f t="shared" ref="Q993" si="4205">IF(C993&lt;&gt;"",C993&amp;"-"&amp;P993,"")</f>
        <v>TB/HIV-5 Pourcentage de patients tuberculeux enregistrés (nouveaux cas et récidives) dont le statut sérologique VIH est documenté-6</v>
      </c>
      <c r="R993" s="189" t="str">
        <f t="array" ref="R993">IFERROR(IF(INDEX('Disaggregation Records'!$E$155:$E$385,MATCH(RIGHT(Q993,255),RIGHT('Disaggregation Records'!$D$155:$D$385,255),0))=0,"",INDEX('Disaggregation Records'!$E$155:$E$385,MATCH(RIGHT(Q993,255),RIGHT('Disaggregation Records'!$D$155:$D$385,255),0))),"")</f>
        <v/>
      </c>
      <c r="S993" s="189" t="str">
        <f t="array" ref="S993">IFERROR(IF(INDEX('Disaggregation Records'!$F$155:$F$385,MATCH(RIGHT(Q993,255),RIGHT('Disaggregation Records'!$D$155:$D$385,255),0))=0,"",INDEX('Disaggregation Records'!$F$155:$F$385,MATCH(RIGHT(Q993,255),RIGHT('Disaggregation Records'!$D$155:$D$385,255),0))),"")</f>
        <v/>
      </c>
      <c r="T993" s="189" t="str">
        <f t="array" ref="T993">IFERROR(IF(INDEX('Disaggregation Records'!$H$155:$H$385,MATCH(RIGHT(Q993,255),RIGHT('Disaggregation Records'!$D$155:$D$385,255),0))=0,"",INDEX('Disaggregation Records'!$H$155:$H$385,MATCH(RIGHT(Q993,255),RIGHT('Disaggregation Records'!$D$155:$D$385,255),0))),"")</f>
        <v/>
      </c>
      <c r="U993" s="189">
        <f t="shared" ref="U993" si="4206">U991+1</f>
        <v>1598</v>
      </c>
      <c r="V993" s="189" t="str">
        <f t="array" ref="V993">IFERROR(IF(INDEX('Disaggregation Records'!$I$155:$I$385,MATCH(RIGHT(Q993,255),RIGHT('Disaggregation Records'!$D$155:$D$385,255),0))=0,"",INDEX('Disaggregation Records'!$I$155:$I$385,MATCH(RIGHT(Q993,255),RIGHT('Disaggregation Records'!$D$155:$D$385,255),0))),"")</f>
        <v/>
      </c>
      <c r="W993" s="189" t="str">
        <f>IFERROR(INDEX('Reference Records'!L$59:L$121,MATCH(LEFT(C993,255),'Reference Records'!E$59:E$121,0)),"")</f>
        <v>TB/HIV-5 Percentage of registered new and relapse TB patients with documented HIV status</v>
      </c>
    </row>
    <row r="994" spans="1:23" s="189" customFormat="1" ht="40.200000000000003" customHeight="1" x14ac:dyDescent="0.3">
      <c r="A994" s="678"/>
      <c r="B994" s="675"/>
      <c r="C994" s="667"/>
      <c r="D994" s="677"/>
      <c r="E994" s="677"/>
      <c r="F994" s="202"/>
      <c r="G994" s="669"/>
      <c r="H994" s="671"/>
      <c r="I994" s="673"/>
      <c r="J994" s="652"/>
      <c r="K994" s="667"/>
      <c r="L994" s="667"/>
      <c r="M994" s="652"/>
      <c r="N994" s="652"/>
    </row>
    <row r="995" spans="1:23" s="189" customFormat="1" ht="40.200000000000003" customHeight="1" x14ac:dyDescent="0.3">
      <c r="A995" s="678" t="str">
        <f t="shared" ref="A995" ca="1" si="4207">INDIRECT("'update Helper'!C"&amp;U995)</f>
        <v>a163p000002zQcOAAU</v>
      </c>
      <c r="B995" s="674">
        <v>10</v>
      </c>
      <c r="C995" s="666" t="str">
        <f>VLOOKUP(B995,'Coverage Indicators - Section D'!$A$9:$AU$70,47,FALSE)</f>
        <v>TB/HIV-5 Pourcentage de patients tuberculeux enregistrés (nouveaux cas et récidives) dont le statut sérologique VIH est documenté</v>
      </c>
      <c r="D995" s="676" t="str">
        <f t="shared" ref="D995" si="4208">R995</f>
        <v/>
      </c>
      <c r="E995" s="676" t="str">
        <f t="shared" ref="E995" si="4209">S995</f>
        <v/>
      </c>
      <c r="F995" s="194"/>
      <c r="G995" s="668" t="str">
        <f t="shared" ref="G995" ca="1" si="4210">IF(OR(INDIRECT("'update Helper'!E"&amp;U995)=0,F995&lt;&gt;0,F996&lt;&gt;0),IF(IFERROR((F995/F996),"")="","",(F995/F996)),INDIRECT("'update Helper'!E"&amp;U995)/100)</f>
        <v/>
      </c>
      <c r="H995" s="670"/>
      <c r="I995" s="672"/>
      <c r="J995" s="651"/>
      <c r="K995" s="666" t="str">
        <f t="shared" ref="K995" si="4211">W995</f>
        <v>TB/HIV-5 Percentage of registered new and relapse TB patients with documented HIV status</v>
      </c>
      <c r="L995" s="666" t="str">
        <f t="shared" ref="L995" si="4212">V995</f>
        <v/>
      </c>
      <c r="M995" s="651"/>
      <c r="N995" s="651"/>
      <c r="P995" s="189">
        <f t="shared" ref="P995" si="4213">IF(AND(EXACT(C995,C993),C993&lt;&gt;0),P993+1,0)</f>
        <v>7</v>
      </c>
      <c r="Q995" s="189" t="str">
        <f t="shared" ref="Q995" si="4214">IF(C995&lt;&gt;"",C995&amp;"-"&amp;P995,"")</f>
        <v>TB/HIV-5 Pourcentage de patients tuberculeux enregistrés (nouveaux cas et récidives) dont le statut sérologique VIH est documenté-7</v>
      </c>
      <c r="R995" s="189" t="str">
        <f t="array" ref="R995">IFERROR(IF(INDEX('Disaggregation Records'!$E$155:$E$385,MATCH(RIGHT(Q995,255),RIGHT('Disaggregation Records'!$D$155:$D$385,255),0))=0,"",INDEX('Disaggregation Records'!$E$155:$E$385,MATCH(RIGHT(Q995,255),RIGHT('Disaggregation Records'!$D$155:$D$385,255),0))),"")</f>
        <v/>
      </c>
      <c r="S995" s="189" t="str">
        <f t="array" ref="S995">IFERROR(IF(INDEX('Disaggregation Records'!$F$155:$F$385,MATCH(RIGHT(Q995,255),RIGHT('Disaggregation Records'!$D$155:$D$385,255),0))=0,"",INDEX('Disaggregation Records'!$F$155:$F$385,MATCH(RIGHT(Q995,255),RIGHT('Disaggregation Records'!$D$155:$D$385,255),0))),"")</f>
        <v/>
      </c>
      <c r="T995" s="189" t="str">
        <f t="array" ref="T995">IFERROR(IF(INDEX('Disaggregation Records'!$H$155:$H$385,MATCH(RIGHT(Q995,255),RIGHT('Disaggregation Records'!$D$155:$D$385,255),0))=0,"",INDEX('Disaggregation Records'!$H$155:$H$385,MATCH(RIGHT(Q995,255),RIGHT('Disaggregation Records'!$D$155:$D$385,255),0))),"")</f>
        <v/>
      </c>
      <c r="U995" s="189">
        <f t="shared" ref="U995" si="4215">U993+1</f>
        <v>1599</v>
      </c>
      <c r="V995" s="189" t="str">
        <f t="array" ref="V995">IFERROR(IF(INDEX('Disaggregation Records'!$I$155:$I$385,MATCH(RIGHT(Q995,255),RIGHT('Disaggregation Records'!$D$155:$D$385,255),0))=0,"",INDEX('Disaggregation Records'!$I$155:$I$385,MATCH(RIGHT(Q995,255),RIGHT('Disaggregation Records'!$D$155:$D$385,255),0))),"")</f>
        <v/>
      </c>
      <c r="W995" s="189" t="str">
        <f>IFERROR(INDEX('Reference Records'!L$59:L$121,MATCH(LEFT(C995,255),'Reference Records'!E$59:E$121,0)),"")</f>
        <v>TB/HIV-5 Percentage of registered new and relapse TB patients with documented HIV status</v>
      </c>
    </row>
    <row r="996" spans="1:23" s="189" customFormat="1" ht="40.200000000000003" customHeight="1" x14ac:dyDescent="0.3">
      <c r="A996" s="678"/>
      <c r="B996" s="675"/>
      <c r="C996" s="667"/>
      <c r="D996" s="677"/>
      <c r="E996" s="677"/>
      <c r="F996" s="202"/>
      <c r="G996" s="669"/>
      <c r="H996" s="671"/>
      <c r="I996" s="673"/>
      <c r="J996" s="652"/>
      <c r="K996" s="667"/>
      <c r="L996" s="667"/>
      <c r="M996" s="652"/>
      <c r="N996" s="652"/>
    </row>
    <row r="997" spans="1:23" s="189" customFormat="1" ht="40.200000000000003" customHeight="1" x14ac:dyDescent="0.3">
      <c r="A997" s="678" t="str">
        <f t="shared" ref="A997" ca="1" si="4216">INDIRECT("'update Helper'!C"&amp;U997)</f>
        <v>a163p000002zQcPAAU</v>
      </c>
      <c r="B997" s="674">
        <v>10</v>
      </c>
      <c r="C997" s="666" t="str">
        <f>VLOOKUP(B997,'Coverage Indicators - Section D'!$A$9:$AU$70,47,FALSE)</f>
        <v>TB/HIV-5 Pourcentage de patients tuberculeux enregistrés (nouveaux cas et récidives) dont le statut sérologique VIH est documenté</v>
      </c>
      <c r="D997" s="676" t="str">
        <f t="shared" ref="D997" si="4217">R997</f>
        <v/>
      </c>
      <c r="E997" s="676" t="str">
        <f t="shared" ref="E997" si="4218">S997</f>
        <v/>
      </c>
      <c r="F997" s="194"/>
      <c r="G997" s="668" t="str">
        <f t="shared" ref="G997" ca="1" si="4219">IF(OR(INDIRECT("'update Helper'!E"&amp;U997)=0,F997&lt;&gt;0,F998&lt;&gt;0),IF(IFERROR((F997/F998),"")="","",(F997/F998)),INDIRECT("'update Helper'!E"&amp;U997)/100)</f>
        <v/>
      </c>
      <c r="H997" s="670"/>
      <c r="I997" s="672"/>
      <c r="J997" s="651"/>
      <c r="K997" s="666" t="str">
        <f t="shared" ref="K997" si="4220">W997</f>
        <v>TB/HIV-5 Percentage of registered new and relapse TB patients with documented HIV status</v>
      </c>
      <c r="L997" s="666" t="str">
        <f t="shared" ref="L997" si="4221">V997</f>
        <v/>
      </c>
      <c r="M997" s="651"/>
      <c r="N997" s="651"/>
      <c r="P997" s="189">
        <f t="shared" ref="P997" si="4222">IF(AND(EXACT(C997,C995),C995&lt;&gt;0),P995+1,0)</f>
        <v>8</v>
      </c>
      <c r="Q997" s="189" t="str">
        <f t="shared" ref="Q997" si="4223">IF(C997&lt;&gt;"",C997&amp;"-"&amp;P997,"")</f>
        <v>TB/HIV-5 Pourcentage de patients tuberculeux enregistrés (nouveaux cas et récidives) dont le statut sérologique VIH est documenté-8</v>
      </c>
      <c r="R997" s="189" t="str">
        <f t="array" ref="R997">IFERROR(IF(INDEX('Disaggregation Records'!$E$155:$E$385,MATCH(RIGHT(Q997,255),RIGHT('Disaggregation Records'!$D$155:$D$385,255),0))=0,"",INDEX('Disaggregation Records'!$E$155:$E$385,MATCH(RIGHT(Q997,255),RIGHT('Disaggregation Records'!$D$155:$D$385,255),0))),"")</f>
        <v/>
      </c>
      <c r="S997" s="189" t="str">
        <f t="array" ref="S997">IFERROR(IF(INDEX('Disaggregation Records'!$F$155:$F$385,MATCH(RIGHT(Q997,255),RIGHT('Disaggregation Records'!$D$155:$D$385,255),0))=0,"",INDEX('Disaggregation Records'!$F$155:$F$385,MATCH(RIGHT(Q997,255),RIGHT('Disaggregation Records'!$D$155:$D$385,255),0))),"")</f>
        <v/>
      </c>
      <c r="T997" s="189" t="str">
        <f t="array" ref="T997">IFERROR(IF(INDEX('Disaggregation Records'!$H$155:$H$385,MATCH(RIGHT(Q997,255),RIGHT('Disaggregation Records'!$D$155:$D$385,255),0))=0,"",INDEX('Disaggregation Records'!$H$155:$H$385,MATCH(RIGHT(Q997,255),RIGHT('Disaggregation Records'!$D$155:$D$385,255),0))),"")</f>
        <v/>
      </c>
      <c r="U997" s="189">
        <f t="shared" ref="U997" si="4224">U995+1</f>
        <v>1600</v>
      </c>
      <c r="V997" s="189" t="str">
        <f t="array" ref="V997">IFERROR(IF(INDEX('Disaggregation Records'!$I$155:$I$385,MATCH(RIGHT(Q997,255),RIGHT('Disaggregation Records'!$D$155:$D$385,255),0))=0,"",INDEX('Disaggregation Records'!$I$155:$I$385,MATCH(RIGHT(Q997,255),RIGHT('Disaggregation Records'!$D$155:$D$385,255),0))),"")</f>
        <v/>
      </c>
      <c r="W997" s="189" t="str">
        <f>IFERROR(INDEX('Reference Records'!L$59:L$121,MATCH(LEFT(C997,255),'Reference Records'!E$59:E$121,0)),"")</f>
        <v>TB/HIV-5 Percentage of registered new and relapse TB patients with documented HIV status</v>
      </c>
    </row>
    <row r="998" spans="1:23" s="189" customFormat="1" ht="40.200000000000003" customHeight="1" x14ac:dyDescent="0.3">
      <c r="A998" s="678"/>
      <c r="B998" s="675"/>
      <c r="C998" s="667"/>
      <c r="D998" s="677"/>
      <c r="E998" s="677"/>
      <c r="F998" s="202"/>
      <c r="G998" s="669"/>
      <c r="H998" s="671"/>
      <c r="I998" s="673"/>
      <c r="J998" s="652"/>
      <c r="K998" s="667"/>
      <c r="L998" s="667"/>
      <c r="M998" s="652"/>
      <c r="N998" s="652"/>
    </row>
    <row r="999" spans="1:23" s="189" customFormat="1" ht="40.200000000000003" customHeight="1" x14ac:dyDescent="0.3">
      <c r="A999" s="678" t="str">
        <f t="shared" ref="A999" ca="1" si="4225">INDIRECT("'update Helper'!C"&amp;U999)</f>
        <v>a163p000002zQcQAAU</v>
      </c>
      <c r="B999" s="674">
        <v>10</v>
      </c>
      <c r="C999" s="666" t="str">
        <f>VLOOKUP(B999,'Coverage Indicators - Section D'!$A$9:$AU$70,47,FALSE)</f>
        <v>TB/HIV-5 Pourcentage de patients tuberculeux enregistrés (nouveaux cas et récidives) dont le statut sérologique VIH est documenté</v>
      </c>
      <c r="D999" s="676" t="str">
        <f t="shared" ref="D999" si="4226">R999</f>
        <v/>
      </c>
      <c r="E999" s="676" t="str">
        <f t="shared" ref="E999" si="4227">S999</f>
        <v/>
      </c>
      <c r="F999" s="194"/>
      <c r="G999" s="668" t="str">
        <f t="shared" ref="G999" ca="1" si="4228">IF(OR(INDIRECT("'update Helper'!E"&amp;U999)=0,F999&lt;&gt;0,F1000&lt;&gt;0),IF(IFERROR((F999/F1000),"")="","",(F999/F1000)),INDIRECT("'update Helper'!E"&amp;U999)/100)</f>
        <v/>
      </c>
      <c r="H999" s="670"/>
      <c r="I999" s="672"/>
      <c r="J999" s="651"/>
      <c r="K999" s="666" t="str">
        <f t="shared" ref="K999" si="4229">W999</f>
        <v>TB/HIV-5 Percentage of registered new and relapse TB patients with documented HIV status</v>
      </c>
      <c r="L999" s="666" t="str">
        <f t="shared" ref="L999" si="4230">V999</f>
        <v/>
      </c>
      <c r="M999" s="651"/>
      <c r="N999" s="651"/>
      <c r="P999" s="189">
        <f t="shared" ref="P999" si="4231">IF(AND(EXACT(C999,C997),C997&lt;&gt;0),P997+1,0)</f>
        <v>9</v>
      </c>
      <c r="Q999" s="189" t="str">
        <f t="shared" ref="Q999" si="4232">IF(C999&lt;&gt;"",C999&amp;"-"&amp;P999,"")</f>
        <v>TB/HIV-5 Pourcentage de patients tuberculeux enregistrés (nouveaux cas et récidives) dont le statut sérologique VIH est documenté-9</v>
      </c>
      <c r="R999" s="189" t="str">
        <f t="array" ref="R999">IFERROR(IF(INDEX('Disaggregation Records'!$E$155:$E$385,MATCH(RIGHT(Q999,255),RIGHT('Disaggregation Records'!$D$155:$D$385,255),0))=0,"",INDEX('Disaggregation Records'!$E$155:$E$385,MATCH(RIGHT(Q999,255),RIGHT('Disaggregation Records'!$D$155:$D$385,255),0))),"")</f>
        <v/>
      </c>
      <c r="S999" s="189" t="str">
        <f t="array" ref="S999">IFERROR(IF(INDEX('Disaggregation Records'!$F$155:$F$385,MATCH(RIGHT(Q999,255),RIGHT('Disaggregation Records'!$D$155:$D$385,255),0))=0,"",INDEX('Disaggregation Records'!$F$155:$F$385,MATCH(RIGHT(Q999,255),RIGHT('Disaggregation Records'!$D$155:$D$385,255),0))),"")</f>
        <v/>
      </c>
      <c r="T999" s="189" t="str">
        <f t="array" ref="T999">IFERROR(IF(INDEX('Disaggregation Records'!$H$155:$H$385,MATCH(RIGHT(Q999,255),RIGHT('Disaggregation Records'!$D$155:$D$385,255),0))=0,"",INDEX('Disaggregation Records'!$H$155:$H$385,MATCH(RIGHT(Q999,255),RIGHT('Disaggregation Records'!$D$155:$D$385,255),0))),"")</f>
        <v/>
      </c>
      <c r="U999" s="189">
        <f t="shared" ref="U999" si="4233">U997+1</f>
        <v>1601</v>
      </c>
      <c r="V999" s="189" t="str">
        <f t="array" ref="V999">IFERROR(IF(INDEX('Disaggregation Records'!$I$155:$I$385,MATCH(RIGHT(Q999,255),RIGHT('Disaggregation Records'!$D$155:$D$385,255),0))=0,"",INDEX('Disaggregation Records'!$I$155:$I$385,MATCH(RIGHT(Q999,255),RIGHT('Disaggregation Records'!$D$155:$D$385,255),0))),"")</f>
        <v/>
      </c>
      <c r="W999" s="189" t="str">
        <f>IFERROR(INDEX('Reference Records'!L$59:L$121,MATCH(LEFT(C999,255),'Reference Records'!E$59:E$121,0)),"")</f>
        <v>TB/HIV-5 Percentage of registered new and relapse TB patients with documented HIV status</v>
      </c>
    </row>
    <row r="1000" spans="1:23" s="189" customFormat="1" ht="40.200000000000003" customHeight="1" x14ac:dyDescent="0.3">
      <c r="A1000" s="678"/>
      <c r="B1000" s="675"/>
      <c r="C1000" s="667"/>
      <c r="D1000" s="677"/>
      <c r="E1000" s="677"/>
      <c r="F1000" s="202"/>
      <c r="G1000" s="669"/>
      <c r="H1000" s="671"/>
      <c r="I1000" s="673"/>
      <c r="J1000" s="652"/>
      <c r="K1000" s="667"/>
      <c r="L1000" s="667"/>
      <c r="M1000" s="652"/>
      <c r="N1000" s="652"/>
    </row>
    <row r="1001" spans="1:23" s="189" customFormat="1" ht="40.200000000000003" customHeight="1" x14ac:dyDescent="0.3">
      <c r="A1001" s="678" t="str">
        <f t="shared" ref="A1001" ca="1" si="4234">INDIRECT("'update Helper'!C"&amp;U1001)</f>
        <v>a163p000002zQcRAAU</v>
      </c>
      <c r="B1001" s="674">
        <v>10</v>
      </c>
      <c r="C1001" s="666" t="str">
        <f>VLOOKUP(B1001,'Coverage Indicators - Section D'!$A$9:$AU$70,47,FALSE)</f>
        <v>TB/HIV-5 Pourcentage de patients tuberculeux enregistrés (nouveaux cas et récidives) dont le statut sérologique VIH est documenté</v>
      </c>
      <c r="D1001" s="676" t="str">
        <f t="shared" ref="D1001" si="4235">R1001</f>
        <v/>
      </c>
      <c r="E1001" s="676" t="str">
        <f t="shared" ref="E1001" si="4236">S1001</f>
        <v/>
      </c>
      <c r="F1001" s="194"/>
      <c r="G1001" s="668" t="str">
        <f t="shared" ref="G1001" ca="1" si="4237">IF(OR(INDIRECT("'update Helper'!E"&amp;U1001)=0,F1001&lt;&gt;0,F1002&lt;&gt;0),IF(IFERROR((F1001/F1002),"")="","",(F1001/F1002)),INDIRECT("'update Helper'!E"&amp;U1001)/100)</f>
        <v/>
      </c>
      <c r="H1001" s="670"/>
      <c r="I1001" s="672"/>
      <c r="J1001" s="651"/>
      <c r="K1001" s="666" t="str">
        <f t="shared" ref="K1001" si="4238">W1001</f>
        <v>TB/HIV-5 Percentage of registered new and relapse TB patients with documented HIV status</v>
      </c>
      <c r="L1001" s="666" t="str">
        <f t="shared" ref="L1001" si="4239">V1001</f>
        <v/>
      </c>
      <c r="M1001" s="651"/>
      <c r="N1001" s="651"/>
      <c r="P1001" s="189">
        <f t="shared" ref="P1001" si="4240">IF(AND(EXACT(C1001,C999),C999&lt;&gt;0),P999+1,0)</f>
        <v>10</v>
      </c>
      <c r="Q1001" s="189" t="str">
        <f t="shared" ref="Q1001" si="4241">IF(C1001&lt;&gt;"",C1001&amp;"-"&amp;P1001,"")</f>
        <v>TB/HIV-5 Pourcentage de patients tuberculeux enregistrés (nouveaux cas et récidives) dont le statut sérologique VIH est documenté-10</v>
      </c>
      <c r="R1001" s="189" t="str">
        <f t="array" ref="R1001">IFERROR(IF(INDEX('Disaggregation Records'!$E$155:$E$385,MATCH(RIGHT(Q1001,255),RIGHT('Disaggregation Records'!$D$155:$D$385,255),0))=0,"",INDEX('Disaggregation Records'!$E$155:$E$385,MATCH(RIGHT(Q1001,255),RIGHT('Disaggregation Records'!$D$155:$D$385,255),0))),"")</f>
        <v/>
      </c>
      <c r="S1001" s="189" t="str">
        <f t="array" ref="S1001">IFERROR(IF(INDEX('Disaggregation Records'!$F$155:$F$385,MATCH(RIGHT(Q1001,255),RIGHT('Disaggregation Records'!$D$155:$D$385,255),0))=0,"",INDEX('Disaggregation Records'!$F$155:$F$385,MATCH(RIGHT(Q1001,255),RIGHT('Disaggregation Records'!$D$155:$D$385,255),0))),"")</f>
        <v/>
      </c>
      <c r="T1001" s="189" t="str">
        <f t="array" ref="T1001">IFERROR(IF(INDEX('Disaggregation Records'!$H$155:$H$385,MATCH(RIGHT(Q1001,255),RIGHT('Disaggregation Records'!$D$155:$D$385,255),0))=0,"",INDEX('Disaggregation Records'!$H$155:$H$385,MATCH(RIGHT(Q1001,255),RIGHT('Disaggregation Records'!$D$155:$D$385,255),0))),"")</f>
        <v/>
      </c>
      <c r="U1001" s="189">
        <f t="shared" ref="U1001" si="4242">U999+1</f>
        <v>1602</v>
      </c>
      <c r="V1001" s="189" t="str">
        <f t="array" ref="V1001">IFERROR(IF(INDEX('Disaggregation Records'!$I$155:$I$385,MATCH(RIGHT(Q1001,255),RIGHT('Disaggregation Records'!$D$155:$D$385,255),0))=0,"",INDEX('Disaggregation Records'!$I$155:$I$385,MATCH(RIGHT(Q1001,255),RIGHT('Disaggregation Records'!$D$155:$D$385,255),0))),"")</f>
        <v/>
      </c>
      <c r="W1001" s="189" t="str">
        <f>IFERROR(INDEX('Reference Records'!L$59:L$121,MATCH(LEFT(C1001,255),'Reference Records'!E$59:E$121,0)),"")</f>
        <v>TB/HIV-5 Percentage of registered new and relapse TB patients with documented HIV status</v>
      </c>
    </row>
    <row r="1002" spans="1:23" s="189" customFormat="1" ht="40.200000000000003" customHeight="1" x14ac:dyDescent="0.3">
      <c r="A1002" s="678"/>
      <c r="B1002" s="675"/>
      <c r="C1002" s="667"/>
      <c r="D1002" s="677"/>
      <c r="E1002" s="677"/>
      <c r="F1002" s="202"/>
      <c r="G1002" s="669"/>
      <c r="H1002" s="671"/>
      <c r="I1002" s="673"/>
      <c r="J1002" s="652"/>
      <c r="K1002" s="667"/>
      <c r="L1002" s="667"/>
      <c r="M1002" s="652"/>
      <c r="N1002" s="652"/>
    </row>
    <row r="1003" spans="1:23" s="189" customFormat="1" ht="40.200000000000003" customHeight="1" x14ac:dyDescent="0.3">
      <c r="A1003" s="678" t="str">
        <f t="shared" ref="A1003" ca="1" si="4243">INDIRECT("'update Helper'!C"&amp;U1003)</f>
        <v>a163p000002zQcSAAU</v>
      </c>
      <c r="B1003" s="674">
        <v>10</v>
      </c>
      <c r="C1003" s="666" t="str">
        <f>VLOOKUP(B1003,'Coverage Indicators - Section D'!$A$9:$AU$70,47,FALSE)</f>
        <v>TB/HIV-5 Pourcentage de patients tuberculeux enregistrés (nouveaux cas et récidives) dont le statut sérologique VIH est documenté</v>
      </c>
      <c r="D1003" s="676" t="str">
        <f t="shared" ref="D1003" si="4244">R1003</f>
        <v/>
      </c>
      <c r="E1003" s="676" t="str">
        <f t="shared" ref="E1003" si="4245">S1003</f>
        <v/>
      </c>
      <c r="F1003" s="194"/>
      <c r="G1003" s="668" t="str">
        <f t="shared" ref="G1003" ca="1" si="4246">IF(OR(INDIRECT("'update Helper'!E"&amp;U1003)=0,F1003&lt;&gt;0,F1004&lt;&gt;0),IF(IFERROR((F1003/F1004),"")="","",(F1003/F1004)),INDIRECT("'update Helper'!E"&amp;U1003)/100)</f>
        <v/>
      </c>
      <c r="H1003" s="670"/>
      <c r="I1003" s="672"/>
      <c r="J1003" s="651"/>
      <c r="K1003" s="666" t="str">
        <f t="shared" ref="K1003" si="4247">W1003</f>
        <v>TB/HIV-5 Percentage of registered new and relapse TB patients with documented HIV status</v>
      </c>
      <c r="L1003" s="666" t="str">
        <f t="shared" ref="L1003" si="4248">V1003</f>
        <v/>
      </c>
      <c r="M1003" s="651"/>
      <c r="N1003" s="651"/>
      <c r="P1003" s="189">
        <f t="shared" ref="P1003" si="4249">IF(AND(EXACT(C1003,C1001),C1001&lt;&gt;0),P1001+1,0)</f>
        <v>11</v>
      </c>
      <c r="Q1003" s="189" t="str">
        <f t="shared" ref="Q1003" si="4250">IF(C1003&lt;&gt;"",C1003&amp;"-"&amp;P1003,"")</f>
        <v>TB/HIV-5 Pourcentage de patients tuberculeux enregistrés (nouveaux cas et récidives) dont le statut sérologique VIH est documenté-11</v>
      </c>
      <c r="R1003" s="189" t="str">
        <f t="array" ref="R1003">IFERROR(IF(INDEX('Disaggregation Records'!$E$155:$E$385,MATCH(RIGHT(Q1003,255),RIGHT('Disaggregation Records'!$D$155:$D$385,255),0))=0,"",INDEX('Disaggregation Records'!$E$155:$E$385,MATCH(RIGHT(Q1003,255),RIGHT('Disaggregation Records'!$D$155:$D$385,255),0))),"")</f>
        <v/>
      </c>
      <c r="S1003" s="189" t="str">
        <f t="array" ref="S1003">IFERROR(IF(INDEX('Disaggregation Records'!$F$155:$F$385,MATCH(RIGHT(Q1003,255),RIGHT('Disaggregation Records'!$D$155:$D$385,255),0))=0,"",INDEX('Disaggregation Records'!$F$155:$F$385,MATCH(RIGHT(Q1003,255),RIGHT('Disaggregation Records'!$D$155:$D$385,255),0))),"")</f>
        <v/>
      </c>
      <c r="T1003" s="189" t="str">
        <f t="array" ref="T1003">IFERROR(IF(INDEX('Disaggregation Records'!$H$155:$H$385,MATCH(RIGHT(Q1003,255),RIGHT('Disaggregation Records'!$D$155:$D$385,255),0))=0,"",INDEX('Disaggregation Records'!$H$155:$H$385,MATCH(RIGHT(Q1003,255),RIGHT('Disaggregation Records'!$D$155:$D$385,255),0))),"")</f>
        <v/>
      </c>
      <c r="U1003" s="189">
        <f t="shared" ref="U1003" si="4251">U1001+1</f>
        <v>1603</v>
      </c>
      <c r="V1003" s="189" t="str">
        <f t="array" ref="V1003">IFERROR(IF(INDEX('Disaggregation Records'!$I$155:$I$385,MATCH(RIGHT(Q1003,255),RIGHT('Disaggregation Records'!$D$155:$D$385,255),0))=0,"",INDEX('Disaggregation Records'!$I$155:$I$385,MATCH(RIGHT(Q1003,255),RIGHT('Disaggregation Records'!$D$155:$D$385,255),0))),"")</f>
        <v/>
      </c>
      <c r="W1003" s="189" t="str">
        <f>IFERROR(INDEX('Reference Records'!L$59:L$121,MATCH(LEFT(C1003,255),'Reference Records'!E$59:E$121,0)),"")</f>
        <v>TB/HIV-5 Percentage of registered new and relapse TB patients with documented HIV status</v>
      </c>
    </row>
    <row r="1004" spans="1:23" s="189" customFormat="1" ht="40.200000000000003" customHeight="1" x14ac:dyDescent="0.3">
      <c r="A1004" s="678"/>
      <c r="B1004" s="675"/>
      <c r="C1004" s="667"/>
      <c r="D1004" s="677"/>
      <c r="E1004" s="677"/>
      <c r="F1004" s="202"/>
      <c r="G1004" s="669"/>
      <c r="H1004" s="671"/>
      <c r="I1004" s="673"/>
      <c r="J1004" s="652"/>
      <c r="K1004" s="667"/>
      <c r="L1004" s="667"/>
      <c r="M1004" s="652"/>
      <c r="N1004" s="652"/>
    </row>
    <row r="1005" spans="1:23" s="189" customFormat="1" ht="40.200000000000003" customHeight="1" x14ac:dyDescent="0.3">
      <c r="A1005" s="678" t="str">
        <f t="shared" ref="A1005" ca="1" si="4252">INDIRECT("'update Helper'!C"&amp;U1005)</f>
        <v>a163p000002zQcTAAU</v>
      </c>
      <c r="B1005" s="674">
        <v>10</v>
      </c>
      <c r="C1005" s="666" t="str">
        <f>VLOOKUP(B1005,'Coverage Indicators - Section D'!$A$9:$AU$70,47,FALSE)</f>
        <v>TB/HIV-5 Pourcentage de patients tuberculeux enregistrés (nouveaux cas et récidives) dont le statut sérologique VIH est documenté</v>
      </c>
      <c r="D1005" s="676" t="str">
        <f t="shared" ref="D1005" si="4253">R1005</f>
        <v/>
      </c>
      <c r="E1005" s="676" t="str">
        <f t="shared" ref="E1005" si="4254">S1005</f>
        <v/>
      </c>
      <c r="F1005" s="194"/>
      <c r="G1005" s="668" t="str">
        <f t="shared" ref="G1005" ca="1" si="4255">IF(OR(INDIRECT("'update Helper'!E"&amp;U1005)=0,F1005&lt;&gt;0,F1006&lt;&gt;0),IF(IFERROR((F1005/F1006),"")="","",(F1005/F1006)),INDIRECT("'update Helper'!E"&amp;U1005)/100)</f>
        <v/>
      </c>
      <c r="H1005" s="670"/>
      <c r="I1005" s="672"/>
      <c r="J1005" s="651"/>
      <c r="K1005" s="666" t="str">
        <f t="shared" ref="K1005" si="4256">W1005</f>
        <v>TB/HIV-5 Percentage of registered new and relapse TB patients with documented HIV status</v>
      </c>
      <c r="L1005" s="666" t="str">
        <f t="shared" ref="L1005" si="4257">V1005</f>
        <v/>
      </c>
      <c r="M1005" s="651"/>
      <c r="N1005" s="651"/>
      <c r="P1005" s="189">
        <f t="shared" ref="P1005" si="4258">IF(AND(EXACT(C1005,C1003),C1003&lt;&gt;0),P1003+1,0)</f>
        <v>12</v>
      </c>
      <c r="Q1005" s="189" t="str">
        <f t="shared" ref="Q1005" si="4259">IF(C1005&lt;&gt;"",C1005&amp;"-"&amp;P1005,"")</f>
        <v>TB/HIV-5 Pourcentage de patients tuberculeux enregistrés (nouveaux cas et récidives) dont le statut sérologique VIH est documenté-12</v>
      </c>
      <c r="R1005" s="189" t="str">
        <f t="array" ref="R1005">IFERROR(IF(INDEX('Disaggregation Records'!$E$155:$E$385,MATCH(RIGHT(Q1005,255),RIGHT('Disaggregation Records'!$D$155:$D$385,255),0))=0,"",INDEX('Disaggregation Records'!$E$155:$E$385,MATCH(RIGHT(Q1005,255),RIGHT('Disaggregation Records'!$D$155:$D$385,255),0))),"")</f>
        <v/>
      </c>
      <c r="S1005" s="189" t="str">
        <f t="array" ref="S1005">IFERROR(IF(INDEX('Disaggregation Records'!$F$155:$F$385,MATCH(RIGHT(Q1005,255),RIGHT('Disaggregation Records'!$D$155:$D$385,255),0))=0,"",INDEX('Disaggregation Records'!$F$155:$F$385,MATCH(RIGHT(Q1005,255),RIGHT('Disaggregation Records'!$D$155:$D$385,255),0))),"")</f>
        <v/>
      </c>
      <c r="T1005" s="189" t="str">
        <f t="array" ref="T1005">IFERROR(IF(INDEX('Disaggregation Records'!$H$155:$H$385,MATCH(RIGHT(Q1005,255),RIGHT('Disaggregation Records'!$D$155:$D$385,255),0))=0,"",INDEX('Disaggregation Records'!$H$155:$H$385,MATCH(RIGHT(Q1005,255),RIGHT('Disaggregation Records'!$D$155:$D$385,255),0))),"")</f>
        <v/>
      </c>
      <c r="U1005" s="189">
        <f t="shared" ref="U1005" si="4260">U1003+1</f>
        <v>1604</v>
      </c>
      <c r="V1005" s="189" t="str">
        <f t="array" ref="V1005">IFERROR(IF(INDEX('Disaggregation Records'!$I$155:$I$385,MATCH(RIGHT(Q1005,255),RIGHT('Disaggregation Records'!$D$155:$D$385,255),0))=0,"",INDEX('Disaggregation Records'!$I$155:$I$385,MATCH(RIGHT(Q1005,255),RIGHT('Disaggregation Records'!$D$155:$D$385,255),0))),"")</f>
        <v/>
      </c>
      <c r="W1005" s="189" t="str">
        <f>IFERROR(INDEX('Reference Records'!L$59:L$121,MATCH(LEFT(C1005,255),'Reference Records'!E$59:E$121,0)),"")</f>
        <v>TB/HIV-5 Percentage of registered new and relapse TB patients with documented HIV status</v>
      </c>
    </row>
    <row r="1006" spans="1:23" s="189" customFormat="1" ht="40.200000000000003" customHeight="1" x14ac:dyDescent="0.3">
      <c r="A1006" s="678"/>
      <c r="B1006" s="675"/>
      <c r="C1006" s="667"/>
      <c r="D1006" s="677"/>
      <c r="E1006" s="677"/>
      <c r="F1006" s="202"/>
      <c r="G1006" s="669"/>
      <c r="H1006" s="671"/>
      <c r="I1006" s="673"/>
      <c r="J1006" s="652"/>
      <c r="K1006" s="667"/>
      <c r="L1006" s="667"/>
      <c r="M1006" s="652"/>
      <c r="N1006" s="652"/>
    </row>
    <row r="1007" spans="1:23" s="189" customFormat="1" ht="40.200000000000003" customHeight="1" x14ac:dyDescent="0.3">
      <c r="A1007" s="678" t="str">
        <f t="shared" ref="A1007" ca="1" si="4261">INDIRECT("'update Helper'!C"&amp;U1007)</f>
        <v>a163p000002zQcUAAU</v>
      </c>
      <c r="B1007" s="674">
        <v>10</v>
      </c>
      <c r="C1007" s="666" t="str">
        <f>VLOOKUP(B1007,'Coverage Indicators - Section D'!$A$9:$AU$70,47,FALSE)</f>
        <v>TB/HIV-5 Pourcentage de patients tuberculeux enregistrés (nouveaux cas et récidives) dont le statut sérologique VIH est documenté</v>
      </c>
      <c r="D1007" s="676" t="str">
        <f t="shared" ref="D1007" si="4262">R1007</f>
        <v/>
      </c>
      <c r="E1007" s="676" t="str">
        <f t="shared" ref="E1007" si="4263">S1007</f>
        <v/>
      </c>
      <c r="F1007" s="194"/>
      <c r="G1007" s="668" t="str">
        <f t="shared" ref="G1007" ca="1" si="4264">IF(OR(INDIRECT("'update Helper'!E"&amp;U1007)=0,F1007&lt;&gt;0,F1008&lt;&gt;0),IF(IFERROR((F1007/F1008),"")="","",(F1007/F1008)),INDIRECT("'update Helper'!E"&amp;U1007)/100)</f>
        <v/>
      </c>
      <c r="H1007" s="670"/>
      <c r="I1007" s="672"/>
      <c r="J1007" s="651"/>
      <c r="K1007" s="666" t="str">
        <f t="shared" ref="K1007" si="4265">W1007</f>
        <v>TB/HIV-5 Percentage of registered new and relapse TB patients with documented HIV status</v>
      </c>
      <c r="L1007" s="666" t="str">
        <f t="shared" ref="L1007" si="4266">V1007</f>
        <v/>
      </c>
      <c r="M1007" s="651"/>
      <c r="N1007" s="651"/>
      <c r="P1007" s="189">
        <f t="shared" ref="P1007" si="4267">IF(AND(EXACT(C1007,C1005),C1005&lt;&gt;0),P1005+1,0)</f>
        <v>13</v>
      </c>
      <c r="Q1007" s="189" t="str">
        <f t="shared" ref="Q1007" si="4268">IF(C1007&lt;&gt;"",C1007&amp;"-"&amp;P1007,"")</f>
        <v>TB/HIV-5 Pourcentage de patients tuberculeux enregistrés (nouveaux cas et récidives) dont le statut sérologique VIH est documenté-13</v>
      </c>
      <c r="R1007" s="189" t="str">
        <f t="array" ref="R1007">IFERROR(IF(INDEX('Disaggregation Records'!$E$155:$E$385,MATCH(RIGHT(Q1007,255),RIGHT('Disaggregation Records'!$D$155:$D$385,255),0))=0,"",INDEX('Disaggregation Records'!$E$155:$E$385,MATCH(RIGHT(Q1007,255),RIGHT('Disaggregation Records'!$D$155:$D$385,255),0))),"")</f>
        <v/>
      </c>
      <c r="S1007" s="189" t="str">
        <f t="array" ref="S1007">IFERROR(IF(INDEX('Disaggregation Records'!$F$155:$F$385,MATCH(RIGHT(Q1007,255),RIGHT('Disaggregation Records'!$D$155:$D$385,255),0))=0,"",INDEX('Disaggregation Records'!$F$155:$F$385,MATCH(RIGHT(Q1007,255),RIGHT('Disaggregation Records'!$D$155:$D$385,255),0))),"")</f>
        <v/>
      </c>
      <c r="T1007" s="189" t="str">
        <f t="array" ref="T1007">IFERROR(IF(INDEX('Disaggregation Records'!$H$155:$H$385,MATCH(RIGHT(Q1007,255),RIGHT('Disaggregation Records'!$D$155:$D$385,255),0))=0,"",INDEX('Disaggregation Records'!$H$155:$H$385,MATCH(RIGHT(Q1007,255),RIGHT('Disaggregation Records'!$D$155:$D$385,255),0))),"")</f>
        <v/>
      </c>
      <c r="U1007" s="189">
        <f t="shared" ref="U1007" si="4269">U1005+1</f>
        <v>1605</v>
      </c>
      <c r="V1007" s="189" t="str">
        <f t="array" ref="V1007">IFERROR(IF(INDEX('Disaggregation Records'!$I$155:$I$385,MATCH(RIGHT(Q1007,255),RIGHT('Disaggregation Records'!$D$155:$D$385,255),0))=0,"",INDEX('Disaggregation Records'!$I$155:$I$385,MATCH(RIGHT(Q1007,255),RIGHT('Disaggregation Records'!$D$155:$D$385,255),0))),"")</f>
        <v/>
      </c>
      <c r="W1007" s="189" t="str">
        <f>IFERROR(INDEX('Reference Records'!L$59:L$121,MATCH(LEFT(C1007,255),'Reference Records'!E$59:E$121,0)),"")</f>
        <v>TB/HIV-5 Percentage of registered new and relapse TB patients with documented HIV status</v>
      </c>
    </row>
    <row r="1008" spans="1:23" s="189" customFormat="1" ht="40.200000000000003" customHeight="1" x14ac:dyDescent="0.3">
      <c r="A1008" s="678"/>
      <c r="B1008" s="675"/>
      <c r="C1008" s="667"/>
      <c r="D1008" s="677"/>
      <c r="E1008" s="677"/>
      <c r="F1008" s="202"/>
      <c r="G1008" s="669"/>
      <c r="H1008" s="671"/>
      <c r="I1008" s="673"/>
      <c r="J1008" s="652"/>
      <c r="K1008" s="667"/>
      <c r="L1008" s="667"/>
      <c r="M1008" s="652"/>
      <c r="N1008" s="652"/>
    </row>
    <row r="1009" spans="1:23" s="189" customFormat="1" ht="40.200000000000003" customHeight="1" x14ac:dyDescent="0.3">
      <c r="A1009" s="678" t="str">
        <f t="shared" ref="A1009" ca="1" si="4270">INDIRECT("'update Helper'!C"&amp;U1009)</f>
        <v>a163p000002zQcVAAU</v>
      </c>
      <c r="B1009" s="674">
        <v>10</v>
      </c>
      <c r="C1009" s="666" t="str">
        <f>VLOOKUP(B1009,'Coverage Indicators - Section D'!$A$9:$AU$70,47,FALSE)</f>
        <v>TB/HIV-5 Pourcentage de patients tuberculeux enregistrés (nouveaux cas et récidives) dont le statut sérologique VIH est documenté</v>
      </c>
      <c r="D1009" s="676" t="str">
        <f t="shared" ref="D1009" si="4271">R1009</f>
        <v/>
      </c>
      <c r="E1009" s="676" t="str">
        <f t="shared" ref="E1009" si="4272">S1009</f>
        <v/>
      </c>
      <c r="F1009" s="194"/>
      <c r="G1009" s="668" t="str">
        <f t="shared" ref="G1009" ca="1" si="4273">IF(OR(INDIRECT("'update Helper'!E"&amp;U1009)=0,F1009&lt;&gt;0,F1010&lt;&gt;0),IF(IFERROR((F1009/F1010),"")="","",(F1009/F1010)),INDIRECT("'update Helper'!E"&amp;U1009)/100)</f>
        <v/>
      </c>
      <c r="H1009" s="670"/>
      <c r="I1009" s="672"/>
      <c r="J1009" s="651"/>
      <c r="K1009" s="666" t="str">
        <f t="shared" ref="K1009" si="4274">W1009</f>
        <v>TB/HIV-5 Percentage of registered new and relapse TB patients with documented HIV status</v>
      </c>
      <c r="L1009" s="666" t="str">
        <f t="shared" ref="L1009" si="4275">V1009</f>
        <v/>
      </c>
      <c r="M1009" s="651"/>
      <c r="N1009" s="651"/>
      <c r="P1009" s="189">
        <f t="shared" ref="P1009" si="4276">IF(AND(EXACT(C1009,C1007),C1007&lt;&gt;0),P1007+1,0)</f>
        <v>14</v>
      </c>
      <c r="Q1009" s="189" t="str">
        <f t="shared" ref="Q1009" si="4277">IF(C1009&lt;&gt;"",C1009&amp;"-"&amp;P1009,"")</f>
        <v>TB/HIV-5 Pourcentage de patients tuberculeux enregistrés (nouveaux cas et récidives) dont le statut sérologique VIH est documenté-14</v>
      </c>
      <c r="R1009" s="189" t="str">
        <f t="array" ref="R1009">IFERROR(IF(INDEX('Disaggregation Records'!$E$155:$E$385,MATCH(RIGHT(Q1009,255),RIGHT('Disaggregation Records'!$D$155:$D$385,255),0))=0,"",INDEX('Disaggregation Records'!$E$155:$E$385,MATCH(RIGHT(Q1009,255),RIGHT('Disaggregation Records'!$D$155:$D$385,255),0))),"")</f>
        <v/>
      </c>
      <c r="S1009" s="189" t="str">
        <f t="array" ref="S1009">IFERROR(IF(INDEX('Disaggregation Records'!$F$155:$F$385,MATCH(RIGHT(Q1009,255),RIGHT('Disaggregation Records'!$D$155:$D$385,255),0))=0,"",INDEX('Disaggregation Records'!$F$155:$F$385,MATCH(RIGHT(Q1009,255),RIGHT('Disaggregation Records'!$D$155:$D$385,255),0))),"")</f>
        <v/>
      </c>
      <c r="T1009" s="189" t="str">
        <f t="array" ref="T1009">IFERROR(IF(INDEX('Disaggregation Records'!$H$155:$H$385,MATCH(RIGHT(Q1009,255),RIGHT('Disaggregation Records'!$D$155:$D$385,255),0))=0,"",INDEX('Disaggregation Records'!$H$155:$H$385,MATCH(RIGHT(Q1009,255),RIGHT('Disaggregation Records'!$D$155:$D$385,255),0))),"")</f>
        <v/>
      </c>
      <c r="U1009" s="189">
        <f t="shared" ref="U1009" si="4278">U1007+1</f>
        <v>1606</v>
      </c>
      <c r="V1009" s="189" t="str">
        <f t="array" ref="V1009">IFERROR(IF(INDEX('Disaggregation Records'!$I$155:$I$385,MATCH(RIGHT(Q1009,255),RIGHT('Disaggregation Records'!$D$155:$D$385,255),0))=0,"",INDEX('Disaggregation Records'!$I$155:$I$385,MATCH(RIGHT(Q1009,255),RIGHT('Disaggregation Records'!$D$155:$D$385,255),0))),"")</f>
        <v/>
      </c>
      <c r="W1009" s="189" t="str">
        <f>IFERROR(INDEX('Reference Records'!L$59:L$121,MATCH(LEFT(C1009,255),'Reference Records'!E$59:E$121,0)),"")</f>
        <v>TB/HIV-5 Percentage of registered new and relapse TB patients with documented HIV status</v>
      </c>
    </row>
    <row r="1010" spans="1:23" s="189" customFormat="1" ht="40.200000000000003" customHeight="1" x14ac:dyDescent="0.3">
      <c r="A1010" s="678"/>
      <c r="B1010" s="675"/>
      <c r="C1010" s="667"/>
      <c r="D1010" s="677"/>
      <c r="E1010" s="677"/>
      <c r="F1010" s="202"/>
      <c r="G1010" s="669"/>
      <c r="H1010" s="671"/>
      <c r="I1010" s="673"/>
      <c r="J1010" s="652"/>
      <c r="K1010" s="667"/>
      <c r="L1010" s="667"/>
      <c r="M1010" s="652"/>
      <c r="N1010" s="652"/>
    </row>
    <row r="1011" spans="1:23" s="189" customFormat="1" ht="40.200000000000003" customHeight="1" x14ac:dyDescent="0.3">
      <c r="A1011" s="678" t="str">
        <f t="shared" ref="A1011" ca="1" si="4279">INDIRECT("'update Helper'!C"&amp;U1011)</f>
        <v>a163p000002zQcWAAU</v>
      </c>
      <c r="B1011" s="674">
        <v>10</v>
      </c>
      <c r="C1011" s="666" t="str">
        <f>VLOOKUP(B1011,'Coverage Indicators - Section D'!$A$9:$AU$70,47,FALSE)</f>
        <v>TB/HIV-5 Pourcentage de patients tuberculeux enregistrés (nouveaux cas et récidives) dont le statut sérologique VIH est documenté</v>
      </c>
      <c r="D1011" s="676" t="str">
        <f t="shared" ref="D1011" si="4280">R1011</f>
        <v/>
      </c>
      <c r="E1011" s="676" t="str">
        <f t="shared" ref="E1011" si="4281">S1011</f>
        <v/>
      </c>
      <c r="F1011" s="194"/>
      <c r="G1011" s="668" t="str">
        <f t="shared" ref="G1011" ca="1" si="4282">IF(OR(INDIRECT("'update Helper'!E"&amp;U1011)=0,F1011&lt;&gt;0,F1012&lt;&gt;0),IF(IFERROR((F1011/F1012),"")="","",(F1011/F1012)),INDIRECT("'update Helper'!E"&amp;U1011)/100)</f>
        <v/>
      </c>
      <c r="H1011" s="670"/>
      <c r="I1011" s="672"/>
      <c r="J1011" s="651"/>
      <c r="K1011" s="666" t="str">
        <f t="shared" ref="K1011" si="4283">W1011</f>
        <v>TB/HIV-5 Percentage of registered new and relapse TB patients with documented HIV status</v>
      </c>
      <c r="L1011" s="666" t="str">
        <f t="shared" ref="L1011" si="4284">V1011</f>
        <v/>
      </c>
      <c r="M1011" s="651"/>
      <c r="N1011" s="651"/>
      <c r="P1011" s="189">
        <f t="shared" ref="P1011" si="4285">IF(AND(EXACT(C1011,C1009),C1009&lt;&gt;0),P1009+1,0)</f>
        <v>15</v>
      </c>
      <c r="Q1011" s="189" t="str">
        <f t="shared" ref="Q1011" si="4286">IF(C1011&lt;&gt;"",C1011&amp;"-"&amp;P1011,"")</f>
        <v>TB/HIV-5 Pourcentage de patients tuberculeux enregistrés (nouveaux cas et récidives) dont le statut sérologique VIH est documenté-15</v>
      </c>
      <c r="R1011" s="189" t="str">
        <f t="array" ref="R1011">IFERROR(IF(INDEX('Disaggregation Records'!$E$155:$E$385,MATCH(RIGHT(Q1011,255),RIGHT('Disaggregation Records'!$D$155:$D$385,255),0))=0,"",INDEX('Disaggregation Records'!$E$155:$E$385,MATCH(RIGHT(Q1011,255),RIGHT('Disaggregation Records'!$D$155:$D$385,255),0))),"")</f>
        <v/>
      </c>
      <c r="S1011" s="189" t="str">
        <f t="array" ref="S1011">IFERROR(IF(INDEX('Disaggregation Records'!$F$155:$F$385,MATCH(RIGHT(Q1011,255),RIGHT('Disaggregation Records'!$D$155:$D$385,255),0))=0,"",INDEX('Disaggregation Records'!$F$155:$F$385,MATCH(RIGHT(Q1011,255),RIGHT('Disaggregation Records'!$D$155:$D$385,255),0))),"")</f>
        <v/>
      </c>
      <c r="T1011" s="189" t="str">
        <f t="array" ref="T1011">IFERROR(IF(INDEX('Disaggregation Records'!$H$155:$H$385,MATCH(RIGHT(Q1011,255),RIGHT('Disaggregation Records'!$D$155:$D$385,255),0))=0,"",INDEX('Disaggregation Records'!$H$155:$H$385,MATCH(RIGHT(Q1011,255),RIGHT('Disaggregation Records'!$D$155:$D$385,255),0))),"")</f>
        <v/>
      </c>
      <c r="U1011" s="189">
        <f t="shared" ref="U1011" si="4287">U1009+1</f>
        <v>1607</v>
      </c>
      <c r="V1011" s="189" t="str">
        <f t="array" ref="V1011">IFERROR(IF(INDEX('Disaggregation Records'!$I$155:$I$385,MATCH(RIGHT(Q1011,255),RIGHT('Disaggregation Records'!$D$155:$D$385,255),0))=0,"",INDEX('Disaggregation Records'!$I$155:$I$385,MATCH(RIGHT(Q1011,255),RIGHT('Disaggregation Records'!$D$155:$D$385,255),0))),"")</f>
        <v/>
      </c>
      <c r="W1011" s="189" t="str">
        <f>IFERROR(INDEX('Reference Records'!L$59:L$121,MATCH(LEFT(C1011,255),'Reference Records'!E$59:E$121,0)),"")</f>
        <v>TB/HIV-5 Percentage of registered new and relapse TB patients with documented HIV status</v>
      </c>
    </row>
    <row r="1012" spans="1:23" s="189" customFormat="1" ht="40.200000000000003" customHeight="1" x14ac:dyDescent="0.3">
      <c r="A1012" s="678"/>
      <c r="B1012" s="675"/>
      <c r="C1012" s="667"/>
      <c r="D1012" s="677"/>
      <c r="E1012" s="677"/>
      <c r="F1012" s="202"/>
      <c r="G1012" s="669"/>
      <c r="H1012" s="671"/>
      <c r="I1012" s="673"/>
      <c r="J1012" s="652"/>
      <c r="K1012" s="667"/>
      <c r="L1012" s="667"/>
      <c r="M1012" s="652"/>
      <c r="N1012" s="652"/>
    </row>
    <row r="1013" spans="1:23" s="189" customFormat="1" ht="40.200000000000003" customHeight="1" x14ac:dyDescent="0.3">
      <c r="A1013" s="678" t="str">
        <f t="shared" ref="A1013" ca="1" si="4288">INDIRECT("'update Helper'!C"&amp;U1013)</f>
        <v>a163p000002zQcXAAU</v>
      </c>
      <c r="B1013" s="674">
        <v>10</v>
      </c>
      <c r="C1013" s="666" t="str">
        <f>VLOOKUP(B1013,'Coverage Indicators - Section D'!$A$9:$AU$70,47,FALSE)</f>
        <v>TB/HIV-5 Pourcentage de patients tuberculeux enregistrés (nouveaux cas et récidives) dont le statut sérologique VIH est documenté</v>
      </c>
      <c r="D1013" s="676" t="str">
        <f t="shared" ref="D1013" si="4289">R1013</f>
        <v/>
      </c>
      <c r="E1013" s="676" t="str">
        <f t="shared" ref="E1013" si="4290">S1013</f>
        <v/>
      </c>
      <c r="F1013" s="194"/>
      <c r="G1013" s="668" t="str">
        <f t="shared" ref="G1013" ca="1" si="4291">IF(OR(INDIRECT("'update Helper'!E"&amp;U1013)=0,F1013&lt;&gt;0,F1014&lt;&gt;0),IF(IFERROR((F1013/F1014),"")="","",(F1013/F1014)),INDIRECT("'update Helper'!E"&amp;U1013)/100)</f>
        <v/>
      </c>
      <c r="H1013" s="670"/>
      <c r="I1013" s="672"/>
      <c r="J1013" s="651"/>
      <c r="K1013" s="666" t="str">
        <f t="shared" ref="K1013" si="4292">W1013</f>
        <v>TB/HIV-5 Percentage of registered new and relapse TB patients with documented HIV status</v>
      </c>
      <c r="L1013" s="666" t="str">
        <f t="shared" ref="L1013" si="4293">V1013</f>
        <v/>
      </c>
      <c r="M1013" s="651"/>
      <c r="N1013" s="651"/>
      <c r="P1013" s="189">
        <f t="shared" ref="P1013" si="4294">IF(AND(EXACT(C1013,C1011),C1011&lt;&gt;0),P1011+1,0)</f>
        <v>16</v>
      </c>
      <c r="Q1013" s="189" t="str">
        <f t="shared" ref="Q1013" si="4295">IF(C1013&lt;&gt;"",C1013&amp;"-"&amp;P1013,"")</f>
        <v>TB/HIV-5 Pourcentage de patients tuberculeux enregistrés (nouveaux cas et récidives) dont le statut sérologique VIH est documenté-16</v>
      </c>
      <c r="R1013" s="189" t="str">
        <f t="array" ref="R1013">IFERROR(IF(INDEX('Disaggregation Records'!$E$155:$E$385,MATCH(RIGHT(Q1013,255),RIGHT('Disaggregation Records'!$D$155:$D$385,255),0))=0,"",INDEX('Disaggregation Records'!$E$155:$E$385,MATCH(RIGHT(Q1013,255),RIGHT('Disaggregation Records'!$D$155:$D$385,255),0))),"")</f>
        <v/>
      </c>
      <c r="S1013" s="189" t="str">
        <f t="array" ref="S1013">IFERROR(IF(INDEX('Disaggregation Records'!$F$155:$F$385,MATCH(RIGHT(Q1013,255),RIGHT('Disaggregation Records'!$D$155:$D$385,255),0))=0,"",INDEX('Disaggregation Records'!$F$155:$F$385,MATCH(RIGHT(Q1013,255),RIGHT('Disaggregation Records'!$D$155:$D$385,255),0))),"")</f>
        <v/>
      </c>
      <c r="T1013" s="189" t="str">
        <f t="array" ref="T1013">IFERROR(IF(INDEX('Disaggregation Records'!$H$155:$H$385,MATCH(RIGHT(Q1013,255),RIGHT('Disaggregation Records'!$D$155:$D$385,255),0))=0,"",INDEX('Disaggregation Records'!$H$155:$H$385,MATCH(RIGHT(Q1013,255),RIGHT('Disaggregation Records'!$D$155:$D$385,255),0))),"")</f>
        <v/>
      </c>
      <c r="U1013" s="189">
        <f t="shared" ref="U1013" si="4296">U1011+1</f>
        <v>1608</v>
      </c>
      <c r="V1013" s="189" t="str">
        <f t="array" ref="V1013">IFERROR(IF(INDEX('Disaggregation Records'!$I$155:$I$385,MATCH(RIGHT(Q1013,255),RIGHT('Disaggregation Records'!$D$155:$D$385,255),0))=0,"",INDEX('Disaggregation Records'!$I$155:$I$385,MATCH(RIGHT(Q1013,255),RIGHT('Disaggregation Records'!$D$155:$D$385,255),0))),"")</f>
        <v/>
      </c>
      <c r="W1013" s="189" t="str">
        <f>IFERROR(INDEX('Reference Records'!L$59:L$121,MATCH(LEFT(C1013,255),'Reference Records'!E$59:E$121,0)),"")</f>
        <v>TB/HIV-5 Percentage of registered new and relapse TB patients with documented HIV status</v>
      </c>
    </row>
    <row r="1014" spans="1:23" s="189" customFormat="1" ht="40.200000000000003" customHeight="1" x14ac:dyDescent="0.3">
      <c r="A1014" s="678"/>
      <c r="B1014" s="675"/>
      <c r="C1014" s="667"/>
      <c r="D1014" s="677"/>
      <c r="E1014" s="677"/>
      <c r="F1014" s="202"/>
      <c r="G1014" s="669"/>
      <c r="H1014" s="671"/>
      <c r="I1014" s="673"/>
      <c r="J1014" s="652"/>
      <c r="K1014" s="667"/>
      <c r="L1014" s="667"/>
      <c r="M1014" s="652"/>
      <c r="N1014" s="652"/>
    </row>
    <row r="1015" spans="1:23" s="189" customFormat="1" ht="40.200000000000003" customHeight="1" x14ac:dyDescent="0.3">
      <c r="A1015" s="678" t="str">
        <f t="shared" ref="A1015" ca="1" si="4297">INDIRECT("'update Helper'!C"&amp;U1015)</f>
        <v>a163p000002zQcYAAU</v>
      </c>
      <c r="B1015" s="674">
        <v>10</v>
      </c>
      <c r="C1015" s="666" t="str">
        <f>VLOOKUP(B1015,'Coverage Indicators - Section D'!$A$9:$AU$70,47,FALSE)</f>
        <v>TB/HIV-5 Pourcentage de patients tuberculeux enregistrés (nouveaux cas et récidives) dont le statut sérologique VIH est documenté</v>
      </c>
      <c r="D1015" s="676" t="str">
        <f t="shared" ref="D1015" si="4298">R1015</f>
        <v/>
      </c>
      <c r="E1015" s="676" t="str">
        <f t="shared" ref="E1015" si="4299">S1015</f>
        <v/>
      </c>
      <c r="F1015" s="194"/>
      <c r="G1015" s="668" t="str">
        <f t="shared" ref="G1015" ca="1" si="4300">IF(OR(INDIRECT("'update Helper'!E"&amp;U1015)=0,F1015&lt;&gt;0,F1016&lt;&gt;0),IF(IFERROR((F1015/F1016),"")="","",(F1015/F1016)),INDIRECT("'update Helper'!E"&amp;U1015)/100)</f>
        <v/>
      </c>
      <c r="H1015" s="670"/>
      <c r="I1015" s="672"/>
      <c r="J1015" s="651"/>
      <c r="K1015" s="666" t="str">
        <f t="shared" ref="K1015" si="4301">W1015</f>
        <v>TB/HIV-5 Percentage of registered new and relapse TB patients with documented HIV status</v>
      </c>
      <c r="L1015" s="666" t="str">
        <f t="shared" ref="L1015" si="4302">V1015</f>
        <v/>
      </c>
      <c r="M1015" s="651"/>
      <c r="N1015" s="651"/>
      <c r="P1015" s="189">
        <f t="shared" ref="P1015" si="4303">IF(AND(EXACT(C1015,C1013),C1013&lt;&gt;0),P1013+1,0)</f>
        <v>17</v>
      </c>
      <c r="Q1015" s="189" t="str">
        <f t="shared" ref="Q1015" si="4304">IF(C1015&lt;&gt;"",C1015&amp;"-"&amp;P1015,"")</f>
        <v>TB/HIV-5 Pourcentage de patients tuberculeux enregistrés (nouveaux cas et récidives) dont le statut sérologique VIH est documenté-17</v>
      </c>
      <c r="R1015" s="189" t="str">
        <f t="array" ref="R1015">IFERROR(IF(INDEX('Disaggregation Records'!$E$155:$E$385,MATCH(RIGHT(Q1015,255),RIGHT('Disaggregation Records'!$D$155:$D$385,255),0))=0,"",INDEX('Disaggregation Records'!$E$155:$E$385,MATCH(RIGHT(Q1015,255),RIGHT('Disaggregation Records'!$D$155:$D$385,255),0))),"")</f>
        <v/>
      </c>
      <c r="S1015" s="189" t="str">
        <f t="array" ref="S1015">IFERROR(IF(INDEX('Disaggregation Records'!$F$155:$F$385,MATCH(RIGHT(Q1015,255),RIGHT('Disaggregation Records'!$D$155:$D$385,255),0))=0,"",INDEX('Disaggregation Records'!$F$155:$F$385,MATCH(RIGHT(Q1015,255),RIGHT('Disaggregation Records'!$D$155:$D$385,255),0))),"")</f>
        <v/>
      </c>
      <c r="T1015" s="189" t="str">
        <f t="array" ref="T1015">IFERROR(IF(INDEX('Disaggregation Records'!$H$155:$H$385,MATCH(RIGHT(Q1015,255),RIGHT('Disaggregation Records'!$D$155:$D$385,255),0))=0,"",INDEX('Disaggregation Records'!$H$155:$H$385,MATCH(RIGHT(Q1015,255),RIGHT('Disaggregation Records'!$D$155:$D$385,255),0))),"")</f>
        <v/>
      </c>
      <c r="U1015" s="189">
        <f t="shared" ref="U1015" si="4305">U1013+1</f>
        <v>1609</v>
      </c>
      <c r="V1015" s="189" t="str">
        <f t="array" ref="V1015">IFERROR(IF(INDEX('Disaggregation Records'!$I$155:$I$385,MATCH(RIGHT(Q1015,255),RIGHT('Disaggregation Records'!$D$155:$D$385,255),0))=0,"",INDEX('Disaggregation Records'!$I$155:$I$385,MATCH(RIGHT(Q1015,255),RIGHT('Disaggregation Records'!$D$155:$D$385,255),0))),"")</f>
        <v/>
      </c>
      <c r="W1015" s="189" t="str">
        <f>IFERROR(INDEX('Reference Records'!L$59:L$121,MATCH(LEFT(C1015,255),'Reference Records'!E$59:E$121,0)),"")</f>
        <v>TB/HIV-5 Percentage of registered new and relapse TB patients with documented HIV status</v>
      </c>
    </row>
    <row r="1016" spans="1:23" s="189" customFormat="1" ht="40.200000000000003" customHeight="1" x14ac:dyDescent="0.3">
      <c r="A1016" s="678"/>
      <c r="B1016" s="675"/>
      <c r="C1016" s="667"/>
      <c r="D1016" s="677"/>
      <c r="E1016" s="677"/>
      <c r="F1016" s="202"/>
      <c r="G1016" s="669"/>
      <c r="H1016" s="671"/>
      <c r="I1016" s="673"/>
      <c r="J1016" s="652"/>
      <c r="K1016" s="667"/>
      <c r="L1016" s="667"/>
      <c r="M1016" s="652"/>
      <c r="N1016" s="652"/>
    </row>
    <row r="1017" spans="1:23" s="189" customFormat="1" ht="40.200000000000003" customHeight="1" x14ac:dyDescent="0.3">
      <c r="A1017" s="678" t="str">
        <f t="shared" ref="A1017" ca="1" si="4306">INDIRECT("'update Helper'!C"&amp;U1017)</f>
        <v>a163p000002zQcZAAU</v>
      </c>
      <c r="B1017" s="674">
        <v>10</v>
      </c>
      <c r="C1017" s="666" t="str">
        <f>VLOOKUP(B1017,'Coverage Indicators - Section D'!$A$9:$AU$70,47,FALSE)</f>
        <v>TB/HIV-5 Pourcentage de patients tuberculeux enregistrés (nouveaux cas et récidives) dont le statut sérologique VIH est documenté</v>
      </c>
      <c r="D1017" s="676" t="str">
        <f t="shared" ref="D1017" si="4307">R1017</f>
        <v/>
      </c>
      <c r="E1017" s="676" t="str">
        <f t="shared" ref="E1017" si="4308">S1017</f>
        <v/>
      </c>
      <c r="F1017" s="194"/>
      <c r="G1017" s="668" t="str">
        <f t="shared" ref="G1017" ca="1" si="4309">IF(OR(INDIRECT("'update Helper'!E"&amp;U1017)=0,F1017&lt;&gt;0,F1018&lt;&gt;0),IF(IFERROR((F1017/F1018),"")="","",(F1017/F1018)),INDIRECT("'update Helper'!E"&amp;U1017)/100)</f>
        <v/>
      </c>
      <c r="H1017" s="670"/>
      <c r="I1017" s="672"/>
      <c r="J1017" s="651"/>
      <c r="K1017" s="666" t="str">
        <f t="shared" ref="K1017" si="4310">W1017</f>
        <v>TB/HIV-5 Percentage of registered new and relapse TB patients with documented HIV status</v>
      </c>
      <c r="L1017" s="666" t="str">
        <f t="shared" ref="L1017" si="4311">V1017</f>
        <v/>
      </c>
      <c r="M1017" s="651"/>
      <c r="N1017" s="651"/>
      <c r="P1017" s="189">
        <f t="shared" ref="P1017" si="4312">IF(AND(EXACT(C1017,C1015),C1015&lt;&gt;0),P1015+1,0)</f>
        <v>18</v>
      </c>
      <c r="Q1017" s="189" t="str">
        <f t="shared" ref="Q1017" si="4313">IF(C1017&lt;&gt;"",C1017&amp;"-"&amp;P1017,"")</f>
        <v>TB/HIV-5 Pourcentage de patients tuberculeux enregistrés (nouveaux cas et récidives) dont le statut sérologique VIH est documenté-18</v>
      </c>
      <c r="R1017" s="189" t="str">
        <f t="array" ref="R1017">IFERROR(IF(INDEX('Disaggregation Records'!$E$155:$E$385,MATCH(RIGHT(Q1017,255),RIGHT('Disaggregation Records'!$D$155:$D$385,255),0))=0,"",INDEX('Disaggregation Records'!$E$155:$E$385,MATCH(RIGHT(Q1017,255),RIGHT('Disaggregation Records'!$D$155:$D$385,255),0))),"")</f>
        <v/>
      </c>
      <c r="S1017" s="189" t="str">
        <f t="array" ref="S1017">IFERROR(IF(INDEX('Disaggregation Records'!$F$155:$F$385,MATCH(RIGHT(Q1017,255),RIGHT('Disaggregation Records'!$D$155:$D$385,255),0))=0,"",INDEX('Disaggregation Records'!$F$155:$F$385,MATCH(RIGHT(Q1017,255),RIGHT('Disaggregation Records'!$D$155:$D$385,255),0))),"")</f>
        <v/>
      </c>
      <c r="T1017" s="189" t="str">
        <f t="array" ref="T1017">IFERROR(IF(INDEX('Disaggregation Records'!$H$155:$H$385,MATCH(RIGHT(Q1017,255),RIGHT('Disaggregation Records'!$D$155:$D$385,255),0))=0,"",INDEX('Disaggregation Records'!$H$155:$H$385,MATCH(RIGHT(Q1017,255),RIGHT('Disaggregation Records'!$D$155:$D$385,255),0))),"")</f>
        <v/>
      </c>
      <c r="U1017" s="189">
        <f t="shared" ref="U1017" si="4314">U1015+1</f>
        <v>1610</v>
      </c>
      <c r="V1017" s="189" t="str">
        <f t="array" ref="V1017">IFERROR(IF(INDEX('Disaggregation Records'!$I$155:$I$385,MATCH(RIGHT(Q1017,255),RIGHT('Disaggregation Records'!$D$155:$D$385,255),0))=0,"",INDEX('Disaggregation Records'!$I$155:$I$385,MATCH(RIGHT(Q1017,255),RIGHT('Disaggregation Records'!$D$155:$D$385,255),0))),"")</f>
        <v/>
      </c>
      <c r="W1017" s="189" t="str">
        <f>IFERROR(INDEX('Reference Records'!L$59:L$121,MATCH(LEFT(C1017,255),'Reference Records'!E$59:E$121,0)),"")</f>
        <v>TB/HIV-5 Percentage of registered new and relapse TB patients with documented HIV status</v>
      </c>
    </row>
    <row r="1018" spans="1:23" s="189" customFormat="1" ht="40.200000000000003" customHeight="1" x14ac:dyDescent="0.3">
      <c r="A1018" s="678"/>
      <c r="B1018" s="675"/>
      <c r="C1018" s="667"/>
      <c r="D1018" s="677"/>
      <c r="E1018" s="677"/>
      <c r="F1018" s="202"/>
      <c r="G1018" s="669"/>
      <c r="H1018" s="671"/>
      <c r="I1018" s="673"/>
      <c r="J1018" s="652"/>
      <c r="K1018" s="667"/>
      <c r="L1018" s="667"/>
      <c r="M1018" s="652"/>
      <c r="N1018" s="652"/>
    </row>
    <row r="1019" spans="1:23" s="189" customFormat="1" ht="40.200000000000003" customHeight="1" x14ac:dyDescent="0.3">
      <c r="A1019" s="678" t="str">
        <f t="shared" ref="A1019" ca="1" si="4315">INDIRECT("'update Helper'!C"&amp;U1019)</f>
        <v>a163p000002zQcaAAE</v>
      </c>
      <c r="B1019" s="674">
        <v>10</v>
      </c>
      <c r="C1019" s="666" t="str">
        <f>VLOOKUP(B1019,'Coverage Indicators - Section D'!$A$9:$AU$70,47,FALSE)</f>
        <v>TB/HIV-5 Pourcentage de patients tuberculeux enregistrés (nouveaux cas et récidives) dont le statut sérologique VIH est documenté</v>
      </c>
      <c r="D1019" s="676" t="str">
        <f t="shared" ref="D1019" si="4316">R1019</f>
        <v/>
      </c>
      <c r="E1019" s="676" t="str">
        <f t="shared" ref="E1019" si="4317">S1019</f>
        <v/>
      </c>
      <c r="F1019" s="194"/>
      <c r="G1019" s="668" t="str">
        <f t="shared" ref="G1019" ca="1" si="4318">IF(OR(INDIRECT("'update Helper'!E"&amp;U1019)=0,F1019&lt;&gt;0,F1020&lt;&gt;0),IF(IFERROR((F1019/F1020),"")="","",(F1019/F1020)),INDIRECT("'update Helper'!E"&amp;U1019)/100)</f>
        <v/>
      </c>
      <c r="H1019" s="670"/>
      <c r="I1019" s="672"/>
      <c r="J1019" s="651"/>
      <c r="K1019" s="666" t="str">
        <f t="shared" ref="K1019" si="4319">W1019</f>
        <v>TB/HIV-5 Percentage of registered new and relapse TB patients with documented HIV status</v>
      </c>
      <c r="L1019" s="666" t="str">
        <f t="shared" ref="L1019" si="4320">V1019</f>
        <v/>
      </c>
      <c r="M1019" s="651"/>
      <c r="N1019" s="651"/>
      <c r="P1019" s="189">
        <f t="shared" ref="P1019" si="4321">IF(AND(EXACT(C1019,C1017),C1017&lt;&gt;0),P1017+1,0)</f>
        <v>19</v>
      </c>
      <c r="Q1019" s="189" t="str">
        <f t="shared" ref="Q1019" si="4322">IF(C1019&lt;&gt;"",C1019&amp;"-"&amp;P1019,"")</f>
        <v>TB/HIV-5 Pourcentage de patients tuberculeux enregistrés (nouveaux cas et récidives) dont le statut sérologique VIH est documenté-19</v>
      </c>
      <c r="R1019" s="189" t="str">
        <f t="array" ref="R1019">IFERROR(IF(INDEX('Disaggregation Records'!$E$155:$E$385,MATCH(RIGHT(Q1019,255),RIGHT('Disaggregation Records'!$D$155:$D$385,255),0))=0,"",INDEX('Disaggregation Records'!$E$155:$E$385,MATCH(RIGHT(Q1019,255),RIGHT('Disaggregation Records'!$D$155:$D$385,255),0))),"")</f>
        <v/>
      </c>
      <c r="S1019" s="189" t="str">
        <f t="array" ref="S1019">IFERROR(IF(INDEX('Disaggregation Records'!$F$155:$F$385,MATCH(RIGHT(Q1019,255),RIGHT('Disaggregation Records'!$D$155:$D$385,255),0))=0,"",INDEX('Disaggregation Records'!$F$155:$F$385,MATCH(RIGHT(Q1019,255),RIGHT('Disaggregation Records'!$D$155:$D$385,255),0))),"")</f>
        <v/>
      </c>
      <c r="T1019" s="189" t="str">
        <f t="array" ref="T1019">IFERROR(IF(INDEX('Disaggregation Records'!$H$155:$H$385,MATCH(RIGHT(Q1019,255),RIGHT('Disaggregation Records'!$D$155:$D$385,255),0))=0,"",INDEX('Disaggregation Records'!$H$155:$H$385,MATCH(RIGHT(Q1019,255),RIGHT('Disaggregation Records'!$D$155:$D$385,255),0))),"")</f>
        <v/>
      </c>
      <c r="U1019" s="189">
        <f t="shared" ref="U1019" si="4323">U1017+1</f>
        <v>1611</v>
      </c>
      <c r="V1019" s="189" t="str">
        <f t="array" ref="V1019">IFERROR(IF(INDEX('Disaggregation Records'!$I$155:$I$385,MATCH(RIGHT(Q1019,255),RIGHT('Disaggregation Records'!$D$155:$D$385,255),0))=0,"",INDEX('Disaggregation Records'!$I$155:$I$385,MATCH(RIGHT(Q1019,255),RIGHT('Disaggregation Records'!$D$155:$D$385,255),0))),"")</f>
        <v/>
      </c>
      <c r="W1019" s="189" t="str">
        <f>IFERROR(INDEX('Reference Records'!L$59:L$121,MATCH(LEFT(C1019,255),'Reference Records'!E$59:E$121,0)),"")</f>
        <v>TB/HIV-5 Percentage of registered new and relapse TB patients with documented HIV status</v>
      </c>
    </row>
    <row r="1020" spans="1:23" s="189" customFormat="1" ht="40.200000000000003" customHeight="1" x14ac:dyDescent="0.3">
      <c r="A1020" s="678"/>
      <c r="B1020" s="675"/>
      <c r="C1020" s="667"/>
      <c r="D1020" s="677"/>
      <c r="E1020" s="677"/>
      <c r="F1020" s="202"/>
      <c r="G1020" s="669"/>
      <c r="H1020" s="671"/>
      <c r="I1020" s="673"/>
      <c r="J1020" s="652"/>
      <c r="K1020" s="667"/>
      <c r="L1020" s="667"/>
      <c r="M1020" s="652"/>
      <c r="N1020" s="652"/>
    </row>
    <row r="1021" spans="1:23" s="189" customFormat="1" ht="40.200000000000003" customHeight="1" x14ac:dyDescent="0.3">
      <c r="A1021" s="678" t="str">
        <f t="shared" ref="A1021" ca="1" si="4324">INDIRECT("'update Helper'!C"&amp;U1021)</f>
        <v>a163p000002zQcbAAE</v>
      </c>
      <c r="B1021" s="674">
        <v>11</v>
      </c>
      <c r="C1021" s="666" t="str">
        <f>VLOOKUP(B1021,'Coverage Indicators - Section D'!$A$9:$AU$70,47,FALSE)</f>
        <v>Pourcentrage de districts sanitaires qui ont transmis à temps ( Completude est ≥ 95% et la     Promptitude ≥ 85%.) leurs rapports dans les délais selon les directives nationales</v>
      </c>
      <c r="D1021" s="676" t="str">
        <f t="shared" ref="D1021" si="4325">R1021</f>
        <v/>
      </c>
      <c r="E1021" s="676" t="str">
        <f t="shared" ref="E1021" si="4326">S1021</f>
        <v/>
      </c>
      <c r="F1021" s="194"/>
      <c r="G1021" s="668" t="str">
        <f t="shared" ref="G1021" ca="1" si="4327">IF(OR(INDIRECT("'update Helper'!E"&amp;U1021)=0,F1021&lt;&gt;0,F1022&lt;&gt;0),IF(IFERROR((F1021/F1022),"")="","",(F1021/F1022)),INDIRECT("'update Helper'!E"&amp;U1021)/100)</f>
        <v/>
      </c>
      <c r="H1021" s="670"/>
      <c r="I1021" s="672"/>
      <c r="J1021" s="651"/>
      <c r="K1021" s="666" t="str">
        <f t="shared" ref="K1021" si="4328">W1021</f>
        <v/>
      </c>
      <c r="L1021" s="666" t="str">
        <f t="shared" ref="L1021" si="4329">V1021</f>
        <v/>
      </c>
      <c r="M1021" s="651"/>
      <c r="N1021" s="651"/>
      <c r="P1021" s="189">
        <f t="shared" ref="P1021" si="4330">IF(AND(EXACT(C1021,C1019),C1019&lt;&gt;0),P1019+1,0)</f>
        <v>0</v>
      </c>
      <c r="Q1021" s="189" t="str">
        <f t="shared" ref="Q1021" si="4331">IF(C1021&lt;&gt;"",C1021&amp;"-"&amp;P1021,"")</f>
        <v>Pourcentrage de districts sanitaires qui ont transmis à temps ( Completude est ≥ 95% et la     Promptitude ≥ 85%.) leurs rapports dans les délais selon les directives nationales-0</v>
      </c>
      <c r="R1021" s="189" t="str">
        <f t="array" ref="R1021">IFERROR(IF(INDEX('Disaggregation Records'!$E$155:$E$385,MATCH(RIGHT(Q1021,255),RIGHT('Disaggregation Records'!$D$155:$D$385,255),0))=0,"",INDEX('Disaggregation Records'!$E$155:$E$385,MATCH(RIGHT(Q1021,255),RIGHT('Disaggregation Records'!$D$155:$D$385,255),0))),"")</f>
        <v/>
      </c>
      <c r="S1021" s="189" t="str">
        <f t="array" ref="S1021">IFERROR(IF(INDEX('Disaggregation Records'!$F$155:$F$385,MATCH(RIGHT(Q1021,255),RIGHT('Disaggregation Records'!$D$155:$D$385,255),0))=0,"",INDEX('Disaggregation Records'!$F$155:$F$385,MATCH(RIGHT(Q1021,255),RIGHT('Disaggregation Records'!$D$155:$D$385,255),0))),"")</f>
        <v/>
      </c>
      <c r="T1021" s="189" t="str">
        <f t="array" ref="T1021">IFERROR(IF(INDEX('Disaggregation Records'!$H$155:$H$385,MATCH(RIGHT(Q1021,255),RIGHT('Disaggregation Records'!$D$155:$D$385,255),0))=0,"",INDEX('Disaggregation Records'!$H$155:$H$385,MATCH(RIGHT(Q1021,255),RIGHT('Disaggregation Records'!$D$155:$D$385,255),0))),"")</f>
        <v/>
      </c>
      <c r="U1021" s="189">
        <f t="shared" ref="U1021" si="4332">U1019+1</f>
        <v>1612</v>
      </c>
      <c r="V1021" s="189" t="str">
        <f t="array" ref="V1021">IFERROR(IF(INDEX('Disaggregation Records'!$I$155:$I$385,MATCH(RIGHT(Q1021,255),RIGHT('Disaggregation Records'!$D$155:$D$385,255),0))=0,"",INDEX('Disaggregation Records'!$I$155:$I$385,MATCH(RIGHT(Q1021,255),RIGHT('Disaggregation Records'!$D$155:$D$385,255),0))),"")</f>
        <v/>
      </c>
      <c r="W1021" s="189" t="str">
        <f>IFERROR(INDEX('Reference Records'!L$59:L$121,MATCH(LEFT(C1021,255),'Reference Records'!E$59:E$121,0)),"")</f>
        <v/>
      </c>
    </row>
    <row r="1022" spans="1:23" s="189" customFormat="1" ht="40.200000000000003" customHeight="1" x14ac:dyDescent="0.3">
      <c r="A1022" s="678"/>
      <c r="B1022" s="675"/>
      <c r="C1022" s="667"/>
      <c r="D1022" s="677"/>
      <c r="E1022" s="677"/>
      <c r="F1022" s="202"/>
      <c r="G1022" s="669"/>
      <c r="H1022" s="671"/>
      <c r="I1022" s="673"/>
      <c r="J1022" s="652"/>
      <c r="K1022" s="667"/>
      <c r="L1022" s="667"/>
      <c r="M1022" s="652"/>
      <c r="N1022" s="652"/>
    </row>
    <row r="1023" spans="1:23" s="189" customFormat="1" ht="40.200000000000003" customHeight="1" x14ac:dyDescent="0.3">
      <c r="A1023" s="678" t="str">
        <f t="shared" ref="A1023" ca="1" si="4333">INDIRECT("'update Helper'!C"&amp;U1023)</f>
        <v>a163p000002zQccAAE</v>
      </c>
      <c r="B1023" s="674">
        <v>11</v>
      </c>
      <c r="C1023" s="666" t="str">
        <f>VLOOKUP(B1023,'Coverage Indicators - Section D'!$A$9:$AU$70,47,FALSE)</f>
        <v>Pourcentrage de districts sanitaires qui ont transmis à temps ( Completude est ≥ 95% et la     Promptitude ≥ 85%.) leurs rapports dans les délais selon les directives nationales</v>
      </c>
      <c r="D1023" s="676" t="str">
        <f t="shared" ref="D1023" si="4334">R1023</f>
        <v/>
      </c>
      <c r="E1023" s="676" t="str">
        <f t="shared" ref="E1023" si="4335">S1023</f>
        <v/>
      </c>
      <c r="F1023" s="194"/>
      <c r="G1023" s="668" t="str">
        <f t="shared" ref="G1023" ca="1" si="4336">IF(OR(INDIRECT("'update Helper'!E"&amp;U1023)=0,F1023&lt;&gt;0,F1024&lt;&gt;0),IF(IFERROR((F1023/F1024),"")="","",(F1023/F1024)),INDIRECT("'update Helper'!E"&amp;U1023)/100)</f>
        <v/>
      </c>
      <c r="H1023" s="670"/>
      <c r="I1023" s="672"/>
      <c r="J1023" s="651"/>
      <c r="K1023" s="666" t="str">
        <f t="shared" ref="K1023" si="4337">W1023</f>
        <v/>
      </c>
      <c r="L1023" s="666" t="str">
        <f t="shared" ref="L1023" si="4338">V1023</f>
        <v/>
      </c>
      <c r="M1023" s="651"/>
      <c r="N1023" s="651"/>
      <c r="P1023" s="189">
        <f t="shared" ref="P1023" si="4339">IF(AND(EXACT(C1023,C1021),C1021&lt;&gt;0),P1021+1,0)</f>
        <v>1</v>
      </c>
      <c r="Q1023" s="189" t="str">
        <f t="shared" ref="Q1023" si="4340">IF(C1023&lt;&gt;"",C1023&amp;"-"&amp;P1023,"")</f>
        <v>Pourcentrage de districts sanitaires qui ont transmis à temps ( Completude est ≥ 95% et la     Promptitude ≥ 85%.) leurs rapports dans les délais selon les directives nationales-1</v>
      </c>
      <c r="R1023" s="189" t="str">
        <f t="array" ref="R1023">IFERROR(IF(INDEX('Disaggregation Records'!$E$155:$E$385,MATCH(RIGHT(Q1023,255),RIGHT('Disaggregation Records'!$D$155:$D$385,255),0))=0,"",INDEX('Disaggregation Records'!$E$155:$E$385,MATCH(RIGHT(Q1023,255),RIGHT('Disaggregation Records'!$D$155:$D$385,255),0))),"")</f>
        <v/>
      </c>
      <c r="S1023" s="189" t="str">
        <f t="array" ref="S1023">IFERROR(IF(INDEX('Disaggregation Records'!$F$155:$F$385,MATCH(RIGHT(Q1023,255),RIGHT('Disaggregation Records'!$D$155:$D$385,255),0))=0,"",INDEX('Disaggregation Records'!$F$155:$F$385,MATCH(RIGHT(Q1023,255),RIGHT('Disaggregation Records'!$D$155:$D$385,255),0))),"")</f>
        <v/>
      </c>
      <c r="T1023" s="189" t="str">
        <f t="array" ref="T1023">IFERROR(IF(INDEX('Disaggregation Records'!$H$155:$H$385,MATCH(RIGHT(Q1023,255),RIGHT('Disaggregation Records'!$D$155:$D$385,255),0))=0,"",INDEX('Disaggregation Records'!$H$155:$H$385,MATCH(RIGHT(Q1023,255),RIGHT('Disaggregation Records'!$D$155:$D$385,255),0))),"")</f>
        <v/>
      </c>
      <c r="U1023" s="189">
        <f t="shared" ref="U1023" si="4341">U1021+1</f>
        <v>1613</v>
      </c>
      <c r="V1023" s="189" t="str">
        <f t="array" ref="V1023">IFERROR(IF(INDEX('Disaggregation Records'!$I$155:$I$385,MATCH(RIGHT(Q1023,255),RIGHT('Disaggregation Records'!$D$155:$D$385,255),0))=0,"",INDEX('Disaggregation Records'!$I$155:$I$385,MATCH(RIGHT(Q1023,255),RIGHT('Disaggregation Records'!$D$155:$D$385,255),0))),"")</f>
        <v/>
      </c>
      <c r="W1023" s="189" t="str">
        <f>IFERROR(INDEX('Reference Records'!L$59:L$121,MATCH(LEFT(C1023,255),'Reference Records'!E$59:E$121,0)),"")</f>
        <v/>
      </c>
    </row>
    <row r="1024" spans="1:23" s="189" customFormat="1" ht="40.200000000000003" customHeight="1" x14ac:dyDescent="0.3">
      <c r="A1024" s="678"/>
      <c r="B1024" s="675"/>
      <c r="C1024" s="667"/>
      <c r="D1024" s="677"/>
      <c r="E1024" s="677"/>
      <c r="F1024" s="202"/>
      <c r="G1024" s="669"/>
      <c r="H1024" s="671"/>
      <c r="I1024" s="673"/>
      <c r="J1024" s="652"/>
      <c r="K1024" s="667"/>
      <c r="L1024" s="667"/>
      <c r="M1024" s="652"/>
      <c r="N1024" s="652"/>
    </row>
    <row r="1025" spans="1:23" s="189" customFormat="1" ht="40.200000000000003" customHeight="1" x14ac:dyDescent="0.3">
      <c r="A1025" s="678" t="str">
        <f t="shared" ref="A1025" ca="1" si="4342">INDIRECT("'update Helper'!C"&amp;U1025)</f>
        <v>a163p000002zQcdAAE</v>
      </c>
      <c r="B1025" s="674">
        <v>11</v>
      </c>
      <c r="C1025" s="666" t="str">
        <f>VLOOKUP(B1025,'Coverage Indicators - Section D'!$A$9:$AU$70,47,FALSE)</f>
        <v>Pourcentrage de districts sanitaires qui ont transmis à temps ( Completude est ≥ 95% et la     Promptitude ≥ 85%.) leurs rapports dans les délais selon les directives nationales</v>
      </c>
      <c r="D1025" s="676" t="str">
        <f t="shared" ref="D1025" si="4343">R1025</f>
        <v/>
      </c>
      <c r="E1025" s="676" t="str">
        <f t="shared" ref="E1025" si="4344">S1025</f>
        <v/>
      </c>
      <c r="F1025" s="194"/>
      <c r="G1025" s="668" t="str">
        <f t="shared" ref="G1025" ca="1" si="4345">IF(OR(INDIRECT("'update Helper'!E"&amp;U1025)=0,F1025&lt;&gt;0,F1026&lt;&gt;0),IF(IFERROR((F1025/F1026),"")="","",(F1025/F1026)),INDIRECT("'update Helper'!E"&amp;U1025)/100)</f>
        <v/>
      </c>
      <c r="H1025" s="670"/>
      <c r="I1025" s="672"/>
      <c r="J1025" s="651"/>
      <c r="K1025" s="666" t="str">
        <f t="shared" ref="K1025" si="4346">W1025</f>
        <v/>
      </c>
      <c r="L1025" s="666" t="str">
        <f t="shared" ref="L1025" si="4347">V1025</f>
        <v/>
      </c>
      <c r="M1025" s="651"/>
      <c r="N1025" s="651"/>
      <c r="P1025" s="189">
        <f t="shared" ref="P1025" si="4348">IF(AND(EXACT(C1025,C1023),C1023&lt;&gt;0),P1023+1,0)</f>
        <v>2</v>
      </c>
      <c r="Q1025" s="189" t="str">
        <f t="shared" ref="Q1025" si="4349">IF(C1025&lt;&gt;"",C1025&amp;"-"&amp;P1025,"")</f>
        <v>Pourcentrage de districts sanitaires qui ont transmis à temps ( Completude est ≥ 95% et la     Promptitude ≥ 85%.) leurs rapports dans les délais selon les directives nationales-2</v>
      </c>
      <c r="R1025" s="189" t="str">
        <f t="array" ref="R1025">IFERROR(IF(INDEX('Disaggregation Records'!$E$155:$E$385,MATCH(RIGHT(Q1025,255),RIGHT('Disaggregation Records'!$D$155:$D$385,255),0))=0,"",INDEX('Disaggregation Records'!$E$155:$E$385,MATCH(RIGHT(Q1025,255),RIGHT('Disaggregation Records'!$D$155:$D$385,255),0))),"")</f>
        <v/>
      </c>
      <c r="S1025" s="189" t="str">
        <f t="array" ref="S1025">IFERROR(IF(INDEX('Disaggregation Records'!$F$155:$F$385,MATCH(RIGHT(Q1025,255),RIGHT('Disaggregation Records'!$D$155:$D$385,255),0))=0,"",INDEX('Disaggregation Records'!$F$155:$F$385,MATCH(RIGHT(Q1025,255),RIGHT('Disaggregation Records'!$D$155:$D$385,255),0))),"")</f>
        <v/>
      </c>
      <c r="T1025" s="189" t="str">
        <f t="array" ref="T1025">IFERROR(IF(INDEX('Disaggregation Records'!$H$155:$H$385,MATCH(RIGHT(Q1025,255),RIGHT('Disaggregation Records'!$D$155:$D$385,255),0))=0,"",INDEX('Disaggregation Records'!$H$155:$H$385,MATCH(RIGHT(Q1025,255),RIGHT('Disaggregation Records'!$D$155:$D$385,255),0))),"")</f>
        <v/>
      </c>
      <c r="U1025" s="189">
        <f t="shared" ref="U1025" si="4350">U1023+1</f>
        <v>1614</v>
      </c>
      <c r="V1025" s="189" t="str">
        <f t="array" ref="V1025">IFERROR(IF(INDEX('Disaggregation Records'!$I$155:$I$385,MATCH(RIGHT(Q1025,255),RIGHT('Disaggregation Records'!$D$155:$D$385,255),0))=0,"",INDEX('Disaggregation Records'!$I$155:$I$385,MATCH(RIGHT(Q1025,255),RIGHT('Disaggregation Records'!$D$155:$D$385,255),0))),"")</f>
        <v/>
      </c>
      <c r="W1025" s="189" t="str">
        <f>IFERROR(INDEX('Reference Records'!L$59:L$121,MATCH(LEFT(C1025,255),'Reference Records'!E$59:E$121,0)),"")</f>
        <v/>
      </c>
    </row>
    <row r="1026" spans="1:23" s="189" customFormat="1" ht="40.200000000000003" customHeight="1" x14ac:dyDescent="0.3">
      <c r="A1026" s="678"/>
      <c r="B1026" s="675"/>
      <c r="C1026" s="667"/>
      <c r="D1026" s="677"/>
      <c r="E1026" s="677"/>
      <c r="F1026" s="202"/>
      <c r="G1026" s="669"/>
      <c r="H1026" s="671"/>
      <c r="I1026" s="673"/>
      <c r="J1026" s="652"/>
      <c r="K1026" s="667"/>
      <c r="L1026" s="667"/>
      <c r="M1026" s="652"/>
      <c r="N1026" s="652"/>
    </row>
    <row r="1027" spans="1:23" s="189" customFormat="1" ht="40.200000000000003" customHeight="1" x14ac:dyDescent="0.3">
      <c r="A1027" s="678" t="str">
        <f t="shared" ref="A1027" ca="1" si="4351">INDIRECT("'update Helper'!C"&amp;U1027)</f>
        <v>a163p000002zQceAAE</v>
      </c>
      <c r="B1027" s="674">
        <v>11</v>
      </c>
      <c r="C1027" s="666" t="str">
        <f>VLOOKUP(B1027,'Coverage Indicators - Section D'!$A$9:$AU$70,47,FALSE)</f>
        <v>Pourcentrage de districts sanitaires qui ont transmis à temps ( Completude est ≥ 95% et la     Promptitude ≥ 85%.) leurs rapports dans les délais selon les directives nationales</v>
      </c>
      <c r="D1027" s="676" t="str">
        <f t="shared" ref="D1027" si="4352">R1027</f>
        <v/>
      </c>
      <c r="E1027" s="676" t="str">
        <f t="shared" ref="E1027" si="4353">S1027</f>
        <v/>
      </c>
      <c r="F1027" s="194"/>
      <c r="G1027" s="668" t="str">
        <f t="shared" ref="G1027" ca="1" si="4354">IF(OR(INDIRECT("'update Helper'!E"&amp;U1027)=0,F1027&lt;&gt;0,F1028&lt;&gt;0),IF(IFERROR((F1027/F1028),"")="","",(F1027/F1028)),INDIRECT("'update Helper'!E"&amp;U1027)/100)</f>
        <v/>
      </c>
      <c r="H1027" s="670"/>
      <c r="I1027" s="672"/>
      <c r="J1027" s="651"/>
      <c r="K1027" s="666" t="str">
        <f t="shared" ref="K1027" si="4355">W1027</f>
        <v/>
      </c>
      <c r="L1027" s="666" t="str">
        <f t="shared" ref="L1027" si="4356">V1027</f>
        <v/>
      </c>
      <c r="M1027" s="651"/>
      <c r="N1027" s="651"/>
      <c r="P1027" s="189">
        <f t="shared" ref="P1027" si="4357">IF(AND(EXACT(C1027,C1025),C1025&lt;&gt;0),P1025+1,0)</f>
        <v>3</v>
      </c>
      <c r="Q1027" s="189" t="str">
        <f t="shared" ref="Q1027" si="4358">IF(C1027&lt;&gt;"",C1027&amp;"-"&amp;P1027,"")</f>
        <v>Pourcentrage de districts sanitaires qui ont transmis à temps ( Completude est ≥ 95% et la     Promptitude ≥ 85%.) leurs rapports dans les délais selon les directives nationales-3</v>
      </c>
      <c r="R1027" s="189" t="str">
        <f t="array" ref="R1027">IFERROR(IF(INDEX('Disaggregation Records'!$E$155:$E$385,MATCH(RIGHT(Q1027,255),RIGHT('Disaggregation Records'!$D$155:$D$385,255),0))=0,"",INDEX('Disaggregation Records'!$E$155:$E$385,MATCH(RIGHT(Q1027,255),RIGHT('Disaggregation Records'!$D$155:$D$385,255),0))),"")</f>
        <v/>
      </c>
      <c r="S1027" s="189" t="str">
        <f t="array" ref="S1027">IFERROR(IF(INDEX('Disaggregation Records'!$F$155:$F$385,MATCH(RIGHT(Q1027,255),RIGHT('Disaggregation Records'!$D$155:$D$385,255),0))=0,"",INDEX('Disaggregation Records'!$F$155:$F$385,MATCH(RIGHT(Q1027,255),RIGHT('Disaggregation Records'!$D$155:$D$385,255),0))),"")</f>
        <v/>
      </c>
      <c r="T1027" s="189" t="str">
        <f t="array" ref="T1027">IFERROR(IF(INDEX('Disaggregation Records'!$H$155:$H$385,MATCH(RIGHT(Q1027,255),RIGHT('Disaggregation Records'!$D$155:$D$385,255),0))=0,"",INDEX('Disaggregation Records'!$H$155:$H$385,MATCH(RIGHT(Q1027,255),RIGHT('Disaggregation Records'!$D$155:$D$385,255),0))),"")</f>
        <v/>
      </c>
      <c r="U1027" s="189">
        <f t="shared" ref="U1027" si="4359">U1025+1</f>
        <v>1615</v>
      </c>
      <c r="V1027" s="189" t="str">
        <f t="array" ref="V1027">IFERROR(IF(INDEX('Disaggregation Records'!$I$155:$I$385,MATCH(RIGHT(Q1027,255),RIGHT('Disaggregation Records'!$D$155:$D$385,255),0))=0,"",INDEX('Disaggregation Records'!$I$155:$I$385,MATCH(RIGHT(Q1027,255),RIGHT('Disaggregation Records'!$D$155:$D$385,255),0))),"")</f>
        <v/>
      </c>
      <c r="W1027" s="189" t="str">
        <f>IFERROR(INDEX('Reference Records'!L$59:L$121,MATCH(LEFT(C1027,255),'Reference Records'!E$59:E$121,0)),"")</f>
        <v/>
      </c>
    </row>
    <row r="1028" spans="1:23" s="189" customFormat="1" ht="40.200000000000003" customHeight="1" x14ac:dyDescent="0.3">
      <c r="A1028" s="678"/>
      <c r="B1028" s="675"/>
      <c r="C1028" s="667"/>
      <c r="D1028" s="677"/>
      <c r="E1028" s="677"/>
      <c r="F1028" s="202"/>
      <c r="G1028" s="669"/>
      <c r="H1028" s="671"/>
      <c r="I1028" s="673"/>
      <c r="J1028" s="652"/>
      <c r="K1028" s="667"/>
      <c r="L1028" s="667"/>
      <c r="M1028" s="652"/>
      <c r="N1028" s="652"/>
    </row>
    <row r="1029" spans="1:23" s="189" customFormat="1" ht="40.200000000000003" customHeight="1" x14ac:dyDescent="0.3">
      <c r="A1029" s="678" t="str">
        <f t="shared" ref="A1029" ca="1" si="4360">INDIRECT("'update Helper'!C"&amp;U1029)</f>
        <v>a163p000002zQcfAAE</v>
      </c>
      <c r="B1029" s="674">
        <v>11</v>
      </c>
      <c r="C1029" s="666" t="str">
        <f>VLOOKUP(B1029,'Coverage Indicators - Section D'!$A$9:$AU$70,47,FALSE)</f>
        <v>Pourcentrage de districts sanitaires qui ont transmis à temps ( Completude est ≥ 95% et la     Promptitude ≥ 85%.) leurs rapports dans les délais selon les directives nationales</v>
      </c>
      <c r="D1029" s="676" t="str">
        <f t="shared" ref="D1029" si="4361">R1029</f>
        <v/>
      </c>
      <c r="E1029" s="676" t="str">
        <f t="shared" ref="E1029" si="4362">S1029</f>
        <v/>
      </c>
      <c r="F1029" s="194"/>
      <c r="G1029" s="668" t="str">
        <f t="shared" ref="G1029" ca="1" si="4363">IF(OR(INDIRECT("'update Helper'!E"&amp;U1029)=0,F1029&lt;&gt;0,F1030&lt;&gt;0),IF(IFERROR((F1029/F1030),"")="","",(F1029/F1030)),INDIRECT("'update Helper'!E"&amp;U1029)/100)</f>
        <v/>
      </c>
      <c r="H1029" s="670"/>
      <c r="I1029" s="672"/>
      <c r="J1029" s="651"/>
      <c r="K1029" s="666" t="str">
        <f t="shared" ref="K1029" si="4364">W1029</f>
        <v/>
      </c>
      <c r="L1029" s="666" t="str">
        <f t="shared" ref="L1029" si="4365">V1029</f>
        <v/>
      </c>
      <c r="M1029" s="651"/>
      <c r="N1029" s="651"/>
      <c r="P1029" s="189">
        <f t="shared" ref="P1029" si="4366">IF(AND(EXACT(C1029,C1027),C1027&lt;&gt;0),P1027+1,0)</f>
        <v>4</v>
      </c>
      <c r="Q1029" s="189" t="str">
        <f t="shared" ref="Q1029" si="4367">IF(C1029&lt;&gt;"",C1029&amp;"-"&amp;P1029,"")</f>
        <v>Pourcentrage de districts sanitaires qui ont transmis à temps ( Completude est ≥ 95% et la     Promptitude ≥ 85%.) leurs rapports dans les délais selon les directives nationales-4</v>
      </c>
      <c r="R1029" s="189" t="str">
        <f t="array" ref="R1029">IFERROR(IF(INDEX('Disaggregation Records'!$E$155:$E$385,MATCH(RIGHT(Q1029,255),RIGHT('Disaggregation Records'!$D$155:$D$385,255),0))=0,"",INDEX('Disaggregation Records'!$E$155:$E$385,MATCH(RIGHT(Q1029,255),RIGHT('Disaggregation Records'!$D$155:$D$385,255),0))),"")</f>
        <v/>
      </c>
      <c r="S1029" s="189" t="str">
        <f t="array" ref="S1029">IFERROR(IF(INDEX('Disaggregation Records'!$F$155:$F$385,MATCH(RIGHT(Q1029,255),RIGHT('Disaggregation Records'!$D$155:$D$385,255),0))=0,"",INDEX('Disaggregation Records'!$F$155:$F$385,MATCH(RIGHT(Q1029,255),RIGHT('Disaggregation Records'!$D$155:$D$385,255),0))),"")</f>
        <v/>
      </c>
      <c r="T1029" s="189" t="str">
        <f t="array" ref="T1029">IFERROR(IF(INDEX('Disaggregation Records'!$H$155:$H$385,MATCH(RIGHT(Q1029,255),RIGHT('Disaggregation Records'!$D$155:$D$385,255),0))=0,"",INDEX('Disaggregation Records'!$H$155:$H$385,MATCH(RIGHT(Q1029,255),RIGHT('Disaggregation Records'!$D$155:$D$385,255),0))),"")</f>
        <v/>
      </c>
      <c r="U1029" s="189">
        <f t="shared" ref="U1029" si="4368">U1027+1</f>
        <v>1616</v>
      </c>
      <c r="V1029" s="189" t="str">
        <f t="array" ref="V1029">IFERROR(IF(INDEX('Disaggregation Records'!$I$155:$I$385,MATCH(RIGHT(Q1029,255),RIGHT('Disaggregation Records'!$D$155:$D$385,255),0))=0,"",INDEX('Disaggregation Records'!$I$155:$I$385,MATCH(RIGHT(Q1029,255),RIGHT('Disaggregation Records'!$D$155:$D$385,255),0))),"")</f>
        <v/>
      </c>
      <c r="W1029" s="189" t="str">
        <f>IFERROR(INDEX('Reference Records'!L$59:L$121,MATCH(LEFT(C1029,255),'Reference Records'!E$59:E$121,0)),"")</f>
        <v/>
      </c>
    </row>
    <row r="1030" spans="1:23" s="189" customFormat="1" ht="40.200000000000003" customHeight="1" x14ac:dyDescent="0.3">
      <c r="A1030" s="678"/>
      <c r="B1030" s="675"/>
      <c r="C1030" s="667"/>
      <c r="D1030" s="677"/>
      <c r="E1030" s="677"/>
      <c r="F1030" s="202"/>
      <c r="G1030" s="669"/>
      <c r="H1030" s="671"/>
      <c r="I1030" s="673"/>
      <c r="J1030" s="652"/>
      <c r="K1030" s="667"/>
      <c r="L1030" s="667"/>
      <c r="M1030" s="652"/>
      <c r="N1030" s="652"/>
    </row>
    <row r="1031" spans="1:23" s="189" customFormat="1" ht="40.200000000000003" customHeight="1" x14ac:dyDescent="0.3">
      <c r="A1031" s="678" t="str">
        <f t="shared" ref="A1031" ca="1" si="4369">INDIRECT("'update Helper'!C"&amp;U1031)</f>
        <v>a163p000002zQcgAAE</v>
      </c>
      <c r="B1031" s="674">
        <v>11</v>
      </c>
      <c r="C1031" s="666" t="str">
        <f>VLOOKUP(B1031,'Coverage Indicators - Section D'!$A$9:$AU$70,47,FALSE)</f>
        <v>Pourcentrage de districts sanitaires qui ont transmis à temps ( Completude est ≥ 95% et la     Promptitude ≥ 85%.) leurs rapports dans les délais selon les directives nationales</v>
      </c>
      <c r="D1031" s="676" t="str">
        <f t="shared" ref="D1031" si="4370">R1031</f>
        <v/>
      </c>
      <c r="E1031" s="676" t="str">
        <f t="shared" ref="E1031" si="4371">S1031</f>
        <v/>
      </c>
      <c r="F1031" s="194"/>
      <c r="G1031" s="668" t="str">
        <f t="shared" ref="G1031" ca="1" si="4372">IF(OR(INDIRECT("'update Helper'!E"&amp;U1031)=0,F1031&lt;&gt;0,F1032&lt;&gt;0),IF(IFERROR((F1031/F1032),"")="","",(F1031/F1032)),INDIRECT("'update Helper'!E"&amp;U1031)/100)</f>
        <v/>
      </c>
      <c r="H1031" s="670"/>
      <c r="I1031" s="672"/>
      <c r="J1031" s="651"/>
      <c r="K1031" s="666" t="str">
        <f t="shared" ref="K1031" si="4373">W1031</f>
        <v/>
      </c>
      <c r="L1031" s="666" t="str">
        <f t="shared" ref="L1031" si="4374">V1031</f>
        <v/>
      </c>
      <c r="M1031" s="651"/>
      <c r="N1031" s="651"/>
      <c r="P1031" s="189">
        <f t="shared" ref="P1031" si="4375">IF(AND(EXACT(C1031,C1029),C1029&lt;&gt;0),P1029+1,0)</f>
        <v>5</v>
      </c>
      <c r="Q1031" s="189" t="str">
        <f t="shared" ref="Q1031" si="4376">IF(C1031&lt;&gt;"",C1031&amp;"-"&amp;P1031,"")</f>
        <v>Pourcentrage de districts sanitaires qui ont transmis à temps ( Completude est ≥ 95% et la     Promptitude ≥ 85%.) leurs rapports dans les délais selon les directives nationales-5</v>
      </c>
      <c r="R1031" s="189" t="str">
        <f t="array" ref="R1031">IFERROR(IF(INDEX('Disaggregation Records'!$E$155:$E$385,MATCH(RIGHT(Q1031,255),RIGHT('Disaggregation Records'!$D$155:$D$385,255),0))=0,"",INDEX('Disaggregation Records'!$E$155:$E$385,MATCH(RIGHT(Q1031,255),RIGHT('Disaggregation Records'!$D$155:$D$385,255),0))),"")</f>
        <v/>
      </c>
      <c r="S1031" s="189" t="str">
        <f t="array" ref="S1031">IFERROR(IF(INDEX('Disaggregation Records'!$F$155:$F$385,MATCH(RIGHT(Q1031,255),RIGHT('Disaggregation Records'!$D$155:$D$385,255),0))=0,"",INDEX('Disaggregation Records'!$F$155:$F$385,MATCH(RIGHT(Q1031,255),RIGHT('Disaggregation Records'!$D$155:$D$385,255),0))),"")</f>
        <v/>
      </c>
      <c r="T1031" s="189" t="str">
        <f t="array" ref="T1031">IFERROR(IF(INDEX('Disaggregation Records'!$H$155:$H$385,MATCH(RIGHT(Q1031,255),RIGHT('Disaggregation Records'!$D$155:$D$385,255),0))=0,"",INDEX('Disaggregation Records'!$H$155:$H$385,MATCH(RIGHT(Q1031,255),RIGHT('Disaggregation Records'!$D$155:$D$385,255),0))),"")</f>
        <v/>
      </c>
      <c r="U1031" s="189">
        <f t="shared" ref="U1031" si="4377">U1029+1</f>
        <v>1617</v>
      </c>
      <c r="V1031" s="189" t="str">
        <f t="array" ref="V1031">IFERROR(IF(INDEX('Disaggregation Records'!$I$155:$I$385,MATCH(RIGHT(Q1031,255),RIGHT('Disaggregation Records'!$D$155:$D$385,255),0))=0,"",INDEX('Disaggregation Records'!$I$155:$I$385,MATCH(RIGHT(Q1031,255),RIGHT('Disaggregation Records'!$D$155:$D$385,255),0))),"")</f>
        <v/>
      </c>
      <c r="W1031" s="189" t="str">
        <f>IFERROR(INDEX('Reference Records'!L$59:L$121,MATCH(LEFT(C1031,255),'Reference Records'!E$59:E$121,0)),"")</f>
        <v/>
      </c>
    </row>
    <row r="1032" spans="1:23" s="189" customFormat="1" ht="40.200000000000003" customHeight="1" x14ac:dyDescent="0.3">
      <c r="A1032" s="678"/>
      <c r="B1032" s="675"/>
      <c r="C1032" s="667"/>
      <c r="D1032" s="677"/>
      <c r="E1032" s="677"/>
      <c r="F1032" s="202"/>
      <c r="G1032" s="669"/>
      <c r="H1032" s="671"/>
      <c r="I1032" s="673"/>
      <c r="J1032" s="652"/>
      <c r="K1032" s="667"/>
      <c r="L1032" s="667"/>
      <c r="M1032" s="652"/>
      <c r="N1032" s="652"/>
    </row>
    <row r="1033" spans="1:23" s="189" customFormat="1" ht="40.200000000000003" customHeight="1" x14ac:dyDescent="0.3">
      <c r="A1033" s="678" t="str">
        <f t="shared" ref="A1033" ca="1" si="4378">INDIRECT("'update Helper'!C"&amp;U1033)</f>
        <v>a163p000002zQchAAE</v>
      </c>
      <c r="B1033" s="674">
        <v>11</v>
      </c>
      <c r="C1033" s="666" t="str">
        <f>VLOOKUP(B1033,'Coverage Indicators - Section D'!$A$9:$AU$70,47,FALSE)</f>
        <v>Pourcentrage de districts sanitaires qui ont transmis à temps ( Completude est ≥ 95% et la     Promptitude ≥ 85%.) leurs rapports dans les délais selon les directives nationales</v>
      </c>
      <c r="D1033" s="676" t="str">
        <f t="shared" ref="D1033" si="4379">R1033</f>
        <v/>
      </c>
      <c r="E1033" s="676" t="str">
        <f t="shared" ref="E1033" si="4380">S1033</f>
        <v/>
      </c>
      <c r="F1033" s="194"/>
      <c r="G1033" s="668" t="str">
        <f t="shared" ref="G1033" ca="1" si="4381">IF(OR(INDIRECT("'update Helper'!E"&amp;U1033)=0,F1033&lt;&gt;0,F1034&lt;&gt;0),IF(IFERROR((F1033/F1034),"")="","",(F1033/F1034)),INDIRECT("'update Helper'!E"&amp;U1033)/100)</f>
        <v/>
      </c>
      <c r="H1033" s="670"/>
      <c r="I1033" s="672"/>
      <c r="J1033" s="651"/>
      <c r="K1033" s="666" t="str">
        <f t="shared" ref="K1033" si="4382">W1033</f>
        <v/>
      </c>
      <c r="L1033" s="666" t="str">
        <f t="shared" ref="L1033" si="4383">V1033</f>
        <v/>
      </c>
      <c r="M1033" s="651"/>
      <c r="N1033" s="651"/>
      <c r="P1033" s="189">
        <f t="shared" ref="P1033" si="4384">IF(AND(EXACT(C1033,C1031),C1031&lt;&gt;0),P1031+1,0)</f>
        <v>6</v>
      </c>
      <c r="Q1033" s="189" t="str">
        <f t="shared" ref="Q1033" si="4385">IF(C1033&lt;&gt;"",C1033&amp;"-"&amp;P1033,"")</f>
        <v>Pourcentrage de districts sanitaires qui ont transmis à temps ( Completude est ≥ 95% et la     Promptitude ≥ 85%.) leurs rapports dans les délais selon les directives nationales-6</v>
      </c>
      <c r="R1033" s="189" t="str">
        <f t="array" ref="R1033">IFERROR(IF(INDEX('Disaggregation Records'!$E$155:$E$385,MATCH(RIGHT(Q1033,255),RIGHT('Disaggregation Records'!$D$155:$D$385,255),0))=0,"",INDEX('Disaggregation Records'!$E$155:$E$385,MATCH(RIGHT(Q1033,255),RIGHT('Disaggregation Records'!$D$155:$D$385,255),0))),"")</f>
        <v/>
      </c>
      <c r="S1033" s="189" t="str">
        <f t="array" ref="S1033">IFERROR(IF(INDEX('Disaggregation Records'!$F$155:$F$385,MATCH(RIGHT(Q1033,255),RIGHT('Disaggregation Records'!$D$155:$D$385,255),0))=0,"",INDEX('Disaggregation Records'!$F$155:$F$385,MATCH(RIGHT(Q1033,255),RIGHT('Disaggregation Records'!$D$155:$D$385,255),0))),"")</f>
        <v/>
      </c>
      <c r="T1033" s="189" t="str">
        <f t="array" ref="T1033">IFERROR(IF(INDEX('Disaggregation Records'!$H$155:$H$385,MATCH(RIGHT(Q1033,255),RIGHT('Disaggregation Records'!$D$155:$D$385,255),0))=0,"",INDEX('Disaggregation Records'!$H$155:$H$385,MATCH(RIGHT(Q1033,255),RIGHT('Disaggregation Records'!$D$155:$D$385,255),0))),"")</f>
        <v/>
      </c>
      <c r="U1033" s="189">
        <f t="shared" ref="U1033" si="4386">U1031+1</f>
        <v>1618</v>
      </c>
      <c r="V1033" s="189" t="str">
        <f t="array" ref="V1033">IFERROR(IF(INDEX('Disaggregation Records'!$I$155:$I$385,MATCH(RIGHT(Q1033,255),RIGHT('Disaggregation Records'!$D$155:$D$385,255),0))=0,"",INDEX('Disaggregation Records'!$I$155:$I$385,MATCH(RIGHT(Q1033,255),RIGHT('Disaggregation Records'!$D$155:$D$385,255),0))),"")</f>
        <v/>
      </c>
      <c r="W1033" s="189" t="str">
        <f>IFERROR(INDEX('Reference Records'!L$59:L$121,MATCH(LEFT(C1033,255),'Reference Records'!E$59:E$121,0)),"")</f>
        <v/>
      </c>
    </row>
    <row r="1034" spans="1:23" s="189" customFormat="1" ht="40.200000000000003" customHeight="1" x14ac:dyDescent="0.3">
      <c r="A1034" s="678"/>
      <c r="B1034" s="675"/>
      <c r="C1034" s="667"/>
      <c r="D1034" s="677"/>
      <c r="E1034" s="677"/>
      <c r="F1034" s="202"/>
      <c r="G1034" s="669"/>
      <c r="H1034" s="671"/>
      <c r="I1034" s="673"/>
      <c r="J1034" s="652"/>
      <c r="K1034" s="667"/>
      <c r="L1034" s="667"/>
      <c r="M1034" s="652"/>
      <c r="N1034" s="652"/>
    </row>
    <row r="1035" spans="1:23" s="189" customFormat="1" ht="40.200000000000003" customHeight="1" x14ac:dyDescent="0.3">
      <c r="A1035" s="678" t="str">
        <f t="shared" ref="A1035" ca="1" si="4387">INDIRECT("'update Helper'!C"&amp;U1035)</f>
        <v>a163p000002zQciAAE</v>
      </c>
      <c r="B1035" s="674">
        <v>11</v>
      </c>
      <c r="C1035" s="666" t="str">
        <f>VLOOKUP(B1035,'Coverage Indicators - Section D'!$A$9:$AU$70,47,FALSE)</f>
        <v>Pourcentrage de districts sanitaires qui ont transmis à temps ( Completude est ≥ 95% et la     Promptitude ≥ 85%.) leurs rapports dans les délais selon les directives nationales</v>
      </c>
      <c r="D1035" s="676" t="str">
        <f t="shared" ref="D1035" si="4388">R1035</f>
        <v/>
      </c>
      <c r="E1035" s="676" t="str">
        <f t="shared" ref="E1035" si="4389">S1035</f>
        <v/>
      </c>
      <c r="F1035" s="194"/>
      <c r="G1035" s="668" t="str">
        <f t="shared" ref="G1035" ca="1" si="4390">IF(OR(INDIRECT("'update Helper'!E"&amp;U1035)=0,F1035&lt;&gt;0,F1036&lt;&gt;0),IF(IFERROR((F1035/F1036),"")="","",(F1035/F1036)),INDIRECT("'update Helper'!E"&amp;U1035)/100)</f>
        <v/>
      </c>
      <c r="H1035" s="670"/>
      <c r="I1035" s="672"/>
      <c r="J1035" s="651"/>
      <c r="K1035" s="666" t="str">
        <f t="shared" ref="K1035" si="4391">W1035</f>
        <v/>
      </c>
      <c r="L1035" s="666" t="str">
        <f t="shared" ref="L1035" si="4392">V1035</f>
        <v/>
      </c>
      <c r="M1035" s="651"/>
      <c r="N1035" s="651"/>
      <c r="P1035" s="189">
        <f t="shared" ref="P1035" si="4393">IF(AND(EXACT(C1035,C1033),C1033&lt;&gt;0),P1033+1,0)</f>
        <v>7</v>
      </c>
      <c r="Q1035" s="189" t="str">
        <f t="shared" ref="Q1035" si="4394">IF(C1035&lt;&gt;"",C1035&amp;"-"&amp;P1035,"")</f>
        <v>Pourcentrage de districts sanitaires qui ont transmis à temps ( Completude est ≥ 95% et la     Promptitude ≥ 85%.) leurs rapports dans les délais selon les directives nationales-7</v>
      </c>
      <c r="R1035" s="189" t="str">
        <f t="array" ref="R1035">IFERROR(IF(INDEX('Disaggregation Records'!$E$155:$E$385,MATCH(RIGHT(Q1035,255),RIGHT('Disaggregation Records'!$D$155:$D$385,255),0))=0,"",INDEX('Disaggregation Records'!$E$155:$E$385,MATCH(RIGHT(Q1035,255),RIGHT('Disaggregation Records'!$D$155:$D$385,255),0))),"")</f>
        <v/>
      </c>
      <c r="S1035" s="189" t="str">
        <f t="array" ref="S1035">IFERROR(IF(INDEX('Disaggregation Records'!$F$155:$F$385,MATCH(RIGHT(Q1035,255),RIGHT('Disaggregation Records'!$D$155:$D$385,255),0))=0,"",INDEX('Disaggregation Records'!$F$155:$F$385,MATCH(RIGHT(Q1035,255),RIGHT('Disaggregation Records'!$D$155:$D$385,255),0))),"")</f>
        <v/>
      </c>
      <c r="T1035" s="189" t="str">
        <f t="array" ref="T1035">IFERROR(IF(INDEX('Disaggregation Records'!$H$155:$H$385,MATCH(RIGHT(Q1035,255),RIGHT('Disaggregation Records'!$D$155:$D$385,255),0))=0,"",INDEX('Disaggregation Records'!$H$155:$H$385,MATCH(RIGHT(Q1035,255),RIGHT('Disaggregation Records'!$D$155:$D$385,255),0))),"")</f>
        <v/>
      </c>
      <c r="U1035" s="189">
        <f t="shared" ref="U1035" si="4395">U1033+1</f>
        <v>1619</v>
      </c>
      <c r="V1035" s="189" t="str">
        <f t="array" ref="V1035">IFERROR(IF(INDEX('Disaggregation Records'!$I$155:$I$385,MATCH(RIGHT(Q1035,255),RIGHT('Disaggregation Records'!$D$155:$D$385,255),0))=0,"",INDEX('Disaggregation Records'!$I$155:$I$385,MATCH(RIGHT(Q1035,255),RIGHT('Disaggregation Records'!$D$155:$D$385,255),0))),"")</f>
        <v/>
      </c>
      <c r="W1035" s="189" t="str">
        <f>IFERROR(INDEX('Reference Records'!L$59:L$121,MATCH(LEFT(C1035,255),'Reference Records'!E$59:E$121,0)),"")</f>
        <v/>
      </c>
    </row>
    <row r="1036" spans="1:23" s="189" customFormat="1" ht="40.200000000000003" customHeight="1" x14ac:dyDescent="0.3">
      <c r="A1036" s="678"/>
      <c r="B1036" s="675"/>
      <c r="C1036" s="667"/>
      <c r="D1036" s="677"/>
      <c r="E1036" s="677"/>
      <c r="F1036" s="202"/>
      <c r="G1036" s="669"/>
      <c r="H1036" s="671"/>
      <c r="I1036" s="673"/>
      <c r="J1036" s="652"/>
      <c r="K1036" s="667"/>
      <c r="L1036" s="667"/>
      <c r="M1036" s="652"/>
      <c r="N1036" s="652"/>
    </row>
    <row r="1037" spans="1:23" s="189" customFormat="1" ht="40.200000000000003" customHeight="1" x14ac:dyDescent="0.3">
      <c r="A1037" s="678" t="str">
        <f t="shared" ref="A1037" ca="1" si="4396">INDIRECT("'update Helper'!C"&amp;U1037)</f>
        <v>a163p000002zQcjAAE</v>
      </c>
      <c r="B1037" s="674">
        <v>11</v>
      </c>
      <c r="C1037" s="666" t="str">
        <f>VLOOKUP(B1037,'Coverage Indicators - Section D'!$A$9:$AU$70,47,FALSE)</f>
        <v>Pourcentrage de districts sanitaires qui ont transmis à temps ( Completude est ≥ 95% et la     Promptitude ≥ 85%.) leurs rapports dans les délais selon les directives nationales</v>
      </c>
      <c r="D1037" s="676" t="str">
        <f t="shared" ref="D1037" si="4397">R1037</f>
        <v/>
      </c>
      <c r="E1037" s="676" t="str">
        <f t="shared" ref="E1037" si="4398">S1037</f>
        <v/>
      </c>
      <c r="F1037" s="194"/>
      <c r="G1037" s="668" t="str">
        <f t="shared" ref="G1037" ca="1" si="4399">IF(OR(INDIRECT("'update Helper'!E"&amp;U1037)=0,F1037&lt;&gt;0,F1038&lt;&gt;0),IF(IFERROR((F1037/F1038),"")="","",(F1037/F1038)),INDIRECT("'update Helper'!E"&amp;U1037)/100)</f>
        <v/>
      </c>
      <c r="H1037" s="670"/>
      <c r="I1037" s="672"/>
      <c r="J1037" s="651"/>
      <c r="K1037" s="666" t="str">
        <f t="shared" ref="K1037" si="4400">W1037</f>
        <v/>
      </c>
      <c r="L1037" s="666" t="str">
        <f t="shared" ref="L1037" si="4401">V1037</f>
        <v/>
      </c>
      <c r="M1037" s="651"/>
      <c r="N1037" s="651"/>
      <c r="P1037" s="189">
        <f t="shared" ref="P1037" si="4402">IF(AND(EXACT(C1037,C1035),C1035&lt;&gt;0),P1035+1,0)</f>
        <v>8</v>
      </c>
      <c r="Q1037" s="189" t="str">
        <f t="shared" ref="Q1037" si="4403">IF(C1037&lt;&gt;"",C1037&amp;"-"&amp;P1037,"")</f>
        <v>Pourcentrage de districts sanitaires qui ont transmis à temps ( Completude est ≥ 95% et la     Promptitude ≥ 85%.) leurs rapports dans les délais selon les directives nationales-8</v>
      </c>
      <c r="R1037" s="189" t="str">
        <f t="array" ref="R1037">IFERROR(IF(INDEX('Disaggregation Records'!$E$155:$E$385,MATCH(RIGHT(Q1037,255),RIGHT('Disaggregation Records'!$D$155:$D$385,255),0))=0,"",INDEX('Disaggregation Records'!$E$155:$E$385,MATCH(RIGHT(Q1037,255),RIGHT('Disaggregation Records'!$D$155:$D$385,255),0))),"")</f>
        <v/>
      </c>
      <c r="S1037" s="189" t="str">
        <f t="array" ref="S1037">IFERROR(IF(INDEX('Disaggregation Records'!$F$155:$F$385,MATCH(RIGHT(Q1037,255),RIGHT('Disaggregation Records'!$D$155:$D$385,255),0))=0,"",INDEX('Disaggregation Records'!$F$155:$F$385,MATCH(RIGHT(Q1037,255),RIGHT('Disaggregation Records'!$D$155:$D$385,255),0))),"")</f>
        <v/>
      </c>
      <c r="T1037" s="189" t="str">
        <f t="array" ref="T1037">IFERROR(IF(INDEX('Disaggregation Records'!$H$155:$H$385,MATCH(RIGHT(Q1037,255),RIGHT('Disaggregation Records'!$D$155:$D$385,255),0))=0,"",INDEX('Disaggregation Records'!$H$155:$H$385,MATCH(RIGHT(Q1037,255),RIGHT('Disaggregation Records'!$D$155:$D$385,255),0))),"")</f>
        <v/>
      </c>
      <c r="U1037" s="189">
        <f t="shared" ref="U1037" si="4404">U1035+1</f>
        <v>1620</v>
      </c>
      <c r="V1037" s="189" t="str">
        <f t="array" ref="V1037">IFERROR(IF(INDEX('Disaggregation Records'!$I$155:$I$385,MATCH(RIGHT(Q1037,255),RIGHT('Disaggregation Records'!$D$155:$D$385,255),0))=0,"",INDEX('Disaggregation Records'!$I$155:$I$385,MATCH(RIGHT(Q1037,255),RIGHT('Disaggregation Records'!$D$155:$D$385,255),0))),"")</f>
        <v/>
      </c>
      <c r="W1037" s="189" t="str">
        <f>IFERROR(INDEX('Reference Records'!L$59:L$121,MATCH(LEFT(C1037,255),'Reference Records'!E$59:E$121,0)),"")</f>
        <v/>
      </c>
    </row>
    <row r="1038" spans="1:23" s="189" customFormat="1" ht="40.200000000000003" customHeight="1" x14ac:dyDescent="0.3">
      <c r="A1038" s="678"/>
      <c r="B1038" s="675"/>
      <c r="C1038" s="667"/>
      <c r="D1038" s="677"/>
      <c r="E1038" s="677"/>
      <c r="F1038" s="202"/>
      <c r="G1038" s="669"/>
      <c r="H1038" s="671"/>
      <c r="I1038" s="673"/>
      <c r="J1038" s="652"/>
      <c r="K1038" s="667"/>
      <c r="L1038" s="667"/>
      <c r="M1038" s="652"/>
      <c r="N1038" s="652"/>
    </row>
    <row r="1039" spans="1:23" s="189" customFormat="1" ht="40.200000000000003" customHeight="1" x14ac:dyDescent="0.3">
      <c r="A1039" s="678" t="str">
        <f t="shared" ref="A1039" ca="1" si="4405">INDIRECT("'update Helper'!C"&amp;U1039)</f>
        <v>a163p000002zQckAAE</v>
      </c>
      <c r="B1039" s="674">
        <v>11</v>
      </c>
      <c r="C1039" s="666" t="str">
        <f>VLOOKUP(B1039,'Coverage Indicators - Section D'!$A$9:$AU$70,47,FALSE)</f>
        <v>Pourcentrage de districts sanitaires qui ont transmis à temps ( Completude est ≥ 95% et la     Promptitude ≥ 85%.) leurs rapports dans les délais selon les directives nationales</v>
      </c>
      <c r="D1039" s="676" t="str">
        <f t="shared" ref="D1039" si="4406">R1039</f>
        <v/>
      </c>
      <c r="E1039" s="676" t="str">
        <f t="shared" ref="E1039" si="4407">S1039</f>
        <v/>
      </c>
      <c r="F1039" s="194"/>
      <c r="G1039" s="668" t="str">
        <f t="shared" ref="G1039" ca="1" si="4408">IF(OR(INDIRECT("'update Helper'!E"&amp;U1039)=0,F1039&lt;&gt;0,F1040&lt;&gt;0),IF(IFERROR((F1039/F1040),"")="","",(F1039/F1040)),INDIRECT("'update Helper'!E"&amp;U1039)/100)</f>
        <v/>
      </c>
      <c r="H1039" s="670"/>
      <c r="I1039" s="672"/>
      <c r="J1039" s="651"/>
      <c r="K1039" s="666" t="str">
        <f t="shared" ref="K1039" si="4409">W1039</f>
        <v/>
      </c>
      <c r="L1039" s="666" t="str">
        <f t="shared" ref="L1039" si="4410">V1039</f>
        <v/>
      </c>
      <c r="M1039" s="651"/>
      <c r="N1039" s="651"/>
      <c r="P1039" s="189">
        <f t="shared" ref="P1039" si="4411">IF(AND(EXACT(C1039,C1037),C1037&lt;&gt;0),P1037+1,0)</f>
        <v>9</v>
      </c>
      <c r="Q1039" s="189" t="str">
        <f t="shared" ref="Q1039" si="4412">IF(C1039&lt;&gt;"",C1039&amp;"-"&amp;P1039,"")</f>
        <v>Pourcentrage de districts sanitaires qui ont transmis à temps ( Completude est ≥ 95% et la     Promptitude ≥ 85%.) leurs rapports dans les délais selon les directives nationales-9</v>
      </c>
      <c r="R1039" s="189" t="str">
        <f t="array" ref="R1039">IFERROR(IF(INDEX('Disaggregation Records'!$E$155:$E$385,MATCH(RIGHT(Q1039,255),RIGHT('Disaggregation Records'!$D$155:$D$385,255),0))=0,"",INDEX('Disaggregation Records'!$E$155:$E$385,MATCH(RIGHT(Q1039,255),RIGHT('Disaggregation Records'!$D$155:$D$385,255),0))),"")</f>
        <v/>
      </c>
      <c r="S1039" s="189" t="str">
        <f t="array" ref="S1039">IFERROR(IF(INDEX('Disaggregation Records'!$F$155:$F$385,MATCH(RIGHT(Q1039,255),RIGHT('Disaggregation Records'!$D$155:$D$385,255),0))=0,"",INDEX('Disaggregation Records'!$F$155:$F$385,MATCH(RIGHT(Q1039,255),RIGHT('Disaggregation Records'!$D$155:$D$385,255),0))),"")</f>
        <v/>
      </c>
      <c r="T1039" s="189" t="str">
        <f t="array" ref="T1039">IFERROR(IF(INDEX('Disaggregation Records'!$H$155:$H$385,MATCH(RIGHT(Q1039,255),RIGHT('Disaggregation Records'!$D$155:$D$385,255),0))=0,"",INDEX('Disaggregation Records'!$H$155:$H$385,MATCH(RIGHT(Q1039,255),RIGHT('Disaggregation Records'!$D$155:$D$385,255),0))),"")</f>
        <v/>
      </c>
      <c r="U1039" s="189">
        <f t="shared" ref="U1039" si="4413">U1037+1</f>
        <v>1621</v>
      </c>
      <c r="V1039" s="189" t="str">
        <f t="array" ref="V1039">IFERROR(IF(INDEX('Disaggregation Records'!$I$155:$I$385,MATCH(RIGHT(Q1039,255),RIGHT('Disaggregation Records'!$D$155:$D$385,255),0))=0,"",INDEX('Disaggregation Records'!$I$155:$I$385,MATCH(RIGHT(Q1039,255),RIGHT('Disaggregation Records'!$D$155:$D$385,255),0))),"")</f>
        <v/>
      </c>
      <c r="W1039" s="189" t="str">
        <f>IFERROR(INDEX('Reference Records'!L$59:L$121,MATCH(LEFT(C1039,255),'Reference Records'!E$59:E$121,0)),"")</f>
        <v/>
      </c>
    </row>
    <row r="1040" spans="1:23" s="189" customFormat="1" ht="40.200000000000003" customHeight="1" x14ac:dyDescent="0.3">
      <c r="A1040" s="678"/>
      <c r="B1040" s="675"/>
      <c r="C1040" s="667"/>
      <c r="D1040" s="677"/>
      <c r="E1040" s="677"/>
      <c r="F1040" s="202"/>
      <c r="G1040" s="669"/>
      <c r="H1040" s="671"/>
      <c r="I1040" s="673"/>
      <c r="J1040" s="652"/>
      <c r="K1040" s="667"/>
      <c r="L1040" s="667"/>
      <c r="M1040" s="652"/>
      <c r="N1040" s="652"/>
    </row>
    <row r="1041" spans="1:23" s="189" customFormat="1" ht="40.200000000000003" customHeight="1" x14ac:dyDescent="0.3">
      <c r="A1041" s="678" t="str">
        <f t="shared" ref="A1041" ca="1" si="4414">INDIRECT("'update Helper'!C"&amp;U1041)</f>
        <v>a163p000002zQclAAE</v>
      </c>
      <c r="B1041" s="674">
        <v>11</v>
      </c>
      <c r="C1041" s="666" t="str">
        <f>VLOOKUP(B1041,'Coverage Indicators - Section D'!$A$9:$AU$70,47,FALSE)</f>
        <v>Pourcentrage de districts sanitaires qui ont transmis à temps ( Completude est ≥ 95% et la     Promptitude ≥ 85%.) leurs rapports dans les délais selon les directives nationales</v>
      </c>
      <c r="D1041" s="676" t="str">
        <f t="shared" ref="D1041" si="4415">R1041</f>
        <v/>
      </c>
      <c r="E1041" s="676" t="str">
        <f t="shared" ref="E1041" si="4416">S1041</f>
        <v/>
      </c>
      <c r="F1041" s="194"/>
      <c r="G1041" s="668" t="str">
        <f t="shared" ref="G1041" ca="1" si="4417">IF(OR(INDIRECT("'update Helper'!E"&amp;U1041)=0,F1041&lt;&gt;0,F1042&lt;&gt;0),IF(IFERROR((F1041/F1042),"")="","",(F1041/F1042)),INDIRECT("'update Helper'!E"&amp;U1041)/100)</f>
        <v/>
      </c>
      <c r="H1041" s="670"/>
      <c r="I1041" s="672"/>
      <c r="J1041" s="651"/>
      <c r="K1041" s="666" t="str">
        <f t="shared" ref="K1041" si="4418">W1041</f>
        <v/>
      </c>
      <c r="L1041" s="666" t="str">
        <f t="shared" ref="L1041" si="4419">V1041</f>
        <v/>
      </c>
      <c r="M1041" s="651"/>
      <c r="N1041" s="651"/>
      <c r="P1041" s="189">
        <f t="shared" ref="P1041" si="4420">IF(AND(EXACT(C1041,C1039),C1039&lt;&gt;0),P1039+1,0)</f>
        <v>10</v>
      </c>
      <c r="Q1041" s="189" t="str">
        <f t="shared" ref="Q1041" si="4421">IF(C1041&lt;&gt;"",C1041&amp;"-"&amp;P1041,"")</f>
        <v>Pourcentrage de districts sanitaires qui ont transmis à temps ( Completude est ≥ 95% et la     Promptitude ≥ 85%.) leurs rapports dans les délais selon les directives nationales-10</v>
      </c>
      <c r="R1041" s="189" t="str">
        <f t="array" ref="R1041">IFERROR(IF(INDEX('Disaggregation Records'!$E$155:$E$385,MATCH(RIGHT(Q1041,255),RIGHT('Disaggregation Records'!$D$155:$D$385,255),0))=0,"",INDEX('Disaggregation Records'!$E$155:$E$385,MATCH(RIGHT(Q1041,255),RIGHT('Disaggregation Records'!$D$155:$D$385,255),0))),"")</f>
        <v/>
      </c>
      <c r="S1041" s="189" t="str">
        <f t="array" ref="S1041">IFERROR(IF(INDEX('Disaggregation Records'!$F$155:$F$385,MATCH(RIGHT(Q1041,255),RIGHT('Disaggregation Records'!$D$155:$D$385,255),0))=0,"",INDEX('Disaggregation Records'!$F$155:$F$385,MATCH(RIGHT(Q1041,255),RIGHT('Disaggregation Records'!$D$155:$D$385,255),0))),"")</f>
        <v/>
      </c>
      <c r="T1041" s="189" t="str">
        <f t="array" ref="T1041">IFERROR(IF(INDEX('Disaggregation Records'!$H$155:$H$385,MATCH(RIGHT(Q1041,255),RIGHT('Disaggregation Records'!$D$155:$D$385,255),0))=0,"",INDEX('Disaggregation Records'!$H$155:$H$385,MATCH(RIGHT(Q1041,255),RIGHT('Disaggregation Records'!$D$155:$D$385,255),0))),"")</f>
        <v/>
      </c>
      <c r="U1041" s="189">
        <f t="shared" ref="U1041" si="4422">U1039+1</f>
        <v>1622</v>
      </c>
      <c r="V1041" s="189" t="str">
        <f t="array" ref="V1041">IFERROR(IF(INDEX('Disaggregation Records'!$I$155:$I$385,MATCH(RIGHT(Q1041,255),RIGHT('Disaggregation Records'!$D$155:$D$385,255),0))=0,"",INDEX('Disaggregation Records'!$I$155:$I$385,MATCH(RIGHT(Q1041,255),RIGHT('Disaggregation Records'!$D$155:$D$385,255),0))),"")</f>
        <v/>
      </c>
      <c r="W1041" s="189" t="str">
        <f>IFERROR(INDEX('Reference Records'!L$59:L$121,MATCH(LEFT(C1041,255),'Reference Records'!E$59:E$121,0)),"")</f>
        <v/>
      </c>
    </row>
    <row r="1042" spans="1:23" s="189" customFormat="1" ht="40.200000000000003" customHeight="1" x14ac:dyDescent="0.3">
      <c r="A1042" s="678"/>
      <c r="B1042" s="675"/>
      <c r="C1042" s="667"/>
      <c r="D1042" s="677"/>
      <c r="E1042" s="677"/>
      <c r="F1042" s="202"/>
      <c r="G1042" s="669"/>
      <c r="H1042" s="671"/>
      <c r="I1042" s="673"/>
      <c r="J1042" s="652"/>
      <c r="K1042" s="667"/>
      <c r="L1042" s="667"/>
      <c r="M1042" s="652"/>
      <c r="N1042" s="652"/>
    </row>
    <row r="1043" spans="1:23" s="189" customFormat="1" ht="40.200000000000003" customHeight="1" x14ac:dyDescent="0.3">
      <c r="A1043" s="678" t="str">
        <f t="shared" ref="A1043" ca="1" si="4423">INDIRECT("'update Helper'!C"&amp;U1043)</f>
        <v>a163p000002zQcmAAE</v>
      </c>
      <c r="B1043" s="674">
        <v>11</v>
      </c>
      <c r="C1043" s="666" t="str">
        <f>VLOOKUP(B1043,'Coverage Indicators - Section D'!$A$9:$AU$70,47,FALSE)</f>
        <v>Pourcentrage de districts sanitaires qui ont transmis à temps ( Completude est ≥ 95% et la     Promptitude ≥ 85%.) leurs rapports dans les délais selon les directives nationales</v>
      </c>
      <c r="D1043" s="676" t="str">
        <f t="shared" ref="D1043" si="4424">R1043</f>
        <v/>
      </c>
      <c r="E1043" s="676" t="str">
        <f t="shared" ref="E1043" si="4425">S1043</f>
        <v/>
      </c>
      <c r="F1043" s="194"/>
      <c r="G1043" s="668" t="str">
        <f t="shared" ref="G1043" ca="1" si="4426">IF(OR(INDIRECT("'update Helper'!E"&amp;U1043)=0,F1043&lt;&gt;0,F1044&lt;&gt;0),IF(IFERROR((F1043/F1044),"")="","",(F1043/F1044)),INDIRECT("'update Helper'!E"&amp;U1043)/100)</f>
        <v/>
      </c>
      <c r="H1043" s="670"/>
      <c r="I1043" s="672"/>
      <c r="J1043" s="651"/>
      <c r="K1043" s="666" t="str">
        <f t="shared" ref="K1043" si="4427">W1043</f>
        <v/>
      </c>
      <c r="L1043" s="666" t="str">
        <f t="shared" ref="L1043" si="4428">V1043</f>
        <v/>
      </c>
      <c r="M1043" s="651"/>
      <c r="N1043" s="651"/>
      <c r="P1043" s="189">
        <f t="shared" ref="P1043" si="4429">IF(AND(EXACT(C1043,C1041),C1041&lt;&gt;0),P1041+1,0)</f>
        <v>11</v>
      </c>
      <c r="Q1043" s="189" t="str">
        <f t="shared" ref="Q1043" si="4430">IF(C1043&lt;&gt;"",C1043&amp;"-"&amp;P1043,"")</f>
        <v>Pourcentrage de districts sanitaires qui ont transmis à temps ( Completude est ≥ 95% et la     Promptitude ≥ 85%.) leurs rapports dans les délais selon les directives nationales-11</v>
      </c>
      <c r="R1043" s="189" t="str">
        <f t="array" ref="R1043">IFERROR(IF(INDEX('Disaggregation Records'!$E$155:$E$385,MATCH(RIGHT(Q1043,255),RIGHT('Disaggregation Records'!$D$155:$D$385,255),0))=0,"",INDEX('Disaggregation Records'!$E$155:$E$385,MATCH(RIGHT(Q1043,255),RIGHT('Disaggregation Records'!$D$155:$D$385,255),0))),"")</f>
        <v/>
      </c>
      <c r="S1043" s="189" t="str">
        <f t="array" ref="S1043">IFERROR(IF(INDEX('Disaggregation Records'!$F$155:$F$385,MATCH(RIGHT(Q1043,255),RIGHT('Disaggregation Records'!$D$155:$D$385,255),0))=0,"",INDEX('Disaggregation Records'!$F$155:$F$385,MATCH(RIGHT(Q1043,255),RIGHT('Disaggregation Records'!$D$155:$D$385,255),0))),"")</f>
        <v/>
      </c>
      <c r="T1043" s="189" t="str">
        <f t="array" ref="T1043">IFERROR(IF(INDEX('Disaggregation Records'!$H$155:$H$385,MATCH(RIGHT(Q1043,255),RIGHT('Disaggregation Records'!$D$155:$D$385,255),0))=0,"",INDEX('Disaggregation Records'!$H$155:$H$385,MATCH(RIGHT(Q1043,255),RIGHT('Disaggregation Records'!$D$155:$D$385,255),0))),"")</f>
        <v/>
      </c>
      <c r="U1043" s="189">
        <f t="shared" ref="U1043" si="4431">U1041+1</f>
        <v>1623</v>
      </c>
      <c r="V1043" s="189" t="str">
        <f t="array" ref="V1043">IFERROR(IF(INDEX('Disaggregation Records'!$I$155:$I$385,MATCH(RIGHT(Q1043,255),RIGHT('Disaggregation Records'!$D$155:$D$385,255),0))=0,"",INDEX('Disaggregation Records'!$I$155:$I$385,MATCH(RIGHT(Q1043,255),RIGHT('Disaggregation Records'!$D$155:$D$385,255),0))),"")</f>
        <v/>
      </c>
      <c r="W1043" s="189" t="str">
        <f>IFERROR(INDEX('Reference Records'!L$59:L$121,MATCH(LEFT(C1043,255),'Reference Records'!E$59:E$121,0)),"")</f>
        <v/>
      </c>
    </row>
    <row r="1044" spans="1:23" s="189" customFormat="1" ht="40.200000000000003" customHeight="1" x14ac:dyDescent="0.3">
      <c r="A1044" s="678"/>
      <c r="B1044" s="675"/>
      <c r="C1044" s="667"/>
      <c r="D1044" s="677"/>
      <c r="E1044" s="677"/>
      <c r="F1044" s="202"/>
      <c r="G1044" s="669"/>
      <c r="H1044" s="671"/>
      <c r="I1044" s="673"/>
      <c r="J1044" s="652"/>
      <c r="K1044" s="667"/>
      <c r="L1044" s="667"/>
      <c r="M1044" s="652"/>
      <c r="N1044" s="652"/>
    </row>
    <row r="1045" spans="1:23" s="189" customFormat="1" ht="40.200000000000003" customHeight="1" x14ac:dyDescent="0.3">
      <c r="A1045" s="678" t="str">
        <f t="shared" ref="A1045" ca="1" si="4432">INDIRECT("'update Helper'!C"&amp;U1045)</f>
        <v>a163p000002zQcnAAE</v>
      </c>
      <c r="B1045" s="674">
        <v>11</v>
      </c>
      <c r="C1045" s="666" t="str">
        <f>VLOOKUP(B1045,'Coverage Indicators - Section D'!$A$9:$AU$70,47,FALSE)</f>
        <v>Pourcentrage de districts sanitaires qui ont transmis à temps ( Completude est ≥ 95% et la     Promptitude ≥ 85%.) leurs rapports dans les délais selon les directives nationales</v>
      </c>
      <c r="D1045" s="676" t="str">
        <f t="shared" ref="D1045" si="4433">R1045</f>
        <v/>
      </c>
      <c r="E1045" s="676" t="str">
        <f t="shared" ref="E1045" si="4434">S1045</f>
        <v/>
      </c>
      <c r="F1045" s="194"/>
      <c r="G1045" s="668" t="str">
        <f t="shared" ref="G1045" ca="1" si="4435">IF(OR(INDIRECT("'update Helper'!E"&amp;U1045)=0,F1045&lt;&gt;0,F1046&lt;&gt;0),IF(IFERROR((F1045/F1046),"")="","",(F1045/F1046)),INDIRECT("'update Helper'!E"&amp;U1045)/100)</f>
        <v/>
      </c>
      <c r="H1045" s="670"/>
      <c r="I1045" s="672"/>
      <c r="J1045" s="651"/>
      <c r="K1045" s="666" t="str">
        <f t="shared" ref="K1045" si="4436">W1045</f>
        <v/>
      </c>
      <c r="L1045" s="666" t="str">
        <f t="shared" ref="L1045" si="4437">V1045</f>
        <v/>
      </c>
      <c r="M1045" s="651"/>
      <c r="N1045" s="651"/>
      <c r="P1045" s="189">
        <f t="shared" ref="P1045" si="4438">IF(AND(EXACT(C1045,C1043),C1043&lt;&gt;0),P1043+1,0)</f>
        <v>12</v>
      </c>
      <c r="Q1045" s="189" t="str">
        <f t="shared" ref="Q1045" si="4439">IF(C1045&lt;&gt;"",C1045&amp;"-"&amp;P1045,"")</f>
        <v>Pourcentrage de districts sanitaires qui ont transmis à temps ( Completude est ≥ 95% et la     Promptitude ≥ 85%.) leurs rapports dans les délais selon les directives nationales-12</v>
      </c>
      <c r="R1045" s="189" t="str">
        <f t="array" ref="R1045">IFERROR(IF(INDEX('Disaggregation Records'!$E$155:$E$385,MATCH(RIGHT(Q1045,255),RIGHT('Disaggregation Records'!$D$155:$D$385,255),0))=0,"",INDEX('Disaggregation Records'!$E$155:$E$385,MATCH(RIGHT(Q1045,255),RIGHT('Disaggregation Records'!$D$155:$D$385,255),0))),"")</f>
        <v/>
      </c>
      <c r="S1045" s="189" t="str">
        <f t="array" ref="S1045">IFERROR(IF(INDEX('Disaggregation Records'!$F$155:$F$385,MATCH(RIGHT(Q1045,255),RIGHT('Disaggregation Records'!$D$155:$D$385,255),0))=0,"",INDEX('Disaggregation Records'!$F$155:$F$385,MATCH(RIGHT(Q1045,255),RIGHT('Disaggregation Records'!$D$155:$D$385,255),0))),"")</f>
        <v/>
      </c>
      <c r="T1045" s="189" t="str">
        <f t="array" ref="T1045">IFERROR(IF(INDEX('Disaggregation Records'!$H$155:$H$385,MATCH(RIGHT(Q1045,255),RIGHT('Disaggregation Records'!$D$155:$D$385,255),0))=0,"",INDEX('Disaggregation Records'!$H$155:$H$385,MATCH(RIGHT(Q1045,255),RIGHT('Disaggregation Records'!$D$155:$D$385,255),0))),"")</f>
        <v/>
      </c>
      <c r="U1045" s="189">
        <f t="shared" ref="U1045" si="4440">U1043+1</f>
        <v>1624</v>
      </c>
      <c r="V1045" s="189" t="str">
        <f t="array" ref="V1045">IFERROR(IF(INDEX('Disaggregation Records'!$I$155:$I$385,MATCH(RIGHT(Q1045,255),RIGHT('Disaggregation Records'!$D$155:$D$385,255),0))=0,"",INDEX('Disaggregation Records'!$I$155:$I$385,MATCH(RIGHT(Q1045,255),RIGHT('Disaggregation Records'!$D$155:$D$385,255),0))),"")</f>
        <v/>
      </c>
      <c r="W1045" s="189" t="str">
        <f>IFERROR(INDEX('Reference Records'!L$59:L$121,MATCH(LEFT(C1045,255),'Reference Records'!E$59:E$121,0)),"")</f>
        <v/>
      </c>
    </row>
    <row r="1046" spans="1:23" s="189" customFormat="1" ht="40.200000000000003" customHeight="1" x14ac:dyDescent="0.3">
      <c r="A1046" s="678"/>
      <c r="B1046" s="675"/>
      <c r="C1046" s="667"/>
      <c r="D1046" s="677"/>
      <c r="E1046" s="677"/>
      <c r="F1046" s="202"/>
      <c r="G1046" s="669"/>
      <c r="H1046" s="671"/>
      <c r="I1046" s="673"/>
      <c r="J1046" s="652"/>
      <c r="K1046" s="667"/>
      <c r="L1046" s="667"/>
      <c r="M1046" s="652"/>
      <c r="N1046" s="652"/>
    </row>
    <row r="1047" spans="1:23" s="189" customFormat="1" ht="40.200000000000003" customHeight="1" x14ac:dyDescent="0.3">
      <c r="A1047" s="678" t="str">
        <f t="shared" ref="A1047" ca="1" si="4441">INDIRECT("'update Helper'!C"&amp;U1047)</f>
        <v>a163p000002zQcoAAE</v>
      </c>
      <c r="B1047" s="674">
        <v>11</v>
      </c>
      <c r="C1047" s="666" t="str">
        <f>VLOOKUP(B1047,'Coverage Indicators - Section D'!$A$9:$AU$70,47,FALSE)</f>
        <v>Pourcentrage de districts sanitaires qui ont transmis à temps ( Completude est ≥ 95% et la     Promptitude ≥ 85%.) leurs rapports dans les délais selon les directives nationales</v>
      </c>
      <c r="D1047" s="676" t="str">
        <f t="shared" ref="D1047" si="4442">R1047</f>
        <v/>
      </c>
      <c r="E1047" s="676" t="str">
        <f t="shared" ref="E1047" si="4443">S1047</f>
        <v/>
      </c>
      <c r="F1047" s="194"/>
      <c r="G1047" s="668" t="str">
        <f t="shared" ref="G1047" ca="1" si="4444">IF(OR(INDIRECT("'update Helper'!E"&amp;U1047)=0,F1047&lt;&gt;0,F1048&lt;&gt;0),IF(IFERROR((F1047/F1048),"")="","",(F1047/F1048)),INDIRECT("'update Helper'!E"&amp;U1047)/100)</f>
        <v/>
      </c>
      <c r="H1047" s="670"/>
      <c r="I1047" s="672"/>
      <c r="J1047" s="651"/>
      <c r="K1047" s="666" t="str">
        <f t="shared" ref="K1047" si="4445">W1047</f>
        <v/>
      </c>
      <c r="L1047" s="666" t="str">
        <f t="shared" ref="L1047" si="4446">V1047</f>
        <v/>
      </c>
      <c r="M1047" s="651"/>
      <c r="N1047" s="651"/>
      <c r="P1047" s="189">
        <f t="shared" ref="P1047" si="4447">IF(AND(EXACT(C1047,C1045),C1045&lt;&gt;0),P1045+1,0)</f>
        <v>13</v>
      </c>
      <c r="Q1047" s="189" t="str">
        <f t="shared" ref="Q1047" si="4448">IF(C1047&lt;&gt;"",C1047&amp;"-"&amp;P1047,"")</f>
        <v>Pourcentrage de districts sanitaires qui ont transmis à temps ( Completude est ≥ 95% et la     Promptitude ≥ 85%.) leurs rapports dans les délais selon les directives nationales-13</v>
      </c>
      <c r="R1047" s="189" t="str">
        <f t="array" ref="R1047">IFERROR(IF(INDEX('Disaggregation Records'!$E$155:$E$385,MATCH(RIGHT(Q1047,255),RIGHT('Disaggregation Records'!$D$155:$D$385,255),0))=0,"",INDEX('Disaggregation Records'!$E$155:$E$385,MATCH(RIGHT(Q1047,255),RIGHT('Disaggregation Records'!$D$155:$D$385,255),0))),"")</f>
        <v/>
      </c>
      <c r="S1047" s="189" t="str">
        <f t="array" ref="S1047">IFERROR(IF(INDEX('Disaggregation Records'!$F$155:$F$385,MATCH(RIGHT(Q1047,255),RIGHT('Disaggregation Records'!$D$155:$D$385,255),0))=0,"",INDEX('Disaggregation Records'!$F$155:$F$385,MATCH(RIGHT(Q1047,255),RIGHT('Disaggregation Records'!$D$155:$D$385,255),0))),"")</f>
        <v/>
      </c>
      <c r="T1047" s="189" t="str">
        <f t="array" ref="T1047">IFERROR(IF(INDEX('Disaggregation Records'!$H$155:$H$385,MATCH(RIGHT(Q1047,255),RIGHT('Disaggregation Records'!$D$155:$D$385,255),0))=0,"",INDEX('Disaggregation Records'!$H$155:$H$385,MATCH(RIGHT(Q1047,255),RIGHT('Disaggregation Records'!$D$155:$D$385,255),0))),"")</f>
        <v/>
      </c>
      <c r="U1047" s="189">
        <f t="shared" ref="U1047" si="4449">U1045+1</f>
        <v>1625</v>
      </c>
      <c r="V1047" s="189" t="str">
        <f t="array" ref="V1047">IFERROR(IF(INDEX('Disaggregation Records'!$I$155:$I$385,MATCH(RIGHT(Q1047,255),RIGHT('Disaggregation Records'!$D$155:$D$385,255),0))=0,"",INDEX('Disaggregation Records'!$I$155:$I$385,MATCH(RIGHT(Q1047,255),RIGHT('Disaggregation Records'!$D$155:$D$385,255),0))),"")</f>
        <v/>
      </c>
      <c r="W1047" s="189" t="str">
        <f>IFERROR(INDEX('Reference Records'!L$59:L$121,MATCH(LEFT(C1047,255),'Reference Records'!E$59:E$121,0)),"")</f>
        <v/>
      </c>
    </row>
    <row r="1048" spans="1:23" s="189" customFormat="1" ht="40.200000000000003" customHeight="1" x14ac:dyDescent="0.3">
      <c r="A1048" s="678"/>
      <c r="B1048" s="675"/>
      <c r="C1048" s="667"/>
      <c r="D1048" s="677"/>
      <c r="E1048" s="677"/>
      <c r="F1048" s="202"/>
      <c r="G1048" s="669"/>
      <c r="H1048" s="671"/>
      <c r="I1048" s="673"/>
      <c r="J1048" s="652"/>
      <c r="K1048" s="667"/>
      <c r="L1048" s="667"/>
      <c r="M1048" s="652"/>
      <c r="N1048" s="652"/>
    </row>
    <row r="1049" spans="1:23" s="189" customFormat="1" ht="40.200000000000003" customHeight="1" x14ac:dyDescent="0.3">
      <c r="A1049" s="678" t="str">
        <f t="shared" ref="A1049" ca="1" si="4450">INDIRECT("'update Helper'!C"&amp;U1049)</f>
        <v>a163p000002zQcpAAE</v>
      </c>
      <c r="B1049" s="674">
        <v>11</v>
      </c>
      <c r="C1049" s="666" t="str">
        <f>VLOOKUP(B1049,'Coverage Indicators - Section D'!$A$9:$AU$70,47,FALSE)</f>
        <v>Pourcentrage de districts sanitaires qui ont transmis à temps ( Completude est ≥ 95% et la     Promptitude ≥ 85%.) leurs rapports dans les délais selon les directives nationales</v>
      </c>
      <c r="D1049" s="676" t="str">
        <f t="shared" ref="D1049" si="4451">R1049</f>
        <v/>
      </c>
      <c r="E1049" s="676" t="str">
        <f t="shared" ref="E1049" si="4452">S1049</f>
        <v/>
      </c>
      <c r="F1049" s="194"/>
      <c r="G1049" s="668" t="str">
        <f t="shared" ref="G1049" ca="1" si="4453">IF(OR(INDIRECT("'update Helper'!E"&amp;U1049)=0,F1049&lt;&gt;0,F1050&lt;&gt;0),IF(IFERROR((F1049/F1050),"")="","",(F1049/F1050)),INDIRECT("'update Helper'!E"&amp;U1049)/100)</f>
        <v/>
      </c>
      <c r="H1049" s="670"/>
      <c r="I1049" s="672"/>
      <c r="J1049" s="651"/>
      <c r="K1049" s="666" t="str">
        <f t="shared" ref="K1049" si="4454">W1049</f>
        <v/>
      </c>
      <c r="L1049" s="666" t="str">
        <f t="shared" ref="L1049" si="4455">V1049</f>
        <v/>
      </c>
      <c r="M1049" s="651"/>
      <c r="N1049" s="651"/>
      <c r="P1049" s="189">
        <f t="shared" ref="P1049" si="4456">IF(AND(EXACT(C1049,C1047),C1047&lt;&gt;0),P1047+1,0)</f>
        <v>14</v>
      </c>
      <c r="Q1049" s="189" t="str">
        <f t="shared" ref="Q1049" si="4457">IF(C1049&lt;&gt;"",C1049&amp;"-"&amp;P1049,"")</f>
        <v>Pourcentrage de districts sanitaires qui ont transmis à temps ( Completude est ≥ 95% et la     Promptitude ≥ 85%.) leurs rapports dans les délais selon les directives nationales-14</v>
      </c>
      <c r="R1049" s="189" t="str">
        <f t="array" ref="R1049">IFERROR(IF(INDEX('Disaggregation Records'!$E$155:$E$385,MATCH(RIGHT(Q1049,255),RIGHT('Disaggregation Records'!$D$155:$D$385,255),0))=0,"",INDEX('Disaggregation Records'!$E$155:$E$385,MATCH(RIGHT(Q1049,255),RIGHT('Disaggregation Records'!$D$155:$D$385,255),0))),"")</f>
        <v/>
      </c>
      <c r="S1049" s="189" t="str">
        <f t="array" ref="S1049">IFERROR(IF(INDEX('Disaggregation Records'!$F$155:$F$385,MATCH(RIGHT(Q1049,255),RIGHT('Disaggregation Records'!$D$155:$D$385,255),0))=0,"",INDEX('Disaggregation Records'!$F$155:$F$385,MATCH(RIGHT(Q1049,255),RIGHT('Disaggregation Records'!$D$155:$D$385,255),0))),"")</f>
        <v/>
      </c>
      <c r="T1049" s="189" t="str">
        <f t="array" ref="T1049">IFERROR(IF(INDEX('Disaggregation Records'!$H$155:$H$385,MATCH(RIGHT(Q1049,255),RIGHT('Disaggregation Records'!$D$155:$D$385,255),0))=0,"",INDEX('Disaggregation Records'!$H$155:$H$385,MATCH(RIGHT(Q1049,255),RIGHT('Disaggregation Records'!$D$155:$D$385,255),0))),"")</f>
        <v/>
      </c>
      <c r="U1049" s="189">
        <f t="shared" ref="U1049" si="4458">U1047+1</f>
        <v>1626</v>
      </c>
      <c r="V1049" s="189" t="str">
        <f t="array" ref="V1049">IFERROR(IF(INDEX('Disaggregation Records'!$I$155:$I$385,MATCH(RIGHT(Q1049,255),RIGHT('Disaggregation Records'!$D$155:$D$385,255),0))=0,"",INDEX('Disaggregation Records'!$I$155:$I$385,MATCH(RIGHT(Q1049,255),RIGHT('Disaggregation Records'!$D$155:$D$385,255),0))),"")</f>
        <v/>
      </c>
      <c r="W1049" s="189" t="str">
        <f>IFERROR(INDEX('Reference Records'!L$59:L$121,MATCH(LEFT(C1049,255),'Reference Records'!E$59:E$121,0)),"")</f>
        <v/>
      </c>
    </row>
    <row r="1050" spans="1:23" s="189" customFormat="1" ht="40.200000000000003" customHeight="1" x14ac:dyDescent="0.3">
      <c r="A1050" s="678"/>
      <c r="B1050" s="675"/>
      <c r="C1050" s="667"/>
      <c r="D1050" s="677"/>
      <c r="E1050" s="677"/>
      <c r="F1050" s="202"/>
      <c r="G1050" s="669"/>
      <c r="H1050" s="671"/>
      <c r="I1050" s="673"/>
      <c r="J1050" s="652"/>
      <c r="K1050" s="667"/>
      <c r="L1050" s="667"/>
      <c r="M1050" s="652"/>
      <c r="N1050" s="652"/>
    </row>
    <row r="1051" spans="1:23" s="189" customFormat="1" ht="40.200000000000003" customHeight="1" x14ac:dyDescent="0.3">
      <c r="A1051" s="678" t="str">
        <f t="shared" ref="A1051" ca="1" si="4459">INDIRECT("'update Helper'!C"&amp;U1051)</f>
        <v>a163p000002zQcqAAE</v>
      </c>
      <c r="B1051" s="674">
        <v>11</v>
      </c>
      <c r="C1051" s="666" t="str">
        <f>VLOOKUP(B1051,'Coverage Indicators - Section D'!$A$9:$AU$70,47,FALSE)</f>
        <v>Pourcentrage de districts sanitaires qui ont transmis à temps ( Completude est ≥ 95% et la     Promptitude ≥ 85%.) leurs rapports dans les délais selon les directives nationales</v>
      </c>
      <c r="D1051" s="676" t="str">
        <f t="shared" ref="D1051" si="4460">R1051</f>
        <v/>
      </c>
      <c r="E1051" s="676" t="str">
        <f t="shared" ref="E1051" si="4461">S1051</f>
        <v/>
      </c>
      <c r="F1051" s="194"/>
      <c r="G1051" s="668" t="str">
        <f t="shared" ref="G1051" ca="1" si="4462">IF(OR(INDIRECT("'update Helper'!E"&amp;U1051)=0,F1051&lt;&gt;0,F1052&lt;&gt;0),IF(IFERROR((F1051/F1052),"")="","",(F1051/F1052)),INDIRECT("'update Helper'!E"&amp;U1051)/100)</f>
        <v/>
      </c>
      <c r="H1051" s="670"/>
      <c r="I1051" s="672"/>
      <c r="J1051" s="651"/>
      <c r="K1051" s="666" t="str">
        <f t="shared" ref="K1051" si="4463">W1051</f>
        <v/>
      </c>
      <c r="L1051" s="666" t="str">
        <f t="shared" ref="L1051" si="4464">V1051</f>
        <v/>
      </c>
      <c r="M1051" s="651"/>
      <c r="N1051" s="651"/>
      <c r="P1051" s="189">
        <f t="shared" ref="P1051" si="4465">IF(AND(EXACT(C1051,C1049),C1049&lt;&gt;0),P1049+1,0)</f>
        <v>15</v>
      </c>
      <c r="Q1051" s="189" t="str">
        <f t="shared" ref="Q1051" si="4466">IF(C1051&lt;&gt;"",C1051&amp;"-"&amp;P1051,"")</f>
        <v>Pourcentrage de districts sanitaires qui ont transmis à temps ( Completude est ≥ 95% et la     Promptitude ≥ 85%.) leurs rapports dans les délais selon les directives nationales-15</v>
      </c>
      <c r="R1051" s="189" t="str">
        <f t="array" ref="R1051">IFERROR(IF(INDEX('Disaggregation Records'!$E$155:$E$385,MATCH(RIGHT(Q1051,255),RIGHT('Disaggregation Records'!$D$155:$D$385,255),0))=0,"",INDEX('Disaggregation Records'!$E$155:$E$385,MATCH(RIGHT(Q1051,255),RIGHT('Disaggregation Records'!$D$155:$D$385,255),0))),"")</f>
        <v/>
      </c>
      <c r="S1051" s="189" t="str">
        <f t="array" ref="S1051">IFERROR(IF(INDEX('Disaggregation Records'!$F$155:$F$385,MATCH(RIGHT(Q1051,255),RIGHT('Disaggregation Records'!$D$155:$D$385,255),0))=0,"",INDEX('Disaggregation Records'!$F$155:$F$385,MATCH(RIGHT(Q1051,255),RIGHT('Disaggregation Records'!$D$155:$D$385,255),0))),"")</f>
        <v/>
      </c>
      <c r="T1051" s="189" t="str">
        <f t="array" ref="T1051">IFERROR(IF(INDEX('Disaggregation Records'!$H$155:$H$385,MATCH(RIGHT(Q1051,255),RIGHT('Disaggregation Records'!$D$155:$D$385,255),0))=0,"",INDEX('Disaggregation Records'!$H$155:$H$385,MATCH(RIGHT(Q1051,255),RIGHT('Disaggregation Records'!$D$155:$D$385,255),0))),"")</f>
        <v/>
      </c>
      <c r="U1051" s="189">
        <f t="shared" ref="U1051" si="4467">U1049+1</f>
        <v>1627</v>
      </c>
      <c r="V1051" s="189" t="str">
        <f t="array" ref="V1051">IFERROR(IF(INDEX('Disaggregation Records'!$I$155:$I$385,MATCH(RIGHT(Q1051,255),RIGHT('Disaggregation Records'!$D$155:$D$385,255),0))=0,"",INDEX('Disaggregation Records'!$I$155:$I$385,MATCH(RIGHT(Q1051,255),RIGHT('Disaggregation Records'!$D$155:$D$385,255),0))),"")</f>
        <v/>
      </c>
      <c r="W1051" s="189" t="str">
        <f>IFERROR(INDEX('Reference Records'!L$59:L$121,MATCH(LEFT(C1051,255),'Reference Records'!E$59:E$121,0)),"")</f>
        <v/>
      </c>
    </row>
    <row r="1052" spans="1:23" s="189" customFormat="1" ht="40.200000000000003" customHeight="1" x14ac:dyDescent="0.3">
      <c r="A1052" s="678"/>
      <c r="B1052" s="675"/>
      <c r="C1052" s="667"/>
      <c r="D1052" s="677"/>
      <c r="E1052" s="677"/>
      <c r="F1052" s="202"/>
      <c r="G1052" s="669"/>
      <c r="H1052" s="671"/>
      <c r="I1052" s="673"/>
      <c r="J1052" s="652"/>
      <c r="K1052" s="667"/>
      <c r="L1052" s="667"/>
      <c r="M1052" s="652"/>
      <c r="N1052" s="652"/>
    </row>
    <row r="1053" spans="1:23" s="189" customFormat="1" ht="40.200000000000003" customHeight="1" x14ac:dyDescent="0.3">
      <c r="A1053" s="678" t="str">
        <f t="shared" ref="A1053" ca="1" si="4468">INDIRECT("'update Helper'!C"&amp;U1053)</f>
        <v>a163p000002zQcrAAE</v>
      </c>
      <c r="B1053" s="674">
        <v>11</v>
      </c>
      <c r="C1053" s="666" t="str">
        <f>VLOOKUP(B1053,'Coverage Indicators - Section D'!$A$9:$AU$70,47,FALSE)</f>
        <v>Pourcentrage de districts sanitaires qui ont transmis à temps ( Completude est ≥ 95% et la     Promptitude ≥ 85%.) leurs rapports dans les délais selon les directives nationales</v>
      </c>
      <c r="D1053" s="676" t="str">
        <f t="shared" ref="D1053" si="4469">R1053</f>
        <v/>
      </c>
      <c r="E1053" s="676" t="str">
        <f t="shared" ref="E1053" si="4470">S1053</f>
        <v/>
      </c>
      <c r="F1053" s="194"/>
      <c r="G1053" s="668" t="str">
        <f t="shared" ref="G1053" ca="1" si="4471">IF(OR(INDIRECT("'update Helper'!E"&amp;U1053)=0,F1053&lt;&gt;0,F1054&lt;&gt;0),IF(IFERROR((F1053/F1054),"")="","",(F1053/F1054)),INDIRECT("'update Helper'!E"&amp;U1053)/100)</f>
        <v/>
      </c>
      <c r="H1053" s="670"/>
      <c r="I1053" s="672"/>
      <c r="J1053" s="651"/>
      <c r="K1053" s="666" t="str">
        <f t="shared" ref="K1053" si="4472">W1053</f>
        <v/>
      </c>
      <c r="L1053" s="666" t="str">
        <f t="shared" ref="L1053" si="4473">V1053</f>
        <v/>
      </c>
      <c r="M1053" s="651"/>
      <c r="N1053" s="651"/>
      <c r="P1053" s="189">
        <f t="shared" ref="P1053" si="4474">IF(AND(EXACT(C1053,C1051),C1051&lt;&gt;0),P1051+1,0)</f>
        <v>16</v>
      </c>
      <c r="Q1053" s="189" t="str">
        <f t="shared" ref="Q1053" si="4475">IF(C1053&lt;&gt;"",C1053&amp;"-"&amp;P1053,"")</f>
        <v>Pourcentrage de districts sanitaires qui ont transmis à temps ( Completude est ≥ 95% et la     Promptitude ≥ 85%.) leurs rapports dans les délais selon les directives nationales-16</v>
      </c>
      <c r="R1053" s="189" t="str">
        <f t="array" ref="R1053">IFERROR(IF(INDEX('Disaggregation Records'!$E$155:$E$385,MATCH(RIGHT(Q1053,255),RIGHT('Disaggregation Records'!$D$155:$D$385,255),0))=0,"",INDEX('Disaggregation Records'!$E$155:$E$385,MATCH(RIGHT(Q1053,255),RIGHT('Disaggregation Records'!$D$155:$D$385,255),0))),"")</f>
        <v/>
      </c>
      <c r="S1053" s="189" t="str">
        <f t="array" ref="S1053">IFERROR(IF(INDEX('Disaggregation Records'!$F$155:$F$385,MATCH(RIGHT(Q1053,255),RIGHT('Disaggregation Records'!$D$155:$D$385,255),0))=0,"",INDEX('Disaggregation Records'!$F$155:$F$385,MATCH(RIGHT(Q1053,255),RIGHT('Disaggregation Records'!$D$155:$D$385,255),0))),"")</f>
        <v/>
      </c>
      <c r="T1053" s="189" t="str">
        <f t="array" ref="T1053">IFERROR(IF(INDEX('Disaggregation Records'!$H$155:$H$385,MATCH(RIGHT(Q1053,255),RIGHT('Disaggregation Records'!$D$155:$D$385,255),0))=0,"",INDEX('Disaggregation Records'!$H$155:$H$385,MATCH(RIGHT(Q1053,255),RIGHT('Disaggregation Records'!$D$155:$D$385,255),0))),"")</f>
        <v/>
      </c>
      <c r="U1053" s="189">
        <f t="shared" ref="U1053" si="4476">U1051+1</f>
        <v>1628</v>
      </c>
      <c r="V1053" s="189" t="str">
        <f t="array" ref="V1053">IFERROR(IF(INDEX('Disaggregation Records'!$I$155:$I$385,MATCH(RIGHT(Q1053,255),RIGHT('Disaggregation Records'!$D$155:$D$385,255),0))=0,"",INDEX('Disaggregation Records'!$I$155:$I$385,MATCH(RIGHT(Q1053,255),RIGHT('Disaggregation Records'!$D$155:$D$385,255),0))),"")</f>
        <v/>
      </c>
      <c r="W1053" s="189" t="str">
        <f>IFERROR(INDEX('Reference Records'!L$59:L$121,MATCH(LEFT(C1053,255),'Reference Records'!E$59:E$121,0)),"")</f>
        <v/>
      </c>
    </row>
    <row r="1054" spans="1:23" s="189" customFormat="1" ht="40.200000000000003" customHeight="1" x14ac:dyDescent="0.3">
      <c r="A1054" s="678"/>
      <c r="B1054" s="675"/>
      <c r="C1054" s="667"/>
      <c r="D1054" s="677"/>
      <c r="E1054" s="677"/>
      <c r="F1054" s="202"/>
      <c r="G1054" s="669"/>
      <c r="H1054" s="671"/>
      <c r="I1054" s="673"/>
      <c r="J1054" s="652"/>
      <c r="K1054" s="667"/>
      <c r="L1054" s="667"/>
      <c r="M1054" s="652"/>
      <c r="N1054" s="652"/>
    </row>
    <row r="1055" spans="1:23" s="189" customFormat="1" ht="40.200000000000003" customHeight="1" x14ac:dyDescent="0.3">
      <c r="A1055" s="678" t="str">
        <f t="shared" ref="A1055" ca="1" si="4477">INDIRECT("'update Helper'!C"&amp;U1055)</f>
        <v>a163p000002zQcsAAE</v>
      </c>
      <c r="B1055" s="674">
        <v>11</v>
      </c>
      <c r="C1055" s="666" t="str">
        <f>VLOOKUP(B1055,'Coverage Indicators - Section D'!$A$9:$AU$70,47,FALSE)</f>
        <v>Pourcentrage de districts sanitaires qui ont transmis à temps ( Completude est ≥ 95% et la     Promptitude ≥ 85%.) leurs rapports dans les délais selon les directives nationales</v>
      </c>
      <c r="D1055" s="676" t="str">
        <f t="shared" ref="D1055" si="4478">R1055</f>
        <v/>
      </c>
      <c r="E1055" s="676" t="str">
        <f t="shared" ref="E1055" si="4479">S1055</f>
        <v/>
      </c>
      <c r="F1055" s="194"/>
      <c r="G1055" s="668" t="str">
        <f t="shared" ref="G1055" ca="1" si="4480">IF(OR(INDIRECT("'update Helper'!E"&amp;U1055)=0,F1055&lt;&gt;0,F1056&lt;&gt;0),IF(IFERROR((F1055/F1056),"")="","",(F1055/F1056)),INDIRECT("'update Helper'!E"&amp;U1055)/100)</f>
        <v/>
      </c>
      <c r="H1055" s="670"/>
      <c r="I1055" s="672"/>
      <c r="J1055" s="651"/>
      <c r="K1055" s="666" t="str">
        <f t="shared" ref="K1055" si="4481">W1055</f>
        <v/>
      </c>
      <c r="L1055" s="666" t="str">
        <f t="shared" ref="L1055" si="4482">V1055</f>
        <v/>
      </c>
      <c r="M1055" s="651"/>
      <c r="N1055" s="651"/>
      <c r="P1055" s="189">
        <f t="shared" ref="P1055" si="4483">IF(AND(EXACT(C1055,C1053),C1053&lt;&gt;0),P1053+1,0)</f>
        <v>17</v>
      </c>
      <c r="Q1055" s="189" t="str">
        <f t="shared" ref="Q1055" si="4484">IF(C1055&lt;&gt;"",C1055&amp;"-"&amp;P1055,"")</f>
        <v>Pourcentrage de districts sanitaires qui ont transmis à temps ( Completude est ≥ 95% et la     Promptitude ≥ 85%.) leurs rapports dans les délais selon les directives nationales-17</v>
      </c>
      <c r="R1055" s="189" t="str">
        <f t="array" ref="R1055">IFERROR(IF(INDEX('Disaggregation Records'!$E$155:$E$385,MATCH(RIGHT(Q1055,255),RIGHT('Disaggregation Records'!$D$155:$D$385,255),0))=0,"",INDEX('Disaggregation Records'!$E$155:$E$385,MATCH(RIGHT(Q1055,255),RIGHT('Disaggregation Records'!$D$155:$D$385,255),0))),"")</f>
        <v/>
      </c>
      <c r="S1055" s="189" t="str">
        <f t="array" ref="S1055">IFERROR(IF(INDEX('Disaggregation Records'!$F$155:$F$385,MATCH(RIGHT(Q1055,255),RIGHT('Disaggregation Records'!$D$155:$D$385,255),0))=0,"",INDEX('Disaggregation Records'!$F$155:$F$385,MATCH(RIGHT(Q1055,255),RIGHT('Disaggregation Records'!$D$155:$D$385,255),0))),"")</f>
        <v/>
      </c>
      <c r="T1055" s="189" t="str">
        <f t="array" ref="T1055">IFERROR(IF(INDEX('Disaggregation Records'!$H$155:$H$385,MATCH(RIGHT(Q1055,255),RIGHT('Disaggregation Records'!$D$155:$D$385,255),0))=0,"",INDEX('Disaggregation Records'!$H$155:$H$385,MATCH(RIGHT(Q1055,255),RIGHT('Disaggregation Records'!$D$155:$D$385,255),0))),"")</f>
        <v/>
      </c>
      <c r="U1055" s="189">
        <f t="shared" ref="U1055" si="4485">U1053+1</f>
        <v>1629</v>
      </c>
      <c r="V1055" s="189" t="str">
        <f t="array" ref="V1055">IFERROR(IF(INDEX('Disaggregation Records'!$I$155:$I$385,MATCH(RIGHT(Q1055,255),RIGHT('Disaggregation Records'!$D$155:$D$385,255),0))=0,"",INDEX('Disaggregation Records'!$I$155:$I$385,MATCH(RIGHT(Q1055,255),RIGHT('Disaggregation Records'!$D$155:$D$385,255),0))),"")</f>
        <v/>
      </c>
      <c r="W1055" s="189" t="str">
        <f>IFERROR(INDEX('Reference Records'!L$59:L$121,MATCH(LEFT(C1055,255),'Reference Records'!E$59:E$121,0)),"")</f>
        <v/>
      </c>
    </row>
    <row r="1056" spans="1:23" s="189" customFormat="1" ht="40.200000000000003" customHeight="1" x14ac:dyDescent="0.3">
      <c r="A1056" s="678"/>
      <c r="B1056" s="675"/>
      <c r="C1056" s="667"/>
      <c r="D1056" s="677"/>
      <c r="E1056" s="677"/>
      <c r="F1056" s="202"/>
      <c r="G1056" s="669"/>
      <c r="H1056" s="671"/>
      <c r="I1056" s="673"/>
      <c r="J1056" s="652"/>
      <c r="K1056" s="667"/>
      <c r="L1056" s="667"/>
      <c r="M1056" s="652"/>
      <c r="N1056" s="652"/>
    </row>
    <row r="1057" spans="1:23" s="189" customFormat="1" ht="40.200000000000003" customHeight="1" x14ac:dyDescent="0.3">
      <c r="A1057" s="678" t="str">
        <f t="shared" ref="A1057" ca="1" si="4486">INDIRECT("'update Helper'!C"&amp;U1057)</f>
        <v>a163p000002zQctAAE</v>
      </c>
      <c r="B1057" s="674">
        <v>11</v>
      </c>
      <c r="C1057" s="666" t="str">
        <f>VLOOKUP(B1057,'Coverage Indicators - Section D'!$A$9:$AU$70,47,FALSE)</f>
        <v>Pourcentrage de districts sanitaires qui ont transmis à temps ( Completude est ≥ 95% et la     Promptitude ≥ 85%.) leurs rapports dans les délais selon les directives nationales</v>
      </c>
      <c r="D1057" s="676" t="str">
        <f t="shared" ref="D1057" si="4487">R1057</f>
        <v/>
      </c>
      <c r="E1057" s="676" t="str">
        <f t="shared" ref="E1057" si="4488">S1057</f>
        <v/>
      </c>
      <c r="F1057" s="194"/>
      <c r="G1057" s="668" t="str">
        <f t="shared" ref="G1057" ca="1" si="4489">IF(OR(INDIRECT("'update Helper'!E"&amp;U1057)=0,F1057&lt;&gt;0,F1058&lt;&gt;0),IF(IFERROR((F1057/F1058),"")="","",(F1057/F1058)),INDIRECT("'update Helper'!E"&amp;U1057)/100)</f>
        <v/>
      </c>
      <c r="H1057" s="670"/>
      <c r="I1057" s="672"/>
      <c r="J1057" s="651"/>
      <c r="K1057" s="666" t="str">
        <f t="shared" ref="K1057" si="4490">W1057</f>
        <v/>
      </c>
      <c r="L1057" s="666" t="str">
        <f t="shared" ref="L1057" si="4491">V1057</f>
        <v/>
      </c>
      <c r="M1057" s="651"/>
      <c r="N1057" s="651"/>
      <c r="P1057" s="189">
        <f t="shared" ref="P1057" si="4492">IF(AND(EXACT(C1057,C1055),C1055&lt;&gt;0),P1055+1,0)</f>
        <v>18</v>
      </c>
      <c r="Q1057" s="189" t="str">
        <f t="shared" ref="Q1057" si="4493">IF(C1057&lt;&gt;"",C1057&amp;"-"&amp;P1057,"")</f>
        <v>Pourcentrage de districts sanitaires qui ont transmis à temps ( Completude est ≥ 95% et la     Promptitude ≥ 85%.) leurs rapports dans les délais selon les directives nationales-18</v>
      </c>
      <c r="R1057" s="189" t="str">
        <f t="array" ref="R1057">IFERROR(IF(INDEX('Disaggregation Records'!$E$155:$E$385,MATCH(RIGHT(Q1057,255),RIGHT('Disaggregation Records'!$D$155:$D$385,255),0))=0,"",INDEX('Disaggregation Records'!$E$155:$E$385,MATCH(RIGHT(Q1057,255),RIGHT('Disaggregation Records'!$D$155:$D$385,255),0))),"")</f>
        <v/>
      </c>
      <c r="S1057" s="189" t="str">
        <f t="array" ref="S1057">IFERROR(IF(INDEX('Disaggregation Records'!$F$155:$F$385,MATCH(RIGHT(Q1057,255),RIGHT('Disaggregation Records'!$D$155:$D$385,255),0))=0,"",INDEX('Disaggregation Records'!$F$155:$F$385,MATCH(RIGHT(Q1057,255),RIGHT('Disaggregation Records'!$D$155:$D$385,255),0))),"")</f>
        <v/>
      </c>
      <c r="T1057" s="189" t="str">
        <f t="array" ref="T1057">IFERROR(IF(INDEX('Disaggregation Records'!$H$155:$H$385,MATCH(RIGHT(Q1057,255),RIGHT('Disaggregation Records'!$D$155:$D$385,255),0))=0,"",INDEX('Disaggregation Records'!$H$155:$H$385,MATCH(RIGHT(Q1057,255),RIGHT('Disaggregation Records'!$D$155:$D$385,255),0))),"")</f>
        <v/>
      </c>
      <c r="U1057" s="189">
        <f t="shared" ref="U1057" si="4494">U1055+1</f>
        <v>1630</v>
      </c>
      <c r="V1057" s="189" t="str">
        <f t="array" ref="V1057">IFERROR(IF(INDEX('Disaggregation Records'!$I$155:$I$385,MATCH(RIGHT(Q1057,255),RIGHT('Disaggregation Records'!$D$155:$D$385,255),0))=0,"",INDEX('Disaggregation Records'!$I$155:$I$385,MATCH(RIGHT(Q1057,255),RIGHT('Disaggregation Records'!$D$155:$D$385,255),0))),"")</f>
        <v/>
      </c>
      <c r="W1057" s="189" t="str">
        <f>IFERROR(INDEX('Reference Records'!L$59:L$121,MATCH(LEFT(C1057,255),'Reference Records'!E$59:E$121,0)),"")</f>
        <v/>
      </c>
    </row>
    <row r="1058" spans="1:23" s="189" customFormat="1" ht="40.200000000000003" customHeight="1" x14ac:dyDescent="0.3">
      <c r="A1058" s="678"/>
      <c r="B1058" s="675"/>
      <c r="C1058" s="667"/>
      <c r="D1058" s="677"/>
      <c r="E1058" s="677"/>
      <c r="F1058" s="202"/>
      <c r="G1058" s="669"/>
      <c r="H1058" s="671"/>
      <c r="I1058" s="673"/>
      <c r="J1058" s="652"/>
      <c r="K1058" s="667"/>
      <c r="L1058" s="667"/>
      <c r="M1058" s="652"/>
      <c r="N1058" s="652"/>
    </row>
    <row r="1059" spans="1:23" s="189" customFormat="1" ht="40.200000000000003" customHeight="1" x14ac:dyDescent="0.3">
      <c r="A1059" s="678" t="str">
        <f t="shared" ref="A1059" ca="1" si="4495">INDIRECT("'update Helper'!C"&amp;U1059)</f>
        <v>a163p000002zQcuAAE</v>
      </c>
      <c r="B1059" s="674">
        <v>11</v>
      </c>
      <c r="C1059" s="666" t="str">
        <f>VLOOKUP(B1059,'Coverage Indicators - Section D'!$A$9:$AU$70,47,FALSE)</f>
        <v>Pourcentrage de districts sanitaires qui ont transmis à temps ( Completude est ≥ 95% et la     Promptitude ≥ 85%.) leurs rapports dans les délais selon les directives nationales</v>
      </c>
      <c r="D1059" s="676" t="str">
        <f t="shared" ref="D1059" si="4496">R1059</f>
        <v/>
      </c>
      <c r="E1059" s="676" t="str">
        <f t="shared" ref="E1059" si="4497">S1059</f>
        <v/>
      </c>
      <c r="F1059" s="194"/>
      <c r="G1059" s="668" t="str">
        <f t="shared" ref="G1059" ca="1" si="4498">IF(OR(INDIRECT("'update Helper'!E"&amp;U1059)=0,F1059&lt;&gt;0,F1060&lt;&gt;0),IF(IFERROR((F1059/F1060),"")="","",(F1059/F1060)),INDIRECT("'update Helper'!E"&amp;U1059)/100)</f>
        <v/>
      </c>
      <c r="H1059" s="670"/>
      <c r="I1059" s="672"/>
      <c r="J1059" s="651"/>
      <c r="K1059" s="666" t="str">
        <f t="shared" ref="K1059" si="4499">W1059</f>
        <v/>
      </c>
      <c r="L1059" s="666" t="str">
        <f t="shared" ref="L1059" si="4500">V1059</f>
        <v/>
      </c>
      <c r="M1059" s="651"/>
      <c r="N1059" s="651"/>
      <c r="P1059" s="189">
        <f t="shared" ref="P1059" si="4501">IF(AND(EXACT(C1059,C1057),C1057&lt;&gt;0),P1057+1,0)</f>
        <v>19</v>
      </c>
      <c r="Q1059" s="189" t="str">
        <f t="shared" ref="Q1059" si="4502">IF(C1059&lt;&gt;"",C1059&amp;"-"&amp;P1059,"")</f>
        <v>Pourcentrage de districts sanitaires qui ont transmis à temps ( Completude est ≥ 95% et la     Promptitude ≥ 85%.) leurs rapports dans les délais selon les directives nationales-19</v>
      </c>
      <c r="R1059" s="189" t="str">
        <f t="array" ref="R1059">IFERROR(IF(INDEX('Disaggregation Records'!$E$155:$E$385,MATCH(RIGHT(Q1059,255),RIGHT('Disaggregation Records'!$D$155:$D$385,255),0))=0,"",INDEX('Disaggregation Records'!$E$155:$E$385,MATCH(RIGHT(Q1059,255),RIGHT('Disaggregation Records'!$D$155:$D$385,255),0))),"")</f>
        <v/>
      </c>
      <c r="S1059" s="189" t="str">
        <f t="array" ref="S1059">IFERROR(IF(INDEX('Disaggregation Records'!$F$155:$F$385,MATCH(RIGHT(Q1059,255),RIGHT('Disaggregation Records'!$D$155:$D$385,255),0))=0,"",INDEX('Disaggregation Records'!$F$155:$F$385,MATCH(RIGHT(Q1059,255),RIGHT('Disaggregation Records'!$D$155:$D$385,255),0))),"")</f>
        <v/>
      </c>
      <c r="T1059" s="189" t="str">
        <f t="array" ref="T1059">IFERROR(IF(INDEX('Disaggregation Records'!$H$155:$H$385,MATCH(RIGHT(Q1059,255),RIGHT('Disaggregation Records'!$D$155:$D$385,255),0))=0,"",INDEX('Disaggregation Records'!$H$155:$H$385,MATCH(RIGHT(Q1059,255),RIGHT('Disaggregation Records'!$D$155:$D$385,255),0))),"")</f>
        <v/>
      </c>
      <c r="U1059" s="189">
        <f t="shared" ref="U1059" si="4503">U1057+1</f>
        <v>1631</v>
      </c>
      <c r="V1059" s="189" t="str">
        <f t="array" ref="V1059">IFERROR(IF(INDEX('Disaggregation Records'!$I$155:$I$385,MATCH(RIGHT(Q1059,255),RIGHT('Disaggregation Records'!$D$155:$D$385,255),0))=0,"",INDEX('Disaggregation Records'!$I$155:$I$385,MATCH(RIGHT(Q1059,255),RIGHT('Disaggregation Records'!$D$155:$D$385,255),0))),"")</f>
        <v/>
      </c>
      <c r="W1059" s="189" t="str">
        <f>IFERROR(INDEX('Reference Records'!L$59:L$121,MATCH(LEFT(C1059,255),'Reference Records'!E$59:E$121,0)),"")</f>
        <v/>
      </c>
    </row>
    <row r="1060" spans="1:23" s="189" customFormat="1" ht="40.200000000000003" customHeight="1" x14ac:dyDescent="0.3">
      <c r="A1060" s="678"/>
      <c r="B1060" s="675"/>
      <c r="C1060" s="667"/>
      <c r="D1060" s="677"/>
      <c r="E1060" s="677"/>
      <c r="F1060" s="202"/>
      <c r="G1060" s="669"/>
      <c r="H1060" s="671"/>
      <c r="I1060" s="673"/>
      <c r="J1060" s="652"/>
      <c r="K1060" s="667"/>
      <c r="L1060" s="667"/>
      <c r="M1060" s="652"/>
      <c r="N1060" s="652"/>
    </row>
    <row r="1061" spans="1:23" s="189" customFormat="1" ht="40.200000000000003" customHeight="1" x14ac:dyDescent="0.3">
      <c r="A1061" s="678" t="str">
        <f t="shared" ref="A1061" ca="1" si="4504">INDIRECT("'update Helper'!C"&amp;U1061)</f>
        <v>a163p000002zQcvAAE</v>
      </c>
      <c r="B1061" s="674">
        <v>12</v>
      </c>
      <c r="C1061" s="666" t="str">
        <f>VLOOKUP(B1061,'Coverage Indicators - Section D'!$A$9:$AU$70,47,FALSE)</f>
        <v>KP-1a⁽ᴹ⁾ Pourcentage de HSH ayant bénéficié de programmes préventifs de lutte contre le VIH (paquet de services définis)</v>
      </c>
      <c r="D1061" s="676" t="str">
        <f t="shared" ref="D1061" si="4505">R1061</f>
        <v>Age</v>
      </c>
      <c r="E1061" s="676" t="str">
        <f t="shared" ref="E1061" si="4506">S1061</f>
        <v>&lt;25</v>
      </c>
      <c r="F1061" s="194"/>
      <c r="G1061" s="668" t="str">
        <f t="shared" ref="G1061" ca="1" si="4507">IF(OR(INDIRECT("'update Helper'!E"&amp;U1061)=0,F1061&lt;&gt;0,F1062&lt;&gt;0),IF(IFERROR((F1061/F1062),"")="","",(F1061/F1062)),INDIRECT("'update Helper'!E"&amp;U1061)/100)</f>
        <v/>
      </c>
      <c r="H1061" s="670"/>
      <c r="I1061" s="672"/>
      <c r="J1061" s="651"/>
      <c r="K1061" s="666" t="str">
        <f t="shared" ref="K1061" si="4508">W1061</f>
        <v>KP-1a⁽ᴹ⁾ Percentage of men who have sex with men reached with HIV prevention programs - defined package of services</v>
      </c>
      <c r="L1061" s="666" t="str">
        <f t="shared" ref="L1061" si="4509">V1061</f>
        <v>Age</v>
      </c>
      <c r="M1061" s="651"/>
      <c r="N1061" s="651"/>
      <c r="P1061" s="189">
        <f t="shared" ref="P1061" si="4510">IF(AND(EXACT(C1061,C1059),C1059&lt;&gt;0),P1059+1,0)</f>
        <v>0</v>
      </c>
      <c r="Q1061" s="189" t="str">
        <f t="shared" ref="Q1061" si="4511">IF(C1061&lt;&gt;"",C1061&amp;"-"&amp;P1061,"")</f>
        <v>KP-1a⁽ᴹ⁾ Pourcentage de HSH ayant bénéficié de programmes préventifs de lutte contre le VIH (paquet de services définis)-0</v>
      </c>
      <c r="R1061" s="189" t="str">
        <f t="array" ref="R1061">IFERROR(IF(INDEX('Disaggregation Records'!$E$155:$E$385,MATCH(RIGHT(Q1061,255),RIGHT('Disaggregation Records'!$D$155:$D$385,255),0))=0,"",INDEX('Disaggregation Records'!$E$155:$E$385,MATCH(RIGHT(Q1061,255),RIGHT('Disaggregation Records'!$D$155:$D$385,255),0))),"")</f>
        <v>Age</v>
      </c>
      <c r="S1061" s="189" t="str">
        <f t="array" ref="S1061">IFERROR(IF(INDEX('Disaggregation Records'!$F$155:$F$385,MATCH(RIGHT(Q1061,255),RIGHT('Disaggregation Records'!$D$155:$D$385,255),0))=0,"",INDEX('Disaggregation Records'!$F$155:$F$385,MATCH(RIGHT(Q1061,255),RIGHT('Disaggregation Records'!$D$155:$D$385,255),0))),"")</f>
        <v>&lt;25</v>
      </c>
      <c r="T1061" s="189" t="str">
        <f t="array" ref="T1061">IFERROR(IF(INDEX('Disaggregation Records'!$H$155:$H$385,MATCH(RIGHT(Q1061,255),RIGHT('Disaggregation Records'!$D$155:$D$385,255),0))=0,"",INDEX('Disaggregation Records'!$H$155:$H$385,MATCH(RIGHT(Q1061,255),RIGHT('Disaggregation Records'!$D$155:$D$385,255),0))),"")</f>
        <v>IDR-00699</v>
      </c>
      <c r="U1061" s="189">
        <f t="shared" ref="U1061" si="4512">U1059+1</f>
        <v>1632</v>
      </c>
      <c r="V1061" s="189" t="str">
        <f t="array" ref="V1061">IFERROR(IF(INDEX('Disaggregation Records'!$I$155:$I$385,MATCH(RIGHT(Q1061,255),RIGHT('Disaggregation Records'!$D$155:$D$385,255),0))=0,"",INDEX('Disaggregation Records'!$I$155:$I$385,MATCH(RIGHT(Q1061,255),RIGHT('Disaggregation Records'!$D$155:$D$385,255),0))),"")</f>
        <v>Age</v>
      </c>
      <c r="W1061" s="189" t="str">
        <f>IFERROR(INDEX('Reference Records'!L$59:L$121,MATCH(LEFT(C1061,255),'Reference Records'!E$59:E$121,0)),"")</f>
        <v>KP-1a⁽ᴹ⁾ Percentage of men who have sex with men reached with HIV prevention programs - defined package of services</v>
      </c>
    </row>
    <row r="1062" spans="1:23" s="189" customFormat="1" ht="40.200000000000003" customHeight="1" x14ac:dyDescent="0.3">
      <c r="A1062" s="678"/>
      <c r="B1062" s="675"/>
      <c r="C1062" s="667"/>
      <c r="D1062" s="677"/>
      <c r="E1062" s="677"/>
      <c r="F1062" s="202"/>
      <c r="G1062" s="669"/>
      <c r="H1062" s="671"/>
      <c r="I1062" s="673"/>
      <c r="J1062" s="652"/>
      <c r="K1062" s="667"/>
      <c r="L1062" s="667"/>
      <c r="M1062" s="652"/>
      <c r="N1062" s="652"/>
    </row>
    <row r="1063" spans="1:23" s="189" customFormat="1" ht="40.200000000000003" customHeight="1" x14ac:dyDescent="0.3">
      <c r="A1063" s="678" t="str">
        <f t="shared" ref="A1063" ca="1" si="4513">INDIRECT("'update Helper'!C"&amp;U1063)</f>
        <v>a163p000002zQcwAAE</v>
      </c>
      <c r="B1063" s="674">
        <v>12</v>
      </c>
      <c r="C1063" s="666" t="str">
        <f>VLOOKUP(B1063,'Coverage Indicators - Section D'!$A$9:$AU$70,47,FALSE)</f>
        <v>KP-1a⁽ᴹ⁾ Pourcentage de HSH ayant bénéficié de programmes préventifs de lutte contre le VIH (paquet de services définis)</v>
      </c>
      <c r="D1063" s="676" t="str">
        <f t="shared" ref="D1063" si="4514">R1063</f>
        <v>Age</v>
      </c>
      <c r="E1063" s="676" t="str">
        <f t="shared" ref="E1063" si="4515">S1063</f>
        <v>25+</v>
      </c>
      <c r="F1063" s="194"/>
      <c r="G1063" s="668" t="str">
        <f t="shared" ref="G1063" ca="1" si="4516">IF(OR(INDIRECT("'update Helper'!E"&amp;U1063)=0,F1063&lt;&gt;0,F1064&lt;&gt;0),IF(IFERROR((F1063/F1064),"")="","",(F1063/F1064)),INDIRECT("'update Helper'!E"&amp;U1063)/100)</f>
        <v/>
      </c>
      <c r="H1063" s="670"/>
      <c r="I1063" s="672"/>
      <c r="J1063" s="651"/>
      <c r="K1063" s="666" t="str">
        <f t="shared" ref="K1063" si="4517">W1063</f>
        <v>KP-1a⁽ᴹ⁾ Percentage of men who have sex with men reached with HIV prevention programs - defined package of services</v>
      </c>
      <c r="L1063" s="666" t="str">
        <f t="shared" ref="L1063" si="4518">V1063</f>
        <v>Age</v>
      </c>
      <c r="M1063" s="651"/>
      <c r="N1063" s="651"/>
      <c r="P1063" s="189">
        <f t="shared" ref="P1063" si="4519">IF(AND(EXACT(C1063,C1061),C1061&lt;&gt;0),P1061+1,0)</f>
        <v>1</v>
      </c>
      <c r="Q1063" s="189" t="str">
        <f t="shared" ref="Q1063" si="4520">IF(C1063&lt;&gt;"",C1063&amp;"-"&amp;P1063,"")</f>
        <v>KP-1a⁽ᴹ⁾ Pourcentage de HSH ayant bénéficié de programmes préventifs de lutte contre le VIH (paquet de services définis)-1</v>
      </c>
      <c r="R1063" s="189" t="str">
        <f t="array" ref="R1063">IFERROR(IF(INDEX('Disaggregation Records'!$E$155:$E$385,MATCH(RIGHT(Q1063,255),RIGHT('Disaggregation Records'!$D$155:$D$385,255),0))=0,"",INDEX('Disaggregation Records'!$E$155:$E$385,MATCH(RIGHT(Q1063,255),RIGHT('Disaggregation Records'!$D$155:$D$385,255),0))),"")</f>
        <v>Age</v>
      </c>
      <c r="S1063" s="189" t="str">
        <f t="array" ref="S1063">IFERROR(IF(INDEX('Disaggregation Records'!$F$155:$F$385,MATCH(RIGHT(Q1063,255),RIGHT('Disaggregation Records'!$D$155:$D$385,255),0))=0,"",INDEX('Disaggregation Records'!$F$155:$F$385,MATCH(RIGHT(Q1063,255),RIGHT('Disaggregation Records'!$D$155:$D$385,255),0))),"")</f>
        <v>25+</v>
      </c>
      <c r="T1063" s="189" t="str">
        <f t="array" ref="T1063">IFERROR(IF(INDEX('Disaggregation Records'!$H$155:$H$385,MATCH(RIGHT(Q1063,255),RIGHT('Disaggregation Records'!$D$155:$D$385,255),0))=0,"",INDEX('Disaggregation Records'!$H$155:$H$385,MATCH(RIGHT(Q1063,255),RIGHT('Disaggregation Records'!$D$155:$D$385,255),0))),"")</f>
        <v>IDR-00700</v>
      </c>
      <c r="U1063" s="189">
        <f t="shared" ref="U1063" si="4521">U1061+1</f>
        <v>1633</v>
      </c>
      <c r="V1063" s="189" t="str">
        <f t="array" ref="V1063">IFERROR(IF(INDEX('Disaggregation Records'!$I$155:$I$385,MATCH(RIGHT(Q1063,255),RIGHT('Disaggregation Records'!$D$155:$D$385,255),0))=0,"",INDEX('Disaggregation Records'!$I$155:$I$385,MATCH(RIGHT(Q1063,255),RIGHT('Disaggregation Records'!$D$155:$D$385,255),0))),"")</f>
        <v>Age</v>
      </c>
      <c r="W1063" s="189" t="str">
        <f>IFERROR(INDEX('Reference Records'!L$59:L$121,MATCH(LEFT(C1063,255),'Reference Records'!E$59:E$121,0)),"")</f>
        <v>KP-1a⁽ᴹ⁾ Percentage of men who have sex with men reached with HIV prevention programs - defined package of services</v>
      </c>
    </row>
    <row r="1064" spans="1:23" s="189" customFormat="1" ht="40.200000000000003" customHeight="1" x14ac:dyDescent="0.3">
      <c r="A1064" s="678"/>
      <c r="B1064" s="675"/>
      <c r="C1064" s="667"/>
      <c r="D1064" s="677"/>
      <c r="E1064" s="677"/>
      <c r="F1064" s="202"/>
      <c r="G1064" s="669"/>
      <c r="H1064" s="671"/>
      <c r="I1064" s="673"/>
      <c r="J1064" s="652"/>
      <c r="K1064" s="667"/>
      <c r="L1064" s="667"/>
      <c r="M1064" s="652"/>
      <c r="N1064" s="652"/>
    </row>
    <row r="1065" spans="1:23" s="189" customFormat="1" ht="40.200000000000003" customHeight="1" x14ac:dyDescent="0.3">
      <c r="A1065" s="678" t="str">
        <f t="shared" ref="A1065" ca="1" si="4522">INDIRECT("'update Helper'!C"&amp;U1065)</f>
        <v>a163p000002zQcxAAE</v>
      </c>
      <c r="B1065" s="674">
        <v>12</v>
      </c>
      <c r="C1065" s="666" t="str">
        <f>VLOOKUP(B1065,'Coverage Indicators - Section D'!$A$9:$AU$70,47,FALSE)</f>
        <v>KP-1a⁽ᴹ⁾ Pourcentage de HSH ayant bénéficié de programmes préventifs de lutte contre le VIH (paquet de services définis)</v>
      </c>
      <c r="D1065" s="676" t="str">
        <f t="shared" ref="D1065" si="4523">R1065</f>
        <v/>
      </c>
      <c r="E1065" s="676" t="str">
        <f t="shared" ref="E1065" si="4524">S1065</f>
        <v/>
      </c>
      <c r="F1065" s="194"/>
      <c r="G1065" s="668" t="str">
        <f t="shared" ref="G1065" ca="1" si="4525">IF(OR(INDIRECT("'update Helper'!E"&amp;U1065)=0,F1065&lt;&gt;0,F1066&lt;&gt;0),IF(IFERROR((F1065/F1066),"")="","",(F1065/F1066)),INDIRECT("'update Helper'!E"&amp;U1065)/100)</f>
        <v/>
      </c>
      <c r="H1065" s="670"/>
      <c r="I1065" s="672"/>
      <c r="J1065" s="651"/>
      <c r="K1065" s="666" t="str">
        <f t="shared" ref="K1065" si="4526">W1065</f>
        <v>KP-1a⁽ᴹ⁾ Percentage of men who have sex with men reached with HIV prevention programs - defined package of services</v>
      </c>
      <c r="L1065" s="666" t="str">
        <f t="shared" ref="L1065" si="4527">V1065</f>
        <v/>
      </c>
      <c r="M1065" s="651"/>
      <c r="N1065" s="651"/>
      <c r="P1065" s="189">
        <f t="shared" ref="P1065" si="4528">IF(AND(EXACT(C1065,C1063),C1063&lt;&gt;0),P1063+1,0)</f>
        <v>2</v>
      </c>
      <c r="Q1065" s="189" t="str">
        <f t="shared" ref="Q1065" si="4529">IF(C1065&lt;&gt;"",C1065&amp;"-"&amp;P1065,"")</f>
        <v>KP-1a⁽ᴹ⁾ Pourcentage de HSH ayant bénéficié de programmes préventifs de lutte contre le VIH (paquet de services définis)-2</v>
      </c>
      <c r="R1065" s="189" t="str">
        <f t="array" ref="R1065">IFERROR(IF(INDEX('Disaggregation Records'!$E$155:$E$385,MATCH(RIGHT(Q1065,255),RIGHT('Disaggregation Records'!$D$155:$D$385,255),0))=0,"",INDEX('Disaggregation Records'!$E$155:$E$385,MATCH(RIGHT(Q1065,255),RIGHT('Disaggregation Records'!$D$155:$D$385,255),0))),"")</f>
        <v/>
      </c>
      <c r="S1065" s="189" t="str">
        <f t="array" ref="S1065">IFERROR(IF(INDEX('Disaggregation Records'!$F$155:$F$385,MATCH(RIGHT(Q1065,255),RIGHT('Disaggregation Records'!$D$155:$D$385,255),0))=0,"",INDEX('Disaggregation Records'!$F$155:$F$385,MATCH(RIGHT(Q1065,255),RIGHT('Disaggregation Records'!$D$155:$D$385,255),0))),"")</f>
        <v/>
      </c>
      <c r="T1065" s="189" t="str">
        <f t="array" ref="T1065">IFERROR(IF(INDEX('Disaggregation Records'!$H$155:$H$385,MATCH(RIGHT(Q1065,255),RIGHT('Disaggregation Records'!$D$155:$D$385,255),0))=0,"",INDEX('Disaggregation Records'!$H$155:$H$385,MATCH(RIGHT(Q1065,255),RIGHT('Disaggregation Records'!$D$155:$D$385,255),0))),"")</f>
        <v/>
      </c>
      <c r="U1065" s="189">
        <f t="shared" ref="U1065" si="4530">U1063+1</f>
        <v>1634</v>
      </c>
      <c r="V1065" s="189" t="str">
        <f t="array" ref="V1065">IFERROR(IF(INDEX('Disaggregation Records'!$I$155:$I$385,MATCH(RIGHT(Q1065,255),RIGHT('Disaggregation Records'!$D$155:$D$385,255),0))=0,"",INDEX('Disaggregation Records'!$I$155:$I$385,MATCH(RIGHT(Q1065,255),RIGHT('Disaggregation Records'!$D$155:$D$385,255),0))),"")</f>
        <v/>
      </c>
      <c r="W1065" s="189" t="str">
        <f>IFERROR(INDEX('Reference Records'!L$59:L$121,MATCH(LEFT(C1065,255),'Reference Records'!E$59:E$121,0)),"")</f>
        <v>KP-1a⁽ᴹ⁾ Percentage of men who have sex with men reached with HIV prevention programs - defined package of services</v>
      </c>
    </row>
    <row r="1066" spans="1:23" s="189" customFormat="1" ht="40.200000000000003" customHeight="1" x14ac:dyDescent="0.3">
      <c r="A1066" s="678"/>
      <c r="B1066" s="675"/>
      <c r="C1066" s="667"/>
      <c r="D1066" s="677"/>
      <c r="E1066" s="677"/>
      <c r="F1066" s="202"/>
      <c r="G1066" s="669"/>
      <c r="H1066" s="671"/>
      <c r="I1066" s="673"/>
      <c r="J1066" s="652"/>
      <c r="K1066" s="667"/>
      <c r="L1066" s="667"/>
      <c r="M1066" s="652"/>
      <c r="N1066" s="652"/>
    </row>
    <row r="1067" spans="1:23" s="189" customFormat="1" ht="40.200000000000003" customHeight="1" x14ac:dyDescent="0.3">
      <c r="A1067" s="678" t="str">
        <f t="shared" ref="A1067" ca="1" si="4531">INDIRECT("'update Helper'!C"&amp;U1067)</f>
        <v>a163p000002zQcyAAE</v>
      </c>
      <c r="B1067" s="674">
        <v>12</v>
      </c>
      <c r="C1067" s="666" t="str">
        <f>VLOOKUP(B1067,'Coverage Indicators - Section D'!$A$9:$AU$70,47,FALSE)</f>
        <v>KP-1a⁽ᴹ⁾ Pourcentage de HSH ayant bénéficié de programmes préventifs de lutte contre le VIH (paquet de services définis)</v>
      </c>
      <c r="D1067" s="676" t="str">
        <f t="shared" ref="D1067" si="4532">R1067</f>
        <v/>
      </c>
      <c r="E1067" s="676" t="str">
        <f t="shared" ref="E1067" si="4533">S1067</f>
        <v/>
      </c>
      <c r="F1067" s="194"/>
      <c r="G1067" s="668" t="str">
        <f t="shared" ref="G1067" ca="1" si="4534">IF(OR(INDIRECT("'update Helper'!E"&amp;U1067)=0,F1067&lt;&gt;0,F1068&lt;&gt;0),IF(IFERROR((F1067/F1068),"")="","",(F1067/F1068)),INDIRECT("'update Helper'!E"&amp;U1067)/100)</f>
        <v/>
      </c>
      <c r="H1067" s="670"/>
      <c r="I1067" s="672"/>
      <c r="J1067" s="651"/>
      <c r="K1067" s="666" t="str">
        <f t="shared" ref="K1067" si="4535">W1067</f>
        <v>KP-1a⁽ᴹ⁾ Percentage of men who have sex with men reached with HIV prevention programs - defined package of services</v>
      </c>
      <c r="L1067" s="666" t="str">
        <f t="shared" ref="L1067" si="4536">V1067</f>
        <v/>
      </c>
      <c r="M1067" s="651"/>
      <c r="N1067" s="651"/>
      <c r="P1067" s="189">
        <f t="shared" ref="P1067" si="4537">IF(AND(EXACT(C1067,C1065),C1065&lt;&gt;0),P1065+1,0)</f>
        <v>3</v>
      </c>
      <c r="Q1067" s="189" t="str">
        <f t="shared" ref="Q1067" si="4538">IF(C1067&lt;&gt;"",C1067&amp;"-"&amp;P1067,"")</f>
        <v>KP-1a⁽ᴹ⁾ Pourcentage de HSH ayant bénéficié de programmes préventifs de lutte contre le VIH (paquet de services définis)-3</v>
      </c>
      <c r="R1067" s="189" t="str">
        <f t="array" ref="R1067">IFERROR(IF(INDEX('Disaggregation Records'!$E$155:$E$385,MATCH(RIGHT(Q1067,255),RIGHT('Disaggregation Records'!$D$155:$D$385,255),0))=0,"",INDEX('Disaggregation Records'!$E$155:$E$385,MATCH(RIGHT(Q1067,255),RIGHT('Disaggregation Records'!$D$155:$D$385,255),0))),"")</f>
        <v/>
      </c>
      <c r="S1067" s="189" t="str">
        <f t="array" ref="S1067">IFERROR(IF(INDEX('Disaggregation Records'!$F$155:$F$385,MATCH(RIGHT(Q1067,255),RIGHT('Disaggregation Records'!$D$155:$D$385,255),0))=0,"",INDEX('Disaggregation Records'!$F$155:$F$385,MATCH(RIGHT(Q1067,255),RIGHT('Disaggregation Records'!$D$155:$D$385,255),0))),"")</f>
        <v/>
      </c>
      <c r="T1067" s="189" t="str">
        <f t="array" ref="T1067">IFERROR(IF(INDEX('Disaggregation Records'!$H$155:$H$385,MATCH(RIGHT(Q1067,255),RIGHT('Disaggregation Records'!$D$155:$D$385,255),0))=0,"",INDEX('Disaggregation Records'!$H$155:$H$385,MATCH(RIGHT(Q1067,255),RIGHT('Disaggregation Records'!$D$155:$D$385,255),0))),"")</f>
        <v/>
      </c>
      <c r="U1067" s="189">
        <f t="shared" ref="U1067" si="4539">U1065+1</f>
        <v>1635</v>
      </c>
      <c r="V1067" s="189" t="str">
        <f t="array" ref="V1067">IFERROR(IF(INDEX('Disaggregation Records'!$I$155:$I$385,MATCH(RIGHT(Q1067,255),RIGHT('Disaggregation Records'!$D$155:$D$385,255),0))=0,"",INDEX('Disaggregation Records'!$I$155:$I$385,MATCH(RIGHT(Q1067,255),RIGHT('Disaggregation Records'!$D$155:$D$385,255),0))),"")</f>
        <v/>
      </c>
      <c r="W1067" s="189" t="str">
        <f>IFERROR(INDEX('Reference Records'!L$59:L$121,MATCH(LEFT(C1067,255),'Reference Records'!E$59:E$121,0)),"")</f>
        <v>KP-1a⁽ᴹ⁾ Percentage of men who have sex with men reached with HIV prevention programs - defined package of services</v>
      </c>
    </row>
    <row r="1068" spans="1:23" s="189" customFormat="1" ht="40.200000000000003" customHeight="1" x14ac:dyDescent="0.3">
      <c r="A1068" s="678"/>
      <c r="B1068" s="675"/>
      <c r="C1068" s="667"/>
      <c r="D1068" s="677"/>
      <c r="E1068" s="677"/>
      <c r="F1068" s="202"/>
      <c r="G1068" s="669"/>
      <c r="H1068" s="671"/>
      <c r="I1068" s="673"/>
      <c r="J1068" s="652"/>
      <c r="K1068" s="667"/>
      <c r="L1068" s="667"/>
      <c r="M1068" s="652"/>
      <c r="N1068" s="652"/>
    </row>
    <row r="1069" spans="1:23" s="189" customFormat="1" ht="40.200000000000003" customHeight="1" x14ac:dyDescent="0.3">
      <c r="A1069" s="678" t="str">
        <f t="shared" ref="A1069" ca="1" si="4540">INDIRECT("'update Helper'!C"&amp;U1069)</f>
        <v>a163p000002zQczAAE</v>
      </c>
      <c r="B1069" s="674">
        <v>12</v>
      </c>
      <c r="C1069" s="666" t="str">
        <f>VLOOKUP(B1069,'Coverage Indicators - Section D'!$A$9:$AU$70,47,FALSE)</f>
        <v>KP-1a⁽ᴹ⁾ Pourcentage de HSH ayant bénéficié de programmes préventifs de lutte contre le VIH (paquet de services définis)</v>
      </c>
      <c r="D1069" s="676" t="str">
        <f t="shared" ref="D1069" si="4541">R1069</f>
        <v/>
      </c>
      <c r="E1069" s="676" t="str">
        <f t="shared" ref="E1069" si="4542">S1069</f>
        <v/>
      </c>
      <c r="F1069" s="194"/>
      <c r="G1069" s="668" t="str">
        <f t="shared" ref="G1069" ca="1" si="4543">IF(OR(INDIRECT("'update Helper'!E"&amp;U1069)=0,F1069&lt;&gt;0,F1070&lt;&gt;0),IF(IFERROR((F1069/F1070),"")="","",(F1069/F1070)),INDIRECT("'update Helper'!E"&amp;U1069)/100)</f>
        <v/>
      </c>
      <c r="H1069" s="670"/>
      <c r="I1069" s="672"/>
      <c r="J1069" s="651"/>
      <c r="K1069" s="666" t="str">
        <f t="shared" ref="K1069" si="4544">W1069</f>
        <v>KP-1a⁽ᴹ⁾ Percentage of men who have sex with men reached with HIV prevention programs - defined package of services</v>
      </c>
      <c r="L1069" s="666" t="str">
        <f t="shared" ref="L1069" si="4545">V1069</f>
        <v/>
      </c>
      <c r="M1069" s="651"/>
      <c r="N1069" s="651"/>
      <c r="P1069" s="189">
        <f t="shared" ref="P1069" si="4546">IF(AND(EXACT(C1069,C1067),C1067&lt;&gt;0),P1067+1,0)</f>
        <v>4</v>
      </c>
      <c r="Q1069" s="189" t="str">
        <f t="shared" ref="Q1069" si="4547">IF(C1069&lt;&gt;"",C1069&amp;"-"&amp;P1069,"")</f>
        <v>KP-1a⁽ᴹ⁾ Pourcentage de HSH ayant bénéficié de programmes préventifs de lutte contre le VIH (paquet de services définis)-4</v>
      </c>
      <c r="R1069" s="189" t="str">
        <f t="array" ref="R1069">IFERROR(IF(INDEX('Disaggregation Records'!$E$155:$E$385,MATCH(RIGHT(Q1069,255),RIGHT('Disaggregation Records'!$D$155:$D$385,255),0))=0,"",INDEX('Disaggregation Records'!$E$155:$E$385,MATCH(RIGHT(Q1069,255),RIGHT('Disaggregation Records'!$D$155:$D$385,255),0))),"")</f>
        <v/>
      </c>
      <c r="S1069" s="189" t="str">
        <f t="array" ref="S1069">IFERROR(IF(INDEX('Disaggregation Records'!$F$155:$F$385,MATCH(RIGHT(Q1069,255),RIGHT('Disaggregation Records'!$D$155:$D$385,255),0))=0,"",INDEX('Disaggregation Records'!$F$155:$F$385,MATCH(RIGHT(Q1069,255),RIGHT('Disaggregation Records'!$D$155:$D$385,255),0))),"")</f>
        <v/>
      </c>
      <c r="T1069" s="189" t="str">
        <f t="array" ref="T1069">IFERROR(IF(INDEX('Disaggregation Records'!$H$155:$H$385,MATCH(RIGHT(Q1069,255),RIGHT('Disaggregation Records'!$D$155:$D$385,255),0))=0,"",INDEX('Disaggregation Records'!$H$155:$H$385,MATCH(RIGHT(Q1069,255),RIGHT('Disaggregation Records'!$D$155:$D$385,255),0))),"")</f>
        <v/>
      </c>
      <c r="U1069" s="189">
        <f t="shared" ref="U1069" si="4548">U1067+1</f>
        <v>1636</v>
      </c>
      <c r="V1069" s="189" t="str">
        <f t="array" ref="V1069">IFERROR(IF(INDEX('Disaggregation Records'!$I$155:$I$385,MATCH(RIGHT(Q1069,255),RIGHT('Disaggregation Records'!$D$155:$D$385,255),0))=0,"",INDEX('Disaggregation Records'!$I$155:$I$385,MATCH(RIGHT(Q1069,255),RIGHT('Disaggregation Records'!$D$155:$D$385,255),0))),"")</f>
        <v/>
      </c>
      <c r="W1069" s="189" t="str">
        <f>IFERROR(INDEX('Reference Records'!L$59:L$121,MATCH(LEFT(C1069,255),'Reference Records'!E$59:E$121,0)),"")</f>
        <v>KP-1a⁽ᴹ⁾ Percentage of men who have sex with men reached with HIV prevention programs - defined package of services</v>
      </c>
    </row>
    <row r="1070" spans="1:23" s="189" customFormat="1" ht="40.200000000000003" customHeight="1" x14ac:dyDescent="0.3">
      <c r="A1070" s="678"/>
      <c r="B1070" s="675"/>
      <c r="C1070" s="667"/>
      <c r="D1070" s="677"/>
      <c r="E1070" s="677"/>
      <c r="F1070" s="202"/>
      <c r="G1070" s="669"/>
      <c r="H1070" s="671"/>
      <c r="I1070" s="673"/>
      <c r="J1070" s="652"/>
      <c r="K1070" s="667"/>
      <c r="L1070" s="667"/>
      <c r="M1070" s="652"/>
      <c r="N1070" s="652"/>
    </row>
    <row r="1071" spans="1:23" s="189" customFormat="1" ht="40.200000000000003" customHeight="1" x14ac:dyDescent="0.3">
      <c r="A1071" s="678" t="str">
        <f t="shared" ref="A1071" ca="1" si="4549">INDIRECT("'update Helper'!C"&amp;U1071)</f>
        <v>a163p000002zQd0AAE</v>
      </c>
      <c r="B1071" s="674">
        <v>12</v>
      </c>
      <c r="C1071" s="666" t="str">
        <f>VLOOKUP(B1071,'Coverage Indicators - Section D'!$A$9:$AU$70,47,FALSE)</f>
        <v>KP-1a⁽ᴹ⁾ Pourcentage de HSH ayant bénéficié de programmes préventifs de lutte contre le VIH (paquet de services définis)</v>
      </c>
      <c r="D1071" s="676" t="str">
        <f t="shared" ref="D1071" si="4550">R1071</f>
        <v/>
      </c>
      <c r="E1071" s="676" t="str">
        <f t="shared" ref="E1071" si="4551">S1071</f>
        <v/>
      </c>
      <c r="F1071" s="194"/>
      <c r="G1071" s="668" t="str">
        <f t="shared" ref="G1071" ca="1" si="4552">IF(OR(INDIRECT("'update Helper'!E"&amp;U1071)=0,F1071&lt;&gt;0,F1072&lt;&gt;0),IF(IFERROR((F1071/F1072),"")="","",(F1071/F1072)),INDIRECT("'update Helper'!E"&amp;U1071)/100)</f>
        <v/>
      </c>
      <c r="H1071" s="670"/>
      <c r="I1071" s="672"/>
      <c r="J1071" s="651"/>
      <c r="K1071" s="666" t="str">
        <f t="shared" ref="K1071" si="4553">W1071</f>
        <v>KP-1a⁽ᴹ⁾ Percentage of men who have sex with men reached with HIV prevention programs - defined package of services</v>
      </c>
      <c r="L1071" s="666" t="str">
        <f t="shared" ref="L1071" si="4554">V1071</f>
        <v/>
      </c>
      <c r="M1071" s="651"/>
      <c r="N1071" s="651"/>
      <c r="P1071" s="189">
        <f t="shared" ref="P1071" si="4555">IF(AND(EXACT(C1071,C1069),C1069&lt;&gt;0),P1069+1,0)</f>
        <v>5</v>
      </c>
      <c r="Q1071" s="189" t="str">
        <f t="shared" ref="Q1071" si="4556">IF(C1071&lt;&gt;"",C1071&amp;"-"&amp;P1071,"")</f>
        <v>KP-1a⁽ᴹ⁾ Pourcentage de HSH ayant bénéficié de programmes préventifs de lutte contre le VIH (paquet de services définis)-5</v>
      </c>
      <c r="R1071" s="189" t="str">
        <f t="array" ref="R1071">IFERROR(IF(INDEX('Disaggregation Records'!$E$155:$E$385,MATCH(RIGHT(Q1071,255),RIGHT('Disaggregation Records'!$D$155:$D$385,255),0))=0,"",INDEX('Disaggregation Records'!$E$155:$E$385,MATCH(RIGHT(Q1071,255),RIGHT('Disaggregation Records'!$D$155:$D$385,255),0))),"")</f>
        <v/>
      </c>
      <c r="S1071" s="189" t="str">
        <f t="array" ref="S1071">IFERROR(IF(INDEX('Disaggregation Records'!$F$155:$F$385,MATCH(RIGHT(Q1071,255),RIGHT('Disaggregation Records'!$D$155:$D$385,255),0))=0,"",INDEX('Disaggregation Records'!$F$155:$F$385,MATCH(RIGHT(Q1071,255),RIGHT('Disaggregation Records'!$D$155:$D$385,255),0))),"")</f>
        <v/>
      </c>
      <c r="T1071" s="189" t="str">
        <f t="array" ref="T1071">IFERROR(IF(INDEX('Disaggregation Records'!$H$155:$H$385,MATCH(RIGHT(Q1071,255),RIGHT('Disaggregation Records'!$D$155:$D$385,255),0))=0,"",INDEX('Disaggregation Records'!$H$155:$H$385,MATCH(RIGHT(Q1071,255),RIGHT('Disaggregation Records'!$D$155:$D$385,255),0))),"")</f>
        <v/>
      </c>
      <c r="U1071" s="189">
        <f t="shared" ref="U1071" si="4557">U1069+1</f>
        <v>1637</v>
      </c>
      <c r="V1071" s="189" t="str">
        <f t="array" ref="V1071">IFERROR(IF(INDEX('Disaggregation Records'!$I$155:$I$385,MATCH(RIGHT(Q1071,255),RIGHT('Disaggregation Records'!$D$155:$D$385,255),0))=0,"",INDEX('Disaggregation Records'!$I$155:$I$385,MATCH(RIGHT(Q1071,255),RIGHT('Disaggregation Records'!$D$155:$D$385,255),0))),"")</f>
        <v/>
      </c>
      <c r="W1071" s="189" t="str">
        <f>IFERROR(INDEX('Reference Records'!L$59:L$121,MATCH(LEFT(C1071,255),'Reference Records'!E$59:E$121,0)),"")</f>
        <v>KP-1a⁽ᴹ⁾ Percentage of men who have sex with men reached with HIV prevention programs - defined package of services</v>
      </c>
    </row>
    <row r="1072" spans="1:23" s="189" customFormat="1" ht="40.200000000000003" customHeight="1" x14ac:dyDescent="0.3">
      <c r="A1072" s="678"/>
      <c r="B1072" s="675"/>
      <c r="C1072" s="667"/>
      <c r="D1072" s="677"/>
      <c r="E1072" s="677"/>
      <c r="F1072" s="202"/>
      <c r="G1072" s="669"/>
      <c r="H1072" s="671"/>
      <c r="I1072" s="673"/>
      <c r="J1072" s="652"/>
      <c r="K1072" s="667"/>
      <c r="L1072" s="667"/>
      <c r="M1072" s="652"/>
      <c r="N1072" s="652"/>
    </row>
    <row r="1073" spans="1:23" s="189" customFormat="1" ht="40.200000000000003" customHeight="1" x14ac:dyDescent="0.3">
      <c r="A1073" s="678" t="str">
        <f t="shared" ref="A1073" ca="1" si="4558">INDIRECT("'update Helper'!C"&amp;U1073)</f>
        <v>a163p000002zQd1AAE</v>
      </c>
      <c r="B1073" s="674">
        <v>12</v>
      </c>
      <c r="C1073" s="666" t="str">
        <f>VLOOKUP(B1073,'Coverage Indicators - Section D'!$A$9:$AU$70,47,FALSE)</f>
        <v>KP-1a⁽ᴹ⁾ Pourcentage de HSH ayant bénéficié de programmes préventifs de lutte contre le VIH (paquet de services définis)</v>
      </c>
      <c r="D1073" s="676" t="str">
        <f t="shared" ref="D1073" si="4559">R1073</f>
        <v/>
      </c>
      <c r="E1073" s="676" t="str">
        <f t="shared" ref="E1073" si="4560">S1073</f>
        <v/>
      </c>
      <c r="F1073" s="194"/>
      <c r="G1073" s="668" t="str">
        <f t="shared" ref="G1073" ca="1" si="4561">IF(OR(INDIRECT("'update Helper'!E"&amp;U1073)=0,F1073&lt;&gt;0,F1074&lt;&gt;0),IF(IFERROR((F1073/F1074),"")="","",(F1073/F1074)),INDIRECT("'update Helper'!E"&amp;U1073)/100)</f>
        <v/>
      </c>
      <c r="H1073" s="670"/>
      <c r="I1073" s="672"/>
      <c r="J1073" s="651"/>
      <c r="K1073" s="666" t="str">
        <f t="shared" ref="K1073" si="4562">W1073</f>
        <v>KP-1a⁽ᴹ⁾ Percentage of men who have sex with men reached with HIV prevention programs - defined package of services</v>
      </c>
      <c r="L1073" s="666" t="str">
        <f t="shared" ref="L1073" si="4563">V1073</f>
        <v/>
      </c>
      <c r="M1073" s="651"/>
      <c r="N1073" s="651"/>
      <c r="P1073" s="189">
        <f t="shared" ref="P1073" si="4564">IF(AND(EXACT(C1073,C1071),C1071&lt;&gt;0),P1071+1,0)</f>
        <v>6</v>
      </c>
      <c r="Q1073" s="189" t="str">
        <f t="shared" ref="Q1073" si="4565">IF(C1073&lt;&gt;"",C1073&amp;"-"&amp;P1073,"")</f>
        <v>KP-1a⁽ᴹ⁾ Pourcentage de HSH ayant bénéficié de programmes préventifs de lutte contre le VIH (paquet de services définis)-6</v>
      </c>
      <c r="R1073" s="189" t="str">
        <f t="array" ref="R1073">IFERROR(IF(INDEX('Disaggregation Records'!$E$155:$E$385,MATCH(RIGHT(Q1073,255),RIGHT('Disaggregation Records'!$D$155:$D$385,255),0))=0,"",INDEX('Disaggregation Records'!$E$155:$E$385,MATCH(RIGHT(Q1073,255),RIGHT('Disaggregation Records'!$D$155:$D$385,255),0))),"")</f>
        <v/>
      </c>
      <c r="S1073" s="189" t="str">
        <f t="array" ref="S1073">IFERROR(IF(INDEX('Disaggregation Records'!$F$155:$F$385,MATCH(RIGHT(Q1073,255),RIGHT('Disaggregation Records'!$D$155:$D$385,255),0))=0,"",INDEX('Disaggregation Records'!$F$155:$F$385,MATCH(RIGHT(Q1073,255),RIGHT('Disaggregation Records'!$D$155:$D$385,255),0))),"")</f>
        <v/>
      </c>
      <c r="T1073" s="189" t="str">
        <f t="array" ref="T1073">IFERROR(IF(INDEX('Disaggregation Records'!$H$155:$H$385,MATCH(RIGHT(Q1073,255),RIGHT('Disaggregation Records'!$D$155:$D$385,255),0))=0,"",INDEX('Disaggregation Records'!$H$155:$H$385,MATCH(RIGHT(Q1073,255),RIGHT('Disaggregation Records'!$D$155:$D$385,255),0))),"")</f>
        <v/>
      </c>
      <c r="U1073" s="189">
        <f t="shared" ref="U1073" si="4566">U1071+1</f>
        <v>1638</v>
      </c>
      <c r="V1073" s="189" t="str">
        <f t="array" ref="V1073">IFERROR(IF(INDEX('Disaggregation Records'!$I$155:$I$385,MATCH(RIGHT(Q1073,255),RIGHT('Disaggregation Records'!$D$155:$D$385,255),0))=0,"",INDEX('Disaggregation Records'!$I$155:$I$385,MATCH(RIGHT(Q1073,255),RIGHT('Disaggregation Records'!$D$155:$D$385,255),0))),"")</f>
        <v/>
      </c>
      <c r="W1073" s="189" t="str">
        <f>IFERROR(INDEX('Reference Records'!L$59:L$121,MATCH(LEFT(C1073,255),'Reference Records'!E$59:E$121,0)),"")</f>
        <v>KP-1a⁽ᴹ⁾ Percentage of men who have sex with men reached with HIV prevention programs - defined package of services</v>
      </c>
    </row>
    <row r="1074" spans="1:23" s="189" customFormat="1" ht="40.200000000000003" customHeight="1" x14ac:dyDescent="0.3">
      <c r="A1074" s="678"/>
      <c r="B1074" s="675"/>
      <c r="C1074" s="667"/>
      <c r="D1074" s="677"/>
      <c r="E1074" s="677"/>
      <c r="F1074" s="202"/>
      <c r="G1074" s="669"/>
      <c r="H1074" s="671"/>
      <c r="I1074" s="673"/>
      <c r="J1074" s="652"/>
      <c r="K1074" s="667"/>
      <c r="L1074" s="667"/>
      <c r="M1074" s="652"/>
      <c r="N1074" s="652"/>
    </row>
    <row r="1075" spans="1:23" s="189" customFormat="1" ht="40.200000000000003" customHeight="1" x14ac:dyDescent="0.3">
      <c r="A1075" s="678" t="str">
        <f t="shared" ref="A1075" ca="1" si="4567">INDIRECT("'update Helper'!C"&amp;U1075)</f>
        <v>a163p000002zQd2AAE</v>
      </c>
      <c r="B1075" s="674">
        <v>12</v>
      </c>
      <c r="C1075" s="666" t="str">
        <f>VLOOKUP(B1075,'Coverage Indicators - Section D'!$A$9:$AU$70,47,FALSE)</f>
        <v>KP-1a⁽ᴹ⁾ Pourcentage de HSH ayant bénéficié de programmes préventifs de lutte contre le VIH (paquet de services définis)</v>
      </c>
      <c r="D1075" s="676" t="str">
        <f t="shared" ref="D1075" si="4568">R1075</f>
        <v/>
      </c>
      <c r="E1075" s="676" t="str">
        <f t="shared" ref="E1075" si="4569">S1075</f>
        <v/>
      </c>
      <c r="F1075" s="194"/>
      <c r="G1075" s="668" t="str">
        <f t="shared" ref="G1075" ca="1" si="4570">IF(OR(INDIRECT("'update Helper'!E"&amp;U1075)=0,F1075&lt;&gt;0,F1076&lt;&gt;0),IF(IFERROR((F1075/F1076),"")="","",(F1075/F1076)),INDIRECT("'update Helper'!E"&amp;U1075)/100)</f>
        <v/>
      </c>
      <c r="H1075" s="670"/>
      <c r="I1075" s="672"/>
      <c r="J1075" s="651"/>
      <c r="K1075" s="666" t="str">
        <f t="shared" ref="K1075" si="4571">W1075</f>
        <v>KP-1a⁽ᴹ⁾ Percentage of men who have sex with men reached with HIV prevention programs - defined package of services</v>
      </c>
      <c r="L1075" s="666" t="str">
        <f t="shared" ref="L1075" si="4572">V1075</f>
        <v/>
      </c>
      <c r="M1075" s="651"/>
      <c r="N1075" s="651"/>
      <c r="P1075" s="189">
        <f t="shared" ref="P1075" si="4573">IF(AND(EXACT(C1075,C1073),C1073&lt;&gt;0),P1073+1,0)</f>
        <v>7</v>
      </c>
      <c r="Q1075" s="189" t="str">
        <f t="shared" ref="Q1075" si="4574">IF(C1075&lt;&gt;"",C1075&amp;"-"&amp;P1075,"")</f>
        <v>KP-1a⁽ᴹ⁾ Pourcentage de HSH ayant bénéficié de programmes préventifs de lutte contre le VIH (paquet de services définis)-7</v>
      </c>
      <c r="R1075" s="189" t="str">
        <f t="array" ref="R1075">IFERROR(IF(INDEX('Disaggregation Records'!$E$155:$E$385,MATCH(RIGHT(Q1075,255),RIGHT('Disaggregation Records'!$D$155:$D$385,255),0))=0,"",INDEX('Disaggregation Records'!$E$155:$E$385,MATCH(RIGHT(Q1075,255),RIGHT('Disaggregation Records'!$D$155:$D$385,255),0))),"")</f>
        <v/>
      </c>
      <c r="S1075" s="189" t="str">
        <f t="array" ref="S1075">IFERROR(IF(INDEX('Disaggregation Records'!$F$155:$F$385,MATCH(RIGHT(Q1075,255),RIGHT('Disaggregation Records'!$D$155:$D$385,255),0))=0,"",INDEX('Disaggregation Records'!$F$155:$F$385,MATCH(RIGHT(Q1075,255),RIGHT('Disaggregation Records'!$D$155:$D$385,255),0))),"")</f>
        <v/>
      </c>
      <c r="T1075" s="189" t="str">
        <f t="array" ref="T1075">IFERROR(IF(INDEX('Disaggregation Records'!$H$155:$H$385,MATCH(RIGHT(Q1075,255),RIGHT('Disaggregation Records'!$D$155:$D$385,255),0))=0,"",INDEX('Disaggregation Records'!$H$155:$H$385,MATCH(RIGHT(Q1075,255),RIGHT('Disaggregation Records'!$D$155:$D$385,255),0))),"")</f>
        <v/>
      </c>
      <c r="U1075" s="189">
        <f t="shared" ref="U1075" si="4575">U1073+1</f>
        <v>1639</v>
      </c>
      <c r="V1075" s="189" t="str">
        <f t="array" ref="V1075">IFERROR(IF(INDEX('Disaggregation Records'!$I$155:$I$385,MATCH(RIGHT(Q1075,255),RIGHT('Disaggregation Records'!$D$155:$D$385,255),0))=0,"",INDEX('Disaggregation Records'!$I$155:$I$385,MATCH(RIGHT(Q1075,255),RIGHT('Disaggregation Records'!$D$155:$D$385,255),0))),"")</f>
        <v/>
      </c>
      <c r="W1075" s="189" t="str">
        <f>IFERROR(INDEX('Reference Records'!L$59:L$121,MATCH(LEFT(C1075,255),'Reference Records'!E$59:E$121,0)),"")</f>
        <v>KP-1a⁽ᴹ⁾ Percentage of men who have sex with men reached with HIV prevention programs - defined package of services</v>
      </c>
    </row>
    <row r="1076" spans="1:23" s="189" customFormat="1" ht="40.200000000000003" customHeight="1" x14ac:dyDescent="0.3">
      <c r="A1076" s="678"/>
      <c r="B1076" s="675"/>
      <c r="C1076" s="667"/>
      <c r="D1076" s="677"/>
      <c r="E1076" s="677"/>
      <c r="F1076" s="202"/>
      <c r="G1076" s="669"/>
      <c r="H1076" s="671"/>
      <c r="I1076" s="673"/>
      <c r="J1076" s="652"/>
      <c r="K1076" s="667"/>
      <c r="L1076" s="667"/>
      <c r="M1076" s="652"/>
      <c r="N1076" s="652"/>
    </row>
    <row r="1077" spans="1:23" s="189" customFormat="1" ht="40.200000000000003" customHeight="1" x14ac:dyDescent="0.3">
      <c r="A1077" s="678" t="str">
        <f t="shared" ref="A1077" ca="1" si="4576">INDIRECT("'update Helper'!C"&amp;U1077)</f>
        <v>a163p000002zQd3AAE</v>
      </c>
      <c r="B1077" s="674">
        <v>12</v>
      </c>
      <c r="C1077" s="666" t="str">
        <f>VLOOKUP(B1077,'Coverage Indicators - Section D'!$A$9:$AU$70,47,FALSE)</f>
        <v>KP-1a⁽ᴹ⁾ Pourcentage de HSH ayant bénéficié de programmes préventifs de lutte contre le VIH (paquet de services définis)</v>
      </c>
      <c r="D1077" s="676" t="str">
        <f t="shared" ref="D1077" si="4577">R1077</f>
        <v/>
      </c>
      <c r="E1077" s="676" t="str">
        <f t="shared" ref="E1077" si="4578">S1077</f>
        <v/>
      </c>
      <c r="F1077" s="194"/>
      <c r="G1077" s="668" t="str">
        <f t="shared" ref="G1077" ca="1" si="4579">IF(OR(INDIRECT("'update Helper'!E"&amp;U1077)=0,F1077&lt;&gt;0,F1078&lt;&gt;0),IF(IFERROR((F1077/F1078),"")="","",(F1077/F1078)),INDIRECT("'update Helper'!E"&amp;U1077)/100)</f>
        <v/>
      </c>
      <c r="H1077" s="670"/>
      <c r="I1077" s="672"/>
      <c r="J1077" s="651"/>
      <c r="K1077" s="666" t="str">
        <f t="shared" ref="K1077" si="4580">W1077</f>
        <v>KP-1a⁽ᴹ⁾ Percentage of men who have sex with men reached with HIV prevention programs - defined package of services</v>
      </c>
      <c r="L1077" s="666" t="str">
        <f t="shared" ref="L1077" si="4581">V1077</f>
        <v/>
      </c>
      <c r="M1077" s="651"/>
      <c r="N1077" s="651"/>
      <c r="P1077" s="189">
        <f t="shared" ref="P1077" si="4582">IF(AND(EXACT(C1077,C1075),C1075&lt;&gt;0),P1075+1,0)</f>
        <v>8</v>
      </c>
      <c r="Q1077" s="189" t="str">
        <f t="shared" ref="Q1077" si="4583">IF(C1077&lt;&gt;"",C1077&amp;"-"&amp;P1077,"")</f>
        <v>KP-1a⁽ᴹ⁾ Pourcentage de HSH ayant bénéficié de programmes préventifs de lutte contre le VIH (paquet de services définis)-8</v>
      </c>
      <c r="R1077" s="189" t="str">
        <f t="array" ref="R1077">IFERROR(IF(INDEX('Disaggregation Records'!$E$155:$E$385,MATCH(RIGHT(Q1077,255),RIGHT('Disaggregation Records'!$D$155:$D$385,255),0))=0,"",INDEX('Disaggregation Records'!$E$155:$E$385,MATCH(RIGHT(Q1077,255),RIGHT('Disaggregation Records'!$D$155:$D$385,255),0))),"")</f>
        <v/>
      </c>
      <c r="S1077" s="189" t="str">
        <f t="array" ref="S1077">IFERROR(IF(INDEX('Disaggregation Records'!$F$155:$F$385,MATCH(RIGHT(Q1077,255),RIGHT('Disaggregation Records'!$D$155:$D$385,255),0))=0,"",INDEX('Disaggregation Records'!$F$155:$F$385,MATCH(RIGHT(Q1077,255),RIGHT('Disaggregation Records'!$D$155:$D$385,255),0))),"")</f>
        <v/>
      </c>
      <c r="T1077" s="189" t="str">
        <f t="array" ref="T1077">IFERROR(IF(INDEX('Disaggregation Records'!$H$155:$H$385,MATCH(RIGHT(Q1077,255),RIGHT('Disaggregation Records'!$D$155:$D$385,255),0))=0,"",INDEX('Disaggregation Records'!$H$155:$H$385,MATCH(RIGHT(Q1077,255),RIGHT('Disaggregation Records'!$D$155:$D$385,255),0))),"")</f>
        <v/>
      </c>
      <c r="U1077" s="189">
        <f t="shared" ref="U1077" si="4584">U1075+1</f>
        <v>1640</v>
      </c>
      <c r="V1077" s="189" t="str">
        <f t="array" ref="V1077">IFERROR(IF(INDEX('Disaggregation Records'!$I$155:$I$385,MATCH(RIGHT(Q1077,255),RIGHT('Disaggregation Records'!$D$155:$D$385,255),0))=0,"",INDEX('Disaggregation Records'!$I$155:$I$385,MATCH(RIGHT(Q1077,255),RIGHT('Disaggregation Records'!$D$155:$D$385,255),0))),"")</f>
        <v/>
      </c>
      <c r="W1077" s="189" t="str">
        <f>IFERROR(INDEX('Reference Records'!L$59:L$121,MATCH(LEFT(C1077,255),'Reference Records'!E$59:E$121,0)),"")</f>
        <v>KP-1a⁽ᴹ⁾ Percentage of men who have sex with men reached with HIV prevention programs - defined package of services</v>
      </c>
    </row>
    <row r="1078" spans="1:23" s="189" customFormat="1" ht="40.200000000000003" customHeight="1" x14ac:dyDescent="0.3">
      <c r="A1078" s="678"/>
      <c r="B1078" s="675"/>
      <c r="C1078" s="667"/>
      <c r="D1078" s="677"/>
      <c r="E1078" s="677"/>
      <c r="F1078" s="202"/>
      <c r="G1078" s="669"/>
      <c r="H1078" s="671"/>
      <c r="I1078" s="673"/>
      <c r="J1078" s="652"/>
      <c r="K1078" s="667"/>
      <c r="L1078" s="667"/>
      <c r="M1078" s="652"/>
      <c r="N1078" s="652"/>
    </row>
    <row r="1079" spans="1:23" s="189" customFormat="1" ht="40.200000000000003" customHeight="1" x14ac:dyDescent="0.3">
      <c r="A1079" s="678" t="str">
        <f t="shared" ref="A1079" ca="1" si="4585">INDIRECT("'update Helper'!C"&amp;U1079)</f>
        <v>a163p000002zQd4AAE</v>
      </c>
      <c r="B1079" s="674">
        <v>12</v>
      </c>
      <c r="C1079" s="666" t="str">
        <f>VLOOKUP(B1079,'Coverage Indicators - Section D'!$A$9:$AU$70,47,FALSE)</f>
        <v>KP-1a⁽ᴹ⁾ Pourcentage de HSH ayant bénéficié de programmes préventifs de lutte contre le VIH (paquet de services définis)</v>
      </c>
      <c r="D1079" s="676" t="str">
        <f t="shared" ref="D1079" si="4586">R1079</f>
        <v/>
      </c>
      <c r="E1079" s="676" t="str">
        <f t="shared" ref="E1079" si="4587">S1079</f>
        <v/>
      </c>
      <c r="F1079" s="194"/>
      <c r="G1079" s="668" t="str">
        <f t="shared" ref="G1079" ca="1" si="4588">IF(OR(INDIRECT("'update Helper'!E"&amp;U1079)=0,F1079&lt;&gt;0,F1080&lt;&gt;0),IF(IFERROR((F1079/F1080),"")="","",(F1079/F1080)),INDIRECT("'update Helper'!E"&amp;U1079)/100)</f>
        <v/>
      </c>
      <c r="H1079" s="670"/>
      <c r="I1079" s="672"/>
      <c r="J1079" s="651"/>
      <c r="K1079" s="666" t="str">
        <f t="shared" ref="K1079" si="4589">W1079</f>
        <v>KP-1a⁽ᴹ⁾ Percentage of men who have sex with men reached with HIV prevention programs - defined package of services</v>
      </c>
      <c r="L1079" s="666" t="str">
        <f t="shared" ref="L1079" si="4590">V1079</f>
        <v/>
      </c>
      <c r="M1079" s="651"/>
      <c r="N1079" s="651"/>
      <c r="P1079" s="189">
        <f t="shared" ref="P1079" si="4591">IF(AND(EXACT(C1079,C1077),C1077&lt;&gt;0),P1077+1,0)</f>
        <v>9</v>
      </c>
      <c r="Q1079" s="189" t="str">
        <f t="shared" ref="Q1079" si="4592">IF(C1079&lt;&gt;"",C1079&amp;"-"&amp;P1079,"")</f>
        <v>KP-1a⁽ᴹ⁾ Pourcentage de HSH ayant bénéficié de programmes préventifs de lutte contre le VIH (paquet de services définis)-9</v>
      </c>
      <c r="R1079" s="189" t="str">
        <f t="array" ref="R1079">IFERROR(IF(INDEX('Disaggregation Records'!$E$155:$E$385,MATCH(RIGHT(Q1079,255),RIGHT('Disaggregation Records'!$D$155:$D$385,255),0))=0,"",INDEX('Disaggregation Records'!$E$155:$E$385,MATCH(RIGHT(Q1079,255),RIGHT('Disaggregation Records'!$D$155:$D$385,255),0))),"")</f>
        <v/>
      </c>
      <c r="S1079" s="189" t="str">
        <f t="array" ref="S1079">IFERROR(IF(INDEX('Disaggregation Records'!$F$155:$F$385,MATCH(RIGHT(Q1079,255),RIGHT('Disaggregation Records'!$D$155:$D$385,255),0))=0,"",INDEX('Disaggregation Records'!$F$155:$F$385,MATCH(RIGHT(Q1079,255),RIGHT('Disaggregation Records'!$D$155:$D$385,255),0))),"")</f>
        <v/>
      </c>
      <c r="T1079" s="189" t="str">
        <f t="array" ref="T1079">IFERROR(IF(INDEX('Disaggregation Records'!$H$155:$H$385,MATCH(RIGHT(Q1079,255),RIGHT('Disaggregation Records'!$D$155:$D$385,255),0))=0,"",INDEX('Disaggregation Records'!$H$155:$H$385,MATCH(RIGHT(Q1079,255),RIGHT('Disaggregation Records'!$D$155:$D$385,255),0))),"")</f>
        <v/>
      </c>
      <c r="U1079" s="189">
        <f t="shared" ref="U1079" si="4593">U1077+1</f>
        <v>1641</v>
      </c>
      <c r="V1079" s="189" t="str">
        <f t="array" ref="V1079">IFERROR(IF(INDEX('Disaggregation Records'!$I$155:$I$385,MATCH(RIGHT(Q1079,255),RIGHT('Disaggregation Records'!$D$155:$D$385,255),0))=0,"",INDEX('Disaggregation Records'!$I$155:$I$385,MATCH(RIGHT(Q1079,255),RIGHT('Disaggregation Records'!$D$155:$D$385,255),0))),"")</f>
        <v/>
      </c>
      <c r="W1079" s="189" t="str">
        <f>IFERROR(INDEX('Reference Records'!L$59:L$121,MATCH(LEFT(C1079,255),'Reference Records'!E$59:E$121,0)),"")</f>
        <v>KP-1a⁽ᴹ⁾ Percentage of men who have sex with men reached with HIV prevention programs - defined package of services</v>
      </c>
    </row>
    <row r="1080" spans="1:23" s="189" customFormat="1" ht="40.200000000000003" customHeight="1" x14ac:dyDescent="0.3">
      <c r="A1080" s="678"/>
      <c r="B1080" s="675"/>
      <c r="C1080" s="667"/>
      <c r="D1080" s="677"/>
      <c r="E1080" s="677"/>
      <c r="F1080" s="202"/>
      <c r="G1080" s="669"/>
      <c r="H1080" s="671"/>
      <c r="I1080" s="673"/>
      <c r="J1080" s="652"/>
      <c r="K1080" s="667"/>
      <c r="L1080" s="667"/>
      <c r="M1080" s="652"/>
      <c r="N1080" s="652"/>
    </row>
    <row r="1081" spans="1:23" s="189" customFormat="1" ht="40.200000000000003" customHeight="1" x14ac:dyDescent="0.3">
      <c r="A1081" s="678" t="str">
        <f t="shared" ref="A1081" ca="1" si="4594">INDIRECT("'update Helper'!C"&amp;U1081)</f>
        <v>a163p000002zQd5AAE</v>
      </c>
      <c r="B1081" s="674">
        <v>12</v>
      </c>
      <c r="C1081" s="666" t="str">
        <f>VLOOKUP(B1081,'Coverage Indicators - Section D'!$A$9:$AU$70,47,FALSE)</f>
        <v>KP-1a⁽ᴹ⁾ Pourcentage de HSH ayant bénéficié de programmes préventifs de lutte contre le VIH (paquet de services définis)</v>
      </c>
      <c r="D1081" s="676" t="str">
        <f t="shared" ref="D1081" si="4595">R1081</f>
        <v/>
      </c>
      <c r="E1081" s="676" t="str">
        <f t="shared" ref="E1081" si="4596">S1081</f>
        <v/>
      </c>
      <c r="F1081" s="194"/>
      <c r="G1081" s="668" t="str">
        <f t="shared" ref="G1081" ca="1" si="4597">IF(OR(INDIRECT("'update Helper'!E"&amp;U1081)=0,F1081&lt;&gt;0,F1082&lt;&gt;0),IF(IFERROR((F1081/F1082),"")="","",(F1081/F1082)),INDIRECT("'update Helper'!E"&amp;U1081)/100)</f>
        <v/>
      </c>
      <c r="H1081" s="670"/>
      <c r="I1081" s="672"/>
      <c r="J1081" s="651"/>
      <c r="K1081" s="666" t="str">
        <f t="shared" ref="K1081" si="4598">W1081</f>
        <v>KP-1a⁽ᴹ⁾ Percentage of men who have sex with men reached with HIV prevention programs - defined package of services</v>
      </c>
      <c r="L1081" s="666" t="str">
        <f t="shared" ref="L1081" si="4599">V1081</f>
        <v/>
      </c>
      <c r="M1081" s="651"/>
      <c r="N1081" s="651"/>
      <c r="P1081" s="189">
        <f t="shared" ref="P1081" si="4600">IF(AND(EXACT(C1081,C1079),C1079&lt;&gt;0),P1079+1,0)</f>
        <v>10</v>
      </c>
      <c r="Q1081" s="189" t="str">
        <f t="shared" ref="Q1081" si="4601">IF(C1081&lt;&gt;"",C1081&amp;"-"&amp;P1081,"")</f>
        <v>KP-1a⁽ᴹ⁾ Pourcentage de HSH ayant bénéficié de programmes préventifs de lutte contre le VIH (paquet de services définis)-10</v>
      </c>
      <c r="R1081" s="189" t="str">
        <f t="array" ref="R1081">IFERROR(IF(INDEX('Disaggregation Records'!$E$155:$E$385,MATCH(RIGHT(Q1081,255),RIGHT('Disaggregation Records'!$D$155:$D$385,255),0))=0,"",INDEX('Disaggregation Records'!$E$155:$E$385,MATCH(RIGHT(Q1081,255),RIGHT('Disaggregation Records'!$D$155:$D$385,255),0))),"")</f>
        <v/>
      </c>
      <c r="S1081" s="189" t="str">
        <f t="array" ref="S1081">IFERROR(IF(INDEX('Disaggregation Records'!$F$155:$F$385,MATCH(RIGHT(Q1081,255),RIGHT('Disaggregation Records'!$D$155:$D$385,255),0))=0,"",INDEX('Disaggregation Records'!$F$155:$F$385,MATCH(RIGHT(Q1081,255),RIGHT('Disaggregation Records'!$D$155:$D$385,255),0))),"")</f>
        <v/>
      </c>
      <c r="T1081" s="189" t="str">
        <f t="array" ref="T1081">IFERROR(IF(INDEX('Disaggregation Records'!$H$155:$H$385,MATCH(RIGHT(Q1081,255),RIGHT('Disaggregation Records'!$D$155:$D$385,255),0))=0,"",INDEX('Disaggregation Records'!$H$155:$H$385,MATCH(RIGHT(Q1081,255),RIGHT('Disaggregation Records'!$D$155:$D$385,255),0))),"")</f>
        <v/>
      </c>
      <c r="U1081" s="189">
        <f t="shared" ref="U1081" si="4602">U1079+1</f>
        <v>1642</v>
      </c>
      <c r="V1081" s="189" t="str">
        <f t="array" ref="V1081">IFERROR(IF(INDEX('Disaggregation Records'!$I$155:$I$385,MATCH(RIGHT(Q1081,255),RIGHT('Disaggregation Records'!$D$155:$D$385,255),0))=0,"",INDEX('Disaggregation Records'!$I$155:$I$385,MATCH(RIGHT(Q1081,255),RIGHT('Disaggregation Records'!$D$155:$D$385,255),0))),"")</f>
        <v/>
      </c>
      <c r="W1081" s="189" t="str">
        <f>IFERROR(INDEX('Reference Records'!L$59:L$121,MATCH(LEFT(C1081,255),'Reference Records'!E$59:E$121,0)),"")</f>
        <v>KP-1a⁽ᴹ⁾ Percentage of men who have sex with men reached with HIV prevention programs - defined package of services</v>
      </c>
    </row>
    <row r="1082" spans="1:23" s="189" customFormat="1" ht="40.200000000000003" customHeight="1" x14ac:dyDescent="0.3">
      <c r="A1082" s="678"/>
      <c r="B1082" s="675"/>
      <c r="C1082" s="667"/>
      <c r="D1082" s="677"/>
      <c r="E1082" s="677"/>
      <c r="F1082" s="202"/>
      <c r="G1082" s="669"/>
      <c r="H1082" s="671"/>
      <c r="I1082" s="673"/>
      <c r="J1082" s="652"/>
      <c r="K1082" s="667"/>
      <c r="L1082" s="667"/>
      <c r="M1082" s="652"/>
      <c r="N1082" s="652"/>
    </row>
    <row r="1083" spans="1:23" s="189" customFormat="1" ht="40.200000000000003" customHeight="1" x14ac:dyDescent="0.3">
      <c r="A1083" s="678" t="str">
        <f t="shared" ref="A1083" ca="1" si="4603">INDIRECT("'update Helper'!C"&amp;U1083)</f>
        <v>a163p000002zQd6AAE</v>
      </c>
      <c r="B1083" s="674">
        <v>12</v>
      </c>
      <c r="C1083" s="666" t="str">
        <f>VLOOKUP(B1083,'Coverage Indicators - Section D'!$A$9:$AU$70,47,FALSE)</f>
        <v>KP-1a⁽ᴹ⁾ Pourcentage de HSH ayant bénéficié de programmes préventifs de lutte contre le VIH (paquet de services définis)</v>
      </c>
      <c r="D1083" s="676" t="str">
        <f t="shared" ref="D1083" si="4604">R1083</f>
        <v/>
      </c>
      <c r="E1083" s="676" t="str">
        <f t="shared" ref="E1083" si="4605">S1083</f>
        <v/>
      </c>
      <c r="F1083" s="194"/>
      <c r="G1083" s="668" t="str">
        <f t="shared" ref="G1083" ca="1" si="4606">IF(OR(INDIRECT("'update Helper'!E"&amp;U1083)=0,F1083&lt;&gt;0,F1084&lt;&gt;0),IF(IFERROR((F1083/F1084),"")="","",(F1083/F1084)),INDIRECT("'update Helper'!E"&amp;U1083)/100)</f>
        <v/>
      </c>
      <c r="H1083" s="670"/>
      <c r="I1083" s="672"/>
      <c r="J1083" s="651"/>
      <c r="K1083" s="666" t="str">
        <f t="shared" ref="K1083" si="4607">W1083</f>
        <v>KP-1a⁽ᴹ⁾ Percentage of men who have sex with men reached with HIV prevention programs - defined package of services</v>
      </c>
      <c r="L1083" s="666" t="str">
        <f t="shared" ref="L1083" si="4608">V1083</f>
        <v/>
      </c>
      <c r="M1083" s="651"/>
      <c r="N1083" s="651"/>
      <c r="P1083" s="189">
        <f t="shared" ref="P1083" si="4609">IF(AND(EXACT(C1083,C1081),C1081&lt;&gt;0),P1081+1,0)</f>
        <v>11</v>
      </c>
      <c r="Q1083" s="189" t="str">
        <f t="shared" ref="Q1083" si="4610">IF(C1083&lt;&gt;"",C1083&amp;"-"&amp;P1083,"")</f>
        <v>KP-1a⁽ᴹ⁾ Pourcentage de HSH ayant bénéficié de programmes préventifs de lutte contre le VIH (paquet de services définis)-11</v>
      </c>
      <c r="R1083" s="189" t="str">
        <f t="array" ref="R1083">IFERROR(IF(INDEX('Disaggregation Records'!$E$155:$E$385,MATCH(RIGHT(Q1083,255),RIGHT('Disaggregation Records'!$D$155:$D$385,255),0))=0,"",INDEX('Disaggregation Records'!$E$155:$E$385,MATCH(RIGHT(Q1083,255),RIGHT('Disaggregation Records'!$D$155:$D$385,255),0))),"")</f>
        <v/>
      </c>
      <c r="S1083" s="189" t="str">
        <f t="array" ref="S1083">IFERROR(IF(INDEX('Disaggregation Records'!$F$155:$F$385,MATCH(RIGHT(Q1083,255),RIGHT('Disaggregation Records'!$D$155:$D$385,255),0))=0,"",INDEX('Disaggregation Records'!$F$155:$F$385,MATCH(RIGHT(Q1083,255),RIGHT('Disaggregation Records'!$D$155:$D$385,255),0))),"")</f>
        <v/>
      </c>
      <c r="T1083" s="189" t="str">
        <f t="array" ref="T1083">IFERROR(IF(INDEX('Disaggregation Records'!$H$155:$H$385,MATCH(RIGHT(Q1083,255),RIGHT('Disaggregation Records'!$D$155:$D$385,255),0))=0,"",INDEX('Disaggregation Records'!$H$155:$H$385,MATCH(RIGHT(Q1083,255),RIGHT('Disaggregation Records'!$D$155:$D$385,255),0))),"")</f>
        <v/>
      </c>
      <c r="U1083" s="189">
        <f t="shared" ref="U1083" si="4611">U1081+1</f>
        <v>1643</v>
      </c>
      <c r="V1083" s="189" t="str">
        <f t="array" ref="V1083">IFERROR(IF(INDEX('Disaggregation Records'!$I$155:$I$385,MATCH(RIGHT(Q1083,255),RIGHT('Disaggregation Records'!$D$155:$D$385,255),0))=0,"",INDEX('Disaggregation Records'!$I$155:$I$385,MATCH(RIGHT(Q1083,255),RIGHT('Disaggregation Records'!$D$155:$D$385,255),0))),"")</f>
        <v/>
      </c>
      <c r="W1083" s="189" t="str">
        <f>IFERROR(INDEX('Reference Records'!L$59:L$121,MATCH(LEFT(C1083,255),'Reference Records'!E$59:E$121,0)),"")</f>
        <v>KP-1a⁽ᴹ⁾ Percentage of men who have sex with men reached with HIV prevention programs - defined package of services</v>
      </c>
    </row>
    <row r="1084" spans="1:23" s="189" customFormat="1" ht="40.200000000000003" customHeight="1" x14ac:dyDescent="0.3">
      <c r="A1084" s="678"/>
      <c r="B1084" s="675"/>
      <c r="C1084" s="667"/>
      <c r="D1084" s="677"/>
      <c r="E1084" s="677"/>
      <c r="F1084" s="202"/>
      <c r="G1084" s="669"/>
      <c r="H1084" s="671"/>
      <c r="I1084" s="673"/>
      <c r="J1084" s="652"/>
      <c r="K1084" s="667"/>
      <c r="L1084" s="667"/>
      <c r="M1084" s="652"/>
      <c r="N1084" s="652"/>
    </row>
    <row r="1085" spans="1:23" s="189" customFormat="1" ht="40.200000000000003" customHeight="1" x14ac:dyDescent="0.3">
      <c r="A1085" s="678" t="str">
        <f t="shared" ref="A1085" ca="1" si="4612">INDIRECT("'update Helper'!C"&amp;U1085)</f>
        <v>a163p000002zQd7AAE</v>
      </c>
      <c r="B1085" s="674">
        <v>12</v>
      </c>
      <c r="C1085" s="666" t="str">
        <f>VLOOKUP(B1085,'Coverage Indicators - Section D'!$A$9:$AU$70,47,FALSE)</f>
        <v>KP-1a⁽ᴹ⁾ Pourcentage de HSH ayant bénéficié de programmes préventifs de lutte contre le VIH (paquet de services définis)</v>
      </c>
      <c r="D1085" s="676" t="str">
        <f t="shared" ref="D1085" si="4613">R1085</f>
        <v/>
      </c>
      <c r="E1085" s="676" t="str">
        <f t="shared" ref="E1085" si="4614">S1085</f>
        <v/>
      </c>
      <c r="F1085" s="194"/>
      <c r="G1085" s="668" t="str">
        <f t="shared" ref="G1085" ca="1" si="4615">IF(OR(INDIRECT("'update Helper'!E"&amp;U1085)=0,F1085&lt;&gt;0,F1086&lt;&gt;0),IF(IFERROR((F1085/F1086),"")="","",(F1085/F1086)),INDIRECT("'update Helper'!E"&amp;U1085)/100)</f>
        <v/>
      </c>
      <c r="H1085" s="670"/>
      <c r="I1085" s="672"/>
      <c r="J1085" s="651"/>
      <c r="K1085" s="666" t="str">
        <f t="shared" ref="K1085" si="4616">W1085</f>
        <v>KP-1a⁽ᴹ⁾ Percentage of men who have sex with men reached with HIV prevention programs - defined package of services</v>
      </c>
      <c r="L1085" s="666" t="str">
        <f t="shared" ref="L1085" si="4617">V1085</f>
        <v/>
      </c>
      <c r="M1085" s="651"/>
      <c r="N1085" s="651"/>
      <c r="P1085" s="189">
        <f t="shared" ref="P1085" si="4618">IF(AND(EXACT(C1085,C1083),C1083&lt;&gt;0),P1083+1,0)</f>
        <v>12</v>
      </c>
      <c r="Q1085" s="189" t="str">
        <f t="shared" ref="Q1085" si="4619">IF(C1085&lt;&gt;"",C1085&amp;"-"&amp;P1085,"")</f>
        <v>KP-1a⁽ᴹ⁾ Pourcentage de HSH ayant bénéficié de programmes préventifs de lutte contre le VIH (paquet de services définis)-12</v>
      </c>
      <c r="R1085" s="189" t="str">
        <f t="array" ref="R1085">IFERROR(IF(INDEX('Disaggregation Records'!$E$155:$E$385,MATCH(RIGHT(Q1085,255),RIGHT('Disaggregation Records'!$D$155:$D$385,255),0))=0,"",INDEX('Disaggregation Records'!$E$155:$E$385,MATCH(RIGHT(Q1085,255),RIGHT('Disaggregation Records'!$D$155:$D$385,255),0))),"")</f>
        <v/>
      </c>
      <c r="S1085" s="189" t="str">
        <f t="array" ref="S1085">IFERROR(IF(INDEX('Disaggregation Records'!$F$155:$F$385,MATCH(RIGHT(Q1085,255),RIGHT('Disaggregation Records'!$D$155:$D$385,255),0))=0,"",INDEX('Disaggregation Records'!$F$155:$F$385,MATCH(RIGHT(Q1085,255),RIGHT('Disaggregation Records'!$D$155:$D$385,255),0))),"")</f>
        <v/>
      </c>
      <c r="T1085" s="189" t="str">
        <f t="array" ref="T1085">IFERROR(IF(INDEX('Disaggregation Records'!$H$155:$H$385,MATCH(RIGHT(Q1085,255),RIGHT('Disaggregation Records'!$D$155:$D$385,255),0))=0,"",INDEX('Disaggregation Records'!$H$155:$H$385,MATCH(RIGHT(Q1085,255),RIGHT('Disaggregation Records'!$D$155:$D$385,255),0))),"")</f>
        <v/>
      </c>
      <c r="U1085" s="189">
        <f t="shared" ref="U1085" si="4620">U1083+1</f>
        <v>1644</v>
      </c>
      <c r="V1085" s="189" t="str">
        <f t="array" ref="V1085">IFERROR(IF(INDEX('Disaggregation Records'!$I$155:$I$385,MATCH(RIGHT(Q1085,255),RIGHT('Disaggregation Records'!$D$155:$D$385,255),0))=0,"",INDEX('Disaggregation Records'!$I$155:$I$385,MATCH(RIGHT(Q1085,255),RIGHT('Disaggregation Records'!$D$155:$D$385,255),0))),"")</f>
        <v/>
      </c>
      <c r="W1085" s="189" t="str">
        <f>IFERROR(INDEX('Reference Records'!L$59:L$121,MATCH(LEFT(C1085,255),'Reference Records'!E$59:E$121,0)),"")</f>
        <v>KP-1a⁽ᴹ⁾ Percentage of men who have sex with men reached with HIV prevention programs - defined package of services</v>
      </c>
    </row>
    <row r="1086" spans="1:23" s="189" customFormat="1" ht="40.200000000000003" customHeight="1" x14ac:dyDescent="0.3">
      <c r="A1086" s="678"/>
      <c r="B1086" s="675"/>
      <c r="C1086" s="667"/>
      <c r="D1086" s="677"/>
      <c r="E1086" s="677"/>
      <c r="F1086" s="202"/>
      <c r="G1086" s="669"/>
      <c r="H1086" s="671"/>
      <c r="I1086" s="673"/>
      <c r="J1086" s="652"/>
      <c r="K1086" s="667"/>
      <c r="L1086" s="667"/>
      <c r="M1086" s="652"/>
      <c r="N1086" s="652"/>
    </row>
    <row r="1087" spans="1:23" s="189" customFormat="1" ht="40.200000000000003" customHeight="1" x14ac:dyDescent="0.3">
      <c r="A1087" s="678" t="str">
        <f t="shared" ref="A1087" ca="1" si="4621">INDIRECT("'update Helper'!C"&amp;U1087)</f>
        <v>a163p000002zQd8AAE</v>
      </c>
      <c r="B1087" s="674">
        <v>12</v>
      </c>
      <c r="C1087" s="666" t="str">
        <f>VLOOKUP(B1087,'Coverage Indicators - Section D'!$A$9:$AU$70,47,FALSE)</f>
        <v>KP-1a⁽ᴹ⁾ Pourcentage de HSH ayant bénéficié de programmes préventifs de lutte contre le VIH (paquet de services définis)</v>
      </c>
      <c r="D1087" s="676" t="str">
        <f t="shared" ref="D1087" si="4622">R1087</f>
        <v/>
      </c>
      <c r="E1087" s="676" t="str">
        <f t="shared" ref="E1087" si="4623">S1087</f>
        <v/>
      </c>
      <c r="F1087" s="194"/>
      <c r="G1087" s="668" t="str">
        <f t="shared" ref="G1087" ca="1" si="4624">IF(OR(INDIRECT("'update Helper'!E"&amp;U1087)=0,F1087&lt;&gt;0,F1088&lt;&gt;0),IF(IFERROR((F1087/F1088),"")="","",(F1087/F1088)),INDIRECT("'update Helper'!E"&amp;U1087)/100)</f>
        <v/>
      </c>
      <c r="H1087" s="670"/>
      <c r="I1087" s="672"/>
      <c r="J1087" s="651"/>
      <c r="K1087" s="666" t="str">
        <f t="shared" ref="K1087" si="4625">W1087</f>
        <v>KP-1a⁽ᴹ⁾ Percentage of men who have sex with men reached with HIV prevention programs - defined package of services</v>
      </c>
      <c r="L1087" s="666" t="str">
        <f t="shared" ref="L1087" si="4626">V1087</f>
        <v/>
      </c>
      <c r="M1087" s="651"/>
      <c r="N1087" s="651"/>
      <c r="P1087" s="189">
        <f t="shared" ref="P1087" si="4627">IF(AND(EXACT(C1087,C1085),C1085&lt;&gt;0),P1085+1,0)</f>
        <v>13</v>
      </c>
      <c r="Q1087" s="189" t="str">
        <f t="shared" ref="Q1087" si="4628">IF(C1087&lt;&gt;"",C1087&amp;"-"&amp;P1087,"")</f>
        <v>KP-1a⁽ᴹ⁾ Pourcentage de HSH ayant bénéficié de programmes préventifs de lutte contre le VIH (paquet de services définis)-13</v>
      </c>
      <c r="R1087" s="189" t="str">
        <f t="array" ref="R1087">IFERROR(IF(INDEX('Disaggregation Records'!$E$155:$E$385,MATCH(RIGHT(Q1087,255),RIGHT('Disaggregation Records'!$D$155:$D$385,255),0))=0,"",INDEX('Disaggregation Records'!$E$155:$E$385,MATCH(RIGHT(Q1087,255),RIGHT('Disaggregation Records'!$D$155:$D$385,255),0))),"")</f>
        <v/>
      </c>
      <c r="S1087" s="189" t="str">
        <f t="array" ref="S1087">IFERROR(IF(INDEX('Disaggregation Records'!$F$155:$F$385,MATCH(RIGHT(Q1087,255),RIGHT('Disaggregation Records'!$D$155:$D$385,255),0))=0,"",INDEX('Disaggregation Records'!$F$155:$F$385,MATCH(RIGHT(Q1087,255),RIGHT('Disaggregation Records'!$D$155:$D$385,255),0))),"")</f>
        <v/>
      </c>
      <c r="T1087" s="189" t="str">
        <f t="array" ref="T1087">IFERROR(IF(INDEX('Disaggregation Records'!$H$155:$H$385,MATCH(RIGHT(Q1087,255),RIGHT('Disaggregation Records'!$D$155:$D$385,255),0))=0,"",INDEX('Disaggregation Records'!$H$155:$H$385,MATCH(RIGHT(Q1087,255),RIGHT('Disaggregation Records'!$D$155:$D$385,255),0))),"")</f>
        <v/>
      </c>
      <c r="U1087" s="189">
        <f t="shared" ref="U1087" si="4629">U1085+1</f>
        <v>1645</v>
      </c>
      <c r="V1087" s="189" t="str">
        <f t="array" ref="V1087">IFERROR(IF(INDEX('Disaggregation Records'!$I$155:$I$385,MATCH(RIGHT(Q1087,255),RIGHT('Disaggregation Records'!$D$155:$D$385,255),0))=0,"",INDEX('Disaggregation Records'!$I$155:$I$385,MATCH(RIGHT(Q1087,255),RIGHT('Disaggregation Records'!$D$155:$D$385,255),0))),"")</f>
        <v/>
      </c>
      <c r="W1087" s="189" t="str">
        <f>IFERROR(INDEX('Reference Records'!L$59:L$121,MATCH(LEFT(C1087,255),'Reference Records'!E$59:E$121,0)),"")</f>
        <v>KP-1a⁽ᴹ⁾ Percentage of men who have sex with men reached with HIV prevention programs - defined package of services</v>
      </c>
    </row>
    <row r="1088" spans="1:23" s="189" customFormat="1" ht="40.200000000000003" customHeight="1" x14ac:dyDescent="0.3">
      <c r="A1088" s="678"/>
      <c r="B1088" s="675"/>
      <c r="C1088" s="667"/>
      <c r="D1088" s="677"/>
      <c r="E1088" s="677"/>
      <c r="F1088" s="202"/>
      <c r="G1088" s="669"/>
      <c r="H1088" s="671"/>
      <c r="I1088" s="673"/>
      <c r="J1088" s="652"/>
      <c r="K1088" s="667"/>
      <c r="L1088" s="667"/>
      <c r="M1088" s="652"/>
      <c r="N1088" s="652"/>
    </row>
    <row r="1089" spans="1:23" s="189" customFormat="1" ht="40.200000000000003" customHeight="1" x14ac:dyDescent="0.3">
      <c r="A1089" s="678" t="str">
        <f t="shared" ref="A1089" ca="1" si="4630">INDIRECT("'update Helper'!C"&amp;U1089)</f>
        <v>a163p000002zQd9AAE</v>
      </c>
      <c r="B1089" s="674">
        <v>12</v>
      </c>
      <c r="C1089" s="666" t="str">
        <f>VLOOKUP(B1089,'Coverage Indicators - Section D'!$A$9:$AU$70,47,FALSE)</f>
        <v>KP-1a⁽ᴹ⁾ Pourcentage de HSH ayant bénéficié de programmes préventifs de lutte contre le VIH (paquet de services définis)</v>
      </c>
      <c r="D1089" s="676" t="str">
        <f t="shared" ref="D1089" si="4631">R1089</f>
        <v/>
      </c>
      <c r="E1089" s="676" t="str">
        <f t="shared" ref="E1089" si="4632">S1089</f>
        <v/>
      </c>
      <c r="F1089" s="194"/>
      <c r="G1089" s="668" t="str">
        <f t="shared" ref="G1089" ca="1" si="4633">IF(OR(INDIRECT("'update Helper'!E"&amp;U1089)=0,F1089&lt;&gt;0,F1090&lt;&gt;0),IF(IFERROR((F1089/F1090),"")="","",(F1089/F1090)),INDIRECT("'update Helper'!E"&amp;U1089)/100)</f>
        <v/>
      </c>
      <c r="H1089" s="670"/>
      <c r="I1089" s="672"/>
      <c r="J1089" s="651"/>
      <c r="K1089" s="666" t="str">
        <f t="shared" ref="K1089" si="4634">W1089</f>
        <v>KP-1a⁽ᴹ⁾ Percentage of men who have sex with men reached with HIV prevention programs - defined package of services</v>
      </c>
      <c r="L1089" s="666" t="str">
        <f t="shared" ref="L1089" si="4635">V1089</f>
        <v/>
      </c>
      <c r="M1089" s="651"/>
      <c r="N1089" s="651"/>
      <c r="P1089" s="189">
        <f t="shared" ref="P1089" si="4636">IF(AND(EXACT(C1089,C1087),C1087&lt;&gt;0),P1087+1,0)</f>
        <v>14</v>
      </c>
      <c r="Q1089" s="189" t="str">
        <f t="shared" ref="Q1089" si="4637">IF(C1089&lt;&gt;"",C1089&amp;"-"&amp;P1089,"")</f>
        <v>KP-1a⁽ᴹ⁾ Pourcentage de HSH ayant bénéficié de programmes préventifs de lutte contre le VIH (paquet de services définis)-14</v>
      </c>
      <c r="R1089" s="189" t="str">
        <f t="array" ref="R1089">IFERROR(IF(INDEX('Disaggregation Records'!$E$155:$E$385,MATCH(RIGHT(Q1089,255),RIGHT('Disaggregation Records'!$D$155:$D$385,255),0))=0,"",INDEX('Disaggregation Records'!$E$155:$E$385,MATCH(RIGHT(Q1089,255),RIGHT('Disaggregation Records'!$D$155:$D$385,255),0))),"")</f>
        <v/>
      </c>
      <c r="S1089" s="189" t="str">
        <f t="array" ref="S1089">IFERROR(IF(INDEX('Disaggregation Records'!$F$155:$F$385,MATCH(RIGHT(Q1089,255),RIGHT('Disaggregation Records'!$D$155:$D$385,255),0))=0,"",INDEX('Disaggregation Records'!$F$155:$F$385,MATCH(RIGHT(Q1089,255),RIGHT('Disaggregation Records'!$D$155:$D$385,255),0))),"")</f>
        <v/>
      </c>
      <c r="T1089" s="189" t="str">
        <f t="array" ref="T1089">IFERROR(IF(INDEX('Disaggregation Records'!$H$155:$H$385,MATCH(RIGHT(Q1089,255),RIGHT('Disaggregation Records'!$D$155:$D$385,255),0))=0,"",INDEX('Disaggregation Records'!$H$155:$H$385,MATCH(RIGHT(Q1089,255),RIGHT('Disaggregation Records'!$D$155:$D$385,255),0))),"")</f>
        <v/>
      </c>
      <c r="U1089" s="189">
        <f t="shared" ref="U1089" si="4638">U1087+1</f>
        <v>1646</v>
      </c>
      <c r="V1089" s="189" t="str">
        <f t="array" ref="V1089">IFERROR(IF(INDEX('Disaggregation Records'!$I$155:$I$385,MATCH(RIGHT(Q1089,255),RIGHT('Disaggregation Records'!$D$155:$D$385,255),0))=0,"",INDEX('Disaggregation Records'!$I$155:$I$385,MATCH(RIGHT(Q1089,255),RIGHT('Disaggregation Records'!$D$155:$D$385,255),0))),"")</f>
        <v/>
      </c>
      <c r="W1089" s="189" t="str">
        <f>IFERROR(INDEX('Reference Records'!L$59:L$121,MATCH(LEFT(C1089,255),'Reference Records'!E$59:E$121,0)),"")</f>
        <v>KP-1a⁽ᴹ⁾ Percentage of men who have sex with men reached with HIV prevention programs - defined package of services</v>
      </c>
    </row>
    <row r="1090" spans="1:23" s="189" customFormat="1" ht="40.200000000000003" customHeight="1" x14ac:dyDescent="0.3">
      <c r="A1090" s="678"/>
      <c r="B1090" s="675"/>
      <c r="C1090" s="667"/>
      <c r="D1090" s="677"/>
      <c r="E1090" s="677"/>
      <c r="F1090" s="202"/>
      <c r="G1090" s="669"/>
      <c r="H1090" s="671"/>
      <c r="I1090" s="673"/>
      <c r="J1090" s="652"/>
      <c r="K1090" s="667"/>
      <c r="L1090" s="667"/>
      <c r="M1090" s="652"/>
      <c r="N1090" s="652"/>
    </row>
    <row r="1091" spans="1:23" s="189" customFormat="1" ht="40.200000000000003" customHeight="1" x14ac:dyDescent="0.3">
      <c r="A1091" s="678" t="str">
        <f t="shared" ref="A1091" ca="1" si="4639">INDIRECT("'update Helper'!C"&amp;U1091)</f>
        <v>a163p000002zQdAAAU</v>
      </c>
      <c r="B1091" s="674">
        <v>12</v>
      </c>
      <c r="C1091" s="666" t="str">
        <f>VLOOKUP(B1091,'Coverage Indicators - Section D'!$A$9:$AU$70,47,FALSE)</f>
        <v>KP-1a⁽ᴹ⁾ Pourcentage de HSH ayant bénéficié de programmes préventifs de lutte contre le VIH (paquet de services définis)</v>
      </c>
      <c r="D1091" s="676" t="str">
        <f t="shared" ref="D1091" si="4640">R1091</f>
        <v/>
      </c>
      <c r="E1091" s="676" t="str">
        <f t="shared" ref="E1091" si="4641">S1091</f>
        <v/>
      </c>
      <c r="F1091" s="194"/>
      <c r="G1091" s="668" t="str">
        <f t="shared" ref="G1091" ca="1" si="4642">IF(OR(INDIRECT("'update Helper'!E"&amp;U1091)=0,F1091&lt;&gt;0,F1092&lt;&gt;0),IF(IFERROR((F1091/F1092),"")="","",(F1091/F1092)),INDIRECT("'update Helper'!E"&amp;U1091)/100)</f>
        <v/>
      </c>
      <c r="H1091" s="670"/>
      <c r="I1091" s="672"/>
      <c r="J1091" s="651"/>
      <c r="K1091" s="666" t="str">
        <f t="shared" ref="K1091" si="4643">W1091</f>
        <v>KP-1a⁽ᴹ⁾ Percentage of men who have sex with men reached with HIV prevention programs - defined package of services</v>
      </c>
      <c r="L1091" s="666" t="str">
        <f t="shared" ref="L1091" si="4644">V1091</f>
        <v/>
      </c>
      <c r="M1091" s="651"/>
      <c r="N1091" s="651"/>
      <c r="P1091" s="189">
        <f t="shared" ref="P1091" si="4645">IF(AND(EXACT(C1091,C1089),C1089&lt;&gt;0),P1089+1,0)</f>
        <v>15</v>
      </c>
      <c r="Q1091" s="189" t="str">
        <f t="shared" ref="Q1091" si="4646">IF(C1091&lt;&gt;"",C1091&amp;"-"&amp;P1091,"")</f>
        <v>KP-1a⁽ᴹ⁾ Pourcentage de HSH ayant bénéficié de programmes préventifs de lutte contre le VIH (paquet de services définis)-15</v>
      </c>
      <c r="R1091" s="189" t="str">
        <f t="array" ref="R1091">IFERROR(IF(INDEX('Disaggregation Records'!$E$155:$E$385,MATCH(RIGHT(Q1091,255),RIGHT('Disaggregation Records'!$D$155:$D$385,255),0))=0,"",INDEX('Disaggregation Records'!$E$155:$E$385,MATCH(RIGHT(Q1091,255),RIGHT('Disaggregation Records'!$D$155:$D$385,255),0))),"")</f>
        <v/>
      </c>
      <c r="S1091" s="189" t="str">
        <f t="array" ref="S1091">IFERROR(IF(INDEX('Disaggregation Records'!$F$155:$F$385,MATCH(RIGHT(Q1091,255),RIGHT('Disaggregation Records'!$D$155:$D$385,255),0))=0,"",INDEX('Disaggregation Records'!$F$155:$F$385,MATCH(RIGHT(Q1091,255),RIGHT('Disaggregation Records'!$D$155:$D$385,255),0))),"")</f>
        <v/>
      </c>
      <c r="T1091" s="189" t="str">
        <f t="array" ref="T1091">IFERROR(IF(INDEX('Disaggregation Records'!$H$155:$H$385,MATCH(RIGHT(Q1091,255),RIGHT('Disaggregation Records'!$D$155:$D$385,255),0))=0,"",INDEX('Disaggregation Records'!$H$155:$H$385,MATCH(RIGHT(Q1091,255),RIGHT('Disaggregation Records'!$D$155:$D$385,255),0))),"")</f>
        <v/>
      </c>
      <c r="U1091" s="189">
        <f t="shared" ref="U1091" si="4647">U1089+1</f>
        <v>1647</v>
      </c>
      <c r="V1091" s="189" t="str">
        <f t="array" ref="V1091">IFERROR(IF(INDEX('Disaggregation Records'!$I$155:$I$385,MATCH(RIGHT(Q1091,255),RIGHT('Disaggregation Records'!$D$155:$D$385,255),0))=0,"",INDEX('Disaggregation Records'!$I$155:$I$385,MATCH(RIGHT(Q1091,255),RIGHT('Disaggregation Records'!$D$155:$D$385,255),0))),"")</f>
        <v/>
      </c>
      <c r="W1091" s="189" t="str">
        <f>IFERROR(INDEX('Reference Records'!L$59:L$121,MATCH(LEFT(C1091,255),'Reference Records'!E$59:E$121,0)),"")</f>
        <v>KP-1a⁽ᴹ⁾ Percentage of men who have sex with men reached with HIV prevention programs - defined package of services</v>
      </c>
    </row>
    <row r="1092" spans="1:23" s="189" customFormat="1" ht="40.200000000000003" customHeight="1" x14ac:dyDescent="0.3">
      <c r="A1092" s="678"/>
      <c r="B1092" s="675"/>
      <c r="C1092" s="667"/>
      <c r="D1092" s="677"/>
      <c r="E1092" s="677"/>
      <c r="F1092" s="202"/>
      <c r="G1092" s="669"/>
      <c r="H1092" s="671"/>
      <c r="I1092" s="673"/>
      <c r="J1092" s="652"/>
      <c r="K1092" s="667"/>
      <c r="L1092" s="667"/>
      <c r="M1092" s="652"/>
      <c r="N1092" s="652"/>
    </row>
    <row r="1093" spans="1:23" s="189" customFormat="1" ht="40.200000000000003" customHeight="1" x14ac:dyDescent="0.3">
      <c r="A1093" s="678" t="str">
        <f t="shared" ref="A1093" ca="1" si="4648">INDIRECT("'update Helper'!C"&amp;U1093)</f>
        <v>a163p000002zQdBAAU</v>
      </c>
      <c r="B1093" s="674">
        <v>12</v>
      </c>
      <c r="C1093" s="666" t="str">
        <f>VLOOKUP(B1093,'Coverage Indicators - Section D'!$A$9:$AU$70,47,FALSE)</f>
        <v>KP-1a⁽ᴹ⁾ Pourcentage de HSH ayant bénéficié de programmes préventifs de lutte contre le VIH (paquet de services définis)</v>
      </c>
      <c r="D1093" s="676" t="str">
        <f t="shared" ref="D1093" si="4649">R1093</f>
        <v/>
      </c>
      <c r="E1093" s="676" t="str">
        <f t="shared" ref="E1093" si="4650">S1093</f>
        <v/>
      </c>
      <c r="F1093" s="194"/>
      <c r="G1093" s="668" t="str">
        <f t="shared" ref="G1093" ca="1" si="4651">IF(OR(INDIRECT("'update Helper'!E"&amp;U1093)=0,F1093&lt;&gt;0,F1094&lt;&gt;0),IF(IFERROR((F1093/F1094),"")="","",(F1093/F1094)),INDIRECT("'update Helper'!E"&amp;U1093)/100)</f>
        <v/>
      </c>
      <c r="H1093" s="670"/>
      <c r="I1093" s="672"/>
      <c r="J1093" s="651"/>
      <c r="K1093" s="666" t="str">
        <f t="shared" ref="K1093" si="4652">W1093</f>
        <v>KP-1a⁽ᴹ⁾ Percentage of men who have sex with men reached with HIV prevention programs - defined package of services</v>
      </c>
      <c r="L1093" s="666" t="str">
        <f t="shared" ref="L1093" si="4653">V1093</f>
        <v/>
      </c>
      <c r="M1093" s="651"/>
      <c r="N1093" s="651"/>
      <c r="P1093" s="189">
        <f t="shared" ref="P1093" si="4654">IF(AND(EXACT(C1093,C1091),C1091&lt;&gt;0),P1091+1,0)</f>
        <v>16</v>
      </c>
      <c r="Q1093" s="189" t="str">
        <f t="shared" ref="Q1093" si="4655">IF(C1093&lt;&gt;"",C1093&amp;"-"&amp;P1093,"")</f>
        <v>KP-1a⁽ᴹ⁾ Pourcentage de HSH ayant bénéficié de programmes préventifs de lutte contre le VIH (paquet de services définis)-16</v>
      </c>
      <c r="R1093" s="189" t="str">
        <f t="array" ref="R1093">IFERROR(IF(INDEX('Disaggregation Records'!$E$155:$E$385,MATCH(RIGHT(Q1093,255),RIGHT('Disaggregation Records'!$D$155:$D$385,255),0))=0,"",INDEX('Disaggregation Records'!$E$155:$E$385,MATCH(RIGHT(Q1093,255),RIGHT('Disaggregation Records'!$D$155:$D$385,255),0))),"")</f>
        <v/>
      </c>
      <c r="S1093" s="189" t="str">
        <f t="array" ref="S1093">IFERROR(IF(INDEX('Disaggregation Records'!$F$155:$F$385,MATCH(RIGHT(Q1093,255),RIGHT('Disaggregation Records'!$D$155:$D$385,255),0))=0,"",INDEX('Disaggregation Records'!$F$155:$F$385,MATCH(RIGHT(Q1093,255),RIGHT('Disaggregation Records'!$D$155:$D$385,255),0))),"")</f>
        <v/>
      </c>
      <c r="T1093" s="189" t="str">
        <f t="array" ref="T1093">IFERROR(IF(INDEX('Disaggregation Records'!$H$155:$H$385,MATCH(RIGHT(Q1093,255),RIGHT('Disaggregation Records'!$D$155:$D$385,255),0))=0,"",INDEX('Disaggregation Records'!$H$155:$H$385,MATCH(RIGHT(Q1093,255),RIGHT('Disaggregation Records'!$D$155:$D$385,255),0))),"")</f>
        <v/>
      </c>
      <c r="U1093" s="189">
        <f t="shared" ref="U1093" si="4656">U1091+1</f>
        <v>1648</v>
      </c>
      <c r="V1093" s="189" t="str">
        <f t="array" ref="V1093">IFERROR(IF(INDEX('Disaggregation Records'!$I$155:$I$385,MATCH(RIGHT(Q1093,255),RIGHT('Disaggregation Records'!$D$155:$D$385,255),0))=0,"",INDEX('Disaggregation Records'!$I$155:$I$385,MATCH(RIGHT(Q1093,255),RIGHT('Disaggregation Records'!$D$155:$D$385,255),0))),"")</f>
        <v/>
      </c>
      <c r="W1093" s="189" t="str">
        <f>IFERROR(INDEX('Reference Records'!L$59:L$121,MATCH(LEFT(C1093,255),'Reference Records'!E$59:E$121,0)),"")</f>
        <v>KP-1a⁽ᴹ⁾ Percentage of men who have sex with men reached with HIV prevention programs - defined package of services</v>
      </c>
    </row>
    <row r="1094" spans="1:23" s="189" customFormat="1" ht="40.200000000000003" customHeight="1" x14ac:dyDescent="0.3">
      <c r="A1094" s="678"/>
      <c r="B1094" s="675"/>
      <c r="C1094" s="667"/>
      <c r="D1094" s="677"/>
      <c r="E1094" s="677"/>
      <c r="F1094" s="202"/>
      <c r="G1094" s="669"/>
      <c r="H1094" s="671"/>
      <c r="I1094" s="673"/>
      <c r="J1094" s="652"/>
      <c r="K1094" s="667"/>
      <c r="L1094" s="667"/>
      <c r="M1094" s="652"/>
      <c r="N1094" s="652"/>
    </row>
    <row r="1095" spans="1:23" s="189" customFormat="1" ht="40.200000000000003" customHeight="1" x14ac:dyDescent="0.3">
      <c r="A1095" s="678" t="str">
        <f t="shared" ref="A1095" ca="1" si="4657">INDIRECT("'update Helper'!C"&amp;U1095)</f>
        <v>a163p000002zQdCAAU</v>
      </c>
      <c r="B1095" s="674">
        <v>12</v>
      </c>
      <c r="C1095" s="666" t="str">
        <f>VLOOKUP(B1095,'Coverage Indicators - Section D'!$A$9:$AU$70,47,FALSE)</f>
        <v>KP-1a⁽ᴹ⁾ Pourcentage de HSH ayant bénéficié de programmes préventifs de lutte contre le VIH (paquet de services définis)</v>
      </c>
      <c r="D1095" s="676" t="str">
        <f t="shared" ref="D1095" si="4658">R1095</f>
        <v/>
      </c>
      <c r="E1095" s="676" t="str">
        <f t="shared" ref="E1095" si="4659">S1095</f>
        <v/>
      </c>
      <c r="F1095" s="194"/>
      <c r="G1095" s="668" t="str">
        <f t="shared" ref="G1095" ca="1" si="4660">IF(OR(INDIRECT("'update Helper'!E"&amp;U1095)=0,F1095&lt;&gt;0,F1096&lt;&gt;0),IF(IFERROR((F1095/F1096),"")="","",(F1095/F1096)),INDIRECT("'update Helper'!E"&amp;U1095)/100)</f>
        <v/>
      </c>
      <c r="H1095" s="670"/>
      <c r="I1095" s="672"/>
      <c r="J1095" s="651"/>
      <c r="K1095" s="666" t="str">
        <f t="shared" ref="K1095" si="4661">W1095</f>
        <v>KP-1a⁽ᴹ⁾ Percentage of men who have sex with men reached with HIV prevention programs - defined package of services</v>
      </c>
      <c r="L1095" s="666" t="str">
        <f t="shared" ref="L1095" si="4662">V1095</f>
        <v/>
      </c>
      <c r="M1095" s="651"/>
      <c r="N1095" s="651"/>
      <c r="P1095" s="189">
        <f t="shared" ref="P1095" si="4663">IF(AND(EXACT(C1095,C1093),C1093&lt;&gt;0),P1093+1,0)</f>
        <v>17</v>
      </c>
      <c r="Q1095" s="189" t="str">
        <f t="shared" ref="Q1095" si="4664">IF(C1095&lt;&gt;"",C1095&amp;"-"&amp;P1095,"")</f>
        <v>KP-1a⁽ᴹ⁾ Pourcentage de HSH ayant bénéficié de programmes préventifs de lutte contre le VIH (paquet de services définis)-17</v>
      </c>
      <c r="R1095" s="189" t="str">
        <f t="array" ref="R1095">IFERROR(IF(INDEX('Disaggregation Records'!$E$155:$E$385,MATCH(RIGHT(Q1095,255),RIGHT('Disaggregation Records'!$D$155:$D$385,255),0))=0,"",INDEX('Disaggregation Records'!$E$155:$E$385,MATCH(RIGHT(Q1095,255),RIGHT('Disaggregation Records'!$D$155:$D$385,255),0))),"")</f>
        <v/>
      </c>
      <c r="S1095" s="189" t="str">
        <f t="array" ref="S1095">IFERROR(IF(INDEX('Disaggregation Records'!$F$155:$F$385,MATCH(RIGHT(Q1095,255),RIGHT('Disaggregation Records'!$D$155:$D$385,255),0))=0,"",INDEX('Disaggregation Records'!$F$155:$F$385,MATCH(RIGHT(Q1095,255),RIGHT('Disaggregation Records'!$D$155:$D$385,255),0))),"")</f>
        <v/>
      </c>
      <c r="T1095" s="189" t="str">
        <f t="array" ref="T1095">IFERROR(IF(INDEX('Disaggregation Records'!$H$155:$H$385,MATCH(RIGHT(Q1095,255),RIGHT('Disaggregation Records'!$D$155:$D$385,255),0))=0,"",INDEX('Disaggregation Records'!$H$155:$H$385,MATCH(RIGHT(Q1095,255),RIGHT('Disaggregation Records'!$D$155:$D$385,255),0))),"")</f>
        <v/>
      </c>
      <c r="U1095" s="189">
        <f t="shared" ref="U1095" si="4665">U1093+1</f>
        <v>1649</v>
      </c>
      <c r="V1095" s="189" t="str">
        <f t="array" ref="V1095">IFERROR(IF(INDEX('Disaggregation Records'!$I$155:$I$385,MATCH(RIGHT(Q1095,255),RIGHT('Disaggregation Records'!$D$155:$D$385,255),0))=0,"",INDEX('Disaggregation Records'!$I$155:$I$385,MATCH(RIGHT(Q1095,255),RIGHT('Disaggregation Records'!$D$155:$D$385,255),0))),"")</f>
        <v/>
      </c>
      <c r="W1095" s="189" t="str">
        <f>IFERROR(INDEX('Reference Records'!L$59:L$121,MATCH(LEFT(C1095,255),'Reference Records'!E$59:E$121,0)),"")</f>
        <v>KP-1a⁽ᴹ⁾ Percentage of men who have sex with men reached with HIV prevention programs - defined package of services</v>
      </c>
    </row>
    <row r="1096" spans="1:23" s="189" customFormat="1" ht="40.200000000000003" customHeight="1" x14ac:dyDescent="0.3">
      <c r="A1096" s="678"/>
      <c r="B1096" s="675"/>
      <c r="C1096" s="667"/>
      <c r="D1096" s="677"/>
      <c r="E1096" s="677"/>
      <c r="F1096" s="202"/>
      <c r="G1096" s="669"/>
      <c r="H1096" s="671"/>
      <c r="I1096" s="673"/>
      <c r="J1096" s="652"/>
      <c r="K1096" s="667"/>
      <c r="L1096" s="667"/>
      <c r="M1096" s="652"/>
      <c r="N1096" s="652"/>
    </row>
    <row r="1097" spans="1:23" s="189" customFormat="1" ht="40.200000000000003" customHeight="1" x14ac:dyDescent="0.3">
      <c r="A1097" s="678" t="str">
        <f t="shared" ref="A1097" ca="1" si="4666">INDIRECT("'update Helper'!C"&amp;U1097)</f>
        <v>a163p000002zQdDAAU</v>
      </c>
      <c r="B1097" s="674">
        <v>12</v>
      </c>
      <c r="C1097" s="666" t="str">
        <f>VLOOKUP(B1097,'Coverage Indicators - Section D'!$A$9:$AU$70,47,FALSE)</f>
        <v>KP-1a⁽ᴹ⁾ Pourcentage de HSH ayant bénéficié de programmes préventifs de lutte contre le VIH (paquet de services définis)</v>
      </c>
      <c r="D1097" s="676" t="str">
        <f t="shared" ref="D1097" si="4667">R1097</f>
        <v/>
      </c>
      <c r="E1097" s="676" t="str">
        <f t="shared" ref="E1097" si="4668">S1097</f>
        <v/>
      </c>
      <c r="F1097" s="194"/>
      <c r="G1097" s="668" t="str">
        <f t="shared" ref="G1097" ca="1" si="4669">IF(OR(INDIRECT("'update Helper'!E"&amp;U1097)=0,F1097&lt;&gt;0,F1098&lt;&gt;0),IF(IFERROR((F1097/F1098),"")="","",(F1097/F1098)),INDIRECT("'update Helper'!E"&amp;U1097)/100)</f>
        <v/>
      </c>
      <c r="H1097" s="670"/>
      <c r="I1097" s="672"/>
      <c r="J1097" s="651"/>
      <c r="K1097" s="666" t="str">
        <f t="shared" ref="K1097" si="4670">W1097</f>
        <v>KP-1a⁽ᴹ⁾ Percentage of men who have sex with men reached with HIV prevention programs - defined package of services</v>
      </c>
      <c r="L1097" s="666" t="str">
        <f t="shared" ref="L1097" si="4671">V1097</f>
        <v/>
      </c>
      <c r="M1097" s="651"/>
      <c r="N1097" s="651"/>
      <c r="P1097" s="189">
        <f t="shared" ref="P1097" si="4672">IF(AND(EXACT(C1097,C1095),C1095&lt;&gt;0),P1095+1,0)</f>
        <v>18</v>
      </c>
      <c r="Q1097" s="189" t="str">
        <f t="shared" ref="Q1097" si="4673">IF(C1097&lt;&gt;"",C1097&amp;"-"&amp;P1097,"")</f>
        <v>KP-1a⁽ᴹ⁾ Pourcentage de HSH ayant bénéficié de programmes préventifs de lutte contre le VIH (paquet de services définis)-18</v>
      </c>
      <c r="R1097" s="189" t="str">
        <f t="array" ref="R1097">IFERROR(IF(INDEX('Disaggregation Records'!$E$155:$E$385,MATCH(RIGHT(Q1097,255),RIGHT('Disaggregation Records'!$D$155:$D$385,255),0))=0,"",INDEX('Disaggregation Records'!$E$155:$E$385,MATCH(RIGHT(Q1097,255),RIGHT('Disaggregation Records'!$D$155:$D$385,255),0))),"")</f>
        <v/>
      </c>
      <c r="S1097" s="189" t="str">
        <f t="array" ref="S1097">IFERROR(IF(INDEX('Disaggregation Records'!$F$155:$F$385,MATCH(RIGHT(Q1097,255),RIGHT('Disaggregation Records'!$D$155:$D$385,255),0))=0,"",INDEX('Disaggregation Records'!$F$155:$F$385,MATCH(RIGHT(Q1097,255),RIGHT('Disaggregation Records'!$D$155:$D$385,255),0))),"")</f>
        <v/>
      </c>
      <c r="T1097" s="189" t="str">
        <f t="array" ref="T1097">IFERROR(IF(INDEX('Disaggregation Records'!$H$155:$H$385,MATCH(RIGHT(Q1097,255),RIGHT('Disaggregation Records'!$D$155:$D$385,255),0))=0,"",INDEX('Disaggregation Records'!$H$155:$H$385,MATCH(RIGHT(Q1097,255),RIGHT('Disaggregation Records'!$D$155:$D$385,255),0))),"")</f>
        <v/>
      </c>
      <c r="U1097" s="189">
        <f t="shared" ref="U1097" si="4674">U1095+1</f>
        <v>1650</v>
      </c>
      <c r="V1097" s="189" t="str">
        <f t="array" ref="V1097">IFERROR(IF(INDEX('Disaggregation Records'!$I$155:$I$385,MATCH(RIGHT(Q1097,255),RIGHT('Disaggregation Records'!$D$155:$D$385,255),0))=0,"",INDEX('Disaggregation Records'!$I$155:$I$385,MATCH(RIGHT(Q1097,255),RIGHT('Disaggregation Records'!$D$155:$D$385,255),0))),"")</f>
        <v/>
      </c>
      <c r="W1097" s="189" t="str">
        <f>IFERROR(INDEX('Reference Records'!L$59:L$121,MATCH(LEFT(C1097,255),'Reference Records'!E$59:E$121,0)),"")</f>
        <v>KP-1a⁽ᴹ⁾ Percentage of men who have sex with men reached with HIV prevention programs - defined package of services</v>
      </c>
    </row>
    <row r="1098" spans="1:23" s="189" customFormat="1" ht="40.200000000000003" customHeight="1" x14ac:dyDescent="0.3">
      <c r="A1098" s="678"/>
      <c r="B1098" s="675"/>
      <c r="C1098" s="667"/>
      <c r="D1098" s="677"/>
      <c r="E1098" s="677"/>
      <c r="F1098" s="202"/>
      <c r="G1098" s="669"/>
      <c r="H1098" s="671"/>
      <c r="I1098" s="673"/>
      <c r="J1098" s="652"/>
      <c r="K1098" s="667"/>
      <c r="L1098" s="667"/>
      <c r="M1098" s="652"/>
      <c r="N1098" s="652"/>
    </row>
    <row r="1099" spans="1:23" s="189" customFormat="1" ht="40.200000000000003" customHeight="1" x14ac:dyDescent="0.3">
      <c r="A1099" s="678" t="str">
        <f t="shared" ref="A1099" ca="1" si="4675">INDIRECT("'update Helper'!C"&amp;U1099)</f>
        <v>a163p000002zQdEAAU</v>
      </c>
      <c r="B1099" s="674">
        <v>12</v>
      </c>
      <c r="C1099" s="666" t="str">
        <f>VLOOKUP(B1099,'Coverage Indicators - Section D'!$A$9:$AU$70,47,FALSE)</f>
        <v>KP-1a⁽ᴹ⁾ Pourcentage de HSH ayant bénéficié de programmes préventifs de lutte contre le VIH (paquet de services définis)</v>
      </c>
      <c r="D1099" s="676" t="str">
        <f t="shared" ref="D1099" si="4676">R1099</f>
        <v/>
      </c>
      <c r="E1099" s="676" t="str">
        <f t="shared" ref="E1099" si="4677">S1099</f>
        <v/>
      </c>
      <c r="F1099" s="194"/>
      <c r="G1099" s="668" t="str">
        <f t="shared" ref="G1099" ca="1" si="4678">IF(OR(INDIRECT("'update Helper'!E"&amp;U1099)=0,F1099&lt;&gt;0,F1100&lt;&gt;0),IF(IFERROR((F1099/F1100),"")="","",(F1099/F1100)),INDIRECT("'update Helper'!E"&amp;U1099)/100)</f>
        <v/>
      </c>
      <c r="H1099" s="670"/>
      <c r="I1099" s="672"/>
      <c r="J1099" s="651"/>
      <c r="K1099" s="666" t="str">
        <f t="shared" ref="K1099" si="4679">W1099</f>
        <v>KP-1a⁽ᴹ⁾ Percentage of men who have sex with men reached with HIV prevention programs - defined package of services</v>
      </c>
      <c r="L1099" s="666" t="str">
        <f t="shared" ref="L1099" si="4680">V1099</f>
        <v/>
      </c>
      <c r="M1099" s="651"/>
      <c r="N1099" s="651"/>
      <c r="P1099" s="189">
        <f t="shared" ref="P1099" si="4681">IF(AND(EXACT(C1099,C1097),C1097&lt;&gt;0),P1097+1,0)</f>
        <v>19</v>
      </c>
      <c r="Q1099" s="189" t="str">
        <f t="shared" ref="Q1099" si="4682">IF(C1099&lt;&gt;"",C1099&amp;"-"&amp;P1099,"")</f>
        <v>KP-1a⁽ᴹ⁾ Pourcentage de HSH ayant bénéficié de programmes préventifs de lutte contre le VIH (paquet de services définis)-19</v>
      </c>
      <c r="R1099" s="189" t="str">
        <f t="array" ref="R1099">IFERROR(IF(INDEX('Disaggregation Records'!$E$155:$E$385,MATCH(RIGHT(Q1099,255),RIGHT('Disaggregation Records'!$D$155:$D$385,255),0))=0,"",INDEX('Disaggregation Records'!$E$155:$E$385,MATCH(RIGHT(Q1099,255),RIGHT('Disaggregation Records'!$D$155:$D$385,255),0))),"")</f>
        <v/>
      </c>
      <c r="S1099" s="189" t="str">
        <f t="array" ref="S1099">IFERROR(IF(INDEX('Disaggregation Records'!$F$155:$F$385,MATCH(RIGHT(Q1099,255),RIGHT('Disaggregation Records'!$D$155:$D$385,255),0))=0,"",INDEX('Disaggregation Records'!$F$155:$F$385,MATCH(RIGHT(Q1099,255),RIGHT('Disaggregation Records'!$D$155:$D$385,255),0))),"")</f>
        <v/>
      </c>
      <c r="T1099" s="189" t="str">
        <f t="array" ref="T1099">IFERROR(IF(INDEX('Disaggregation Records'!$H$155:$H$385,MATCH(RIGHT(Q1099,255),RIGHT('Disaggregation Records'!$D$155:$D$385,255),0))=0,"",INDEX('Disaggregation Records'!$H$155:$H$385,MATCH(RIGHT(Q1099,255),RIGHT('Disaggregation Records'!$D$155:$D$385,255),0))),"")</f>
        <v/>
      </c>
      <c r="U1099" s="189">
        <f t="shared" ref="U1099" si="4683">U1097+1</f>
        <v>1651</v>
      </c>
      <c r="V1099" s="189" t="str">
        <f t="array" ref="V1099">IFERROR(IF(INDEX('Disaggregation Records'!$I$155:$I$385,MATCH(RIGHT(Q1099,255),RIGHT('Disaggregation Records'!$D$155:$D$385,255),0))=0,"",INDEX('Disaggregation Records'!$I$155:$I$385,MATCH(RIGHT(Q1099,255),RIGHT('Disaggregation Records'!$D$155:$D$385,255),0))),"")</f>
        <v/>
      </c>
      <c r="W1099" s="189" t="str">
        <f>IFERROR(INDEX('Reference Records'!L$59:L$121,MATCH(LEFT(C1099,255),'Reference Records'!E$59:E$121,0)),"")</f>
        <v>KP-1a⁽ᴹ⁾ Percentage of men who have sex with men reached with HIV prevention programs - defined package of services</v>
      </c>
    </row>
    <row r="1100" spans="1:23" s="189" customFormat="1" ht="40.200000000000003" customHeight="1" x14ac:dyDescent="0.3">
      <c r="A1100" s="678"/>
      <c r="B1100" s="675"/>
      <c r="C1100" s="667"/>
      <c r="D1100" s="677"/>
      <c r="E1100" s="677"/>
      <c r="F1100" s="202"/>
      <c r="G1100" s="669"/>
      <c r="H1100" s="671"/>
      <c r="I1100" s="673"/>
      <c r="J1100" s="652"/>
      <c r="K1100" s="667"/>
      <c r="L1100" s="667"/>
      <c r="M1100" s="652"/>
      <c r="N1100" s="652"/>
    </row>
    <row r="1101" spans="1:23" s="189" customFormat="1" ht="40.200000000000003" customHeight="1" x14ac:dyDescent="0.3">
      <c r="A1101" s="678" t="str">
        <f t="shared" ref="A1101" ca="1" si="4684">INDIRECT("'update Helper'!C"&amp;U1101)</f>
        <v>a163p000002zQdFAAU</v>
      </c>
      <c r="B1101" s="674">
        <v>13</v>
      </c>
      <c r="C1101" s="666" t="str">
        <f>VLOOKUP(B1101,'Coverage Indicators - Section D'!$A$9:$AU$70,47,FALSE)</f>
        <v>KP-1c⁽ᴹ⁾ Pourcentage de professionnels du sexe ayant bénéficié de programmes préventifs de lutte contre le VIH (paquet de services définis)</v>
      </c>
      <c r="D1101" s="676" t="str">
        <f t="shared" ref="D1101" si="4685">R1101</f>
        <v>Age</v>
      </c>
      <c r="E1101" s="676" t="str">
        <f t="shared" ref="E1101" si="4686">S1101</f>
        <v>25+</v>
      </c>
      <c r="F1101" s="194"/>
      <c r="G1101" s="668" t="str">
        <f t="shared" ref="G1101" ca="1" si="4687">IF(OR(INDIRECT("'update Helper'!E"&amp;U1101)=0,F1101&lt;&gt;0,F1102&lt;&gt;0),IF(IFERROR((F1101/F1102),"")="","",(F1101/F1102)),INDIRECT("'update Helper'!E"&amp;U1101)/100)</f>
        <v/>
      </c>
      <c r="H1101" s="670"/>
      <c r="I1101" s="672"/>
      <c r="J1101" s="651"/>
      <c r="K1101" s="666" t="str">
        <f t="shared" ref="K1101" si="4688">W1101</f>
        <v>KP-1c⁽ᴹ⁾ Percentage of sex workers reached with HIV prevention programs - defined package of services</v>
      </c>
      <c r="L1101" s="666" t="str">
        <f t="shared" ref="L1101" si="4689">V1101</f>
        <v>Age</v>
      </c>
      <c r="M1101" s="651"/>
      <c r="N1101" s="651"/>
      <c r="P1101" s="189">
        <f t="shared" ref="P1101" si="4690">IF(AND(EXACT(C1101,C1099),C1099&lt;&gt;0),P1099+1,0)</f>
        <v>0</v>
      </c>
      <c r="Q1101" s="189" t="str">
        <f t="shared" ref="Q1101" si="4691">IF(C1101&lt;&gt;"",C1101&amp;"-"&amp;P1101,"")</f>
        <v>KP-1c⁽ᴹ⁾ Pourcentage de professionnels du sexe ayant bénéficié de programmes préventifs de lutte contre le VIH (paquet de services définis)-0</v>
      </c>
      <c r="R1101" s="189" t="str">
        <f t="array" ref="R1101">IFERROR(IF(INDEX('Disaggregation Records'!$E$155:$E$385,MATCH(RIGHT(Q1101,255),RIGHT('Disaggregation Records'!$D$155:$D$385,255),0))=0,"",INDEX('Disaggregation Records'!$E$155:$E$385,MATCH(RIGHT(Q1101,255),RIGHT('Disaggregation Records'!$D$155:$D$385,255),0))),"")</f>
        <v>Age</v>
      </c>
      <c r="S1101" s="189" t="str">
        <f t="array" ref="S1101">IFERROR(IF(INDEX('Disaggregation Records'!$F$155:$F$385,MATCH(RIGHT(Q1101,255),RIGHT('Disaggregation Records'!$D$155:$D$385,255),0))=0,"",INDEX('Disaggregation Records'!$F$155:$F$385,MATCH(RIGHT(Q1101,255),RIGHT('Disaggregation Records'!$D$155:$D$385,255),0))),"")</f>
        <v>25+</v>
      </c>
      <c r="T1101" s="189" t="str">
        <f t="array" ref="T1101">IFERROR(IF(INDEX('Disaggregation Records'!$H$155:$H$385,MATCH(RIGHT(Q1101,255),RIGHT('Disaggregation Records'!$D$155:$D$385,255),0))=0,"",INDEX('Disaggregation Records'!$H$155:$H$385,MATCH(RIGHT(Q1101,255),RIGHT('Disaggregation Records'!$D$155:$D$385,255),0))),"")</f>
        <v>IDR-00704</v>
      </c>
      <c r="U1101" s="189">
        <f t="shared" ref="U1101" si="4692">U1099+1</f>
        <v>1652</v>
      </c>
      <c r="V1101" s="189" t="str">
        <f t="array" ref="V1101">IFERROR(IF(INDEX('Disaggregation Records'!$I$155:$I$385,MATCH(RIGHT(Q1101,255),RIGHT('Disaggregation Records'!$D$155:$D$385,255),0))=0,"",INDEX('Disaggregation Records'!$I$155:$I$385,MATCH(RIGHT(Q1101,255),RIGHT('Disaggregation Records'!$D$155:$D$385,255),0))),"")</f>
        <v>Age</v>
      </c>
      <c r="W1101" s="189" t="str">
        <f>IFERROR(INDEX('Reference Records'!L$59:L$121,MATCH(LEFT(C1101,255),'Reference Records'!E$59:E$121,0)),"")</f>
        <v>KP-1c⁽ᴹ⁾ Percentage of sex workers reached with HIV prevention programs - defined package of services</v>
      </c>
    </row>
    <row r="1102" spans="1:23" s="189" customFormat="1" ht="40.200000000000003" customHeight="1" x14ac:dyDescent="0.3">
      <c r="A1102" s="678"/>
      <c r="B1102" s="675"/>
      <c r="C1102" s="667"/>
      <c r="D1102" s="677"/>
      <c r="E1102" s="677"/>
      <c r="F1102" s="202"/>
      <c r="G1102" s="669"/>
      <c r="H1102" s="671"/>
      <c r="I1102" s="673"/>
      <c r="J1102" s="652"/>
      <c r="K1102" s="667"/>
      <c r="L1102" s="667"/>
      <c r="M1102" s="652"/>
      <c r="N1102" s="652"/>
    </row>
    <row r="1103" spans="1:23" s="189" customFormat="1" ht="40.200000000000003" customHeight="1" x14ac:dyDescent="0.3">
      <c r="A1103" s="678" t="str">
        <f t="shared" ref="A1103" ca="1" si="4693">INDIRECT("'update Helper'!C"&amp;U1103)</f>
        <v>a163p000002zQdGAAU</v>
      </c>
      <c r="B1103" s="674">
        <v>13</v>
      </c>
      <c r="C1103" s="666" t="str">
        <f>VLOOKUP(B1103,'Coverage Indicators - Section D'!$A$9:$AU$70,47,FALSE)</f>
        <v>KP-1c⁽ᴹ⁾ Pourcentage de professionnels du sexe ayant bénéficié de programmes préventifs de lutte contre le VIH (paquet de services définis)</v>
      </c>
      <c r="D1103" s="676" t="str">
        <f t="shared" ref="D1103" si="4694">R1103</f>
        <v>Age</v>
      </c>
      <c r="E1103" s="676" t="str">
        <f t="shared" ref="E1103" si="4695">S1103</f>
        <v>&lt;25</v>
      </c>
      <c r="F1103" s="194"/>
      <c r="G1103" s="668" t="str">
        <f t="shared" ref="G1103" ca="1" si="4696">IF(OR(INDIRECT("'update Helper'!E"&amp;U1103)=0,F1103&lt;&gt;0,F1104&lt;&gt;0),IF(IFERROR((F1103/F1104),"")="","",(F1103/F1104)),INDIRECT("'update Helper'!E"&amp;U1103)/100)</f>
        <v/>
      </c>
      <c r="H1103" s="670"/>
      <c r="I1103" s="672"/>
      <c r="J1103" s="651"/>
      <c r="K1103" s="666" t="str">
        <f t="shared" ref="K1103" si="4697">W1103</f>
        <v>KP-1c⁽ᴹ⁾ Percentage of sex workers reached with HIV prevention programs - defined package of services</v>
      </c>
      <c r="L1103" s="666" t="str">
        <f t="shared" ref="L1103" si="4698">V1103</f>
        <v>Age</v>
      </c>
      <c r="M1103" s="651"/>
      <c r="N1103" s="651"/>
      <c r="P1103" s="189">
        <f t="shared" ref="P1103" si="4699">IF(AND(EXACT(C1103,C1101),C1101&lt;&gt;0),P1101+1,0)</f>
        <v>1</v>
      </c>
      <c r="Q1103" s="189" t="str">
        <f t="shared" ref="Q1103" si="4700">IF(C1103&lt;&gt;"",C1103&amp;"-"&amp;P1103,"")</f>
        <v>KP-1c⁽ᴹ⁾ Pourcentage de professionnels du sexe ayant bénéficié de programmes préventifs de lutte contre le VIH (paquet de services définis)-1</v>
      </c>
      <c r="R1103" s="189" t="str">
        <f t="array" ref="R1103">IFERROR(IF(INDEX('Disaggregation Records'!$E$155:$E$385,MATCH(RIGHT(Q1103,255),RIGHT('Disaggregation Records'!$D$155:$D$385,255),0))=0,"",INDEX('Disaggregation Records'!$E$155:$E$385,MATCH(RIGHT(Q1103,255),RIGHT('Disaggregation Records'!$D$155:$D$385,255),0))),"")</f>
        <v>Age</v>
      </c>
      <c r="S1103" s="189" t="str">
        <f t="array" ref="S1103">IFERROR(IF(INDEX('Disaggregation Records'!$F$155:$F$385,MATCH(RIGHT(Q1103,255),RIGHT('Disaggregation Records'!$D$155:$D$385,255),0))=0,"",INDEX('Disaggregation Records'!$F$155:$F$385,MATCH(RIGHT(Q1103,255),RIGHT('Disaggregation Records'!$D$155:$D$385,255),0))),"")</f>
        <v>&lt;25</v>
      </c>
      <c r="T1103" s="189" t="str">
        <f t="array" ref="T1103">IFERROR(IF(INDEX('Disaggregation Records'!$H$155:$H$385,MATCH(RIGHT(Q1103,255),RIGHT('Disaggregation Records'!$D$155:$D$385,255),0))=0,"",INDEX('Disaggregation Records'!$H$155:$H$385,MATCH(RIGHT(Q1103,255),RIGHT('Disaggregation Records'!$D$155:$D$385,255),0))),"")</f>
        <v>IDR-00703</v>
      </c>
      <c r="U1103" s="189">
        <f t="shared" ref="U1103" si="4701">U1101+1</f>
        <v>1653</v>
      </c>
      <c r="V1103" s="189" t="str">
        <f t="array" ref="V1103">IFERROR(IF(INDEX('Disaggregation Records'!$I$155:$I$385,MATCH(RIGHT(Q1103,255),RIGHT('Disaggregation Records'!$D$155:$D$385,255),0))=0,"",INDEX('Disaggregation Records'!$I$155:$I$385,MATCH(RIGHT(Q1103,255),RIGHT('Disaggregation Records'!$D$155:$D$385,255),0))),"")</f>
        <v>Age</v>
      </c>
      <c r="W1103" s="189" t="str">
        <f>IFERROR(INDEX('Reference Records'!L$59:L$121,MATCH(LEFT(C1103,255),'Reference Records'!E$59:E$121,0)),"")</f>
        <v>KP-1c⁽ᴹ⁾ Percentage of sex workers reached with HIV prevention programs - defined package of services</v>
      </c>
    </row>
    <row r="1104" spans="1:23" s="189" customFormat="1" ht="40.200000000000003" customHeight="1" x14ac:dyDescent="0.3">
      <c r="A1104" s="678"/>
      <c r="B1104" s="675"/>
      <c r="C1104" s="667"/>
      <c r="D1104" s="677"/>
      <c r="E1104" s="677"/>
      <c r="F1104" s="202"/>
      <c r="G1104" s="669"/>
      <c r="H1104" s="671"/>
      <c r="I1104" s="673"/>
      <c r="J1104" s="652"/>
      <c r="K1104" s="667"/>
      <c r="L1104" s="667"/>
      <c r="M1104" s="652"/>
      <c r="N1104" s="652"/>
    </row>
    <row r="1105" spans="1:23" s="189" customFormat="1" ht="40.200000000000003" customHeight="1" x14ac:dyDescent="0.3">
      <c r="A1105" s="678" t="str">
        <f t="shared" ref="A1105" ca="1" si="4702">INDIRECT("'update Helper'!C"&amp;U1105)</f>
        <v>a163p000002zQdHAAU</v>
      </c>
      <c r="B1105" s="674">
        <v>13</v>
      </c>
      <c r="C1105" s="666" t="str">
        <f>VLOOKUP(B1105,'Coverage Indicators - Section D'!$A$9:$AU$70,47,FALSE)</f>
        <v>KP-1c⁽ᴹ⁾ Pourcentage de professionnels du sexe ayant bénéficié de programmes préventifs de lutte contre le VIH (paquet de services définis)</v>
      </c>
      <c r="D1105" s="676" t="str">
        <f t="shared" ref="D1105" si="4703">R1105</f>
        <v>Sexe</v>
      </c>
      <c r="E1105" s="676" t="str">
        <f t="shared" ref="E1105" si="4704">S1105</f>
        <v>Homme</v>
      </c>
      <c r="F1105" s="194"/>
      <c r="G1105" s="668" t="str">
        <f t="shared" ref="G1105" ca="1" si="4705">IF(OR(INDIRECT("'update Helper'!E"&amp;U1105)=0,F1105&lt;&gt;0,F1106&lt;&gt;0),IF(IFERROR((F1105/F1106),"")="","",(F1105/F1106)),INDIRECT("'update Helper'!E"&amp;U1105)/100)</f>
        <v/>
      </c>
      <c r="H1105" s="670"/>
      <c r="I1105" s="672"/>
      <c r="J1105" s="651"/>
      <c r="K1105" s="666" t="str">
        <f t="shared" ref="K1105" si="4706">W1105</f>
        <v>KP-1c⁽ᴹ⁾ Percentage of sex workers reached with HIV prevention programs - defined package of services</v>
      </c>
      <c r="L1105" s="666" t="str">
        <f t="shared" ref="L1105" si="4707">V1105</f>
        <v>Gender</v>
      </c>
      <c r="M1105" s="651"/>
      <c r="N1105" s="651"/>
      <c r="P1105" s="189">
        <f t="shared" ref="P1105" si="4708">IF(AND(EXACT(C1105,C1103),C1103&lt;&gt;0),P1103+1,0)</f>
        <v>2</v>
      </c>
      <c r="Q1105" s="189" t="str">
        <f t="shared" ref="Q1105" si="4709">IF(C1105&lt;&gt;"",C1105&amp;"-"&amp;P1105,"")</f>
        <v>KP-1c⁽ᴹ⁾ Pourcentage de professionnels du sexe ayant bénéficié de programmes préventifs de lutte contre le VIH (paquet de services définis)-2</v>
      </c>
      <c r="R1105" s="189" t="str">
        <f t="array" ref="R1105">IFERROR(IF(INDEX('Disaggregation Records'!$E$155:$E$385,MATCH(RIGHT(Q1105,255),RIGHT('Disaggregation Records'!$D$155:$D$385,255),0))=0,"",INDEX('Disaggregation Records'!$E$155:$E$385,MATCH(RIGHT(Q1105,255),RIGHT('Disaggregation Records'!$D$155:$D$385,255),0))),"")</f>
        <v>Sexe</v>
      </c>
      <c r="S1105" s="189" t="str">
        <f t="array" ref="S1105">IFERROR(IF(INDEX('Disaggregation Records'!$F$155:$F$385,MATCH(RIGHT(Q1105,255),RIGHT('Disaggregation Records'!$D$155:$D$385,255),0))=0,"",INDEX('Disaggregation Records'!$F$155:$F$385,MATCH(RIGHT(Q1105,255),RIGHT('Disaggregation Records'!$D$155:$D$385,255),0))),"")</f>
        <v>Homme</v>
      </c>
      <c r="T1105" s="189" t="str">
        <f t="array" ref="T1105">IFERROR(IF(INDEX('Disaggregation Records'!$H$155:$H$385,MATCH(RIGHT(Q1105,255),RIGHT('Disaggregation Records'!$D$155:$D$385,255),0))=0,"",INDEX('Disaggregation Records'!$H$155:$H$385,MATCH(RIGHT(Q1105,255),RIGHT('Disaggregation Records'!$D$155:$D$385,255),0))),"")</f>
        <v>IDR-00823</v>
      </c>
      <c r="U1105" s="189">
        <f t="shared" ref="U1105" si="4710">U1103+1</f>
        <v>1654</v>
      </c>
      <c r="V1105" s="189" t="str">
        <f t="array" ref="V1105">IFERROR(IF(INDEX('Disaggregation Records'!$I$155:$I$385,MATCH(RIGHT(Q1105,255),RIGHT('Disaggregation Records'!$D$155:$D$385,255),0))=0,"",INDEX('Disaggregation Records'!$I$155:$I$385,MATCH(RIGHT(Q1105,255),RIGHT('Disaggregation Records'!$D$155:$D$385,255),0))),"")</f>
        <v>Gender</v>
      </c>
      <c r="W1105" s="189" t="str">
        <f>IFERROR(INDEX('Reference Records'!L$59:L$121,MATCH(LEFT(C1105,255),'Reference Records'!E$59:E$121,0)),"")</f>
        <v>KP-1c⁽ᴹ⁾ Percentage of sex workers reached with HIV prevention programs - defined package of services</v>
      </c>
    </row>
    <row r="1106" spans="1:23" s="189" customFormat="1" ht="40.200000000000003" customHeight="1" x14ac:dyDescent="0.3">
      <c r="A1106" s="678"/>
      <c r="B1106" s="675"/>
      <c r="C1106" s="667"/>
      <c r="D1106" s="677"/>
      <c r="E1106" s="677"/>
      <c r="F1106" s="202"/>
      <c r="G1106" s="669"/>
      <c r="H1106" s="671"/>
      <c r="I1106" s="673"/>
      <c r="J1106" s="652"/>
      <c r="K1106" s="667"/>
      <c r="L1106" s="667"/>
      <c r="M1106" s="652"/>
      <c r="N1106" s="652"/>
    </row>
    <row r="1107" spans="1:23" s="189" customFormat="1" ht="40.200000000000003" customHeight="1" x14ac:dyDescent="0.3">
      <c r="A1107" s="678" t="str">
        <f t="shared" ref="A1107" ca="1" si="4711">INDIRECT("'update Helper'!C"&amp;U1107)</f>
        <v>a163p000002zQdIAAU</v>
      </c>
      <c r="B1107" s="674">
        <v>13</v>
      </c>
      <c r="C1107" s="666" t="str">
        <f>VLOOKUP(B1107,'Coverage Indicators - Section D'!$A$9:$AU$70,47,FALSE)</f>
        <v>KP-1c⁽ᴹ⁾ Pourcentage de professionnels du sexe ayant bénéficié de programmes préventifs de lutte contre le VIH (paquet de services définis)</v>
      </c>
      <c r="D1107" s="676" t="str">
        <f t="shared" ref="D1107" si="4712">R1107</f>
        <v>Sexe</v>
      </c>
      <c r="E1107" s="676" t="str">
        <f t="shared" ref="E1107" si="4713">S1107</f>
        <v>Femme</v>
      </c>
      <c r="F1107" s="194"/>
      <c r="G1107" s="668" t="str">
        <f t="shared" ref="G1107" ca="1" si="4714">IF(OR(INDIRECT("'update Helper'!E"&amp;U1107)=0,F1107&lt;&gt;0,F1108&lt;&gt;0),IF(IFERROR((F1107/F1108),"")="","",(F1107/F1108)),INDIRECT("'update Helper'!E"&amp;U1107)/100)</f>
        <v/>
      </c>
      <c r="H1107" s="670"/>
      <c r="I1107" s="672"/>
      <c r="J1107" s="651"/>
      <c r="K1107" s="666" t="str">
        <f t="shared" ref="K1107" si="4715">W1107</f>
        <v>KP-1c⁽ᴹ⁾ Percentage of sex workers reached with HIV prevention programs - defined package of services</v>
      </c>
      <c r="L1107" s="666" t="str">
        <f t="shared" ref="L1107" si="4716">V1107</f>
        <v>Gender</v>
      </c>
      <c r="M1107" s="651"/>
      <c r="N1107" s="651"/>
      <c r="P1107" s="189">
        <f t="shared" ref="P1107" si="4717">IF(AND(EXACT(C1107,C1105),C1105&lt;&gt;0),P1105+1,0)</f>
        <v>3</v>
      </c>
      <c r="Q1107" s="189" t="str">
        <f t="shared" ref="Q1107" si="4718">IF(C1107&lt;&gt;"",C1107&amp;"-"&amp;P1107,"")</f>
        <v>KP-1c⁽ᴹ⁾ Pourcentage de professionnels du sexe ayant bénéficié de programmes préventifs de lutte contre le VIH (paquet de services définis)-3</v>
      </c>
      <c r="R1107" s="189" t="str">
        <f t="array" ref="R1107">IFERROR(IF(INDEX('Disaggregation Records'!$E$155:$E$385,MATCH(RIGHT(Q1107,255),RIGHT('Disaggregation Records'!$D$155:$D$385,255),0))=0,"",INDEX('Disaggregation Records'!$E$155:$E$385,MATCH(RIGHT(Q1107,255),RIGHT('Disaggregation Records'!$D$155:$D$385,255),0))),"")</f>
        <v>Sexe</v>
      </c>
      <c r="S1107" s="189" t="str">
        <f t="array" ref="S1107">IFERROR(IF(INDEX('Disaggregation Records'!$F$155:$F$385,MATCH(RIGHT(Q1107,255),RIGHT('Disaggregation Records'!$D$155:$D$385,255),0))=0,"",INDEX('Disaggregation Records'!$F$155:$F$385,MATCH(RIGHT(Q1107,255),RIGHT('Disaggregation Records'!$D$155:$D$385,255),0))),"")</f>
        <v>Femme</v>
      </c>
      <c r="T1107" s="189" t="str">
        <f t="array" ref="T1107">IFERROR(IF(INDEX('Disaggregation Records'!$H$155:$H$385,MATCH(RIGHT(Q1107,255),RIGHT('Disaggregation Records'!$D$155:$D$385,255),0))=0,"",INDEX('Disaggregation Records'!$H$155:$H$385,MATCH(RIGHT(Q1107,255),RIGHT('Disaggregation Records'!$D$155:$D$385,255),0))),"")</f>
        <v>IDR-00824</v>
      </c>
      <c r="U1107" s="189">
        <f t="shared" ref="U1107" si="4719">U1105+1</f>
        <v>1655</v>
      </c>
      <c r="V1107" s="189" t="str">
        <f t="array" ref="V1107">IFERROR(IF(INDEX('Disaggregation Records'!$I$155:$I$385,MATCH(RIGHT(Q1107,255),RIGHT('Disaggregation Records'!$D$155:$D$385,255),0))=0,"",INDEX('Disaggregation Records'!$I$155:$I$385,MATCH(RIGHT(Q1107,255),RIGHT('Disaggregation Records'!$D$155:$D$385,255),0))),"")</f>
        <v>Gender</v>
      </c>
      <c r="W1107" s="189" t="str">
        <f>IFERROR(INDEX('Reference Records'!L$59:L$121,MATCH(LEFT(C1107,255),'Reference Records'!E$59:E$121,0)),"")</f>
        <v>KP-1c⁽ᴹ⁾ Percentage of sex workers reached with HIV prevention programs - defined package of services</v>
      </c>
    </row>
    <row r="1108" spans="1:23" s="189" customFormat="1" ht="40.200000000000003" customHeight="1" x14ac:dyDescent="0.3">
      <c r="A1108" s="678"/>
      <c r="B1108" s="675"/>
      <c r="C1108" s="667"/>
      <c r="D1108" s="677"/>
      <c r="E1108" s="677"/>
      <c r="F1108" s="202"/>
      <c r="G1108" s="669"/>
      <c r="H1108" s="671"/>
      <c r="I1108" s="673"/>
      <c r="J1108" s="652"/>
      <c r="K1108" s="667"/>
      <c r="L1108" s="667"/>
      <c r="M1108" s="652"/>
      <c r="N1108" s="652"/>
    </row>
    <row r="1109" spans="1:23" s="189" customFormat="1" ht="40.200000000000003" customHeight="1" x14ac:dyDescent="0.3">
      <c r="A1109" s="678" t="str">
        <f t="shared" ref="A1109" ca="1" si="4720">INDIRECT("'update Helper'!C"&amp;U1109)</f>
        <v>a163p000002zQdJAAU</v>
      </c>
      <c r="B1109" s="674">
        <v>13</v>
      </c>
      <c r="C1109" s="666" t="str">
        <f>VLOOKUP(B1109,'Coverage Indicators - Section D'!$A$9:$AU$70,47,FALSE)</f>
        <v>KP-1c⁽ᴹ⁾ Pourcentage de professionnels du sexe ayant bénéficié de programmes préventifs de lutte contre le VIH (paquet de services définis)</v>
      </c>
      <c r="D1109" s="676" t="str">
        <f t="shared" ref="D1109" si="4721">R1109</f>
        <v>Sexe</v>
      </c>
      <c r="E1109" s="676" t="str">
        <f t="shared" ref="E1109" si="4722">S1109</f>
        <v>Transgenre</v>
      </c>
      <c r="F1109" s="194"/>
      <c r="G1109" s="668" t="str">
        <f t="shared" ref="G1109" ca="1" si="4723">IF(OR(INDIRECT("'update Helper'!E"&amp;U1109)=0,F1109&lt;&gt;0,F1110&lt;&gt;0),IF(IFERROR((F1109/F1110),"")="","",(F1109/F1110)),INDIRECT("'update Helper'!E"&amp;U1109)/100)</f>
        <v/>
      </c>
      <c r="H1109" s="670"/>
      <c r="I1109" s="672"/>
      <c r="J1109" s="651"/>
      <c r="K1109" s="666" t="str">
        <f t="shared" ref="K1109" si="4724">W1109</f>
        <v>KP-1c⁽ᴹ⁾ Percentage of sex workers reached with HIV prevention programs - defined package of services</v>
      </c>
      <c r="L1109" s="666" t="str">
        <f t="shared" ref="L1109" si="4725">V1109</f>
        <v>Gender</v>
      </c>
      <c r="M1109" s="651"/>
      <c r="N1109" s="651"/>
      <c r="P1109" s="189">
        <f t="shared" ref="P1109" si="4726">IF(AND(EXACT(C1109,C1107),C1107&lt;&gt;0),P1107+1,0)</f>
        <v>4</v>
      </c>
      <c r="Q1109" s="189" t="str">
        <f t="shared" ref="Q1109" si="4727">IF(C1109&lt;&gt;"",C1109&amp;"-"&amp;P1109,"")</f>
        <v>KP-1c⁽ᴹ⁾ Pourcentage de professionnels du sexe ayant bénéficié de programmes préventifs de lutte contre le VIH (paquet de services définis)-4</v>
      </c>
      <c r="R1109" s="189" t="str">
        <f t="array" ref="R1109">IFERROR(IF(INDEX('Disaggregation Records'!$E$155:$E$385,MATCH(RIGHT(Q1109,255),RIGHT('Disaggregation Records'!$D$155:$D$385,255),0))=0,"",INDEX('Disaggregation Records'!$E$155:$E$385,MATCH(RIGHT(Q1109,255),RIGHT('Disaggregation Records'!$D$155:$D$385,255),0))),"")</f>
        <v>Sexe</v>
      </c>
      <c r="S1109" s="189" t="str">
        <f t="array" ref="S1109">IFERROR(IF(INDEX('Disaggregation Records'!$F$155:$F$385,MATCH(RIGHT(Q1109,255),RIGHT('Disaggregation Records'!$D$155:$D$385,255),0))=0,"",INDEX('Disaggregation Records'!$F$155:$F$385,MATCH(RIGHT(Q1109,255),RIGHT('Disaggregation Records'!$D$155:$D$385,255),0))),"")</f>
        <v>Transgenre</v>
      </c>
      <c r="T1109" s="189" t="str">
        <f t="array" ref="T1109">IFERROR(IF(INDEX('Disaggregation Records'!$H$155:$H$385,MATCH(RIGHT(Q1109,255),RIGHT('Disaggregation Records'!$D$155:$D$385,255),0))=0,"",INDEX('Disaggregation Records'!$H$155:$H$385,MATCH(RIGHT(Q1109,255),RIGHT('Disaggregation Records'!$D$155:$D$385,255),0))),"")</f>
        <v>IDR-00825</v>
      </c>
      <c r="U1109" s="189">
        <f t="shared" ref="U1109" si="4728">U1107+1</f>
        <v>1656</v>
      </c>
      <c r="V1109" s="189" t="str">
        <f t="array" ref="V1109">IFERROR(IF(INDEX('Disaggregation Records'!$I$155:$I$385,MATCH(RIGHT(Q1109,255),RIGHT('Disaggregation Records'!$D$155:$D$385,255),0))=0,"",INDEX('Disaggregation Records'!$I$155:$I$385,MATCH(RIGHT(Q1109,255),RIGHT('Disaggregation Records'!$D$155:$D$385,255),0))),"")</f>
        <v>Gender</v>
      </c>
      <c r="W1109" s="189" t="str">
        <f>IFERROR(INDEX('Reference Records'!L$59:L$121,MATCH(LEFT(C1109,255),'Reference Records'!E$59:E$121,0)),"")</f>
        <v>KP-1c⁽ᴹ⁾ Percentage of sex workers reached with HIV prevention programs - defined package of services</v>
      </c>
    </row>
    <row r="1110" spans="1:23" s="189" customFormat="1" ht="40.200000000000003" customHeight="1" x14ac:dyDescent="0.3">
      <c r="A1110" s="678"/>
      <c r="B1110" s="675"/>
      <c r="C1110" s="667"/>
      <c r="D1110" s="677"/>
      <c r="E1110" s="677"/>
      <c r="F1110" s="202"/>
      <c r="G1110" s="669"/>
      <c r="H1110" s="671"/>
      <c r="I1110" s="673"/>
      <c r="J1110" s="652"/>
      <c r="K1110" s="667"/>
      <c r="L1110" s="667"/>
      <c r="M1110" s="652"/>
      <c r="N1110" s="652"/>
    </row>
    <row r="1111" spans="1:23" s="189" customFormat="1" ht="40.200000000000003" customHeight="1" x14ac:dyDescent="0.3">
      <c r="A1111" s="678" t="str">
        <f t="shared" ref="A1111" ca="1" si="4729">INDIRECT("'update Helper'!C"&amp;U1111)</f>
        <v>a163p000002zQdKAAU</v>
      </c>
      <c r="B1111" s="674">
        <v>13</v>
      </c>
      <c r="C1111" s="666" t="str">
        <f>VLOOKUP(B1111,'Coverage Indicators - Section D'!$A$9:$AU$70,47,FALSE)</f>
        <v>KP-1c⁽ᴹ⁾ Pourcentage de professionnels du sexe ayant bénéficié de programmes préventifs de lutte contre le VIH (paquet de services définis)</v>
      </c>
      <c r="D1111" s="676" t="str">
        <f t="shared" ref="D1111" si="4730">R1111</f>
        <v/>
      </c>
      <c r="E1111" s="676" t="str">
        <f t="shared" ref="E1111" si="4731">S1111</f>
        <v/>
      </c>
      <c r="F1111" s="194"/>
      <c r="G1111" s="668" t="str">
        <f t="shared" ref="G1111" ca="1" si="4732">IF(OR(INDIRECT("'update Helper'!E"&amp;U1111)=0,F1111&lt;&gt;0,F1112&lt;&gt;0),IF(IFERROR((F1111/F1112),"")="","",(F1111/F1112)),INDIRECT("'update Helper'!E"&amp;U1111)/100)</f>
        <v/>
      </c>
      <c r="H1111" s="670"/>
      <c r="I1111" s="672"/>
      <c r="J1111" s="651"/>
      <c r="K1111" s="666" t="str">
        <f t="shared" ref="K1111" si="4733">W1111</f>
        <v>KP-1c⁽ᴹ⁾ Percentage of sex workers reached with HIV prevention programs - defined package of services</v>
      </c>
      <c r="L1111" s="666" t="str">
        <f t="shared" ref="L1111" si="4734">V1111</f>
        <v/>
      </c>
      <c r="M1111" s="651"/>
      <c r="N1111" s="651"/>
      <c r="P1111" s="189">
        <f t="shared" ref="P1111" si="4735">IF(AND(EXACT(C1111,C1109),C1109&lt;&gt;0),P1109+1,0)</f>
        <v>5</v>
      </c>
      <c r="Q1111" s="189" t="str">
        <f t="shared" ref="Q1111" si="4736">IF(C1111&lt;&gt;"",C1111&amp;"-"&amp;P1111,"")</f>
        <v>KP-1c⁽ᴹ⁾ Pourcentage de professionnels du sexe ayant bénéficié de programmes préventifs de lutte contre le VIH (paquet de services définis)-5</v>
      </c>
      <c r="R1111" s="189" t="str">
        <f t="array" ref="R1111">IFERROR(IF(INDEX('Disaggregation Records'!$E$155:$E$385,MATCH(RIGHT(Q1111,255),RIGHT('Disaggregation Records'!$D$155:$D$385,255),0))=0,"",INDEX('Disaggregation Records'!$E$155:$E$385,MATCH(RIGHT(Q1111,255),RIGHT('Disaggregation Records'!$D$155:$D$385,255),0))),"")</f>
        <v/>
      </c>
      <c r="S1111" s="189" t="str">
        <f t="array" ref="S1111">IFERROR(IF(INDEX('Disaggregation Records'!$F$155:$F$385,MATCH(RIGHT(Q1111,255),RIGHT('Disaggregation Records'!$D$155:$D$385,255),0))=0,"",INDEX('Disaggregation Records'!$F$155:$F$385,MATCH(RIGHT(Q1111,255),RIGHT('Disaggregation Records'!$D$155:$D$385,255),0))),"")</f>
        <v/>
      </c>
      <c r="T1111" s="189" t="str">
        <f t="array" ref="T1111">IFERROR(IF(INDEX('Disaggregation Records'!$H$155:$H$385,MATCH(RIGHT(Q1111,255),RIGHT('Disaggregation Records'!$D$155:$D$385,255),0))=0,"",INDEX('Disaggregation Records'!$H$155:$H$385,MATCH(RIGHT(Q1111,255),RIGHT('Disaggregation Records'!$D$155:$D$385,255),0))),"")</f>
        <v/>
      </c>
      <c r="U1111" s="189">
        <f t="shared" ref="U1111" si="4737">U1109+1</f>
        <v>1657</v>
      </c>
      <c r="V1111" s="189" t="str">
        <f t="array" ref="V1111">IFERROR(IF(INDEX('Disaggregation Records'!$I$155:$I$385,MATCH(RIGHT(Q1111,255),RIGHT('Disaggregation Records'!$D$155:$D$385,255),0))=0,"",INDEX('Disaggregation Records'!$I$155:$I$385,MATCH(RIGHT(Q1111,255),RIGHT('Disaggregation Records'!$D$155:$D$385,255),0))),"")</f>
        <v/>
      </c>
      <c r="W1111" s="189" t="str">
        <f>IFERROR(INDEX('Reference Records'!L$59:L$121,MATCH(LEFT(C1111,255),'Reference Records'!E$59:E$121,0)),"")</f>
        <v>KP-1c⁽ᴹ⁾ Percentage of sex workers reached with HIV prevention programs - defined package of services</v>
      </c>
    </row>
    <row r="1112" spans="1:23" s="189" customFormat="1" ht="40.200000000000003" customHeight="1" x14ac:dyDescent="0.3">
      <c r="A1112" s="678"/>
      <c r="B1112" s="675"/>
      <c r="C1112" s="667"/>
      <c r="D1112" s="677"/>
      <c r="E1112" s="677"/>
      <c r="F1112" s="202"/>
      <c r="G1112" s="669"/>
      <c r="H1112" s="671"/>
      <c r="I1112" s="673"/>
      <c r="J1112" s="652"/>
      <c r="K1112" s="667"/>
      <c r="L1112" s="667"/>
      <c r="M1112" s="652"/>
      <c r="N1112" s="652"/>
    </row>
    <row r="1113" spans="1:23" s="189" customFormat="1" ht="40.200000000000003" customHeight="1" x14ac:dyDescent="0.3">
      <c r="A1113" s="678" t="str">
        <f t="shared" ref="A1113" ca="1" si="4738">INDIRECT("'update Helper'!C"&amp;U1113)</f>
        <v>a163p000002zQdLAAU</v>
      </c>
      <c r="B1113" s="674">
        <v>13</v>
      </c>
      <c r="C1113" s="666" t="str">
        <f>VLOOKUP(B1113,'Coverage Indicators - Section D'!$A$9:$AU$70,47,FALSE)</f>
        <v>KP-1c⁽ᴹ⁾ Pourcentage de professionnels du sexe ayant bénéficié de programmes préventifs de lutte contre le VIH (paquet de services définis)</v>
      </c>
      <c r="D1113" s="676" t="str">
        <f t="shared" ref="D1113" si="4739">R1113</f>
        <v/>
      </c>
      <c r="E1113" s="676" t="str">
        <f t="shared" ref="E1113" si="4740">S1113</f>
        <v/>
      </c>
      <c r="F1113" s="194"/>
      <c r="G1113" s="668" t="str">
        <f t="shared" ref="G1113" ca="1" si="4741">IF(OR(INDIRECT("'update Helper'!E"&amp;U1113)=0,F1113&lt;&gt;0,F1114&lt;&gt;0),IF(IFERROR((F1113/F1114),"")="","",(F1113/F1114)),INDIRECT("'update Helper'!E"&amp;U1113)/100)</f>
        <v/>
      </c>
      <c r="H1113" s="670"/>
      <c r="I1113" s="672"/>
      <c r="J1113" s="651"/>
      <c r="K1113" s="666" t="str">
        <f t="shared" ref="K1113" si="4742">W1113</f>
        <v>KP-1c⁽ᴹ⁾ Percentage of sex workers reached with HIV prevention programs - defined package of services</v>
      </c>
      <c r="L1113" s="666" t="str">
        <f t="shared" ref="L1113" si="4743">V1113</f>
        <v/>
      </c>
      <c r="M1113" s="651"/>
      <c r="N1113" s="651"/>
      <c r="P1113" s="189">
        <f t="shared" ref="P1113" si="4744">IF(AND(EXACT(C1113,C1111),C1111&lt;&gt;0),P1111+1,0)</f>
        <v>6</v>
      </c>
      <c r="Q1113" s="189" t="str">
        <f t="shared" ref="Q1113" si="4745">IF(C1113&lt;&gt;"",C1113&amp;"-"&amp;P1113,"")</f>
        <v>KP-1c⁽ᴹ⁾ Pourcentage de professionnels du sexe ayant bénéficié de programmes préventifs de lutte contre le VIH (paquet de services définis)-6</v>
      </c>
      <c r="R1113" s="189" t="str">
        <f t="array" ref="R1113">IFERROR(IF(INDEX('Disaggregation Records'!$E$155:$E$385,MATCH(RIGHT(Q1113,255),RIGHT('Disaggregation Records'!$D$155:$D$385,255),0))=0,"",INDEX('Disaggregation Records'!$E$155:$E$385,MATCH(RIGHT(Q1113,255),RIGHT('Disaggregation Records'!$D$155:$D$385,255),0))),"")</f>
        <v/>
      </c>
      <c r="S1113" s="189" t="str">
        <f t="array" ref="S1113">IFERROR(IF(INDEX('Disaggregation Records'!$F$155:$F$385,MATCH(RIGHT(Q1113,255),RIGHT('Disaggregation Records'!$D$155:$D$385,255),0))=0,"",INDEX('Disaggregation Records'!$F$155:$F$385,MATCH(RIGHT(Q1113,255),RIGHT('Disaggregation Records'!$D$155:$D$385,255),0))),"")</f>
        <v/>
      </c>
      <c r="T1113" s="189" t="str">
        <f t="array" ref="T1113">IFERROR(IF(INDEX('Disaggregation Records'!$H$155:$H$385,MATCH(RIGHT(Q1113,255),RIGHT('Disaggregation Records'!$D$155:$D$385,255),0))=0,"",INDEX('Disaggregation Records'!$H$155:$H$385,MATCH(RIGHT(Q1113,255),RIGHT('Disaggregation Records'!$D$155:$D$385,255),0))),"")</f>
        <v/>
      </c>
      <c r="U1113" s="189">
        <f t="shared" ref="U1113" si="4746">U1111+1</f>
        <v>1658</v>
      </c>
      <c r="V1113" s="189" t="str">
        <f t="array" ref="V1113">IFERROR(IF(INDEX('Disaggregation Records'!$I$155:$I$385,MATCH(RIGHT(Q1113,255),RIGHT('Disaggregation Records'!$D$155:$D$385,255),0))=0,"",INDEX('Disaggregation Records'!$I$155:$I$385,MATCH(RIGHT(Q1113,255),RIGHT('Disaggregation Records'!$D$155:$D$385,255),0))),"")</f>
        <v/>
      </c>
      <c r="W1113" s="189" t="str">
        <f>IFERROR(INDEX('Reference Records'!L$59:L$121,MATCH(LEFT(C1113,255),'Reference Records'!E$59:E$121,0)),"")</f>
        <v>KP-1c⁽ᴹ⁾ Percentage of sex workers reached with HIV prevention programs - defined package of services</v>
      </c>
    </row>
    <row r="1114" spans="1:23" s="189" customFormat="1" ht="40.200000000000003" customHeight="1" x14ac:dyDescent="0.3">
      <c r="A1114" s="678"/>
      <c r="B1114" s="675"/>
      <c r="C1114" s="667"/>
      <c r="D1114" s="677"/>
      <c r="E1114" s="677"/>
      <c r="F1114" s="202"/>
      <c r="G1114" s="669"/>
      <c r="H1114" s="671"/>
      <c r="I1114" s="673"/>
      <c r="J1114" s="652"/>
      <c r="K1114" s="667"/>
      <c r="L1114" s="667"/>
      <c r="M1114" s="652"/>
      <c r="N1114" s="652"/>
    </row>
    <row r="1115" spans="1:23" s="189" customFormat="1" ht="40.200000000000003" customHeight="1" x14ac:dyDescent="0.3">
      <c r="A1115" s="678" t="str">
        <f t="shared" ref="A1115" ca="1" si="4747">INDIRECT("'update Helper'!C"&amp;U1115)</f>
        <v>a163p000002zQdMAAU</v>
      </c>
      <c r="B1115" s="674">
        <v>13</v>
      </c>
      <c r="C1115" s="666" t="str">
        <f>VLOOKUP(B1115,'Coverage Indicators - Section D'!$A$9:$AU$70,47,FALSE)</f>
        <v>KP-1c⁽ᴹ⁾ Pourcentage de professionnels du sexe ayant bénéficié de programmes préventifs de lutte contre le VIH (paquet de services définis)</v>
      </c>
      <c r="D1115" s="676" t="str">
        <f t="shared" ref="D1115" si="4748">R1115</f>
        <v/>
      </c>
      <c r="E1115" s="676" t="str">
        <f t="shared" ref="E1115" si="4749">S1115</f>
        <v/>
      </c>
      <c r="F1115" s="194"/>
      <c r="G1115" s="668" t="str">
        <f t="shared" ref="G1115" ca="1" si="4750">IF(OR(INDIRECT("'update Helper'!E"&amp;U1115)=0,F1115&lt;&gt;0,F1116&lt;&gt;0),IF(IFERROR((F1115/F1116),"")="","",(F1115/F1116)),INDIRECT("'update Helper'!E"&amp;U1115)/100)</f>
        <v/>
      </c>
      <c r="H1115" s="670"/>
      <c r="I1115" s="672"/>
      <c r="J1115" s="651"/>
      <c r="K1115" s="666" t="str">
        <f t="shared" ref="K1115" si="4751">W1115</f>
        <v>KP-1c⁽ᴹ⁾ Percentage of sex workers reached with HIV prevention programs - defined package of services</v>
      </c>
      <c r="L1115" s="666" t="str">
        <f t="shared" ref="L1115" si="4752">V1115</f>
        <v/>
      </c>
      <c r="M1115" s="651"/>
      <c r="N1115" s="651"/>
      <c r="P1115" s="189">
        <f t="shared" ref="P1115" si="4753">IF(AND(EXACT(C1115,C1113),C1113&lt;&gt;0),P1113+1,0)</f>
        <v>7</v>
      </c>
      <c r="Q1115" s="189" t="str">
        <f t="shared" ref="Q1115" si="4754">IF(C1115&lt;&gt;"",C1115&amp;"-"&amp;P1115,"")</f>
        <v>KP-1c⁽ᴹ⁾ Pourcentage de professionnels du sexe ayant bénéficié de programmes préventifs de lutte contre le VIH (paquet de services définis)-7</v>
      </c>
      <c r="R1115" s="189" t="str">
        <f t="array" ref="R1115">IFERROR(IF(INDEX('Disaggregation Records'!$E$155:$E$385,MATCH(RIGHT(Q1115,255),RIGHT('Disaggregation Records'!$D$155:$D$385,255),0))=0,"",INDEX('Disaggregation Records'!$E$155:$E$385,MATCH(RIGHT(Q1115,255),RIGHT('Disaggregation Records'!$D$155:$D$385,255),0))),"")</f>
        <v/>
      </c>
      <c r="S1115" s="189" t="str">
        <f t="array" ref="S1115">IFERROR(IF(INDEX('Disaggregation Records'!$F$155:$F$385,MATCH(RIGHT(Q1115,255),RIGHT('Disaggregation Records'!$D$155:$D$385,255),0))=0,"",INDEX('Disaggregation Records'!$F$155:$F$385,MATCH(RIGHT(Q1115,255),RIGHT('Disaggregation Records'!$D$155:$D$385,255),0))),"")</f>
        <v/>
      </c>
      <c r="T1115" s="189" t="str">
        <f t="array" ref="T1115">IFERROR(IF(INDEX('Disaggregation Records'!$H$155:$H$385,MATCH(RIGHT(Q1115,255),RIGHT('Disaggregation Records'!$D$155:$D$385,255),0))=0,"",INDEX('Disaggregation Records'!$H$155:$H$385,MATCH(RIGHT(Q1115,255),RIGHT('Disaggregation Records'!$D$155:$D$385,255),0))),"")</f>
        <v/>
      </c>
      <c r="U1115" s="189">
        <f t="shared" ref="U1115" si="4755">U1113+1</f>
        <v>1659</v>
      </c>
      <c r="V1115" s="189" t="str">
        <f t="array" ref="V1115">IFERROR(IF(INDEX('Disaggregation Records'!$I$155:$I$385,MATCH(RIGHT(Q1115,255),RIGHT('Disaggregation Records'!$D$155:$D$385,255),0))=0,"",INDEX('Disaggregation Records'!$I$155:$I$385,MATCH(RIGHT(Q1115,255),RIGHT('Disaggregation Records'!$D$155:$D$385,255),0))),"")</f>
        <v/>
      </c>
      <c r="W1115" s="189" t="str">
        <f>IFERROR(INDEX('Reference Records'!L$59:L$121,MATCH(LEFT(C1115,255),'Reference Records'!E$59:E$121,0)),"")</f>
        <v>KP-1c⁽ᴹ⁾ Percentage of sex workers reached with HIV prevention programs - defined package of services</v>
      </c>
    </row>
    <row r="1116" spans="1:23" s="189" customFormat="1" ht="40.200000000000003" customHeight="1" x14ac:dyDescent="0.3">
      <c r="A1116" s="678"/>
      <c r="B1116" s="675"/>
      <c r="C1116" s="667"/>
      <c r="D1116" s="677"/>
      <c r="E1116" s="677"/>
      <c r="F1116" s="202"/>
      <c r="G1116" s="669"/>
      <c r="H1116" s="671"/>
      <c r="I1116" s="673"/>
      <c r="J1116" s="652"/>
      <c r="K1116" s="667"/>
      <c r="L1116" s="667"/>
      <c r="M1116" s="652"/>
      <c r="N1116" s="652"/>
    </row>
    <row r="1117" spans="1:23" s="189" customFormat="1" ht="40.200000000000003" customHeight="1" x14ac:dyDescent="0.3">
      <c r="A1117" s="678" t="str">
        <f t="shared" ref="A1117" ca="1" si="4756">INDIRECT("'update Helper'!C"&amp;U1117)</f>
        <v>a163p000002zQdNAAU</v>
      </c>
      <c r="B1117" s="674">
        <v>13</v>
      </c>
      <c r="C1117" s="666" t="str">
        <f>VLOOKUP(B1117,'Coverage Indicators - Section D'!$A$9:$AU$70,47,FALSE)</f>
        <v>KP-1c⁽ᴹ⁾ Pourcentage de professionnels du sexe ayant bénéficié de programmes préventifs de lutte contre le VIH (paquet de services définis)</v>
      </c>
      <c r="D1117" s="676" t="str">
        <f t="shared" ref="D1117" si="4757">R1117</f>
        <v/>
      </c>
      <c r="E1117" s="676" t="str">
        <f t="shared" ref="E1117" si="4758">S1117</f>
        <v/>
      </c>
      <c r="F1117" s="194"/>
      <c r="G1117" s="668" t="str">
        <f t="shared" ref="G1117" ca="1" si="4759">IF(OR(INDIRECT("'update Helper'!E"&amp;U1117)=0,F1117&lt;&gt;0,F1118&lt;&gt;0),IF(IFERROR((F1117/F1118),"")="","",(F1117/F1118)),INDIRECT("'update Helper'!E"&amp;U1117)/100)</f>
        <v/>
      </c>
      <c r="H1117" s="670"/>
      <c r="I1117" s="672"/>
      <c r="J1117" s="651"/>
      <c r="K1117" s="666" t="str">
        <f t="shared" ref="K1117" si="4760">W1117</f>
        <v>KP-1c⁽ᴹ⁾ Percentage of sex workers reached with HIV prevention programs - defined package of services</v>
      </c>
      <c r="L1117" s="666" t="str">
        <f t="shared" ref="L1117" si="4761">V1117</f>
        <v/>
      </c>
      <c r="M1117" s="651"/>
      <c r="N1117" s="651"/>
      <c r="P1117" s="189">
        <f t="shared" ref="P1117" si="4762">IF(AND(EXACT(C1117,C1115),C1115&lt;&gt;0),P1115+1,0)</f>
        <v>8</v>
      </c>
      <c r="Q1117" s="189" t="str">
        <f t="shared" ref="Q1117" si="4763">IF(C1117&lt;&gt;"",C1117&amp;"-"&amp;P1117,"")</f>
        <v>KP-1c⁽ᴹ⁾ Pourcentage de professionnels du sexe ayant bénéficié de programmes préventifs de lutte contre le VIH (paquet de services définis)-8</v>
      </c>
      <c r="R1117" s="189" t="str">
        <f t="array" ref="R1117">IFERROR(IF(INDEX('Disaggregation Records'!$E$155:$E$385,MATCH(RIGHT(Q1117,255),RIGHT('Disaggregation Records'!$D$155:$D$385,255),0))=0,"",INDEX('Disaggregation Records'!$E$155:$E$385,MATCH(RIGHT(Q1117,255),RIGHT('Disaggregation Records'!$D$155:$D$385,255),0))),"")</f>
        <v/>
      </c>
      <c r="S1117" s="189" t="str">
        <f t="array" ref="S1117">IFERROR(IF(INDEX('Disaggregation Records'!$F$155:$F$385,MATCH(RIGHT(Q1117,255),RIGHT('Disaggregation Records'!$D$155:$D$385,255),0))=0,"",INDEX('Disaggregation Records'!$F$155:$F$385,MATCH(RIGHT(Q1117,255),RIGHT('Disaggregation Records'!$D$155:$D$385,255),0))),"")</f>
        <v/>
      </c>
      <c r="T1117" s="189" t="str">
        <f t="array" ref="T1117">IFERROR(IF(INDEX('Disaggregation Records'!$H$155:$H$385,MATCH(RIGHT(Q1117,255),RIGHT('Disaggregation Records'!$D$155:$D$385,255),0))=0,"",INDEX('Disaggregation Records'!$H$155:$H$385,MATCH(RIGHT(Q1117,255),RIGHT('Disaggregation Records'!$D$155:$D$385,255),0))),"")</f>
        <v/>
      </c>
      <c r="U1117" s="189">
        <f t="shared" ref="U1117" si="4764">U1115+1</f>
        <v>1660</v>
      </c>
      <c r="V1117" s="189" t="str">
        <f t="array" ref="V1117">IFERROR(IF(INDEX('Disaggregation Records'!$I$155:$I$385,MATCH(RIGHT(Q1117,255),RIGHT('Disaggregation Records'!$D$155:$D$385,255),0))=0,"",INDEX('Disaggregation Records'!$I$155:$I$385,MATCH(RIGHT(Q1117,255),RIGHT('Disaggregation Records'!$D$155:$D$385,255),0))),"")</f>
        <v/>
      </c>
      <c r="W1117" s="189" t="str">
        <f>IFERROR(INDEX('Reference Records'!L$59:L$121,MATCH(LEFT(C1117,255),'Reference Records'!E$59:E$121,0)),"")</f>
        <v>KP-1c⁽ᴹ⁾ Percentage of sex workers reached with HIV prevention programs - defined package of services</v>
      </c>
    </row>
    <row r="1118" spans="1:23" s="189" customFormat="1" ht="40.200000000000003" customHeight="1" x14ac:dyDescent="0.3">
      <c r="A1118" s="678"/>
      <c r="B1118" s="675"/>
      <c r="C1118" s="667"/>
      <c r="D1118" s="677"/>
      <c r="E1118" s="677"/>
      <c r="F1118" s="202"/>
      <c r="G1118" s="669"/>
      <c r="H1118" s="671"/>
      <c r="I1118" s="673"/>
      <c r="J1118" s="652"/>
      <c r="K1118" s="667"/>
      <c r="L1118" s="667"/>
      <c r="M1118" s="652"/>
      <c r="N1118" s="652"/>
    </row>
    <row r="1119" spans="1:23" s="189" customFormat="1" ht="40.200000000000003" customHeight="1" x14ac:dyDescent="0.3">
      <c r="A1119" s="678" t="str">
        <f t="shared" ref="A1119" ca="1" si="4765">INDIRECT("'update Helper'!C"&amp;U1119)</f>
        <v>a163p000002zQdOAAU</v>
      </c>
      <c r="B1119" s="674">
        <v>13</v>
      </c>
      <c r="C1119" s="666" t="str">
        <f>VLOOKUP(B1119,'Coverage Indicators - Section D'!$A$9:$AU$70,47,FALSE)</f>
        <v>KP-1c⁽ᴹ⁾ Pourcentage de professionnels du sexe ayant bénéficié de programmes préventifs de lutte contre le VIH (paquet de services définis)</v>
      </c>
      <c r="D1119" s="676" t="str">
        <f t="shared" ref="D1119" si="4766">R1119</f>
        <v/>
      </c>
      <c r="E1119" s="676" t="str">
        <f t="shared" ref="E1119" si="4767">S1119</f>
        <v/>
      </c>
      <c r="F1119" s="194"/>
      <c r="G1119" s="668" t="str">
        <f t="shared" ref="G1119" ca="1" si="4768">IF(OR(INDIRECT("'update Helper'!E"&amp;U1119)=0,F1119&lt;&gt;0,F1120&lt;&gt;0),IF(IFERROR((F1119/F1120),"")="","",(F1119/F1120)),INDIRECT("'update Helper'!E"&amp;U1119)/100)</f>
        <v/>
      </c>
      <c r="H1119" s="670"/>
      <c r="I1119" s="672"/>
      <c r="J1119" s="651"/>
      <c r="K1119" s="666" t="str">
        <f t="shared" ref="K1119" si="4769">W1119</f>
        <v>KP-1c⁽ᴹ⁾ Percentage of sex workers reached with HIV prevention programs - defined package of services</v>
      </c>
      <c r="L1119" s="666" t="str">
        <f t="shared" ref="L1119" si="4770">V1119</f>
        <v/>
      </c>
      <c r="M1119" s="651"/>
      <c r="N1119" s="651"/>
      <c r="P1119" s="189">
        <f t="shared" ref="P1119" si="4771">IF(AND(EXACT(C1119,C1117),C1117&lt;&gt;0),P1117+1,0)</f>
        <v>9</v>
      </c>
      <c r="Q1119" s="189" t="str">
        <f t="shared" ref="Q1119" si="4772">IF(C1119&lt;&gt;"",C1119&amp;"-"&amp;P1119,"")</f>
        <v>KP-1c⁽ᴹ⁾ Pourcentage de professionnels du sexe ayant bénéficié de programmes préventifs de lutte contre le VIH (paquet de services définis)-9</v>
      </c>
      <c r="R1119" s="189" t="str">
        <f t="array" ref="R1119">IFERROR(IF(INDEX('Disaggregation Records'!$E$155:$E$385,MATCH(RIGHT(Q1119,255),RIGHT('Disaggregation Records'!$D$155:$D$385,255),0))=0,"",INDEX('Disaggregation Records'!$E$155:$E$385,MATCH(RIGHT(Q1119,255),RIGHT('Disaggregation Records'!$D$155:$D$385,255),0))),"")</f>
        <v/>
      </c>
      <c r="S1119" s="189" t="str">
        <f t="array" ref="S1119">IFERROR(IF(INDEX('Disaggregation Records'!$F$155:$F$385,MATCH(RIGHT(Q1119,255),RIGHT('Disaggregation Records'!$D$155:$D$385,255),0))=0,"",INDEX('Disaggregation Records'!$F$155:$F$385,MATCH(RIGHT(Q1119,255),RIGHT('Disaggregation Records'!$D$155:$D$385,255),0))),"")</f>
        <v/>
      </c>
      <c r="T1119" s="189" t="str">
        <f t="array" ref="T1119">IFERROR(IF(INDEX('Disaggregation Records'!$H$155:$H$385,MATCH(RIGHT(Q1119,255),RIGHT('Disaggregation Records'!$D$155:$D$385,255),0))=0,"",INDEX('Disaggregation Records'!$H$155:$H$385,MATCH(RIGHT(Q1119,255),RIGHT('Disaggregation Records'!$D$155:$D$385,255),0))),"")</f>
        <v/>
      </c>
      <c r="U1119" s="189">
        <f t="shared" ref="U1119" si="4773">U1117+1</f>
        <v>1661</v>
      </c>
      <c r="V1119" s="189" t="str">
        <f t="array" ref="V1119">IFERROR(IF(INDEX('Disaggregation Records'!$I$155:$I$385,MATCH(RIGHT(Q1119,255),RIGHT('Disaggregation Records'!$D$155:$D$385,255),0))=0,"",INDEX('Disaggregation Records'!$I$155:$I$385,MATCH(RIGHT(Q1119,255),RIGHT('Disaggregation Records'!$D$155:$D$385,255),0))),"")</f>
        <v/>
      </c>
      <c r="W1119" s="189" t="str">
        <f>IFERROR(INDEX('Reference Records'!L$59:L$121,MATCH(LEFT(C1119,255),'Reference Records'!E$59:E$121,0)),"")</f>
        <v>KP-1c⁽ᴹ⁾ Percentage of sex workers reached with HIV prevention programs - defined package of services</v>
      </c>
    </row>
    <row r="1120" spans="1:23" s="189" customFormat="1" ht="40.200000000000003" customHeight="1" x14ac:dyDescent="0.3">
      <c r="A1120" s="678"/>
      <c r="B1120" s="675"/>
      <c r="C1120" s="667"/>
      <c r="D1120" s="677"/>
      <c r="E1120" s="677"/>
      <c r="F1120" s="202"/>
      <c r="G1120" s="669"/>
      <c r="H1120" s="671"/>
      <c r="I1120" s="673"/>
      <c r="J1120" s="652"/>
      <c r="K1120" s="667"/>
      <c r="L1120" s="667"/>
      <c r="M1120" s="652"/>
      <c r="N1120" s="652"/>
    </row>
    <row r="1121" spans="1:23" s="189" customFormat="1" ht="40.200000000000003" customHeight="1" x14ac:dyDescent="0.3">
      <c r="A1121" s="678" t="str">
        <f t="shared" ref="A1121" ca="1" si="4774">INDIRECT("'update Helper'!C"&amp;U1121)</f>
        <v>a163p000002zQdPAAU</v>
      </c>
      <c r="B1121" s="674">
        <v>13</v>
      </c>
      <c r="C1121" s="666" t="str">
        <f>VLOOKUP(B1121,'Coverage Indicators - Section D'!$A$9:$AU$70,47,FALSE)</f>
        <v>KP-1c⁽ᴹ⁾ Pourcentage de professionnels du sexe ayant bénéficié de programmes préventifs de lutte contre le VIH (paquet de services définis)</v>
      </c>
      <c r="D1121" s="676" t="str">
        <f t="shared" ref="D1121" si="4775">R1121</f>
        <v/>
      </c>
      <c r="E1121" s="676" t="str">
        <f t="shared" ref="E1121" si="4776">S1121</f>
        <v/>
      </c>
      <c r="F1121" s="194"/>
      <c r="G1121" s="668" t="str">
        <f t="shared" ref="G1121" ca="1" si="4777">IF(OR(INDIRECT("'update Helper'!E"&amp;U1121)=0,F1121&lt;&gt;0,F1122&lt;&gt;0),IF(IFERROR((F1121/F1122),"")="","",(F1121/F1122)),INDIRECT("'update Helper'!E"&amp;U1121)/100)</f>
        <v/>
      </c>
      <c r="H1121" s="670"/>
      <c r="I1121" s="672"/>
      <c r="J1121" s="651"/>
      <c r="K1121" s="666" t="str">
        <f t="shared" ref="K1121" si="4778">W1121</f>
        <v>KP-1c⁽ᴹ⁾ Percentage of sex workers reached with HIV prevention programs - defined package of services</v>
      </c>
      <c r="L1121" s="666" t="str">
        <f t="shared" ref="L1121" si="4779">V1121</f>
        <v/>
      </c>
      <c r="M1121" s="651"/>
      <c r="N1121" s="651"/>
      <c r="P1121" s="189">
        <f t="shared" ref="P1121" si="4780">IF(AND(EXACT(C1121,C1119),C1119&lt;&gt;0),P1119+1,0)</f>
        <v>10</v>
      </c>
      <c r="Q1121" s="189" t="str">
        <f t="shared" ref="Q1121" si="4781">IF(C1121&lt;&gt;"",C1121&amp;"-"&amp;P1121,"")</f>
        <v>KP-1c⁽ᴹ⁾ Pourcentage de professionnels du sexe ayant bénéficié de programmes préventifs de lutte contre le VIH (paquet de services définis)-10</v>
      </c>
      <c r="R1121" s="189" t="str">
        <f t="array" ref="R1121">IFERROR(IF(INDEX('Disaggregation Records'!$E$155:$E$385,MATCH(RIGHT(Q1121,255),RIGHT('Disaggregation Records'!$D$155:$D$385,255),0))=0,"",INDEX('Disaggregation Records'!$E$155:$E$385,MATCH(RIGHT(Q1121,255),RIGHT('Disaggregation Records'!$D$155:$D$385,255),0))),"")</f>
        <v/>
      </c>
      <c r="S1121" s="189" t="str">
        <f t="array" ref="S1121">IFERROR(IF(INDEX('Disaggregation Records'!$F$155:$F$385,MATCH(RIGHT(Q1121,255),RIGHT('Disaggregation Records'!$D$155:$D$385,255),0))=0,"",INDEX('Disaggregation Records'!$F$155:$F$385,MATCH(RIGHT(Q1121,255),RIGHT('Disaggregation Records'!$D$155:$D$385,255),0))),"")</f>
        <v/>
      </c>
      <c r="T1121" s="189" t="str">
        <f t="array" ref="T1121">IFERROR(IF(INDEX('Disaggregation Records'!$H$155:$H$385,MATCH(RIGHT(Q1121,255),RIGHT('Disaggregation Records'!$D$155:$D$385,255),0))=0,"",INDEX('Disaggregation Records'!$H$155:$H$385,MATCH(RIGHT(Q1121,255),RIGHT('Disaggregation Records'!$D$155:$D$385,255),0))),"")</f>
        <v/>
      </c>
      <c r="U1121" s="189">
        <f t="shared" ref="U1121" si="4782">U1119+1</f>
        <v>1662</v>
      </c>
      <c r="V1121" s="189" t="str">
        <f t="array" ref="V1121">IFERROR(IF(INDEX('Disaggregation Records'!$I$155:$I$385,MATCH(RIGHT(Q1121,255),RIGHT('Disaggregation Records'!$D$155:$D$385,255),0))=0,"",INDEX('Disaggregation Records'!$I$155:$I$385,MATCH(RIGHT(Q1121,255),RIGHT('Disaggregation Records'!$D$155:$D$385,255),0))),"")</f>
        <v/>
      </c>
      <c r="W1121" s="189" t="str">
        <f>IFERROR(INDEX('Reference Records'!L$59:L$121,MATCH(LEFT(C1121,255),'Reference Records'!E$59:E$121,0)),"")</f>
        <v>KP-1c⁽ᴹ⁾ Percentage of sex workers reached with HIV prevention programs - defined package of services</v>
      </c>
    </row>
    <row r="1122" spans="1:23" s="189" customFormat="1" ht="40.200000000000003" customHeight="1" x14ac:dyDescent="0.3">
      <c r="A1122" s="678"/>
      <c r="B1122" s="675"/>
      <c r="C1122" s="667"/>
      <c r="D1122" s="677"/>
      <c r="E1122" s="677"/>
      <c r="F1122" s="202"/>
      <c r="G1122" s="669"/>
      <c r="H1122" s="671"/>
      <c r="I1122" s="673"/>
      <c r="J1122" s="652"/>
      <c r="K1122" s="667"/>
      <c r="L1122" s="667"/>
      <c r="M1122" s="652"/>
      <c r="N1122" s="652"/>
    </row>
    <row r="1123" spans="1:23" s="189" customFormat="1" ht="40.200000000000003" customHeight="1" x14ac:dyDescent="0.3">
      <c r="A1123" s="678" t="str">
        <f t="shared" ref="A1123" ca="1" si="4783">INDIRECT("'update Helper'!C"&amp;U1123)</f>
        <v>a163p000002zQdQAAU</v>
      </c>
      <c r="B1123" s="674">
        <v>13</v>
      </c>
      <c r="C1123" s="666" t="str">
        <f>VLOOKUP(B1123,'Coverage Indicators - Section D'!$A$9:$AU$70,47,FALSE)</f>
        <v>KP-1c⁽ᴹ⁾ Pourcentage de professionnels du sexe ayant bénéficié de programmes préventifs de lutte contre le VIH (paquet de services définis)</v>
      </c>
      <c r="D1123" s="676" t="str">
        <f t="shared" ref="D1123" si="4784">R1123</f>
        <v/>
      </c>
      <c r="E1123" s="676" t="str">
        <f t="shared" ref="E1123" si="4785">S1123</f>
        <v/>
      </c>
      <c r="F1123" s="194"/>
      <c r="G1123" s="668" t="str">
        <f t="shared" ref="G1123" ca="1" si="4786">IF(OR(INDIRECT("'update Helper'!E"&amp;U1123)=0,F1123&lt;&gt;0,F1124&lt;&gt;0),IF(IFERROR((F1123/F1124),"")="","",(F1123/F1124)),INDIRECT("'update Helper'!E"&amp;U1123)/100)</f>
        <v/>
      </c>
      <c r="H1123" s="670"/>
      <c r="I1123" s="672"/>
      <c r="J1123" s="651"/>
      <c r="K1123" s="666" t="str">
        <f t="shared" ref="K1123" si="4787">W1123</f>
        <v>KP-1c⁽ᴹ⁾ Percentage of sex workers reached with HIV prevention programs - defined package of services</v>
      </c>
      <c r="L1123" s="666" t="str">
        <f t="shared" ref="L1123" si="4788">V1123</f>
        <v/>
      </c>
      <c r="M1123" s="651"/>
      <c r="N1123" s="651"/>
      <c r="P1123" s="189">
        <f t="shared" ref="P1123" si="4789">IF(AND(EXACT(C1123,C1121),C1121&lt;&gt;0),P1121+1,0)</f>
        <v>11</v>
      </c>
      <c r="Q1123" s="189" t="str">
        <f t="shared" ref="Q1123" si="4790">IF(C1123&lt;&gt;"",C1123&amp;"-"&amp;P1123,"")</f>
        <v>KP-1c⁽ᴹ⁾ Pourcentage de professionnels du sexe ayant bénéficié de programmes préventifs de lutte contre le VIH (paquet de services définis)-11</v>
      </c>
      <c r="R1123" s="189" t="str">
        <f t="array" ref="R1123">IFERROR(IF(INDEX('Disaggregation Records'!$E$155:$E$385,MATCH(RIGHT(Q1123,255),RIGHT('Disaggregation Records'!$D$155:$D$385,255),0))=0,"",INDEX('Disaggregation Records'!$E$155:$E$385,MATCH(RIGHT(Q1123,255),RIGHT('Disaggregation Records'!$D$155:$D$385,255),0))),"")</f>
        <v/>
      </c>
      <c r="S1123" s="189" t="str">
        <f t="array" ref="S1123">IFERROR(IF(INDEX('Disaggregation Records'!$F$155:$F$385,MATCH(RIGHT(Q1123,255),RIGHT('Disaggregation Records'!$D$155:$D$385,255),0))=0,"",INDEX('Disaggregation Records'!$F$155:$F$385,MATCH(RIGHT(Q1123,255),RIGHT('Disaggregation Records'!$D$155:$D$385,255),0))),"")</f>
        <v/>
      </c>
      <c r="T1123" s="189" t="str">
        <f t="array" ref="T1123">IFERROR(IF(INDEX('Disaggregation Records'!$H$155:$H$385,MATCH(RIGHT(Q1123,255),RIGHT('Disaggregation Records'!$D$155:$D$385,255),0))=0,"",INDEX('Disaggregation Records'!$H$155:$H$385,MATCH(RIGHT(Q1123,255),RIGHT('Disaggregation Records'!$D$155:$D$385,255),0))),"")</f>
        <v/>
      </c>
      <c r="U1123" s="189">
        <f t="shared" ref="U1123" si="4791">U1121+1</f>
        <v>1663</v>
      </c>
      <c r="V1123" s="189" t="str">
        <f t="array" ref="V1123">IFERROR(IF(INDEX('Disaggregation Records'!$I$155:$I$385,MATCH(RIGHT(Q1123,255),RIGHT('Disaggregation Records'!$D$155:$D$385,255),0))=0,"",INDEX('Disaggregation Records'!$I$155:$I$385,MATCH(RIGHT(Q1123,255),RIGHT('Disaggregation Records'!$D$155:$D$385,255),0))),"")</f>
        <v/>
      </c>
      <c r="W1123" s="189" t="str">
        <f>IFERROR(INDEX('Reference Records'!L$59:L$121,MATCH(LEFT(C1123,255),'Reference Records'!E$59:E$121,0)),"")</f>
        <v>KP-1c⁽ᴹ⁾ Percentage of sex workers reached with HIV prevention programs - defined package of services</v>
      </c>
    </row>
    <row r="1124" spans="1:23" s="189" customFormat="1" ht="40.200000000000003" customHeight="1" x14ac:dyDescent="0.3">
      <c r="A1124" s="678"/>
      <c r="B1124" s="675"/>
      <c r="C1124" s="667"/>
      <c r="D1124" s="677"/>
      <c r="E1124" s="677"/>
      <c r="F1124" s="202"/>
      <c r="G1124" s="669"/>
      <c r="H1124" s="671"/>
      <c r="I1124" s="673"/>
      <c r="J1124" s="652"/>
      <c r="K1124" s="667"/>
      <c r="L1124" s="667"/>
      <c r="M1124" s="652"/>
      <c r="N1124" s="652"/>
    </row>
    <row r="1125" spans="1:23" s="189" customFormat="1" ht="40.200000000000003" customHeight="1" x14ac:dyDescent="0.3">
      <c r="A1125" s="678" t="str">
        <f t="shared" ref="A1125" ca="1" si="4792">INDIRECT("'update Helper'!C"&amp;U1125)</f>
        <v>a163p000002zQdRAAU</v>
      </c>
      <c r="B1125" s="674">
        <v>13</v>
      </c>
      <c r="C1125" s="666" t="str">
        <f>VLOOKUP(B1125,'Coverage Indicators - Section D'!$A$9:$AU$70,47,FALSE)</f>
        <v>KP-1c⁽ᴹ⁾ Pourcentage de professionnels du sexe ayant bénéficié de programmes préventifs de lutte contre le VIH (paquet de services définis)</v>
      </c>
      <c r="D1125" s="676" t="str">
        <f t="shared" ref="D1125" si="4793">R1125</f>
        <v/>
      </c>
      <c r="E1125" s="676" t="str">
        <f t="shared" ref="E1125" si="4794">S1125</f>
        <v/>
      </c>
      <c r="F1125" s="194"/>
      <c r="G1125" s="668" t="str">
        <f t="shared" ref="G1125" ca="1" si="4795">IF(OR(INDIRECT("'update Helper'!E"&amp;U1125)=0,F1125&lt;&gt;0,F1126&lt;&gt;0),IF(IFERROR((F1125/F1126),"")="","",(F1125/F1126)),INDIRECT("'update Helper'!E"&amp;U1125)/100)</f>
        <v/>
      </c>
      <c r="H1125" s="670"/>
      <c r="I1125" s="672"/>
      <c r="J1125" s="651"/>
      <c r="K1125" s="666" t="str">
        <f t="shared" ref="K1125" si="4796">W1125</f>
        <v>KP-1c⁽ᴹ⁾ Percentage of sex workers reached with HIV prevention programs - defined package of services</v>
      </c>
      <c r="L1125" s="666" t="str">
        <f t="shared" ref="L1125" si="4797">V1125</f>
        <v/>
      </c>
      <c r="M1125" s="651"/>
      <c r="N1125" s="651"/>
      <c r="P1125" s="189">
        <f t="shared" ref="P1125" si="4798">IF(AND(EXACT(C1125,C1123),C1123&lt;&gt;0),P1123+1,0)</f>
        <v>12</v>
      </c>
      <c r="Q1125" s="189" t="str">
        <f t="shared" ref="Q1125" si="4799">IF(C1125&lt;&gt;"",C1125&amp;"-"&amp;P1125,"")</f>
        <v>KP-1c⁽ᴹ⁾ Pourcentage de professionnels du sexe ayant bénéficié de programmes préventifs de lutte contre le VIH (paquet de services définis)-12</v>
      </c>
      <c r="R1125" s="189" t="str">
        <f t="array" ref="R1125">IFERROR(IF(INDEX('Disaggregation Records'!$E$155:$E$385,MATCH(RIGHT(Q1125,255),RIGHT('Disaggregation Records'!$D$155:$D$385,255),0))=0,"",INDEX('Disaggregation Records'!$E$155:$E$385,MATCH(RIGHT(Q1125,255),RIGHT('Disaggregation Records'!$D$155:$D$385,255),0))),"")</f>
        <v/>
      </c>
      <c r="S1125" s="189" t="str">
        <f t="array" ref="S1125">IFERROR(IF(INDEX('Disaggregation Records'!$F$155:$F$385,MATCH(RIGHT(Q1125,255),RIGHT('Disaggregation Records'!$D$155:$D$385,255),0))=0,"",INDEX('Disaggregation Records'!$F$155:$F$385,MATCH(RIGHT(Q1125,255),RIGHT('Disaggregation Records'!$D$155:$D$385,255),0))),"")</f>
        <v/>
      </c>
      <c r="T1125" s="189" t="str">
        <f t="array" ref="T1125">IFERROR(IF(INDEX('Disaggregation Records'!$H$155:$H$385,MATCH(RIGHT(Q1125,255),RIGHT('Disaggregation Records'!$D$155:$D$385,255),0))=0,"",INDEX('Disaggregation Records'!$H$155:$H$385,MATCH(RIGHT(Q1125,255),RIGHT('Disaggregation Records'!$D$155:$D$385,255),0))),"")</f>
        <v/>
      </c>
      <c r="U1125" s="189">
        <f t="shared" ref="U1125" si="4800">U1123+1</f>
        <v>1664</v>
      </c>
      <c r="V1125" s="189" t="str">
        <f t="array" ref="V1125">IFERROR(IF(INDEX('Disaggregation Records'!$I$155:$I$385,MATCH(RIGHT(Q1125,255),RIGHT('Disaggregation Records'!$D$155:$D$385,255),0))=0,"",INDEX('Disaggregation Records'!$I$155:$I$385,MATCH(RIGHT(Q1125,255),RIGHT('Disaggregation Records'!$D$155:$D$385,255),0))),"")</f>
        <v/>
      </c>
      <c r="W1125" s="189" t="str">
        <f>IFERROR(INDEX('Reference Records'!L$59:L$121,MATCH(LEFT(C1125,255),'Reference Records'!E$59:E$121,0)),"")</f>
        <v>KP-1c⁽ᴹ⁾ Percentage of sex workers reached with HIV prevention programs - defined package of services</v>
      </c>
    </row>
    <row r="1126" spans="1:23" s="189" customFormat="1" ht="40.200000000000003" customHeight="1" x14ac:dyDescent="0.3">
      <c r="A1126" s="678"/>
      <c r="B1126" s="675"/>
      <c r="C1126" s="667"/>
      <c r="D1126" s="677"/>
      <c r="E1126" s="677"/>
      <c r="F1126" s="202"/>
      <c r="G1126" s="669"/>
      <c r="H1126" s="671"/>
      <c r="I1126" s="673"/>
      <c r="J1126" s="652"/>
      <c r="K1126" s="667"/>
      <c r="L1126" s="667"/>
      <c r="M1126" s="652"/>
      <c r="N1126" s="652"/>
    </row>
    <row r="1127" spans="1:23" s="189" customFormat="1" ht="40.200000000000003" customHeight="1" x14ac:dyDescent="0.3">
      <c r="A1127" s="678" t="str">
        <f t="shared" ref="A1127" ca="1" si="4801">INDIRECT("'update Helper'!C"&amp;U1127)</f>
        <v>a163p000002zQdSAAU</v>
      </c>
      <c r="B1127" s="674">
        <v>13</v>
      </c>
      <c r="C1127" s="666" t="str">
        <f>VLOOKUP(B1127,'Coverage Indicators - Section D'!$A$9:$AU$70,47,FALSE)</f>
        <v>KP-1c⁽ᴹ⁾ Pourcentage de professionnels du sexe ayant bénéficié de programmes préventifs de lutte contre le VIH (paquet de services définis)</v>
      </c>
      <c r="D1127" s="676" t="str">
        <f t="shared" ref="D1127" si="4802">R1127</f>
        <v/>
      </c>
      <c r="E1127" s="676" t="str">
        <f t="shared" ref="E1127" si="4803">S1127</f>
        <v/>
      </c>
      <c r="F1127" s="194"/>
      <c r="G1127" s="668" t="str">
        <f t="shared" ref="G1127" ca="1" si="4804">IF(OR(INDIRECT("'update Helper'!E"&amp;U1127)=0,F1127&lt;&gt;0,F1128&lt;&gt;0),IF(IFERROR((F1127/F1128),"")="","",(F1127/F1128)),INDIRECT("'update Helper'!E"&amp;U1127)/100)</f>
        <v/>
      </c>
      <c r="H1127" s="670"/>
      <c r="I1127" s="672"/>
      <c r="J1127" s="651"/>
      <c r="K1127" s="666" t="str">
        <f t="shared" ref="K1127" si="4805">W1127</f>
        <v>KP-1c⁽ᴹ⁾ Percentage of sex workers reached with HIV prevention programs - defined package of services</v>
      </c>
      <c r="L1127" s="666" t="str">
        <f t="shared" ref="L1127" si="4806">V1127</f>
        <v/>
      </c>
      <c r="M1127" s="651"/>
      <c r="N1127" s="651"/>
      <c r="P1127" s="189">
        <f t="shared" ref="P1127" si="4807">IF(AND(EXACT(C1127,C1125),C1125&lt;&gt;0),P1125+1,0)</f>
        <v>13</v>
      </c>
      <c r="Q1127" s="189" t="str">
        <f t="shared" ref="Q1127" si="4808">IF(C1127&lt;&gt;"",C1127&amp;"-"&amp;P1127,"")</f>
        <v>KP-1c⁽ᴹ⁾ Pourcentage de professionnels du sexe ayant bénéficié de programmes préventifs de lutte contre le VIH (paquet de services définis)-13</v>
      </c>
      <c r="R1127" s="189" t="str">
        <f t="array" ref="R1127">IFERROR(IF(INDEX('Disaggregation Records'!$E$155:$E$385,MATCH(RIGHT(Q1127,255),RIGHT('Disaggregation Records'!$D$155:$D$385,255),0))=0,"",INDEX('Disaggregation Records'!$E$155:$E$385,MATCH(RIGHT(Q1127,255),RIGHT('Disaggregation Records'!$D$155:$D$385,255),0))),"")</f>
        <v/>
      </c>
      <c r="S1127" s="189" t="str">
        <f t="array" ref="S1127">IFERROR(IF(INDEX('Disaggregation Records'!$F$155:$F$385,MATCH(RIGHT(Q1127,255),RIGHT('Disaggregation Records'!$D$155:$D$385,255),0))=0,"",INDEX('Disaggregation Records'!$F$155:$F$385,MATCH(RIGHT(Q1127,255),RIGHT('Disaggregation Records'!$D$155:$D$385,255),0))),"")</f>
        <v/>
      </c>
      <c r="T1127" s="189" t="str">
        <f t="array" ref="T1127">IFERROR(IF(INDEX('Disaggregation Records'!$H$155:$H$385,MATCH(RIGHT(Q1127,255),RIGHT('Disaggregation Records'!$D$155:$D$385,255),0))=0,"",INDEX('Disaggregation Records'!$H$155:$H$385,MATCH(RIGHT(Q1127,255),RIGHT('Disaggregation Records'!$D$155:$D$385,255),0))),"")</f>
        <v/>
      </c>
      <c r="U1127" s="189">
        <f t="shared" ref="U1127" si="4809">U1125+1</f>
        <v>1665</v>
      </c>
      <c r="V1127" s="189" t="str">
        <f t="array" ref="V1127">IFERROR(IF(INDEX('Disaggregation Records'!$I$155:$I$385,MATCH(RIGHT(Q1127,255),RIGHT('Disaggregation Records'!$D$155:$D$385,255),0))=0,"",INDEX('Disaggregation Records'!$I$155:$I$385,MATCH(RIGHT(Q1127,255),RIGHT('Disaggregation Records'!$D$155:$D$385,255),0))),"")</f>
        <v/>
      </c>
      <c r="W1127" s="189" t="str">
        <f>IFERROR(INDEX('Reference Records'!L$59:L$121,MATCH(LEFT(C1127,255),'Reference Records'!E$59:E$121,0)),"")</f>
        <v>KP-1c⁽ᴹ⁾ Percentage of sex workers reached with HIV prevention programs - defined package of services</v>
      </c>
    </row>
    <row r="1128" spans="1:23" s="189" customFormat="1" ht="40.200000000000003" customHeight="1" x14ac:dyDescent="0.3">
      <c r="A1128" s="678"/>
      <c r="B1128" s="675"/>
      <c r="C1128" s="667"/>
      <c r="D1128" s="677"/>
      <c r="E1128" s="677"/>
      <c r="F1128" s="202"/>
      <c r="G1128" s="669"/>
      <c r="H1128" s="671"/>
      <c r="I1128" s="673"/>
      <c r="J1128" s="652"/>
      <c r="K1128" s="667"/>
      <c r="L1128" s="667"/>
      <c r="M1128" s="652"/>
      <c r="N1128" s="652"/>
    </row>
    <row r="1129" spans="1:23" s="189" customFormat="1" ht="40.200000000000003" customHeight="1" x14ac:dyDescent="0.3">
      <c r="A1129" s="678" t="str">
        <f t="shared" ref="A1129" ca="1" si="4810">INDIRECT("'update Helper'!C"&amp;U1129)</f>
        <v>a163p000002zQdTAAU</v>
      </c>
      <c r="B1129" s="674">
        <v>13</v>
      </c>
      <c r="C1129" s="666" t="str">
        <f>VLOOKUP(B1129,'Coverage Indicators - Section D'!$A$9:$AU$70,47,FALSE)</f>
        <v>KP-1c⁽ᴹ⁾ Pourcentage de professionnels du sexe ayant bénéficié de programmes préventifs de lutte contre le VIH (paquet de services définis)</v>
      </c>
      <c r="D1129" s="676" t="str">
        <f t="shared" ref="D1129" si="4811">R1129</f>
        <v/>
      </c>
      <c r="E1129" s="676" t="str">
        <f t="shared" ref="E1129" si="4812">S1129</f>
        <v/>
      </c>
      <c r="F1129" s="194"/>
      <c r="G1129" s="668" t="str">
        <f t="shared" ref="G1129" ca="1" si="4813">IF(OR(INDIRECT("'update Helper'!E"&amp;U1129)=0,F1129&lt;&gt;0,F1130&lt;&gt;0),IF(IFERROR((F1129/F1130),"")="","",(F1129/F1130)),INDIRECT("'update Helper'!E"&amp;U1129)/100)</f>
        <v/>
      </c>
      <c r="H1129" s="670"/>
      <c r="I1129" s="672"/>
      <c r="J1129" s="651"/>
      <c r="K1129" s="666" t="str">
        <f t="shared" ref="K1129" si="4814">W1129</f>
        <v>KP-1c⁽ᴹ⁾ Percentage of sex workers reached with HIV prevention programs - defined package of services</v>
      </c>
      <c r="L1129" s="666" t="str">
        <f t="shared" ref="L1129" si="4815">V1129</f>
        <v/>
      </c>
      <c r="M1129" s="651"/>
      <c r="N1129" s="651"/>
      <c r="P1129" s="189">
        <f t="shared" ref="P1129" si="4816">IF(AND(EXACT(C1129,C1127),C1127&lt;&gt;0),P1127+1,0)</f>
        <v>14</v>
      </c>
      <c r="Q1129" s="189" t="str">
        <f t="shared" ref="Q1129" si="4817">IF(C1129&lt;&gt;"",C1129&amp;"-"&amp;P1129,"")</f>
        <v>KP-1c⁽ᴹ⁾ Pourcentage de professionnels du sexe ayant bénéficié de programmes préventifs de lutte contre le VIH (paquet de services définis)-14</v>
      </c>
      <c r="R1129" s="189" t="str">
        <f t="array" ref="R1129">IFERROR(IF(INDEX('Disaggregation Records'!$E$155:$E$385,MATCH(RIGHT(Q1129,255),RIGHT('Disaggregation Records'!$D$155:$D$385,255),0))=0,"",INDEX('Disaggregation Records'!$E$155:$E$385,MATCH(RIGHT(Q1129,255),RIGHT('Disaggregation Records'!$D$155:$D$385,255),0))),"")</f>
        <v/>
      </c>
      <c r="S1129" s="189" t="str">
        <f t="array" ref="S1129">IFERROR(IF(INDEX('Disaggregation Records'!$F$155:$F$385,MATCH(RIGHT(Q1129,255),RIGHT('Disaggregation Records'!$D$155:$D$385,255),0))=0,"",INDEX('Disaggregation Records'!$F$155:$F$385,MATCH(RIGHT(Q1129,255),RIGHT('Disaggregation Records'!$D$155:$D$385,255),0))),"")</f>
        <v/>
      </c>
      <c r="T1129" s="189" t="str">
        <f t="array" ref="T1129">IFERROR(IF(INDEX('Disaggregation Records'!$H$155:$H$385,MATCH(RIGHT(Q1129,255),RIGHT('Disaggregation Records'!$D$155:$D$385,255),0))=0,"",INDEX('Disaggregation Records'!$H$155:$H$385,MATCH(RIGHT(Q1129,255),RIGHT('Disaggregation Records'!$D$155:$D$385,255),0))),"")</f>
        <v/>
      </c>
      <c r="U1129" s="189">
        <f t="shared" ref="U1129" si="4818">U1127+1</f>
        <v>1666</v>
      </c>
      <c r="V1129" s="189" t="str">
        <f t="array" ref="V1129">IFERROR(IF(INDEX('Disaggregation Records'!$I$155:$I$385,MATCH(RIGHT(Q1129,255),RIGHT('Disaggregation Records'!$D$155:$D$385,255),0))=0,"",INDEX('Disaggregation Records'!$I$155:$I$385,MATCH(RIGHT(Q1129,255),RIGHT('Disaggregation Records'!$D$155:$D$385,255),0))),"")</f>
        <v/>
      </c>
      <c r="W1129" s="189" t="str">
        <f>IFERROR(INDEX('Reference Records'!L$59:L$121,MATCH(LEFT(C1129,255),'Reference Records'!E$59:E$121,0)),"")</f>
        <v>KP-1c⁽ᴹ⁾ Percentage of sex workers reached with HIV prevention programs - defined package of services</v>
      </c>
    </row>
    <row r="1130" spans="1:23" s="189" customFormat="1" ht="40.200000000000003" customHeight="1" x14ac:dyDescent="0.3">
      <c r="A1130" s="678"/>
      <c r="B1130" s="675"/>
      <c r="C1130" s="667"/>
      <c r="D1130" s="677"/>
      <c r="E1130" s="677"/>
      <c r="F1130" s="202"/>
      <c r="G1130" s="669"/>
      <c r="H1130" s="671"/>
      <c r="I1130" s="673"/>
      <c r="J1130" s="652"/>
      <c r="K1130" s="667"/>
      <c r="L1130" s="667"/>
      <c r="M1130" s="652"/>
      <c r="N1130" s="652"/>
    </row>
    <row r="1131" spans="1:23" s="189" customFormat="1" ht="40.200000000000003" customHeight="1" x14ac:dyDescent="0.3">
      <c r="A1131" s="678" t="str">
        <f t="shared" ref="A1131" ca="1" si="4819">INDIRECT("'update Helper'!C"&amp;U1131)</f>
        <v>a163p000002zQdUAAU</v>
      </c>
      <c r="B1131" s="674">
        <v>13</v>
      </c>
      <c r="C1131" s="666" t="str">
        <f>VLOOKUP(B1131,'Coverage Indicators - Section D'!$A$9:$AU$70,47,FALSE)</f>
        <v>KP-1c⁽ᴹ⁾ Pourcentage de professionnels du sexe ayant bénéficié de programmes préventifs de lutte contre le VIH (paquet de services définis)</v>
      </c>
      <c r="D1131" s="676" t="str">
        <f t="shared" ref="D1131" si="4820">R1131</f>
        <v/>
      </c>
      <c r="E1131" s="676" t="str">
        <f t="shared" ref="E1131" si="4821">S1131</f>
        <v/>
      </c>
      <c r="F1131" s="194"/>
      <c r="G1131" s="668" t="str">
        <f t="shared" ref="G1131" ca="1" si="4822">IF(OR(INDIRECT("'update Helper'!E"&amp;U1131)=0,F1131&lt;&gt;0,F1132&lt;&gt;0),IF(IFERROR((F1131/F1132),"")="","",(F1131/F1132)),INDIRECT("'update Helper'!E"&amp;U1131)/100)</f>
        <v/>
      </c>
      <c r="H1131" s="670"/>
      <c r="I1131" s="672"/>
      <c r="J1131" s="651"/>
      <c r="K1131" s="666" t="str">
        <f t="shared" ref="K1131" si="4823">W1131</f>
        <v>KP-1c⁽ᴹ⁾ Percentage of sex workers reached with HIV prevention programs - defined package of services</v>
      </c>
      <c r="L1131" s="666" t="str">
        <f t="shared" ref="L1131" si="4824">V1131</f>
        <v/>
      </c>
      <c r="M1131" s="651"/>
      <c r="N1131" s="651"/>
      <c r="P1131" s="189">
        <f t="shared" ref="P1131" si="4825">IF(AND(EXACT(C1131,C1129),C1129&lt;&gt;0),P1129+1,0)</f>
        <v>15</v>
      </c>
      <c r="Q1131" s="189" t="str">
        <f t="shared" ref="Q1131" si="4826">IF(C1131&lt;&gt;"",C1131&amp;"-"&amp;P1131,"")</f>
        <v>KP-1c⁽ᴹ⁾ Pourcentage de professionnels du sexe ayant bénéficié de programmes préventifs de lutte contre le VIH (paquet de services définis)-15</v>
      </c>
      <c r="R1131" s="189" t="str">
        <f t="array" ref="R1131">IFERROR(IF(INDEX('Disaggregation Records'!$E$155:$E$385,MATCH(RIGHT(Q1131,255),RIGHT('Disaggregation Records'!$D$155:$D$385,255),0))=0,"",INDEX('Disaggregation Records'!$E$155:$E$385,MATCH(RIGHT(Q1131,255),RIGHT('Disaggregation Records'!$D$155:$D$385,255),0))),"")</f>
        <v/>
      </c>
      <c r="S1131" s="189" t="str">
        <f t="array" ref="S1131">IFERROR(IF(INDEX('Disaggregation Records'!$F$155:$F$385,MATCH(RIGHT(Q1131,255),RIGHT('Disaggregation Records'!$D$155:$D$385,255),0))=0,"",INDEX('Disaggregation Records'!$F$155:$F$385,MATCH(RIGHT(Q1131,255),RIGHT('Disaggregation Records'!$D$155:$D$385,255),0))),"")</f>
        <v/>
      </c>
      <c r="T1131" s="189" t="str">
        <f t="array" ref="T1131">IFERROR(IF(INDEX('Disaggregation Records'!$H$155:$H$385,MATCH(RIGHT(Q1131,255),RIGHT('Disaggregation Records'!$D$155:$D$385,255),0))=0,"",INDEX('Disaggregation Records'!$H$155:$H$385,MATCH(RIGHT(Q1131,255),RIGHT('Disaggregation Records'!$D$155:$D$385,255),0))),"")</f>
        <v/>
      </c>
      <c r="U1131" s="189">
        <f t="shared" ref="U1131" si="4827">U1129+1</f>
        <v>1667</v>
      </c>
      <c r="V1131" s="189" t="str">
        <f t="array" ref="V1131">IFERROR(IF(INDEX('Disaggregation Records'!$I$155:$I$385,MATCH(RIGHT(Q1131,255),RIGHT('Disaggregation Records'!$D$155:$D$385,255),0))=0,"",INDEX('Disaggregation Records'!$I$155:$I$385,MATCH(RIGHT(Q1131,255),RIGHT('Disaggregation Records'!$D$155:$D$385,255),0))),"")</f>
        <v/>
      </c>
      <c r="W1131" s="189" t="str">
        <f>IFERROR(INDEX('Reference Records'!L$59:L$121,MATCH(LEFT(C1131,255),'Reference Records'!E$59:E$121,0)),"")</f>
        <v>KP-1c⁽ᴹ⁾ Percentage of sex workers reached with HIV prevention programs - defined package of services</v>
      </c>
    </row>
    <row r="1132" spans="1:23" s="189" customFormat="1" ht="40.200000000000003" customHeight="1" x14ac:dyDescent="0.3">
      <c r="A1132" s="678"/>
      <c r="B1132" s="675"/>
      <c r="C1132" s="667"/>
      <c r="D1132" s="677"/>
      <c r="E1132" s="677"/>
      <c r="F1132" s="202"/>
      <c r="G1132" s="669"/>
      <c r="H1132" s="671"/>
      <c r="I1132" s="673"/>
      <c r="J1132" s="652"/>
      <c r="K1132" s="667"/>
      <c r="L1132" s="667"/>
      <c r="M1132" s="652"/>
      <c r="N1132" s="652"/>
    </row>
    <row r="1133" spans="1:23" s="189" customFormat="1" ht="40.200000000000003" customHeight="1" x14ac:dyDescent="0.3">
      <c r="A1133" s="678" t="str">
        <f t="shared" ref="A1133" ca="1" si="4828">INDIRECT("'update Helper'!C"&amp;U1133)</f>
        <v>a163p000002zQdVAAU</v>
      </c>
      <c r="B1133" s="674">
        <v>13</v>
      </c>
      <c r="C1133" s="666" t="str">
        <f>VLOOKUP(B1133,'Coverage Indicators - Section D'!$A$9:$AU$70,47,FALSE)</f>
        <v>KP-1c⁽ᴹ⁾ Pourcentage de professionnels du sexe ayant bénéficié de programmes préventifs de lutte contre le VIH (paquet de services définis)</v>
      </c>
      <c r="D1133" s="676" t="str">
        <f t="shared" ref="D1133" si="4829">R1133</f>
        <v/>
      </c>
      <c r="E1133" s="676" t="str">
        <f t="shared" ref="E1133" si="4830">S1133</f>
        <v/>
      </c>
      <c r="F1133" s="194"/>
      <c r="G1133" s="668" t="str">
        <f t="shared" ref="G1133" ca="1" si="4831">IF(OR(INDIRECT("'update Helper'!E"&amp;U1133)=0,F1133&lt;&gt;0,F1134&lt;&gt;0),IF(IFERROR((F1133/F1134),"")="","",(F1133/F1134)),INDIRECT("'update Helper'!E"&amp;U1133)/100)</f>
        <v/>
      </c>
      <c r="H1133" s="670"/>
      <c r="I1133" s="672"/>
      <c r="J1133" s="651"/>
      <c r="K1133" s="666" t="str">
        <f t="shared" ref="K1133" si="4832">W1133</f>
        <v>KP-1c⁽ᴹ⁾ Percentage of sex workers reached with HIV prevention programs - defined package of services</v>
      </c>
      <c r="L1133" s="666" t="str">
        <f t="shared" ref="L1133" si="4833">V1133</f>
        <v/>
      </c>
      <c r="M1133" s="651"/>
      <c r="N1133" s="651"/>
      <c r="P1133" s="189">
        <f t="shared" ref="P1133" si="4834">IF(AND(EXACT(C1133,C1131),C1131&lt;&gt;0),P1131+1,0)</f>
        <v>16</v>
      </c>
      <c r="Q1133" s="189" t="str">
        <f t="shared" ref="Q1133" si="4835">IF(C1133&lt;&gt;"",C1133&amp;"-"&amp;P1133,"")</f>
        <v>KP-1c⁽ᴹ⁾ Pourcentage de professionnels du sexe ayant bénéficié de programmes préventifs de lutte contre le VIH (paquet de services définis)-16</v>
      </c>
      <c r="R1133" s="189" t="str">
        <f t="array" ref="R1133">IFERROR(IF(INDEX('Disaggregation Records'!$E$155:$E$385,MATCH(RIGHT(Q1133,255),RIGHT('Disaggregation Records'!$D$155:$D$385,255),0))=0,"",INDEX('Disaggregation Records'!$E$155:$E$385,MATCH(RIGHT(Q1133,255),RIGHT('Disaggregation Records'!$D$155:$D$385,255),0))),"")</f>
        <v/>
      </c>
      <c r="S1133" s="189" t="str">
        <f t="array" ref="S1133">IFERROR(IF(INDEX('Disaggregation Records'!$F$155:$F$385,MATCH(RIGHT(Q1133,255),RIGHT('Disaggregation Records'!$D$155:$D$385,255),0))=0,"",INDEX('Disaggregation Records'!$F$155:$F$385,MATCH(RIGHT(Q1133,255),RIGHT('Disaggregation Records'!$D$155:$D$385,255),0))),"")</f>
        <v/>
      </c>
      <c r="T1133" s="189" t="str">
        <f t="array" ref="T1133">IFERROR(IF(INDEX('Disaggregation Records'!$H$155:$H$385,MATCH(RIGHT(Q1133,255),RIGHT('Disaggregation Records'!$D$155:$D$385,255),0))=0,"",INDEX('Disaggregation Records'!$H$155:$H$385,MATCH(RIGHT(Q1133,255),RIGHT('Disaggregation Records'!$D$155:$D$385,255),0))),"")</f>
        <v/>
      </c>
      <c r="U1133" s="189">
        <f t="shared" ref="U1133" si="4836">U1131+1</f>
        <v>1668</v>
      </c>
      <c r="V1133" s="189" t="str">
        <f t="array" ref="V1133">IFERROR(IF(INDEX('Disaggregation Records'!$I$155:$I$385,MATCH(RIGHT(Q1133,255),RIGHT('Disaggregation Records'!$D$155:$D$385,255),0))=0,"",INDEX('Disaggregation Records'!$I$155:$I$385,MATCH(RIGHT(Q1133,255),RIGHT('Disaggregation Records'!$D$155:$D$385,255),0))),"")</f>
        <v/>
      </c>
      <c r="W1133" s="189" t="str">
        <f>IFERROR(INDEX('Reference Records'!L$59:L$121,MATCH(LEFT(C1133,255),'Reference Records'!E$59:E$121,0)),"")</f>
        <v>KP-1c⁽ᴹ⁾ Percentage of sex workers reached with HIV prevention programs - defined package of services</v>
      </c>
    </row>
    <row r="1134" spans="1:23" s="189" customFormat="1" ht="40.200000000000003" customHeight="1" x14ac:dyDescent="0.3">
      <c r="A1134" s="678"/>
      <c r="B1134" s="675"/>
      <c r="C1134" s="667"/>
      <c r="D1134" s="677"/>
      <c r="E1134" s="677"/>
      <c r="F1134" s="202"/>
      <c r="G1134" s="669"/>
      <c r="H1134" s="671"/>
      <c r="I1134" s="673"/>
      <c r="J1134" s="652"/>
      <c r="K1134" s="667"/>
      <c r="L1134" s="667"/>
      <c r="M1134" s="652"/>
      <c r="N1134" s="652"/>
    </row>
    <row r="1135" spans="1:23" s="189" customFormat="1" ht="40.200000000000003" customHeight="1" x14ac:dyDescent="0.3">
      <c r="A1135" s="678" t="str">
        <f t="shared" ref="A1135" ca="1" si="4837">INDIRECT("'update Helper'!C"&amp;U1135)</f>
        <v>a163p000002zQdWAAU</v>
      </c>
      <c r="B1135" s="674">
        <v>13</v>
      </c>
      <c r="C1135" s="666" t="str">
        <f>VLOOKUP(B1135,'Coverage Indicators - Section D'!$A$9:$AU$70,47,FALSE)</f>
        <v>KP-1c⁽ᴹ⁾ Pourcentage de professionnels du sexe ayant bénéficié de programmes préventifs de lutte contre le VIH (paquet de services définis)</v>
      </c>
      <c r="D1135" s="676" t="str">
        <f t="shared" ref="D1135" si="4838">R1135</f>
        <v/>
      </c>
      <c r="E1135" s="676" t="str">
        <f t="shared" ref="E1135" si="4839">S1135</f>
        <v/>
      </c>
      <c r="F1135" s="194"/>
      <c r="G1135" s="668" t="str">
        <f t="shared" ref="G1135" ca="1" si="4840">IF(OR(INDIRECT("'update Helper'!E"&amp;U1135)=0,F1135&lt;&gt;0,F1136&lt;&gt;0),IF(IFERROR((F1135/F1136),"")="","",(F1135/F1136)),INDIRECT("'update Helper'!E"&amp;U1135)/100)</f>
        <v/>
      </c>
      <c r="H1135" s="670"/>
      <c r="I1135" s="672"/>
      <c r="J1135" s="651"/>
      <c r="K1135" s="666" t="str">
        <f t="shared" ref="K1135" si="4841">W1135</f>
        <v>KP-1c⁽ᴹ⁾ Percentage of sex workers reached with HIV prevention programs - defined package of services</v>
      </c>
      <c r="L1135" s="666" t="str">
        <f t="shared" ref="L1135" si="4842">V1135</f>
        <v/>
      </c>
      <c r="M1135" s="651"/>
      <c r="N1135" s="651"/>
      <c r="P1135" s="189">
        <f t="shared" ref="P1135" si="4843">IF(AND(EXACT(C1135,C1133),C1133&lt;&gt;0),P1133+1,0)</f>
        <v>17</v>
      </c>
      <c r="Q1135" s="189" t="str">
        <f t="shared" ref="Q1135" si="4844">IF(C1135&lt;&gt;"",C1135&amp;"-"&amp;P1135,"")</f>
        <v>KP-1c⁽ᴹ⁾ Pourcentage de professionnels du sexe ayant bénéficié de programmes préventifs de lutte contre le VIH (paquet de services définis)-17</v>
      </c>
      <c r="R1135" s="189" t="str">
        <f t="array" ref="R1135">IFERROR(IF(INDEX('Disaggregation Records'!$E$155:$E$385,MATCH(RIGHT(Q1135,255),RIGHT('Disaggregation Records'!$D$155:$D$385,255),0))=0,"",INDEX('Disaggregation Records'!$E$155:$E$385,MATCH(RIGHT(Q1135,255),RIGHT('Disaggregation Records'!$D$155:$D$385,255),0))),"")</f>
        <v/>
      </c>
      <c r="S1135" s="189" t="str">
        <f t="array" ref="S1135">IFERROR(IF(INDEX('Disaggregation Records'!$F$155:$F$385,MATCH(RIGHT(Q1135,255),RIGHT('Disaggregation Records'!$D$155:$D$385,255),0))=0,"",INDEX('Disaggregation Records'!$F$155:$F$385,MATCH(RIGHT(Q1135,255),RIGHT('Disaggregation Records'!$D$155:$D$385,255),0))),"")</f>
        <v/>
      </c>
      <c r="T1135" s="189" t="str">
        <f t="array" ref="T1135">IFERROR(IF(INDEX('Disaggregation Records'!$H$155:$H$385,MATCH(RIGHT(Q1135,255),RIGHT('Disaggregation Records'!$D$155:$D$385,255),0))=0,"",INDEX('Disaggregation Records'!$H$155:$H$385,MATCH(RIGHT(Q1135,255),RIGHT('Disaggregation Records'!$D$155:$D$385,255),0))),"")</f>
        <v/>
      </c>
      <c r="U1135" s="189">
        <f t="shared" ref="U1135" si="4845">U1133+1</f>
        <v>1669</v>
      </c>
      <c r="V1135" s="189" t="str">
        <f t="array" ref="V1135">IFERROR(IF(INDEX('Disaggregation Records'!$I$155:$I$385,MATCH(RIGHT(Q1135,255),RIGHT('Disaggregation Records'!$D$155:$D$385,255),0))=0,"",INDEX('Disaggregation Records'!$I$155:$I$385,MATCH(RIGHT(Q1135,255),RIGHT('Disaggregation Records'!$D$155:$D$385,255),0))),"")</f>
        <v/>
      </c>
      <c r="W1135" s="189" t="str">
        <f>IFERROR(INDEX('Reference Records'!L$59:L$121,MATCH(LEFT(C1135,255),'Reference Records'!E$59:E$121,0)),"")</f>
        <v>KP-1c⁽ᴹ⁾ Percentage of sex workers reached with HIV prevention programs - defined package of services</v>
      </c>
    </row>
    <row r="1136" spans="1:23" s="189" customFormat="1" ht="40.200000000000003" customHeight="1" x14ac:dyDescent="0.3">
      <c r="A1136" s="678"/>
      <c r="B1136" s="675"/>
      <c r="C1136" s="667"/>
      <c r="D1136" s="677"/>
      <c r="E1136" s="677"/>
      <c r="F1136" s="202"/>
      <c r="G1136" s="669"/>
      <c r="H1136" s="671"/>
      <c r="I1136" s="673"/>
      <c r="J1136" s="652"/>
      <c r="K1136" s="667"/>
      <c r="L1136" s="667"/>
      <c r="M1136" s="652"/>
      <c r="N1136" s="652"/>
    </row>
    <row r="1137" spans="1:23" s="189" customFormat="1" ht="40.200000000000003" customHeight="1" x14ac:dyDescent="0.3">
      <c r="A1137" s="678" t="str">
        <f t="shared" ref="A1137" ca="1" si="4846">INDIRECT("'update Helper'!C"&amp;U1137)</f>
        <v>a163p000002zQdXAAU</v>
      </c>
      <c r="B1137" s="674">
        <v>13</v>
      </c>
      <c r="C1137" s="666" t="str">
        <f>VLOOKUP(B1137,'Coverage Indicators - Section D'!$A$9:$AU$70,47,FALSE)</f>
        <v>KP-1c⁽ᴹ⁾ Pourcentage de professionnels du sexe ayant bénéficié de programmes préventifs de lutte contre le VIH (paquet de services définis)</v>
      </c>
      <c r="D1137" s="676" t="str">
        <f t="shared" ref="D1137" si="4847">R1137</f>
        <v/>
      </c>
      <c r="E1137" s="676" t="str">
        <f t="shared" ref="E1137" si="4848">S1137</f>
        <v/>
      </c>
      <c r="F1137" s="194"/>
      <c r="G1137" s="668" t="str">
        <f t="shared" ref="G1137" ca="1" si="4849">IF(OR(INDIRECT("'update Helper'!E"&amp;U1137)=0,F1137&lt;&gt;0,F1138&lt;&gt;0),IF(IFERROR((F1137/F1138),"")="","",(F1137/F1138)),INDIRECT("'update Helper'!E"&amp;U1137)/100)</f>
        <v/>
      </c>
      <c r="H1137" s="670"/>
      <c r="I1137" s="672"/>
      <c r="J1137" s="651"/>
      <c r="K1137" s="666" t="str">
        <f t="shared" ref="K1137" si="4850">W1137</f>
        <v>KP-1c⁽ᴹ⁾ Percentage of sex workers reached with HIV prevention programs - defined package of services</v>
      </c>
      <c r="L1137" s="666" t="str">
        <f t="shared" ref="L1137" si="4851">V1137</f>
        <v/>
      </c>
      <c r="M1137" s="651"/>
      <c r="N1137" s="651"/>
      <c r="P1137" s="189">
        <f t="shared" ref="P1137" si="4852">IF(AND(EXACT(C1137,C1135),C1135&lt;&gt;0),P1135+1,0)</f>
        <v>18</v>
      </c>
      <c r="Q1137" s="189" t="str">
        <f t="shared" ref="Q1137" si="4853">IF(C1137&lt;&gt;"",C1137&amp;"-"&amp;P1137,"")</f>
        <v>KP-1c⁽ᴹ⁾ Pourcentage de professionnels du sexe ayant bénéficié de programmes préventifs de lutte contre le VIH (paquet de services définis)-18</v>
      </c>
      <c r="R1137" s="189" t="str">
        <f t="array" ref="R1137">IFERROR(IF(INDEX('Disaggregation Records'!$E$155:$E$385,MATCH(RIGHT(Q1137,255),RIGHT('Disaggregation Records'!$D$155:$D$385,255),0))=0,"",INDEX('Disaggregation Records'!$E$155:$E$385,MATCH(RIGHT(Q1137,255),RIGHT('Disaggregation Records'!$D$155:$D$385,255),0))),"")</f>
        <v/>
      </c>
      <c r="S1137" s="189" t="str">
        <f t="array" ref="S1137">IFERROR(IF(INDEX('Disaggregation Records'!$F$155:$F$385,MATCH(RIGHT(Q1137,255),RIGHT('Disaggregation Records'!$D$155:$D$385,255),0))=0,"",INDEX('Disaggregation Records'!$F$155:$F$385,MATCH(RIGHT(Q1137,255),RIGHT('Disaggregation Records'!$D$155:$D$385,255),0))),"")</f>
        <v/>
      </c>
      <c r="T1137" s="189" t="str">
        <f t="array" ref="T1137">IFERROR(IF(INDEX('Disaggregation Records'!$H$155:$H$385,MATCH(RIGHT(Q1137,255),RIGHT('Disaggregation Records'!$D$155:$D$385,255),0))=0,"",INDEX('Disaggregation Records'!$H$155:$H$385,MATCH(RIGHT(Q1137,255),RIGHT('Disaggregation Records'!$D$155:$D$385,255),0))),"")</f>
        <v/>
      </c>
      <c r="U1137" s="189">
        <f t="shared" ref="U1137" si="4854">U1135+1</f>
        <v>1670</v>
      </c>
      <c r="V1137" s="189" t="str">
        <f t="array" ref="V1137">IFERROR(IF(INDEX('Disaggregation Records'!$I$155:$I$385,MATCH(RIGHT(Q1137,255),RIGHT('Disaggregation Records'!$D$155:$D$385,255),0))=0,"",INDEX('Disaggregation Records'!$I$155:$I$385,MATCH(RIGHT(Q1137,255),RIGHT('Disaggregation Records'!$D$155:$D$385,255),0))),"")</f>
        <v/>
      </c>
      <c r="W1137" s="189" t="str">
        <f>IFERROR(INDEX('Reference Records'!L$59:L$121,MATCH(LEFT(C1137,255),'Reference Records'!E$59:E$121,0)),"")</f>
        <v>KP-1c⁽ᴹ⁾ Percentage of sex workers reached with HIV prevention programs - defined package of services</v>
      </c>
    </row>
    <row r="1138" spans="1:23" s="189" customFormat="1" ht="40.200000000000003" customHeight="1" x14ac:dyDescent="0.3">
      <c r="A1138" s="678"/>
      <c r="B1138" s="675"/>
      <c r="C1138" s="667"/>
      <c r="D1138" s="677"/>
      <c r="E1138" s="677"/>
      <c r="F1138" s="202"/>
      <c r="G1138" s="669"/>
      <c r="H1138" s="671"/>
      <c r="I1138" s="673"/>
      <c r="J1138" s="652"/>
      <c r="K1138" s="667"/>
      <c r="L1138" s="667"/>
      <c r="M1138" s="652"/>
      <c r="N1138" s="652"/>
    </row>
    <row r="1139" spans="1:23" s="189" customFormat="1" ht="40.200000000000003" customHeight="1" x14ac:dyDescent="0.3">
      <c r="A1139" s="678" t="str">
        <f t="shared" ref="A1139" ca="1" si="4855">INDIRECT("'update Helper'!C"&amp;U1139)</f>
        <v>a163p000002zQdYAAU</v>
      </c>
      <c r="B1139" s="674">
        <v>13</v>
      </c>
      <c r="C1139" s="666" t="str">
        <f>VLOOKUP(B1139,'Coverage Indicators - Section D'!$A$9:$AU$70,47,FALSE)</f>
        <v>KP-1c⁽ᴹ⁾ Pourcentage de professionnels du sexe ayant bénéficié de programmes préventifs de lutte contre le VIH (paquet de services définis)</v>
      </c>
      <c r="D1139" s="676" t="str">
        <f t="shared" ref="D1139" si="4856">R1139</f>
        <v/>
      </c>
      <c r="E1139" s="676" t="str">
        <f t="shared" ref="E1139" si="4857">S1139</f>
        <v/>
      </c>
      <c r="F1139" s="194"/>
      <c r="G1139" s="668" t="str">
        <f t="shared" ref="G1139" ca="1" si="4858">IF(OR(INDIRECT("'update Helper'!E"&amp;U1139)=0,F1139&lt;&gt;0,F1140&lt;&gt;0),IF(IFERROR((F1139/F1140),"")="","",(F1139/F1140)),INDIRECT("'update Helper'!E"&amp;U1139)/100)</f>
        <v/>
      </c>
      <c r="H1139" s="670"/>
      <c r="I1139" s="672"/>
      <c r="J1139" s="651"/>
      <c r="K1139" s="666" t="str">
        <f t="shared" ref="K1139" si="4859">W1139</f>
        <v>KP-1c⁽ᴹ⁾ Percentage of sex workers reached with HIV prevention programs - defined package of services</v>
      </c>
      <c r="L1139" s="666" t="str">
        <f t="shared" ref="L1139" si="4860">V1139</f>
        <v/>
      </c>
      <c r="M1139" s="651"/>
      <c r="N1139" s="651"/>
      <c r="P1139" s="189">
        <f t="shared" ref="P1139" si="4861">IF(AND(EXACT(C1139,C1137),C1137&lt;&gt;0),P1137+1,0)</f>
        <v>19</v>
      </c>
      <c r="Q1139" s="189" t="str">
        <f t="shared" ref="Q1139" si="4862">IF(C1139&lt;&gt;"",C1139&amp;"-"&amp;P1139,"")</f>
        <v>KP-1c⁽ᴹ⁾ Pourcentage de professionnels du sexe ayant bénéficié de programmes préventifs de lutte contre le VIH (paquet de services définis)-19</v>
      </c>
      <c r="R1139" s="189" t="str">
        <f t="array" ref="R1139">IFERROR(IF(INDEX('Disaggregation Records'!$E$155:$E$385,MATCH(RIGHT(Q1139,255),RIGHT('Disaggregation Records'!$D$155:$D$385,255),0))=0,"",INDEX('Disaggregation Records'!$E$155:$E$385,MATCH(RIGHT(Q1139,255),RIGHT('Disaggregation Records'!$D$155:$D$385,255),0))),"")</f>
        <v/>
      </c>
      <c r="S1139" s="189" t="str">
        <f t="array" ref="S1139">IFERROR(IF(INDEX('Disaggregation Records'!$F$155:$F$385,MATCH(RIGHT(Q1139,255),RIGHT('Disaggregation Records'!$D$155:$D$385,255),0))=0,"",INDEX('Disaggregation Records'!$F$155:$F$385,MATCH(RIGHT(Q1139,255),RIGHT('Disaggregation Records'!$D$155:$D$385,255),0))),"")</f>
        <v/>
      </c>
      <c r="T1139" s="189" t="str">
        <f t="array" ref="T1139">IFERROR(IF(INDEX('Disaggregation Records'!$H$155:$H$385,MATCH(RIGHT(Q1139,255),RIGHT('Disaggregation Records'!$D$155:$D$385,255),0))=0,"",INDEX('Disaggregation Records'!$H$155:$H$385,MATCH(RIGHT(Q1139,255),RIGHT('Disaggregation Records'!$D$155:$D$385,255),0))),"")</f>
        <v/>
      </c>
      <c r="U1139" s="189">
        <f t="shared" ref="U1139" si="4863">U1137+1</f>
        <v>1671</v>
      </c>
      <c r="V1139" s="189" t="str">
        <f t="array" ref="V1139">IFERROR(IF(INDEX('Disaggregation Records'!$I$155:$I$385,MATCH(RIGHT(Q1139,255),RIGHT('Disaggregation Records'!$D$155:$D$385,255),0))=0,"",INDEX('Disaggregation Records'!$I$155:$I$385,MATCH(RIGHT(Q1139,255),RIGHT('Disaggregation Records'!$D$155:$D$385,255),0))),"")</f>
        <v/>
      </c>
      <c r="W1139" s="189" t="str">
        <f>IFERROR(INDEX('Reference Records'!L$59:L$121,MATCH(LEFT(C1139,255),'Reference Records'!E$59:E$121,0)),"")</f>
        <v>KP-1c⁽ᴹ⁾ Percentage of sex workers reached with HIV prevention programs - defined package of services</v>
      </c>
    </row>
    <row r="1140" spans="1:23" s="189" customFormat="1" ht="40.200000000000003" customHeight="1" x14ac:dyDescent="0.3">
      <c r="A1140" s="678"/>
      <c r="B1140" s="675"/>
      <c r="C1140" s="667"/>
      <c r="D1140" s="677"/>
      <c r="E1140" s="677"/>
      <c r="F1140" s="202"/>
      <c r="G1140" s="669"/>
      <c r="H1140" s="671"/>
      <c r="I1140" s="673"/>
      <c r="J1140" s="652"/>
      <c r="K1140" s="667"/>
      <c r="L1140" s="667"/>
      <c r="M1140" s="652"/>
      <c r="N1140" s="652"/>
    </row>
    <row r="1141" spans="1:23" s="189" customFormat="1" ht="40.200000000000003" customHeight="1" x14ac:dyDescent="0.3">
      <c r="A1141" s="678" t="str">
        <f t="shared" ref="A1141" ca="1" si="4864">INDIRECT("'update Helper'!C"&amp;U1141)</f>
        <v>a163p000002zQdZAAU</v>
      </c>
      <c r="B1141" s="674">
        <v>14</v>
      </c>
      <c r="C1141" s="666" t="str">
        <f>VLOOKUP(B1141,'Coverage Indicators - Section D'!$A$9:$AU$70,47,FALSE)</f>
        <v>KP-1d (M) Other 1 : Pourcentage de consommateur de drogues (y compris les injecteurs) ayant bénéficié de programme préventif de lutte contre le VIH (Paquet de services définis)</v>
      </c>
      <c r="D1141" s="676" t="str">
        <f t="shared" ref="D1141" si="4865">R1141</f>
        <v/>
      </c>
      <c r="E1141" s="676" t="str">
        <f t="shared" ref="E1141" si="4866">S1141</f>
        <v/>
      </c>
      <c r="F1141" s="194"/>
      <c r="G1141" s="668" t="str">
        <f t="shared" ref="G1141" ca="1" si="4867">IF(OR(INDIRECT("'update Helper'!E"&amp;U1141)=0,F1141&lt;&gt;0,F1142&lt;&gt;0),IF(IFERROR((F1141/F1142),"")="","",(F1141/F1142)),INDIRECT("'update Helper'!E"&amp;U1141)/100)</f>
        <v/>
      </c>
      <c r="H1141" s="670"/>
      <c r="I1141" s="672"/>
      <c r="J1141" s="651"/>
      <c r="K1141" s="666" t="str">
        <f t="shared" ref="K1141" si="4868">W1141</f>
        <v/>
      </c>
      <c r="L1141" s="666" t="str">
        <f t="shared" ref="L1141" si="4869">V1141</f>
        <v/>
      </c>
      <c r="M1141" s="651"/>
      <c r="N1141" s="651"/>
      <c r="P1141" s="189">
        <f t="shared" ref="P1141" si="4870">IF(AND(EXACT(C1141,C1139),C1139&lt;&gt;0),P1139+1,0)</f>
        <v>0</v>
      </c>
      <c r="Q1141" s="189" t="str">
        <f t="shared" ref="Q1141" si="4871">IF(C1141&lt;&gt;"",C1141&amp;"-"&amp;P1141,"")</f>
        <v>KP-1d (M) Other 1 : Pourcentage de consommateur de drogues (y compris les injecteurs) ayant bénéficié de programme préventif de lutte contre le VIH (Paquet de services définis)-0</v>
      </c>
      <c r="R1141" s="189" t="str">
        <f t="array" ref="R1141">IFERROR(IF(INDEX('Disaggregation Records'!$E$155:$E$385,MATCH(RIGHT(Q1141,255),RIGHT('Disaggregation Records'!$D$155:$D$385,255),0))=0,"",INDEX('Disaggregation Records'!$E$155:$E$385,MATCH(RIGHT(Q1141,255),RIGHT('Disaggregation Records'!$D$155:$D$385,255),0))),"")</f>
        <v/>
      </c>
      <c r="S1141" s="189" t="str">
        <f t="array" ref="S1141">IFERROR(IF(INDEX('Disaggregation Records'!$F$155:$F$385,MATCH(RIGHT(Q1141,255),RIGHT('Disaggregation Records'!$D$155:$D$385,255),0))=0,"",INDEX('Disaggregation Records'!$F$155:$F$385,MATCH(RIGHT(Q1141,255),RIGHT('Disaggregation Records'!$D$155:$D$385,255),0))),"")</f>
        <v/>
      </c>
      <c r="T1141" s="189" t="str">
        <f t="array" ref="T1141">IFERROR(IF(INDEX('Disaggregation Records'!$H$155:$H$385,MATCH(RIGHT(Q1141,255),RIGHT('Disaggregation Records'!$D$155:$D$385,255),0))=0,"",INDEX('Disaggregation Records'!$H$155:$H$385,MATCH(RIGHT(Q1141,255),RIGHT('Disaggregation Records'!$D$155:$D$385,255),0))),"")</f>
        <v/>
      </c>
      <c r="U1141" s="189">
        <f t="shared" ref="U1141" si="4872">U1139+1</f>
        <v>1672</v>
      </c>
      <c r="V1141" s="189" t="str">
        <f t="array" ref="V1141">IFERROR(IF(INDEX('Disaggregation Records'!$I$155:$I$385,MATCH(RIGHT(Q1141,255),RIGHT('Disaggregation Records'!$D$155:$D$385,255),0))=0,"",INDEX('Disaggregation Records'!$I$155:$I$385,MATCH(RIGHT(Q1141,255),RIGHT('Disaggregation Records'!$D$155:$D$385,255),0))),"")</f>
        <v/>
      </c>
      <c r="W1141" s="189" t="str">
        <f>IFERROR(INDEX('Reference Records'!L$59:L$121,MATCH(LEFT(C1141,255),'Reference Records'!E$59:E$121,0)),"")</f>
        <v/>
      </c>
    </row>
    <row r="1142" spans="1:23" s="189" customFormat="1" ht="40.200000000000003" customHeight="1" x14ac:dyDescent="0.3">
      <c r="A1142" s="678"/>
      <c r="B1142" s="675"/>
      <c r="C1142" s="667"/>
      <c r="D1142" s="677"/>
      <c r="E1142" s="677"/>
      <c r="F1142" s="202"/>
      <c r="G1142" s="669"/>
      <c r="H1142" s="671"/>
      <c r="I1142" s="673"/>
      <c r="J1142" s="652"/>
      <c r="K1142" s="667"/>
      <c r="L1142" s="667"/>
      <c r="M1142" s="652"/>
      <c r="N1142" s="652"/>
    </row>
    <row r="1143" spans="1:23" s="189" customFormat="1" ht="40.200000000000003" customHeight="1" x14ac:dyDescent="0.3">
      <c r="A1143" s="678" t="str">
        <f t="shared" ref="A1143" ca="1" si="4873">INDIRECT("'update Helper'!C"&amp;U1143)</f>
        <v>a163p000002zQdaAAE</v>
      </c>
      <c r="B1143" s="674">
        <v>14</v>
      </c>
      <c r="C1143" s="666" t="str">
        <f>VLOOKUP(B1143,'Coverage Indicators - Section D'!$A$9:$AU$70,47,FALSE)</f>
        <v>KP-1d (M) Other 1 : Pourcentage de consommateur de drogues (y compris les injecteurs) ayant bénéficié de programme préventif de lutte contre le VIH (Paquet de services définis)</v>
      </c>
      <c r="D1143" s="676" t="str">
        <f t="shared" ref="D1143" si="4874">R1143</f>
        <v/>
      </c>
      <c r="E1143" s="676" t="str">
        <f t="shared" ref="E1143" si="4875">S1143</f>
        <v/>
      </c>
      <c r="F1143" s="194"/>
      <c r="G1143" s="668" t="str">
        <f t="shared" ref="G1143" ca="1" si="4876">IF(OR(INDIRECT("'update Helper'!E"&amp;U1143)=0,F1143&lt;&gt;0,F1144&lt;&gt;0),IF(IFERROR((F1143/F1144),"")="","",(F1143/F1144)),INDIRECT("'update Helper'!E"&amp;U1143)/100)</f>
        <v/>
      </c>
      <c r="H1143" s="670"/>
      <c r="I1143" s="672"/>
      <c r="J1143" s="651"/>
      <c r="K1143" s="666" t="str">
        <f t="shared" ref="K1143" si="4877">W1143</f>
        <v/>
      </c>
      <c r="L1143" s="666" t="str">
        <f t="shared" ref="L1143" si="4878">V1143</f>
        <v/>
      </c>
      <c r="M1143" s="651"/>
      <c r="N1143" s="651"/>
      <c r="P1143" s="189">
        <f t="shared" ref="P1143" si="4879">IF(AND(EXACT(C1143,C1141),C1141&lt;&gt;0),P1141+1,0)</f>
        <v>1</v>
      </c>
      <c r="Q1143" s="189" t="str">
        <f t="shared" ref="Q1143" si="4880">IF(C1143&lt;&gt;"",C1143&amp;"-"&amp;P1143,"")</f>
        <v>KP-1d (M) Other 1 : Pourcentage de consommateur de drogues (y compris les injecteurs) ayant bénéficié de programme préventif de lutte contre le VIH (Paquet de services définis)-1</v>
      </c>
      <c r="R1143" s="189" t="str">
        <f t="array" ref="R1143">IFERROR(IF(INDEX('Disaggregation Records'!$E$155:$E$385,MATCH(RIGHT(Q1143,255),RIGHT('Disaggregation Records'!$D$155:$D$385,255),0))=0,"",INDEX('Disaggregation Records'!$E$155:$E$385,MATCH(RIGHT(Q1143,255),RIGHT('Disaggregation Records'!$D$155:$D$385,255),0))),"")</f>
        <v/>
      </c>
      <c r="S1143" s="189" t="str">
        <f t="array" ref="S1143">IFERROR(IF(INDEX('Disaggregation Records'!$F$155:$F$385,MATCH(RIGHT(Q1143,255),RIGHT('Disaggregation Records'!$D$155:$D$385,255),0))=0,"",INDEX('Disaggregation Records'!$F$155:$F$385,MATCH(RIGHT(Q1143,255),RIGHT('Disaggregation Records'!$D$155:$D$385,255),0))),"")</f>
        <v/>
      </c>
      <c r="T1143" s="189" t="str">
        <f t="array" ref="T1143">IFERROR(IF(INDEX('Disaggregation Records'!$H$155:$H$385,MATCH(RIGHT(Q1143,255),RIGHT('Disaggregation Records'!$D$155:$D$385,255),0))=0,"",INDEX('Disaggregation Records'!$H$155:$H$385,MATCH(RIGHT(Q1143,255),RIGHT('Disaggregation Records'!$D$155:$D$385,255),0))),"")</f>
        <v/>
      </c>
      <c r="U1143" s="189">
        <f t="shared" ref="U1143" si="4881">U1141+1</f>
        <v>1673</v>
      </c>
      <c r="V1143" s="189" t="str">
        <f t="array" ref="V1143">IFERROR(IF(INDEX('Disaggregation Records'!$I$155:$I$385,MATCH(RIGHT(Q1143,255),RIGHT('Disaggregation Records'!$D$155:$D$385,255),0))=0,"",INDEX('Disaggregation Records'!$I$155:$I$385,MATCH(RIGHT(Q1143,255),RIGHT('Disaggregation Records'!$D$155:$D$385,255),0))),"")</f>
        <v/>
      </c>
      <c r="W1143" s="189" t="str">
        <f>IFERROR(INDEX('Reference Records'!L$59:L$121,MATCH(LEFT(C1143,255),'Reference Records'!E$59:E$121,0)),"")</f>
        <v/>
      </c>
    </row>
    <row r="1144" spans="1:23" s="189" customFormat="1" ht="40.200000000000003" customHeight="1" x14ac:dyDescent="0.3">
      <c r="A1144" s="678"/>
      <c r="B1144" s="675"/>
      <c r="C1144" s="667"/>
      <c r="D1144" s="677"/>
      <c r="E1144" s="677"/>
      <c r="F1144" s="202"/>
      <c r="G1144" s="669"/>
      <c r="H1144" s="671"/>
      <c r="I1144" s="673"/>
      <c r="J1144" s="652"/>
      <c r="K1144" s="667"/>
      <c r="L1144" s="667"/>
      <c r="M1144" s="652"/>
      <c r="N1144" s="652"/>
    </row>
    <row r="1145" spans="1:23" s="189" customFormat="1" ht="40.200000000000003" customHeight="1" x14ac:dyDescent="0.3">
      <c r="A1145" s="678" t="str">
        <f t="shared" ref="A1145" ca="1" si="4882">INDIRECT("'update Helper'!C"&amp;U1145)</f>
        <v>a163p000002zQdbAAE</v>
      </c>
      <c r="B1145" s="674">
        <v>14</v>
      </c>
      <c r="C1145" s="666" t="str">
        <f>VLOOKUP(B1145,'Coverage Indicators - Section D'!$A$9:$AU$70,47,FALSE)</f>
        <v>KP-1d (M) Other 1 : Pourcentage de consommateur de drogues (y compris les injecteurs) ayant bénéficié de programme préventif de lutte contre le VIH (Paquet de services définis)</v>
      </c>
      <c r="D1145" s="676" t="str">
        <f t="shared" ref="D1145" si="4883">R1145</f>
        <v/>
      </c>
      <c r="E1145" s="676" t="str">
        <f t="shared" ref="E1145" si="4884">S1145</f>
        <v/>
      </c>
      <c r="F1145" s="194"/>
      <c r="G1145" s="668" t="str">
        <f t="shared" ref="G1145" ca="1" si="4885">IF(OR(INDIRECT("'update Helper'!E"&amp;U1145)=0,F1145&lt;&gt;0,F1146&lt;&gt;0),IF(IFERROR((F1145/F1146),"")="","",(F1145/F1146)),INDIRECT("'update Helper'!E"&amp;U1145)/100)</f>
        <v/>
      </c>
      <c r="H1145" s="670"/>
      <c r="I1145" s="672"/>
      <c r="J1145" s="651"/>
      <c r="K1145" s="666" t="str">
        <f t="shared" ref="K1145" si="4886">W1145</f>
        <v/>
      </c>
      <c r="L1145" s="666" t="str">
        <f t="shared" ref="L1145" si="4887">V1145</f>
        <v/>
      </c>
      <c r="M1145" s="651"/>
      <c r="N1145" s="651"/>
      <c r="P1145" s="189">
        <f t="shared" ref="P1145" si="4888">IF(AND(EXACT(C1145,C1143),C1143&lt;&gt;0),P1143+1,0)</f>
        <v>2</v>
      </c>
      <c r="Q1145" s="189" t="str">
        <f t="shared" ref="Q1145" si="4889">IF(C1145&lt;&gt;"",C1145&amp;"-"&amp;P1145,"")</f>
        <v>KP-1d (M) Other 1 : Pourcentage de consommateur de drogues (y compris les injecteurs) ayant bénéficié de programme préventif de lutte contre le VIH (Paquet de services définis)-2</v>
      </c>
      <c r="R1145" s="189" t="str">
        <f t="array" ref="R1145">IFERROR(IF(INDEX('Disaggregation Records'!$E$155:$E$385,MATCH(RIGHT(Q1145,255),RIGHT('Disaggregation Records'!$D$155:$D$385,255),0))=0,"",INDEX('Disaggregation Records'!$E$155:$E$385,MATCH(RIGHT(Q1145,255),RIGHT('Disaggregation Records'!$D$155:$D$385,255),0))),"")</f>
        <v/>
      </c>
      <c r="S1145" s="189" t="str">
        <f t="array" ref="S1145">IFERROR(IF(INDEX('Disaggregation Records'!$F$155:$F$385,MATCH(RIGHT(Q1145,255),RIGHT('Disaggregation Records'!$D$155:$D$385,255),0))=0,"",INDEX('Disaggregation Records'!$F$155:$F$385,MATCH(RIGHT(Q1145,255),RIGHT('Disaggregation Records'!$D$155:$D$385,255),0))),"")</f>
        <v/>
      </c>
      <c r="T1145" s="189" t="str">
        <f t="array" ref="T1145">IFERROR(IF(INDEX('Disaggregation Records'!$H$155:$H$385,MATCH(RIGHT(Q1145,255),RIGHT('Disaggregation Records'!$D$155:$D$385,255),0))=0,"",INDEX('Disaggregation Records'!$H$155:$H$385,MATCH(RIGHT(Q1145,255),RIGHT('Disaggregation Records'!$D$155:$D$385,255),0))),"")</f>
        <v/>
      </c>
      <c r="U1145" s="189">
        <f t="shared" ref="U1145" si="4890">U1143+1</f>
        <v>1674</v>
      </c>
      <c r="V1145" s="189" t="str">
        <f t="array" ref="V1145">IFERROR(IF(INDEX('Disaggregation Records'!$I$155:$I$385,MATCH(RIGHT(Q1145,255),RIGHT('Disaggregation Records'!$D$155:$D$385,255),0))=0,"",INDEX('Disaggregation Records'!$I$155:$I$385,MATCH(RIGHT(Q1145,255),RIGHT('Disaggregation Records'!$D$155:$D$385,255),0))),"")</f>
        <v/>
      </c>
      <c r="W1145" s="189" t="str">
        <f>IFERROR(INDEX('Reference Records'!L$59:L$121,MATCH(LEFT(C1145,255),'Reference Records'!E$59:E$121,0)),"")</f>
        <v/>
      </c>
    </row>
    <row r="1146" spans="1:23" s="189" customFormat="1" ht="40.200000000000003" customHeight="1" x14ac:dyDescent="0.3">
      <c r="A1146" s="678"/>
      <c r="B1146" s="675"/>
      <c r="C1146" s="667"/>
      <c r="D1146" s="677"/>
      <c r="E1146" s="677"/>
      <c r="F1146" s="202"/>
      <c r="G1146" s="669"/>
      <c r="H1146" s="671"/>
      <c r="I1146" s="673"/>
      <c r="J1146" s="652"/>
      <c r="K1146" s="667"/>
      <c r="L1146" s="667"/>
      <c r="M1146" s="652"/>
      <c r="N1146" s="652"/>
    </row>
    <row r="1147" spans="1:23" s="189" customFormat="1" ht="40.200000000000003" customHeight="1" x14ac:dyDescent="0.3">
      <c r="A1147" s="678" t="str">
        <f t="shared" ref="A1147" ca="1" si="4891">INDIRECT("'update Helper'!C"&amp;U1147)</f>
        <v>a163p000002zQdcAAE</v>
      </c>
      <c r="B1147" s="674">
        <v>14</v>
      </c>
      <c r="C1147" s="666" t="str">
        <f>VLOOKUP(B1147,'Coverage Indicators - Section D'!$A$9:$AU$70,47,FALSE)</f>
        <v>KP-1d (M) Other 1 : Pourcentage de consommateur de drogues (y compris les injecteurs) ayant bénéficié de programme préventif de lutte contre le VIH (Paquet de services définis)</v>
      </c>
      <c r="D1147" s="676" t="str">
        <f t="shared" ref="D1147" si="4892">R1147</f>
        <v/>
      </c>
      <c r="E1147" s="676" t="str">
        <f t="shared" ref="E1147" si="4893">S1147</f>
        <v/>
      </c>
      <c r="F1147" s="194"/>
      <c r="G1147" s="668" t="str">
        <f t="shared" ref="G1147" ca="1" si="4894">IF(OR(INDIRECT("'update Helper'!E"&amp;U1147)=0,F1147&lt;&gt;0,F1148&lt;&gt;0),IF(IFERROR((F1147/F1148),"")="","",(F1147/F1148)),INDIRECT("'update Helper'!E"&amp;U1147)/100)</f>
        <v/>
      </c>
      <c r="H1147" s="670"/>
      <c r="I1147" s="672"/>
      <c r="J1147" s="651"/>
      <c r="K1147" s="666" t="str">
        <f t="shared" ref="K1147" si="4895">W1147</f>
        <v/>
      </c>
      <c r="L1147" s="666" t="str">
        <f t="shared" ref="L1147" si="4896">V1147</f>
        <v/>
      </c>
      <c r="M1147" s="651"/>
      <c r="N1147" s="651"/>
      <c r="P1147" s="189">
        <f t="shared" ref="P1147" si="4897">IF(AND(EXACT(C1147,C1145),C1145&lt;&gt;0),P1145+1,0)</f>
        <v>3</v>
      </c>
      <c r="Q1147" s="189" t="str">
        <f t="shared" ref="Q1147" si="4898">IF(C1147&lt;&gt;"",C1147&amp;"-"&amp;P1147,"")</f>
        <v>KP-1d (M) Other 1 : Pourcentage de consommateur de drogues (y compris les injecteurs) ayant bénéficié de programme préventif de lutte contre le VIH (Paquet de services définis)-3</v>
      </c>
      <c r="R1147" s="189" t="str">
        <f t="array" ref="R1147">IFERROR(IF(INDEX('Disaggregation Records'!$E$155:$E$385,MATCH(RIGHT(Q1147,255),RIGHT('Disaggregation Records'!$D$155:$D$385,255),0))=0,"",INDEX('Disaggregation Records'!$E$155:$E$385,MATCH(RIGHT(Q1147,255),RIGHT('Disaggregation Records'!$D$155:$D$385,255),0))),"")</f>
        <v/>
      </c>
      <c r="S1147" s="189" t="str">
        <f t="array" ref="S1147">IFERROR(IF(INDEX('Disaggregation Records'!$F$155:$F$385,MATCH(RIGHT(Q1147,255),RIGHT('Disaggregation Records'!$D$155:$D$385,255),0))=0,"",INDEX('Disaggregation Records'!$F$155:$F$385,MATCH(RIGHT(Q1147,255),RIGHT('Disaggregation Records'!$D$155:$D$385,255),0))),"")</f>
        <v/>
      </c>
      <c r="T1147" s="189" t="str">
        <f t="array" ref="T1147">IFERROR(IF(INDEX('Disaggregation Records'!$H$155:$H$385,MATCH(RIGHT(Q1147,255),RIGHT('Disaggregation Records'!$D$155:$D$385,255),0))=0,"",INDEX('Disaggregation Records'!$H$155:$H$385,MATCH(RIGHT(Q1147,255),RIGHT('Disaggregation Records'!$D$155:$D$385,255),0))),"")</f>
        <v/>
      </c>
      <c r="U1147" s="189">
        <f t="shared" ref="U1147" si="4899">U1145+1</f>
        <v>1675</v>
      </c>
      <c r="V1147" s="189" t="str">
        <f t="array" ref="V1147">IFERROR(IF(INDEX('Disaggregation Records'!$I$155:$I$385,MATCH(RIGHT(Q1147,255),RIGHT('Disaggregation Records'!$D$155:$D$385,255),0))=0,"",INDEX('Disaggregation Records'!$I$155:$I$385,MATCH(RIGHT(Q1147,255),RIGHT('Disaggregation Records'!$D$155:$D$385,255),0))),"")</f>
        <v/>
      </c>
      <c r="W1147" s="189" t="str">
        <f>IFERROR(INDEX('Reference Records'!L$59:L$121,MATCH(LEFT(C1147,255),'Reference Records'!E$59:E$121,0)),"")</f>
        <v/>
      </c>
    </row>
    <row r="1148" spans="1:23" s="189" customFormat="1" ht="40.200000000000003" customHeight="1" x14ac:dyDescent="0.3">
      <c r="A1148" s="678"/>
      <c r="B1148" s="675"/>
      <c r="C1148" s="667"/>
      <c r="D1148" s="677"/>
      <c r="E1148" s="677"/>
      <c r="F1148" s="202"/>
      <c r="G1148" s="669"/>
      <c r="H1148" s="671"/>
      <c r="I1148" s="673"/>
      <c r="J1148" s="652"/>
      <c r="K1148" s="667"/>
      <c r="L1148" s="667"/>
      <c r="M1148" s="652"/>
      <c r="N1148" s="652"/>
    </row>
    <row r="1149" spans="1:23" s="189" customFormat="1" ht="40.200000000000003" customHeight="1" x14ac:dyDescent="0.3">
      <c r="A1149" s="678" t="str">
        <f t="shared" ref="A1149" ca="1" si="4900">INDIRECT("'update Helper'!C"&amp;U1149)</f>
        <v>a163p000002zQddAAE</v>
      </c>
      <c r="B1149" s="674">
        <v>14</v>
      </c>
      <c r="C1149" s="666" t="str">
        <f>VLOOKUP(B1149,'Coverage Indicators - Section D'!$A$9:$AU$70,47,FALSE)</f>
        <v>KP-1d (M) Other 1 : Pourcentage de consommateur de drogues (y compris les injecteurs) ayant bénéficié de programme préventif de lutte contre le VIH (Paquet de services définis)</v>
      </c>
      <c r="D1149" s="676" t="str">
        <f t="shared" ref="D1149" si="4901">R1149</f>
        <v/>
      </c>
      <c r="E1149" s="676" t="str">
        <f t="shared" ref="E1149" si="4902">S1149</f>
        <v/>
      </c>
      <c r="F1149" s="194"/>
      <c r="G1149" s="668" t="str">
        <f t="shared" ref="G1149" ca="1" si="4903">IF(OR(INDIRECT("'update Helper'!E"&amp;U1149)=0,F1149&lt;&gt;0,F1150&lt;&gt;0),IF(IFERROR((F1149/F1150),"")="","",(F1149/F1150)),INDIRECT("'update Helper'!E"&amp;U1149)/100)</f>
        <v/>
      </c>
      <c r="H1149" s="670"/>
      <c r="I1149" s="672"/>
      <c r="J1149" s="651"/>
      <c r="K1149" s="666" t="str">
        <f t="shared" ref="K1149" si="4904">W1149</f>
        <v/>
      </c>
      <c r="L1149" s="666" t="str">
        <f t="shared" ref="L1149" si="4905">V1149</f>
        <v/>
      </c>
      <c r="M1149" s="651"/>
      <c r="N1149" s="651"/>
      <c r="P1149" s="189">
        <f t="shared" ref="P1149" si="4906">IF(AND(EXACT(C1149,C1147),C1147&lt;&gt;0),P1147+1,0)</f>
        <v>4</v>
      </c>
      <c r="Q1149" s="189" t="str">
        <f t="shared" ref="Q1149" si="4907">IF(C1149&lt;&gt;"",C1149&amp;"-"&amp;P1149,"")</f>
        <v>KP-1d (M) Other 1 : Pourcentage de consommateur de drogues (y compris les injecteurs) ayant bénéficié de programme préventif de lutte contre le VIH (Paquet de services définis)-4</v>
      </c>
      <c r="R1149" s="189" t="str">
        <f t="array" ref="R1149">IFERROR(IF(INDEX('Disaggregation Records'!$E$155:$E$385,MATCH(RIGHT(Q1149,255),RIGHT('Disaggregation Records'!$D$155:$D$385,255),0))=0,"",INDEX('Disaggregation Records'!$E$155:$E$385,MATCH(RIGHT(Q1149,255),RIGHT('Disaggregation Records'!$D$155:$D$385,255),0))),"")</f>
        <v/>
      </c>
      <c r="S1149" s="189" t="str">
        <f t="array" ref="S1149">IFERROR(IF(INDEX('Disaggregation Records'!$F$155:$F$385,MATCH(RIGHT(Q1149,255),RIGHT('Disaggregation Records'!$D$155:$D$385,255),0))=0,"",INDEX('Disaggregation Records'!$F$155:$F$385,MATCH(RIGHT(Q1149,255),RIGHT('Disaggregation Records'!$D$155:$D$385,255),0))),"")</f>
        <v/>
      </c>
      <c r="T1149" s="189" t="str">
        <f t="array" ref="T1149">IFERROR(IF(INDEX('Disaggregation Records'!$H$155:$H$385,MATCH(RIGHT(Q1149,255),RIGHT('Disaggregation Records'!$D$155:$D$385,255),0))=0,"",INDEX('Disaggregation Records'!$H$155:$H$385,MATCH(RIGHT(Q1149,255),RIGHT('Disaggregation Records'!$D$155:$D$385,255),0))),"")</f>
        <v/>
      </c>
      <c r="U1149" s="189">
        <f t="shared" ref="U1149" si="4908">U1147+1</f>
        <v>1676</v>
      </c>
      <c r="V1149" s="189" t="str">
        <f t="array" ref="V1149">IFERROR(IF(INDEX('Disaggregation Records'!$I$155:$I$385,MATCH(RIGHT(Q1149,255),RIGHT('Disaggregation Records'!$D$155:$D$385,255),0))=0,"",INDEX('Disaggregation Records'!$I$155:$I$385,MATCH(RIGHT(Q1149,255),RIGHT('Disaggregation Records'!$D$155:$D$385,255),0))),"")</f>
        <v/>
      </c>
      <c r="W1149" s="189" t="str">
        <f>IFERROR(INDEX('Reference Records'!L$59:L$121,MATCH(LEFT(C1149,255),'Reference Records'!E$59:E$121,0)),"")</f>
        <v/>
      </c>
    </row>
    <row r="1150" spans="1:23" s="189" customFormat="1" ht="40.200000000000003" customHeight="1" x14ac:dyDescent="0.3">
      <c r="A1150" s="678"/>
      <c r="B1150" s="675"/>
      <c r="C1150" s="667"/>
      <c r="D1150" s="677"/>
      <c r="E1150" s="677"/>
      <c r="F1150" s="202"/>
      <c r="G1150" s="669"/>
      <c r="H1150" s="671"/>
      <c r="I1150" s="673"/>
      <c r="J1150" s="652"/>
      <c r="K1150" s="667"/>
      <c r="L1150" s="667"/>
      <c r="M1150" s="652"/>
      <c r="N1150" s="652"/>
    </row>
    <row r="1151" spans="1:23" s="189" customFormat="1" ht="40.200000000000003" customHeight="1" x14ac:dyDescent="0.3">
      <c r="A1151" s="678" t="str">
        <f t="shared" ref="A1151" ca="1" si="4909">INDIRECT("'update Helper'!C"&amp;U1151)</f>
        <v>a163p000002zQdeAAE</v>
      </c>
      <c r="B1151" s="674">
        <v>14</v>
      </c>
      <c r="C1151" s="666" t="str">
        <f>VLOOKUP(B1151,'Coverage Indicators - Section D'!$A$9:$AU$70,47,FALSE)</f>
        <v>KP-1d (M) Other 1 : Pourcentage de consommateur de drogues (y compris les injecteurs) ayant bénéficié de programme préventif de lutte contre le VIH (Paquet de services définis)</v>
      </c>
      <c r="D1151" s="676" t="str">
        <f t="shared" ref="D1151" si="4910">R1151</f>
        <v/>
      </c>
      <c r="E1151" s="676" t="str">
        <f t="shared" ref="E1151" si="4911">S1151</f>
        <v/>
      </c>
      <c r="F1151" s="194"/>
      <c r="G1151" s="668" t="str">
        <f t="shared" ref="G1151" ca="1" si="4912">IF(OR(INDIRECT("'update Helper'!E"&amp;U1151)=0,F1151&lt;&gt;0,F1152&lt;&gt;0),IF(IFERROR((F1151/F1152),"")="","",(F1151/F1152)),INDIRECT("'update Helper'!E"&amp;U1151)/100)</f>
        <v/>
      </c>
      <c r="H1151" s="670"/>
      <c r="I1151" s="672"/>
      <c r="J1151" s="651"/>
      <c r="K1151" s="666" t="str">
        <f t="shared" ref="K1151" si="4913">W1151</f>
        <v/>
      </c>
      <c r="L1151" s="666" t="str">
        <f t="shared" ref="L1151" si="4914">V1151</f>
        <v/>
      </c>
      <c r="M1151" s="651"/>
      <c r="N1151" s="651"/>
      <c r="P1151" s="189">
        <f t="shared" ref="P1151" si="4915">IF(AND(EXACT(C1151,C1149),C1149&lt;&gt;0),P1149+1,0)</f>
        <v>5</v>
      </c>
      <c r="Q1151" s="189" t="str">
        <f t="shared" ref="Q1151" si="4916">IF(C1151&lt;&gt;"",C1151&amp;"-"&amp;P1151,"")</f>
        <v>KP-1d (M) Other 1 : Pourcentage de consommateur de drogues (y compris les injecteurs) ayant bénéficié de programme préventif de lutte contre le VIH (Paquet de services définis)-5</v>
      </c>
      <c r="R1151" s="189" t="str">
        <f t="array" ref="R1151">IFERROR(IF(INDEX('Disaggregation Records'!$E$155:$E$385,MATCH(RIGHT(Q1151,255),RIGHT('Disaggregation Records'!$D$155:$D$385,255),0))=0,"",INDEX('Disaggregation Records'!$E$155:$E$385,MATCH(RIGHT(Q1151,255),RIGHT('Disaggregation Records'!$D$155:$D$385,255),0))),"")</f>
        <v/>
      </c>
      <c r="S1151" s="189" t="str">
        <f t="array" ref="S1151">IFERROR(IF(INDEX('Disaggregation Records'!$F$155:$F$385,MATCH(RIGHT(Q1151,255),RIGHT('Disaggregation Records'!$D$155:$D$385,255),0))=0,"",INDEX('Disaggregation Records'!$F$155:$F$385,MATCH(RIGHT(Q1151,255),RIGHT('Disaggregation Records'!$D$155:$D$385,255),0))),"")</f>
        <v/>
      </c>
      <c r="T1151" s="189" t="str">
        <f t="array" ref="T1151">IFERROR(IF(INDEX('Disaggregation Records'!$H$155:$H$385,MATCH(RIGHT(Q1151,255),RIGHT('Disaggregation Records'!$D$155:$D$385,255),0))=0,"",INDEX('Disaggregation Records'!$H$155:$H$385,MATCH(RIGHT(Q1151,255),RIGHT('Disaggregation Records'!$D$155:$D$385,255),0))),"")</f>
        <v/>
      </c>
      <c r="U1151" s="189">
        <f t="shared" ref="U1151" si="4917">U1149+1</f>
        <v>1677</v>
      </c>
      <c r="V1151" s="189" t="str">
        <f t="array" ref="V1151">IFERROR(IF(INDEX('Disaggregation Records'!$I$155:$I$385,MATCH(RIGHT(Q1151,255),RIGHT('Disaggregation Records'!$D$155:$D$385,255),0))=0,"",INDEX('Disaggregation Records'!$I$155:$I$385,MATCH(RIGHT(Q1151,255),RIGHT('Disaggregation Records'!$D$155:$D$385,255),0))),"")</f>
        <v/>
      </c>
      <c r="W1151" s="189" t="str">
        <f>IFERROR(INDEX('Reference Records'!L$59:L$121,MATCH(LEFT(C1151,255),'Reference Records'!E$59:E$121,0)),"")</f>
        <v/>
      </c>
    </row>
    <row r="1152" spans="1:23" s="189" customFormat="1" ht="40.200000000000003" customHeight="1" x14ac:dyDescent="0.3">
      <c r="A1152" s="678"/>
      <c r="B1152" s="675"/>
      <c r="C1152" s="667"/>
      <c r="D1152" s="677"/>
      <c r="E1152" s="677"/>
      <c r="F1152" s="202"/>
      <c r="G1152" s="669"/>
      <c r="H1152" s="671"/>
      <c r="I1152" s="673"/>
      <c r="J1152" s="652"/>
      <c r="K1152" s="667"/>
      <c r="L1152" s="667"/>
      <c r="M1152" s="652"/>
      <c r="N1152" s="652"/>
    </row>
    <row r="1153" spans="1:23" s="189" customFormat="1" ht="40.200000000000003" customHeight="1" x14ac:dyDescent="0.3">
      <c r="A1153" s="678" t="str">
        <f t="shared" ref="A1153" ca="1" si="4918">INDIRECT("'update Helper'!C"&amp;U1153)</f>
        <v>a163p000002zQdfAAE</v>
      </c>
      <c r="B1153" s="674">
        <v>14</v>
      </c>
      <c r="C1153" s="666" t="str">
        <f>VLOOKUP(B1153,'Coverage Indicators - Section D'!$A$9:$AU$70,47,FALSE)</f>
        <v>KP-1d (M) Other 1 : Pourcentage de consommateur de drogues (y compris les injecteurs) ayant bénéficié de programme préventif de lutte contre le VIH (Paquet de services définis)</v>
      </c>
      <c r="D1153" s="676" t="str">
        <f t="shared" ref="D1153" si="4919">R1153</f>
        <v/>
      </c>
      <c r="E1153" s="676" t="str">
        <f t="shared" ref="E1153" si="4920">S1153</f>
        <v/>
      </c>
      <c r="F1153" s="194"/>
      <c r="G1153" s="668" t="str">
        <f t="shared" ref="G1153" ca="1" si="4921">IF(OR(INDIRECT("'update Helper'!E"&amp;U1153)=0,F1153&lt;&gt;0,F1154&lt;&gt;0),IF(IFERROR((F1153/F1154),"")="","",(F1153/F1154)),INDIRECT("'update Helper'!E"&amp;U1153)/100)</f>
        <v/>
      </c>
      <c r="H1153" s="670"/>
      <c r="I1153" s="672"/>
      <c r="J1153" s="651"/>
      <c r="K1153" s="666" t="str">
        <f t="shared" ref="K1153" si="4922">W1153</f>
        <v/>
      </c>
      <c r="L1153" s="666" t="str">
        <f t="shared" ref="L1153" si="4923">V1153</f>
        <v/>
      </c>
      <c r="M1153" s="651"/>
      <c r="N1153" s="651"/>
      <c r="P1153" s="189">
        <f t="shared" ref="P1153" si="4924">IF(AND(EXACT(C1153,C1151),C1151&lt;&gt;0),P1151+1,0)</f>
        <v>6</v>
      </c>
      <c r="Q1153" s="189" t="str">
        <f t="shared" ref="Q1153" si="4925">IF(C1153&lt;&gt;"",C1153&amp;"-"&amp;P1153,"")</f>
        <v>KP-1d (M) Other 1 : Pourcentage de consommateur de drogues (y compris les injecteurs) ayant bénéficié de programme préventif de lutte contre le VIH (Paquet de services définis)-6</v>
      </c>
      <c r="R1153" s="189" t="str">
        <f t="array" ref="R1153">IFERROR(IF(INDEX('Disaggregation Records'!$E$155:$E$385,MATCH(RIGHT(Q1153,255),RIGHT('Disaggregation Records'!$D$155:$D$385,255),0))=0,"",INDEX('Disaggregation Records'!$E$155:$E$385,MATCH(RIGHT(Q1153,255),RIGHT('Disaggregation Records'!$D$155:$D$385,255),0))),"")</f>
        <v/>
      </c>
      <c r="S1153" s="189" t="str">
        <f t="array" ref="S1153">IFERROR(IF(INDEX('Disaggregation Records'!$F$155:$F$385,MATCH(RIGHT(Q1153,255),RIGHT('Disaggregation Records'!$D$155:$D$385,255),0))=0,"",INDEX('Disaggregation Records'!$F$155:$F$385,MATCH(RIGHT(Q1153,255),RIGHT('Disaggregation Records'!$D$155:$D$385,255),0))),"")</f>
        <v/>
      </c>
      <c r="T1153" s="189" t="str">
        <f t="array" ref="T1153">IFERROR(IF(INDEX('Disaggregation Records'!$H$155:$H$385,MATCH(RIGHT(Q1153,255),RIGHT('Disaggregation Records'!$D$155:$D$385,255),0))=0,"",INDEX('Disaggregation Records'!$H$155:$H$385,MATCH(RIGHT(Q1153,255),RIGHT('Disaggregation Records'!$D$155:$D$385,255),0))),"")</f>
        <v/>
      </c>
      <c r="U1153" s="189">
        <f t="shared" ref="U1153" si="4926">U1151+1</f>
        <v>1678</v>
      </c>
      <c r="V1153" s="189" t="str">
        <f t="array" ref="V1153">IFERROR(IF(INDEX('Disaggregation Records'!$I$155:$I$385,MATCH(RIGHT(Q1153,255),RIGHT('Disaggregation Records'!$D$155:$D$385,255),0))=0,"",INDEX('Disaggregation Records'!$I$155:$I$385,MATCH(RIGHT(Q1153,255),RIGHT('Disaggregation Records'!$D$155:$D$385,255),0))),"")</f>
        <v/>
      </c>
      <c r="W1153" s="189" t="str">
        <f>IFERROR(INDEX('Reference Records'!L$59:L$121,MATCH(LEFT(C1153,255),'Reference Records'!E$59:E$121,0)),"")</f>
        <v/>
      </c>
    </row>
    <row r="1154" spans="1:23" s="189" customFormat="1" ht="40.200000000000003" customHeight="1" x14ac:dyDescent="0.3">
      <c r="A1154" s="678"/>
      <c r="B1154" s="675"/>
      <c r="C1154" s="667"/>
      <c r="D1154" s="677"/>
      <c r="E1154" s="677"/>
      <c r="F1154" s="202"/>
      <c r="G1154" s="669"/>
      <c r="H1154" s="671"/>
      <c r="I1154" s="673"/>
      <c r="J1154" s="652"/>
      <c r="K1154" s="667"/>
      <c r="L1154" s="667"/>
      <c r="M1154" s="652"/>
      <c r="N1154" s="652"/>
    </row>
    <row r="1155" spans="1:23" s="189" customFormat="1" ht="40.200000000000003" customHeight="1" x14ac:dyDescent="0.3">
      <c r="A1155" s="678" t="str">
        <f t="shared" ref="A1155" ca="1" si="4927">INDIRECT("'update Helper'!C"&amp;U1155)</f>
        <v>a163p000002zQdgAAE</v>
      </c>
      <c r="B1155" s="674">
        <v>14</v>
      </c>
      <c r="C1155" s="666" t="str">
        <f>VLOOKUP(B1155,'Coverage Indicators - Section D'!$A$9:$AU$70,47,FALSE)</f>
        <v>KP-1d (M) Other 1 : Pourcentage de consommateur de drogues (y compris les injecteurs) ayant bénéficié de programme préventif de lutte contre le VIH (Paquet de services définis)</v>
      </c>
      <c r="D1155" s="676" t="str">
        <f t="shared" ref="D1155" si="4928">R1155</f>
        <v/>
      </c>
      <c r="E1155" s="676" t="str">
        <f t="shared" ref="E1155" si="4929">S1155</f>
        <v/>
      </c>
      <c r="F1155" s="194"/>
      <c r="G1155" s="668" t="str">
        <f t="shared" ref="G1155" ca="1" si="4930">IF(OR(INDIRECT("'update Helper'!E"&amp;U1155)=0,F1155&lt;&gt;0,F1156&lt;&gt;0),IF(IFERROR((F1155/F1156),"")="","",(F1155/F1156)),INDIRECT("'update Helper'!E"&amp;U1155)/100)</f>
        <v/>
      </c>
      <c r="H1155" s="670"/>
      <c r="I1155" s="672"/>
      <c r="J1155" s="651"/>
      <c r="K1155" s="666" t="str">
        <f t="shared" ref="K1155" si="4931">W1155</f>
        <v/>
      </c>
      <c r="L1155" s="666" t="str">
        <f t="shared" ref="L1155" si="4932">V1155</f>
        <v/>
      </c>
      <c r="M1155" s="651"/>
      <c r="N1155" s="651"/>
      <c r="P1155" s="189">
        <f t="shared" ref="P1155" si="4933">IF(AND(EXACT(C1155,C1153),C1153&lt;&gt;0),P1153+1,0)</f>
        <v>7</v>
      </c>
      <c r="Q1155" s="189" t="str">
        <f t="shared" ref="Q1155" si="4934">IF(C1155&lt;&gt;"",C1155&amp;"-"&amp;P1155,"")</f>
        <v>KP-1d (M) Other 1 : Pourcentage de consommateur de drogues (y compris les injecteurs) ayant bénéficié de programme préventif de lutte contre le VIH (Paquet de services définis)-7</v>
      </c>
      <c r="R1155" s="189" t="str">
        <f t="array" ref="R1155">IFERROR(IF(INDEX('Disaggregation Records'!$E$155:$E$385,MATCH(RIGHT(Q1155,255),RIGHT('Disaggregation Records'!$D$155:$D$385,255),0))=0,"",INDEX('Disaggregation Records'!$E$155:$E$385,MATCH(RIGHT(Q1155,255),RIGHT('Disaggregation Records'!$D$155:$D$385,255),0))),"")</f>
        <v/>
      </c>
      <c r="S1155" s="189" t="str">
        <f t="array" ref="S1155">IFERROR(IF(INDEX('Disaggregation Records'!$F$155:$F$385,MATCH(RIGHT(Q1155,255),RIGHT('Disaggregation Records'!$D$155:$D$385,255),0))=0,"",INDEX('Disaggregation Records'!$F$155:$F$385,MATCH(RIGHT(Q1155,255),RIGHT('Disaggregation Records'!$D$155:$D$385,255),0))),"")</f>
        <v/>
      </c>
      <c r="T1155" s="189" t="str">
        <f t="array" ref="T1155">IFERROR(IF(INDEX('Disaggregation Records'!$H$155:$H$385,MATCH(RIGHT(Q1155,255),RIGHT('Disaggregation Records'!$D$155:$D$385,255),0))=0,"",INDEX('Disaggregation Records'!$H$155:$H$385,MATCH(RIGHT(Q1155,255),RIGHT('Disaggregation Records'!$D$155:$D$385,255),0))),"")</f>
        <v/>
      </c>
      <c r="U1155" s="189">
        <f t="shared" ref="U1155" si="4935">U1153+1</f>
        <v>1679</v>
      </c>
      <c r="V1155" s="189" t="str">
        <f t="array" ref="V1155">IFERROR(IF(INDEX('Disaggregation Records'!$I$155:$I$385,MATCH(RIGHT(Q1155,255),RIGHT('Disaggregation Records'!$D$155:$D$385,255),0))=0,"",INDEX('Disaggregation Records'!$I$155:$I$385,MATCH(RIGHT(Q1155,255),RIGHT('Disaggregation Records'!$D$155:$D$385,255),0))),"")</f>
        <v/>
      </c>
      <c r="W1155" s="189" t="str">
        <f>IFERROR(INDEX('Reference Records'!L$59:L$121,MATCH(LEFT(C1155,255),'Reference Records'!E$59:E$121,0)),"")</f>
        <v/>
      </c>
    </row>
    <row r="1156" spans="1:23" s="189" customFormat="1" ht="40.200000000000003" customHeight="1" x14ac:dyDescent="0.3">
      <c r="A1156" s="678"/>
      <c r="B1156" s="675"/>
      <c r="C1156" s="667"/>
      <c r="D1156" s="677"/>
      <c r="E1156" s="677"/>
      <c r="F1156" s="202"/>
      <c r="G1156" s="669"/>
      <c r="H1156" s="671"/>
      <c r="I1156" s="673"/>
      <c r="J1156" s="652"/>
      <c r="K1156" s="667"/>
      <c r="L1156" s="667"/>
      <c r="M1156" s="652"/>
      <c r="N1156" s="652"/>
    </row>
    <row r="1157" spans="1:23" s="189" customFormat="1" ht="40.200000000000003" customHeight="1" x14ac:dyDescent="0.3">
      <c r="A1157" s="678" t="str">
        <f t="shared" ref="A1157" ca="1" si="4936">INDIRECT("'update Helper'!C"&amp;U1157)</f>
        <v>a163p000002zQdhAAE</v>
      </c>
      <c r="B1157" s="674">
        <v>14</v>
      </c>
      <c r="C1157" s="666" t="str">
        <f>VLOOKUP(B1157,'Coverage Indicators - Section D'!$A$9:$AU$70,47,FALSE)</f>
        <v>KP-1d (M) Other 1 : Pourcentage de consommateur de drogues (y compris les injecteurs) ayant bénéficié de programme préventif de lutte contre le VIH (Paquet de services définis)</v>
      </c>
      <c r="D1157" s="676" t="str">
        <f t="shared" ref="D1157" si="4937">R1157</f>
        <v/>
      </c>
      <c r="E1157" s="676" t="str">
        <f t="shared" ref="E1157" si="4938">S1157</f>
        <v/>
      </c>
      <c r="F1157" s="194"/>
      <c r="G1157" s="668" t="str">
        <f t="shared" ref="G1157" ca="1" si="4939">IF(OR(INDIRECT("'update Helper'!E"&amp;U1157)=0,F1157&lt;&gt;0,F1158&lt;&gt;0),IF(IFERROR((F1157/F1158),"")="","",(F1157/F1158)),INDIRECT("'update Helper'!E"&amp;U1157)/100)</f>
        <v/>
      </c>
      <c r="H1157" s="670"/>
      <c r="I1157" s="672"/>
      <c r="J1157" s="651"/>
      <c r="K1157" s="666" t="str">
        <f t="shared" ref="K1157" si="4940">W1157</f>
        <v/>
      </c>
      <c r="L1157" s="666" t="str">
        <f t="shared" ref="L1157" si="4941">V1157</f>
        <v/>
      </c>
      <c r="M1157" s="651"/>
      <c r="N1157" s="651"/>
      <c r="P1157" s="189">
        <f t="shared" ref="P1157" si="4942">IF(AND(EXACT(C1157,C1155),C1155&lt;&gt;0),P1155+1,0)</f>
        <v>8</v>
      </c>
      <c r="Q1157" s="189" t="str">
        <f t="shared" ref="Q1157" si="4943">IF(C1157&lt;&gt;"",C1157&amp;"-"&amp;P1157,"")</f>
        <v>KP-1d (M) Other 1 : Pourcentage de consommateur de drogues (y compris les injecteurs) ayant bénéficié de programme préventif de lutte contre le VIH (Paquet de services définis)-8</v>
      </c>
      <c r="R1157" s="189" t="str">
        <f t="array" ref="R1157">IFERROR(IF(INDEX('Disaggregation Records'!$E$155:$E$385,MATCH(RIGHT(Q1157,255),RIGHT('Disaggregation Records'!$D$155:$D$385,255),0))=0,"",INDEX('Disaggregation Records'!$E$155:$E$385,MATCH(RIGHT(Q1157,255),RIGHT('Disaggregation Records'!$D$155:$D$385,255),0))),"")</f>
        <v/>
      </c>
      <c r="S1157" s="189" t="str">
        <f t="array" ref="S1157">IFERROR(IF(INDEX('Disaggregation Records'!$F$155:$F$385,MATCH(RIGHT(Q1157,255),RIGHT('Disaggregation Records'!$D$155:$D$385,255),0))=0,"",INDEX('Disaggregation Records'!$F$155:$F$385,MATCH(RIGHT(Q1157,255),RIGHT('Disaggregation Records'!$D$155:$D$385,255),0))),"")</f>
        <v/>
      </c>
      <c r="T1157" s="189" t="str">
        <f t="array" ref="T1157">IFERROR(IF(INDEX('Disaggregation Records'!$H$155:$H$385,MATCH(RIGHT(Q1157,255),RIGHT('Disaggregation Records'!$D$155:$D$385,255),0))=0,"",INDEX('Disaggregation Records'!$H$155:$H$385,MATCH(RIGHT(Q1157,255),RIGHT('Disaggregation Records'!$D$155:$D$385,255),0))),"")</f>
        <v/>
      </c>
      <c r="U1157" s="189">
        <f t="shared" ref="U1157" si="4944">U1155+1</f>
        <v>1680</v>
      </c>
      <c r="V1157" s="189" t="str">
        <f t="array" ref="V1157">IFERROR(IF(INDEX('Disaggregation Records'!$I$155:$I$385,MATCH(RIGHT(Q1157,255),RIGHT('Disaggregation Records'!$D$155:$D$385,255),0))=0,"",INDEX('Disaggregation Records'!$I$155:$I$385,MATCH(RIGHT(Q1157,255),RIGHT('Disaggregation Records'!$D$155:$D$385,255),0))),"")</f>
        <v/>
      </c>
      <c r="W1157" s="189" t="str">
        <f>IFERROR(INDEX('Reference Records'!L$59:L$121,MATCH(LEFT(C1157,255),'Reference Records'!E$59:E$121,0)),"")</f>
        <v/>
      </c>
    </row>
    <row r="1158" spans="1:23" s="189" customFormat="1" ht="40.200000000000003" customHeight="1" x14ac:dyDescent="0.3">
      <c r="A1158" s="678"/>
      <c r="B1158" s="675"/>
      <c r="C1158" s="667"/>
      <c r="D1158" s="677"/>
      <c r="E1158" s="677"/>
      <c r="F1158" s="202"/>
      <c r="G1158" s="669"/>
      <c r="H1158" s="671"/>
      <c r="I1158" s="673"/>
      <c r="J1158" s="652"/>
      <c r="K1158" s="667"/>
      <c r="L1158" s="667"/>
      <c r="M1158" s="652"/>
      <c r="N1158" s="652"/>
    </row>
    <row r="1159" spans="1:23" s="189" customFormat="1" ht="40.200000000000003" customHeight="1" x14ac:dyDescent="0.3">
      <c r="A1159" s="678" t="str">
        <f t="shared" ref="A1159" ca="1" si="4945">INDIRECT("'update Helper'!C"&amp;U1159)</f>
        <v>a163p000002zQdiAAE</v>
      </c>
      <c r="B1159" s="674">
        <v>14</v>
      </c>
      <c r="C1159" s="666" t="str">
        <f>VLOOKUP(B1159,'Coverage Indicators - Section D'!$A$9:$AU$70,47,FALSE)</f>
        <v>KP-1d (M) Other 1 : Pourcentage de consommateur de drogues (y compris les injecteurs) ayant bénéficié de programme préventif de lutte contre le VIH (Paquet de services définis)</v>
      </c>
      <c r="D1159" s="676" t="str">
        <f t="shared" ref="D1159" si="4946">R1159</f>
        <v/>
      </c>
      <c r="E1159" s="676" t="str">
        <f t="shared" ref="E1159" si="4947">S1159</f>
        <v/>
      </c>
      <c r="F1159" s="194"/>
      <c r="G1159" s="668" t="str">
        <f t="shared" ref="G1159" ca="1" si="4948">IF(OR(INDIRECT("'update Helper'!E"&amp;U1159)=0,F1159&lt;&gt;0,F1160&lt;&gt;0),IF(IFERROR((F1159/F1160),"")="","",(F1159/F1160)),INDIRECT("'update Helper'!E"&amp;U1159)/100)</f>
        <v/>
      </c>
      <c r="H1159" s="670"/>
      <c r="I1159" s="672"/>
      <c r="J1159" s="651"/>
      <c r="K1159" s="666" t="str">
        <f t="shared" ref="K1159" si="4949">W1159</f>
        <v/>
      </c>
      <c r="L1159" s="666" t="str">
        <f t="shared" ref="L1159" si="4950">V1159</f>
        <v/>
      </c>
      <c r="M1159" s="651"/>
      <c r="N1159" s="651"/>
      <c r="P1159" s="189">
        <f t="shared" ref="P1159" si="4951">IF(AND(EXACT(C1159,C1157),C1157&lt;&gt;0),P1157+1,0)</f>
        <v>9</v>
      </c>
      <c r="Q1159" s="189" t="str">
        <f t="shared" ref="Q1159" si="4952">IF(C1159&lt;&gt;"",C1159&amp;"-"&amp;P1159,"")</f>
        <v>KP-1d (M) Other 1 : Pourcentage de consommateur de drogues (y compris les injecteurs) ayant bénéficié de programme préventif de lutte contre le VIH (Paquet de services définis)-9</v>
      </c>
      <c r="R1159" s="189" t="str">
        <f t="array" ref="R1159">IFERROR(IF(INDEX('Disaggregation Records'!$E$155:$E$385,MATCH(RIGHT(Q1159,255),RIGHT('Disaggregation Records'!$D$155:$D$385,255),0))=0,"",INDEX('Disaggregation Records'!$E$155:$E$385,MATCH(RIGHT(Q1159,255),RIGHT('Disaggregation Records'!$D$155:$D$385,255),0))),"")</f>
        <v/>
      </c>
      <c r="S1159" s="189" t="str">
        <f t="array" ref="S1159">IFERROR(IF(INDEX('Disaggregation Records'!$F$155:$F$385,MATCH(RIGHT(Q1159,255),RIGHT('Disaggregation Records'!$D$155:$D$385,255),0))=0,"",INDEX('Disaggregation Records'!$F$155:$F$385,MATCH(RIGHT(Q1159,255),RIGHT('Disaggregation Records'!$D$155:$D$385,255),0))),"")</f>
        <v/>
      </c>
      <c r="T1159" s="189" t="str">
        <f t="array" ref="T1159">IFERROR(IF(INDEX('Disaggregation Records'!$H$155:$H$385,MATCH(RIGHT(Q1159,255),RIGHT('Disaggregation Records'!$D$155:$D$385,255),0))=0,"",INDEX('Disaggregation Records'!$H$155:$H$385,MATCH(RIGHT(Q1159,255),RIGHT('Disaggregation Records'!$D$155:$D$385,255),0))),"")</f>
        <v/>
      </c>
      <c r="U1159" s="189">
        <f t="shared" ref="U1159" si="4953">U1157+1</f>
        <v>1681</v>
      </c>
      <c r="V1159" s="189" t="str">
        <f t="array" ref="V1159">IFERROR(IF(INDEX('Disaggregation Records'!$I$155:$I$385,MATCH(RIGHT(Q1159,255),RIGHT('Disaggregation Records'!$D$155:$D$385,255),0))=0,"",INDEX('Disaggregation Records'!$I$155:$I$385,MATCH(RIGHT(Q1159,255),RIGHT('Disaggregation Records'!$D$155:$D$385,255),0))),"")</f>
        <v/>
      </c>
      <c r="W1159" s="189" t="str">
        <f>IFERROR(INDEX('Reference Records'!L$59:L$121,MATCH(LEFT(C1159,255),'Reference Records'!E$59:E$121,0)),"")</f>
        <v/>
      </c>
    </row>
    <row r="1160" spans="1:23" s="189" customFormat="1" ht="40.200000000000003" customHeight="1" x14ac:dyDescent="0.3">
      <c r="A1160" s="678"/>
      <c r="B1160" s="675"/>
      <c r="C1160" s="667"/>
      <c r="D1160" s="677"/>
      <c r="E1160" s="677"/>
      <c r="F1160" s="202"/>
      <c r="G1160" s="669"/>
      <c r="H1160" s="671"/>
      <c r="I1160" s="673"/>
      <c r="J1160" s="652"/>
      <c r="K1160" s="667"/>
      <c r="L1160" s="667"/>
      <c r="M1160" s="652"/>
      <c r="N1160" s="652"/>
    </row>
    <row r="1161" spans="1:23" s="189" customFormat="1" ht="40.200000000000003" customHeight="1" x14ac:dyDescent="0.3">
      <c r="A1161" s="678" t="str">
        <f t="shared" ref="A1161" ca="1" si="4954">INDIRECT("'update Helper'!C"&amp;U1161)</f>
        <v>a163p000002zQdjAAE</v>
      </c>
      <c r="B1161" s="674">
        <v>14</v>
      </c>
      <c r="C1161" s="666" t="str">
        <f>VLOOKUP(B1161,'Coverage Indicators - Section D'!$A$9:$AU$70,47,FALSE)</f>
        <v>KP-1d (M) Other 1 : Pourcentage de consommateur de drogues (y compris les injecteurs) ayant bénéficié de programme préventif de lutte contre le VIH (Paquet de services définis)</v>
      </c>
      <c r="D1161" s="676" t="str">
        <f t="shared" ref="D1161" si="4955">R1161</f>
        <v/>
      </c>
      <c r="E1161" s="676" t="str">
        <f t="shared" ref="E1161" si="4956">S1161</f>
        <v/>
      </c>
      <c r="F1161" s="194"/>
      <c r="G1161" s="668" t="str">
        <f t="shared" ref="G1161" ca="1" si="4957">IF(OR(INDIRECT("'update Helper'!E"&amp;U1161)=0,F1161&lt;&gt;0,F1162&lt;&gt;0),IF(IFERROR((F1161/F1162),"")="","",(F1161/F1162)),INDIRECT("'update Helper'!E"&amp;U1161)/100)</f>
        <v/>
      </c>
      <c r="H1161" s="670"/>
      <c r="I1161" s="672"/>
      <c r="J1161" s="651"/>
      <c r="K1161" s="666" t="str">
        <f t="shared" ref="K1161" si="4958">W1161</f>
        <v/>
      </c>
      <c r="L1161" s="666" t="str">
        <f t="shared" ref="L1161" si="4959">V1161</f>
        <v/>
      </c>
      <c r="M1161" s="651"/>
      <c r="N1161" s="651"/>
      <c r="P1161" s="189">
        <f t="shared" ref="P1161" si="4960">IF(AND(EXACT(C1161,C1159),C1159&lt;&gt;0),P1159+1,0)</f>
        <v>10</v>
      </c>
      <c r="Q1161" s="189" t="str">
        <f t="shared" ref="Q1161" si="4961">IF(C1161&lt;&gt;"",C1161&amp;"-"&amp;P1161,"")</f>
        <v>KP-1d (M) Other 1 : Pourcentage de consommateur de drogues (y compris les injecteurs) ayant bénéficié de programme préventif de lutte contre le VIH (Paquet de services définis)-10</v>
      </c>
      <c r="R1161" s="189" t="str">
        <f t="array" ref="R1161">IFERROR(IF(INDEX('Disaggregation Records'!$E$155:$E$385,MATCH(RIGHT(Q1161,255),RIGHT('Disaggregation Records'!$D$155:$D$385,255),0))=0,"",INDEX('Disaggregation Records'!$E$155:$E$385,MATCH(RIGHT(Q1161,255),RIGHT('Disaggregation Records'!$D$155:$D$385,255),0))),"")</f>
        <v/>
      </c>
      <c r="S1161" s="189" t="str">
        <f t="array" ref="S1161">IFERROR(IF(INDEX('Disaggregation Records'!$F$155:$F$385,MATCH(RIGHT(Q1161,255),RIGHT('Disaggregation Records'!$D$155:$D$385,255),0))=0,"",INDEX('Disaggregation Records'!$F$155:$F$385,MATCH(RIGHT(Q1161,255),RIGHT('Disaggregation Records'!$D$155:$D$385,255),0))),"")</f>
        <v/>
      </c>
      <c r="T1161" s="189" t="str">
        <f t="array" ref="T1161">IFERROR(IF(INDEX('Disaggregation Records'!$H$155:$H$385,MATCH(RIGHT(Q1161,255),RIGHT('Disaggregation Records'!$D$155:$D$385,255),0))=0,"",INDEX('Disaggregation Records'!$H$155:$H$385,MATCH(RIGHT(Q1161,255),RIGHT('Disaggregation Records'!$D$155:$D$385,255),0))),"")</f>
        <v/>
      </c>
      <c r="U1161" s="189">
        <f t="shared" ref="U1161" si="4962">U1159+1</f>
        <v>1682</v>
      </c>
      <c r="V1161" s="189" t="str">
        <f t="array" ref="V1161">IFERROR(IF(INDEX('Disaggregation Records'!$I$155:$I$385,MATCH(RIGHT(Q1161,255),RIGHT('Disaggregation Records'!$D$155:$D$385,255),0))=0,"",INDEX('Disaggregation Records'!$I$155:$I$385,MATCH(RIGHT(Q1161,255),RIGHT('Disaggregation Records'!$D$155:$D$385,255),0))),"")</f>
        <v/>
      </c>
      <c r="W1161" s="189" t="str">
        <f>IFERROR(INDEX('Reference Records'!L$59:L$121,MATCH(LEFT(C1161,255),'Reference Records'!E$59:E$121,0)),"")</f>
        <v/>
      </c>
    </row>
    <row r="1162" spans="1:23" s="189" customFormat="1" ht="40.200000000000003" customHeight="1" x14ac:dyDescent="0.3">
      <c r="A1162" s="678"/>
      <c r="B1162" s="675"/>
      <c r="C1162" s="667"/>
      <c r="D1162" s="677"/>
      <c r="E1162" s="677"/>
      <c r="F1162" s="202"/>
      <c r="G1162" s="669"/>
      <c r="H1162" s="671"/>
      <c r="I1162" s="673"/>
      <c r="J1162" s="652"/>
      <c r="K1162" s="667"/>
      <c r="L1162" s="667"/>
      <c r="M1162" s="652"/>
      <c r="N1162" s="652"/>
    </row>
    <row r="1163" spans="1:23" s="189" customFormat="1" ht="40.200000000000003" customHeight="1" x14ac:dyDescent="0.3">
      <c r="A1163" s="678" t="str">
        <f t="shared" ref="A1163" ca="1" si="4963">INDIRECT("'update Helper'!C"&amp;U1163)</f>
        <v>a163p000002zQdkAAE</v>
      </c>
      <c r="B1163" s="674">
        <v>14</v>
      </c>
      <c r="C1163" s="666" t="str">
        <f>VLOOKUP(B1163,'Coverage Indicators - Section D'!$A$9:$AU$70,47,FALSE)</f>
        <v>KP-1d (M) Other 1 : Pourcentage de consommateur de drogues (y compris les injecteurs) ayant bénéficié de programme préventif de lutte contre le VIH (Paquet de services définis)</v>
      </c>
      <c r="D1163" s="676" t="str">
        <f t="shared" ref="D1163" si="4964">R1163</f>
        <v/>
      </c>
      <c r="E1163" s="676" t="str">
        <f t="shared" ref="E1163" si="4965">S1163</f>
        <v/>
      </c>
      <c r="F1163" s="194"/>
      <c r="G1163" s="668" t="str">
        <f t="shared" ref="G1163" ca="1" si="4966">IF(OR(INDIRECT("'update Helper'!E"&amp;U1163)=0,F1163&lt;&gt;0,F1164&lt;&gt;0),IF(IFERROR((F1163/F1164),"")="","",(F1163/F1164)),INDIRECT("'update Helper'!E"&amp;U1163)/100)</f>
        <v/>
      </c>
      <c r="H1163" s="670"/>
      <c r="I1163" s="672"/>
      <c r="J1163" s="651"/>
      <c r="K1163" s="666" t="str">
        <f t="shared" ref="K1163" si="4967">W1163</f>
        <v/>
      </c>
      <c r="L1163" s="666" t="str">
        <f t="shared" ref="L1163" si="4968">V1163</f>
        <v/>
      </c>
      <c r="M1163" s="651"/>
      <c r="N1163" s="651"/>
      <c r="P1163" s="189">
        <f t="shared" ref="P1163" si="4969">IF(AND(EXACT(C1163,C1161),C1161&lt;&gt;0),P1161+1,0)</f>
        <v>11</v>
      </c>
      <c r="Q1163" s="189" t="str">
        <f t="shared" ref="Q1163" si="4970">IF(C1163&lt;&gt;"",C1163&amp;"-"&amp;P1163,"")</f>
        <v>KP-1d (M) Other 1 : Pourcentage de consommateur de drogues (y compris les injecteurs) ayant bénéficié de programme préventif de lutte contre le VIH (Paquet de services définis)-11</v>
      </c>
      <c r="R1163" s="189" t="str">
        <f t="array" ref="R1163">IFERROR(IF(INDEX('Disaggregation Records'!$E$155:$E$385,MATCH(RIGHT(Q1163,255),RIGHT('Disaggregation Records'!$D$155:$D$385,255),0))=0,"",INDEX('Disaggregation Records'!$E$155:$E$385,MATCH(RIGHT(Q1163,255),RIGHT('Disaggregation Records'!$D$155:$D$385,255),0))),"")</f>
        <v/>
      </c>
      <c r="S1163" s="189" t="str">
        <f t="array" ref="S1163">IFERROR(IF(INDEX('Disaggregation Records'!$F$155:$F$385,MATCH(RIGHT(Q1163,255),RIGHT('Disaggregation Records'!$D$155:$D$385,255),0))=0,"",INDEX('Disaggregation Records'!$F$155:$F$385,MATCH(RIGHT(Q1163,255),RIGHT('Disaggregation Records'!$D$155:$D$385,255),0))),"")</f>
        <v/>
      </c>
      <c r="T1163" s="189" t="str">
        <f t="array" ref="T1163">IFERROR(IF(INDEX('Disaggregation Records'!$H$155:$H$385,MATCH(RIGHT(Q1163,255),RIGHT('Disaggregation Records'!$D$155:$D$385,255),0))=0,"",INDEX('Disaggregation Records'!$H$155:$H$385,MATCH(RIGHT(Q1163,255),RIGHT('Disaggregation Records'!$D$155:$D$385,255),0))),"")</f>
        <v/>
      </c>
      <c r="U1163" s="189">
        <f t="shared" ref="U1163" si="4971">U1161+1</f>
        <v>1683</v>
      </c>
      <c r="V1163" s="189" t="str">
        <f t="array" ref="V1163">IFERROR(IF(INDEX('Disaggregation Records'!$I$155:$I$385,MATCH(RIGHT(Q1163,255),RIGHT('Disaggregation Records'!$D$155:$D$385,255),0))=0,"",INDEX('Disaggregation Records'!$I$155:$I$385,MATCH(RIGHT(Q1163,255),RIGHT('Disaggregation Records'!$D$155:$D$385,255),0))),"")</f>
        <v/>
      </c>
      <c r="W1163" s="189" t="str">
        <f>IFERROR(INDEX('Reference Records'!L$59:L$121,MATCH(LEFT(C1163,255),'Reference Records'!E$59:E$121,0)),"")</f>
        <v/>
      </c>
    </row>
    <row r="1164" spans="1:23" s="189" customFormat="1" ht="40.200000000000003" customHeight="1" x14ac:dyDescent="0.3">
      <c r="A1164" s="678"/>
      <c r="B1164" s="675"/>
      <c r="C1164" s="667"/>
      <c r="D1164" s="677"/>
      <c r="E1164" s="677"/>
      <c r="F1164" s="202"/>
      <c r="G1164" s="669"/>
      <c r="H1164" s="671"/>
      <c r="I1164" s="673"/>
      <c r="J1164" s="652"/>
      <c r="K1164" s="667"/>
      <c r="L1164" s="667"/>
      <c r="M1164" s="652"/>
      <c r="N1164" s="652"/>
    </row>
    <row r="1165" spans="1:23" s="189" customFormat="1" ht="40.200000000000003" customHeight="1" x14ac:dyDescent="0.3">
      <c r="A1165" s="678" t="str">
        <f t="shared" ref="A1165" ca="1" si="4972">INDIRECT("'update Helper'!C"&amp;U1165)</f>
        <v>a163p000002zQdlAAE</v>
      </c>
      <c r="B1165" s="674">
        <v>14</v>
      </c>
      <c r="C1165" s="666" t="str">
        <f>VLOOKUP(B1165,'Coverage Indicators - Section D'!$A$9:$AU$70,47,FALSE)</f>
        <v>KP-1d (M) Other 1 : Pourcentage de consommateur de drogues (y compris les injecteurs) ayant bénéficié de programme préventif de lutte contre le VIH (Paquet de services définis)</v>
      </c>
      <c r="D1165" s="676" t="str">
        <f t="shared" ref="D1165" si="4973">R1165</f>
        <v/>
      </c>
      <c r="E1165" s="676" t="str">
        <f t="shared" ref="E1165" si="4974">S1165</f>
        <v/>
      </c>
      <c r="F1165" s="194"/>
      <c r="G1165" s="668" t="str">
        <f t="shared" ref="G1165" ca="1" si="4975">IF(OR(INDIRECT("'update Helper'!E"&amp;U1165)=0,F1165&lt;&gt;0,F1166&lt;&gt;0),IF(IFERROR((F1165/F1166),"")="","",(F1165/F1166)),INDIRECT("'update Helper'!E"&amp;U1165)/100)</f>
        <v/>
      </c>
      <c r="H1165" s="670"/>
      <c r="I1165" s="672"/>
      <c r="J1165" s="651"/>
      <c r="K1165" s="666" t="str">
        <f t="shared" ref="K1165" si="4976">W1165</f>
        <v/>
      </c>
      <c r="L1165" s="666" t="str">
        <f t="shared" ref="L1165" si="4977">V1165</f>
        <v/>
      </c>
      <c r="M1165" s="651"/>
      <c r="N1165" s="651"/>
      <c r="P1165" s="189">
        <f t="shared" ref="P1165" si="4978">IF(AND(EXACT(C1165,C1163),C1163&lt;&gt;0),P1163+1,0)</f>
        <v>12</v>
      </c>
      <c r="Q1165" s="189" t="str">
        <f t="shared" ref="Q1165" si="4979">IF(C1165&lt;&gt;"",C1165&amp;"-"&amp;P1165,"")</f>
        <v>KP-1d (M) Other 1 : Pourcentage de consommateur de drogues (y compris les injecteurs) ayant bénéficié de programme préventif de lutte contre le VIH (Paquet de services définis)-12</v>
      </c>
      <c r="R1165" s="189" t="str">
        <f t="array" ref="R1165">IFERROR(IF(INDEX('Disaggregation Records'!$E$155:$E$385,MATCH(RIGHT(Q1165,255),RIGHT('Disaggregation Records'!$D$155:$D$385,255),0))=0,"",INDEX('Disaggregation Records'!$E$155:$E$385,MATCH(RIGHT(Q1165,255),RIGHT('Disaggregation Records'!$D$155:$D$385,255),0))),"")</f>
        <v/>
      </c>
      <c r="S1165" s="189" t="str">
        <f t="array" ref="S1165">IFERROR(IF(INDEX('Disaggregation Records'!$F$155:$F$385,MATCH(RIGHT(Q1165,255),RIGHT('Disaggregation Records'!$D$155:$D$385,255),0))=0,"",INDEX('Disaggregation Records'!$F$155:$F$385,MATCH(RIGHT(Q1165,255),RIGHT('Disaggregation Records'!$D$155:$D$385,255),0))),"")</f>
        <v/>
      </c>
      <c r="T1165" s="189" t="str">
        <f t="array" ref="T1165">IFERROR(IF(INDEX('Disaggregation Records'!$H$155:$H$385,MATCH(RIGHT(Q1165,255),RIGHT('Disaggregation Records'!$D$155:$D$385,255),0))=0,"",INDEX('Disaggregation Records'!$H$155:$H$385,MATCH(RIGHT(Q1165,255),RIGHT('Disaggregation Records'!$D$155:$D$385,255),0))),"")</f>
        <v/>
      </c>
      <c r="U1165" s="189">
        <f t="shared" ref="U1165" si="4980">U1163+1</f>
        <v>1684</v>
      </c>
      <c r="V1165" s="189" t="str">
        <f t="array" ref="V1165">IFERROR(IF(INDEX('Disaggregation Records'!$I$155:$I$385,MATCH(RIGHT(Q1165,255),RIGHT('Disaggregation Records'!$D$155:$D$385,255),0))=0,"",INDEX('Disaggregation Records'!$I$155:$I$385,MATCH(RIGHT(Q1165,255),RIGHT('Disaggregation Records'!$D$155:$D$385,255),0))),"")</f>
        <v/>
      </c>
      <c r="W1165" s="189" t="str">
        <f>IFERROR(INDEX('Reference Records'!L$59:L$121,MATCH(LEFT(C1165,255),'Reference Records'!E$59:E$121,0)),"")</f>
        <v/>
      </c>
    </row>
    <row r="1166" spans="1:23" s="189" customFormat="1" ht="40.200000000000003" customHeight="1" x14ac:dyDescent="0.3">
      <c r="A1166" s="678"/>
      <c r="B1166" s="675"/>
      <c r="C1166" s="667"/>
      <c r="D1166" s="677"/>
      <c r="E1166" s="677"/>
      <c r="F1166" s="202"/>
      <c r="G1166" s="669"/>
      <c r="H1166" s="671"/>
      <c r="I1166" s="673"/>
      <c r="J1166" s="652"/>
      <c r="K1166" s="667"/>
      <c r="L1166" s="667"/>
      <c r="M1166" s="652"/>
      <c r="N1166" s="652"/>
    </row>
    <row r="1167" spans="1:23" s="189" customFormat="1" ht="40.200000000000003" customHeight="1" x14ac:dyDescent="0.3">
      <c r="A1167" s="678" t="str">
        <f t="shared" ref="A1167" ca="1" si="4981">INDIRECT("'update Helper'!C"&amp;U1167)</f>
        <v>a163p000002zQdmAAE</v>
      </c>
      <c r="B1167" s="674">
        <v>14</v>
      </c>
      <c r="C1167" s="666" t="str">
        <f>VLOOKUP(B1167,'Coverage Indicators - Section D'!$A$9:$AU$70,47,FALSE)</f>
        <v>KP-1d (M) Other 1 : Pourcentage de consommateur de drogues (y compris les injecteurs) ayant bénéficié de programme préventif de lutte contre le VIH (Paquet de services définis)</v>
      </c>
      <c r="D1167" s="676" t="str">
        <f t="shared" ref="D1167" si="4982">R1167</f>
        <v/>
      </c>
      <c r="E1167" s="676" t="str">
        <f t="shared" ref="E1167" si="4983">S1167</f>
        <v/>
      </c>
      <c r="F1167" s="194"/>
      <c r="G1167" s="668" t="str">
        <f t="shared" ref="G1167" ca="1" si="4984">IF(OR(INDIRECT("'update Helper'!E"&amp;U1167)=0,F1167&lt;&gt;0,F1168&lt;&gt;0),IF(IFERROR((F1167/F1168),"")="","",(F1167/F1168)),INDIRECT("'update Helper'!E"&amp;U1167)/100)</f>
        <v/>
      </c>
      <c r="H1167" s="670"/>
      <c r="I1167" s="672"/>
      <c r="J1167" s="651"/>
      <c r="K1167" s="666" t="str">
        <f t="shared" ref="K1167" si="4985">W1167</f>
        <v/>
      </c>
      <c r="L1167" s="666" t="str">
        <f t="shared" ref="L1167" si="4986">V1167</f>
        <v/>
      </c>
      <c r="M1167" s="651"/>
      <c r="N1167" s="651"/>
      <c r="P1167" s="189">
        <f t="shared" ref="P1167" si="4987">IF(AND(EXACT(C1167,C1165),C1165&lt;&gt;0),P1165+1,0)</f>
        <v>13</v>
      </c>
      <c r="Q1167" s="189" t="str">
        <f t="shared" ref="Q1167" si="4988">IF(C1167&lt;&gt;"",C1167&amp;"-"&amp;P1167,"")</f>
        <v>KP-1d (M) Other 1 : Pourcentage de consommateur de drogues (y compris les injecteurs) ayant bénéficié de programme préventif de lutte contre le VIH (Paquet de services définis)-13</v>
      </c>
      <c r="R1167" s="189" t="str">
        <f t="array" ref="R1167">IFERROR(IF(INDEX('Disaggregation Records'!$E$155:$E$385,MATCH(RIGHT(Q1167,255),RIGHT('Disaggregation Records'!$D$155:$D$385,255),0))=0,"",INDEX('Disaggregation Records'!$E$155:$E$385,MATCH(RIGHT(Q1167,255),RIGHT('Disaggregation Records'!$D$155:$D$385,255),0))),"")</f>
        <v/>
      </c>
      <c r="S1167" s="189" t="str">
        <f t="array" ref="S1167">IFERROR(IF(INDEX('Disaggregation Records'!$F$155:$F$385,MATCH(RIGHT(Q1167,255),RIGHT('Disaggregation Records'!$D$155:$D$385,255),0))=0,"",INDEX('Disaggregation Records'!$F$155:$F$385,MATCH(RIGHT(Q1167,255),RIGHT('Disaggregation Records'!$D$155:$D$385,255),0))),"")</f>
        <v/>
      </c>
      <c r="T1167" s="189" t="str">
        <f t="array" ref="T1167">IFERROR(IF(INDEX('Disaggregation Records'!$H$155:$H$385,MATCH(RIGHT(Q1167,255),RIGHT('Disaggregation Records'!$D$155:$D$385,255),0))=0,"",INDEX('Disaggregation Records'!$H$155:$H$385,MATCH(RIGHT(Q1167,255),RIGHT('Disaggregation Records'!$D$155:$D$385,255),0))),"")</f>
        <v/>
      </c>
      <c r="U1167" s="189">
        <f t="shared" ref="U1167" si="4989">U1165+1</f>
        <v>1685</v>
      </c>
      <c r="V1167" s="189" t="str">
        <f t="array" ref="V1167">IFERROR(IF(INDEX('Disaggregation Records'!$I$155:$I$385,MATCH(RIGHT(Q1167,255),RIGHT('Disaggregation Records'!$D$155:$D$385,255),0))=0,"",INDEX('Disaggregation Records'!$I$155:$I$385,MATCH(RIGHT(Q1167,255),RIGHT('Disaggregation Records'!$D$155:$D$385,255),0))),"")</f>
        <v/>
      </c>
      <c r="W1167" s="189" t="str">
        <f>IFERROR(INDEX('Reference Records'!L$59:L$121,MATCH(LEFT(C1167,255),'Reference Records'!E$59:E$121,0)),"")</f>
        <v/>
      </c>
    </row>
    <row r="1168" spans="1:23" s="189" customFormat="1" ht="40.200000000000003" customHeight="1" x14ac:dyDescent="0.3">
      <c r="A1168" s="678"/>
      <c r="B1168" s="675"/>
      <c r="C1168" s="667"/>
      <c r="D1168" s="677"/>
      <c r="E1168" s="677"/>
      <c r="F1168" s="202"/>
      <c r="G1168" s="669"/>
      <c r="H1168" s="671"/>
      <c r="I1168" s="673"/>
      <c r="J1168" s="652"/>
      <c r="K1168" s="667"/>
      <c r="L1168" s="667"/>
      <c r="M1168" s="652"/>
      <c r="N1168" s="652"/>
    </row>
    <row r="1169" spans="1:23" s="189" customFormat="1" ht="40.200000000000003" customHeight="1" x14ac:dyDescent="0.3">
      <c r="A1169" s="678" t="str">
        <f t="shared" ref="A1169" ca="1" si="4990">INDIRECT("'update Helper'!C"&amp;U1169)</f>
        <v>a163p000002zQdnAAE</v>
      </c>
      <c r="B1169" s="674">
        <v>14</v>
      </c>
      <c r="C1169" s="666" t="str">
        <f>VLOOKUP(B1169,'Coverage Indicators - Section D'!$A$9:$AU$70,47,FALSE)</f>
        <v>KP-1d (M) Other 1 : Pourcentage de consommateur de drogues (y compris les injecteurs) ayant bénéficié de programme préventif de lutte contre le VIH (Paquet de services définis)</v>
      </c>
      <c r="D1169" s="676" t="str">
        <f t="shared" ref="D1169" si="4991">R1169</f>
        <v/>
      </c>
      <c r="E1169" s="676" t="str">
        <f t="shared" ref="E1169" si="4992">S1169</f>
        <v/>
      </c>
      <c r="F1169" s="194"/>
      <c r="G1169" s="668" t="str">
        <f t="shared" ref="G1169" ca="1" si="4993">IF(OR(INDIRECT("'update Helper'!E"&amp;U1169)=0,F1169&lt;&gt;0,F1170&lt;&gt;0),IF(IFERROR((F1169/F1170),"")="","",(F1169/F1170)),INDIRECT("'update Helper'!E"&amp;U1169)/100)</f>
        <v/>
      </c>
      <c r="H1169" s="670"/>
      <c r="I1169" s="672"/>
      <c r="J1169" s="651"/>
      <c r="K1169" s="666" t="str">
        <f t="shared" ref="K1169" si="4994">W1169</f>
        <v/>
      </c>
      <c r="L1169" s="666" t="str">
        <f t="shared" ref="L1169" si="4995">V1169</f>
        <v/>
      </c>
      <c r="M1169" s="651"/>
      <c r="N1169" s="651"/>
      <c r="P1169" s="189">
        <f t="shared" ref="P1169" si="4996">IF(AND(EXACT(C1169,C1167),C1167&lt;&gt;0),P1167+1,0)</f>
        <v>14</v>
      </c>
      <c r="Q1169" s="189" t="str">
        <f t="shared" ref="Q1169" si="4997">IF(C1169&lt;&gt;"",C1169&amp;"-"&amp;P1169,"")</f>
        <v>KP-1d (M) Other 1 : Pourcentage de consommateur de drogues (y compris les injecteurs) ayant bénéficié de programme préventif de lutte contre le VIH (Paquet de services définis)-14</v>
      </c>
      <c r="R1169" s="189" t="str">
        <f t="array" ref="R1169">IFERROR(IF(INDEX('Disaggregation Records'!$E$155:$E$385,MATCH(RIGHT(Q1169,255),RIGHT('Disaggregation Records'!$D$155:$D$385,255),0))=0,"",INDEX('Disaggregation Records'!$E$155:$E$385,MATCH(RIGHT(Q1169,255),RIGHT('Disaggregation Records'!$D$155:$D$385,255),0))),"")</f>
        <v/>
      </c>
      <c r="S1169" s="189" t="str">
        <f t="array" ref="S1169">IFERROR(IF(INDEX('Disaggregation Records'!$F$155:$F$385,MATCH(RIGHT(Q1169,255),RIGHT('Disaggregation Records'!$D$155:$D$385,255),0))=0,"",INDEX('Disaggregation Records'!$F$155:$F$385,MATCH(RIGHT(Q1169,255),RIGHT('Disaggregation Records'!$D$155:$D$385,255),0))),"")</f>
        <v/>
      </c>
      <c r="T1169" s="189" t="str">
        <f t="array" ref="T1169">IFERROR(IF(INDEX('Disaggregation Records'!$H$155:$H$385,MATCH(RIGHT(Q1169,255),RIGHT('Disaggregation Records'!$D$155:$D$385,255),0))=0,"",INDEX('Disaggregation Records'!$H$155:$H$385,MATCH(RIGHT(Q1169,255),RIGHT('Disaggregation Records'!$D$155:$D$385,255),0))),"")</f>
        <v/>
      </c>
      <c r="U1169" s="189">
        <f t="shared" ref="U1169" si="4998">U1167+1</f>
        <v>1686</v>
      </c>
      <c r="V1169" s="189" t="str">
        <f t="array" ref="V1169">IFERROR(IF(INDEX('Disaggregation Records'!$I$155:$I$385,MATCH(RIGHT(Q1169,255),RIGHT('Disaggregation Records'!$D$155:$D$385,255),0))=0,"",INDEX('Disaggregation Records'!$I$155:$I$385,MATCH(RIGHT(Q1169,255),RIGHT('Disaggregation Records'!$D$155:$D$385,255),0))),"")</f>
        <v/>
      </c>
      <c r="W1169" s="189" t="str">
        <f>IFERROR(INDEX('Reference Records'!L$59:L$121,MATCH(LEFT(C1169,255),'Reference Records'!E$59:E$121,0)),"")</f>
        <v/>
      </c>
    </row>
    <row r="1170" spans="1:23" s="189" customFormat="1" ht="40.200000000000003" customHeight="1" x14ac:dyDescent="0.3">
      <c r="A1170" s="678"/>
      <c r="B1170" s="675"/>
      <c r="C1170" s="667"/>
      <c r="D1170" s="677"/>
      <c r="E1170" s="677"/>
      <c r="F1170" s="202"/>
      <c r="G1170" s="669"/>
      <c r="H1170" s="671"/>
      <c r="I1170" s="673"/>
      <c r="J1170" s="652"/>
      <c r="K1170" s="667"/>
      <c r="L1170" s="667"/>
      <c r="M1170" s="652"/>
      <c r="N1170" s="652"/>
    </row>
    <row r="1171" spans="1:23" s="189" customFormat="1" ht="40.200000000000003" customHeight="1" x14ac:dyDescent="0.3">
      <c r="A1171" s="678" t="str">
        <f t="shared" ref="A1171" ca="1" si="4999">INDIRECT("'update Helper'!C"&amp;U1171)</f>
        <v>a163p000002zQdoAAE</v>
      </c>
      <c r="B1171" s="674">
        <v>14</v>
      </c>
      <c r="C1171" s="666" t="str">
        <f>VLOOKUP(B1171,'Coverage Indicators - Section D'!$A$9:$AU$70,47,FALSE)</f>
        <v>KP-1d (M) Other 1 : Pourcentage de consommateur de drogues (y compris les injecteurs) ayant bénéficié de programme préventif de lutte contre le VIH (Paquet de services définis)</v>
      </c>
      <c r="D1171" s="676" t="str">
        <f t="shared" ref="D1171" si="5000">R1171</f>
        <v/>
      </c>
      <c r="E1171" s="676" t="str">
        <f t="shared" ref="E1171" si="5001">S1171</f>
        <v/>
      </c>
      <c r="F1171" s="194"/>
      <c r="G1171" s="668" t="str">
        <f t="shared" ref="G1171" ca="1" si="5002">IF(OR(INDIRECT("'update Helper'!E"&amp;U1171)=0,F1171&lt;&gt;0,F1172&lt;&gt;0),IF(IFERROR((F1171/F1172),"")="","",(F1171/F1172)),INDIRECT("'update Helper'!E"&amp;U1171)/100)</f>
        <v/>
      </c>
      <c r="H1171" s="670"/>
      <c r="I1171" s="672"/>
      <c r="J1171" s="651"/>
      <c r="K1171" s="666" t="str">
        <f t="shared" ref="K1171" si="5003">W1171</f>
        <v/>
      </c>
      <c r="L1171" s="666" t="str">
        <f t="shared" ref="L1171" si="5004">V1171</f>
        <v/>
      </c>
      <c r="M1171" s="651"/>
      <c r="N1171" s="651"/>
      <c r="P1171" s="189">
        <f t="shared" ref="P1171" si="5005">IF(AND(EXACT(C1171,C1169),C1169&lt;&gt;0),P1169+1,0)</f>
        <v>15</v>
      </c>
      <c r="Q1171" s="189" t="str">
        <f t="shared" ref="Q1171" si="5006">IF(C1171&lt;&gt;"",C1171&amp;"-"&amp;P1171,"")</f>
        <v>KP-1d (M) Other 1 : Pourcentage de consommateur de drogues (y compris les injecteurs) ayant bénéficié de programme préventif de lutte contre le VIH (Paquet de services définis)-15</v>
      </c>
      <c r="R1171" s="189" t="str">
        <f t="array" ref="R1171">IFERROR(IF(INDEX('Disaggregation Records'!$E$155:$E$385,MATCH(RIGHT(Q1171,255),RIGHT('Disaggregation Records'!$D$155:$D$385,255),0))=0,"",INDEX('Disaggregation Records'!$E$155:$E$385,MATCH(RIGHT(Q1171,255),RIGHT('Disaggregation Records'!$D$155:$D$385,255),0))),"")</f>
        <v/>
      </c>
      <c r="S1171" s="189" t="str">
        <f t="array" ref="S1171">IFERROR(IF(INDEX('Disaggregation Records'!$F$155:$F$385,MATCH(RIGHT(Q1171,255),RIGHT('Disaggregation Records'!$D$155:$D$385,255),0))=0,"",INDEX('Disaggregation Records'!$F$155:$F$385,MATCH(RIGHT(Q1171,255),RIGHT('Disaggregation Records'!$D$155:$D$385,255),0))),"")</f>
        <v/>
      </c>
      <c r="T1171" s="189" t="str">
        <f t="array" ref="T1171">IFERROR(IF(INDEX('Disaggregation Records'!$H$155:$H$385,MATCH(RIGHT(Q1171,255),RIGHT('Disaggregation Records'!$D$155:$D$385,255),0))=0,"",INDEX('Disaggregation Records'!$H$155:$H$385,MATCH(RIGHT(Q1171,255),RIGHT('Disaggregation Records'!$D$155:$D$385,255),0))),"")</f>
        <v/>
      </c>
      <c r="U1171" s="189">
        <f t="shared" ref="U1171" si="5007">U1169+1</f>
        <v>1687</v>
      </c>
      <c r="V1171" s="189" t="str">
        <f t="array" ref="V1171">IFERROR(IF(INDEX('Disaggregation Records'!$I$155:$I$385,MATCH(RIGHT(Q1171,255),RIGHT('Disaggregation Records'!$D$155:$D$385,255),0))=0,"",INDEX('Disaggregation Records'!$I$155:$I$385,MATCH(RIGHT(Q1171,255),RIGHT('Disaggregation Records'!$D$155:$D$385,255),0))),"")</f>
        <v/>
      </c>
      <c r="W1171" s="189" t="str">
        <f>IFERROR(INDEX('Reference Records'!L$59:L$121,MATCH(LEFT(C1171,255),'Reference Records'!E$59:E$121,0)),"")</f>
        <v/>
      </c>
    </row>
    <row r="1172" spans="1:23" s="189" customFormat="1" ht="40.200000000000003" customHeight="1" x14ac:dyDescent="0.3">
      <c r="A1172" s="678"/>
      <c r="B1172" s="675"/>
      <c r="C1172" s="667"/>
      <c r="D1172" s="677"/>
      <c r="E1172" s="677"/>
      <c r="F1172" s="202"/>
      <c r="G1172" s="669"/>
      <c r="H1172" s="671"/>
      <c r="I1172" s="673"/>
      <c r="J1172" s="652"/>
      <c r="K1172" s="667"/>
      <c r="L1172" s="667"/>
      <c r="M1172" s="652"/>
      <c r="N1172" s="652"/>
    </row>
    <row r="1173" spans="1:23" s="189" customFormat="1" ht="40.200000000000003" customHeight="1" x14ac:dyDescent="0.3">
      <c r="A1173" s="678" t="str">
        <f t="shared" ref="A1173" ca="1" si="5008">INDIRECT("'update Helper'!C"&amp;U1173)</f>
        <v>a163p000002zQdpAAE</v>
      </c>
      <c r="B1173" s="674">
        <v>14</v>
      </c>
      <c r="C1173" s="666" t="str">
        <f>VLOOKUP(B1173,'Coverage Indicators - Section D'!$A$9:$AU$70,47,FALSE)</f>
        <v>KP-1d (M) Other 1 : Pourcentage de consommateur de drogues (y compris les injecteurs) ayant bénéficié de programme préventif de lutte contre le VIH (Paquet de services définis)</v>
      </c>
      <c r="D1173" s="676" t="str">
        <f t="shared" ref="D1173" si="5009">R1173</f>
        <v/>
      </c>
      <c r="E1173" s="676" t="str">
        <f t="shared" ref="E1173" si="5010">S1173</f>
        <v/>
      </c>
      <c r="F1173" s="194"/>
      <c r="G1173" s="668" t="str">
        <f t="shared" ref="G1173" ca="1" si="5011">IF(OR(INDIRECT("'update Helper'!E"&amp;U1173)=0,F1173&lt;&gt;0,F1174&lt;&gt;0),IF(IFERROR((F1173/F1174),"")="","",(F1173/F1174)),INDIRECT("'update Helper'!E"&amp;U1173)/100)</f>
        <v/>
      </c>
      <c r="H1173" s="670"/>
      <c r="I1173" s="672"/>
      <c r="J1173" s="651"/>
      <c r="K1173" s="666" t="str">
        <f t="shared" ref="K1173" si="5012">W1173</f>
        <v/>
      </c>
      <c r="L1173" s="666" t="str">
        <f t="shared" ref="L1173" si="5013">V1173</f>
        <v/>
      </c>
      <c r="M1173" s="651"/>
      <c r="N1173" s="651"/>
      <c r="P1173" s="189">
        <f t="shared" ref="P1173" si="5014">IF(AND(EXACT(C1173,C1171),C1171&lt;&gt;0),P1171+1,0)</f>
        <v>16</v>
      </c>
      <c r="Q1173" s="189" t="str">
        <f t="shared" ref="Q1173" si="5015">IF(C1173&lt;&gt;"",C1173&amp;"-"&amp;P1173,"")</f>
        <v>KP-1d (M) Other 1 : Pourcentage de consommateur de drogues (y compris les injecteurs) ayant bénéficié de programme préventif de lutte contre le VIH (Paquet de services définis)-16</v>
      </c>
      <c r="R1173" s="189" t="str">
        <f t="array" ref="R1173">IFERROR(IF(INDEX('Disaggregation Records'!$E$155:$E$385,MATCH(RIGHT(Q1173,255),RIGHT('Disaggregation Records'!$D$155:$D$385,255),0))=0,"",INDEX('Disaggregation Records'!$E$155:$E$385,MATCH(RIGHT(Q1173,255),RIGHT('Disaggregation Records'!$D$155:$D$385,255),0))),"")</f>
        <v/>
      </c>
      <c r="S1173" s="189" t="str">
        <f t="array" ref="S1173">IFERROR(IF(INDEX('Disaggregation Records'!$F$155:$F$385,MATCH(RIGHT(Q1173,255),RIGHT('Disaggregation Records'!$D$155:$D$385,255),0))=0,"",INDEX('Disaggregation Records'!$F$155:$F$385,MATCH(RIGHT(Q1173,255),RIGHT('Disaggregation Records'!$D$155:$D$385,255),0))),"")</f>
        <v/>
      </c>
      <c r="T1173" s="189" t="str">
        <f t="array" ref="T1173">IFERROR(IF(INDEX('Disaggregation Records'!$H$155:$H$385,MATCH(RIGHT(Q1173,255),RIGHT('Disaggregation Records'!$D$155:$D$385,255),0))=0,"",INDEX('Disaggregation Records'!$H$155:$H$385,MATCH(RIGHT(Q1173,255),RIGHT('Disaggregation Records'!$D$155:$D$385,255),0))),"")</f>
        <v/>
      </c>
      <c r="U1173" s="189">
        <f t="shared" ref="U1173" si="5016">U1171+1</f>
        <v>1688</v>
      </c>
      <c r="V1173" s="189" t="str">
        <f t="array" ref="V1173">IFERROR(IF(INDEX('Disaggregation Records'!$I$155:$I$385,MATCH(RIGHT(Q1173,255),RIGHT('Disaggregation Records'!$D$155:$D$385,255),0))=0,"",INDEX('Disaggregation Records'!$I$155:$I$385,MATCH(RIGHT(Q1173,255),RIGHT('Disaggregation Records'!$D$155:$D$385,255),0))),"")</f>
        <v/>
      </c>
      <c r="W1173" s="189" t="str">
        <f>IFERROR(INDEX('Reference Records'!L$59:L$121,MATCH(LEFT(C1173,255),'Reference Records'!E$59:E$121,0)),"")</f>
        <v/>
      </c>
    </row>
    <row r="1174" spans="1:23" s="189" customFormat="1" ht="40.200000000000003" customHeight="1" x14ac:dyDescent="0.3">
      <c r="A1174" s="678"/>
      <c r="B1174" s="675"/>
      <c r="C1174" s="667"/>
      <c r="D1174" s="677"/>
      <c r="E1174" s="677"/>
      <c r="F1174" s="202"/>
      <c r="G1174" s="669"/>
      <c r="H1174" s="671"/>
      <c r="I1174" s="673"/>
      <c r="J1174" s="652"/>
      <c r="K1174" s="667"/>
      <c r="L1174" s="667"/>
      <c r="M1174" s="652"/>
      <c r="N1174" s="652"/>
    </row>
    <row r="1175" spans="1:23" s="189" customFormat="1" ht="40.200000000000003" customHeight="1" x14ac:dyDescent="0.3">
      <c r="A1175" s="678" t="str">
        <f t="shared" ref="A1175" ca="1" si="5017">INDIRECT("'update Helper'!C"&amp;U1175)</f>
        <v>a163p000002zQdqAAE</v>
      </c>
      <c r="B1175" s="674">
        <v>14</v>
      </c>
      <c r="C1175" s="666" t="str">
        <f>VLOOKUP(B1175,'Coverage Indicators - Section D'!$A$9:$AU$70,47,FALSE)</f>
        <v>KP-1d (M) Other 1 : Pourcentage de consommateur de drogues (y compris les injecteurs) ayant bénéficié de programme préventif de lutte contre le VIH (Paquet de services définis)</v>
      </c>
      <c r="D1175" s="676" t="str">
        <f t="shared" ref="D1175" si="5018">R1175</f>
        <v/>
      </c>
      <c r="E1175" s="676" t="str">
        <f t="shared" ref="E1175" si="5019">S1175</f>
        <v/>
      </c>
      <c r="F1175" s="194"/>
      <c r="G1175" s="668" t="str">
        <f t="shared" ref="G1175" ca="1" si="5020">IF(OR(INDIRECT("'update Helper'!E"&amp;U1175)=0,F1175&lt;&gt;0,F1176&lt;&gt;0),IF(IFERROR((F1175/F1176),"")="","",(F1175/F1176)),INDIRECT("'update Helper'!E"&amp;U1175)/100)</f>
        <v/>
      </c>
      <c r="H1175" s="670"/>
      <c r="I1175" s="672"/>
      <c r="J1175" s="651"/>
      <c r="K1175" s="666" t="str">
        <f t="shared" ref="K1175" si="5021">W1175</f>
        <v/>
      </c>
      <c r="L1175" s="666" t="str">
        <f t="shared" ref="L1175" si="5022">V1175</f>
        <v/>
      </c>
      <c r="M1175" s="651"/>
      <c r="N1175" s="651"/>
      <c r="P1175" s="189">
        <f t="shared" ref="P1175" si="5023">IF(AND(EXACT(C1175,C1173),C1173&lt;&gt;0),P1173+1,0)</f>
        <v>17</v>
      </c>
      <c r="Q1175" s="189" t="str">
        <f t="shared" ref="Q1175" si="5024">IF(C1175&lt;&gt;"",C1175&amp;"-"&amp;P1175,"")</f>
        <v>KP-1d (M) Other 1 : Pourcentage de consommateur de drogues (y compris les injecteurs) ayant bénéficié de programme préventif de lutte contre le VIH (Paquet de services définis)-17</v>
      </c>
      <c r="R1175" s="189" t="str">
        <f t="array" ref="R1175">IFERROR(IF(INDEX('Disaggregation Records'!$E$155:$E$385,MATCH(RIGHT(Q1175,255),RIGHT('Disaggregation Records'!$D$155:$D$385,255),0))=0,"",INDEX('Disaggregation Records'!$E$155:$E$385,MATCH(RIGHT(Q1175,255),RIGHT('Disaggregation Records'!$D$155:$D$385,255),0))),"")</f>
        <v/>
      </c>
      <c r="S1175" s="189" t="str">
        <f t="array" ref="S1175">IFERROR(IF(INDEX('Disaggregation Records'!$F$155:$F$385,MATCH(RIGHT(Q1175,255),RIGHT('Disaggregation Records'!$D$155:$D$385,255),0))=0,"",INDEX('Disaggregation Records'!$F$155:$F$385,MATCH(RIGHT(Q1175,255),RIGHT('Disaggregation Records'!$D$155:$D$385,255),0))),"")</f>
        <v/>
      </c>
      <c r="T1175" s="189" t="str">
        <f t="array" ref="T1175">IFERROR(IF(INDEX('Disaggregation Records'!$H$155:$H$385,MATCH(RIGHT(Q1175,255),RIGHT('Disaggregation Records'!$D$155:$D$385,255),0))=0,"",INDEX('Disaggregation Records'!$H$155:$H$385,MATCH(RIGHT(Q1175,255),RIGHT('Disaggregation Records'!$D$155:$D$385,255),0))),"")</f>
        <v/>
      </c>
      <c r="U1175" s="189">
        <f t="shared" ref="U1175" si="5025">U1173+1</f>
        <v>1689</v>
      </c>
      <c r="V1175" s="189" t="str">
        <f t="array" ref="V1175">IFERROR(IF(INDEX('Disaggregation Records'!$I$155:$I$385,MATCH(RIGHT(Q1175,255),RIGHT('Disaggregation Records'!$D$155:$D$385,255),0))=0,"",INDEX('Disaggregation Records'!$I$155:$I$385,MATCH(RIGHT(Q1175,255),RIGHT('Disaggregation Records'!$D$155:$D$385,255),0))),"")</f>
        <v/>
      </c>
      <c r="W1175" s="189" t="str">
        <f>IFERROR(INDEX('Reference Records'!L$59:L$121,MATCH(LEFT(C1175,255),'Reference Records'!E$59:E$121,0)),"")</f>
        <v/>
      </c>
    </row>
    <row r="1176" spans="1:23" s="189" customFormat="1" ht="40.200000000000003" customHeight="1" x14ac:dyDescent="0.3">
      <c r="A1176" s="678"/>
      <c r="B1176" s="675"/>
      <c r="C1176" s="667"/>
      <c r="D1176" s="677"/>
      <c r="E1176" s="677"/>
      <c r="F1176" s="202"/>
      <c r="G1176" s="669"/>
      <c r="H1176" s="671"/>
      <c r="I1176" s="673"/>
      <c r="J1176" s="652"/>
      <c r="K1176" s="667"/>
      <c r="L1176" s="667"/>
      <c r="M1176" s="652"/>
      <c r="N1176" s="652"/>
    </row>
    <row r="1177" spans="1:23" s="189" customFormat="1" ht="40.200000000000003" customHeight="1" x14ac:dyDescent="0.3">
      <c r="A1177" s="678" t="str">
        <f t="shared" ref="A1177" ca="1" si="5026">INDIRECT("'update Helper'!C"&amp;U1177)</f>
        <v>a163p000002zQdrAAE</v>
      </c>
      <c r="B1177" s="674">
        <v>14</v>
      </c>
      <c r="C1177" s="666" t="str">
        <f>VLOOKUP(B1177,'Coverage Indicators - Section D'!$A$9:$AU$70,47,FALSE)</f>
        <v>KP-1d (M) Other 1 : Pourcentage de consommateur de drogues (y compris les injecteurs) ayant bénéficié de programme préventif de lutte contre le VIH (Paquet de services définis)</v>
      </c>
      <c r="D1177" s="676" t="str">
        <f t="shared" ref="D1177" si="5027">R1177</f>
        <v/>
      </c>
      <c r="E1177" s="676" t="str">
        <f t="shared" ref="E1177" si="5028">S1177</f>
        <v/>
      </c>
      <c r="F1177" s="194"/>
      <c r="G1177" s="668" t="str">
        <f t="shared" ref="G1177" ca="1" si="5029">IF(OR(INDIRECT("'update Helper'!E"&amp;U1177)=0,F1177&lt;&gt;0,F1178&lt;&gt;0),IF(IFERROR((F1177/F1178),"")="","",(F1177/F1178)),INDIRECT("'update Helper'!E"&amp;U1177)/100)</f>
        <v/>
      </c>
      <c r="H1177" s="670"/>
      <c r="I1177" s="672"/>
      <c r="J1177" s="651"/>
      <c r="K1177" s="666" t="str">
        <f t="shared" ref="K1177" si="5030">W1177</f>
        <v/>
      </c>
      <c r="L1177" s="666" t="str">
        <f t="shared" ref="L1177" si="5031">V1177</f>
        <v/>
      </c>
      <c r="M1177" s="651"/>
      <c r="N1177" s="651"/>
      <c r="P1177" s="189">
        <f t="shared" ref="P1177" si="5032">IF(AND(EXACT(C1177,C1175),C1175&lt;&gt;0),P1175+1,0)</f>
        <v>18</v>
      </c>
      <c r="Q1177" s="189" t="str">
        <f t="shared" ref="Q1177" si="5033">IF(C1177&lt;&gt;"",C1177&amp;"-"&amp;P1177,"")</f>
        <v>KP-1d (M) Other 1 : Pourcentage de consommateur de drogues (y compris les injecteurs) ayant bénéficié de programme préventif de lutte contre le VIH (Paquet de services définis)-18</v>
      </c>
      <c r="R1177" s="189" t="str">
        <f t="array" ref="R1177">IFERROR(IF(INDEX('Disaggregation Records'!$E$155:$E$385,MATCH(RIGHT(Q1177,255),RIGHT('Disaggregation Records'!$D$155:$D$385,255),0))=0,"",INDEX('Disaggregation Records'!$E$155:$E$385,MATCH(RIGHT(Q1177,255),RIGHT('Disaggregation Records'!$D$155:$D$385,255),0))),"")</f>
        <v/>
      </c>
      <c r="S1177" s="189" t="str">
        <f t="array" ref="S1177">IFERROR(IF(INDEX('Disaggregation Records'!$F$155:$F$385,MATCH(RIGHT(Q1177,255),RIGHT('Disaggregation Records'!$D$155:$D$385,255),0))=0,"",INDEX('Disaggregation Records'!$F$155:$F$385,MATCH(RIGHT(Q1177,255),RIGHT('Disaggregation Records'!$D$155:$D$385,255),0))),"")</f>
        <v/>
      </c>
      <c r="T1177" s="189" t="str">
        <f t="array" ref="T1177">IFERROR(IF(INDEX('Disaggregation Records'!$H$155:$H$385,MATCH(RIGHT(Q1177,255),RIGHT('Disaggregation Records'!$D$155:$D$385,255),0))=0,"",INDEX('Disaggregation Records'!$H$155:$H$385,MATCH(RIGHT(Q1177,255),RIGHT('Disaggregation Records'!$D$155:$D$385,255),0))),"")</f>
        <v/>
      </c>
      <c r="U1177" s="189">
        <f t="shared" ref="U1177" si="5034">U1175+1</f>
        <v>1690</v>
      </c>
      <c r="V1177" s="189" t="str">
        <f t="array" ref="V1177">IFERROR(IF(INDEX('Disaggregation Records'!$I$155:$I$385,MATCH(RIGHT(Q1177,255),RIGHT('Disaggregation Records'!$D$155:$D$385,255),0))=0,"",INDEX('Disaggregation Records'!$I$155:$I$385,MATCH(RIGHT(Q1177,255),RIGHT('Disaggregation Records'!$D$155:$D$385,255),0))),"")</f>
        <v/>
      </c>
      <c r="W1177" s="189" t="str">
        <f>IFERROR(INDEX('Reference Records'!L$59:L$121,MATCH(LEFT(C1177,255),'Reference Records'!E$59:E$121,0)),"")</f>
        <v/>
      </c>
    </row>
    <row r="1178" spans="1:23" s="189" customFormat="1" ht="40.200000000000003" customHeight="1" x14ac:dyDescent="0.3">
      <c r="A1178" s="678"/>
      <c r="B1178" s="675"/>
      <c r="C1178" s="667"/>
      <c r="D1178" s="677"/>
      <c r="E1178" s="677"/>
      <c r="F1178" s="202"/>
      <c r="G1178" s="669"/>
      <c r="H1178" s="671"/>
      <c r="I1178" s="673"/>
      <c r="J1178" s="652"/>
      <c r="K1178" s="667"/>
      <c r="L1178" s="667"/>
      <c r="M1178" s="652"/>
      <c r="N1178" s="652"/>
    </row>
    <row r="1179" spans="1:23" s="189" customFormat="1" ht="40.200000000000003" customHeight="1" x14ac:dyDescent="0.3">
      <c r="A1179" s="678" t="str">
        <f t="shared" ref="A1179" ca="1" si="5035">INDIRECT("'update Helper'!C"&amp;U1179)</f>
        <v>a163p000002zQdsAAE</v>
      </c>
      <c r="B1179" s="674">
        <v>14</v>
      </c>
      <c r="C1179" s="666" t="str">
        <f>VLOOKUP(B1179,'Coverage Indicators - Section D'!$A$9:$AU$70,47,FALSE)</f>
        <v>KP-1d (M) Other 1 : Pourcentage de consommateur de drogues (y compris les injecteurs) ayant bénéficié de programme préventif de lutte contre le VIH (Paquet de services définis)</v>
      </c>
      <c r="D1179" s="676" t="str">
        <f t="shared" ref="D1179" si="5036">R1179</f>
        <v/>
      </c>
      <c r="E1179" s="676" t="str">
        <f t="shared" ref="E1179" si="5037">S1179</f>
        <v/>
      </c>
      <c r="F1179" s="194"/>
      <c r="G1179" s="668" t="str">
        <f t="shared" ref="G1179" ca="1" si="5038">IF(OR(INDIRECT("'update Helper'!E"&amp;U1179)=0,F1179&lt;&gt;0,F1180&lt;&gt;0),IF(IFERROR((F1179/F1180),"")="","",(F1179/F1180)),INDIRECT("'update Helper'!E"&amp;U1179)/100)</f>
        <v/>
      </c>
      <c r="H1179" s="670"/>
      <c r="I1179" s="672"/>
      <c r="J1179" s="651"/>
      <c r="K1179" s="666" t="str">
        <f t="shared" ref="K1179" si="5039">W1179</f>
        <v/>
      </c>
      <c r="L1179" s="666" t="str">
        <f t="shared" ref="L1179" si="5040">V1179</f>
        <v/>
      </c>
      <c r="M1179" s="651"/>
      <c r="N1179" s="651"/>
      <c r="P1179" s="189">
        <f t="shared" ref="P1179" si="5041">IF(AND(EXACT(C1179,C1177),C1177&lt;&gt;0),P1177+1,0)</f>
        <v>19</v>
      </c>
      <c r="Q1179" s="189" t="str">
        <f t="shared" ref="Q1179" si="5042">IF(C1179&lt;&gt;"",C1179&amp;"-"&amp;P1179,"")</f>
        <v>KP-1d (M) Other 1 : Pourcentage de consommateur de drogues (y compris les injecteurs) ayant bénéficié de programme préventif de lutte contre le VIH (Paquet de services définis)-19</v>
      </c>
      <c r="R1179" s="189" t="str">
        <f t="array" ref="R1179">IFERROR(IF(INDEX('Disaggregation Records'!$E$155:$E$385,MATCH(RIGHT(Q1179,255),RIGHT('Disaggregation Records'!$D$155:$D$385,255),0))=0,"",INDEX('Disaggregation Records'!$E$155:$E$385,MATCH(RIGHT(Q1179,255),RIGHT('Disaggregation Records'!$D$155:$D$385,255),0))),"")</f>
        <v/>
      </c>
      <c r="S1179" s="189" t="str">
        <f t="array" ref="S1179">IFERROR(IF(INDEX('Disaggregation Records'!$F$155:$F$385,MATCH(RIGHT(Q1179,255),RIGHT('Disaggregation Records'!$D$155:$D$385,255),0))=0,"",INDEX('Disaggregation Records'!$F$155:$F$385,MATCH(RIGHT(Q1179,255),RIGHT('Disaggregation Records'!$D$155:$D$385,255),0))),"")</f>
        <v/>
      </c>
      <c r="T1179" s="189" t="str">
        <f t="array" ref="T1179">IFERROR(IF(INDEX('Disaggregation Records'!$H$155:$H$385,MATCH(RIGHT(Q1179,255),RIGHT('Disaggregation Records'!$D$155:$D$385,255),0))=0,"",INDEX('Disaggregation Records'!$H$155:$H$385,MATCH(RIGHT(Q1179,255),RIGHT('Disaggregation Records'!$D$155:$D$385,255),0))),"")</f>
        <v/>
      </c>
      <c r="U1179" s="189">
        <f t="shared" ref="U1179" si="5043">U1177+1</f>
        <v>1691</v>
      </c>
      <c r="V1179" s="189" t="str">
        <f t="array" ref="V1179">IFERROR(IF(INDEX('Disaggregation Records'!$I$155:$I$385,MATCH(RIGHT(Q1179,255),RIGHT('Disaggregation Records'!$D$155:$D$385,255),0))=0,"",INDEX('Disaggregation Records'!$I$155:$I$385,MATCH(RIGHT(Q1179,255),RIGHT('Disaggregation Records'!$D$155:$D$385,255),0))),"")</f>
        <v/>
      </c>
      <c r="W1179" s="189" t="str">
        <f>IFERROR(INDEX('Reference Records'!L$59:L$121,MATCH(LEFT(C1179,255),'Reference Records'!E$59:E$121,0)),"")</f>
        <v/>
      </c>
    </row>
    <row r="1180" spans="1:23" s="189" customFormat="1" ht="40.200000000000003" customHeight="1" x14ac:dyDescent="0.3">
      <c r="A1180" s="678"/>
      <c r="B1180" s="675"/>
      <c r="C1180" s="667"/>
      <c r="D1180" s="677"/>
      <c r="E1180" s="677"/>
      <c r="F1180" s="202"/>
      <c r="G1180" s="669"/>
      <c r="H1180" s="671"/>
      <c r="I1180" s="673"/>
      <c r="J1180" s="652"/>
      <c r="K1180" s="667"/>
      <c r="L1180" s="667"/>
      <c r="M1180" s="652"/>
      <c r="N1180" s="652"/>
    </row>
    <row r="1181" spans="1:23" s="189" customFormat="1" ht="40.200000000000003" customHeight="1" x14ac:dyDescent="0.3">
      <c r="A1181" s="678" t="str">
        <f t="shared" ref="A1181" ca="1" si="5044">INDIRECT("'update Helper'!C"&amp;U1181)</f>
        <v>a163p000002zQdtAAE</v>
      </c>
      <c r="B1181" s="674">
        <v>15</v>
      </c>
      <c r="C1181" s="666" t="str">
        <f>VLOOKUP(B1181,'Coverage Indicators - Section D'!$A$9:$AU$70,47,FALSE)</f>
        <v>YP-2 Pourcentage d’adolescentes et de jeunes femmes bénéficiant de programmes préventifs de lutte contre le VIH (paquet de services définis)</v>
      </c>
      <c r="D1181" s="676" t="str">
        <f t="shared" ref="D1181" si="5045">R1181</f>
        <v>Age</v>
      </c>
      <c r="E1181" s="676" t="str">
        <f t="shared" ref="E1181" si="5046">S1181</f>
        <v>10-14</v>
      </c>
      <c r="F1181" s="194"/>
      <c r="G1181" s="668" t="str">
        <f t="shared" ref="G1181" ca="1" si="5047">IF(OR(INDIRECT("'update Helper'!E"&amp;U1181)=0,F1181&lt;&gt;0,F1182&lt;&gt;0),IF(IFERROR((F1181/F1182),"")="","",(F1181/F1182)),INDIRECT("'update Helper'!E"&amp;U1181)/100)</f>
        <v/>
      </c>
      <c r="H1181" s="670"/>
      <c r="I1181" s="672"/>
      <c r="J1181" s="651"/>
      <c r="K1181" s="666" t="str">
        <f t="shared" ref="K1181" si="5048">W1181</f>
        <v>YP-2 Percentage of adolescent girls and young women reached with HIV prevention programs- defined package of services</v>
      </c>
      <c r="L1181" s="666" t="str">
        <f t="shared" ref="L1181" si="5049">V1181</f>
        <v>Age</v>
      </c>
      <c r="M1181" s="651"/>
      <c r="N1181" s="651"/>
      <c r="P1181" s="189">
        <f t="shared" ref="P1181" si="5050">IF(AND(EXACT(C1181,C1179),C1179&lt;&gt;0),P1179+1,0)</f>
        <v>0</v>
      </c>
      <c r="Q1181" s="189" t="str">
        <f t="shared" ref="Q1181" si="5051">IF(C1181&lt;&gt;"",C1181&amp;"-"&amp;P1181,"")</f>
        <v>YP-2 Pourcentage d’adolescentes et de jeunes femmes bénéficiant de programmes préventifs de lutte contre le VIH (paquet de services définis)-0</v>
      </c>
      <c r="R1181" s="189" t="str">
        <f t="array" ref="R1181">IFERROR(IF(INDEX('Disaggregation Records'!$E$155:$E$385,MATCH(RIGHT(Q1181,255),RIGHT('Disaggregation Records'!$D$155:$D$385,255),0))=0,"",INDEX('Disaggregation Records'!$E$155:$E$385,MATCH(RIGHT(Q1181,255),RIGHT('Disaggregation Records'!$D$155:$D$385,255),0))),"")</f>
        <v>Age</v>
      </c>
      <c r="S1181" s="189" t="str">
        <f t="array" ref="S1181">IFERROR(IF(INDEX('Disaggregation Records'!$F$155:$F$385,MATCH(RIGHT(Q1181,255),RIGHT('Disaggregation Records'!$D$155:$D$385,255),0))=0,"",INDEX('Disaggregation Records'!$F$155:$F$385,MATCH(RIGHT(Q1181,255),RIGHT('Disaggregation Records'!$D$155:$D$385,255),0))),"")</f>
        <v>10-14</v>
      </c>
      <c r="T1181" s="189" t="str">
        <f t="array" ref="T1181">IFERROR(IF(INDEX('Disaggregation Records'!$H$155:$H$385,MATCH(RIGHT(Q1181,255),RIGHT('Disaggregation Records'!$D$155:$D$385,255),0))=0,"",INDEX('Disaggregation Records'!$H$155:$H$385,MATCH(RIGHT(Q1181,255),RIGHT('Disaggregation Records'!$D$155:$D$385,255),0))),"")</f>
        <v>IDR-00707</v>
      </c>
      <c r="U1181" s="189">
        <f t="shared" ref="U1181" si="5052">U1179+1</f>
        <v>1692</v>
      </c>
      <c r="V1181" s="189" t="str">
        <f t="array" ref="V1181">IFERROR(IF(INDEX('Disaggregation Records'!$I$155:$I$385,MATCH(RIGHT(Q1181,255),RIGHT('Disaggregation Records'!$D$155:$D$385,255),0))=0,"",INDEX('Disaggregation Records'!$I$155:$I$385,MATCH(RIGHT(Q1181,255),RIGHT('Disaggregation Records'!$D$155:$D$385,255),0))),"")</f>
        <v>Age</v>
      </c>
      <c r="W1181" s="189" t="str">
        <f>IFERROR(INDEX('Reference Records'!L$59:L$121,MATCH(LEFT(C1181,255),'Reference Records'!E$59:E$121,0)),"")</f>
        <v>YP-2 Percentage of adolescent girls and young women reached with HIV prevention programs- defined package of services</v>
      </c>
    </row>
    <row r="1182" spans="1:23" s="189" customFormat="1" ht="40.200000000000003" customHeight="1" x14ac:dyDescent="0.3">
      <c r="A1182" s="678"/>
      <c r="B1182" s="675"/>
      <c r="C1182" s="667"/>
      <c r="D1182" s="677"/>
      <c r="E1182" s="677"/>
      <c r="F1182" s="202"/>
      <c r="G1182" s="669"/>
      <c r="H1182" s="671"/>
      <c r="I1182" s="673"/>
      <c r="J1182" s="652"/>
      <c r="K1182" s="667"/>
      <c r="L1182" s="667"/>
      <c r="M1182" s="652"/>
      <c r="N1182" s="652"/>
    </row>
    <row r="1183" spans="1:23" s="189" customFormat="1" ht="40.200000000000003" customHeight="1" x14ac:dyDescent="0.3">
      <c r="A1183" s="678" t="str">
        <f t="shared" ref="A1183" ca="1" si="5053">INDIRECT("'update Helper'!C"&amp;U1183)</f>
        <v>a163p000002zQduAAE</v>
      </c>
      <c r="B1183" s="674">
        <v>15</v>
      </c>
      <c r="C1183" s="666" t="str">
        <f>VLOOKUP(B1183,'Coverage Indicators - Section D'!$A$9:$AU$70,47,FALSE)</f>
        <v>YP-2 Pourcentage d’adolescentes et de jeunes femmes bénéficiant de programmes préventifs de lutte contre le VIH (paquet de services définis)</v>
      </c>
      <c r="D1183" s="676" t="str">
        <f t="shared" ref="D1183" si="5054">R1183</f>
        <v>Age</v>
      </c>
      <c r="E1183" s="676" t="str">
        <f t="shared" ref="E1183" si="5055">S1183</f>
        <v>15-19</v>
      </c>
      <c r="F1183" s="194"/>
      <c r="G1183" s="668" t="str">
        <f t="shared" ref="G1183" ca="1" si="5056">IF(OR(INDIRECT("'update Helper'!E"&amp;U1183)=0,F1183&lt;&gt;0,F1184&lt;&gt;0),IF(IFERROR((F1183/F1184),"")="","",(F1183/F1184)),INDIRECT("'update Helper'!E"&amp;U1183)/100)</f>
        <v/>
      </c>
      <c r="H1183" s="670"/>
      <c r="I1183" s="672"/>
      <c r="J1183" s="651"/>
      <c r="K1183" s="666" t="str">
        <f t="shared" ref="K1183" si="5057">W1183</f>
        <v>YP-2 Percentage of adolescent girls and young women reached with HIV prevention programs- defined package of services</v>
      </c>
      <c r="L1183" s="666" t="str">
        <f t="shared" ref="L1183" si="5058">V1183</f>
        <v>Age</v>
      </c>
      <c r="M1183" s="651"/>
      <c r="N1183" s="651"/>
      <c r="P1183" s="189">
        <f t="shared" ref="P1183" si="5059">IF(AND(EXACT(C1183,C1181),C1181&lt;&gt;0),P1181+1,0)</f>
        <v>1</v>
      </c>
      <c r="Q1183" s="189" t="str">
        <f t="shared" ref="Q1183" si="5060">IF(C1183&lt;&gt;"",C1183&amp;"-"&amp;P1183,"")</f>
        <v>YP-2 Pourcentage d’adolescentes et de jeunes femmes bénéficiant de programmes préventifs de lutte contre le VIH (paquet de services définis)-1</v>
      </c>
      <c r="R1183" s="189" t="str">
        <f t="array" ref="R1183">IFERROR(IF(INDEX('Disaggregation Records'!$E$155:$E$385,MATCH(RIGHT(Q1183,255),RIGHT('Disaggregation Records'!$D$155:$D$385,255),0))=0,"",INDEX('Disaggregation Records'!$E$155:$E$385,MATCH(RIGHT(Q1183,255),RIGHT('Disaggregation Records'!$D$155:$D$385,255),0))),"")</f>
        <v>Age</v>
      </c>
      <c r="S1183" s="189" t="str">
        <f t="array" ref="S1183">IFERROR(IF(INDEX('Disaggregation Records'!$F$155:$F$385,MATCH(RIGHT(Q1183,255),RIGHT('Disaggregation Records'!$D$155:$D$385,255),0))=0,"",INDEX('Disaggregation Records'!$F$155:$F$385,MATCH(RIGHT(Q1183,255),RIGHT('Disaggregation Records'!$D$155:$D$385,255),0))),"")</f>
        <v>15-19</v>
      </c>
      <c r="T1183" s="189" t="str">
        <f t="array" ref="T1183">IFERROR(IF(INDEX('Disaggregation Records'!$H$155:$H$385,MATCH(RIGHT(Q1183,255),RIGHT('Disaggregation Records'!$D$155:$D$385,255),0))=0,"",INDEX('Disaggregation Records'!$H$155:$H$385,MATCH(RIGHT(Q1183,255),RIGHT('Disaggregation Records'!$D$155:$D$385,255),0))),"")</f>
        <v>IDR-00708</v>
      </c>
      <c r="U1183" s="189">
        <f t="shared" ref="U1183" si="5061">U1181+1</f>
        <v>1693</v>
      </c>
      <c r="V1183" s="189" t="str">
        <f t="array" ref="V1183">IFERROR(IF(INDEX('Disaggregation Records'!$I$155:$I$385,MATCH(RIGHT(Q1183,255),RIGHT('Disaggregation Records'!$D$155:$D$385,255),0))=0,"",INDEX('Disaggregation Records'!$I$155:$I$385,MATCH(RIGHT(Q1183,255),RIGHT('Disaggregation Records'!$D$155:$D$385,255),0))),"")</f>
        <v>Age</v>
      </c>
      <c r="W1183" s="189" t="str">
        <f>IFERROR(INDEX('Reference Records'!L$59:L$121,MATCH(LEFT(C1183,255),'Reference Records'!E$59:E$121,0)),"")</f>
        <v>YP-2 Percentage of adolescent girls and young women reached with HIV prevention programs- defined package of services</v>
      </c>
    </row>
    <row r="1184" spans="1:23" s="189" customFormat="1" ht="40.200000000000003" customHeight="1" x14ac:dyDescent="0.3">
      <c r="A1184" s="678"/>
      <c r="B1184" s="675"/>
      <c r="C1184" s="667"/>
      <c r="D1184" s="677"/>
      <c r="E1184" s="677"/>
      <c r="F1184" s="202"/>
      <c r="G1184" s="669"/>
      <c r="H1184" s="671"/>
      <c r="I1184" s="673"/>
      <c r="J1184" s="652"/>
      <c r="K1184" s="667"/>
      <c r="L1184" s="667"/>
      <c r="M1184" s="652"/>
      <c r="N1184" s="652"/>
    </row>
    <row r="1185" spans="1:23" s="189" customFormat="1" ht="40.200000000000003" customHeight="1" x14ac:dyDescent="0.3">
      <c r="A1185" s="678" t="str">
        <f t="shared" ref="A1185" ca="1" si="5062">INDIRECT("'update Helper'!C"&amp;U1185)</f>
        <v>a163p000002zQdvAAE</v>
      </c>
      <c r="B1185" s="674">
        <v>15</v>
      </c>
      <c r="C1185" s="666" t="str">
        <f>VLOOKUP(B1185,'Coverage Indicators - Section D'!$A$9:$AU$70,47,FALSE)</f>
        <v>YP-2 Pourcentage d’adolescentes et de jeunes femmes bénéficiant de programmes préventifs de lutte contre le VIH (paquet de services définis)</v>
      </c>
      <c r="D1185" s="676" t="str">
        <f t="shared" ref="D1185" si="5063">R1185</f>
        <v>Age</v>
      </c>
      <c r="E1185" s="676" t="str">
        <f t="shared" ref="E1185" si="5064">S1185</f>
        <v>20-24</v>
      </c>
      <c r="F1185" s="194"/>
      <c r="G1185" s="668" t="str">
        <f t="shared" ref="G1185" ca="1" si="5065">IF(OR(INDIRECT("'update Helper'!E"&amp;U1185)=0,F1185&lt;&gt;0,F1186&lt;&gt;0),IF(IFERROR((F1185/F1186),"")="","",(F1185/F1186)),INDIRECT("'update Helper'!E"&amp;U1185)/100)</f>
        <v/>
      </c>
      <c r="H1185" s="670"/>
      <c r="I1185" s="672"/>
      <c r="J1185" s="651"/>
      <c r="K1185" s="666" t="str">
        <f t="shared" ref="K1185" si="5066">W1185</f>
        <v>YP-2 Percentage of adolescent girls and young women reached with HIV prevention programs- defined package of services</v>
      </c>
      <c r="L1185" s="666" t="str">
        <f t="shared" ref="L1185" si="5067">V1185</f>
        <v>Age</v>
      </c>
      <c r="M1185" s="651"/>
      <c r="N1185" s="651"/>
      <c r="P1185" s="189">
        <f t="shared" ref="P1185" si="5068">IF(AND(EXACT(C1185,C1183),C1183&lt;&gt;0),P1183+1,0)</f>
        <v>2</v>
      </c>
      <c r="Q1185" s="189" t="str">
        <f t="shared" ref="Q1185" si="5069">IF(C1185&lt;&gt;"",C1185&amp;"-"&amp;P1185,"")</f>
        <v>YP-2 Pourcentage d’adolescentes et de jeunes femmes bénéficiant de programmes préventifs de lutte contre le VIH (paquet de services définis)-2</v>
      </c>
      <c r="R1185" s="189" t="str">
        <f t="array" ref="R1185">IFERROR(IF(INDEX('Disaggregation Records'!$E$155:$E$385,MATCH(RIGHT(Q1185,255),RIGHT('Disaggregation Records'!$D$155:$D$385,255),0))=0,"",INDEX('Disaggregation Records'!$E$155:$E$385,MATCH(RIGHT(Q1185,255),RIGHT('Disaggregation Records'!$D$155:$D$385,255),0))),"")</f>
        <v>Age</v>
      </c>
      <c r="S1185" s="189" t="str">
        <f t="array" ref="S1185">IFERROR(IF(INDEX('Disaggregation Records'!$F$155:$F$385,MATCH(RIGHT(Q1185,255),RIGHT('Disaggregation Records'!$D$155:$D$385,255),0))=0,"",INDEX('Disaggregation Records'!$F$155:$F$385,MATCH(RIGHT(Q1185,255),RIGHT('Disaggregation Records'!$D$155:$D$385,255),0))),"")</f>
        <v>20-24</v>
      </c>
      <c r="T1185" s="189" t="str">
        <f t="array" ref="T1185">IFERROR(IF(INDEX('Disaggregation Records'!$H$155:$H$385,MATCH(RIGHT(Q1185,255),RIGHT('Disaggregation Records'!$D$155:$D$385,255),0))=0,"",INDEX('Disaggregation Records'!$H$155:$H$385,MATCH(RIGHT(Q1185,255),RIGHT('Disaggregation Records'!$D$155:$D$385,255),0))),"")</f>
        <v>IDR-00709</v>
      </c>
      <c r="U1185" s="189">
        <f t="shared" ref="U1185" si="5070">U1183+1</f>
        <v>1694</v>
      </c>
      <c r="V1185" s="189" t="str">
        <f t="array" ref="V1185">IFERROR(IF(INDEX('Disaggregation Records'!$I$155:$I$385,MATCH(RIGHT(Q1185,255),RIGHT('Disaggregation Records'!$D$155:$D$385,255),0))=0,"",INDEX('Disaggregation Records'!$I$155:$I$385,MATCH(RIGHT(Q1185,255),RIGHT('Disaggregation Records'!$D$155:$D$385,255),0))),"")</f>
        <v>Age</v>
      </c>
      <c r="W1185" s="189" t="str">
        <f>IFERROR(INDEX('Reference Records'!L$59:L$121,MATCH(LEFT(C1185,255),'Reference Records'!E$59:E$121,0)),"")</f>
        <v>YP-2 Percentage of adolescent girls and young women reached with HIV prevention programs- defined package of services</v>
      </c>
    </row>
    <row r="1186" spans="1:23" s="189" customFormat="1" ht="40.200000000000003" customHeight="1" x14ac:dyDescent="0.3">
      <c r="A1186" s="678"/>
      <c r="B1186" s="675"/>
      <c r="C1186" s="667"/>
      <c r="D1186" s="677"/>
      <c r="E1186" s="677"/>
      <c r="F1186" s="202"/>
      <c r="G1186" s="669"/>
      <c r="H1186" s="671"/>
      <c r="I1186" s="673"/>
      <c r="J1186" s="652"/>
      <c r="K1186" s="667"/>
      <c r="L1186" s="667"/>
      <c r="M1186" s="652"/>
      <c r="N1186" s="652"/>
    </row>
    <row r="1187" spans="1:23" s="189" customFormat="1" ht="40.200000000000003" customHeight="1" x14ac:dyDescent="0.3">
      <c r="A1187" s="678" t="str">
        <f t="shared" ref="A1187" ca="1" si="5071">INDIRECT("'update Helper'!C"&amp;U1187)</f>
        <v>a163p000002zQdwAAE</v>
      </c>
      <c r="B1187" s="674">
        <v>15</v>
      </c>
      <c r="C1187" s="666" t="str">
        <f>VLOOKUP(B1187,'Coverage Indicators - Section D'!$A$9:$AU$70,47,FALSE)</f>
        <v>YP-2 Pourcentage d’adolescentes et de jeunes femmes bénéficiant de programmes préventifs de lutte contre le VIH (paquet de services définis)</v>
      </c>
      <c r="D1187" s="676" t="str">
        <f t="shared" ref="D1187" si="5072">R1187</f>
        <v/>
      </c>
      <c r="E1187" s="676" t="str">
        <f t="shared" ref="E1187" si="5073">S1187</f>
        <v/>
      </c>
      <c r="F1187" s="194"/>
      <c r="G1187" s="668" t="str">
        <f t="shared" ref="G1187" ca="1" si="5074">IF(OR(INDIRECT("'update Helper'!E"&amp;U1187)=0,F1187&lt;&gt;0,F1188&lt;&gt;0),IF(IFERROR((F1187/F1188),"")="","",(F1187/F1188)),INDIRECT("'update Helper'!E"&amp;U1187)/100)</f>
        <v/>
      </c>
      <c r="H1187" s="670"/>
      <c r="I1187" s="672"/>
      <c r="J1187" s="651"/>
      <c r="K1187" s="666" t="str">
        <f t="shared" ref="K1187" si="5075">W1187</f>
        <v>YP-2 Percentage of adolescent girls and young women reached with HIV prevention programs- defined package of services</v>
      </c>
      <c r="L1187" s="666" t="str">
        <f t="shared" ref="L1187" si="5076">V1187</f>
        <v/>
      </c>
      <c r="M1187" s="651"/>
      <c r="N1187" s="651"/>
      <c r="P1187" s="189">
        <f t="shared" ref="P1187" si="5077">IF(AND(EXACT(C1187,C1185),C1185&lt;&gt;0),P1185+1,0)</f>
        <v>3</v>
      </c>
      <c r="Q1187" s="189" t="str">
        <f t="shared" ref="Q1187" si="5078">IF(C1187&lt;&gt;"",C1187&amp;"-"&amp;P1187,"")</f>
        <v>YP-2 Pourcentage d’adolescentes et de jeunes femmes bénéficiant de programmes préventifs de lutte contre le VIH (paquet de services définis)-3</v>
      </c>
      <c r="R1187" s="189" t="str">
        <f t="array" ref="R1187">IFERROR(IF(INDEX('Disaggregation Records'!$E$155:$E$385,MATCH(RIGHT(Q1187,255),RIGHT('Disaggregation Records'!$D$155:$D$385,255),0))=0,"",INDEX('Disaggregation Records'!$E$155:$E$385,MATCH(RIGHT(Q1187,255),RIGHT('Disaggregation Records'!$D$155:$D$385,255),0))),"")</f>
        <v/>
      </c>
      <c r="S1187" s="189" t="str">
        <f t="array" ref="S1187">IFERROR(IF(INDEX('Disaggregation Records'!$F$155:$F$385,MATCH(RIGHT(Q1187,255),RIGHT('Disaggregation Records'!$D$155:$D$385,255),0))=0,"",INDEX('Disaggregation Records'!$F$155:$F$385,MATCH(RIGHT(Q1187,255),RIGHT('Disaggregation Records'!$D$155:$D$385,255),0))),"")</f>
        <v/>
      </c>
      <c r="T1187" s="189" t="str">
        <f t="array" ref="T1187">IFERROR(IF(INDEX('Disaggregation Records'!$H$155:$H$385,MATCH(RIGHT(Q1187,255),RIGHT('Disaggregation Records'!$D$155:$D$385,255),0))=0,"",INDEX('Disaggregation Records'!$H$155:$H$385,MATCH(RIGHT(Q1187,255),RIGHT('Disaggregation Records'!$D$155:$D$385,255),0))),"")</f>
        <v/>
      </c>
      <c r="U1187" s="189">
        <f t="shared" ref="U1187" si="5079">U1185+1</f>
        <v>1695</v>
      </c>
      <c r="V1187" s="189" t="str">
        <f t="array" ref="V1187">IFERROR(IF(INDEX('Disaggregation Records'!$I$155:$I$385,MATCH(RIGHT(Q1187,255),RIGHT('Disaggregation Records'!$D$155:$D$385,255),0))=0,"",INDEX('Disaggregation Records'!$I$155:$I$385,MATCH(RIGHT(Q1187,255),RIGHT('Disaggregation Records'!$D$155:$D$385,255),0))),"")</f>
        <v/>
      </c>
      <c r="W1187" s="189" t="str">
        <f>IFERROR(INDEX('Reference Records'!L$59:L$121,MATCH(LEFT(C1187,255),'Reference Records'!E$59:E$121,0)),"")</f>
        <v>YP-2 Percentage of adolescent girls and young women reached with HIV prevention programs- defined package of services</v>
      </c>
    </row>
    <row r="1188" spans="1:23" s="189" customFormat="1" ht="40.200000000000003" customHeight="1" x14ac:dyDescent="0.3">
      <c r="A1188" s="678"/>
      <c r="B1188" s="675"/>
      <c r="C1188" s="667"/>
      <c r="D1188" s="677"/>
      <c r="E1188" s="677"/>
      <c r="F1188" s="202"/>
      <c r="G1188" s="669"/>
      <c r="H1188" s="671"/>
      <c r="I1188" s="673"/>
      <c r="J1188" s="652"/>
      <c r="K1188" s="667"/>
      <c r="L1188" s="667"/>
      <c r="M1188" s="652"/>
      <c r="N1188" s="652"/>
    </row>
    <row r="1189" spans="1:23" s="189" customFormat="1" ht="40.200000000000003" customHeight="1" x14ac:dyDescent="0.3">
      <c r="A1189" s="678" t="str">
        <f t="shared" ref="A1189" ca="1" si="5080">INDIRECT("'update Helper'!C"&amp;U1189)</f>
        <v>a163p000002zQdxAAE</v>
      </c>
      <c r="B1189" s="674">
        <v>15</v>
      </c>
      <c r="C1189" s="666" t="str">
        <f>VLOOKUP(B1189,'Coverage Indicators - Section D'!$A$9:$AU$70,47,FALSE)</f>
        <v>YP-2 Pourcentage d’adolescentes et de jeunes femmes bénéficiant de programmes préventifs de lutte contre le VIH (paquet de services définis)</v>
      </c>
      <c r="D1189" s="676" t="str">
        <f t="shared" ref="D1189" si="5081">R1189</f>
        <v/>
      </c>
      <c r="E1189" s="676" t="str">
        <f t="shared" ref="E1189" si="5082">S1189</f>
        <v/>
      </c>
      <c r="F1189" s="194"/>
      <c r="G1189" s="668" t="str">
        <f t="shared" ref="G1189" ca="1" si="5083">IF(OR(INDIRECT("'update Helper'!E"&amp;U1189)=0,F1189&lt;&gt;0,F1190&lt;&gt;0),IF(IFERROR((F1189/F1190),"")="","",(F1189/F1190)),INDIRECT("'update Helper'!E"&amp;U1189)/100)</f>
        <v/>
      </c>
      <c r="H1189" s="670"/>
      <c r="I1189" s="672"/>
      <c r="J1189" s="651"/>
      <c r="K1189" s="666" t="str">
        <f t="shared" ref="K1189" si="5084">W1189</f>
        <v>YP-2 Percentage of adolescent girls and young women reached with HIV prevention programs- defined package of services</v>
      </c>
      <c r="L1189" s="666" t="str">
        <f t="shared" ref="L1189" si="5085">V1189</f>
        <v/>
      </c>
      <c r="M1189" s="651"/>
      <c r="N1189" s="651"/>
      <c r="P1189" s="189">
        <f t="shared" ref="P1189" si="5086">IF(AND(EXACT(C1189,C1187),C1187&lt;&gt;0),P1187+1,0)</f>
        <v>4</v>
      </c>
      <c r="Q1189" s="189" t="str">
        <f t="shared" ref="Q1189" si="5087">IF(C1189&lt;&gt;"",C1189&amp;"-"&amp;P1189,"")</f>
        <v>YP-2 Pourcentage d’adolescentes et de jeunes femmes bénéficiant de programmes préventifs de lutte contre le VIH (paquet de services définis)-4</v>
      </c>
      <c r="R1189" s="189" t="str">
        <f t="array" ref="R1189">IFERROR(IF(INDEX('Disaggregation Records'!$E$155:$E$385,MATCH(RIGHT(Q1189,255),RIGHT('Disaggregation Records'!$D$155:$D$385,255),0))=0,"",INDEX('Disaggregation Records'!$E$155:$E$385,MATCH(RIGHT(Q1189,255),RIGHT('Disaggregation Records'!$D$155:$D$385,255),0))),"")</f>
        <v/>
      </c>
      <c r="S1189" s="189" t="str">
        <f t="array" ref="S1189">IFERROR(IF(INDEX('Disaggregation Records'!$F$155:$F$385,MATCH(RIGHT(Q1189,255),RIGHT('Disaggregation Records'!$D$155:$D$385,255),0))=0,"",INDEX('Disaggregation Records'!$F$155:$F$385,MATCH(RIGHT(Q1189,255),RIGHT('Disaggregation Records'!$D$155:$D$385,255),0))),"")</f>
        <v/>
      </c>
      <c r="T1189" s="189" t="str">
        <f t="array" ref="T1189">IFERROR(IF(INDEX('Disaggregation Records'!$H$155:$H$385,MATCH(RIGHT(Q1189,255),RIGHT('Disaggregation Records'!$D$155:$D$385,255),0))=0,"",INDEX('Disaggregation Records'!$H$155:$H$385,MATCH(RIGHT(Q1189,255),RIGHT('Disaggregation Records'!$D$155:$D$385,255),0))),"")</f>
        <v/>
      </c>
      <c r="U1189" s="189">
        <f t="shared" ref="U1189" si="5088">U1187+1</f>
        <v>1696</v>
      </c>
      <c r="V1189" s="189" t="str">
        <f t="array" ref="V1189">IFERROR(IF(INDEX('Disaggregation Records'!$I$155:$I$385,MATCH(RIGHT(Q1189,255),RIGHT('Disaggregation Records'!$D$155:$D$385,255),0))=0,"",INDEX('Disaggregation Records'!$I$155:$I$385,MATCH(RIGHT(Q1189,255),RIGHT('Disaggregation Records'!$D$155:$D$385,255),0))),"")</f>
        <v/>
      </c>
      <c r="W1189" s="189" t="str">
        <f>IFERROR(INDEX('Reference Records'!L$59:L$121,MATCH(LEFT(C1189,255),'Reference Records'!E$59:E$121,0)),"")</f>
        <v>YP-2 Percentage of adolescent girls and young women reached with HIV prevention programs- defined package of services</v>
      </c>
    </row>
    <row r="1190" spans="1:23" s="189" customFormat="1" ht="40.200000000000003" customHeight="1" x14ac:dyDescent="0.3">
      <c r="A1190" s="678"/>
      <c r="B1190" s="675"/>
      <c r="C1190" s="667"/>
      <c r="D1190" s="677"/>
      <c r="E1190" s="677"/>
      <c r="F1190" s="202"/>
      <c r="G1190" s="669"/>
      <c r="H1190" s="671"/>
      <c r="I1190" s="673"/>
      <c r="J1190" s="652"/>
      <c r="K1190" s="667"/>
      <c r="L1190" s="667"/>
      <c r="M1190" s="652"/>
      <c r="N1190" s="652"/>
    </row>
    <row r="1191" spans="1:23" s="189" customFormat="1" ht="40.200000000000003" customHeight="1" x14ac:dyDescent="0.3">
      <c r="A1191" s="678" t="str">
        <f t="shared" ref="A1191" ca="1" si="5089">INDIRECT("'update Helper'!C"&amp;U1191)</f>
        <v>a163p000002zQdyAAE</v>
      </c>
      <c r="B1191" s="674">
        <v>15</v>
      </c>
      <c r="C1191" s="666" t="str">
        <f>VLOOKUP(B1191,'Coverage Indicators - Section D'!$A$9:$AU$70,47,FALSE)</f>
        <v>YP-2 Pourcentage d’adolescentes et de jeunes femmes bénéficiant de programmes préventifs de lutte contre le VIH (paquet de services définis)</v>
      </c>
      <c r="D1191" s="676" t="str">
        <f t="shared" ref="D1191" si="5090">R1191</f>
        <v/>
      </c>
      <c r="E1191" s="676" t="str">
        <f t="shared" ref="E1191" si="5091">S1191</f>
        <v/>
      </c>
      <c r="F1191" s="194"/>
      <c r="G1191" s="668" t="str">
        <f t="shared" ref="G1191" ca="1" si="5092">IF(OR(INDIRECT("'update Helper'!E"&amp;U1191)=0,F1191&lt;&gt;0,F1192&lt;&gt;0),IF(IFERROR((F1191/F1192),"")="","",(F1191/F1192)),INDIRECT("'update Helper'!E"&amp;U1191)/100)</f>
        <v/>
      </c>
      <c r="H1191" s="670"/>
      <c r="I1191" s="672"/>
      <c r="J1191" s="651"/>
      <c r="K1191" s="666" t="str">
        <f t="shared" ref="K1191" si="5093">W1191</f>
        <v>YP-2 Percentage of adolescent girls and young women reached with HIV prevention programs- defined package of services</v>
      </c>
      <c r="L1191" s="666" t="str">
        <f t="shared" ref="L1191" si="5094">V1191</f>
        <v/>
      </c>
      <c r="M1191" s="651"/>
      <c r="N1191" s="651"/>
      <c r="P1191" s="189">
        <f t="shared" ref="P1191" si="5095">IF(AND(EXACT(C1191,C1189),C1189&lt;&gt;0),P1189+1,0)</f>
        <v>5</v>
      </c>
      <c r="Q1191" s="189" t="str">
        <f t="shared" ref="Q1191" si="5096">IF(C1191&lt;&gt;"",C1191&amp;"-"&amp;P1191,"")</f>
        <v>YP-2 Pourcentage d’adolescentes et de jeunes femmes bénéficiant de programmes préventifs de lutte contre le VIH (paquet de services définis)-5</v>
      </c>
      <c r="R1191" s="189" t="str">
        <f t="array" ref="R1191">IFERROR(IF(INDEX('Disaggregation Records'!$E$155:$E$385,MATCH(RIGHT(Q1191,255),RIGHT('Disaggregation Records'!$D$155:$D$385,255),0))=0,"",INDEX('Disaggregation Records'!$E$155:$E$385,MATCH(RIGHT(Q1191,255),RIGHT('Disaggregation Records'!$D$155:$D$385,255),0))),"")</f>
        <v/>
      </c>
      <c r="S1191" s="189" t="str">
        <f t="array" ref="S1191">IFERROR(IF(INDEX('Disaggregation Records'!$F$155:$F$385,MATCH(RIGHT(Q1191,255),RIGHT('Disaggregation Records'!$D$155:$D$385,255),0))=0,"",INDEX('Disaggregation Records'!$F$155:$F$385,MATCH(RIGHT(Q1191,255),RIGHT('Disaggregation Records'!$D$155:$D$385,255),0))),"")</f>
        <v/>
      </c>
      <c r="T1191" s="189" t="str">
        <f t="array" ref="T1191">IFERROR(IF(INDEX('Disaggregation Records'!$H$155:$H$385,MATCH(RIGHT(Q1191,255),RIGHT('Disaggregation Records'!$D$155:$D$385,255),0))=0,"",INDEX('Disaggregation Records'!$H$155:$H$385,MATCH(RIGHT(Q1191,255),RIGHT('Disaggregation Records'!$D$155:$D$385,255),0))),"")</f>
        <v/>
      </c>
      <c r="U1191" s="189">
        <f t="shared" ref="U1191" si="5097">U1189+1</f>
        <v>1697</v>
      </c>
      <c r="V1191" s="189" t="str">
        <f t="array" ref="V1191">IFERROR(IF(INDEX('Disaggregation Records'!$I$155:$I$385,MATCH(RIGHT(Q1191,255),RIGHT('Disaggregation Records'!$D$155:$D$385,255),0))=0,"",INDEX('Disaggregation Records'!$I$155:$I$385,MATCH(RIGHT(Q1191,255),RIGHT('Disaggregation Records'!$D$155:$D$385,255),0))),"")</f>
        <v/>
      </c>
      <c r="W1191" s="189" t="str">
        <f>IFERROR(INDEX('Reference Records'!L$59:L$121,MATCH(LEFT(C1191,255),'Reference Records'!E$59:E$121,0)),"")</f>
        <v>YP-2 Percentage of adolescent girls and young women reached with HIV prevention programs- defined package of services</v>
      </c>
    </row>
    <row r="1192" spans="1:23" s="189" customFormat="1" ht="40.200000000000003" customHeight="1" x14ac:dyDescent="0.3">
      <c r="A1192" s="678"/>
      <c r="B1192" s="675"/>
      <c r="C1192" s="667"/>
      <c r="D1192" s="677"/>
      <c r="E1192" s="677"/>
      <c r="F1192" s="202"/>
      <c r="G1192" s="669"/>
      <c r="H1192" s="671"/>
      <c r="I1192" s="673"/>
      <c r="J1192" s="652"/>
      <c r="K1192" s="667"/>
      <c r="L1192" s="667"/>
      <c r="M1192" s="652"/>
      <c r="N1192" s="652"/>
    </row>
    <row r="1193" spans="1:23" s="189" customFormat="1" ht="40.200000000000003" customHeight="1" x14ac:dyDescent="0.3">
      <c r="A1193" s="678" t="str">
        <f t="shared" ref="A1193" ca="1" si="5098">INDIRECT("'update Helper'!C"&amp;U1193)</f>
        <v>a163p000002zQdzAAE</v>
      </c>
      <c r="B1193" s="674">
        <v>15</v>
      </c>
      <c r="C1193" s="666" t="str">
        <f>VLOOKUP(B1193,'Coverage Indicators - Section D'!$A$9:$AU$70,47,FALSE)</f>
        <v>YP-2 Pourcentage d’adolescentes et de jeunes femmes bénéficiant de programmes préventifs de lutte contre le VIH (paquet de services définis)</v>
      </c>
      <c r="D1193" s="676" t="str">
        <f t="shared" ref="D1193" si="5099">R1193</f>
        <v/>
      </c>
      <c r="E1193" s="676" t="str">
        <f t="shared" ref="E1193" si="5100">S1193</f>
        <v/>
      </c>
      <c r="F1193" s="194"/>
      <c r="G1193" s="668" t="str">
        <f t="shared" ref="G1193" ca="1" si="5101">IF(OR(INDIRECT("'update Helper'!E"&amp;U1193)=0,F1193&lt;&gt;0,F1194&lt;&gt;0),IF(IFERROR((F1193/F1194),"")="","",(F1193/F1194)),INDIRECT("'update Helper'!E"&amp;U1193)/100)</f>
        <v/>
      </c>
      <c r="H1193" s="670"/>
      <c r="I1193" s="672"/>
      <c r="J1193" s="651"/>
      <c r="K1193" s="666" t="str">
        <f t="shared" ref="K1193" si="5102">W1193</f>
        <v>YP-2 Percentage of adolescent girls and young women reached with HIV prevention programs- defined package of services</v>
      </c>
      <c r="L1193" s="666" t="str">
        <f t="shared" ref="L1193" si="5103">V1193</f>
        <v/>
      </c>
      <c r="M1193" s="651"/>
      <c r="N1193" s="651"/>
      <c r="P1193" s="189">
        <f t="shared" ref="P1193" si="5104">IF(AND(EXACT(C1193,C1191),C1191&lt;&gt;0),P1191+1,0)</f>
        <v>6</v>
      </c>
      <c r="Q1193" s="189" t="str">
        <f t="shared" ref="Q1193" si="5105">IF(C1193&lt;&gt;"",C1193&amp;"-"&amp;P1193,"")</f>
        <v>YP-2 Pourcentage d’adolescentes et de jeunes femmes bénéficiant de programmes préventifs de lutte contre le VIH (paquet de services définis)-6</v>
      </c>
      <c r="R1193" s="189" t="str">
        <f t="array" ref="R1193">IFERROR(IF(INDEX('Disaggregation Records'!$E$155:$E$385,MATCH(RIGHT(Q1193,255),RIGHT('Disaggregation Records'!$D$155:$D$385,255),0))=0,"",INDEX('Disaggregation Records'!$E$155:$E$385,MATCH(RIGHT(Q1193,255),RIGHT('Disaggregation Records'!$D$155:$D$385,255),0))),"")</f>
        <v/>
      </c>
      <c r="S1193" s="189" t="str">
        <f t="array" ref="S1193">IFERROR(IF(INDEX('Disaggregation Records'!$F$155:$F$385,MATCH(RIGHT(Q1193,255),RIGHT('Disaggregation Records'!$D$155:$D$385,255),0))=0,"",INDEX('Disaggregation Records'!$F$155:$F$385,MATCH(RIGHT(Q1193,255),RIGHT('Disaggregation Records'!$D$155:$D$385,255),0))),"")</f>
        <v/>
      </c>
      <c r="T1193" s="189" t="str">
        <f t="array" ref="T1193">IFERROR(IF(INDEX('Disaggregation Records'!$H$155:$H$385,MATCH(RIGHT(Q1193,255),RIGHT('Disaggregation Records'!$D$155:$D$385,255),0))=0,"",INDEX('Disaggregation Records'!$H$155:$H$385,MATCH(RIGHT(Q1193,255),RIGHT('Disaggregation Records'!$D$155:$D$385,255),0))),"")</f>
        <v/>
      </c>
      <c r="U1193" s="189">
        <f t="shared" ref="U1193" si="5106">U1191+1</f>
        <v>1698</v>
      </c>
      <c r="V1193" s="189" t="str">
        <f t="array" ref="V1193">IFERROR(IF(INDEX('Disaggregation Records'!$I$155:$I$385,MATCH(RIGHT(Q1193,255),RIGHT('Disaggregation Records'!$D$155:$D$385,255),0))=0,"",INDEX('Disaggregation Records'!$I$155:$I$385,MATCH(RIGHT(Q1193,255),RIGHT('Disaggregation Records'!$D$155:$D$385,255),0))),"")</f>
        <v/>
      </c>
      <c r="W1193" s="189" t="str">
        <f>IFERROR(INDEX('Reference Records'!L$59:L$121,MATCH(LEFT(C1193,255),'Reference Records'!E$59:E$121,0)),"")</f>
        <v>YP-2 Percentage of adolescent girls and young women reached with HIV prevention programs- defined package of services</v>
      </c>
    </row>
    <row r="1194" spans="1:23" s="189" customFormat="1" ht="40.200000000000003" customHeight="1" x14ac:dyDescent="0.3">
      <c r="A1194" s="678"/>
      <c r="B1194" s="675"/>
      <c r="C1194" s="667"/>
      <c r="D1194" s="677"/>
      <c r="E1194" s="677"/>
      <c r="F1194" s="202"/>
      <c r="G1194" s="669"/>
      <c r="H1194" s="671"/>
      <c r="I1194" s="673"/>
      <c r="J1194" s="652"/>
      <c r="K1194" s="667"/>
      <c r="L1194" s="667"/>
      <c r="M1194" s="652"/>
      <c r="N1194" s="652"/>
    </row>
    <row r="1195" spans="1:23" s="189" customFormat="1" ht="40.200000000000003" customHeight="1" x14ac:dyDescent="0.3">
      <c r="A1195" s="678" t="str">
        <f t="shared" ref="A1195" ca="1" si="5107">INDIRECT("'update Helper'!C"&amp;U1195)</f>
        <v>a163p000002zQe0AAE</v>
      </c>
      <c r="B1195" s="674">
        <v>15</v>
      </c>
      <c r="C1195" s="666" t="str">
        <f>VLOOKUP(B1195,'Coverage Indicators - Section D'!$A$9:$AU$70,47,FALSE)</f>
        <v>YP-2 Pourcentage d’adolescentes et de jeunes femmes bénéficiant de programmes préventifs de lutte contre le VIH (paquet de services définis)</v>
      </c>
      <c r="D1195" s="676" t="str">
        <f t="shared" ref="D1195" si="5108">R1195</f>
        <v/>
      </c>
      <c r="E1195" s="676" t="str">
        <f t="shared" ref="E1195" si="5109">S1195</f>
        <v/>
      </c>
      <c r="F1195" s="194"/>
      <c r="G1195" s="668" t="str">
        <f t="shared" ref="G1195" ca="1" si="5110">IF(OR(INDIRECT("'update Helper'!E"&amp;U1195)=0,F1195&lt;&gt;0,F1196&lt;&gt;0),IF(IFERROR((F1195/F1196),"")="","",(F1195/F1196)),INDIRECT("'update Helper'!E"&amp;U1195)/100)</f>
        <v/>
      </c>
      <c r="H1195" s="670"/>
      <c r="I1195" s="672"/>
      <c r="J1195" s="651"/>
      <c r="K1195" s="666" t="str">
        <f t="shared" ref="K1195" si="5111">W1195</f>
        <v>YP-2 Percentage of adolescent girls and young women reached with HIV prevention programs- defined package of services</v>
      </c>
      <c r="L1195" s="666" t="str">
        <f t="shared" ref="L1195" si="5112">V1195</f>
        <v/>
      </c>
      <c r="M1195" s="651"/>
      <c r="N1195" s="651"/>
      <c r="P1195" s="189">
        <f t="shared" ref="P1195" si="5113">IF(AND(EXACT(C1195,C1193),C1193&lt;&gt;0),P1193+1,0)</f>
        <v>7</v>
      </c>
      <c r="Q1195" s="189" t="str">
        <f t="shared" ref="Q1195" si="5114">IF(C1195&lt;&gt;"",C1195&amp;"-"&amp;P1195,"")</f>
        <v>YP-2 Pourcentage d’adolescentes et de jeunes femmes bénéficiant de programmes préventifs de lutte contre le VIH (paquet de services définis)-7</v>
      </c>
      <c r="R1195" s="189" t="str">
        <f t="array" ref="R1195">IFERROR(IF(INDEX('Disaggregation Records'!$E$155:$E$385,MATCH(RIGHT(Q1195,255),RIGHT('Disaggregation Records'!$D$155:$D$385,255),0))=0,"",INDEX('Disaggregation Records'!$E$155:$E$385,MATCH(RIGHT(Q1195,255),RIGHT('Disaggregation Records'!$D$155:$D$385,255),0))),"")</f>
        <v/>
      </c>
      <c r="S1195" s="189" t="str">
        <f t="array" ref="S1195">IFERROR(IF(INDEX('Disaggregation Records'!$F$155:$F$385,MATCH(RIGHT(Q1195,255),RIGHT('Disaggregation Records'!$D$155:$D$385,255),0))=0,"",INDEX('Disaggregation Records'!$F$155:$F$385,MATCH(RIGHT(Q1195,255),RIGHT('Disaggregation Records'!$D$155:$D$385,255),0))),"")</f>
        <v/>
      </c>
      <c r="T1195" s="189" t="str">
        <f t="array" ref="T1195">IFERROR(IF(INDEX('Disaggregation Records'!$H$155:$H$385,MATCH(RIGHT(Q1195,255),RIGHT('Disaggregation Records'!$D$155:$D$385,255),0))=0,"",INDEX('Disaggregation Records'!$H$155:$H$385,MATCH(RIGHT(Q1195,255),RIGHT('Disaggregation Records'!$D$155:$D$385,255),0))),"")</f>
        <v/>
      </c>
      <c r="U1195" s="189">
        <f t="shared" ref="U1195" si="5115">U1193+1</f>
        <v>1699</v>
      </c>
      <c r="V1195" s="189" t="str">
        <f t="array" ref="V1195">IFERROR(IF(INDEX('Disaggregation Records'!$I$155:$I$385,MATCH(RIGHT(Q1195,255),RIGHT('Disaggregation Records'!$D$155:$D$385,255),0))=0,"",INDEX('Disaggregation Records'!$I$155:$I$385,MATCH(RIGHT(Q1195,255),RIGHT('Disaggregation Records'!$D$155:$D$385,255),0))),"")</f>
        <v/>
      </c>
      <c r="W1195" s="189" t="str">
        <f>IFERROR(INDEX('Reference Records'!L$59:L$121,MATCH(LEFT(C1195,255),'Reference Records'!E$59:E$121,0)),"")</f>
        <v>YP-2 Percentage of adolescent girls and young women reached with HIV prevention programs- defined package of services</v>
      </c>
    </row>
    <row r="1196" spans="1:23" s="189" customFormat="1" ht="40.200000000000003" customHeight="1" x14ac:dyDescent="0.3">
      <c r="A1196" s="678"/>
      <c r="B1196" s="675"/>
      <c r="C1196" s="667"/>
      <c r="D1196" s="677"/>
      <c r="E1196" s="677"/>
      <c r="F1196" s="202"/>
      <c r="G1196" s="669"/>
      <c r="H1196" s="671"/>
      <c r="I1196" s="673"/>
      <c r="J1196" s="652"/>
      <c r="K1196" s="667"/>
      <c r="L1196" s="667"/>
      <c r="M1196" s="652"/>
      <c r="N1196" s="652"/>
    </row>
    <row r="1197" spans="1:23" s="189" customFormat="1" ht="40.200000000000003" customHeight="1" x14ac:dyDescent="0.3">
      <c r="A1197" s="678" t="str">
        <f t="shared" ref="A1197" ca="1" si="5116">INDIRECT("'update Helper'!C"&amp;U1197)</f>
        <v>a163p000002zQe1AAE</v>
      </c>
      <c r="B1197" s="674">
        <v>15</v>
      </c>
      <c r="C1197" s="666" t="str">
        <f>VLOOKUP(B1197,'Coverage Indicators - Section D'!$A$9:$AU$70,47,FALSE)</f>
        <v>YP-2 Pourcentage d’adolescentes et de jeunes femmes bénéficiant de programmes préventifs de lutte contre le VIH (paquet de services définis)</v>
      </c>
      <c r="D1197" s="676" t="str">
        <f t="shared" ref="D1197" si="5117">R1197</f>
        <v/>
      </c>
      <c r="E1197" s="676" t="str">
        <f t="shared" ref="E1197" si="5118">S1197</f>
        <v/>
      </c>
      <c r="F1197" s="194"/>
      <c r="G1197" s="668" t="str">
        <f t="shared" ref="G1197" ca="1" si="5119">IF(OR(INDIRECT("'update Helper'!E"&amp;U1197)=0,F1197&lt;&gt;0,F1198&lt;&gt;0),IF(IFERROR((F1197/F1198),"")="","",(F1197/F1198)),INDIRECT("'update Helper'!E"&amp;U1197)/100)</f>
        <v/>
      </c>
      <c r="H1197" s="670"/>
      <c r="I1197" s="672"/>
      <c r="J1197" s="651"/>
      <c r="K1197" s="666" t="str">
        <f t="shared" ref="K1197" si="5120">W1197</f>
        <v>YP-2 Percentage of adolescent girls and young women reached with HIV prevention programs- defined package of services</v>
      </c>
      <c r="L1197" s="666" t="str">
        <f t="shared" ref="L1197" si="5121">V1197</f>
        <v/>
      </c>
      <c r="M1197" s="651"/>
      <c r="N1197" s="651"/>
      <c r="P1197" s="189">
        <f t="shared" ref="P1197" si="5122">IF(AND(EXACT(C1197,C1195),C1195&lt;&gt;0),P1195+1,0)</f>
        <v>8</v>
      </c>
      <c r="Q1197" s="189" t="str">
        <f t="shared" ref="Q1197" si="5123">IF(C1197&lt;&gt;"",C1197&amp;"-"&amp;P1197,"")</f>
        <v>YP-2 Pourcentage d’adolescentes et de jeunes femmes bénéficiant de programmes préventifs de lutte contre le VIH (paquet de services définis)-8</v>
      </c>
      <c r="R1197" s="189" t="str">
        <f t="array" ref="R1197">IFERROR(IF(INDEX('Disaggregation Records'!$E$155:$E$385,MATCH(RIGHT(Q1197,255),RIGHT('Disaggregation Records'!$D$155:$D$385,255),0))=0,"",INDEX('Disaggregation Records'!$E$155:$E$385,MATCH(RIGHT(Q1197,255),RIGHT('Disaggregation Records'!$D$155:$D$385,255),0))),"")</f>
        <v/>
      </c>
      <c r="S1197" s="189" t="str">
        <f t="array" ref="S1197">IFERROR(IF(INDEX('Disaggregation Records'!$F$155:$F$385,MATCH(RIGHT(Q1197,255),RIGHT('Disaggregation Records'!$D$155:$D$385,255),0))=0,"",INDEX('Disaggregation Records'!$F$155:$F$385,MATCH(RIGHT(Q1197,255),RIGHT('Disaggregation Records'!$D$155:$D$385,255),0))),"")</f>
        <v/>
      </c>
      <c r="T1197" s="189" t="str">
        <f t="array" ref="T1197">IFERROR(IF(INDEX('Disaggregation Records'!$H$155:$H$385,MATCH(RIGHT(Q1197,255),RIGHT('Disaggregation Records'!$D$155:$D$385,255),0))=0,"",INDEX('Disaggregation Records'!$H$155:$H$385,MATCH(RIGHT(Q1197,255),RIGHT('Disaggregation Records'!$D$155:$D$385,255),0))),"")</f>
        <v/>
      </c>
      <c r="U1197" s="189">
        <f t="shared" ref="U1197" si="5124">U1195+1</f>
        <v>1700</v>
      </c>
      <c r="V1197" s="189" t="str">
        <f t="array" ref="V1197">IFERROR(IF(INDEX('Disaggregation Records'!$I$155:$I$385,MATCH(RIGHT(Q1197,255),RIGHT('Disaggregation Records'!$D$155:$D$385,255),0))=0,"",INDEX('Disaggregation Records'!$I$155:$I$385,MATCH(RIGHT(Q1197,255),RIGHT('Disaggregation Records'!$D$155:$D$385,255),0))),"")</f>
        <v/>
      </c>
      <c r="W1197" s="189" t="str">
        <f>IFERROR(INDEX('Reference Records'!L$59:L$121,MATCH(LEFT(C1197,255),'Reference Records'!E$59:E$121,0)),"")</f>
        <v>YP-2 Percentage of adolescent girls and young women reached with HIV prevention programs- defined package of services</v>
      </c>
    </row>
    <row r="1198" spans="1:23" s="189" customFormat="1" ht="40.200000000000003" customHeight="1" x14ac:dyDescent="0.3">
      <c r="A1198" s="678"/>
      <c r="B1198" s="675"/>
      <c r="C1198" s="667"/>
      <c r="D1198" s="677"/>
      <c r="E1198" s="677"/>
      <c r="F1198" s="202"/>
      <c r="G1198" s="669"/>
      <c r="H1198" s="671"/>
      <c r="I1198" s="673"/>
      <c r="J1198" s="652"/>
      <c r="K1198" s="667"/>
      <c r="L1198" s="667"/>
      <c r="M1198" s="652"/>
      <c r="N1198" s="652"/>
    </row>
    <row r="1199" spans="1:23" s="189" customFormat="1" ht="40.200000000000003" customHeight="1" x14ac:dyDescent="0.3">
      <c r="A1199" s="678" t="str">
        <f t="shared" ref="A1199" ca="1" si="5125">INDIRECT("'update Helper'!C"&amp;U1199)</f>
        <v>a163p000002zQe2AAE</v>
      </c>
      <c r="B1199" s="674">
        <v>15</v>
      </c>
      <c r="C1199" s="666" t="str">
        <f>VLOOKUP(B1199,'Coverage Indicators - Section D'!$A$9:$AU$70,47,FALSE)</f>
        <v>YP-2 Pourcentage d’adolescentes et de jeunes femmes bénéficiant de programmes préventifs de lutte contre le VIH (paquet de services définis)</v>
      </c>
      <c r="D1199" s="676" t="str">
        <f t="shared" ref="D1199" si="5126">R1199</f>
        <v/>
      </c>
      <c r="E1199" s="676" t="str">
        <f t="shared" ref="E1199" si="5127">S1199</f>
        <v/>
      </c>
      <c r="F1199" s="194"/>
      <c r="G1199" s="668" t="str">
        <f t="shared" ref="G1199" ca="1" si="5128">IF(OR(INDIRECT("'update Helper'!E"&amp;U1199)=0,F1199&lt;&gt;0,F1200&lt;&gt;0),IF(IFERROR((F1199/F1200),"")="","",(F1199/F1200)),INDIRECT("'update Helper'!E"&amp;U1199)/100)</f>
        <v/>
      </c>
      <c r="H1199" s="670"/>
      <c r="I1199" s="672"/>
      <c r="J1199" s="651"/>
      <c r="K1199" s="666" t="str">
        <f t="shared" ref="K1199" si="5129">W1199</f>
        <v>YP-2 Percentage of adolescent girls and young women reached with HIV prevention programs- defined package of services</v>
      </c>
      <c r="L1199" s="666" t="str">
        <f t="shared" ref="L1199" si="5130">V1199</f>
        <v/>
      </c>
      <c r="M1199" s="651"/>
      <c r="N1199" s="651"/>
      <c r="P1199" s="189">
        <f t="shared" ref="P1199" si="5131">IF(AND(EXACT(C1199,C1197),C1197&lt;&gt;0),P1197+1,0)</f>
        <v>9</v>
      </c>
      <c r="Q1199" s="189" t="str">
        <f t="shared" ref="Q1199" si="5132">IF(C1199&lt;&gt;"",C1199&amp;"-"&amp;P1199,"")</f>
        <v>YP-2 Pourcentage d’adolescentes et de jeunes femmes bénéficiant de programmes préventifs de lutte contre le VIH (paquet de services définis)-9</v>
      </c>
      <c r="R1199" s="189" t="str">
        <f t="array" ref="R1199">IFERROR(IF(INDEX('Disaggregation Records'!$E$155:$E$385,MATCH(RIGHT(Q1199,255),RIGHT('Disaggregation Records'!$D$155:$D$385,255),0))=0,"",INDEX('Disaggregation Records'!$E$155:$E$385,MATCH(RIGHT(Q1199,255),RIGHT('Disaggregation Records'!$D$155:$D$385,255),0))),"")</f>
        <v/>
      </c>
      <c r="S1199" s="189" t="str">
        <f t="array" ref="S1199">IFERROR(IF(INDEX('Disaggregation Records'!$F$155:$F$385,MATCH(RIGHT(Q1199,255),RIGHT('Disaggregation Records'!$D$155:$D$385,255),0))=0,"",INDEX('Disaggregation Records'!$F$155:$F$385,MATCH(RIGHT(Q1199,255),RIGHT('Disaggregation Records'!$D$155:$D$385,255),0))),"")</f>
        <v/>
      </c>
      <c r="T1199" s="189" t="str">
        <f t="array" ref="T1199">IFERROR(IF(INDEX('Disaggregation Records'!$H$155:$H$385,MATCH(RIGHT(Q1199,255),RIGHT('Disaggregation Records'!$D$155:$D$385,255),0))=0,"",INDEX('Disaggregation Records'!$H$155:$H$385,MATCH(RIGHT(Q1199,255),RIGHT('Disaggregation Records'!$D$155:$D$385,255),0))),"")</f>
        <v/>
      </c>
      <c r="U1199" s="189">
        <f t="shared" ref="U1199" si="5133">U1197+1</f>
        <v>1701</v>
      </c>
      <c r="V1199" s="189" t="str">
        <f t="array" ref="V1199">IFERROR(IF(INDEX('Disaggregation Records'!$I$155:$I$385,MATCH(RIGHT(Q1199,255),RIGHT('Disaggregation Records'!$D$155:$D$385,255),0))=0,"",INDEX('Disaggregation Records'!$I$155:$I$385,MATCH(RIGHT(Q1199,255),RIGHT('Disaggregation Records'!$D$155:$D$385,255),0))),"")</f>
        <v/>
      </c>
      <c r="W1199" s="189" t="str">
        <f>IFERROR(INDEX('Reference Records'!L$59:L$121,MATCH(LEFT(C1199,255),'Reference Records'!E$59:E$121,0)),"")</f>
        <v>YP-2 Percentage of adolescent girls and young women reached with HIV prevention programs- defined package of services</v>
      </c>
    </row>
    <row r="1200" spans="1:23" s="189" customFormat="1" ht="40.200000000000003" customHeight="1" x14ac:dyDescent="0.3">
      <c r="A1200" s="678"/>
      <c r="B1200" s="675"/>
      <c r="C1200" s="667"/>
      <c r="D1200" s="677"/>
      <c r="E1200" s="677"/>
      <c r="F1200" s="202"/>
      <c r="G1200" s="669"/>
      <c r="H1200" s="671"/>
      <c r="I1200" s="673"/>
      <c r="J1200" s="652"/>
      <c r="K1200" s="667"/>
      <c r="L1200" s="667"/>
      <c r="M1200" s="652"/>
      <c r="N1200" s="652"/>
    </row>
    <row r="1201" spans="1:23" s="189" customFormat="1" ht="40.200000000000003" customHeight="1" x14ac:dyDescent="0.3">
      <c r="A1201" s="678" t="str">
        <f t="shared" ref="A1201" ca="1" si="5134">INDIRECT("'update Helper'!C"&amp;U1201)</f>
        <v>a163p000002zQe3AAE</v>
      </c>
      <c r="B1201" s="674">
        <v>15</v>
      </c>
      <c r="C1201" s="666" t="str">
        <f>VLOOKUP(B1201,'Coverage Indicators - Section D'!$A$9:$AU$70,47,FALSE)</f>
        <v>YP-2 Pourcentage d’adolescentes et de jeunes femmes bénéficiant de programmes préventifs de lutte contre le VIH (paquet de services définis)</v>
      </c>
      <c r="D1201" s="676" t="str">
        <f t="shared" ref="D1201" si="5135">R1201</f>
        <v/>
      </c>
      <c r="E1201" s="676" t="str">
        <f t="shared" ref="E1201" si="5136">S1201</f>
        <v/>
      </c>
      <c r="F1201" s="194"/>
      <c r="G1201" s="668" t="str">
        <f t="shared" ref="G1201" ca="1" si="5137">IF(OR(INDIRECT("'update Helper'!E"&amp;U1201)=0,F1201&lt;&gt;0,F1202&lt;&gt;0),IF(IFERROR((F1201/F1202),"")="","",(F1201/F1202)),INDIRECT("'update Helper'!E"&amp;U1201)/100)</f>
        <v/>
      </c>
      <c r="H1201" s="670"/>
      <c r="I1201" s="672"/>
      <c r="J1201" s="651"/>
      <c r="K1201" s="666" t="str">
        <f t="shared" ref="K1201" si="5138">W1201</f>
        <v>YP-2 Percentage of adolescent girls and young women reached with HIV prevention programs- defined package of services</v>
      </c>
      <c r="L1201" s="666" t="str">
        <f t="shared" ref="L1201" si="5139">V1201</f>
        <v/>
      </c>
      <c r="M1201" s="651"/>
      <c r="N1201" s="651"/>
      <c r="P1201" s="189">
        <f t="shared" ref="P1201" si="5140">IF(AND(EXACT(C1201,C1199),C1199&lt;&gt;0),P1199+1,0)</f>
        <v>10</v>
      </c>
      <c r="Q1201" s="189" t="str">
        <f t="shared" ref="Q1201" si="5141">IF(C1201&lt;&gt;"",C1201&amp;"-"&amp;P1201,"")</f>
        <v>YP-2 Pourcentage d’adolescentes et de jeunes femmes bénéficiant de programmes préventifs de lutte contre le VIH (paquet de services définis)-10</v>
      </c>
      <c r="R1201" s="189" t="str">
        <f t="array" ref="R1201">IFERROR(IF(INDEX('Disaggregation Records'!$E$155:$E$385,MATCH(RIGHT(Q1201,255),RIGHT('Disaggregation Records'!$D$155:$D$385,255),0))=0,"",INDEX('Disaggregation Records'!$E$155:$E$385,MATCH(RIGHT(Q1201,255),RIGHT('Disaggregation Records'!$D$155:$D$385,255),0))),"")</f>
        <v/>
      </c>
      <c r="S1201" s="189" t="str">
        <f t="array" ref="S1201">IFERROR(IF(INDEX('Disaggregation Records'!$F$155:$F$385,MATCH(RIGHT(Q1201,255),RIGHT('Disaggregation Records'!$D$155:$D$385,255),0))=0,"",INDEX('Disaggregation Records'!$F$155:$F$385,MATCH(RIGHT(Q1201,255),RIGHT('Disaggregation Records'!$D$155:$D$385,255),0))),"")</f>
        <v/>
      </c>
      <c r="T1201" s="189" t="str">
        <f t="array" ref="T1201">IFERROR(IF(INDEX('Disaggregation Records'!$H$155:$H$385,MATCH(RIGHT(Q1201,255),RIGHT('Disaggregation Records'!$D$155:$D$385,255),0))=0,"",INDEX('Disaggregation Records'!$H$155:$H$385,MATCH(RIGHT(Q1201,255),RIGHT('Disaggregation Records'!$D$155:$D$385,255),0))),"")</f>
        <v/>
      </c>
      <c r="U1201" s="189">
        <f t="shared" ref="U1201" si="5142">U1199+1</f>
        <v>1702</v>
      </c>
      <c r="V1201" s="189" t="str">
        <f t="array" ref="V1201">IFERROR(IF(INDEX('Disaggregation Records'!$I$155:$I$385,MATCH(RIGHT(Q1201,255),RIGHT('Disaggregation Records'!$D$155:$D$385,255),0))=0,"",INDEX('Disaggregation Records'!$I$155:$I$385,MATCH(RIGHT(Q1201,255),RIGHT('Disaggregation Records'!$D$155:$D$385,255),0))),"")</f>
        <v/>
      </c>
      <c r="W1201" s="189" t="str">
        <f>IFERROR(INDEX('Reference Records'!L$59:L$121,MATCH(LEFT(C1201,255),'Reference Records'!E$59:E$121,0)),"")</f>
        <v>YP-2 Percentage of adolescent girls and young women reached with HIV prevention programs- defined package of services</v>
      </c>
    </row>
    <row r="1202" spans="1:23" s="189" customFormat="1" ht="40.200000000000003" customHeight="1" x14ac:dyDescent="0.3">
      <c r="A1202" s="678"/>
      <c r="B1202" s="675"/>
      <c r="C1202" s="667"/>
      <c r="D1202" s="677"/>
      <c r="E1202" s="677"/>
      <c r="F1202" s="202"/>
      <c r="G1202" s="669"/>
      <c r="H1202" s="671"/>
      <c r="I1202" s="673"/>
      <c r="J1202" s="652"/>
      <c r="K1202" s="667"/>
      <c r="L1202" s="667"/>
      <c r="M1202" s="652"/>
      <c r="N1202" s="652"/>
    </row>
    <row r="1203" spans="1:23" s="189" customFormat="1" ht="40.200000000000003" customHeight="1" x14ac:dyDescent="0.3">
      <c r="A1203" s="678" t="str">
        <f t="shared" ref="A1203" ca="1" si="5143">INDIRECT("'update Helper'!C"&amp;U1203)</f>
        <v>a163p000002zQe4AAE</v>
      </c>
      <c r="B1203" s="674">
        <v>15</v>
      </c>
      <c r="C1203" s="666" t="str">
        <f>VLOOKUP(B1203,'Coverage Indicators - Section D'!$A$9:$AU$70,47,FALSE)</f>
        <v>YP-2 Pourcentage d’adolescentes et de jeunes femmes bénéficiant de programmes préventifs de lutte contre le VIH (paquet de services définis)</v>
      </c>
      <c r="D1203" s="676" t="str">
        <f t="shared" ref="D1203" si="5144">R1203</f>
        <v/>
      </c>
      <c r="E1203" s="676" t="str">
        <f t="shared" ref="E1203" si="5145">S1203</f>
        <v/>
      </c>
      <c r="F1203" s="194"/>
      <c r="G1203" s="668" t="str">
        <f t="shared" ref="G1203" ca="1" si="5146">IF(OR(INDIRECT("'update Helper'!E"&amp;U1203)=0,F1203&lt;&gt;0,F1204&lt;&gt;0),IF(IFERROR((F1203/F1204),"")="","",(F1203/F1204)),INDIRECT("'update Helper'!E"&amp;U1203)/100)</f>
        <v/>
      </c>
      <c r="H1203" s="670"/>
      <c r="I1203" s="672"/>
      <c r="J1203" s="651"/>
      <c r="K1203" s="666" t="str">
        <f t="shared" ref="K1203" si="5147">W1203</f>
        <v>YP-2 Percentage of adolescent girls and young women reached with HIV prevention programs- defined package of services</v>
      </c>
      <c r="L1203" s="666" t="str">
        <f t="shared" ref="L1203" si="5148">V1203</f>
        <v/>
      </c>
      <c r="M1203" s="651"/>
      <c r="N1203" s="651"/>
      <c r="P1203" s="189">
        <f t="shared" ref="P1203" si="5149">IF(AND(EXACT(C1203,C1201),C1201&lt;&gt;0),P1201+1,0)</f>
        <v>11</v>
      </c>
      <c r="Q1203" s="189" t="str">
        <f t="shared" ref="Q1203" si="5150">IF(C1203&lt;&gt;"",C1203&amp;"-"&amp;P1203,"")</f>
        <v>YP-2 Pourcentage d’adolescentes et de jeunes femmes bénéficiant de programmes préventifs de lutte contre le VIH (paquet de services définis)-11</v>
      </c>
      <c r="R1203" s="189" t="str">
        <f t="array" ref="R1203">IFERROR(IF(INDEX('Disaggregation Records'!$E$155:$E$385,MATCH(RIGHT(Q1203,255),RIGHT('Disaggregation Records'!$D$155:$D$385,255),0))=0,"",INDEX('Disaggregation Records'!$E$155:$E$385,MATCH(RIGHT(Q1203,255),RIGHT('Disaggregation Records'!$D$155:$D$385,255),0))),"")</f>
        <v/>
      </c>
      <c r="S1203" s="189" t="str">
        <f t="array" ref="S1203">IFERROR(IF(INDEX('Disaggregation Records'!$F$155:$F$385,MATCH(RIGHT(Q1203,255),RIGHT('Disaggregation Records'!$D$155:$D$385,255),0))=0,"",INDEX('Disaggregation Records'!$F$155:$F$385,MATCH(RIGHT(Q1203,255),RIGHT('Disaggregation Records'!$D$155:$D$385,255),0))),"")</f>
        <v/>
      </c>
      <c r="T1203" s="189" t="str">
        <f t="array" ref="T1203">IFERROR(IF(INDEX('Disaggregation Records'!$H$155:$H$385,MATCH(RIGHT(Q1203,255),RIGHT('Disaggregation Records'!$D$155:$D$385,255),0))=0,"",INDEX('Disaggregation Records'!$H$155:$H$385,MATCH(RIGHT(Q1203,255),RIGHT('Disaggregation Records'!$D$155:$D$385,255),0))),"")</f>
        <v/>
      </c>
      <c r="U1203" s="189">
        <f t="shared" ref="U1203" si="5151">U1201+1</f>
        <v>1703</v>
      </c>
      <c r="V1203" s="189" t="str">
        <f t="array" ref="V1203">IFERROR(IF(INDEX('Disaggregation Records'!$I$155:$I$385,MATCH(RIGHT(Q1203,255),RIGHT('Disaggregation Records'!$D$155:$D$385,255),0))=0,"",INDEX('Disaggregation Records'!$I$155:$I$385,MATCH(RIGHT(Q1203,255),RIGHT('Disaggregation Records'!$D$155:$D$385,255),0))),"")</f>
        <v/>
      </c>
      <c r="W1203" s="189" t="str">
        <f>IFERROR(INDEX('Reference Records'!L$59:L$121,MATCH(LEFT(C1203,255),'Reference Records'!E$59:E$121,0)),"")</f>
        <v>YP-2 Percentage of adolescent girls and young women reached with HIV prevention programs- defined package of services</v>
      </c>
    </row>
    <row r="1204" spans="1:23" s="189" customFormat="1" ht="40.200000000000003" customHeight="1" x14ac:dyDescent="0.3">
      <c r="A1204" s="678"/>
      <c r="B1204" s="675"/>
      <c r="C1204" s="667"/>
      <c r="D1204" s="677"/>
      <c r="E1204" s="677"/>
      <c r="F1204" s="202"/>
      <c r="G1204" s="669"/>
      <c r="H1204" s="671"/>
      <c r="I1204" s="673"/>
      <c r="J1204" s="652"/>
      <c r="K1204" s="667"/>
      <c r="L1204" s="667"/>
      <c r="M1204" s="652"/>
      <c r="N1204" s="652"/>
    </row>
    <row r="1205" spans="1:23" s="189" customFormat="1" ht="40.200000000000003" customHeight="1" x14ac:dyDescent="0.3">
      <c r="A1205" s="678" t="str">
        <f t="shared" ref="A1205" ca="1" si="5152">INDIRECT("'update Helper'!C"&amp;U1205)</f>
        <v>a163p000002zQe5AAE</v>
      </c>
      <c r="B1205" s="674">
        <v>15</v>
      </c>
      <c r="C1205" s="666" t="str">
        <f>VLOOKUP(B1205,'Coverage Indicators - Section D'!$A$9:$AU$70,47,FALSE)</f>
        <v>YP-2 Pourcentage d’adolescentes et de jeunes femmes bénéficiant de programmes préventifs de lutte contre le VIH (paquet de services définis)</v>
      </c>
      <c r="D1205" s="676" t="str">
        <f t="shared" ref="D1205" si="5153">R1205</f>
        <v/>
      </c>
      <c r="E1205" s="676" t="str">
        <f t="shared" ref="E1205" si="5154">S1205</f>
        <v/>
      </c>
      <c r="F1205" s="194"/>
      <c r="G1205" s="668" t="str">
        <f t="shared" ref="G1205" ca="1" si="5155">IF(OR(INDIRECT("'update Helper'!E"&amp;U1205)=0,F1205&lt;&gt;0,F1206&lt;&gt;0),IF(IFERROR((F1205/F1206),"")="","",(F1205/F1206)),INDIRECT("'update Helper'!E"&amp;U1205)/100)</f>
        <v/>
      </c>
      <c r="H1205" s="670"/>
      <c r="I1205" s="672"/>
      <c r="J1205" s="651"/>
      <c r="K1205" s="666" t="str">
        <f t="shared" ref="K1205" si="5156">W1205</f>
        <v>YP-2 Percentage of adolescent girls and young women reached with HIV prevention programs- defined package of services</v>
      </c>
      <c r="L1205" s="666" t="str">
        <f t="shared" ref="L1205" si="5157">V1205</f>
        <v/>
      </c>
      <c r="M1205" s="651"/>
      <c r="N1205" s="651"/>
      <c r="P1205" s="189">
        <f t="shared" ref="P1205" si="5158">IF(AND(EXACT(C1205,C1203),C1203&lt;&gt;0),P1203+1,0)</f>
        <v>12</v>
      </c>
      <c r="Q1205" s="189" t="str">
        <f t="shared" ref="Q1205" si="5159">IF(C1205&lt;&gt;"",C1205&amp;"-"&amp;P1205,"")</f>
        <v>YP-2 Pourcentage d’adolescentes et de jeunes femmes bénéficiant de programmes préventifs de lutte contre le VIH (paquet de services définis)-12</v>
      </c>
      <c r="R1205" s="189" t="str">
        <f t="array" ref="R1205">IFERROR(IF(INDEX('Disaggregation Records'!$E$155:$E$385,MATCH(RIGHT(Q1205,255),RIGHT('Disaggregation Records'!$D$155:$D$385,255),0))=0,"",INDEX('Disaggregation Records'!$E$155:$E$385,MATCH(RIGHT(Q1205,255),RIGHT('Disaggregation Records'!$D$155:$D$385,255),0))),"")</f>
        <v/>
      </c>
      <c r="S1205" s="189" t="str">
        <f t="array" ref="S1205">IFERROR(IF(INDEX('Disaggregation Records'!$F$155:$F$385,MATCH(RIGHT(Q1205,255),RIGHT('Disaggregation Records'!$D$155:$D$385,255),0))=0,"",INDEX('Disaggregation Records'!$F$155:$F$385,MATCH(RIGHT(Q1205,255),RIGHT('Disaggregation Records'!$D$155:$D$385,255),0))),"")</f>
        <v/>
      </c>
      <c r="T1205" s="189" t="str">
        <f t="array" ref="T1205">IFERROR(IF(INDEX('Disaggregation Records'!$H$155:$H$385,MATCH(RIGHT(Q1205,255),RIGHT('Disaggregation Records'!$D$155:$D$385,255),0))=0,"",INDEX('Disaggregation Records'!$H$155:$H$385,MATCH(RIGHT(Q1205,255),RIGHT('Disaggregation Records'!$D$155:$D$385,255),0))),"")</f>
        <v/>
      </c>
      <c r="U1205" s="189">
        <f t="shared" ref="U1205" si="5160">U1203+1</f>
        <v>1704</v>
      </c>
      <c r="V1205" s="189" t="str">
        <f t="array" ref="V1205">IFERROR(IF(INDEX('Disaggregation Records'!$I$155:$I$385,MATCH(RIGHT(Q1205,255),RIGHT('Disaggregation Records'!$D$155:$D$385,255),0))=0,"",INDEX('Disaggregation Records'!$I$155:$I$385,MATCH(RIGHT(Q1205,255),RIGHT('Disaggregation Records'!$D$155:$D$385,255),0))),"")</f>
        <v/>
      </c>
      <c r="W1205" s="189" t="str">
        <f>IFERROR(INDEX('Reference Records'!L$59:L$121,MATCH(LEFT(C1205,255),'Reference Records'!E$59:E$121,0)),"")</f>
        <v>YP-2 Percentage of adolescent girls and young women reached with HIV prevention programs- defined package of services</v>
      </c>
    </row>
    <row r="1206" spans="1:23" s="189" customFormat="1" ht="40.200000000000003" customHeight="1" x14ac:dyDescent="0.3">
      <c r="A1206" s="678"/>
      <c r="B1206" s="675"/>
      <c r="C1206" s="667"/>
      <c r="D1206" s="677"/>
      <c r="E1206" s="677"/>
      <c r="F1206" s="202"/>
      <c r="G1206" s="669"/>
      <c r="H1206" s="671"/>
      <c r="I1206" s="673"/>
      <c r="J1206" s="652"/>
      <c r="K1206" s="667"/>
      <c r="L1206" s="667"/>
      <c r="M1206" s="652"/>
      <c r="N1206" s="652"/>
    </row>
    <row r="1207" spans="1:23" s="189" customFormat="1" ht="40.200000000000003" customHeight="1" x14ac:dyDescent="0.3">
      <c r="A1207" s="678" t="str">
        <f t="shared" ref="A1207" ca="1" si="5161">INDIRECT("'update Helper'!C"&amp;U1207)</f>
        <v>a163p000002zQe6AAE</v>
      </c>
      <c r="B1207" s="674">
        <v>15</v>
      </c>
      <c r="C1207" s="666" t="str">
        <f>VLOOKUP(B1207,'Coverage Indicators - Section D'!$A$9:$AU$70,47,FALSE)</f>
        <v>YP-2 Pourcentage d’adolescentes et de jeunes femmes bénéficiant de programmes préventifs de lutte contre le VIH (paquet de services définis)</v>
      </c>
      <c r="D1207" s="676" t="str">
        <f t="shared" ref="D1207" si="5162">R1207</f>
        <v/>
      </c>
      <c r="E1207" s="676" t="str">
        <f t="shared" ref="E1207" si="5163">S1207</f>
        <v/>
      </c>
      <c r="F1207" s="194"/>
      <c r="G1207" s="668" t="str">
        <f t="shared" ref="G1207" ca="1" si="5164">IF(OR(INDIRECT("'update Helper'!E"&amp;U1207)=0,F1207&lt;&gt;0,F1208&lt;&gt;0),IF(IFERROR((F1207/F1208),"")="","",(F1207/F1208)),INDIRECT("'update Helper'!E"&amp;U1207)/100)</f>
        <v/>
      </c>
      <c r="H1207" s="670"/>
      <c r="I1207" s="672"/>
      <c r="J1207" s="651"/>
      <c r="K1207" s="666" t="str">
        <f t="shared" ref="K1207" si="5165">W1207</f>
        <v>YP-2 Percentage of adolescent girls and young women reached with HIV prevention programs- defined package of services</v>
      </c>
      <c r="L1207" s="666" t="str">
        <f t="shared" ref="L1207" si="5166">V1207</f>
        <v/>
      </c>
      <c r="M1207" s="651"/>
      <c r="N1207" s="651"/>
      <c r="P1207" s="189">
        <f t="shared" ref="P1207" si="5167">IF(AND(EXACT(C1207,C1205),C1205&lt;&gt;0),P1205+1,0)</f>
        <v>13</v>
      </c>
      <c r="Q1207" s="189" t="str">
        <f t="shared" ref="Q1207" si="5168">IF(C1207&lt;&gt;"",C1207&amp;"-"&amp;P1207,"")</f>
        <v>YP-2 Pourcentage d’adolescentes et de jeunes femmes bénéficiant de programmes préventifs de lutte contre le VIH (paquet de services définis)-13</v>
      </c>
      <c r="R1207" s="189" t="str">
        <f t="array" ref="R1207">IFERROR(IF(INDEX('Disaggregation Records'!$E$155:$E$385,MATCH(RIGHT(Q1207,255),RIGHT('Disaggregation Records'!$D$155:$D$385,255),0))=0,"",INDEX('Disaggregation Records'!$E$155:$E$385,MATCH(RIGHT(Q1207,255),RIGHT('Disaggregation Records'!$D$155:$D$385,255),0))),"")</f>
        <v/>
      </c>
      <c r="S1207" s="189" t="str">
        <f t="array" ref="S1207">IFERROR(IF(INDEX('Disaggregation Records'!$F$155:$F$385,MATCH(RIGHT(Q1207,255),RIGHT('Disaggregation Records'!$D$155:$D$385,255),0))=0,"",INDEX('Disaggregation Records'!$F$155:$F$385,MATCH(RIGHT(Q1207,255),RIGHT('Disaggregation Records'!$D$155:$D$385,255),0))),"")</f>
        <v/>
      </c>
      <c r="T1207" s="189" t="str">
        <f t="array" ref="T1207">IFERROR(IF(INDEX('Disaggregation Records'!$H$155:$H$385,MATCH(RIGHT(Q1207,255),RIGHT('Disaggregation Records'!$D$155:$D$385,255),0))=0,"",INDEX('Disaggregation Records'!$H$155:$H$385,MATCH(RIGHT(Q1207,255),RIGHT('Disaggregation Records'!$D$155:$D$385,255),0))),"")</f>
        <v/>
      </c>
      <c r="U1207" s="189">
        <f t="shared" ref="U1207" si="5169">U1205+1</f>
        <v>1705</v>
      </c>
      <c r="V1207" s="189" t="str">
        <f t="array" ref="V1207">IFERROR(IF(INDEX('Disaggregation Records'!$I$155:$I$385,MATCH(RIGHT(Q1207,255),RIGHT('Disaggregation Records'!$D$155:$D$385,255),0))=0,"",INDEX('Disaggregation Records'!$I$155:$I$385,MATCH(RIGHT(Q1207,255),RIGHT('Disaggregation Records'!$D$155:$D$385,255),0))),"")</f>
        <v/>
      </c>
      <c r="W1207" s="189" t="str">
        <f>IFERROR(INDEX('Reference Records'!L$59:L$121,MATCH(LEFT(C1207,255),'Reference Records'!E$59:E$121,0)),"")</f>
        <v>YP-2 Percentage of adolescent girls and young women reached with HIV prevention programs- defined package of services</v>
      </c>
    </row>
    <row r="1208" spans="1:23" s="189" customFormat="1" ht="40.200000000000003" customHeight="1" x14ac:dyDescent="0.3">
      <c r="A1208" s="678"/>
      <c r="B1208" s="675"/>
      <c r="C1208" s="667"/>
      <c r="D1208" s="677"/>
      <c r="E1208" s="677"/>
      <c r="F1208" s="202"/>
      <c r="G1208" s="669"/>
      <c r="H1208" s="671"/>
      <c r="I1208" s="673"/>
      <c r="J1208" s="652"/>
      <c r="K1208" s="667"/>
      <c r="L1208" s="667"/>
      <c r="M1208" s="652"/>
      <c r="N1208" s="652"/>
    </row>
    <row r="1209" spans="1:23" s="189" customFormat="1" ht="40.200000000000003" customHeight="1" x14ac:dyDescent="0.3">
      <c r="A1209" s="678" t="str">
        <f t="shared" ref="A1209" ca="1" si="5170">INDIRECT("'update Helper'!C"&amp;U1209)</f>
        <v>a163p000002zQe7AAE</v>
      </c>
      <c r="B1209" s="674">
        <v>15</v>
      </c>
      <c r="C1209" s="666" t="str">
        <f>VLOOKUP(B1209,'Coverage Indicators - Section D'!$A$9:$AU$70,47,FALSE)</f>
        <v>YP-2 Pourcentage d’adolescentes et de jeunes femmes bénéficiant de programmes préventifs de lutte contre le VIH (paquet de services définis)</v>
      </c>
      <c r="D1209" s="676" t="str">
        <f t="shared" ref="D1209" si="5171">R1209</f>
        <v/>
      </c>
      <c r="E1209" s="676" t="str">
        <f t="shared" ref="E1209" si="5172">S1209</f>
        <v/>
      </c>
      <c r="F1209" s="194"/>
      <c r="G1209" s="668" t="str">
        <f t="shared" ref="G1209" ca="1" si="5173">IF(OR(INDIRECT("'update Helper'!E"&amp;U1209)=0,F1209&lt;&gt;0,F1210&lt;&gt;0),IF(IFERROR((F1209/F1210),"")="","",(F1209/F1210)),INDIRECT("'update Helper'!E"&amp;U1209)/100)</f>
        <v/>
      </c>
      <c r="H1209" s="670"/>
      <c r="I1209" s="672"/>
      <c r="J1209" s="651"/>
      <c r="K1209" s="666" t="str">
        <f t="shared" ref="K1209" si="5174">W1209</f>
        <v>YP-2 Percentage of adolescent girls and young women reached with HIV prevention programs- defined package of services</v>
      </c>
      <c r="L1209" s="666" t="str">
        <f t="shared" ref="L1209" si="5175">V1209</f>
        <v/>
      </c>
      <c r="M1209" s="651"/>
      <c r="N1209" s="651"/>
      <c r="P1209" s="189">
        <f t="shared" ref="P1209" si="5176">IF(AND(EXACT(C1209,C1207),C1207&lt;&gt;0),P1207+1,0)</f>
        <v>14</v>
      </c>
      <c r="Q1209" s="189" t="str">
        <f t="shared" ref="Q1209" si="5177">IF(C1209&lt;&gt;"",C1209&amp;"-"&amp;P1209,"")</f>
        <v>YP-2 Pourcentage d’adolescentes et de jeunes femmes bénéficiant de programmes préventifs de lutte contre le VIH (paquet de services définis)-14</v>
      </c>
      <c r="R1209" s="189" t="str">
        <f t="array" ref="R1209">IFERROR(IF(INDEX('Disaggregation Records'!$E$155:$E$385,MATCH(RIGHT(Q1209,255),RIGHT('Disaggregation Records'!$D$155:$D$385,255),0))=0,"",INDEX('Disaggregation Records'!$E$155:$E$385,MATCH(RIGHT(Q1209,255),RIGHT('Disaggregation Records'!$D$155:$D$385,255),0))),"")</f>
        <v/>
      </c>
      <c r="S1209" s="189" t="str">
        <f t="array" ref="S1209">IFERROR(IF(INDEX('Disaggregation Records'!$F$155:$F$385,MATCH(RIGHT(Q1209,255),RIGHT('Disaggregation Records'!$D$155:$D$385,255),0))=0,"",INDEX('Disaggregation Records'!$F$155:$F$385,MATCH(RIGHT(Q1209,255),RIGHT('Disaggregation Records'!$D$155:$D$385,255),0))),"")</f>
        <v/>
      </c>
      <c r="T1209" s="189" t="str">
        <f t="array" ref="T1209">IFERROR(IF(INDEX('Disaggregation Records'!$H$155:$H$385,MATCH(RIGHT(Q1209,255),RIGHT('Disaggregation Records'!$D$155:$D$385,255),0))=0,"",INDEX('Disaggregation Records'!$H$155:$H$385,MATCH(RIGHT(Q1209,255),RIGHT('Disaggregation Records'!$D$155:$D$385,255),0))),"")</f>
        <v/>
      </c>
      <c r="U1209" s="189">
        <f t="shared" ref="U1209" si="5178">U1207+1</f>
        <v>1706</v>
      </c>
      <c r="V1209" s="189" t="str">
        <f t="array" ref="V1209">IFERROR(IF(INDEX('Disaggregation Records'!$I$155:$I$385,MATCH(RIGHT(Q1209,255),RIGHT('Disaggregation Records'!$D$155:$D$385,255),0))=0,"",INDEX('Disaggregation Records'!$I$155:$I$385,MATCH(RIGHT(Q1209,255),RIGHT('Disaggregation Records'!$D$155:$D$385,255),0))),"")</f>
        <v/>
      </c>
      <c r="W1209" s="189" t="str">
        <f>IFERROR(INDEX('Reference Records'!L$59:L$121,MATCH(LEFT(C1209,255),'Reference Records'!E$59:E$121,0)),"")</f>
        <v>YP-2 Percentage of adolescent girls and young women reached with HIV prevention programs- defined package of services</v>
      </c>
    </row>
    <row r="1210" spans="1:23" s="189" customFormat="1" ht="40.200000000000003" customHeight="1" x14ac:dyDescent="0.3">
      <c r="A1210" s="678"/>
      <c r="B1210" s="675"/>
      <c r="C1210" s="667"/>
      <c r="D1210" s="677"/>
      <c r="E1210" s="677"/>
      <c r="F1210" s="202"/>
      <c r="G1210" s="669"/>
      <c r="H1210" s="671"/>
      <c r="I1210" s="673"/>
      <c r="J1210" s="652"/>
      <c r="K1210" s="667"/>
      <c r="L1210" s="667"/>
      <c r="M1210" s="652"/>
      <c r="N1210" s="652"/>
    </row>
    <row r="1211" spans="1:23" s="189" customFormat="1" ht="40.200000000000003" customHeight="1" x14ac:dyDescent="0.3">
      <c r="A1211" s="678" t="str">
        <f t="shared" ref="A1211" ca="1" si="5179">INDIRECT("'update Helper'!C"&amp;U1211)</f>
        <v>a163p000002zQe8AAE</v>
      </c>
      <c r="B1211" s="674">
        <v>15</v>
      </c>
      <c r="C1211" s="666" t="str">
        <f>VLOOKUP(B1211,'Coverage Indicators - Section D'!$A$9:$AU$70,47,FALSE)</f>
        <v>YP-2 Pourcentage d’adolescentes et de jeunes femmes bénéficiant de programmes préventifs de lutte contre le VIH (paquet de services définis)</v>
      </c>
      <c r="D1211" s="676" t="str">
        <f t="shared" ref="D1211" si="5180">R1211</f>
        <v/>
      </c>
      <c r="E1211" s="676" t="str">
        <f t="shared" ref="E1211" si="5181">S1211</f>
        <v/>
      </c>
      <c r="F1211" s="194"/>
      <c r="G1211" s="668" t="str">
        <f t="shared" ref="G1211" ca="1" si="5182">IF(OR(INDIRECT("'update Helper'!E"&amp;U1211)=0,F1211&lt;&gt;0,F1212&lt;&gt;0),IF(IFERROR((F1211/F1212),"")="","",(F1211/F1212)),INDIRECT("'update Helper'!E"&amp;U1211)/100)</f>
        <v/>
      </c>
      <c r="H1211" s="670"/>
      <c r="I1211" s="672"/>
      <c r="J1211" s="651"/>
      <c r="K1211" s="666" t="str">
        <f t="shared" ref="K1211" si="5183">W1211</f>
        <v>YP-2 Percentage of adolescent girls and young women reached with HIV prevention programs- defined package of services</v>
      </c>
      <c r="L1211" s="666" t="str">
        <f t="shared" ref="L1211" si="5184">V1211</f>
        <v/>
      </c>
      <c r="M1211" s="651"/>
      <c r="N1211" s="651"/>
      <c r="P1211" s="189">
        <f t="shared" ref="P1211" si="5185">IF(AND(EXACT(C1211,C1209),C1209&lt;&gt;0),P1209+1,0)</f>
        <v>15</v>
      </c>
      <c r="Q1211" s="189" t="str">
        <f t="shared" ref="Q1211" si="5186">IF(C1211&lt;&gt;"",C1211&amp;"-"&amp;P1211,"")</f>
        <v>YP-2 Pourcentage d’adolescentes et de jeunes femmes bénéficiant de programmes préventifs de lutte contre le VIH (paquet de services définis)-15</v>
      </c>
      <c r="R1211" s="189" t="str">
        <f t="array" ref="R1211">IFERROR(IF(INDEX('Disaggregation Records'!$E$155:$E$385,MATCH(RIGHT(Q1211,255),RIGHT('Disaggregation Records'!$D$155:$D$385,255),0))=0,"",INDEX('Disaggregation Records'!$E$155:$E$385,MATCH(RIGHT(Q1211,255),RIGHT('Disaggregation Records'!$D$155:$D$385,255),0))),"")</f>
        <v/>
      </c>
      <c r="S1211" s="189" t="str">
        <f t="array" ref="S1211">IFERROR(IF(INDEX('Disaggregation Records'!$F$155:$F$385,MATCH(RIGHT(Q1211,255),RIGHT('Disaggregation Records'!$D$155:$D$385,255),0))=0,"",INDEX('Disaggregation Records'!$F$155:$F$385,MATCH(RIGHT(Q1211,255),RIGHT('Disaggregation Records'!$D$155:$D$385,255),0))),"")</f>
        <v/>
      </c>
      <c r="T1211" s="189" t="str">
        <f t="array" ref="T1211">IFERROR(IF(INDEX('Disaggregation Records'!$H$155:$H$385,MATCH(RIGHT(Q1211,255),RIGHT('Disaggregation Records'!$D$155:$D$385,255),0))=0,"",INDEX('Disaggregation Records'!$H$155:$H$385,MATCH(RIGHT(Q1211,255),RIGHT('Disaggregation Records'!$D$155:$D$385,255),0))),"")</f>
        <v/>
      </c>
      <c r="U1211" s="189">
        <f t="shared" ref="U1211" si="5187">U1209+1</f>
        <v>1707</v>
      </c>
      <c r="V1211" s="189" t="str">
        <f t="array" ref="V1211">IFERROR(IF(INDEX('Disaggregation Records'!$I$155:$I$385,MATCH(RIGHT(Q1211,255),RIGHT('Disaggregation Records'!$D$155:$D$385,255),0))=0,"",INDEX('Disaggregation Records'!$I$155:$I$385,MATCH(RIGHT(Q1211,255),RIGHT('Disaggregation Records'!$D$155:$D$385,255),0))),"")</f>
        <v/>
      </c>
      <c r="W1211" s="189" t="str">
        <f>IFERROR(INDEX('Reference Records'!L$59:L$121,MATCH(LEFT(C1211,255),'Reference Records'!E$59:E$121,0)),"")</f>
        <v>YP-2 Percentage of adolescent girls and young women reached with HIV prevention programs- defined package of services</v>
      </c>
    </row>
    <row r="1212" spans="1:23" s="189" customFormat="1" ht="40.200000000000003" customHeight="1" x14ac:dyDescent="0.3">
      <c r="A1212" s="678"/>
      <c r="B1212" s="675"/>
      <c r="C1212" s="667"/>
      <c r="D1212" s="677"/>
      <c r="E1212" s="677"/>
      <c r="F1212" s="202"/>
      <c r="G1212" s="669"/>
      <c r="H1212" s="671"/>
      <c r="I1212" s="673"/>
      <c r="J1212" s="652"/>
      <c r="K1212" s="667"/>
      <c r="L1212" s="667"/>
      <c r="M1212" s="652"/>
      <c r="N1212" s="652"/>
    </row>
    <row r="1213" spans="1:23" s="189" customFormat="1" ht="40.200000000000003" customHeight="1" x14ac:dyDescent="0.3">
      <c r="A1213" s="678" t="str">
        <f t="shared" ref="A1213" ca="1" si="5188">INDIRECT("'update Helper'!C"&amp;U1213)</f>
        <v>a163p000002zQe9AAE</v>
      </c>
      <c r="B1213" s="674">
        <v>15</v>
      </c>
      <c r="C1213" s="666" t="str">
        <f>VLOOKUP(B1213,'Coverage Indicators - Section D'!$A$9:$AU$70,47,FALSE)</f>
        <v>YP-2 Pourcentage d’adolescentes et de jeunes femmes bénéficiant de programmes préventifs de lutte contre le VIH (paquet de services définis)</v>
      </c>
      <c r="D1213" s="676" t="str">
        <f t="shared" ref="D1213" si="5189">R1213</f>
        <v/>
      </c>
      <c r="E1213" s="676" t="str">
        <f t="shared" ref="E1213" si="5190">S1213</f>
        <v/>
      </c>
      <c r="F1213" s="194"/>
      <c r="G1213" s="668" t="str">
        <f t="shared" ref="G1213" ca="1" si="5191">IF(OR(INDIRECT("'update Helper'!E"&amp;U1213)=0,F1213&lt;&gt;0,F1214&lt;&gt;0),IF(IFERROR((F1213/F1214),"")="","",(F1213/F1214)),INDIRECT("'update Helper'!E"&amp;U1213)/100)</f>
        <v/>
      </c>
      <c r="H1213" s="670"/>
      <c r="I1213" s="672"/>
      <c r="J1213" s="651"/>
      <c r="K1213" s="666" t="str">
        <f t="shared" ref="K1213" si="5192">W1213</f>
        <v>YP-2 Percentage of adolescent girls and young women reached with HIV prevention programs- defined package of services</v>
      </c>
      <c r="L1213" s="666" t="str">
        <f t="shared" ref="L1213" si="5193">V1213</f>
        <v/>
      </c>
      <c r="M1213" s="651"/>
      <c r="N1213" s="651"/>
      <c r="P1213" s="189">
        <f t="shared" ref="P1213" si="5194">IF(AND(EXACT(C1213,C1211),C1211&lt;&gt;0),P1211+1,0)</f>
        <v>16</v>
      </c>
      <c r="Q1213" s="189" t="str">
        <f t="shared" ref="Q1213" si="5195">IF(C1213&lt;&gt;"",C1213&amp;"-"&amp;P1213,"")</f>
        <v>YP-2 Pourcentage d’adolescentes et de jeunes femmes bénéficiant de programmes préventifs de lutte contre le VIH (paquet de services définis)-16</v>
      </c>
      <c r="R1213" s="189" t="str">
        <f t="array" ref="R1213">IFERROR(IF(INDEX('Disaggregation Records'!$E$155:$E$385,MATCH(RIGHT(Q1213,255),RIGHT('Disaggregation Records'!$D$155:$D$385,255),0))=0,"",INDEX('Disaggregation Records'!$E$155:$E$385,MATCH(RIGHT(Q1213,255),RIGHT('Disaggregation Records'!$D$155:$D$385,255),0))),"")</f>
        <v/>
      </c>
      <c r="S1213" s="189" t="str">
        <f t="array" ref="S1213">IFERROR(IF(INDEX('Disaggregation Records'!$F$155:$F$385,MATCH(RIGHT(Q1213,255),RIGHT('Disaggregation Records'!$D$155:$D$385,255),0))=0,"",INDEX('Disaggregation Records'!$F$155:$F$385,MATCH(RIGHT(Q1213,255),RIGHT('Disaggregation Records'!$D$155:$D$385,255),0))),"")</f>
        <v/>
      </c>
      <c r="T1213" s="189" t="str">
        <f t="array" ref="T1213">IFERROR(IF(INDEX('Disaggregation Records'!$H$155:$H$385,MATCH(RIGHT(Q1213,255),RIGHT('Disaggregation Records'!$D$155:$D$385,255),0))=0,"",INDEX('Disaggregation Records'!$H$155:$H$385,MATCH(RIGHT(Q1213,255),RIGHT('Disaggregation Records'!$D$155:$D$385,255),0))),"")</f>
        <v/>
      </c>
      <c r="U1213" s="189">
        <f t="shared" ref="U1213" si="5196">U1211+1</f>
        <v>1708</v>
      </c>
      <c r="V1213" s="189" t="str">
        <f t="array" ref="V1213">IFERROR(IF(INDEX('Disaggregation Records'!$I$155:$I$385,MATCH(RIGHT(Q1213,255),RIGHT('Disaggregation Records'!$D$155:$D$385,255),0))=0,"",INDEX('Disaggregation Records'!$I$155:$I$385,MATCH(RIGHT(Q1213,255),RIGHT('Disaggregation Records'!$D$155:$D$385,255),0))),"")</f>
        <v/>
      </c>
      <c r="W1213" s="189" t="str">
        <f>IFERROR(INDEX('Reference Records'!L$59:L$121,MATCH(LEFT(C1213,255),'Reference Records'!E$59:E$121,0)),"")</f>
        <v>YP-2 Percentage of adolescent girls and young women reached with HIV prevention programs- defined package of services</v>
      </c>
    </row>
    <row r="1214" spans="1:23" s="189" customFormat="1" ht="40.200000000000003" customHeight="1" x14ac:dyDescent="0.3">
      <c r="A1214" s="678"/>
      <c r="B1214" s="675"/>
      <c r="C1214" s="667"/>
      <c r="D1214" s="677"/>
      <c r="E1214" s="677"/>
      <c r="F1214" s="202"/>
      <c r="G1214" s="669"/>
      <c r="H1214" s="671"/>
      <c r="I1214" s="673"/>
      <c r="J1214" s="652"/>
      <c r="K1214" s="667"/>
      <c r="L1214" s="667"/>
      <c r="M1214" s="652"/>
      <c r="N1214" s="652"/>
    </row>
    <row r="1215" spans="1:23" s="189" customFormat="1" ht="40.200000000000003" customHeight="1" x14ac:dyDescent="0.3">
      <c r="A1215" s="678" t="str">
        <f t="shared" ref="A1215" ca="1" si="5197">INDIRECT("'update Helper'!C"&amp;U1215)</f>
        <v>a163p000002zQeAAAU</v>
      </c>
      <c r="B1215" s="674">
        <v>15</v>
      </c>
      <c r="C1215" s="666" t="str">
        <f>VLOOKUP(B1215,'Coverage Indicators - Section D'!$A$9:$AU$70,47,FALSE)</f>
        <v>YP-2 Pourcentage d’adolescentes et de jeunes femmes bénéficiant de programmes préventifs de lutte contre le VIH (paquet de services définis)</v>
      </c>
      <c r="D1215" s="676" t="str">
        <f t="shared" ref="D1215" si="5198">R1215</f>
        <v/>
      </c>
      <c r="E1215" s="676" t="str">
        <f t="shared" ref="E1215" si="5199">S1215</f>
        <v/>
      </c>
      <c r="F1215" s="194"/>
      <c r="G1215" s="668" t="str">
        <f t="shared" ref="G1215" ca="1" si="5200">IF(OR(INDIRECT("'update Helper'!E"&amp;U1215)=0,F1215&lt;&gt;0,F1216&lt;&gt;0),IF(IFERROR((F1215/F1216),"")="","",(F1215/F1216)),INDIRECT("'update Helper'!E"&amp;U1215)/100)</f>
        <v/>
      </c>
      <c r="H1215" s="670"/>
      <c r="I1215" s="672"/>
      <c r="J1215" s="651"/>
      <c r="K1215" s="666" t="str">
        <f t="shared" ref="K1215" si="5201">W1215</f>
        <v>YP-2 Percentage of adolescent girls and young women reached with HIV prevention programs- defined package of services</v>
      </c>
      <c r="L1215" s="666" t="str">
        <f t="shared" ref="L1215" si="5202">V1215</f>
        <v/>
      </c>
      <c r="M1215" s="651"/>
      <c r="N1215" s="651"/>
      <c r="P1215" s="189">
        <f t="shared" ref="P1215" si="5203">IF(AND(EXACT(C1215,C1213),C1213&lt;&gt;0),P1213+1,0)</f>
        <v>17</v>
      </c>
      <c r="Q1215" s="189" t="str">
        <f t="shared" ref="Q1215" si="5204">IF(C1215&lt;&gt;"",C1215&amp;"-"&amp;P1215,"")</f>
        <v>YP-2 Pourcentage d’adolescentes et de jeunes femmes bénéficiant de programmes préventifs de lutte contre le VIH (paquet de services définis)-17</v>
      </c>
      <c r="R1215" s="189" t="str">
        <f t="array" ref="R1215">IFERROR(IF(INDEX('Disaggregation Records'!$E$155:$E$385,MATCH(RIGHT(Q1215,255),RIGHT('Disaggregation Records'!$D$155:$D$385,255),0))=0,"",INDEX('Disaggregation Records'!$E$155:$E$385,MATCH(RIGHT(Q1215,255),RIGHT('Disaggregation Records'!$D$155:$D$385,255),0))),"")</f>
        <v/>
      </c>
      <c r="S1215" s="189" t="str">
        <f t="array" ref="S1215">IFERROR(IF(INDEX('Disaggregation Records'!$F$155:$F$385,MATCH(RIGHT(Q1215,255),RIGHT('Disaggregation Records'!$D$155:$D$385,255),0))=0,"",INDEX('Disaggregation Records'!$F$155:$F$385,MATCH(RIGHT(Q1215,255),RIGHT('Disaggregation Records'!$D$155:$D$385,255),0))),"")</f>
        <v/>
      </c>
      <c r="T1215" s="189" t="str">
        <f t="array" ref="T1215">IFERROR(IF(INDEX('Disaggregation Records'!$H$155:$H$385,MATCH(RIGHT(Q1215,255),RIGHT('Disaggregation Records'!$D$155:$D$385,255),0))=0,"",INDEX('Disaggregation Records'!$H$155:$H$385,MATCH(RIGHT(Q1215,255),RIGHT('Disaggregation Records'!$D$155:$D$385,255),0))),"")</f>
        <v/>
      </c>
      <c r="U1215" s="189">
        <f t="shared" ref="U1215" si="5205">U1213+1</f>
        <v>1709</v>
      </c>
      <c r="V1215" s="189" t="str">
        <f t="array" ref="V1215">IFERROR(IF(INDEX('Disaggregation Records'!$I$155:$I$385,MATCH(RIGHT(Q1215,255),RIGHT('Disaggregation Records'!$D$155:$D$385,255),0))=0,"",INDEX('Disaggregation Records'!$I$155:$I$385,MATCH(RIGHT(Q1215,255),RIGHT('Disaggregation Records'!$D$155:$D$385,255),0))),"")</f>
        <v/>
      </c>
      <c r="W1215" s="189" t="str">
        <f>IFERROR(INDEX('Reference Records'!L$59:L$121,MATCH(LEFT(C1215,255),'Reference Records'!E$59:E$121,0)),"")</f>
        <v>YP-2 Percentage of adolescent girls and young women reached with HIV prevention programs- defined package of services</v>
      </c>
    </row>
    <row r="1216" spans="1:23" s="189" customFormat="1" ht="40.200000000000003" customHeight="1" x14ac:dyDescent="0.3">
      <c r="A1216" s="678"/>
      <c r="B1216" s="675"/>
      <c r="C1216" s="667"/>
      <c r="D1216" s="677"/>
      <c r="E1216" s="677"/>
      <c r="F1216" s="202"/>
      <c r="G1216" s="669"/>
      <c r="H1216" s="671"/>
      <c r="I1216" s="673"/>
      <c r="J1216" s="652"/>
      <c r="K1216" s="667"/>
      <c r="L1216" s="667"/>
      <c r="M1216" s="652"/>
      <c r="N1216" s="652"/>
    </row>
    <row r="1217" spans="1:23" s="189" customFormat="1" ht="40.200000000000003" customHeight="1" x14ac:dyDescent="0.3">
      <c r="A1217" s="678" t="str">
        <f t="shared" ref="A1217" ca="1" si="5206">INDIRECT("'update Helper'!C"&amp;U1217)</f>
        <v>a163p000002zQeBAAU</v>
      </c>
      <c r="B1217" s="674">
        <v>15</v>
      </c>
      <c r="C1217" s="666" t="str">
        <f>VLOOKUP(B1217,'Coverage Indicators - Section D'!$A$9:$AU$70,47,FALSE)</f>
        <v>YP-2 Pourcentage d’adolescentes et de jeunes femmes bénéficiant de programmes préventifs de lutte contre le VIH (paquet de services définis)</v>
      </c>
      <c r="D1217" s="676" t="str">
        <f t="shared" ref="D1217" si="5207">R1217</f>
        <v/>
      </c>
      <c r="E1217" s="676" t="str">
        <f t="shared" ref="E1217" si="5208">S1217</f>
        <v/>
      </c>
      <c r="F1217" s="194"/>
      <c r="G1217" s="668" t="str">
        <f t="shared" ref="G1217" ca="1" si="5209">IF(OR(INDIRECT("'update Helper'!E"&amp;U1217)=0,F1217&lt;&gt;0,F1218&lt;&gt;0),IF(IFERROR((F1217/F1218),"")="","",(F1217/F1218)),INDIRECT("'update Helper'!E"&amp;U1217)/100)</f>
        <v/>
      </c>
      <c r="H1217" s="670"/>
      <c r="I1217" s="672"/>
      <c r="J1217" s="651"/>
      <c r="K1217" s="666" t="str">
        <f t="shared" ref="K1217" si="5210">W1217</f>
        <v>YP-2 Percentage of adolescent girls and young women reached with HIV prevention programs- defined package of services</v>
      </c>
      <c r="L1217" s="666" t="str">
        <f t="shared" ref="L1217" si="5211">V1217</f>
        <v/>
      </c>
      <c r="M1217" s="651"/>
      <c r="N1217" s="651"/>
      <c r="P1217" s="189">
        <f t="shared" ref="P1217" si="5212">IF(AND(EXACT(C1217,C1215),C1215&lt;&gt;0),P1215+1,0)</f>
        <v>18</v>
      </c>
      <c r="Q1217" s="189" t="str">
        <f t="shared" ref="Q1217" si="5213">IF(C1217&lt;&gt;"",C1217&amp;"-"&amp;P1217,"")</f>
        <v>YP-2 Pourcentage d’adolescentes et de jeunes femmes bénéficiant de programmes préventifs de lutte contre le VIH (paquet de services définis)-18</v>
      </c>
      <c r="R1217" s="189" t="str">
        <f t="array" ref="R1217">IFERROR(IF(INDEX('Disaggregation Records'!$E$155:$E$385,MATCH(RIGHT(Q1217,255),RIGHT('Disaggregation Records'!$D$155:$D$385,255),0))=0,"",INDEX('Disaggregation Records'!$E$155:$E$385,MATCH(RIGHT(Q1217,255),RIGHT('Disaggregation Records'!$D$155:$D$385,255),0))),"")</f>
        <v/>
      </c>
      <c r="S1217" s="189" t="str">
        <f t="array" ref="S1217">IFERROR(IF(INDEX('Disaggregation Records'!$F$155:$F$385,MATCH(RIGHT(Q1217,255),RIGHT('Disaggregation Records'!$D$155:$D$385,255),0))=0,"",INDEX('Disaggregation Records'!$F$155:$F$385,MATCH(RIGHT(Q1217,255),RIGHT('Disaggregation Records'!$D$155:$D$385,255),0))),"")</f>
        <v/>
      </c>
      <c r="T1217" s="189" t="str">
        <f t="array" ref="T1217">IFERROR(IF(INDEX('Disaggregation Records'!$H$155:$H$385,MATCH(RIGHT(Q1217,255),RIGHT('Disaggregation Records'!$D$155:$D$385,255),0))=0,"",INDEX('Disaggregation Records'!$H$155:$H$385,MATCH(RIGHT(Q1217,255),RIGHT('Disaggregation Records'!$D$155:$D$385,255),0))),"")</f>
        <v/>
      </c>
      <c r="U1217" s="189">
        <f t="shared" ref="U1217" si="5214">U1215+1</f>
        <v>1710</v>
      </c>
      <c r="V1217" s="189" t="str">
        <f t="array" ref="V1217">IFERROR(IF(INDEX('Disaggregation Records'!$I$155:$I$385,MATCH(RIGHT(Q1217,255),RIGHT('Disaggregation Records'!$D$155:$D$385,255),0))=0,"",INDEX('Disaggregation Records'!$I$155:$I$385,MATCH(RIGHT(Q1217,255),RIGHT('Disaggregation Records'!$D$155:$D$385,255),0))),"")</f>
        <v/>
      </c>
      <c r="W1217" s="189" t="str">
        <f>IFERROR(INDEX('Reference Records'!L$59:L$121,MATCH(LEFT(C1217,255),'Reference Records'!E$59:E$121,0)),"")</f>
        <v>YP-2 Percentage of adolescent girls and young women reached with HIV prevention programs- defined package of services</v>
      </c>
    </row>
    <row r="1218" spans="1:23" s="189" customFormat="1" ht="40.200000000000003" customHeight="1" x14ac:dyDescent="0.3">
      <c r="A1218" s="678"/>
      <c r="B1218" s="675"/>
      <c r="C1218" s="667"/>
      <c r="D1218" s="677"/>
      <c r="E1218" s="677"/>
      <c r="F1218" s="202"/>
      <c r="G1218" s="669"/>
      <c r="H1218" s="671"/>
      <c r="I1218" s="673"/>
      <c r="J1218" s="652"/>
      <c r="K1218" s="667"/>
      <c r="L1218" s="667"/>
      <c r="M1218" s="652"/>
      <c r="N1218" s="652"/>
    </row>
    <row r="1219" spans="1:23" s="189" customFormat="1" ht="40.200000000000003" customHeight="1" x14ac:dyDescent="0.3">
      <c r="A1219" s="678" t="str">
        <f t="shared" ref="A1219" ca="1" si="5215">INDIRECT("'update Helper'!C"&amp;U1219)</f>
        <v>a163p000002zQeCAAU</v>
      </c>
      <c r="B1219" s="674">
        <v>15</v>
      </c>
      <c r="C1219" s="666" t="str">
        <f>VLOOKUP(B1219,'Coverage Indicators - Section D'!$A$9:$AU$70,47,FALSE)</f>
        <v>YP-2 Pourcentage d’adolescentes et de jeunes femmes bénéficiant de programmes préventifs de lutte contre le VIH (paquet de services définis)</v>
      </c>
      <c r="D1219" s="676" t="str">
        <f t="shared" ref="D1219" si="5216">R1219</f>
        <v/>
      </c>
      <c r="E1219" s="676" t="str">
        <f t="shared" ref="E1219" si="5217">S1219</f>
        <v/>
      </c>
      <c r="F1219" s="194"/>
      <c r="G1219" s="668" t="str">
        <f t="shared" ref="G1219" ca="1" si="5218">IF(OR(INDIRECT("'update Helper'!E"&amp;U1219)=0,F1219&lt;&gt;0,F1220&lt;&gt;0),IF(IFERROR((F1219/F1220),"")="","",(F1219/F1220)),INDIRECT("'update Helper'!E"&amp;U1219)/100)</f>
        <v/>
      </c>
      <c r="H1219" s="670"/>
      <c r="I1219" s="672"/>
      <c r="J1219" s="651"/>
      <c r="K1219" s="666" t="str">
        <f t="shared" ref="K1219" si="5219">W1219</f>
        <v>YP-2 Percentage of adolescent girls and young women reached with HIV prevention programs- defined package of services</v>
      </c>
      <c r="L1219" s="666" t="str">
        <f t="shared" ref="L1219" si="5220">V1219</f>
        <v/>
      </c>
      <c r="M1219" s="651"/>
      <c r="N1219" s="651"/>
      <c r="P1219" s="189">
        <f t="shared" ref="P1219" si="5221">IF(AND(EXACT(C1219,C1217),C1217&lt;&gt;0),P1217+1,0)</f>
        <v>19</v>
      </c>
      <c r="Q1219" s="189" t="str">
        <f t="shared" ref="Q1219" si="5222">IF(C1219&lt;&gt;"",C1219&amp;"-"&amp;P1219,"")</f>
        <v>YP-2 Pourcentage d’adolescentes et de jeunes femmes bénéficiant de programmes préventifs de lutte contre le VIH (paquet de services définis)-19</v>
      </c>
      <c r="R1219" s="189" t="str">
        <f t="array" ref="R1219">IFERROR(IF(INDEX('Disaggregation Records'!$E$155:$E$385,MATCH(RIGHT(Q1219,255),RIGHT('Disaggregation Records'!$D$155:$D$385,255),0))=0,"",INDEX('Disaggregation Records'!$E$155:$E$385,MATCH(RIGHT(Q1219,255),RIGHT('Disaggregation Records'!$D$155:$D$385,255),0))),"")</f>
        <v/>
      </c>
      <c r="S1219" s="189" t="str">
        <f t="array" ref="S1219">IFERROR(IF(INDEX('Disaggregation Records'!$F$155:$F$385,MATCH(RIGHT(Q1219,255),RIGHT('Disaggregation Records'!$D$155:$D$385,255),0))=0,"",INDEX('Disaggregation Records'!$F$155:$F$385,MATCH(RIGHT(Q1219,255),RIGHT('Disaggregation Records'!$D$155:$D$385,255),0))),"")</f>
        <v/>
      </c>
      <c r="T1219" s="189" t="str">
        <f t="array" ref="T1219">IFERROR(IF(INDEX('Disaggregation Records'!$H$155:$H$385,MATCH(RIGHT(Q1219,255),RIGHT('Disaggregation Records'!$D$155:$D$385,255),0))=0,"",INDEX('Disaggregation Records'!$H$155:$H$385,MATCH(RIGHT(Q1219,255),RIGHT('Disaggregation Records'!$D$155:$D$385,255),0))),"")</f>
        <v/>
      </c>
      <c r="U1219" s="189">
        <f t="shared" ref="U1219" si="5223">U1217+1</f>
        <v>1711</v>
      </c>
      <c r="V1219" s="189" t="str">
        <f t="array" ref="V1219">IFERROR(IF(INDEX('Disaggregation Records'!$I$155:$I$385,MATCH(RIGHT(Q1219,255),RIGHT('Disaggregation Records'!$D$155:$D$385,255),0))=0,"",INDEX('Disaggregation Records'!$I$155:$I$385,MATCH(RIGHT(Q1219,255),RIGHT('Disaggregation Records'!$D$155:$D$385,255),0))),"")</f>
        <v/>
      </c>
      <c r="W1219" s="189" t="str">
        <f>IFERROR(INDEX('Reference Records'!L$59:L$121,MATCH(LEFT(C1219,255),'Reference Records'!E$59:E$121,0)),"")</f>
        <v>YP-2 Percentage of adolescent girls and young women reached with HIV prevention programs- defined package of services</v>
      </c>
    </row>
    <row r="1220" spans="1:23" s="189" customFormat="1" ht="40.200000000000003" customHeight="1" x14ac:dyDescent="0.3">
      <c r="A1220" s="678"/>
      <c r="B1220" s="675"/>
      <c r="C1220" s="667"/>
      <c r="D1220" s="677"/>
      <c r="E1220" s="677"/>
      <c r="F1220" s="202"/>
      <c r="G1220" s="669"/>
      <c r="H1220" s="671"/>
      <c r="I1220" s="673"/>
      <c r="J1220" s="652"/>
      <c r="K1220" s="667"/>
      <c r="L1220" s="667"/>
      <c r="M1220" s="652"/>
      <c r="N1220" s="652"/>
    </row>
    <row r="1221" spans="1:23" s="189" customFormat="1" ht="40.200000000000003" customHeight="1" x14ac:dyDescent="0.3">
      <c r="A1221" s="678" t="str">
        <f t="shared" ref="A1221" ca="1" si="5224">INDIRECT("'update Helper'!C"&amp;U1221)</f>
        <v>a163p000002zQeDAAU</v>
      </c>
      <c r="B1221" s="674">
        <v>16</v>
      </c>
      <c r="C1221" s="666" t="str">
        <f>VLOOKUP(B1221,'Coverage Indicators - Section D'!$A$9:$AU$70,47,FALSE)</f>
        <v xml:space="preserve">Pourcentage de HSH dépistés positifs admis dans des services de soins durant la période de rapportage </v>
      </c>
      <c r="D1221" s="676" t="str">
        <f t="shared" ref="D1221" si="5225">R1221</f>
        <v/>
      </c>
      <c r="E1221" s="676" t="str">
        <f t="shared" ref="E1221" si="5226">S1221</f>
        <v/>
      </c>
      <c r="F1221" s="194"/>
      <c r="G1221" s="668" t="str">
        <f t="shared" ref="G1221" ca="1" si="5227">IF(OR(INDIRECT("'update Helper'!E"&amp;U1221)=0,F1221&lt;&gt;0,F1222&lt;&gt;0),IF(IFERROR((F1221/F1222),"")="","",(F1221/F1222)),INDIRECT("'update Helper'!E"&amp;U1221)/100)</f>
        <v/>
      </c>
      <c r="H1221" s="670"/>
      <c r="I1221" s="672"/>
      <c r="J1221" s="651"/>
      <c r="K1221" s="666" t="str">
        <f t="shared" ref="K1221" si="5228">W1221</f>
        <v/>
      </c>
      <c r="L1221" s="666" t="str">
        <f t="shared" ref="L1221" si="5229">V1221</f>
        <v/>
      </c>
      <c r="M1221" s="651"/>
      <c r="N1221" s="651"/>
      <c r="P1221" s="189">
        <f t="shared" ref="P1221" si="5230">IF(AND(EXACT(C1221,C1219),C1219&lt;&gt;0),P1219+1,0)</f>
        <v>0</v>
      </c>
      <c r="Q1221" s="189" t="str">
        <f t="shared" ref="Q1221" si="5231">IF(C1221&lt;&gt;"",C1221&amp;"-"&amp;P1221,"")</f>
        <v>Pourcentage de HSH dépistés positifs admis dans des services de soins durant la période de rapportage -0</v>
      </c>
      <c r="R1221" s="189" t="str">
        <f t="array" ref="R1221">IFERROR(IF(INDEX('Disaggregation Records'!$E$155:$E$385,MATCH(RIGHT(Q1221,255),RIGHT('Disaggregation Records'!$D$155:$D$385,255),0))=0,"",INDEX('Disaggregation Records'!$E$155:$E$385,MATCH(RIGHT(Q1221,255),RIGHT('Disaggregation Records'!$D$155:$D$385,255),0))),"")</f>
        <v/>
      </c>
      <c r="S1221" s="189" t="str">
        <f t="array" ref="S1221">IFERROR(IF(INDEX('Disaggregation Records'!$F$155:$F$385,MATCH(RIGHT(Q1221,255),RIGHT('Disaggregation Records'!$D$155:$D$385,255),0))=0,"",INDEX('Disaggregation Records'!$F$155:$F$385,MATCH(RIGHT(Q1221,255),RIGHT('Disaggregation Records'!$D$155:$D$385,255),0))),"")</f>
        <v/>
      </c>
      <c r="T1221" s="189" t="str">
        <f t="array" ref="T1221">IFERROR(IF(INDEX('Disaggregation Records'!$H$155:$H$385,MATCH(RIGHT(Q1221,255),RIGHT('Disaggregation Records'!$D$155:$D$385,255),0))=0,"",INDEX('Disaggregation Records'!$H$155:$H$385,MATCH(RIGHT(Q1221,255),RIGHT('Disaggregation Records'!$D$155:$D$385,255),0))),"")</f>
        <v/>
      </c>
      <c r="U1221" s="189">
        <f t="shared" ref="U1221" si="5232">U1219+1</f>
        <v>1712</v>
      </c>
      <c r="V1221" s="189" t="str">
        <f t="array" ref="V1221">IFERROR(IF(INDEX('Disaggregation Records'!$I$155:$I$385,MATCH(RIGHT(Q1221,255),RIGHT('Disaggregation Records'!$D$155:$D$385,255),0))=0,"",INDEX('Disaggregation Records'!$I$155:$I$385,MATCH(RIGHT(Q1221,255),RIGHT('Disaggregation Records'!$D$155:$D$385,255),0))),"")</f>
        <v/>
      </c>
      <c r="W1221" s="189" t="str">
        <f>IFERROR(INDEX('Reference Records'!L$59:L$121,MATCH(LEFT(C1221,255),'Reference Records'!E$59:E$121,0)),"")</f>
        <v/>
      </c>
    </row>
    <row r="1222" spans="1:23" s="189" customFormat="1" ht="40.200000000000003" customHeight="1" x14ac:dyDescent="0.3">
      <c r="A1222" s="678"/>
      <c r="B1222" s="675"/>
      <c r="C1222" s="667"/>
      <c r="D1222" s="677"/>
      <c r="E1222" s="677"/>
      <c r="F1222" s="202"/>
      <c r="G1222" s="669"/>
      <c r="H1222" s="671"/>
      <c r="I1222" s="673"/>
      <c r="J1222" s="652"/>
      <c r="K1222" s="667"/>
      <c r="L1222" s="667"/>
      <c r="M1222" s="652"/>
      <c r="N1222" s="652"/>
    </row>
    <row r="1223" spans="1:23" s="189" customFormat="1" ht="40.200000000000003" customHeight="1" x14ac:dyDescent="0.3">
      <c r="A1223" s="678" t="str">
        <f t="shared" ref="A1223" ca="1" si="5233">INDIRECT("'update Helper'!C"&amp;U1223)</f>
        <v>a163p000002zQeEAAU</v>
      </c>
      <c r="B1223" s="674">
        <v>16</v>
      </c>
      <c r="C1223" s="666" t="str">
        <f>VLOOKUP(B1223,'Coverage Indicators - Section D'!$A$9:$AU$70,47,FALSE)</f>
        <v xml:space="preserve">Pourcentage de HSH dépistés positifs admis dans des services de soins durant la période de rapportage </v>
      </c>
      <c r="D1223" s="676" t="str">
        <f t="shared" ref="D1223" si="5234">R1223</f>
        <v/>
      </c>
      <c r="E1223" s="676" t="str">
        <f t="shared" ref="E1223" si="5235">S1223</f>
        <v/>
      </c>
      <c r="F1223" s="194"/>
      <c r="G1223" s="668" t="str">
        <f t="shared" ref="G1223" ca="1" si="5236">IF(OR(INDIRECT("'update Helper'!E"&amp;U1223)=0,F1223&lt;&gt;0,F1224&lt;&gt;0),IF(IFERROR((F1223/F1224),"")="","",(F1223/F1224)),INDIRECT("'update Helper'!E"&amp;U1223)/100)</f>
        <v/>
      </c>
      <c r="H1223" s="670"/>
      <c r="I1223" s="672"/>
      <c r="J1223" s="651"/>
      <c r="K1223" s="666" t="str">
        <f t="shared" ref="K1223" si="5237">W1223</f>
        <v/>
      </c>
      <c r="L1223" s="666" t="str">
        <f t="shared" ref="L1223" si="5238">V1223</f>
        <v/>
      </c>
      <c r="M1223" s="651"/>
      <c r="N1223" s="651"/>
      <c r="P1223" s="189">
        <f t="shared" ref="P1223" si="5239">IF(AND(EXACT(C1223,C1221),C1221&lt;&gt;0),P1221+1,0)</f>
        <v>1</v>
      </c>
      <c r="Q1223" s="189" t="str">
        <f t="shared" ref="Q1223" si="5240">IF(C1223&lt;&gt;"",C1223&amp;"-"&amp;P1223,"")</f>
        <v>Pourcentage de HSH dépistés positifs admis dans des services de soins durant la période de rapportage -1</v>
      </c>
      <c r="R1223" s="189" t="str">
        <f t="array" ref="R1223">IFERROR(IF(INDEX('Disaggregation Records'!$E$155:$E$385,MATCH(RIGHT(Q1223,255),RIGHT('Disaggregation Records'!$D$155:$D$385,255),0))=0,"",INDEX('Disaggregation Records'!$E$155:$E$385,MATCH(RIGHT(Q1223,255),RIGHT('Disaggregation Records'!$D$155:$D$385,255),0))),"")</f>
        <v/>
      </c>
      <c r="S1223" s="189" t="str">
        <f t="array" ref="S1223">IFERROR(IF(INDEX('Disaggregation Records'!$F$155:$F$385,MATCH(RIGHT(Q1223,255),RIGHT('Disaggregation Records'!$D$155:$D$385,255),0))=0,"",INDEX('Disaggregation Records'!$F$155:$F$385,MATCH(RIGHT(Q1223,255),RIGHT('Disaggregation Records'!$D$155:$D$385,255),0))),"")</f>
        <v/>
      </c>
      <c r="T1223" s="189" t="str">
        <f t="array" ref="T1223">IFERROR(IF(INDEX('Disaggregation Records'!$H$155:$H$385,MATCH(RIGHT(Q1223,255),RIGHT('Disaggregation Records'!$D$155:$D$385,255),0))=0,"",INDEX('Disaggregation Records'!$H$155:$H$385,MATCH(RIGHT(Q1223,255),RIGHT('Disaggregation Records'!$D$155:$D$385,255),0))),"")</f>
        <v/>
      </c>
      <c r="U1223" s="189">
        <f t="shared" ref="U1223" si="5241">U1221+1</f>
        <v>1713</v>
      </c>
      <c r="V1223" s="189" t="str">
        <f t="array" ref="V1223">IFERROR(IF(INDEX('Disaggregation Records'!$I$155:$I$385,MATCH(RIGHT(Q1223,255),RIGHT('Disaggregation Records'!$D$155:$D$385,255),0))=0,"",INDEX('Disaggregation Records'!$I$155:$I$385,MATCH(RIGHT(Q1223,255),RIGHT('Disaggregation Records'!$D$155:$D$385,255),0))),"")</f>
        <v/>
      </c>
      <c r="W1223" s="189" t="str">
        <f>IFERROR(INDEX('Reference Records'!L$59:L$121,MATCH(LEFT(C1223,255),'Reference Records'!E$59:E$121,0)),"")</f>
        <v/>
      </c>
    </row>
    <row r="1224" spans="1:23" s="189" customFormat="1" ht="40.200000000000003" customHeight="1" x14ac:dyDescent="0.3">
      <c r="A1224" s="678"/>
      <c r="B1224" s="675"/>
      <c r="C1224" s="667"/>
      <c r="D1224" s="677"/>
      <c r="E1224" s="677"/>
      <c r="F1224" s="202"/>
      <c r="G1224" s="669"/>
      <c r="H1224" s="671"/>
      <c r="I1224" s="673"/>
      <c r="J1224" s="652"/>
      <c r="K1224" s="667"/>
      <c r="L1224" s="667"/>
      <c r="M1224" s="652"/>
      <c r="N1224" s="652"/>
    </row>
    <row r="1225" spans="1:23" s="189" customFormat="1" ht="40.200000000000003" customHeight="1" x14ac:dyDescent="0.3">
      <c r="A1225" s="678" t="str">
        <f t="shared" ref="A1225" ca="1" si="5242">INDIRECT("'update Helper'!C"&amp;U1225)</f>
        <v>a163p000002zQeFAAU</v>
      </c>
      <c r="B1225" s="674">
        <v>16</v>
      </c>
      <c r="C1225" s="666" t="str">
        <f>VLOOKUP(B1225,'Coverage Indicators - Section D'!$A$9:$AU$70,47,FALSE)</f>
        <v xml:space="preserve">Pourcentage de HSH dépistés positifs admis dans des services de soins durant la période de rapportage </v>
      </c>
      <c r="D1225" s="676" t="str">
        <f t="shared" ref="D1225" si="5243">R1225</f>
        <v/>
      </c>
      <c r="E1225" s="676" t="str">
        <f t="shared" ref="E1225" si="5244">S1225</f>
        <v/>
      </c>
      <c r="F1225" s="194"/>
      <c r="G1225" s="668" t="str">
        <f t="shared" ref="G1225" ca="1" si="5245">IF(OR(INDIRECT("'update Helper'!E"&amp;U1225)=0,F1225&lt;&gt;0,F1226&lt;&gt;0),IF(IFERROR((F1225/F1226),"")="","",(F1225/F1226)),INDIRECT("'update Helper'!E"&amp;U1225)/100)</f>
        <v/>
      </c>
      <c r="H1225" s="670"/>
      <c r="I1225" s="672"/>
      <c r="J1225" s="651"/>
      <c r="K1225" s="666" t="str">
        <f t="shared" ref="K1225" si="5246">W1225</f>
        <v/>
      </c>
      <c r="L1225" s="666" t="str">
        <f t="shared" ref="L1225" si="5247">V1225</f>
        <v/>
      </c>
      <c r="M1225" s="651"/>
      <c r="N1225" s="651"/>
      <c r="P1225" s="189">
        <f t="shared" ref="P1225" si="5248">IF(AND(EXACT(C1225,C1223),C1223&lt;&gt;0),P1223+1,0)</f>
        <v>2</v>
      </c>
      <c r="Q1225" s="189" t="str">
        <f t="shared" ref="Q1225" si="5249">IF(C1225&lt;&gt;"",C1225&amp;"-"&amp;P1225,"")</f>
        <v>Pourcentage de HSH dépistés positifs admis dans des services de soins durant la période de rapportage -2</v>
      </c>
      <c r="R1225" s="189" t="str">
        <f t="array" ref="R1225">IFERROR(IF(INDEX('Disaggregation Records'!$E$155:$E$385,MATCH(RIGHT(Q1225,255),RIGHT('Disaggregation Records'!$D$155:$D$385,255),0))=0,"",INDEX('Disaggregation Records'!$E$155:$E$385,MATCH(RIGHT(Q1225,255),RIGHT('Disaggregation Records'!$D$155:$D$385,255),0))),"")</f>
        <v/>
      </c>
      <c r="S1225" s="189" t="str">
        <f t="array" ref="S1225">IFERROR(IF(INDEX('Disaggregation Records'!$F$155:$F$385,MATCH(RIGHT(Q1225,255),RIGHT('Disaggregation Records'!$D$155:$D$385,255),0))=0,"",INDEX('Disaggregation Records'!$F$155:$F$385,MATCH(RIGHT(Q1225,255),RIGHT('Disaggregation Records'!$D$155:$D$385,255),0))),"")</f>
        <v/>
      </c>
      <c r="T1225" s="189" t="str">
        <f t="array" ref="T1225">IFERROR(IF(INDEX('Disaggregation Records'!$H$155:$H$385,MATCH(RIGHT(Q1225,255),RIGHT('Disaggregation Records'!$D$155:$D$385,255),0))=0,"",INDEX('Disaggregation Records'!$H$155:$H$385,MATCH(RIGHT(Q1225,255),RIGHT('Disaggregation Records'!$D$155:$D$385,255),0))),"")</f>
        <v/>
      </c>
      <c r="U1225" s="189">
        <f t="shared" ref="U1225" si="5250">U1223+1</f>
        <v>1714</v>
      </c>
      <c r="V1225" s="189" t="str">
        <f t="array" ref="V1225">IFERROR(IF(INDEX('Disaggregation Records'!$I$155:$I$385,MATCH(RIGHT(Q1225,255),RIGHT('Disaggregation Records'!$D$155:$D$385,255),0))=0,"",INDEX('Disaggregation Records'!$I$155:$I$385,MATCH(RIGHT(Q1225,255),RIGHT('Disaggregation Records'!$D$155:$D$385,255),0))),"")</f>
        <v/>
      </c>
      <c r="W1225" s="189" t="str">
        <f>IFERROR(INDEX('Reference Records'!L$59:L$121,MATCH(LEFT(C1225,255),'Reference Records'!E$59:E$121,0)),"")</f>
        <v/>
      </c>
    </row>
    <row r="1226" spans="1:23" s="189" customFormat="1" ht="40.200000000000003" customHeight="1" x14ac:dyDescent="0.3">
      <c r="A1226" s="678"/>
      <c r="B1226" s="675"/>
      <c r="C1226" s="667"/>
      <c r="D1226" s="677"/>
      <c r="E1226" s="677"/>
      <c r="F1226" s="202"/>
      <c r="G1226" s="669"/>
      <c r="H1226" s="671"/>
      <c r="I1226" s="673"/>
      <c r="J1226" s="652"/>
      <c r="K1226" s="667"/>
      <c r="L1226" s="667"/>
      <c r="M1226" s="652"/>
      <c r="N1226" s="652"/>
    </row>
    <row r="1227" spans="1:23" s="189" customFormat="1" ht="40.200000000000003" customHeight="1" x14ac:dyDescent="0.3">
      <c r="A1227" s="678" t="str">
        <f t="shared" ref="A1227" ca="1" si="5251">INDIRECT("'update Helper'!C"&amp;U1227)</f>
        <v>a163p000002zQeGAAU</v>
      </c>
      <c r="B1227" s="674">
        <v>16</v>
      </c>
      <c r="C1227" s="666" t="str">
        <f>VLOOKUP(B1227,'Coverage Indicators - Section D'!$A$9:$AU$70,47,FALSE)</f>
        <v xml:space="preserve">Pourcentage de HSH dépistés positifs admis dans des services de soins durant la période de rapportage </v>
      </c>
      <c r="D1227" s="676" t="str">
        <f t="shared" ref="D1227" si="5252">R1227</f>
        <v/>
      </c>
      <c r="E1227" s="676" t="str">
        <f t="shared" ref="E1227" si="5253">S1227</f>
        <v/>
      </c>
      <c r="F1227" s="194"/>
      <c r="G1227" s="668" t="str">
        <f t="shared" ref="G1227" ca="1" si="5254">IF(OR(INDIRECT("'update Helper'!E"&amp;U1227)=0,F1227&lt;&gt;0,F1228&lt;&gt;0),IF(IFERROR((F1227/F1228),"")="","",(F1227/F1228)),INDIRECT("'update Helper'!E"&amp;U1227)/100)</f>
        <v/>
      </c>
      <c r="H1227" s="670"/>
      <c r="I1227" s="672"/>
      <c r="J1227" s="651"/>
      <c r="K1227" s="666" t="str">
        <f t="shared" ref="K1227" si="5255">W1227</f>
        <v/>
      </c>
      <c r="L1227" s="666" t="str">
        <f t="shared" ref="L1227" si="5256">V1227</f>
        <v/>
      </c>
      <c r="M1227" s="651"/>
      <c r="N1227" s="651"/>
      <c r="P1227" s="189">
        <f t="shared" ref="P1227" si="5257">IF(AND(EXACT(C1227,C1225),C1225&lt;&gt;0),P1225+1,0)</f>
        <v>3</v>
      </c>
      <c r="Q1227" s="189" t="str">
        <f t="shared" ref="Q1227" si="5258">IF(C1227&lt;&gt;"",C1227&amp;"-"&amp;P1227,"")</f>
        <v>Pourcentage de HSH dépistés positifs admis dans des services de soins durant la période de rapportage -3</v>
      </c>
      <c r="R1227" s="189" t="str">
        <f t="array" ref="R1227">IFERROR(IF(INDEX('Disaggregation Records'!$E$155:$E$385,MATCH(RIGHT(Q1227,255),RIGHT('Disaggregation Records'!$D$155:$D$385,255),0))=0,"",INDEX('Disaggregation Records'!$E$155:$E$385,MATCH(RIGHT(Q1227,255),RIGHT('Disaggregation Records'!$D$155:$D$385,255),0))),"")</f>
        <v/>
      </c>
      <c r="S1227" s="189" t="str">
        <f t="array" ref="S1227">IFERROR(IF(INDEX('Disaggregation Records'!$F$155:$F$385,MATCH(RIGHT(Q1227,255),RIGHT('Disaggregation Records'!$D$155:$D$385,255),0))=0,"",INDEX('Disaggregation Records'!$F$155:$F$385,MATCH(RIGHT(Q1227,255),RIGHT('Disaggregation Records'!$D$155:$D$385,255),0))),"")</f>
        <v/>
      </c>
      <c r="T1227" s="189" t="str">
        <f t="array" ref="T1227">IFERROR(IF(INDEX('Disaggregation Records'!$H$155:$H$385,MATCH(RIGHT(Q1227,255),RIGHT('Disaggregation Records'!$D$155:$D$385,255),0))=0,"",INDEX('Disaggregation Records'!$H$155:$H$385,MATCH(RIGHT(Q1227,255),RIGHT('Disaggregation Records'!$D$155:$D$385,255),0))),"")</f>
        <v/>
      </c>
      <c r="U1227" s="189">
        <f t="shared" ref="U1227" si="5259">U1225+1</f>
        <v>1715</v>
      </c>
      <c r="V1227" s="189" t="str">
        <f t="array" ref="V1227">IFERROR(IF(INDEX('Disaggregation Records'!$I$155:$I$385,MATCH(RIGHT(Q1227,255),RIGHT('Disaggregation Records'!$D$155:$D$385,255),0))=0,"",INDEX('Disaggregation Records'!$I$155:$I$385,MATCH(RIGHT(Q1227,255),RIGHT('Disaggregation Records'!$D$155:$D$385,255),0))),"")</f>
        <v/>
      </c>
      <c r="W1227" s="189" t="str">
        <f>IFERROR(INDEX('Reference Records'!L$59:L$121,MATCH(LEFT(C1227,255),'Reference Records'!E$59:E$121,0)),"")</f>
        <v/>
      </c>
    </row>
    <row r="1228" spans="1:23" s="189" customFormat="1" ht="40.200000000000003" customHeight="1" x14ac:dyDescent="0.3">
      <c r="A1228" s="678"/>
      <c r="B1228" s="675"/>
      <c r="C1228" s="667"/>
      <c r="D1228" s="677"/>
      <c r="E1228" s="677"/>
      <c r="F1228" s="202"/>
      <c r="G1228" s="669"/>
      <c r="H1228" s="671"/>
      <c r="I1228" s="673"/>
      <c r="J1228" s="652"/>
      <c r="K1228" s="667"/>
      <c r="L1228" s="667"/>
      <c r="M1228" s="652"/>
      <c r="N1228" s="652"/>
    </row>
    <row r="1229" spans="1:23" s="189" customFormat="1" ht="40.200000000000003" customHeight="1" x14ac:dyDescent="0.3">
      <c r="A1229" s="678" t="str">
        <f t="shared" ref="A1229" ca="1" si="5260">INDIRECT("'update Helper'!C"&amp;U1229)</f>
        <v>a163p000002zQeHAAU</v>
      </c>
      <c r="B1229" s="674">
        <v>16</v>
      </c>
      <c r="C1229" s="666" t="str">
        <f>VLOOKUP(B1229,'Coverage Indicators - Section D'!$A$9:$AU$70,47,FALSE)</f>
        <v xml:space="preserve">Pourcentage de HSH dépistés positifs admis dans des services de soins durant la période de rapportage </v>
      </c>
      <c r="D1229" s="676" t="str">
        <f t="shared" ref="D1229" si="5261">R1229</f>
        <v/>
      </c>
      <c r="E1229" s="676" t="str">
        <f t="shared" ref="E1229" si="5262">S1229</f>
        <v/>
      </c>
      <c r="F1229" s="194"/>
      <c r="G1229" s="668" t="str">
        <f t="shared" ref="G1229" ca="1" si="5263">IF(OR(INDIRECT("'update Helper'!E"&amp;U1229)=0,F1229&lt;&gt;0,F1230&lt;&gt;0),IF(IFERROR((F1229/F1230),"")="","",(F1229/F1230)),INDIRECT("'update Helper'!E"&amp;U1229)/100)</f>
        <v/>
      </c>
      <c r="H1229" s="670"/>
      <c r="I1229" s="672"/>
      <c r="J1229" s="651"/>
      <c r="K1229" s="666" t="str">
        <f t="shared" ref="K1229" si="5264">W1229</f>
        <v/>
      </c>
      <c r="L1229" s="666" t="str">
        <f t="shared" ref="L1229" si="5265">V1229</f>
        <v/>
      </c>
      <c r="M1229" s="651"/>
      <c r="N1229" s="651"/>
      <c r="P1229" s="189">
        <f t="shared" ref="P1229" si="5266">IF(AND(EXACT(C1229,C1227),C1227&lt;&gt;0),P1227+1,0)</f>
        <v>4</v>
      </c>
      <c r="Q1229" s="189" t="str">
        <f t="shared" ref="Q1229" si="5267">IF(C1229&lt;&gt;"",C1229&amp;"-"&amp;P1229,"")</f>
        <v>Pourcentage de HSH dépistés positifs admis dans des services de soins durant la période de rapportage -4</v>
      </c>
      <c r="R1229" s="189" t="str">
        <f t="array" ref="R1229">IFERROR(IF(INDEX('Disaggregation Records'!$E$155:$E$385,MATCH(RIGHT(Q1229,255),RIGHT('Disaggregation Records'!$D$155:$D$385,255),0))=0,"",INDEX('Disaggregation Records'!$E$155:$E$385,MATCH(RIGHT(Q1229,255),RIGHT('Disaggregation Records'!$D$155:$D$385,255),0))),"")</f>
        <v/>
      </c>
      <c r="S1229" s="189" t="str">
        <f t="array" ref="S1229">IFERROR(IF(INDEX('Disaggregation Records'!$F$155:$F$385,MATCH(RIGHT(Q1229,255),RIGHT('Disaggregation Records'!$D$155:$D$385,255),0))=0,"",INDEX('Disaggregation Records'!$F$155:$F$385,MATCH(RIGHT(Q1229,255),RIGHT('Disaggregation Records'!$D$155:$D$385,255),0))),"")</f>
        <v/>
      </c>
      <c r="T1229" s="189" t="str">
        <f t="array" ref="T1229">IFERROR(IF(INDEX('Disaggregation Records'!$H$155:$H$385,MATCH(RIGHT(Q1229,255),RIGHT('Disaggregation Records'!$D$155:$D$385,255),0))=0,"",INDEX('Disaggregation Records'!$H$155:$H$385,MATCH(RIGHT(Q1229,255),RIGHT('Disaggregation Records'!$D$155:$D$385,255),0))),"")</f>
        <v/>
      </c>
      <c r="U1229" s="189">
        <f t="shared" ref="U1229" si="5268">U1227+1</f>
        <v>1716</v>
      </c>
      <c r="V1229" s="189" t="str">
        <f t="array" ref="V1229">IFERROR(IF(INDEX('Disaggregation Records'!$I$155:$I$385,MATCH(RIGHT(Q1229,255),RIGHT('Disaggregation Records'!$D$155:$D$385,255),0))=0,"",INDEX('Disaggregation Records'!$I$155:$I$385,MATCH(RIGHT(Q1229,255),RIGHT('Disaggregation Records'!$D$155:$D$385,255),0))),"")</f>
        <v/>
      </c>
      <c r="W1229" s="189" t="str">
        <f>IFERROR(INDEX('Reference Records'!L$59:L$121,MATCH(LEFT(C1229,255),'Reference Records'!E$59:E$121,0)),"")</f>
        <v/>
      </c>
    </row>
    <row r="1230" spans="1:23" s="189" customFormat="1" ht="40.200000000000003" customHeight="1" x14ac:dyDescent="0.3">
      <c r="A1230" s="678"/>
      <c r="B1230" s="675"/>
      <c r="C1230" s="667"/>
      <c r="D1230" s="677"/>
      <c r="E1230" s="677"/>
      <c r="F1230" s="202"/>
      <c r="G1230" s="669"/>
      <c r="H1230" s="671"/>
      <c r="I1230" s="673"/>
      <c r="J1230" s="652"/>
      <c r="K1230" s="667"/>
      <c r="L1230" s="667"/>
      <c r="M1230" s="652"/>
      <c r="N1230" s="652"/>
    </row>
    <row r="1231" spans="1:23" s="189" customFormat="1" ht="40.200000000000003" customHeight="1" x14ac:dyDescent="0.3">
      <c r="A1231" s="678" t="str">
        <f t="shared" ref="A1231" ca="1" si="5269">INDIRECT("'update Helper'!C"&amp;U1231)</f>
        <v>a163p000002zQeIAAU</v>
      </c>
      <c r="B1231" s="674">
        <v>16</v>
      </c>
      <c r="C1231" s="666" t="str">
        <f>VLOOKUP(B1231,'Coverage Indicators - Section D'!$A$9:$AU$70,47,FALSE)</f>
        <v xml:space="preserve">Pourcentage de HSH dépistés positifs admis dans des services de soins durant la période de rapportage </v>
      </c>
      <c r="D1231" s="676" t="str">
        <f t="shared" ref="D1231" si="5270">R1231</f>
        <v/>
      </c>
      <c r="E1231" s="676" t="str">
        <f t="shared" ref="E1231" si="5271">S1231</f>
        <v/>
      </c>
      <c r="F1231" s="194"/>
      <c r="G1231" s="668" t="str">
        <f t="shared" ref="G1231" ca="1" si="5272">IF(OR(INDIRECT("'update Helper'!E"&amp;U1231)=0,F1231&lt;&gt;0,F1232&lt;&gt;0),IF(IFERROR((F1231/F1232),"")="","",(F1231/F1232)),INDIRECT("'update Helper'!E"&amp;U1231)/100)</f>
        <v/>
      </c>
      <c r="H1231" s="670"/>
      <c r="I1231" s="672"/>
      <c r="J1231" s="651"/>
      <c r="K1231" s="666" t="str">
        <f t="shared" ref="K1231" si="5273">W1231</f>
        <v/>
      </c>
      <c r="L1231" s="666" t="str">
        <f t="shared" ref="L1231" si="5274">V1231</f>
        <v/>
      </c>
      <c r="M1231" s="651"/>
      <c r="N1231" s="651"/>
      <c r="P1231" s="189">
        <f t="shared" ref="P1231" si="5275">IF(AND(EXACT(C1231,C1229),C1229&lt;&gt;0),P1229+1,0)</f>
        <v>5</v>
      </c>
      <c r="Q1231" s="189" t="str">
        <f t="shared" ref="Q1231" si="5276">IF(C1231&lt;&gt;"",C1231&amp;"-"&amp;P1231,"")</f>
        <v>Pourcentage de HSH dépistés positifs admis dans des services de soins durant la période de rapportage -5</v>
      </c>
      <c r="R1231" s="189" t="str">
        <f t="array" ref="R1231">IFERROR(IF(INDEX('Disaggregation Records'!$E$155:$E$385,MATCH(RIGHT(Q1231,255),RIGHT('Disaggregation Records'!$D$155:$D$385,255),0))=0,"",INDEX('Disaggregation Records'!$E$155:$E$385,MATCH(RIGHT(Q1231,255),RIGHT('Disaggregation Records'!$D$155:$D$385,255),0))),"")</f>
        <v/>
      </c>
      <c r="S1231" s="189" t="str">
        <f t="array" ref="S1231">IFERROR(IF(INDEX('Disaggregation Records'!$F$155:$F$385,MATCH(RIGHT(Q1231,255),RIGHT('Disaggregation Records'!$D$155:$D$385,255),0))=0,"",INDEX('Disaggregation Records'!$F$155:$F$385,MATCH(RIGHT(Q1231,255),RIGHT('Disaggregation Records'!$D$155:$D$385,255),0))),"")</f>
        <v/>
      </c>
      <c r="T1231" s="189" t="str">
        <f t="array" ref="T1231">IFERROR(IF(INDEX('Disaggregation Records'!$H$155:$H$385,MATCH(RIGHT(Q1231,255),RIGHT('Disaggregation Records'!$D$155:$D$385,255),0))=0,"",INDEX('Disaggregation Records'!$H$155:$H$385,MATCH(RIGHT(Q1231,255),RIGHT('Disaggregation Records'!$D$155:$D$385,255),0))),"")</f>
        <v/>
      </c>
      <c r="U1231" s="189">
        <f t="shared" ref="U1231" si="5277">U1229+1</f>
        <v>1717</v>
      </c>
      <c r="V1231" s="189" t="str">
        <f t="array" ref="V1231">IFERROR(IF(INDEX('Disaggregation Records'!$I$155:$I$385,MATCH(RIGHT(Q1231,255),RIGHT('Disaggregation Records'!$D$155:$D$385,255),0))=0,"",INDEX('Disaggregation Records'!$I$155:$I$385,MATCH(RIGHT(Q1231,255),RIGHT('Disaggregation Records'!$D$155:$D$385,255),0))),"")</f>
        <v/>
      </c>
      <c r="W1231" s="189" t="str">
        <f>IFERROR(INDEX('Reference Records'!L$59:L$121,MATCH(LEFT(C1231,255),'Reference Records'!E$59:E$121,0)),"")</f>
        <v/>
      </c>
    </row>
    <row r="1232" spans="1:23" s="189" customFormat="1" ht="40.200000000000003" customHeight="1" x14ac:dyDescent="0.3">
      <c r="A1232" s="678"/>
      <c r="B1232" s="675"/>
      <c r="C1232" s="667"/>
      <c r="D1232" s="677"/>
      <c r="E1232" s="677"/>
      <c r="F1232" s="202"/>
      <c r="G1232" s="669"/>
      <c r="H1232" s="671"/>
      <c r="I1232" s="673"/>
      <c r="J1232" s="652"/>
      <c r="K1232" s="667"/>
      <c r="L1232" s="667"/>
      <c r="M1232" s="652"/>
      <c r="N1232" s="652"/>
    </row>
    <row r="1233" spans="1:23" s="189" customFormat="1" ht="40.200000000000003" customHeight="1" x14ac:dyDescent="0.3">
      <c r="A1233" s="678" t="str">
        <f t="shared" ref="A1233" ca="1" si="5278">INDIRECT("'update Helper'!C"&amp;U1233)</f>
        <v>a163p000002zQeJAAU</v>
      </c>
      <c r="B1233" s="674">
        <v>16</v>
      </c>
      <c r="C1233" s="666" t="str">
        <f>VLOOKUP(B1233,'Coverage Indicators - Section D'!$A$9:$AU$70,47,FALSE)</f>
        <v xml:space="preserve">Pourcentage de HSH dépistés positifs admis dans des services de soins durant la période de rapportage </v>
      </c>
      <c r="D1233" s="676" t="str">
        <f t="shared" ref="D1233" si="5279">R1233</f>
        <v/>
      </c>
      <c r="E1233" s="676" t="str">
        <f t="shared" ref="E1233" si="5280">S1233</f>
        <v/>
      </c>
      <c r="F1233" s="194"/>
      <c r="G1233" s="668" t="str">
        <f t="shared" ref="G1233" ca="1" si="5281">IF(OR(INDIRECT("'update Helper'!E"&amp;U1233)=0,F1233&lt;&gt;0,F1234&lt;&gt;0),IF(IFERROR((F1233/F1234),"")="","",(F1233/F1234)),INDIRECT("'update Helper'!E"&amp;U1233)/100)</f>
        <v/>
      </c>
      <c r="H1233" s="670"/>
      <c r="I1233" s="672"/>
      <c r="J1233" s="651"/>
      <c r="K1233" s="666" t="str">
        <f t="shared" ref="K1233" si="5282">W1233</f>
        <v/>
      </c>
      <c r="L1233" s="666" t="str">
        <f t="shared" ref="L1233" si="5283">V1233</f>
        <v/>
      </c>
      <c r="M1233" s="651"/>
      <c r="N1233" s="651"/>
      <c r="P1233" s="189">
        <f t="shared" ref="P1233" si="5284">IF(AND(EXACT(C1233,C1231),C1231&lt;&gt;0),P1231+1,0)</f>
        <v>6</v>
      </c>
      <c r="Q1233" s="189" t="str">
        <f t="shared" ref="Q1233" si="5285">IF(C1233&lt;&gt;"",C1233&amp;"-"&amp;P1233,"")</f>
        <v>Pourcentage de HSH dépistés positifs admis dans des services de soins durant la période de rapportage -6</v>
      </c>
      <c r="R1233" s="189" t="str">
        <f t="array" ref="R1233">IFERROR(IF(INDEX('Disaggregation Records'!$E$155:$E$385,MATCH(RIGHT(Q1233,255),RIGHT('Disaggregation Records'!$D$155:$D$385,255),0))=0,"",INDEX('Disaggregation Records'!$E$155:$E$385,MATCH(RIGHT(Q1233,255),RIGHT('Disaggregation Records'!$D$155:$D$385,255),0))),"")</f>
        <v/>
      </c>
      <c r="S1233" s="189" t="str">
        <f t="array" ref="S1233">IFERROR(IF(INDEX('Disaggregation Records'!$F$155:$F$385,MATCH(RIGHT(Q1233,255),RIGHT('Disaggregation Records'!$D$155:$D$385,255),0))=0,"",INDEX('Disaggregation Records'!$F$155:$F$385,MATCH(RIGHT(Q1233,255),RIGHT('Disaggregation Records'!$D$155:$D$385,255),0))),"")</f>
        <v/>
      </c>
      <c r="T1233" s="189" t="str">
        <f t="array" ref="T1233">IFERROR(IF(INDEX('Disaggregation Records'!$H$155:$H$385,MATCH(RIGHT(Q1233,255),RIGHT('Disaggregation Records'!$D$155:$D$385,255),0))=0,"",INDEX('Disaggregation Records'!$H$155:$H$385,MATCH(RIGHT(Q1233,255),RIGHT('Disaggregation Records'!$D$155:$D$385,255),0))),"")</f>
        <v/>
      </c>
      <c r="U1233" s="189">
        <f t="shared" ref="U1233" si="5286">U1231+1</f>
        <v>1718</v>
      </c>
      <c r="V1233" s="189" t="str">
        <f t="array" ref="V1233">IFERROR(IF(INDEX('Disaggregation Records'!$I$155:$I$385,MATCH(RIGHT(Q1233,255),RIGHT('Disaggregation Records'!$D$155:$D$385,255),0))=0,"",INDEX('Disaggregation Records'!$I$155:$I$385,MATCH(RIGHT(Q1233,255),RIGHT('Disaggregation Records'!$D$155:$D$385,255),0))),"")</f>
        <v/>
      </c>
      <c r="W1233" s="189" t="str">
        <f>IFERROR(INDEX('Reference Records'!L$59:L$121,MATCH(LEFT(C1233,255),'Reference Records'!E$59:E$121,0)),"")</f>
        <v/>
      </c>
    </row>
    <row r="1234" spans="1:23" s="189" customFormat="1" ht="40.200000000000003" customHeight="1" x14ac:dyDescent="0.3">
      <c r="A1234" s="678"/>
      <c r="B1234" s="675"/>
      <c r="C1234" s="667"/>
      <c r="D1234" s="677"/>
      <c r="E1234" s="677"/>
      <c r="F1234" s="202"/>
      <c r="G1234" s="669"/>
      <c r="H1234" s="671"/>
      <c r="I1234" s="673"/>
      <c r="J1234" s="652"/>
      <c r="K1234" s="667"/>
      <c r="L1234" s="667"/>
      <c r="M1234" s="652"/>
      <c r="N1234" s="652"/>
    </row>
    <row r="1235" spans="1:23" s="189" customFormat="1" ht="40.200000000000003" customHeight="1" x14ac:dyDescent="0.3">
      <c r="A1235" s="678" t="str">
        <f t="shared" ref="A1235" ca="1" si="5287">INDIRECT("'update Helper'!C"&amp;U1235)</f>
        <v>a163p000002zQeKAAU</v>
      </c>
      <c r="B1235" s="674">
        <v>16</v>
      </c>
      <c r="C1235" s="666" t="str">
        <f>VLOOKUP(B1235,'Coverage Indicators - Section D'!$A$9:$AU$70,47,FALSE)</f>
        <v xml:space="preserve">Pourcentage de HSH dépistés positifs admis dans des services de soins durant la période de rapportage </v>
      </c>
      <c r="D1235" s="676" t="str">
        <f t="shared" ref="D1235" si="5288">R1235</f>
        <v/>
      </c>
      <c r="E1235" s="676" t="str">
        <f t="shared" ref="E1235" si="5289">S1235</f>
        <v/>
      </c>
      <c r="F1235" s="194"/>
      <c r="G1235" s="668" t="str">
        <f t="shared" ref="G1235" ca="1" si="5290">IF(OR(INDIRECT("'update Helper'!E"&amp;U1235)=0,F1235&lt;&gt;0,F1236&lt;&gt;0),IF(IFERROR((F1235/F1236),"")="","",(F1235/F1236)),INDIRECT("'update Helper'!E"&amp;U1235)/100)</f>
        <v/>
      </c>
      <c r="H1235" s="670"/>
      <c r="I1235" s="672"/>
      <c r="J1235" s="651"/>
      <c r="K1235" s="666" t="str">
        <f t="shared" ref="K1235" si="5291">W1235</f>
        <v/>
      </c>
      <c r="L1235" s="666" t="str">
        <f t="shared" ref="L1235" si="5292">V1235</f>
        <v/>
      </c>
      <c r="M1235" s="651"/>
      <c r="N1235" s="651"/>
      <c r="P1235" s="189">
        <f t="shared" ref="P1235" si="5293">IF(AND(EXACT(C1235,C1233),C1233&lt;&gt;0),P1233+1,0)</f>
        <v>7</v>
      </c>
      <c r="Q1235" s="189" t="str">
        <f t="shared" ref="Q1235" si="5294">IF(C1235&lt;&gt;"",C1235&amp;"-"&amp;P1235,"")</f>
        <v>Pourcentage de HSH dépistés positifs admis dans des services de soins durant la période de rapportage -7</v>
      </c>
      <c r="R1235" s="189" t="str">
        <f t="array" ref="R1235">IFERROR(IF(INDEX('Disaggregation Records'!$E$155:$E$385,MATCH(RIGHT(Q1235,255),RIGHT('Disaggregation Records'!$D$155:$D$385,255),0))=0,"",INDEX('Disaggregation Records'!$E$155:$E$385,MATCH(RIGHT(Q1235,255),RIGHT('Disaggregation Records'!$D$155:$D$385,255),0))),"")</f>
        <v/>
      </c>
      <c r="S1235" s="189" t="str">
        <f t="array" ref="S1235">IFERROR(IF(INDEX('Disaggregation Records'!$F$155:$F$385,MATCH(RIGHT(Q1235,255),RIGHT('Disaggregation Records'!$D$155:$D$385,255),0))=0,"",INDEX('Disaggregation Records'!$F$155:$F$385,MATCH(RIGHT(Q1235,255),RIGHT('Disaggregation Records'!$D$155:$D$385,255),0))),"")</f>
        <v/>
      </c>
      <c r="T1235" s="189" t="str">
        <f t="array" ref="T1235">IFERROR(IF(INDEX('Disaggregation Records'!$H$155:$H$385,MATCH(RIGHT(Q1235,255),RIGHT('Disaggregation Records'!$D$155:$D$385,255),0))=0,"",INDEX('Disaggregation Records'!$H$155:$H$385,MATCH(RIGHT(Q1235,255),RIGHT('Disaggregation Records'!$D$155:$D$385,255),0))),"")</f>
        <v/>
      </c>
      <c r="U1235" s="189">
        <f t="shared" ref="U1235" si="5295">U1233+1</f>
        <v>1719</v>
      </c>
      <c r="V1235" s="189" t="str">
        <f t="array" ref="V1235">IFERROR(IF(INDEX('Disaggregation Records'!$I$155:$I$385,MATCH(RIGHT(Q1235,255),RIGHT('Disaggregation Records'!$D$155:$D$385,255),0))=0,"",INDEX('Disaggregation Records'!$I$155:$I$385,MATCH(RIGHT(Q1235,255),RIGHT('Disaggregation Records'!$D$155:$D$385,255),0))),"")</f>
        <v/>
      </c>
      <c r="W1235" s="189" t="str">
        <f>IFERROR(INDEX('Reference Records'!L$59:L$121,MATCH(LEFT(C1235,255),'Reference Records'!E$59:E$121,0)),"")</f>
        <v/>
      </c>
    </row>
    <row r="1236" spans="1:23" s="189" customFormat="1" ht="40.200000000000003" customHeight="1" x14ac:dyDescent="0.3">
      <c r="A1236" s="678"/>
      <c r="B1236" s="675"/>
      <c r="C1236" s="667"/>
      <c r="D1236" s="677"/>
      <c r="E1236" s="677"/>
      <c r="F1236" s="202"/>
      <c r="G1236" s="669"/>
      <c r="H1236" s="671"/>
      <c r="I1236" s="673"/>
      <c r="J1236" s="652"/>
      <c r="K1236" s="667"/>
      <c r="L1236" s="667"/>
      <c r="M1236" s="652"/>
      <c r="N1236" s="652"/>
    </row>
    <row r="1237" spans="1:23" s="189" customFormat="1" ht="40.200000000000003" customHeight="1" x14ac:dyDescent="0.3">
      <c r="A1237" s="678" t="str">
        <f t="shared" ref="A1237" ca="1" si="5296">INDIRECT("'update Helper'!C"&amp;U1237)</f>
        <v>a163p000002zQeLAAU</v>
      </c>
      <c r="B1237" s="674">
        <v>16</v>
      </c>
      <c r="C1237" s="666" t="str">
        <f>VLOOKUP(B1237,'Coverage Indicators - Section D'!$A$9:$AU$70,47,FALSE)</f>
        <v xml:space="preserve">Pourcentage de HSH dépistés positifs admis dans des services de soins durant la période de rapportage </v>
      </c>
      <c r="D1237" s="676" t="str">
        <f t="shared" ref="D1237" si="5297">R1237</f>
        <v/>
      </c>
      <c r="E1237" s="676" t="str">
        <f t="shared" ref="E1237" si="5298">S1237</f>
        <v/>
      </c>
      <c r="F1237" s="194"/>
      <c r="G1237" s="668" t="str">
        <f t="shared" ref="G1237" ca="1" si="5299">IF(OR(INDIRECT("'update Helper'!E"&amp;U1237)=0,F1237&lt;&gt;0,F1238&lt;&gt;0),IF(IFERROR((F1237/F1238),"")="","",(F1237/F1238)),INDIRECT("'update Helper'!E"&amp;U1237)/100)</f>
        <v/>
      </c>
      <c r="H1237" s="670"/>
      <c r="I1237" s="672"/>
      <c r="J1237" s="651"/>
      <c r="K1237" s="666" t="str">
        <f t="shared" ref="K1237" si="5300">W1237</f>
        <v/>
      </c>
      <c r="L1237" s="666" t="str">
        <f t="shared" ref="L1237" si="5301">V1237</f>
        <v/>
      </c>
      <c r="M1237" s="651"/>
      <c r="N1237" s="651"/>
      <c r="P1237" s="189">
        <f t="shared" ref="P1237" si="5302">IF(AND(EXACT(C1237,C1235),C1235&lt;&gt;0),P1235+1,0)</f>
        <v>8</v>
      </c>
      <c r="Q1237" s="189" t="str">
        <f t="shared" ref="Q1237" si="5303">IF(C1237&lt;&gt;"",C1237&amp;"-"&amp;P1237,"")</f>
        <v>Pourcentage de HSH dépistés positifs admis dans des services de soins durant la période de rapportage -8</v>
      </c>
      <c r="R1237" s="189" t="str">
        <f t="array" ref="R1237">IFERROR(IF(INDEX('Disaggregation Records'!$E$155:$E$385,MATCH(RIGHT(Q1237,255),RIGHT('Disaggregation Records'!$D$155:$D$385,255),0))=0,"",INDEX('Disaggregation Records'!$E$155:$E$385,MATCH(RIGHT(Q1237,255),RIGHT('Disaggregation Records'!$D$155:$D$385,255),0))),"")</f>
        <v/>
      </c>
      <c r="S1237" s="189" t="str">
        <f t="array" ref="S1237">IFERROR(IF(INDEX('Disaggregation Records'!$F$155:$F$385,MATCH(RIGHT(Q1237,255),RIGHT('Disaggregation Records'!$D$155:$D$385,255),0))=0,"",INDEX('Disaggregation Records'!$F$155:$F$385,MATCH(RIGHT(Q1237,255),RIGHT('Disaggregation Records'!$D$155:$D$385,255),0))),"")</f>
        <v/>
      </c>
      <c r="T1237" s="189" t="str">
        <f t="array" ref="T1237">IFERROR(IF(INDEX('Disaggregation Records'!$H$155:$H$385,MATCH(RIGHT(Q1237,255),RIGHT('Disaggregation Records'!$D$155:$D$385,255),0))=0,"",INDEX('Disaggregation Records'!$H$155:$H$385,MATCH(RIGHT(Q1237,255),RIGHT('Disaggregation Records'!$D$155:$D$385,255),0))),"")</f>
        <v/>
      </c>
      <c r="U1237" s="189">
        <f t="shared" ref="U1237" si="5304">U1235+1</f>
        <v>1720</v>
      </c>
      <c r="V1237" s="189" t="str">
        <f t="array" ref="V1237">IFERROR(IF(INDEX('Disaggregation Records'!$I$155:$I$385,MATCH(RIGHT(Q1237,255),RIGHT('Disaggregation Records'!$D$155:$D$385,255),0))=0,"",INDEX('Disaggregation Records'!$I$155:$I$385,MATCH(RIGHT(Q1237,255),RIGHT('Disaggregation Records'!$D$155:$D$385,255),0))),"")</f>
        <v/>
      </c>
      <c r="W1237" s="189" t="str">
        <f>IFERROR(INDEX('Reference Records'!L$59:L$121,MATCH(LEFT(C1237,255),'Reference Records'!E$59:E$121,0)),"")</f>
        <v/>
      </c>
    </row>
    <row r="1238" spans="1:23" s="189" customFormat="1" ht="40.200000000000003" customHeight="1" x14ac:dyDescent="0.3">
      <c r="A1238" s="678"/>
      <c r="B1238" s="675"/>
      <c r="C1238" s="667"/>
      <c r="D1238" s="677"/>
      <c r="E1238" s="677"/>
      <c r="F1238" s="202"/>
      <c r="G1238" s="669"/>
      <c r="H1238" s="671"/>
      <c r="I1238" s="673"/>
      <c r="J1238" s="652"/>
      <c r="K1238" s="667"/>
      <c r="L1238" s="667"/>
      <c r="M1238" s="652"/>
      <c r="N1238" s="652"/>
    </row>
    <row r="1239" spans="1:23" s="189" customFormat="1" ht="40.200000000000003" customHeight="1" x14ac:dyDescent="0.3">
      <c r="A1239" s="678" t="str">
        <f t="shared" ref="A1239" ca="1" si="5305">INDIRECT("'update Helper'!C"&amp;U1239)</f>
        <v>a163p000002zQeMAAU</v>
      </c>
      <c r="B1239" s="674">
        <v>16</v>
      </c>
      <c r="C1239" s="666" t="str">
        <f>VLOOKUP(B1239,'Coverage Indicators - Section D'!$A$9:$AU$70,47,FALSE)</f>
        <v xml:space="preserve">Pourcentage de HSH dépistés positifs admis dans des services de soins durant la période de rapportage </v>
      </c>
      <c r="D1239" s="676" t="str">
        <f t="shared" ref="D1239" si="5306">R1239</f>
        <v/>
      </c>
      <c r="E1239" s="676" t="str">
        <f t="shared" ref="E1239" si="5307">S1239</f>
        <v/>
      </c>
      <c r="F1239" s="194"/>
      <c r="G1239" s="668" t="str">
        <f t="shared" ref="G1239" ca="1" si="5308">IF(OR(INDIRECT("'update Helper'!E"&amp;U1239)=0,F1239&lt;&gt;0,F1240&lt;&gt;0),IF(IFERROR((F1239/F1240),"")="","",(F1239/F1240)),INDIRECT("'update Helper'!E"&amp;U1239)/100)</f>
        <v/>
      </c>
      <c r="H1239" s="670"/>
      <c r="I1239" s="672"/>
      <c r="J1239" s="651"/>
      <c r="K1239" s="666" t="str">
        <f t="shared" ref="K1239" si="5309">W1239</f>
        <v/>
      </c>
      <c r="L1239" s="666" t="str">
        <f t="shared" ref="L1239" si="5310">V1239</f>
        <v/>
      </c>
      <c r="M1239" s="651"/>
      <c r="N1239" s="651"/>
      <c r="P1239" s="189">
        <f t="shared" ref="P1239" si="5311">IF(AND(EXACT(C1239,C1237),C1237&lt;&gt;0),P1237+1,0)</f>
        <v>9</v>
      </c>
      <c r="Q1239" s="189" t="str">
        <f t="shared" ref="Q1239" si="5312">IF(C1239&lt;&gt;"",C1239&amp;"-"&amp;P1239,"")</f>
        <v>Pourcentage de HSH dépistés positifs admis dans des services de soins durant la période de rapportage -9</v>
      </c>
      <c r="R1239" s="189" t="str">
        <f t="array" ref="R1239">IFERROR(IF(INDEX('Disaggregation Records'!$E$155:$E$385,MATCH(RIGHT(Q1239,255),RIGHT('Disaggregation Records'!$D$155:$D$385,255),0))=0,"",INDEX('Disaggregation Records'!$E$155:$E$385,MATCH(RIGHT(Q1239,255),RIGHT('Disaggregation Records'!$D$155:$D$385,255),0))),"")</f>
        <v/>
      </c>
      <c r="S1239" s="189" t="str">
        <f t="array" ref="S1239">IFERROR(IF(INDEX('Disaggregation Records'!$F$155:$F$385,MATCH(RIGHT(Q1239,255),RIGHT('Disaggregation Records'!$D$155:$D$385,255),0))=0,"",INDEX('Disaggregation Records'!$F$155:$F$385,MATCH(RIGHT(Q1239,255),RIGHT('Disaggregation Records'!$D$155:$D$385,255),0))),"")</f>
        <v/>
      </c>
      <c r="T1239" s="189" t="str">
        <f t="array" ref="T1239">IFERROR(IF(INDEX('Disaggregation Records'!$H$155:$H$385,MATCH(RIGHT(Q1239,255),RIGHT('Disaggregation Records'!$D$155:$D$385,255),0))=0,"",INDEX('Disaggregation Records'!$H$155:$H$385,MATCH(RIGHT(Q1239,255),RIGHT('Disaggregation Records'!$D$155:$D$385,255),0))),"")</f>
        <v/>
      </c>
      <c r="U1239" s="189">
        <f t="shared" ref="U1239" si="5313">U1237+1</f>
        <v>1721</v>
      </c>
      <c r="V1239" s="189" t="str">
        <f t="array" ref="V1239">IFERROR(IF(INDEX('Disaggregation Records'!$I$155:$I$385,MATCH(RIGHT(Q1239,255),RIGHT('Disaggregation Records'!$D$155:$D$385,255),0))=0,"",INDEX('Disaggregation Records'!$I$155:$I$385,MATCH(RIGHT(Q1239,255),RIGHT('Disaggregation Records'!$D$155:$D$385,255),0))),"")</f>
        <v/>
      </c>
      <c r="W1239" s="189" t="str">
        <f>IFERROR(INDEX('Reference Records'!L$59:L$121,MATCH(LEFT(C1239,255),'Reference Records'!E$59:E$121,0)),"")</f>
        <v/>
      </c>
    </row>
    <row r="1240" spans="1:23" s="189" customFormat="1" ht="40.200000000000003" customHeight="1" x14ac:dyDescent="0.3">
      <c r="A1240" s="678"/>
      <c r="B1240" s="675"/>
      <c r="C1240" s="667"/>
      <c r="D1240" s="677"/>
      <c r="E1240" s="677"/>
      <c r="F1240" s="202"/>
      <c r="G1240" s="669"/>
      <c r="H1240" s="671"/>
      <c r="I1240" s="673"/>
      <c r="J1240" s="652"/>
      <c r="K1240" s="667"/>
      <c r="L1240" s="667"/>
      <c r="M1240" s="652"/>
      <c r="N1240" s="652"/>
    </row>
    <row r="1241" spans="1:23" s="189" customFormat="1" ht="40.200000000000003" customHeight="1" x14ac:dyDescent="0.3">
      <c r="A1241" s="678" t="str">
        <f t="shared" ref="A1241" ca="1" si="5314">INDIRECT("'update Helper'!C"&amp;U1241)</f>
        <v>a163p000002zQeNAAU</v>
      </c>
      <c r="B1241" s="674">
        <v>16</v>
      </c>
      <c r="C1241" s="666" t="str">
        <f>VLOOKUP(B1241,'Coverage Indicators - Section D'!$A$9:$AU$70,47,FALSE)</f>
        <v xml:space="preserve">Pourcentage de HSH dépistés positifs admis dans des services de soins durant la période de rapportage </v>
      </c>
      <c r="D1241" s="676" t="str">
        <f t="shared" ref="D1241" si="5315">R1241</f>
        <v/>
      </c>
      <c r="E1241" s="676" t="str">
        <f t="shared" ref="E1241" si="5316">S1241</f>
        <v/>
      </c>
      <c r="F1241" s="194"/>
      <c r="G1241" s="668" t="str">
        <f t="shared" ref="G1241" ca="1" si="5317">IF(OR(INDIRECT("'update Helper'!E"&amp;U1241)=0,F1241&lt;&gt;0,F1242&lt;&gt;0),IF(IFERROR((F1241/F1242),"")="","",(F1241/F1242)),INDIRECT("'update Helper'!E"&amp;U1241)/100)</f>
        <v/>
      </c>
      <c r="H1241" s="670"/>
      <c r="I1241" s="672"/>
      <c r="J1241" s="651"/>
      <c r="K1241" s="666" t="str">
        <f t="shared" ref="K1241" si="5318">W1241</f>
        <v/>
      </c>
      <c r="L1241" s="666" t="str">
        <f t="shared" ref="L1241" si="5319">V1241</f>
        <v/>
      </c>
      <c r="M1241" s="651"/>
      <c r="N1241" s="651"/>
      <c r="P1241" s="189">
        <f t="shared" ref="P1241" si="5320">IF(AND(EXACT(C1241,C1239),C1239&lt;&gt;0),P1239+1,0)</f>
        <v>10</v>
      </c>
      <c r="Q1241" s="189" t="str">
        <f t="shared" ref="Q1241" si="5321">IF(C1241&lt;&gt;"",C1241&amp;"-"&amp;P1241,"")</f>
        <v>Pourcentage de HSH dépistés positifs admis dans des services de soins durant la période de rapportage -10</v>
      </c>
      <c r="R1241" s="189" t="str">
        <f t="array" ref="R1241">IFERROR(IF(INDEX('Disaggregation Records'!$E$155:$E$385,MATCH(RIGHT(Q1241,255),RIGHT('Disaggregation Records'!$D$155:$D$385,255),0))=0,"",INDEX('Disaggregation Records'!$E$155:$E$385,MATCH(RIGHT(Q1241,255),RIGHT('Disaggregation Records'!$D$155:$D$385,255),0))),"")</f>
        <v/>
      </c>
      <c r="S1241" s="189" t="str">
        <f t="array" ref="S1241">IFERROR(IF(INDEX('Disaggregation Records'!$F$155:$F$385,MATCH(RIGHT(Q1241,255),RIGHT('Disaggregation Records'!$D$155:$D$385,255),0))=0,"",INDEX('Disaggregation Records'!$F$155:$F$385,MATCH(RIGHT(Q1241,255),RIGHT('Disaggregation Records'!$D$155:$D$385,255),0))),"")</f>
        <v/>
      </c>
      <c r="T1241" s="189" t="str">
        <f t="array" ref="T1241">IFERROR(IF(INDEX('Disaggregation Records'!$H$155:$H$385,MATCH(RIGHT(Q1241,255),RIGHT('Disaggregation Records'!$D$155:$D$385,255),0))=0,"",INDEX('Disaggregation Records'!$H$155:$H$385,MATCH(RIGHT(Q1241,255),RIGHT('Disaggregation Records'!$D$155:$D$385,255),0))),"")</f>
        <v/>
      </c>
      <c r="U1241" s="189">
        <f t="shared" ref="U1241" si="5322">U1239+1</f>
        <v>1722</v>
      </c>
      <c r="V1241" s="189" t="str">
        <f t="array" ref="V1241">IFERROR(IF(INDEX('Disaggregation Records'!$I$155:$I$385,MATCH(RIGHT(Q1241,255),RIGHT('Disaggregation Records'!$D$155:$D$385,255),0))=0,"",INDEX('Disaggregation Records'!$I$155:$I$385,MATCH(RIGHT(Q1241,255),RIGHT('Disaggregation Records'!$D$155:$D$385,255),0))),"")</f>
        <v/>
      </c>
      <c r="W1241" s="189" t="str">
        <f>IFERROR(INDEX('Reference Records'!L$59:L$121,MATCH(LEFT(C1241,255),'Reference Records'!E$59:E$121,0)),"")</f>
        <v/>
      </c>
    </row>
    <row r="1242" spans="1:23" s="189" customFormat="1" ht="40.200000000000003" customHeight="1" x14ac:dyDescent="0.3">
      <c r="A1242" s="678"/>
      <c r="B1242" s="675"/>
      <c r="C1242" s="667"/>
      <c r="D1242" s="677"/>
      <c r="E1242" s="677"/>
      <c r="F1242" s="202"/>
      <c r="G1242" s="669"/>
      <c r="H1242" s="671"/>
      <c r="I1242" s="673"/>
      <c r="J1242" s="652"/>
      <c r="K1242" s="667"/>
      <c r="L1242" s="667"/>
      <c r="M1242" s="652"/>
      <c r="N1242" s="652"/>
    </row>
    <row r="1243" spans="1:23" s="189" customFormat="1" ht="40.200000000000003" customHeight="1" x14ac:dyDescent="0.3">
      <c r="A1243" s="678" t="str">
        <f t="shared" ref="A1243" ca="1" si="5323">INDIRECT("'update Helper'!C"&amp;U1243)</f>
        <v>a163p000002zQeOAAU</v>
      </c>
      <c r="B1243" s="674">
        <v>16</v>
      </c>
      <c r="C1243" s="666" t="str">
        <f>VLOOKUP(B1243,'Coverage Indicators - Section D'!$A$9:$AU$70,47,FALSE)</f>
        <v xml:space="preserve">Pourcentage de HSH dépistés positifs admis dans des services de soins durant la période de rapportage </v>
      </c>
      <c r="D1243" s="676" t="str">
        <f t="shared" ref="D1243" si="5324">R1243</f>
        <v/>
      </c>
      <c r="E1243" s="676" t="str">
        <f t="shared" ref="E1243" si="5325">S1243</f>
        <v/>
      </c>
      <c r="F1243" s="194"/>
      <c r="G1243" s="668" t="str">
        <f t="shared" ref="G1243" ca="1" si="5326">IF(OR(INDIRECT("'update Helper'!E"&amp;U1243)=0,F1243&lt;&gt;0,F1244&lt;&gt;0),IF(IFERROR((F1243/F1244),"")="","",(F1243/F1244)),INDIRECT("'update Helper'!E"&amp;U1243)/100)</f>
        <v/>
      </c>
      <c r="H1243" s="670"/>
      <c r="I1243" s="672"/>
      <c r="J1243" s="651"/>
      <c r="K1243" s="666" t="str">
        <f t="shared" ref="K1243" si="5327">W1243</f>
        <v/>
      </c>
      <c r="L1243" s="666" t="str">
        <f t="shared" ref="L1243" si="5328">V1243</f>
        <v/>
      </c>
      <c r="M1243" s="651"/>
      <c r="N1243" s="651"/>
      <c r="P1243" s="189">
        <f t="shared" ref="P1243" si="5329">IF(AND(EXACT(C1243,C1241),C1241&lt;&gt;0),P1241+1,0)</f>
        <v>11</v>
      </c>
      <c r="Q1243" s="189" t="str">
        <f t="shared" ref="Q1243" si="5330">IF(C1243&lt;&gt;"",C1243&amp;"-"&amp;P1243,"")</f>
        <v>Pourcentage de HSH dépistés positifs admis dans des services de soins durant la période de rapportage -11</v>
      </c>
      <c r="R1243" s="189" t="str">
        <f t="array" ref="R1243">IFERROR(IF(INDEX('Disaggregation Records'!$E$155:$E$385,MATCH(RIGHT(Q1243,255),RIGHT('Disaggregation Records'!$D$155:$D$385,255),0))=0,"",INDEX('Disaggregation Records'!$E$155:$E$385,MATCH(RIGHT(Q1243,255),RIGHT('Disaggregation Records'!$D$155:$D$385,255),0))),"")</f>
        <v/>
      </c>
      <c r="S1243" s="189" t="str">
        <f t="array" ref="S1243">IFERROR(IF(INDEX('Disaggregation Records'!$F$155:$F$385,MATCH(RIGHT(Q1243,255),RIGHT('Disaggregation Records'!$D$155:$D$385,255),0))=0,"",INDEX('Disaggregation Records'!$F$155:$F$385,MATCH(RIGHT(Q1243,255),RIGHT('Disaggregation Records'!$D$155:$D$385,255),0))),"")</f>
        <v/>
      </c>
      <c r="T1243" s="189" t="str">
        <f t="array" ref="T1243">IFERROR(IF(INDEX('Disaggregation Records'!$H$155:$H$385,MATCH(RIGHT(Q1243,255),RIGHT('Disaggregation Records'!$D$155:$D$385,255),0))=0,"",INDEX('Disaggregation Records'!$H$155:$H$385,MATCH(RIGHT(Q1243,255),RIGHT('Disaggregation Records'!$D$155:$D$385,255),0))),"")</f>
        <v/>
      </c>
      <c r="U1243" s="189">
        <f t="shared" ref="U1243" si="5331">U1241+1</f>
        <v>1723</v>
      </c>
      <c r="V1243" s="189" t="str">
        <f t="array" ref="V1243">IFERROR(IF(INDEX('Disaggregation Records'!$I$155:$I$385,MATCH(RIGHT(Q1243,255),RIGHT('Disaggregation Records'!$D$155:$D$385,255),0))=0,"",INDEX('Disaggregation Records'!$I$155:$I$385,MATCH(RIGHT(Q1243,255),RIGHT('Disaggregation Records'!$D$155:$D$385,255),0))),"")</f>
        <v/>
      </c>
      <c r="W1243" s="189" t="str">
        <f>IFERROR(INDEX('Reference Records'!L$59:L$121,MATCH(LEFT(C1243,255),'Reference Records'!E$59:E$121,0)),"")</f>
        <v/>
      </c>
    </row>
    <row r="1244" spans="1:23" s="189" customFormat="1" ht="40.200000000000003" customHeight="1" x14ac:dyDescent="0.3">
      <c r="A1244" s="678"/>
      <c r="B1244" s="675"/>
      <c r="C1244" s="667"/>
      <c r="D1244" s="677"/>
      <c r="E1244" s="677"/>
      <c r="F1244" s="202"/>
      <c r="G1244" s="669"/>
      <c r="H1244" s="671"/>
      <c r="I1244" s="673"/>
      <c r="J1244" s="652"/>
      <c r="K1244" s="667"/>
      <c r="L1244" s="667"/>
      <c r="M1244" s="652"/>
      <c r="N1244" s="652"/>
    </row>
    <row r="1245" spans="1:23" s="189" customFormat="1" ht="40.200000000000003" customHeight="1" x14ac:dyDescent="0.3">
      <c r="A1245" s="678" t="str">
        <f t="shared" ref="A1245" ca="1" si="5332">INDIRECT("'update Helper'!C"&amp;U1245)</f>
        <v>a163p000002zQePAAU</v>
      </c>
      <c r="B1245" s="674">
        <v>16</v>
      </c>
      <c r="C1245" s="666" t="str">
        <f>VLOOKUP(B1245,'Coverage Indicators - Section D'!$A$9:$AU$70,47,FALSE)</f>
        <v xml:space="preserve">Pourcentage de HSH dépistés positifs admis dans des services de soins durant la période de rapportage </v>
      </c>
      <c r="D1245" s="676" t="str">
        <f t="shared" ref="D1245" si="5333">R1245</f>
        <v/>
      </c>
      <c r="E1245" s="676" t="str">
        <f t="shared" ref="E1245" si="5334">S1245</f>
        <v/>
      </c>
      <c r="F1245" s="194"/>
      <c r="G1245" s="668" t="str">
        <f t="shared" ref="G1245" ca="1" si="5335">IF(OR(INDIRECT("'update Helper'!E"&amp;U1245)=0,F1245&lt;&gt;0,F1246&lt;&gt;0),IF(IFERROR((F1245/F1246),"")="","",(F1245/F1246)),INDIRECT("'update Helper'!E"&amp;U1245)/100)</f>
        <v/>
      </c>
      <c r="H1245" s="670"/>
      <c r="I1245" s="672"/>
      <c r="J1245" s="651"/>
      <c r="K1245" s="666" t="str">
        <f t="shared" ref="K1245" si="5336">W1245</f>
        <v/>
      </c>
      <c r="L1245" s="666" t="str">
        <f t="shared" ref="L1245" si="5337">V1245</f>
        <v/>
      </c>
      <c r="M1245" s="651"/>
      <c r="N1245" s="651"/>
      <c r="P1245" s="189">
        <f t="shared" ref="P1245" si="5338">IF(AND(EXACT(C1245,C1243),C1243&lt;&gt;0),P1243+1,0)</f>
        <v>12</v>
      </c>
      <c r="Q1245" s="189" t="str">
        <f t="shared" ref="Q1245" si="5339">IF(C1245&lt;&gt;"",C1245&amp;"-"&amp;P1245,"")</f>
        <v>Pourcentage de HSH dépistés positifs admis dans des services de soins durant la période de rapportage -12</v>
      </c>
      <c r="R1245" s="189" t="str">
        <f t="array" ref="R1245">IFERROR(IF(INDEX('Disaggregation Records'!$E$155:$E$385,MATCH(RIGHT(Q1245,255),RIGHT('Disaggregation Records'!$D$155:$D$385,255),0))=0,"",INDEX('Disaggregation Records'!$E$155:$E$385,MATCH(RIGHT(Q1245,255),RIGHT('Disaggregation Records'!$D$155:$D$385,255),0))),"")</f>
        <v/>
      </c>
      <c r="S1245" s="189" t="str">
        <f t="array" ref="S1245">IFERROR(IF(INDEX('Disaggregation Records'!$F$155:$F$385,MATCH(RIGHT(Q1245,255),RIGHT('Disaggregation Records'!$D$155:$D$385,255),0))=0,"",INDEX('Disaggregation Records'!$F$155:$F$385,MATCH(RIGHT(Q1245,255),RIGHT('Disaggregation Records'!$D$155:$D$385,255),0))),"")</f>
        <v/>
      </c>
      <c r="T1245" s="189" t="str">
        <f t="array" ref="T1245">IFERROR(IF(INDEX('Disaggregation Records'!$H$155:$H$385,MATCH(RIGHT(Q1245,255),RIGHT('Disaggregation Records'!$D$155:$D$385,255),0))=0,"",INDEX('Disaggregation Records'!$H$155:$H$385,MATCH(RIGHT(Q1245,255),RIGHT('Disaggregation Records'!$D$155:$D$385,255),0))),"")</f>
        <v/>
      </c>
      <c r="U1245" s="189">
        <f t="shared" ref="U1245" si="5340">U1243+1</f>
        <v>1724</v>
      </c>
      <c r="V1245" s="189" t="str">
        <f t="array" ref="V1245">IFERROR(IF(INDEX('Disaggregation Records'!$I$155:$I$385,MATCH(RIGHT(Q1245,255),RIGHT('Disaggregation Records'!$D$155:$D$385,255),0))=0,"",INDEX('Disaggregation Records'!$I$155:$I$385,MATCH(RIGHT(Q1245,255),RIGHT('Disaggregation Records'!$D$155:$D$385,255),0))),"")</f>
        <v/>
      </c>
      <c r="W1245" s="189" t="str">
        <f>IFERROR(INDEX('Reference Records'!L$59:L$121,MATCH(LEFT(C1245,255),'Reference Records'!E$59:E$121,0)),"")</f>
        <v/>
      </c>
    </row>
    <row r="1246" spans="1:23" s="189" customFormat="1" ht="40.200000000000003" customHeight="1" x14ac:dyDescent="0.3">
      <c r="A1246" s="678"/>
      <c r="B1246" s="675"/>
      <c r="C1246" s="667"/>
      <c r="D1246" s="677"/>
      <c r="E1246" s="677"/>
      <c r="F1246" s="202"/>
      <c r="G1246" s="669"/>
      <c r="H1246" s="671"/>
      <c r="I1246" s="673"/>
      <c r="J1246" s="652"/>
      <c r="K1246" s="667"/>
      <c r="L1246" s="667"/>
      <c r="M1246" s="652"/>
      <c r="N1246" s="652"/>
    </row>
    <row r="1247" spans="1:23" s="189" customFormat="1" ht="40.200000000000003" customHeight="1" x14ac:dyDescent="0.3">
      <c r="A1247" s="678" t="str">
        <f t="shared" ref="A1247" ca="1" si="5341">INDIRECT("'update Helper'!C"&amp;U1247)</f>
        <v>a163p000002zQeQAAU</v>
      </c>
      <c r="B1247" s="674">
        <v>16</v>
      </c>
      <c r="C1247" s="666" t="str">
        <f>VLOOKUP(B1247,'Coverage Indicators - Section D'!$A$9:$AU$70,47,FALSE)</f>
        <v xml:space="preserve">Pourcentage de HSH dépistés positifs admis dans des services de soins durant la période de rapportage </v>
      </c>
      <c r="D1247" s="676" t="str">
        <f t="shared" ref="D1247" si="5342">R1247</f>
        <v/>
      </c>
      <c r="E1247" s="676" t="str">
        <f t="shared" ref="E1247" si="5343">S1247</f>
        <v/>
      </c>
      <c r="F1247" s="194"/>
      <c r="G1247" s="668" t="str">
        <f t="shared" ref="G1247" ca="1" si="5344">IF(OR(INDIRECT("'update Helper'!E"&amp;U1247)=0,F1247&lt;&gt;0,F1248&lt;&gt;0),IF(IFERROR((F1247/F1248),"")="","",(F1247/F1248)),INDIRECT("'update Helper'!E"&amp;U1247)/100)</f>
        <v/>
      </c>
      <c r="H1247" s="670"/>
      <c r="I1247" s="672"/>
      <c r="J1247" s="651"/>
      <c r="K1247" s="666" t="str">
        <f t="shared" ref="K1247" si="5345">W1247</f>
        <v/>
      </c>
      <c r="L1247" s="666" t="str">
        <f t="shared" ref="L1247" si="5346">V1247</f>
        <v/>
      </c>
      <c r="M1247" s="651"/>
      <c r="N1247" s="651"/>
      <c r="P1247" s="189">
        <f t="shared" ref="P1247" si="5347">IF(AND(EXACT(C1247,C1245),C1245&lt;&gt;0),P1245+1,0)</f>
        <v>13</v>
      </c>
      <c r="Q1247" s="189" t="str">
        <f t="shared" ref="Q1247" si="5348">IF(C1247&lt;&gt;"",C1247&amp;"-"&amp;P1247,"")</f>
        <v>Pourcentage de HSH dépistés positifs admis dans des services de soins durant la période de rapportage -13</v>
      </c>
      <c r="R1247" s="189" t="str">
        <f t="array" ref="R1247">IFERROR(IF(INDEX('Disaggregation Records'!$E$155:$E$385,MATCH(RIGHT(Q1247,255),RIGHT('Disaggregation Records'!$D$155:$D$385,255),0))=0,"",INDEX('Disaggregation Records'!$E$155:$E$385,MATCH(RIGHT(Q1247,255),RIGHT('Disaggregation Records'!$D$155:$D$385,255),0))),"")</f>
        <v/>
      </c>
      <c r="S1247" s="189" t="str">
        <f t="array" ref="S1247">IFERROR(IF(INDEX('Disaggregation Records'!$F$155:$F$385,MATCH(RIGHT(Q1247,255),RIGHT('Disaggregation Records'!$D$155:$D$385,255),0))=0,"",INDEX('Disaggregation Records'!$F$155:$F$385,MATCH(RIGHT(Q1247,255),RIGHT('Disaggregation Records'!$D$155:$D$385,255),0))),"")</f>
        <v/>
      </c>
      <c r="T1247" s="189" t="str">
        <f t="array" ref="T1247">IFERROR(IF(INDEX('Disaggregation Records'!$H$155:$H$385,MATCH(RIGHT(Q1247,255),RIGHT('Disaggregation Records'!$D$155:$D$385,255),0))=0,"",INDEX('Disaggregation Records'!$H$155:$H$385,MATCH(RIGHT(Q1247,255),RIGHT('Disaggregation Records'!$D$155:$D$385,255),0))),"")</f>
        <v/>
      </c>
      <c r="U1247" s="189">
        <f t="shared" ref="U1247" si="5349">U1245+1</f>
        <v>1725</v>
      </c>
      <c r="V1247" s="189" t="str">
        <f t="array" ref="V1247">IFERROR(IF(INDEX('Disaggregation Records'!$I$155:$I$385,MATCH(RIGHT(Q1247,255),RIGHT('Disaggregation Records'!$D$155:$D$385,255),0))=0,"",INDEX('Disaggregation Records'!$I$155:$I$385,MATCH(RIGHT(Q1247,255),RIGHT('Disaggregation Records'!$D$155:$D$385,255),0))),"")</f>
        <v/>
      </c>
      <c r="W1247" s="189" t="str">
        <f>IFERROR(INDEX('Reference Records'!L$59:L$121,MATCH(LEFT(C1247,255),'Reference Records'!E$59:E$121,0)),"")</f>
        <v/>
      </c>
    </row>
    <row r="1248" spans="1:23" s="189" customFormat="1" ht="40.200000000000003" customHeight="1" x14ac:dyDescent="0.3">
      <c r="A1248" s="678"/>
      <c r="B1248" s="675"/>
      <c r="C1248" s="667"/>
      <c r="D1248" s="677"/>
      <c r="E1248" s="677"/>
      <c r="F1248" s="202"/>
      <c r="G1248" s="669"/>
      <c r="H1248" s="671"/>
      <c r="I1248" s="673"/>
      <c r="J1248" s="652"/>
      <c r="K1248" s="667"/>
      <c r="L1248" s="667"/>
      <c r="M1248" s="652"/>
      <c r="N1248" s="652"/>
    </row>
    <row r="1249" spans="1:23" s="189" customFormat="1" ht="40.200000000000003" customHeight="1" x14ac:dyDescent="0.3">
      <c r="A1249" s="678" t="str">
        <f t="shared" ref="A1249" ca="1" si="5350">INDIRECT("'update Helper'!C"&amp;U1249)</f>
        <v>a163p000002zQeRAAU</v>
      </c>
      <c r="B1249" s="674">
        <v>16</v>
      </c>
      <c r="C1249" s="666" t="str">
        <f>VLOOKUP(B1249,'Coverage Indicators - Section D'!$A$9:$AU$70,47,FALSE)</f>
        <v xml:space="preserve">Pourcentage de HSH dépistés positifs admis dans des services de soins durant la période de rapportage </v>
      </c>
      <c r="D1249" s="676" t="str">
        <f t="shared" ref="D1249" si="5351">R1249</f>
        <v/>
      </c>
      <c r="E1249" s="676" t="str">
        <f t="shared" ref="E1249" si="5352">S1249</f>
        <v/>
      </c>
      <c r="F1249" s="194"/>
      <c r="G1249" s="668" t="str">
        <f t="shared" ref="G1249" ca="1" si="5353">IF(OR(INDIRECT("'update Helper'!E"&amp;U1249)=0,F1249&lt;&gt;0,F1250&lt;&gt;0),IF(IFERROR((F1249/F1250),"")="","",(F1249/F1250)),INDIRECT("'update Helper'!E"&amp;U1249)/100)</f>
        <v/>
      </c>
      <c r="H1249" s="670"/>
      <c r="I1249" s="672"/>
      <c r="J1249" s="651"/>
      <c r="K1249" s="666" t="str">
        <f t="shared" ref="K1249" si="5354">W1249</f>
        <v/>
      </c>
      <c r="L1249" s="666" t="str">
        <f t="shared" ref="L1249" si="5355">V1249</f>
        <v/>
      </c>
      <c r="M1249" s="651"/>
      <c r="N1249" s="651"/>
      <c r="P1249" s="189">
        <f t="shared" ref="P1249" si="5356">IF(AND(EXACT(C1249,C1247),C1247&lt;&gt;0),P1247+1,0)</f>
        <v>14</v>
      </c>
      <c r="Q1249" s="189" t="str">
        <f t="shared" ref="Q1249" si="5357">IF(C1249&lt;&gt;"",C1249&amp;"-"&amp;P1249,"")</f>
        <v>Pourcentage de HSH dépistés positifs admis dans des services de soins durant la période de rapportage -14</v>
      </c>
      <c r="R1249" s="189" t="str">
        <f t="array" ref="R1249">IFERROR(IF(INDEX('Disaggregation Records'!$E$155:$E$385,MATCH(RIGHT(Q1249,255),RIGHT('Disaggregation Records'!$D$155:$D$385,255),0))=0,"",INDEX('Disaggregation Records'!$E$155:$E$385,MATCH(RIGHT(Q1249,255),RIGHT('Disaggregation Records'!$D$155:$D$385,255),0))),"")</f>
        <v/>
      </c>
      <c r="S1249" s="189" t="str">
        <f t="array" ref="S1249">IFERROR(IF(INDEX('Disaggregation Records'!$F$155:$F$385,MATCH(RIGHT(Q1249,255),RIGHT('Disaggregation Records'!$D$155:$D$385,255),0))=0,"",INDEX('Disaggregation Records'!$F$155:$F$385,MATCH(RIGHT(Q1249,255),RIGHT('Disaggregation Records'!$D$155:$D$385,255),0))),"")</f>
        <v/>
      </c>
      <c r="T1249" s="189" t="str">
        <f t="array" ref="T1249">IFERROR(IF(INDEX('Disaggregation Records'!$H$155:$H$385,MATCH(RIGHT(Q1249,255),RIGHT('Disaggregation Records'!$D$155:$D$385,255),0))=0,"",INDEX('Disaggregation Records'!$H$155:$H$385,MATCH(RIGHT(Q1249,255),RIGHT('Disaggregation Records'!$D$155:$D$385,255),0))),"")</f>
        <v/>
      </c>
      <c r="U1249" s="189">
        <f t="shared" ref="U1249" si="5358">U1247+1</f>
        <v>1726</v>
      </c>
      <c r="V1249" s="189" t="str">
        <f t="array" ref="V1249">IFERROR(IF(INDEX('Disaggregation Records'!$I$155:$I$385,MATCH(RIGHT(Q1249,255),RIGHT('Disaggregation Records'!$D$155:$D$385,255),0))=0,"",INDEX('Disaggregation Records'!$I$155:$I$385,MATCH(RIGHT(Q1249,255),RIGHT('Disaggregation Records'!$D$155:$D$385,255),0))),"")</f>
        <v/>
      </c>
      <c r="W1249" s="189" t="str">
        <f>IFERROR(INDEX('Reference Records'!L$59:L$121,MATCH(LEFT(C1249,255),'Reference Records'!E$59:E$121,0)),"")</f>
        <v/>
      </c>
    </row>
    <row r="1250" spans="1:23" s="189" customFormat="1" ht="40.200000000000003" customHeight="1" x14ac:dyDescent="0.3">
      <c r="A1250" s="678"/>
      <c r="B1250" s="675"/>
      <c r="C1250" s="667"/>
      <c r="D1250" s="677"/>
      <c r="E1250" s="677"/>
      <c r="F1250" s="202"/>
      <c r="G1250" s="669"/>
      <c r="H1250" s="671"/>
      <c r="I1250" s="673"/>
      <c r="J1250" s="652"/>
      <c r="K1250" s="667"/>
      <c r="L1250" s="667"/>
      <c r="M1250" s="652"/>
      <c r="N1250" s="652"/>
    </row>
    <row r="1251" spans="1:23" s="189" customFormat="1" ht="40.200000000000003" customHeight="1" x14ac:dyDescent="0.3">
      <c r="A1251" s="678" t="str">
        <f t="shared" ref="A1251" ca="1" si="5359">INDIRECT("'update Helper'!C"&amp;U1251)</f>
        <v>a163p000002zQeSAAU</v>
      </c>
      <c r="B1251" s="674">
        <v>16</v>
      </c>
      <c r="C1251" s="666" t="str">
        <f>VLOOKUP(B1251,'Coverage Indicators - Section D'!$A$9:$AU$70,47,FALSE)</f>
        <v xml:space="preserve">Pourcentage de HSH dépistés positifs admis dans des services de soins durant la période de rapportage </v>
      </c>
      <c r="D1251" s="676" t="str">
        <f t="shared" ref="D1251" si="5360">R1251</f>
        <v/>
      </c>
      <c r="E1251" s="676" t="str">
        <f t="shared" ref="E1251" si="5361">S1251</f>
        <v/>
      </c>
      <c r="F1251" s="194"/>
      <c r="G1251" s="668" t="str">
        <f t="shared" ref="G1251" ca="1" si="5362">IF(OR(INDIRECT("'update Helper'!E"&amp;U1251)=0,F1251&lt;&gt;0,F1252&lt;&gt;0),IF(IFERROR((F1251/F1252),"")="","",(F1251/F1252)),INDIRECT("'update Helper'!E"&amp;U1251)/100)</f>
        <v/>
      </c>
      <c r="H1251" s="670"/>
      <c r="I1251" s="672"/>
      <c r="J1251" s="651"/>
      <c r="K1251" s="666" t="str">
        <f t="shared" ref="K1251" si="5363">W1251</f>
        <v/>
      </c>
      <c r="L1251" s="666" t="str">
        <f t="shared" ref="L1251" si="5364">V1251</f>
        <v/>
      </c>
      <c r="M1251" s="651"/>
      <c r="N1251" s="651"/>
      <c r="P1251" s="189">
        <f t="shared" ref="P1251" si="5365">IF(AND(EXACT(C1251,C1249),C1249&lt;&gt;0),P1249+1,0)</f>
        <v>15</v>
      </c>
      <c r="Q1251" s="189" t="str">
        <f t="shared" ref="Q1251" si="5366">IF(C1251&lt;&gt;"",C1251&amp;"-"&amp;P1251,"")</f>
        <v>Pourcentage de HSH dépistés positifs admis dans des services de soins durant la période de rapportage -15</v>
      </c>
      <c r="R1251" s="189" t="str">
        <f t="array" ref="R1251">IFERROR(IF(INDEX('Disaggregation Records'!$E$155:$E$385,MATCH(RIGHT(Q1251,255),RIGHT('Disaggregation Records'!$D$155:$D$385,255),0))=0,"",INDEX('Disaggregation Records'!$E$155:$E$385,MATCH(RIGHT(Q1251,255),RIGHT('Disaggregation Records'!$D$155:$D$385,255),0))),"")</f>
        <v/>
      </c>
      <c r="S1251" s="189" t="str">
        <f t="array" ref="S1251">IFERROR(IF(INDEX('Disaggregation Records'!$F$155:$F$385,MATCH(RIGHT(Q1251,255),RIGHT('Disaggregation Records'!$D$155:$D$385,255),0))=0,"",INDEX('Disaggregation Records'!$F$155:$F$385,MATCH(RIGHT(Q1251,255),RIGHT('Disaggregation Records'!$D$155:$D$385,255),0))),"")</f>
        <v/>
      </c>
      <c r="T1251" s="189" t="str">
        <f t="array" ref="T1251">IFERROR(IF(INDEX('Disaggregation Records'!$H$155:$H$385,MATCH(RIGHT(Q1251,255),RIGHT('Disaggregation Records'!$D$155:$D$385,255),0))=0,"",INDEX('Disaggregation Records'!$H$155:$H$385,MATCH(RIGHT(Q1251,255),RIGHT('Disaggregation Records'!$D$155:$D$385,255),0))),"")</f>
        <v/>
      </c>
      <c r="U1251" s="189">
        <f t="shared" ref="U1251" si="5367">U1249+1</f>
        <v>1727</v>
      </c>
      <c r="V1251" s="189" t="str">
        <f t="array" ref="V1251">IFERROR(IF(INDEX('Disaggregation Records'!$I$155:$I$385,MATCH(RIGHT(Q1251,255),RIGHT('Disaggregation Records'!$D$155:$D$385,255),0))=0,"",INDEX('Disaggregation Records'!$I$155:$I$385,MATCH(RIGHT(Q1251,255),RIGHT('Disaggregation Records'!$D$155:$D$385,255),0))),"")</f>
        <v/>
      </c>
      <c r="W1251" s="189" t="str">
        <f>IFERROR(INDEX('Reference Records'!L$59:L$121,MATCH(LEFT(C1251,255),'Reference Records'!E$59:E$121,0)),"")</f>
        <v/>
      </c>
    </row>
    <row r="1252" spans="1:23" s="189" customFormat="1" ht="40.200000000000003" customHeight="1" x14ac:dyDescent="0.3">
      <c r="A1252" s="678"/>
      <c r="B1252" s="675"/>
      <c r="C1252" s="667"/>
      <c r="D1252" s="677"/>
      <c r="E1252" s="677"/>
      <c r="F1252" s="202"/>
      <c r="G1252" s="669"/>
      <c r="H1252" s="671"/>
      <c r="I1252" s="673"/>
      <c r="J1252" s="652"/>
      <c r="K1252" s="667"/>
      <c r="L1252" s="667"/>
      <c r="M1252" s="652"/>
      <c r="N1252" s="652"/>
    </row>
    <row r="1253" spans="1:23" s="189" customFormat="1" ht="40.200000000000003" customHeight="1" x14ac:dyDescent="0.3">
      <c r="A1253" s="678" t="str">
        <f t="shared" ref="A1253" ca="1" si="5368">INDIRECT("'update Helper'!C"&amp;U1253)</f>
        <v>a163p000002zQeTAAU</v>
      </c>
      <c r="B1253" s="674">
        <v>16</v>
      </c>
      <c r="C1253" s="666" t="str">
        <f>VLOOKUP(B1253,'Coverage Indicators - Section D'!$A$9:$AU$70,47,FALSE)</f>
        <v xml:space="preserve">Pourcentage de HSH dépistés positifs admis dans des services de soins durant la période de rapportage </v>
      </c>
      <c r="D1253" s="676" t="str">
        <f t="shared" ref="D1253" si="5369">R1253</f>
        <v/>
      </c>
      <c r="E1253" s="676" t="str">
        <f t="shared" ref="E1253" si="5370">S1253</f>
        <v/>
      </c>
      <c r="F1253" s="194"/>
      <c r="G1253" s="668" t="str">
        <f t="shared" ref="G1253" ca="1" si="5371">IF(OR(INDIRECT("'update Helper'!E"&amp;U1253)=0,F1253&lt;&gt;0,F1254&lt;&gt;0),IF(IFERROR((F1253/F1254),"")="","",(F1253/F1254)),INDIRECT("'update Helper'!E"&amp;U1253)/100)</f>
        <v/>
      </c>
      <c r="H1253" s="670"/>
      <c r="I1253" s="672"/>
      <c r="J1253" s="651"/>
      <c r="K1253" s="666" t="str">
        <f t="shared" ref="K1253" si="5372">W1253</f>
        <v/>
      </c>
      <c r="L1253" s="666" t="str">
        <f t="shared" ref="L1253" si="5373">V1253</f>
        <v/>
      </c>
      <c r="M1253" s="651"/>
      <c r="N1253" s="651"/>
      <c r="P1253" s="189">
        <f t="shared" ref="P1253" si="5374">IF(AND(EXACT(C1253,C1251),C1251&lt;&gt;0),P1251+1,0)</f>
        <v>16</v>
      </c>
      <c r="Q1253" s="189" t="str">
        <f t="shared" ref="Q1253" si="5375">IF(C1253&lt;&gt;"",C1253&amp;"-"&amp;P1253,"")</f>
        <v>Pourcentage de HSH dépistés positifs admis dans des services de soins durant la période de rapportage -16</v>
      </c>
      <c r="R1253" s="189" t="str">
        <f t="array" ref="R1253">IFERROR(IF(INDEX('Disaggregation Records'!$E$155:$E$385,MATCH(RIGHT(Q1253,255),RIGHT('Disaggregation Records'!$D$155:$D$385,255),0))=0,"",INDEX('Disaggregation Records'!$E$155:$E$385,MATCH(RIGHT(Q1253,255),RIGHT('Disaggregation Records'!$D$155:$D$385,255),0))),"")</f>
        <v/>
      </c>
      <c r="S1253" s="189" t="str">
        <f t="array" ref="S1253">IFERROR(IF(INDEX('Disaggregation Records'!$F$155:$F$385,MATCH(RIGHT(Q1253,255),RIGHT('Disaggregation Records'!$D$155:$D$385,255),0))=0,"",INDEX('Disaggregation Records'!$F$155:$F$385,MATCH(RIGHT(Q1253,255),RIGHT('Disaggregation Records'!$D$155:$D$385,255),0))),"")</f>
        <v/>
      </c>
      <c r="T1253" s="189" t="str">
        <f t="array" ref="T1253">IFERROR(IF(INDEX('Disaggregation Records'!$H$155:$H$385,MATCH(RIGHT(Q1253,255),RIGHT('Disaggregation Records'!$D$155:$D$385,255),0))=0,"",INDEX('Disaggregation Records'!$H$155:$H$385,MATCH(RIGHT(Q1253,255),RIGHT('Disaggregation Records'!$D$155:$D$385,255),0))),"")</f>
        <v/>
      </c>
      <c r="U1253" s="189">
        <f t="shared" ref="U1253" si="5376">U1251+1</f>
        <v>1728</v>
      </c>
      <c r="V1253" s="189" t="str">
        <f t="array" ref="V1253">IFERROR(IF(INDEX('Disaggregation Records'!$I$155:$I$385,MATCH(RIGHT(Q1253,255),RIGHT('Disaggregation Records'!$D$155:$D$385,255),0))=0,"",INDEX('Disaggregation Records'!$I$155:$I$385,MATCH(RIGHT(Q1253,255),RIGHT('Disaggregation Records'!$D$155:$D$385,255),0))),"")</f>
        <v/>
      </c>
      <c r="W1253" s="189" t="str">
        <f>IFERROR(INDEX('Reference Records'!L$59:L$121,MATCH(LEFT(C1253,255),'Reference Records'!E$59:E$121,0)),"")</f>
        <v/>
      </c>
    </row>
    <row r="1254" spans="1:23" s="189" customFormat="1" ht="40.200000000000003" customHeight="1" x14ac:dyDescent="0.3">
      <c r="A1254" s="678"/>
      <c r="B1254" s="675"/>
      <c r="C1254" s="667"/>
      <c r="D1254" s="677"/>
      <c r="E1254" s="677"/>
      <c r="F1254" s="202"/>
      <c r="G1254" s="669"/>
      <c r="H1254" s="671"/>
      <c r="I1254" s="673"/>
      <c r="J1254" s="652"/>
      <c r="K1254" s="667"/>
      <c r="L1254" s="667"/>
      <c r="M1254" s="652"/>
      <c r="N1254" s="652"/>
    </row>
    <row r="1255" spans="1:23" s="189" customFormat="1" ht="40.200000000000003" customHeight="1" x14ac:dyDescent="0.3">
      <c r="A1255" s="678" t="str">
        <f t="shared" ref="A1255" ca="1" si="5377">INDIRECT("'update Helper'!C"&amp;U1255)</f>
        <v>a163p000002zQeUAAU</v>
      </c>
      <c r="B1255" s="674">
        <v>16</v>
      </c>
      <c r="C1255" s="666" t="str">
        <f>VLOOKUP(B1255,'Coverage Indicators - Section D'!$A$9:$AU$70,47,FALSE)</f>
        <v xml:space="preserve">Pourcentage de HSH dépistés positifs admis dans des services de soins durant la période de rapportage </v>
      </c>
      <c r="D1255" s="676" t="str">
        <f t="shared" ref="D1255" si="5378">R1255</f>
        <v/>
      </c>
      <c r="E1255" s="676" t="str">
        <f t="shared" ref="E1255" si="5379">S1255</f>
        <v/>
      </c>
      <c r="F1255" s="194"/>
      <c r="G1255" s="668" t="str">
        <f t="shared" ref="G1255" ca="1" si="5380">IF(OR(INDIRECT("'update Helper'!E"&amp;U1255)=0,F1255&lt;&gt;0,F1256&lt;&gt;0),IF(IFERROR((F1255/F1256),"")="","",(F1255/F1256)),INDIRECT("'update Helper'!E"&amp;U1255)/100)</f>
        <v/>
      </c>
      <c r="H1255" s="670"/>
      <c r="I1255" s="672"/>
      <c r="J1255" s="651"/>
      <c r="K1255" s="666" t="str">
        <f t="shared" ref="K1255" si="5381">W1255</f>
        <v/>
      </c>
      <c r="L1255" s="666" t="str">
        <f t="shared" ref="L1255" si="5382">V1255</f>
        <v/>
      </c>
      <c r="M1255" s="651"/>
      <c r="N1255" s="651"/>
      <c r="P1255" s="189">
        <f t="shared" ref="P1255" si="5383">IF(AND(EXACT(C1255,C1253),C1253&lt;&gt;0),P1253+1,0)</f>
        <v>17</v>
      </c>
      <c r="Q1255" s="189" t="str">
        <f t="shared" ref="Q1255" si="5384">IF(C1255&lt;&gt;"",C1255&amp;"-"&amp;P1255,"")</f>
        <v>Pourcentage de HSH dépistés positifs admis dans des services de soins durant la période de rapportage -17</v>
      </c>
      <c r="R1255" s="189" t="str">
        <f t="array" ref="R1255">IFERROR(IF(INDEX('Disaggregation Records'!$E$155:$E$385,MATCH(RIGHT(Q1255,255),RIGHT('Disaggregation Records'!$D$155:$D$385,255),0))=0,"",INDEX('Disaggregation Records'!$E$155:$E$385,MATCH(RIGHT(Q1255,255),RIGHT('Disaggregation Records'!$D$155:$D$385,255),0))),"")</f>
        <v/>
      </c>
      <c r="S1255" s="189" t="str">
        <f t="array" ref="S1255">IFERROR(IF(INDEX('Disaggregation Records'!$F$155:$F$385,MATCH(RIGHT(Q1255,255),RIGHT('Disaggregation Records'!$D$155:$D$385,255),0))=0,"",INDEX('Disaggregation Records'!$F$155:$F$385,MATCH(RIGHT(Q1255,255),RIGHT('Disaggregation Records'!$D$155:$D$385,255),0))),"")</f>
        <v/>
      </c>
      <c r="T1255" s="189" t="str">
        <f t="array" ref="T1255">IFERROR(IF(INDEX('Disaggregation Records'!$H$155:$H$385,MATCH(RIGHT(Q1255,255),RIGHT('Disaggregation Records'!$D$155:$D$385,255),0))=0,"",INDEX('Disaggregation Records'!$H$155:$H$385,MATCH(RIGHT(Q1255,255),RIGHT('Disaggregation Records'!$D$155:$D$385,255),0))),"")</f>
        <v/>
      </c>
      <c r="U1255" s="189">
        <f t="shared" ref="U1255" si="5385">U1253+1</f>
        <v>1729</v>
      </c>
      <c r="V1255" s="189" t="str">
        <f t="array" ref="V1255">IFERROR(IF(INDEX('Disaggregation Records'!$I$155:$I$385,MATCH(RIGHT(Q1255,255),RIGHT('Disaggregation Records'!$D$155:$D$385,255),0))=0,"",INDEX('Disaggregation Records'!$I$155:$I$385,MATCH(RIGHT(Q1255,255),RIGHT('Disaggregation Records'!$D$155:$D$385,255),0))),"")</f>
        <v/>
      </c>
      <c r="W1255" s="189" t="str">
        <f>IFERROR(INDEX('Reference Records'!L$59:L$121,MATCH(LEFT(C1255,255),'Reference Records'!E$59:E$121,0)),"")</f>
        <v/>
      </c>
    </row>
    <row r="1256" spans="1:23" s="189" customFormat="1" ht="40.200000000000003" customHeight="1" x14ac:dyDescent="0.3">
      <c r="A1256" s="678"/>
      <c r="B1256" s="675"/>
      <c r="C1256" s="667"/>
      <c r="D1256" s="677"/>
      <c r="E1256" s="677"/>
      <c r="F1256" s="202"/>
      <c r="G1256" s="669"/>
      <c r="H1256" s="671"/>
      <c r="I1256" s="673"/>
      <c r="J1256" s="652"/>
      <c r="K1256" s="667"/>
      <c r="L1256" s="667"/>
      <c r="M1256" s="652"/>
      <c r="N1256" s="652"/>
    </row>
    <row r="1257" spans="1:23" s="189" customFormat="1" ht="40.200000000000003" customHeight="1" x14ac:dyDescent="0.3">
      <c r="A1257" s="678" t="str">
        <f t="shared" ref="A1257" ca="1" si="5386">INDIRECT("'update Helper'!C"&amp;U1257)</f>
        <v>a163p000002zQeVAAU</v>
      </c>
      <c r="B1257" s="674">
        <v>16</v>
      </c>
      <c r="C1257" s="666" t="str">
        <f>VLOOKUP(B1257,'Coverage Indicators - Section D'!$A$9:$AU$70,47,FALSE)</f>
        <v xml:space="preserve">Pourcentage de HSH dépistés positifs admis dans des services de soins durant la période de rapportage </v>
      </c>
      <c r="D1257" s="676" t="str">
        <f t="shared" ref="D1257" si="5387">R1257</f>
        <v/>
      </c>
      <c r="E1257" s="676" t="str">
        <f t="shared" ref="E1257" si="5388">S1257</f>
        <v/>
      </c>
      <c r="F1257" s="194"/>
      <c r="G1257" s="668" t="str">
        <f t="shared" ref="G1257" ca="1" si="5389">IF(OR(INDIRECT("'update Helper'!E"&amp;U1257)=0,F1257&lt;&gt;0,F1258&lt;&gt;0),IF(IFERROR((F1257/F1258),"")="","",(F1257/F1258)),INDIRECT("'update Helper'!E"&amp;U1257)/100)</f>
        <v/>
      </c>
      <c r="H1257" s="670"/>
      <c r="I1257" s="672"/>
      <c r="J1257" s="651"/>
      <c r="K1257" s="666" t="str">
        <f t="shared" ref="K1257" si="5390">W1257</f>
        <v/>
      </c>
      <c r="L1257" s="666" t="str">
        <f t="shared" ref="L1257" si="5391">V1257</f>
        <v/>
      </c>
      <c r="M1257" s="651"/>
      <c r="N1257" s="651"/>
      <c r="P1257" s="189">
        <f t="shared" ref="P1257" si="5392">IF(AND(EXACT(C1257,C1255),C1255&lt;&gt;0),P1255+1,0)</f>
        <v>18</v>
      </c>
      <c r="Q1257" s="189" t="str">
        <f t="shared" ref="Q1257" si="5393">IF(C1257&lt;&gt;"",C1257&amp;"-"&amp;P1257,"")</f>
        <v>Pourcentage de HSH dépistés positifs admis dans des services de soins durant la période de rapportage -18</v>
      </c>
      <c r="R1257" s="189" t="str">
        <f t="array" ref="R1257">IFERROR(IF(INDEX('Disaggregation Records'!$E$155:$E$385,MATCH(RIGHT(Q1257,255),RIGHT('Disaggregation Records'!$D$155:$D$385,255),0))=0,"",INDEX('Disaggregation Records'!$E$155:$E$385,MATCH(RIGHT(Q1257,255),RIGHT('Disaggregation Records'!$D$155:$D$385,255),0))),"")</f>
        <v/>
      </c>
      <c r="S1257" s="189" t="str">
        <f t="array" ref="S1257">IFERROR(IF(INDEX('Disaggregation Records'!$F$155:$F$385,MATCH(RIGHT(Q1257,255),RIGHT('Disaggregation Records'!$D$155:$D$385,255),0))=0,"",INDEX('Disaggregation Records'!$F$155:$F$385,MATCH(RIGHT(Q1257,255),RIGHT('Disaggregation Records'!$D$155:$D$385,255),0))),"")</f>
        <v/>
      </c>
      <c r="T1257" s="189" t="str">
        <f t="array" ref="T1257">IFERROR(IF(INDEX('Disaggregation Records'!$H$155:$H$385,MATCH(RIGHT(Q1257,255),RIGHT('Disaggregation Records'!$D$155:$D$385,255),0))=0,"",INDEX('Disaggregation Records'!$H$155:$H$385,MATCH(RIGHT(Q1257,255),RIGHT('Disaggregation Records'!$D$155:$D$385,255),0))),"")</f>
        <v/>
      </c>
      <c r="U1257" s="189">
        <f t="shared" ref="U1257" si="5394">U1255+1</f>
        <v>1730</v>
      </c>
      <c r="V1257" s="189" t="str">
        <f t="array" ref="V1257">IFERROR(IF(INDEX('Disaggregation Records'!$I$155:$I$385,MATCH(RIGHT(Q1257,255),RIGHT('Disaggregation Records'!$D$155:$D$385,255),0))=0,"",INDEX('Disaggregation Records'!$I$155:$I$385,MATCH(RIGHT(Q1257,255),RIGHT('Disaggregation Records'!$D$155:$D$385,255),0))),"")</f>
        <v/>
      </c>
      <c r="W1257" s="189" t="str">
        <f>IFERROR(INDEX('Reference Records'!L$59:L$121,MATCH(LEFT(C1257,255),'Reference Records'!E$59:E$121,0)),"")</f>
        <v/>
      </c>
    </row>
    <row r="1258" spans="1:23" s="189" customFormat="1" ht="40.200000000000003" customHeight="1" x14ac:dyDescent="0.3">
      <c r="A1258" s="678"/>
      <c r="B1258" s="675"/>
      <c r="C1258" s="667"/>
      <c r="D1258" s="677"/>
      <c r="E1258" s="677"/>
      <c r="F1258" s="202"/>
      <c r="G1258" s="669"/>
      <c r="H1258" s="671"/>
      <c r="I1258" s="673"/>
      <c r="J1258" s="652"/>
      <c r="K1258" s="667"/>
      <c r="L1258" s="667"/>
      <c r="M1258" s="652"/>
      <c r="N1258" s="652"/>
    </row>
    <row r="1259" spans="1:23" s="189" customFormat="1" ht="40.200000000000003" customHeight="1" x14ac:dyDescent="0.3">
      <c r="A1259" s="678" t="str">
        <f t="shared" ref="A1259" ca="1" si="5395">INDIRECT("'update Helper'!C"&amp;U1259)</f>
        <v>a163p000002zQeWAAU</v>
      </c>
      <c r="B1259" s="674">
        <v>16</v>
      </c>
      <c r="C1259" s="666" t="str">
        <f>VLOOKUP(B1259,'Coverage Indicators - Section D'!$A$9:$AU$70,47,FALSE)</f>
        <v xml:space="preserve">Pourcentage de HSH dépistés positifs admis dans des services de soins durant la période de rapportage </v>
      </c>
      <c r="D1259" s="676" t="str">
        <f t="shared" ref="D1259" si="5396">R1259</f>
        <v/>
      </c>
      <c r="E1259" s="676" t="str">
        <f t="shared" ref="E1259" si="5397">S1259</f>
        <v/>
      </c>
      <c r="F1259" s="194"/>
      <c r="G1259" s="668" t="str">
        <f t="shared" ref="G1259" ca="1" si="5398">IF(OR(INDIRECT("'update Helper'!E"&amp;U1259)=0,F1259&lt;&gt;0,F1260&lt;&gt;0),IF(IFERROR((F1259/F1260),"")="","",(F1259/F1260)),INDIRECT("'update Helper'!E"&amp;U1259)/100)</f>
        <v/>
      </c>
      <c r="H1259" s="670"/>
      <c r="I1259" s="672"/>
      <c r="J1259" s="651"/>
      <c r="K1259" s="666" t="str">
        <f t="shared" ref="K1259" si="5399">W1259</f>
        <v/>
      </c>
      <c r="L1259" s="666" t="str">
        <f t="shared" ref="L1259" si="5400">V1259</f>
        <v/>
      </c>
      <c r="M1259" s="651"/>
      <c r="N1259" s="651"/>
      <c r="P1259" s="189">
        <f t="shared" ref="P1259" si="5401">IF(AND(EXACT(C1259,C1257),C1257&lt;&gt;0),P1257+1,0)</f>
        <v>19</v>
      </c>
      <c r="Q1259" s="189" t="str">
        <f t="shared" ref="Q1259" si="5402">IF(C1259&lt;&gt;"",C1259&amp;"-"&amp;P1259,"")</f>
        <v>Pourcentage de HSH dépistés positifs admis dans des services de soins durant la période de rapportage -19</v>
      </c>
      <c r="R1259" s="189" t="str">
        <f t="array" ref="R1259">IFERROR(IF(INDEX('Disaggregation Records'!$E$155:$E$385,MATCH(RIGHT(Q1259,255),RIGHT('Disaggregation Records'!$D$155:$D$385,255),0))=0,"",INDEX('Disaggregation Records'!$E$155:$E$385,MATCH(RIGHT(Q1259,255),RIGHT('Disaggregation Records'!$D$155:$D$385,255),0))),"")</f>
        <v/>
      </c>
      <c r="S1259" s="189" t="str">
        <f t="array" ref="S1259">IFERROR(IF(INDEX('Disaggregation Records'!$F$155:$F$385,MATCH(RIGHT(Q1259,255),RIGHT('Disaggregation Records'!$D$155:$D$385,255),0))=0,"",INDEX('Disaggregation Records'!$F$155:$F$385,MATCH(RIGHT(Q1259,255),RIGHT('Disaggregation Records'!$D$155:$D$385,255),0))),"")</f>
        <v/>
      </c>
      <c r="T1259" s="189" t="str">
        <f t="array" ref="T1259">IFERROR(IF(INDEX('Disaggregation Records'!$H$155:$H$385,MATCH(RIGHT(Q1259,255),RIGHT('Disaggregation Records'!$D$155:$D$385,255),0))=0,"",INDEX('Disaggregation Records'!$H$155:$H$385,MATCH(RIGHT(Q1259,255),RIGHT('Disaggregation Records'!$D$155:$D$385,255),0))),"")</f>
        <v/>
      </c>
      <c r="U1259" s="189">
        <f t="shared" ref="U1259" si="5403">U1257+1</f>
        <v>1731</v>
      </c>
      <c r="V1259" s="189" t="str">
        <f t="array" ref="V1259">IFERROR(IF(INDEX('Disaggregation Records'!$I$155:$I$385,MATCH(RIGHT(Q1259,255),RIGHT('Disaggregation Records'!$D$155:$D$385,255),0))=0,"",INDEX('Disaggregation Records'!$I$155:$I$385,MATCH(RIGHT(Q1259,255),RIGHT('Disaggregation Records'!$D$155:$D$385,255),0))),"")</f>
        <v/>
      </c>
      <c r="W1259" s="189" t="str">
        <f>IFERROR(INDEX('Reference Records'!L$59:L$121,MATCH(LEFT(C1259,255),'Reference Records'!E$59:E$121,0)),"")</f>
        <v/>
      </c>
    </row>
    <row r="1260" spans="1:23" s="189" customFormat="1" ht="40.200000000000003" customHeight="1" x14ac:dyDescent="0.3">
      <c r="A1260" s="678"/>
      <c r="B1260" s="675"/>
      <c r="C1260" s="667"/>
      <c r="D1260" s="677"/>
      <c r="E1260" s="677"/>
      <c r="F1260" s="202"/>
      <c r="G1260" s="669"/>
      <c r="H1260" s="671"/>
      <c r="I1260" s="673"/>
      <c r="J1260" s="652"/>
      <c r="K1260" s="667"/>
      <c r="L1260" s="667"/>
      <c r="M1260" s="652"/>
      <c r="N1260" s="652"/>
    </row>
    <row r="1261" spans="1:23" s="189" customFormat="1" ht="40.200000000000003" customHeight="1" x14ac:dyDescent="0.3">
      <c r="A1261" s="678" t="str">
        <f t="shared" ref="A1261" ca="1" si="5404">INDIRECT("'update Helper'!C"&amp;U1261)</f>
        <v>a163p000002zQeXAAU</v>
      </c>
      <c r="B1261" s="674">
        <v>17</v>
      </c>
      <c r="C1261" s="666" t="str">
        <f>VLOOKUP(B1261,'Coverage Indicators - Section D'!$A$9:$AU$70,47,FALSE)</f>
        <v xml:space="preserve">Pourcentage de professionnelles de sexe dépistées positives admises dans des services de soins durant la période de rapportage </v>
      </c>
      <c r="D1261" s="676" t="str">
        <f t="shared" ref="D1261" si="5405">R1261</f>
        <v/>
      </c>
      <c r="E1261" s="676" t="str">
        <f t="shared" ref="E1261" si="5406">S1261</f>
        <v/>
      </c>
      <c r="F1261" s="194"/>
      <c r="G1261" s="668" t="str">
        <f t="shared" ref="G1261" ca="1" si="5407">IF(OR(INDIRECT("'update Helper'!E"&amp;U1261)=0,F1261&lt;&gt;0,F1262&lt;&gt;0),IF(IFERROR((F1261/F1262),"")="","",(F1261/F1262)),INDIRECT("'update Helper'!E"&amp;U1261)/100)</f>
        <v/>
      </c>
      <c r="H1261" s="670"/>
      <c r="I1261" s="672"/>
      <c r="J1261" s="651"/>
      <c r="K1261" s="666" t="str">
        <f t="shared" ref="K1261" si="5408">W1261</f>
        <v/>
      </c>
      <c r="L1261" s="666" t="str">
        <f t="shared" ref="L1261" si="5409">V1261</f>
        <v/>
      </c>
      <c r="M1261" s="651"/>
      <c r="N1261" s="651"/>
      <c r="P1261" s="189">
        <f t="shared" ref="P1261" si="5410">IF(AND(EXACT(C1261,C1259),C1259&lt;&gt;0),P1259+1,0)</f>
        <v>0</v>
      </c>
      <c r="Q1261" s="189" t="str">
        <f t="shared" ref="Q1261" si="5411">IF(C1261&lt;&gt;"",C1261&amp;"-"&amp;P1261,"")</f>
        <v>Pourcentage de professionnelles de sexe dépistées positives admises dans des services de soins durant la période de rapportage -0</v>
      </c>
      <c r="R1261" s="189" t="str">
        <f t="array" ref="R1261">IFERROR(IF(INDEX('Disaggregation Records'!$E$155:$E$385,MATCH(RIGHT(Q1261,255),RIGHT('Disaggregation Records'!$D$155:$D$385,255),0))=0,"",INDEX('Disaggregation Records'!$E$155:$E$385,MATCH(RIGHT(Q1261,255),RIGHT('Disaggregation Records'!$D$155:$D$385,255),0))),"")</f>
        <v/>
      </c>
      <c r="S1261" s="189" t="str">
        <f t="array" ref="S1261">IFERROR(IF(INDEX('Disaggregation Records'!$F$155:$F$385,MATCH(RIGHT(Q1261,255),RIGHT('Disaggregation Records'!$D$155:$D$385,255),0))=0,"",INDEX('Disaggregation Records'!$F$155:$F$385,MATCH(RIGHT(Q1261,255),RIGHT('Disaggregation Records'!$D$155:$D$385,255),0))),"")</f>
        <v/>
      </c>
      <c r="T1261" s="189" t="str">
        <f t="array" ref="T1261">IFERROR(IF(INDEX('Disaggregation Records'!$H$155:$H$385,MATCH(RIGHT(Q1261,255),RIGHT('Disaggregation Records'!$D$155:$D$385,255),0))=0,"",INDEX('Disaggregation Records'!$H$155:$H$385,MATCH(RIGHT(Q1261,255),RIGHT('Disaggregation Records'!$D$155:$D$385,255),0))),"")</f>
        <v/>
      </c>
      <c r="U1261" s="189">
        <f t="shared" ref="U1261" si="5412">U1259+1</f>
        <v>1732</v>
      </c>
      <c r="V1261" s="189" t="str">
        <f t="array" ref="V1261">IFERROR(IF(INDEX('Disaggregation Records'!$I$155:$I$385,MATCH(RIGHT(Q1261,255),RIGHT('Disaggregation Records'!$D$155:$D$385,255),0))=0,"",INDEX('Disaggregation Records'!$I$155:$I$385,MATCH(RIGHT(Q1261,255),RIGHT('Disaggregation Records'!$D$155:$D$385,255),0))),"")</f>
        <v/>
      </c>
      <c r="W1261" s="189" t="str">
        <f>IFERROR(INDEX('Reference Records'!L$59:L$121,MATCH(LEFT(C1261,255),'Reference Records'!E$59:E$121,0)),"")</f>
        <v/>
      </c>
    </row>
    <row r="1262" spans="1:23" s="189" customFormat="1" ht="40.200000000000003" customHeight="1" x14ac:dyDescent="0.3">
      <c r="A1262" s="678"/>
      <c r="B1262" s="675"/>
      <c r="C1262" s="667"/>
      <c r="D1262" s="677"/>
      <c r="E1262" s="677"/>
      <c r="F1262" s="202"/>
      <c r="G1262" s="669"/>
      <c r="H1262" s="671"/>
      <c r="I1262" s="673"/>
      <c r="J1262" s="652"/>
      <c r="K1262" s="667"/>
      <c r="L1262" s="667"/>
      <c r="M1262" s="652"/>
      <c r="N1262" s="652"/>
    </row>
    <row r="1263" spans="1:23" s="189" customFormat="1" ht="40.200000000000003" customHeight="1" x14ac:dyDescent="0.3">
      <c r="A1263" s="678" t="str">
        <f t="shared" ref="A1263" ca="1" si="5413">INDIRECT("'update Helper'!C"&amp;U1263)</f>
        <v>a163p000002zQeYAAU</v>
      </c>
      <c r="B1263" s="674">
        <v>17</v>
      </c>
      <c r="C1263" s="666" t="str">
        <f>VLOOKUP(B1263,'Coverage Indicators - Section D'!$A$9:$AU$70,47,FALSE)</f>
        <v xml:space="preserve">Pourcentage de professionnelles de sexe dépistées positives admises dans des services de soins durant la période de rapportage </v>
      </c>
      <c r="D1263" s="676" t="str">
        <f t="shared" ref="D1263" si="5414">R1263</f>
        <v/>
      </c>
      <c r="E1263" s="676" t="str">
        <f t="shared" ref="E1263" si="5415">S1263</f>
        <v/>
      </c>
      <c r="F1263" s="194"/>
      <c r="G1263" s="668" t="str">
        <f t="shared" ref="G1263" ca="1" si="5416">IF(OR(INDIRECT("'update Helper'!E"&amp;U1263)=0,F1263&lt;&gt;0,F1264&lt;&gt;0),IF(IFERROR((F1263/F1264),"")="","",(F1263/F1264)),INDIRECT("'update Helper'!E"&amp;U1263)/100)</f>
        <v/>
      </c>
      <c r="H1263" s="670"/>
      <c r="I1263" s="672"/>
      <c r="J1263" s="651"/>
      <c r="K1263" s="666" t="str">
        <f t="shared" ref="K1263" si="5417">W1263</f>
        <v/>
      </c>
      <c r="L1263" s="666" t="str">
        <f t="shared" ref="L1263" si="5418">V1263</f>
        <v/>
      </c>
      <c r="M1263" s="651"/>
      <c r="N1263" s="651"/>
      <c r="P1263" s="189">
        <f t="shared" ref="P1263" si="5419">IF(AND(EXACT(C1263,C1261),C1261&lt;&gt;0),P1261+1,0)</f>
        <v>1</v>
      </c>
      <c r="Q1263" s="189" t="str">
        <f t="shared" ref="Q1263" si="5420">IF(C1263&lt;&gt;"",C1263&amp;"-"&amp;P1263,"")</f>
        <v>Pourcentage de professionnelles de sexe dépistées positives admises dans des services de soins durant la période de rapportage -1</v>
      </c>
      <c r="R1263" s="189" t="str">
        <f t="array" ref="R1263">IFERROR(IF(INDEX('Disaggregation Records'!$E$155:$E$385,MATCH(RIGHT(Q1263,255),RIGHT('Disaggregation Records'!$D$155:$D$385,255),0))=0,"",INDEX('Disaggregation Records'!$E$155:$E$385,MATCH(RIGHT(Q1263,255),RIGHT('Disaggregation Records'!$D$155:$D$385,255),0))),"")</f>
        <v/>
      </c>
      <c r="S1263" s="189" t="str">
        <f t="array" ref="S1263">IFERROR(IF(INDEX('Disaggregation Records'!$F$155:$F$385,MATCH(RIGHT(Q1263,255),RIGHT('Disaggregation Records'!$D$155:$D$385,255),0))=0,"",INDEX('Disaggregation Records'!$F$155:$F$385,MATCH(RIGHT(Q1263,255),RIGHT('Disaggregation Records'!$D$155:$D$385,255),0))),"")</f>
        <v/>
      </c>
      <c r="T1263" s="189" t="str">
        <f t="array" ref="T1263">IFERROR(IF(INDEX('Disaggregation Records'!$H$155:$H$385,MATCH(RIGHT(Q1263,255),RIGHT('Disaggregation Records'!$D$155:$D$385,255),0))=0,"",INDEX('Disaggregation Records'!$H$155:$H$385,MATCH(RIGHT(Q1263,255),RIGHT('Disaggregation Records'!$D$155:$D$385,255),0))),"")</f>
        <v/>
      </c>
      <c r="U1263" s="189">
        <f t="shared" ref="U1263" si="5421">U1261+1</f>
        <v>1733</v>
      </c>
      <c r="V1263" s="189" t="str">
        <f t="array" ref="V1263">IFERROR(IF(INDEX('Disaggregation Records'!$I$155:$I$385,MATCH(RIGHT(Q1263,255),RIGHT('Disaggregation Records'!$D$155:$D$385,255),0))=0,"",INDEX('Disaggregation Records'!$I$155:$I$385,MATCH(RIGHT(Q1263,255),RIGHT('Disaggregation Records'!$D$155:$D$385,255),0))),"")</f>
        <v/>
      </c>
      <c r="W1263" s="189" t="str">
        <f>IFERROR(INDEX('Reference Records'!L$59:L$121,MATCH(LEFT(C1263,255),'Reference Records'!E$59:E$121,0)),"")</f>
        <v/>
      </c>
    </row>
    <row r="1264" spans="1:23" s="189" customFormat="1" ht="40.200000000000003" customHeight="1" x14ac:dyDescent="0.3">
      <c r="A1264" s="678"/>
      <c r="B1264" s="675"/>
      <c r="C1264" s="667"/>
      <c r="D1264" s="677"/>
      <c r="E1264" s="677"/>
      <c r="F1264" s="202"/>
      <c r="G1264" s="669"/>
      <c r="H1264" s="671"/>
      <c r="I1264" s="673"/>
      <c r="J1264" s="652"/>
      <c r="K1264" s="667"/>
      <c r="L1264" s="667"/>
      <c r="M1264" s="652"/>
      <c r="N1264" s="652"/>
    </row>
    <row r="1265" spans="1:23" s="189" customFormat="1" ht="40.200000000000003" customHeight="1" x14ac:dyDescent="0.3">
      <c r="A1265" s="678" t="str">
        <f t="shared" ref="A1265" ca="1" si="5422">INDIRECT("'update Helper'!C"&amp;U1265)</f>
        <v>a163p000002zQeZAAU</v>
      </c>
      <c r="B1265" s="674">
        <v>17</v>
      </c>
      <c r="C1265" s="666" t="str">
        <f>VLOOKUP(B1265,'Coverage Indicators - Section D'!$A$9:$AU$70,47,FALSE)</f>
        <v xml:space="preserve">Pourcentage de professionnelles de sexe dépistées positives admises dans des services de soins durant la période de rapportage </v>
      </c>
      <c r="D1265" s="676" t="str">
        <f t="shared" ref="D1265" si="5423">R1265</f>
        <v/>
      </c>
      <c r="E1265" s="676" t="str">
        <f t="shared" ref="E1265" si="5424">S1265</f>
        <v/>
      </c>
      <c r="F1265" s="194"/>
      <c r="G1265" s="668" t="str">
        <f t="shared" ref="G1265" ca="1" si="5425">IF(OR(INDIRECT("'update Helper'!E"&amp;U1265)=0,F1265&lt;&gt;0,F1266&lt;&gt;0),IF(IFERROR((F1265/F1266),"")="","",(F1265/F1266)),INDIRECT("'update Helper'!E"&amp;U1265)/100)</f>
        <v/>
      </c>
      <c r="H1265" s="670"/>
      <c r="I1265" s="672"/>
      <c r="J1265" s="651"/>
      <c r="K1265" s="666" t="str">
        <f t="shared" ref="K1265" si="5426">W1265</f>
        <v/>
      </c>
      <c r="L1265" s="666" t="str">
        <f t="shared" ref="L1265" si="5427">V1265</f>
        <v/>
      </c>
      <c r="M1265" s="651"/>
      <c r="N1265" s="651"/>
      <c r="P1265" s="189">
        <f t="shared" ref="P1265" si="5428">IF(AND(EXACT(C1265,C1263),C1263&lt;&gt;0),P1263+1,0)</f>
        <v>2</v>
      </c>
      <c r="Q1265" s="189" t="str">
        <f t="shared" ref="Q1265" si="5429">IF(C1265&lt;&gt;"",C1265&amp;"-"&amp;P1265,"")</f>
        <v>Pourcentage de professionnelles de sexe dépistées positives admises dans des services de soins durant la période de rapportage -2</v>
      </c>
      <c r="R1265" s="189" t="str">
        <f t="array" ref="R1265">IFERROR(IF(INDEX('Disaggregation Records'!$E$155:$E$385,MATCH(RIGHT(Q1265,255),RIGHT('Disaggregation Records'!$D$155:$D$385,255),0))=0,"",INDEX('Disaggregation Records'!$E$155:$E$385,MATCH(RIGHT(Q1265,255),RIGHT('Disaggregation Records'!$D$155:$D$385,255),0))),"")</f>
        <v/>
      </c>
      <c r="S1265" s="189" t="str">
        <f t="array" ref="S1265">IFERROR(IF(INDEX('Disaggregation Records'!$F$155:$F$385,MATCH(RIGHT(Q1265,255),RIGHT('Disaggregation Records'!$D$155:$D$385,255),0))=0,"",INDEX('Disaggregation Records'!$F$155:$F$385,MATCH(RIGHT(Q1265,255),RIGHT('Disaggregation Records'!$D$155:$D$385,255),0))),"")</f>
        <v/>
      </c>
      <c r="T1265" s="189" t="str">
        <f t="array" ref="T1265">IFERROR(IF(INDEX('Disaggregation Records'!$H$155:$H$385,MATCH(RIGHT(Q1265,255),RIGHT('Disaggregation Records'!$D$155:$D$385,255),0))=0,"",INDEX('Disaggregation Records'!$H$155:$H$385,MATCH(RIGHT(Q1265,255),RIGHT('Disaggregation Records'!$D$155:$D$385,255),0))),"")</f>
        <v/>
      </c>
      <c r="U1265" s="189">
        <f t="shared" ref="U1265" si="5430">U1263+1</f>
        <v>1734</v>
      </c>
      <c r="V1265" s="189" t="str">
        <f t="array" ref="V1265">IFERROR(IF(INDEX('Disaggregation Records'!$I$155:$I$385,MATCH(RIGHT(Q1265,255),RIGHT('Disaggregation Records'!$D$155:$D$385,255),0))=0,"",INDEX('Disaggregation Records'!$I$155:$I$385,MATCH(RIGHT(Q1265,255),RIGHT('Disaggregation Records'!$D$155:$D$385,255),0))),"")</f>
        <v/>
      </c>
      <c r="W1265" s="189" t="str">
        <f>IFERROR(INDEX('Reference Records'!L$59:L$121,MATCH(LEFT(C1265,255),'Reference Records'!E$59:E$121,0)),"")</f>
        <v/>
      </c>
    </row>
    <row r="1266" spans="1:23" s="189" customFormat="1" ht="40.200000000000003" customHeight="1" x14ac:dyDescent="0.3">
      <c r="A1266" s="678"/>
      <c r="B1266" s="675"/>
      <c r="C1266" s="667"/>
      <c r="D1266" s="677"/>
      <c r="E1266" s="677"/>
      <c r="F1266" s="202"/>
      <c r="G1266" s="669"/>
      <c r="H1266" s="671"/>
      <c r="I1266" s="673"/>
      <c r="J1266" s="652"/>
      <c r="K1266" s="667"/>
      <c r="L1266" s="667"/>
      <c r="M1266" s="652"/>
      <c r="N1266" s="652"/>
    </row>
    <row r="1267" spans="1:23" s="189" customFormat="1" ht="40.200000000000003" customHeight="1" x14ac:dyDescent="0.3">
      <c r="A1267" s="678" t="str">
        <f t="shared" ref="A1267" ca="1" si="5431">INDIRECT("'update Helper'!C"&amp;U1267)</f>
        <v>a163p000002zQeaAAE</v>
      </c>
      <c r="B1267" s="674">
        <v>17</v>
      </c>
      <c r="C1267" s="666" t="str">
        <f>VLOOKUP(B1267,'Coverage Indicators - Section D'!$A$9:$AU$70,47,FALSE)</f>
        <v xml:space="preserve">Pourcentage de professionnelles de sexe dépistées positives admises dans des services de soins durant la période de rapportage </v>
      </c>
      <c r="D1267" s="676" t="str">
        <f t="shared" ref="D1267" si="5432">R1267</f>
        <v/>
      </c>
      <c r="E1267" s="676" t="str">
        <f t="shared" ref="E1267" si="5433">S1267</f>
        <v/>
      </c>
      <c r="F1267" s="194"/>
      <c r="G1267" s="668" t="str">
        <f t="shared" ref="G1267" ca="1" si="5434">IF(OR(INDIRECT("'update Helper'!E"&amp;U1267)=0,F1267&lt;&gt;0,F1268&lt;&gt;0),IF(IFERROR((F1267/F1268),"")="","",(F1267/F1268)),INDIRECT("'update Helper'!E"&amp;U1267)/100)</f>
        <v/>
      </c>
      <c r="H1267" s="670"/>
      <c r="I1267" s="672"/>
      <c r="J1267" s="651"/>
      <c r="K1267" s="666" t="str">
        <f t="shared" ref="K1267" si="5435">W1267</f>
        <v/>
      </c>
      <c r="L1267" s="666" t="str">
        <f t="shared" ref="L1267" si="5436">V1267</f>
        <v/>
      </c>
      <c r="M1267" s="651"/>
      <c r="N1267" s="651"/>
      <c r="P1267" s="189">
        <f t="shared" ref="P1267" si="5437">IF(AND(EXACT(C1267,C1265),C1265&lt;&gt;0),P1265+1,0)</f>
        <v>3</v>
      </c>
      <c r="Q1267" s="189" t="str">
        <f t="shared" ref="Q1267" si="5438">IF(C1267&lt;&gt;"",C1267&amp;"-"&amp;P1267,"")</f>
        <v>Pourcentage de professionnelles de sexe dépistées positives admises dans des services de soins durant la période de rapportage -3</v>
      </c>
      <c r="R1267" s="189" t="str">
        <f t="array" ref="R1267">IFERROR(IF(INDEX('Disaggregation Records'!$E$155:$E$385,MATCH(RIGHT(Q1267,255),RIGHT('Disaggregation Records'!$D$155:$D$385,255),0))=0,"",INDEX('Disaggregation Records'!$E$155:$E$385,MATCH(RIGHT(Q1267,255),RIGHT('Disaggregation Records'!$D$155:$D$385,255),0))),"")</f>
        <v/>
      </c>
      <c r="S1267" s="189" t="str">
        <f t="array" ref="S1267">IFERROR(IF(INDEX('Disaggregation Records'!$F$155:$F$385,MATCH(RIGHT(Q1267,255),RIGHT('Disaggregation Records'!$D$155:$D$385,255),0))=0,"",INDEX('Disaggregation Records'!$F$155:$F$385,MATCH(RIGHT(Q1267,255),RIGHT('Disaggregation Records'!$D$155:$D$385,255),0))),"")</f>
        <v/>
      </c>
      <c r="T1267" s="189" t="str">
        <f t="array" ref="T1267">IFERROR(IF(INDEX('Disaggregation Records'!$H$155:$H$385,MATCH(RIGHT(Q1267,255),RIGHT('Disaggregation Records'!$D$155:$D$385,255),0))=0,"",INDEX('Disaggregation Records'!$H$155:$H$385,MATCH(RIGHT(Q1267,255),RIGHT('Disaggregation Records'!$D$155:$D$385,255),0))),"")</f>
        <v/>
      </c>
      <c r="U1267" s="189">
        <f t="shared" ref="U1267" si="5439">U1265+1</f>
        <v>1735</v>
      </c>
      <c r="V1267" s="189" t="str">
        <f t="array" ref="V1267">IFERROR(IF(INDEX('Disaggregation Records'!$I$155:$I$385,MATCH(RIGHT(Q1267,255),RIGHT('Disaggregation Records'!$D$155:$D$385,255),0))=0,"",INDEX('Disaggregation Records'!$I$155:$I$385,MATCH(RIGHT(Q1267,255),RIGHT('Disaggregation Records'!$D$155:$D$385,255),0))),"")</f>
        <v/>
      </c>
      <c r="W1267" s="189" t="str">
        <f>IFERROR(INDEX('Reference Records'!L$59:L$121,MATCH(LEFT(C1267,255),'Reference Records'!E$59:E$121,0)),"")</f>
        <v/>
      </c>
    </row>
    <row r="1268" spans="1:23" s="189" customFormat="1" ht="40.200000000000003" customHeight="1" x14ac:dyDescent="0.3">
      <c r="A1268" s="678"/>
      <c r="B1268" s="675"/>
      <c r="C1268" s="667"/>
      <c r="D1268" s="677"/>
      <c r="E1268" s="677"/>
      <c r="F1268" s="202"/>
      <c r="G1268" s="669"/>
      <c r="H1268" s="671"/>
      <c r="I1268" s="673"/>
      <c r="J1268" s="652"/>
      <c r="K1268" s="667"/>
      <c r="L1268" s="667"/>
      <c r="M1268" s="652"/>
      <c r="N1268" s="652"/>
    </row>
    <row r="1269" spans="1:23" s="189" customFormat="1" ht="40.200000000000003" customHeight="1" x14ac:dyDescent="0.3">
      <c r="A1269" s="678" t="str">
        <f t="shared" ref="A1269" ca="1" si="5440">INDIRECT("'update Helper'!C"&amp;U1269)</f>
        <v>a163p000002zQebAAE</v>
      </c>
      <c r="B1269" s="674">
        <v>17</v>
      </c>
      <c r="C1269" s="666" t="str">
        <f>VLOOKUP(B1269,'Coverage Indicators - Section D'!$A$9:$AU$70,47,FALSE)</f>
        <v xml:space="preserve">Pourcentage de professionnelles de sexe dépistées positives admises dans des services de soins durant la période de rapportage </v>
      </c>
      <c r="D1269" s="676" t="str">
        <f t="shared" ref="D1269" si="5441">R1269</f>
        <v/>
      </c>
      <c r="E1269" s="676" t="str">
        <f t="shared" ref="E1269" si="5442">S1269</f>
        <v/>
      </c>
      <c r="F1269" s="194"/>
      <c r="G1269" s="668" t="str">
        <f t="shared" ref="G1269" ca="1" si="5443">IF(OR(INDIRECT("'update Helper'!E"&amp;U1269)=0,F1269&lt;&gt;0,F1270&lt;&gt;0),IF(IFERROR((F1269/F1270),"")="","",(F1269/F1270)),INDIRECT("'update Helper'!E"&amp;U1269)/100)</f>
        <v/>
      </c>
      <c r="H1269" s="670"/>
      <c r="I1269" s="672"/>
      <c r="J1269" s="651"/>
      <c r="K1269" s="666" t="str">
        <f t="shared" ref="K1269" si="5444">W1269</f>
        <v/>
      </c>
      <c r="L1269" s="666" t="str">
        <f t="shared" ref="L1269" si="5445">V1269</f>
        <v/>
      </c>
      <c r="M1269" s="651"/>
      <c r="N1269" s="651"/>
      <c r="P1269" s="189">
        <f t="shared" ref="P1269" si="5446">IF(AND(EXACT(C1269,C1267),C1267&lt;&gt;0),P1267+1,0)</f>
        <v>4</v>
      </c>
      <c r="Q1269" s="189" t="str">
        <f t="shared" ref="Q1269" si="5447">IF(C1269&lt;&gt;"",C1269&amp;"-"&amp;P1269,"")</f>
        <v>Pourcentage de professionnelles de sexe dépistées positives admises dans des services de soins durant la période de rapportage -4</v>
      </c>
      <c r="R1269" s="189" t="str">
        <f t="array" ref="R1269">IFERROR(IF(INDEX('Disaggregation Records'!$E$155:$E$385,MATCH(RIGHT(Q1269,255),RIGHT('Disaggregation Records'!$D$155:$D$385,255),0))=0,"",INDEX('Disaggregation Records'!$E$155:$E$385,MATCH(RIGHT(Q1269,255),RIGHT('Disaggregation Records'!$D$155:$D$385,255),0))),"")</f>
        <v/>
      </c>
      <c r="S1269" s="189" t="str">
        <f t="array" ref="S1269">IFERROR(IF(INDEX('Disaggregation Records'!$F$155:$F$385,MATCH(RIGHT(Q1269,255),RIGHT('Disaggregation Records'!$D$155:$D$385,255),0))=0,"",INDEX('Disaggregation Records'!$F$155:$F$385,MATCH(RIGHT(Q1269,255),RIGHT('Disaggregation Records'!$D$155:$D$385,255),0))),"")</f>
        <v/>
      </c>
      <c r="T1269" s="189" t="str">
        <f t="array" ref="T1269">IFERROR(IF(INDEX('Disaggregation Records'!$H$155:$H$385,MATCH(RIGHT(Q1269,255),RIGHT('Disaggregation Records'!$D$155:$D$385,255),0))=0,"",INDEX('Disaggregation Records'!$H$155:$H$385,MATCH(RIGHT(Q1269,255),RIGHT('Disaggregation Records'!$D$155:$D$385,255),0))),"")</f>
        <v/>
      </c>
      <c r="U1269" s="189">
        <f t="shared" ref="U1269" si="5448">U1267+1</f>
        <v>1736</v>
      </c>
      <c r="V1269" s="189" t="str">
        <f t="array" ref="V1269">IFERROR(IF(INDEX('Disaggregation Records'!$I$155:$I$385,MATCH(RIGHT(Q1269,255),RIGHT('Disaggregation Records'!$D$155:$D$385,255),0))=0,"",INDEX('Disaggregation Records'!$I$155:$I$385,MATCH(RIGHT(Q1269,255),RIGHT('Disaggregation Records'!$D$155:$D$385,255),0))),"")</f>
        <v/>
      </c>
      <c r="W1269" s="189" t="str">
        <f>IFERROR(INDEX('Reference Records'!L$59:L$121,MATCH(LEFT(C1269,255),'Reference Records'!E$59:E$121,0)),"")</f>
        <v/>
      </c>
    </row>
    <row r="1270" spans="1:23" s="189" customFormat="1" ht="40.200000000000003" customHeight="1" x14ac:dyDescent="0.3">
      <c r="A1270" s="678"/>
      <c r="B1270" s="675"/>
      <c r="C1270" s="667"/>
      <c r="D1270" s="677"/>
      <c r="E1270" s="677"/>
      <c r="F1270" s="202"/>
      <c r="G1270" s="669"/>
      <c r="H1270" s="671"/>
      <c r="I1270" s="673"/>
      <c r="J1270" s="652"/>
      <c r="K1270" s="667"/>
      <c r="L1270" s="667"/>
      <c r="M1270" s="652"/>
      <c r="N1270" s="652"/>
    </row>
    <row r="1271" spans="1:23" s="189" customFormat="1" ht="40.200000000000003" customHeight="1" x14ac:dyDescent="0.3">
      <c r="A1271" s="678" t="str">
        <f t="shared" ref="A1271" ca="1" si="5449">INDIRECT("'update Helper'!C"&amp;U1271)</f>
        <v>a163p000002zQecAAE</v>
      </c>
      <c r="B1271" s="674">
        <v>17</v>
      </c>
      <c r="C1271" s="666" t="str">
        <f>VLOOKUP(B1271,'Coverage Indicators - Section D'!$A$9:$AU$70,47,FALSE)</f>
        <v xml:space="preserve">Pourcentage de professionnelles de sexe dépistées positives admises dans des services de soins durant la période de rapportage </v>
      </c>
      <c r="D1271" s="676" t="str">
        <f t="shared" ref="D1271" si="5450">R1271</f>
        <v/>
      </c>
      <c r="E1271" s="676" t="str">
        <f t="shared" ref="E1271" si="5451">S1271</f>
        <v/>
      </c>
      <c r="F1271" s="194"/>
      <c r="G1271" s="668" t="str">
        <f t="shared" ref="G1271" ca="1" si="5452">IF(OR(INDIRECT("'update Helper'!E"&amp;U1271)=0,F1271&lt;&gt;0,F1272&lt;&gt;0),IF(IFERROR((F1271/F1272),"")="","",(F1271/F1272)),INDIRECT("'update Helper'!E"&amp;U1271)/100)</f>
        <v/>
      </c>
      <c r="H1271" s="670"/>
      <c r="I1271" s="672"/>
      <c r="J1271" s="651"/>
      <c r="K1271" s="666" t="str">
        <f t="shared" ref="K1271" si="5453">W1271</f>
        <v/>
      </c>
      <c r="L1271" s="666" t="str">
        <f t="shared" ref="L1271" si="5454">V1271</f>
        <v/>
      </c>
      <c r="M1271" s="651"/>
      <c r="N1271" s="651"/>
      <c r="P1271" s="189">
        <f t="shared" ref="P1271" si="5455">IF(AND(EXACT(C1271,C1269),C1269&lt;&gt;0),P1269+1,0)</f>
        <v>5</v>
      </c>
      <c r="Q1271" s="189" t="str">
        <f t="shared" ref="Q1271" si="5456">IF(C1271&lt;&gt;"",C1271&amp;"-"&amp;P1271,"")</f>
        <v>Pourcentage de professionnelles de sexe dépistées positives admises dans des services de soins durant la période de rapportage -5</v>
      </c>
      <c r="R1271" s="189" t="str">
        <f t="array" ref="R1271">IFERROR(IF(INDEX('Disaggregation Records'!$E$155:$E$385,MATCH(RIGHT(Q1271,255),RIGHT('Disaggregation Records'!$D$155:$D$385,255),0))=0,"",INDEX('Disaggregation Records'!$E$155:$E$385,MATCH(RIGHT(Q1271,255),RIGHT('Disaggregation Records'!$D$155:$D$385,255),0))),"")</f>
        <v/>
      </c>
      <c r="S1271" s="189" t="str">
        <f t="array" ref="S1271">IFERROR(IF(INDEX('Disaggregation Records'!$F$155:$F$385,MATCH(RIGHT(Q1271,255),RIGHT('Disaggregation Records'!$D$155:$D$385,255),0))=0,"",INDEX('Disaggregation Records'!$F$155:$F$385,MATCH(RIGHT(Q1271,255),RIGHT('Disaggregation Records'!$D$155:$D$385,255),0))),"")</f>
        <v/>
      </c>
      <c r="T1271" s="189" t="str">
        <f t="array" ref="T1271">IFERROR(IF(INDEX('Disaggregation Records'!$H$155:$H$385,MATCH(RIGHT(Q1271,255),RIGHT('Disaggregation Records'!$D$155:$D$385,255),0))=0,"",INDEX('Disaggregation Records'!$H$155:$H$385,MATCH(RIGHT(Q1271,255),RIGHT('Disaggregation Records'!$D$155:$D$385,255),0))),"")</f>
        <v/>
      </c>
      <c r="U1271" s="189">
        <f t="shared" ref="U1271" si="5457">U1269+1</f>
        <v>1737</v>
      </c>
      <c r="V1271" s="189" t="str">
        <f t="array" ref="V1271">IFERROR(IF(INDEX('Disaggregation Records'!$I$155:$I$385,MATCH(RIGHT(Q1271,255),RIGHT('Disaggregation Records'!$D$155:$D$385,255),0))=0,"",INDEX('Disaggregation Records'!$I$155:$I$385,MATCH(RIGHT(Q1271,255),RIGHT('Disaggregation Records'!$D$155:$D$385,255),0))),"")</f>
        <v/>
      </c>
      <c r="W1271" s="189" t="str">
        <f>IFERROR(INDEX('Reference Records'!L$59:L$121,MATCH(LEFT(C1271,255),'Reference Records'!E$59:E$121,0)),"")</f>
        <v/>
      </c>
    </row>
    <row r="1272" spans="1:23" s="189" customFormat="1" ht="40.200000000000003" customHeight="1" x14ac:dyDescent="0.3">
      <c r="A1272" s="678"/>
      <c r="B1272" s="675"/>
      <c r="C1272" s="667"/>
      <c r="D1272" s="677"/>
      <c r="E1272" s="677"/>
      <c r="F1272" s="202"/>
      <c r="G1272" s="669"/>
      <c r="H1272" s="671"/>
      <c r="I1272" s="673"/>
      <c r="J1272" s="652"/>
      <c r="K1272" s="667"/>
      <c r="L1272" s="667"/>
      <c r="M1272" s="652"/>
      <c r="N1272" s="652"/>
    </row>
    <row r="1273" spans="1:23" s="189" customFormat="1" ht="40.200000000000003" customHeight="1" x14ac:dyDescent="0.3">
      <c r="A1273" s="678" t="str">
        <f t="shared" ref="A1273" ca="1" si="5458">INDIRECT("'update Helper'!C"&amp;U1273)</f>
        <v>a163p000002zQedAAE</v>
      </c>
      <c r="B1273" s="674">
        <v>17</v>
      </c>
      <c r="C1273" s="666" t="str">
        <f>VLOOKUP(B1273,'Coverage Indicators - Section D'!$A$9:$AU$70,47,FALSE)</f>
        <v xml:space="preserve">Pourcentage de professionnelles de sexe dépistées positives admises dans des services de soins durant la période de rapportage </v>
      </c>
      <c r="D1273" s="676" t="str">
        <f t="shared" ref="D1273" si="5459">R1273</f>
        <v/>
      </c>
      <c r="E1273" s="676" t="str">
        <f t="shared" ref="E1273" si="5460">S1273</f>
        <v/>
      </c>
      <c r="F1273" s="194"/>
      <c r="G1273" s="668" t="str">
        <f t="shared" ref="G1273" ca="1" si="5461">IF(OR(INDIRECT("'update Helper'!E"&amp;U1273)=0,F1273&lt;&gt;0,F1274&lt;&gt;0),IF(IFERROR((F1273/F1274),"")="","",(F1273/F1274)),INDIRECT("'update Helper'!E"&amp;U1273)/100)</f>
        <v/>
      </c>
      <c r="H1273" s="670"/>
      <c r="I1273" s="672"/>
      <c r="J1273" s="651"/>
      <c r="K1273" s="666" t="str">
        <f t="shared" ref="K1273" si="5462">W1273</f>
        <v/>
      </c>
      <c r="L1273" s="666" t="str">
        <f t="shared" ref="L1273" si="5463">V1273</f>
        <v/>
      </c>
      <c r="M1273" s="651"/>
      <c r="N1273" s="651"/>
      <c r="P1273" s="189">
        <f t="shared" ref="P1273" si="5464">IF(AND(EXACT(C1273,C1271),C1271&lt;&gt;0),P1271+1,0)</f>
        <v>6</v>
      </c>
      <c r="Q1273" s="189" t="str">
        <f t="shared" ref="Q1273" si="5465">IF(C1273&lt;&gt;"",C1273&amp;"-"&amp;P1273,"")</f>
        <v>Pourcentage de professionnelles de sexe dépistées positives admises dans des services de soins durant la période de rapportage -6</v>
      </c>
      <c r="R1273" s="189" t="str">
        <f t="array" ref="R1273">IFERROR(IF(INDEX('Disaggregation Records'!$E$155:$E$385,MATCH(RIGHT(Q1273,255),RIGHT('Disaggregation Records'!$D$155:$D$385,255),0))=0,"",INDEX('Disaggregation Records'!$E$155:$E$385,MATCH(RIGHT(Q1273,255),RIGHT('Disaggregation Records'!$D$155:$D$385,255),0))),"")</f>
        <v/>
      </c>
      <c r="S1273" s="189" t="str">
        <f t="array" ref="S1273">IFERROR(IF(INDEX('Disaggregation Records'!$F$155:$F$385,MATCH(RIGHT(Q1273,255),RIGHT('Disaggregation Records'!$D$155:$D$385,255),0))=0,"",INDEX('Disaggregation Records'!$F$155:$F$385,MATCH(RIGHT(Q1273,255),RIGHT('Disaggregation Records'!$D$155:$D$385,255),0))),"")</f>
        <v/>
      </c>
      <c r="T1273" s="189" t="str">
        <f t="array" ref="T1273">IFERROR(IF(INDEX('Disaggregation Records'!$H$155:$H$385,MATCH(RIGHT(Q1273,255),RIGHT('Disaggregation Records'!$D$155:$D$385,255),0))=0,"",INDEX('Disaggregation Records'!$H$155:$H$385,MATCH(RIGHT(Q1273,255),RIGHT('Disaggregation Records'!$D$155:$D$385,255),0))),"")</f>
        <v/>
      </c>
      <c r="U1273" s="189">
        <f t="shared" ref="U1273" si="5466">U1271+1</f>
        <v>1738</v>
      </c>
      <c r="V1273" s="189" t="str">
        <f t="array" ref="V1273">IFERROR(IF(INDEX('Disaggregation Records'!$I$155:$I$385,MATCH(RIGHT(Q1273,255),RIGHT('Disaggregation Records'!$D$155:$D$385,255),0))=0,"",INDEX('Disaggregation Records'!$I$155:$I$385,MATCH(RIGHT(Q1273,255),RIGHT('Disaggregation Records'!$D$155:$D$385,255),0))),"")</f>
        <v/>
      </c>
      <c r="W1273" s="189" t="str">
        <f>IFERROR(INDEX('Reference Records'!L$59:L$121,MATCH(LEFT(C1273,255),'Reference Records'!E$59:E$121,0)),"")</f>
        <v/>
      </c>
    </row>
    <row r="1274" spans="1:23" s="189" customFormat="1" ht="40.200000000000003" customHeight="1" x14ac:dyDescent="0.3">
      <c r="A1274" s="678"/>
      <c r="B1274" s="675"/>
      <c r="C1274" s="667"/>
      <c r="D1274" s="677"/>
      <c r="E1274" s="677"/>
      <c r="F1274" s="202"/>
      <c r="G1274" s="669"/>
      <c r="H1274" s="671"/>
      <c r="I1274" s="673"/>
      <c r="J1274" s="652"/>
      <c r="K1274" s="667"/>
      <c r="L1274" s="667"/>
      <c r="M1274" s="652"/>
      <c r="N1274" s="652"/>
    </row>
    <row r="1275" spans="1:23" s="189" customFormat="1" ht="40.200000000000003" customHeight="1" x14ac:dyDescent="0.3">
      <c r="A1275" s="678" t="str">
        <f t="shared" ref="A1275" ca="1" si="5467">INDIRECT("'update Helper'!C"&amp;U1275)</f>
        <v>a163p000002zQeeAAE</v>
      </c>
      <c r="B1275" s="674">
        <v>17</v>
      </c>
      <c r="C1275" s="666" t="str">
        <f>VLOOKUP(B1275,'Coverage Indicators - Section D'!$A$9:$AU$70,47,FALSE)</f>
        <v xml:space="preserve">Pourcentage de professionnelles de sexe dépistées positives admises dans des services de soins durant la période de rapportage </v>
      </c>
      <c r="D1275" s="676" t="str">
        <f t="shared" ref="D1275" si="5468">R1275</f>
        <v/>
      </c>
      <c r="E1275" s="676" t="str">
        <f t="shared" ref="E1275" si="5469">S1275</f>
        <v/>
      </c>
      <c r="F1275" s="194"/>
      <c r="G1275" s="668" t="str">
        <f t="shared" ref="G1275" ca="1" si="5470">IF(OR(INDIRECT("'update Helper'!E"&amp;U1275)=0,F1275&lt;&gt;0,F1276&lt;&gt;0),IF(IFERROR((F1275/F1276),"")="","",(F1275/F1276)),INDIRECT("'update Helper'!E"&amp;U1275)/100)</f>
        <v/>
      </c>
      <c r="H1275" s="670"/>
      <c r="I1275" s="672"/>
      <c r="J1275" s="651"/>
      <c r="K1275" s="666" t="str">
        <f t="shared" ref="K1275" si="5471">W1275</f>
        <v/>
      </c>
      <c r="L1275" s="666" t="str">
        <f t="shared" ref="L1275" si="5472">V1275</f>
        <v/>
      </c>
      <c r="M1275" s="651"/>
      <c r="N1275" s="651"/>
      <c r="P1275" s="189">
        <f t="shared" ref="P1275" si="5473">IF(AND(EXACT(C1275,C1273),C1273&lt;&gt;0),P1273+1,0)</f>
        <v>7</v>
      </c>
      <c r="Q1275" s="189" t="str">
        <f t="shared" ref="Q1275" si="5474">IF(C1275&lt;&gt;"",C1275&amp;"-"&amp;P1275,"")</f>
        <v>Pourcentage de professionnelles de sexe dépistées positives admises dans des services de soins durant la période de rapportage -7</v>
      </c>
      <c r="R1275" s="189" t="str">
        <f t="array" ref="R1275">IFERROR(IF(INDEX('Disaggregation Records'!$E$155:$E$385,MATCH(RIGHT(Q1275,255),RIGHT('Disaggregation Records'!$D$155:$D$385,255),0))=0,"",INDEX('Disaggregation Records'!$E$155:$E$385,MATCH(RIGHT(Q1275,255),RIGHT('Disaggregation Records'!$D$155:$D$385,255),0))),"")</f>
        <v/>
      </c>
      <c r="S1275" s="189" t="str">
        <f t="array" ref="S1275">IFERROR(IF(INDEX('Disaggregation Records'!$F$155:$F$385,MATCH(RIGHT(Q1275,255),RIGHT('Disaggregation Records'!$D$155:$D$385,255),0))=0,"",INDEX('Disaggregation Records'!$F$155:$F$385,MATCH(RIGHT(Q1275,255),RIGHT('Disaggregation Records'!$D$155:$D$385,255),0))),"")</f>
        <v/>
      </c>
      <c r="T1275" s="189" t="str">
        <f t="array" ref="T1275">IFERROR(IF(INDEX('Disaggregation Records'!$H$155:$H$385,MATCH(RIGHT(Q1275,255),RIGHT('Disaggregation Records'!$D$155:$D$385,255),0))=0,"",INDEX('Disaggregation Records'!$H$155:$H$385,MATCH(RIGHT(Q1275,255),RIGHT('Disaggregation Records'!$D$155:$D$385,255),0))),"")</f>
        <v/>
      </c>
      <c r="U1275" s="189">
        <f t="shared" ref="U1275" si="5475">U1273+1</f>
        <v>1739</v>
      </c>
      <c r="V1275" s="189" t="str">
        <f t="array" ref="V1275">IFERROR(IF(INDEX('Disaggregation Records'!$I$155:$I$385,MATCH(RIGHT(Q1275,255),RIGHT('Disaggregation Records'!$D$155:$D$385,255),0))=0,"",INDEX('Disaggregation Records'!$I$155:$I$385,MATCH(RIGHT(Q1275,255),RIGHT('Disaggregation Records'!$D$155:$D$385,255),0))),"")</f>
        <v/>
      </c>
      <c r="W1275" s="189" t="str">
        <f>IFERROR(INDEX('Reference Records'!L$59:L$121,MATCH(LEFT(C1275,255),'Reference Records'!E$59:E$121,0)),"")</f>
        <v/>
      </c>
    </row>
    <row r="1276" spans="1:23" s="189" customFormat="1" ht="40.200000000000003" customHeight="1" x14ac:dyDescent="0.3">
      <c r="A1276" s="678"/>
      <c r="B1276" s="675"/>
      <c r="C1276" s="667"/>
      <c r="D1276" s="677"/>
      <c r="E1276" s="677"/>
      <c r="F1276" s="202"/>
      <c r="G1276" s="669"/>
      <c r="H1276" s="671"/>
      <c r="I1276" s="673"/>
      <c r="J1276" s="652"/>
      <c r="K1276" s="667"/>
      <c r="L1276" s="667"/>
      <c r="M1276" s="652"/>
      <c r="N1276" s="652"/>
    </row>
    <row r="1277" spans="1:23" s="189" customFormat="1" ht="40.200000000000003" customHeight="1" x14ac:dyDescent="0.3">
      <c r="A1277" s="678" t="str">
        <f t="shared" ref="A1277" ca="1" si="5476">INDIRECT("'update Helper'!C"&amp;U1277)</f>
        <v>a163p000002zQefAAE</v>
      </c>
      <c r="B1277" s="674">
        <v>17</v>
      </c>
      <c r="C1277" s="666" t="str">
        <f>VLOOKUP(B1277,'Coverage Indicators - Section D'!$A$9:$AU$70,47,FALSE)</f>
        <v xml:space="preserve">Pourcentage de professionnelles de sexe dépistées positives admises dans des services de soins durant la période de rapportage </v>
      </c>
      <c r="D1277" s="676" t="str">
        <f t="shared" ref="D1277" si="5477">R1277</f>
        <v/>
      </c>
      <c r="E1277" s="676" t="str">
        <f t="shared" ref="E1277" si="5478">S1277</f>
        <v/>
      </c>
      <c r="F1277" s="194"/>
      <c r="G1277" s="668" t="str">
        <f t="shared" ref="G1277" ca="1" si="5479">IF(OR(INDIRECT("'update Helper'!E"&amp;U1277)=0,F1277&lt;&gt;0,F1278&lt;&gt;0),IF(IFERROR((F1277/F1278),"")="","",(F1277/F1278)),INDIRECT("'update Helper'!E"&amp;U1277)/100)</f>
        <v/>
      </c>
      <c r="H1277" s="670"/>
      <c r="I1277" s="672"/>
      <c r="J1277" s="651"/>
      <c r="K1277" s="666" t="str">
        <f t="shared" ref="K1277" si="5480">W1277</f>
        <v/>
      </c>
      <c r="L1277" s="666" t="str">
        <f t="shared" ref="L1277" si="5481">V1277</f>
        <v/>
      </c>
      <c r="M1277" s="651"/>
      <c r="N1277" s="651"/>
      <c r="P1277" s="189">
        <f t="shared" ref="P1277" si="5482">IF(AND(EXACT(C1277,C1275),C1275&lt;&gt;0),P1275+1,0)</f>
        <v>8</v>
      </c>
      <c r="Q1277" s="189" t="str">
        <f t="shared" ref="Q1277" si="5483">IF(C1277&lt;&gt;"",C1277&amp;"-"&amp;P1277,"")</f>
        <v>Pourcentage de professionnelles de sexe dépistées positives admises dans des services de soins durant la période de rapportage -8</v>
      </c>
      <c r="R1277" s="189" t="str">
        <f t="array" ref="R1277">IFERROR(IF(INDEX('Disaggregation Records'!$E$155:$E$385,MATCH(RIGHT(Q1277,255),RIGHT('Disaggregation Records'!$D$155:$D$385,255),0))=0,"",INDEX('Disaggregation Records'!$E$155:$E$385,MATCH(RIGHT(Q1277,255),RIGHT('Disaggregation Records'!$D$155:$D$385,255),0))),"")</f>
        <v/>
      </c>
      <c r="S1277" s="189" t="str">
        <f t="array" ref="S1277">IFERROR(IF(INDEX('Disaggregation Records'!$F$155:$F$385,MATCH(RIGHT(Q1277,255),RIGHT('Disaggregation Records'!$D$155:$D$385,255),0))=0,"",INDEX('Disaggregation Records'!$F$155:$F$385,MATCH(RIGHT(Q1277,255),RIGHT('Disaggregation Records'!$D$155:$D$385,255),0))),"")</f>
        <v/>
      </c>
      <c r="T1277" s="189" t="str">
        <f t="array" ref="T1277">IFERROR(IF(INDEX('Disaggregation Records'!$H$155:$H$385,MATCH(RIGHT(Q1277,255),RIGHT('Disaggregation Records'!$D$155:$D$385,255),0))=0,"",INDEX('Disaggregation Records'!$H$155:$H$385,MATCH(RIGHT(Q1277,255),RIGHT('Disaggregation Records'!$D$155:$D$385,255),0))),"")</f>
        <v/>
      </c>
      <c r="U1277" s="189">
        <f t="shared" ref="U1277" si="5484">U1275+1</f>
        <v>1740</v>
      </c>
      <c r="V1277" s="189" t="str">
        <f t="array" ref="V1277">IFERROR(IF(INDEX('Disaggregation Records'!$I$155:$I$385,MATCH(RIGHT(Q1277,255),RIGHT('Disaggregation Records'!$D$155:$D$385,255),0))=0,"",INDEX('Disaggregation Records'!$I$155:$I$385,MATCH(RIGHT(Q1277,255),RIGHT('Disaggregation Records'!$D$155:$D$385,255),0))),"")</f>
        <v/>
      </c>
      <c r="W1277" s="189" t="str">
        <f>IFERROR(INDEX('Reference Records'!L$59:L$121,MATCH(LEFT(C1277,255),'Reference Records'!E$59:E$121,0)),"")</f>
        <v/>
      </c>
    </row>
    <row r="1278" spans="1:23" s="189" customFormat="1" ht="40.200000000000003" customHeight="1" x14ac:dyDescent="0.3">
      <c r="A1278" s="678"/>
      <c r="B1278" s="675"/>
      <c r="C1278" s="667"/>
      <c r="D1278" s="677"/>
      <c r="E1278" s="677"/>
      <c r="F1278" s="202"/>
      <c r="G1278" s="669"/>
      <c r="H1278" s="671"/>
      <c r="I1278" s="673"/>
      <c r="J1278" s="652"/>
      <c r="K1278" s="667"/>
      <c r="L1278" s="667"/>
      <c r="M1278" s="652"/>
      <c r="N1278" s="652"/>
    </row>
    <row r="1279" spans="1:23" s="189" customFormat="1" ht="40.200000000000003" customHeight="1" x14ac:dyDescent="0.3">
      <c r="A1279" s="678" t="str">
        <f t="shared" ref="A1279" ca="1" si="5485">INDIRECT("'update Helper'!C"&amp;U1279)</f>
        <v>a163p000002zQegAAE</v>
      </c>
      <c r="B1279" s="674">
        <v>17</v>
      </c>
      <c r="C1279" s="666" t="str">
        <f>VLOOKUP(B1279,'Coverage Indicators - Section D'!$A$9:$AU$70,47,FALSE)</f>
        <v xml:space="preserve">Pourcentage de professionnelles de sexe dépistées positives admises dans des services de soins durant la période de rapportage </v>
      </c>
      <c r="D1279" s="676" t="str">
        <f t="shared" ref="D1279" si="5486">R1279</f>
        <v/>
      </c>
      <c r="E1279" s="676" t="str">
        <f t="shared" ref="E1279" si="5487">S1279</f>
        <v/>
      </c>
      <c r="F1279" s="194"/>
      <c r="G1279" s="668" t="str">
        <f t="shared" ref="G1279" ca="1" si="5488">IF(OR(INDIRECT("'update Helper'!E"&amp;U1279)=0,F1279&lt;&gt;0,F1280&lt;&gt;0),IF(IFERROR((F1279/F1280),"")="","",(F1279/F1280)),INDIRECT("'update Helper'!E"&amp;U1279)/100)</f>
        <v/>
      </c>
      <c r="H1279" s="670"/>
      <c r="I1279" s="672"/>
      <c r="J1279" s="651"/>
      <c r="K1279" s="666" t="str">
        <f t="shared" ref="K1279" si="5489">W1279</f>
        <v/>
      </c>
      <c r="L1279" s="666" t="str">
        <f t="shared" ref="L1279" si="5490">V1279</f>
        <v/>
      </c>
      <c r="M1279" s="651"/>
      <c r="N1279" s="651"/>
      <c r="P1279" s="189">
        <f t="shared" ref="P1279" si="5491">IF(AND(EXACT(C1279,C1277),C1277&lt;&gt;0),P1277+1,0)</f>
        <v>9</v>
      </c>
      <c r="Q1279" s="189" t="str">
        <f t="shared" ref="Q1279" si="5492">IF(C1279&lt;&gt;"",C1279&amp;"-"&amp;P1279,"")</f>
        <v>Pourcentage de professionnelles de sexe dépistées positives admises dans des services de soins durant la période de rapportage -9</v>
      </c>
      <c r="R1279" s="189" t="str">
        <f t="array" ref="R1279">IFERROR(IF(INDEX('Disaggregation Records'!$E$155:$E$385,MATCH(RIGHT(Q1279,255),RIGHT('Disaggregation Records'!$D$155:$D$385,255),0))=0,"",INDEX('Disaggregation Records'!$E$155:$E$385,MATCH(RIGHT(Q1279,255),RIGHT('Disaggregation Records'!$D$155:$D$385,255),0))),"")</f>
        <v/>
      </c>
      <c r="S1279" s="189" t="str">
        <f t="array" ref="S1279">IFERROR(IF(INDEX('Disaggregation Records'!$F$155:$F$385,MATCH(RIGHT(Q1279,255),RIGHT('Disaggregation Records'!$D$155:$D$385,255),0))=0,"",INDEX('Disaggregation Records'!$F$155:$F$385,MATCH(RIGHT(Q1279,255),RIGHT('Disaggregation Records'!$D$155:$D$385,255),0))),"")</f>
        <v/>
      </c>
      <c r="T1279" s="189" t="str">
        <f t="array" ref="T1279">IFERROR(IF(INDEX('Disaggregation Records'!$H$155:$H$385,MATCH(RIGHT(Q1279,255),RIGHT('Disaggregation Records'!$D$155:$D$385,255),0))=0,"",INDEX('Disaggregation Records'!$H$155:$H$385,MATCH(RIGHT(Q1279,255),RIGHT('Disaggregation Records'!$D$155:$D$385,255),0))),"")</f>
        <v/>
      </c>
      <c r="U1279" s="189">
        <f t="shared" ref="U1279" si="5493">U1277+1</f>
        <v>1741</v>
      </c>
      <c r="V1279" s="189" t="str">
        <f t="array" ref="V1279">IFERROR(IF(INDEX('Disaggregation Records'!$I$155:$I$385,MATCH(RIGHT(Q1279,255),RIGHT('Disaggregation Records'!$D$155:$D$385,255),0))=0,"",INDEX('Disaggregation Records'!$I$155:$I$385,MATCH(RIGHT(Q1279,255),RIGHT('Disaggregation Records'!$D$155:$D$385,255),0))),"")</f>
        <v/>
      </c>
      <c r="W1279" s="189" t="str">
        <f>IFERROR(INDEX('Reference Records'!L$59:L$121,MATCH(LEFT(C1279,255),'Reference Records'!E$59:E$121,0)),"")</f>
        <v/>
      </c>
    </row>
    <row r="1280" spans="1:23" s="189" customFormat="1" ht="40.200000000000003" customHeight="1" x14ac:dyDescent="0.3">
      <c r="A1280" s="678"/>
      <c r="B1280" s="675"/>
      <c r="C1280" s="667"/>
      <c r="D1280" s="677"/>
      <c r="E1280" s="677"/>
      <c r="F1280" s="202"/>
      <c r="G1280" s="669"/>
      <c r="H1280" s="671"/>
      <c r="I1280" s="673"/>
      <c r="J1280" s="652"/>
      <c r="K1280" s="667"/>
      <c r="L1280" s="667"/>
      <c r="M1280" s="652"/>
      <c r="N1280" s="652"/>
    </row>
    <row r="1281" spans="1:23" s="189" customFormat="1" ht="40.200000000000003" customHeight="1" x14ac:dyDescent="0.3">
      <c r="A1281" s="678" t="str">
        <f t="shared" ref="A1281" ca="1" si="5494">INDIRECT("'update Helper'!C"&amp;U1281)</f>
        <v>a163p000002zQehAAE</v>
      </c>
      <c r="B1281" s="674">
        <v>17</v>
      </c>
      <c r="C1281" s="666" t="str">
        <f>VLOOKUP(B1281,'Coverage Indicators - Section D'!$A$9:$AU$70,47,FALSE)</f>
        <v xml:space="preserve">Pourcentage de professionnelles de sexe dépistées positives admises dans des services de soins durant la période de rapportage </v>
      </c>
      <c r="D1281" s="676" t="str">
        <f t="shared" ref="D1281" si="5495">R1281</f>
        <v/>
      </c>
      <c r="E1281" s="676" t="str">
        <f t="shared" ref="E1281" si="5496">S1281</f>
        <v/>
      </c>
      <c r="F1281" s="194"/>
      <c r="G1281" s="668" t="str">
        <f t="shared" ref="G1281" ca="1" si="5497">IF(OR(INDIRECT("'update Helper'!E"&amp;U1281)=0,F1281&lt;&gt;0,F1282&lt;&gt;0),IF(IFERROR((F1281/F1282),"")="","",(F1281/F1282)),INDIRECT("'update Helper'!E"&amp;U1281)/100)</f>
        <v/>
      </c>
      <c r="H1281" s="670"/>
      <c r="I1281" s="672"/>
      <c r="J1281" s="651"/>
      <c r="K1281" s="666" t="str">
        <f t="shared" ref="K1281" si="5498">W1281</f>
        <v/>
      </c>
      <c r="L1281" s="666" t="str">
        <f t="shared" ref="L1281" si="5499">V1281</f>
        <v/>
      </c>
      <c r="M1281" s="651"/>
      <c r="N1281" s="651"/>
      <c r="P1281" s="189">
        <f t="shared" ref="P1281" si="5500">IF(AND(EXACT(C1281,C1279),C1279&lt;&gt;0),P1279+1,0)</f>
        <v>10</v>
      </c>
      <c r="Q1281" s="189" t="str">
        <f t="shared" ref="Q1281" si="5501">IF(C1281&lt;&gt;"",C1281&amp;"-"&amp;P1281,"")</f>
        <v>Pourcentage de professionnelles de sexe dépistées positives admises dans des services de soins durant la période de rapportage -10</v>
      </c>
      <c r="R1281" s="189" t="str">
        <f t="array" ref="R1281">IFERROR(IF(INDEX('Disaggregation Records'!$E$155:$E$385,MATCH(RIGHT(Q1281,255),RIGHT('Disaggregation Records'!$D$155:$D$385,255),0))=0,"",INDEX('Disaggregation Records'!$E$155:$E$385,MATCH(RIGHT(Q1281,255),RIGHT('Disaggregation Records'!$D$155:$D$385,255),0))),"")</f>
        <v/>
      </c>
      <c r="S1281" s="189" t="str">
        <f t="array" ref="S1281">IFERROR(IF(INDEX('Disaggregation Records'!$F$155:$F$385,MATCH(RIGHT(Q1281,255),RIGHT('Disaggregation Records'!$D$155:$D$385,255),0))=0,"",INDEX('Disaggregation Records'!$F$155:$F$385,MATCH(RIGHT(Q1281,255),RIGHT('Disaggregation Records'!$D$155:$D$385,255),0))),"")</f>
        <v/>
      </c>
      <c r="T1281" s="189" t="str">
        <f t="array" ref="T1281">IFERROR(IF(INDEX('Disaggregation Records'!$H$155:$H$385,MATCH(RIGHT(Q1281,255),RIGHT('Disaggregation Records'!$D$155:$D$385,255),0))=0,"",INDEX('Disaggregation Records'!$H$155:$H$385,MATCH(RIGHT(Q1281,255),RIGHT('Disaggregation Records'!$D$155:$D$385,255),0))),"")</f>
        <v/>
      </c>
      <c r="U1281" s="189">
        <f t="shared" ref="U1281" si="5502">U1279+1</f>
        <v>1742</v>
      </c>
      <c r="V1281" s="189" t="str">
        <f t="array" ref="V1281">IFERROR(IF(INDEX('Disaggregation Records'!$I$155:$I$385,MATCH(RIGHT(Q1281,255),RIGHT('Disaggregation Records'!$D$155:$D$385,255),0))=0,"",INDEX('Disaggregation Records'!$I$155:$I$385,MATCH(RIGHT(Q1281,255),RIGHT('Disaggregation Records'!$D$155:$D$385,255),0))),"")</f>
        <v/>
      </c>
      <c r="W1281" s="189" t="str">
        <f>IFERROR(INDEX('Reference Records'!L$59:L$121,MATCH(LEFT(C1281,255),'Reference Records'!E$59:E$121,0)),"")</f>
        <v/>
      </c>
    </row>
    <row r="1282" spans="1:23" s="189" customFormat="1" ht="40.200000000000003" customHeight="1" x14ac:dyDescent="0.3">
      <c r="A1282" s="678"/>
      <c r="B1282" s="675"/>
      <c r="C1282" s="667"/>
      <c r="D1282" s="677"/>
      <c r="E1282" s="677"/>
      <c r="F1282" s="202"/>
      <c r="G1282" s="669"/>
      <c r="H1282" s="671"/>
      <c r="I1282" s="673"/>
      <c r="J1282" s="652"/>
      <c r="K1282" s="667"/>
      <c r="L1282" s="667"/>
      <c r="M1282" s="652"/>
      <c r="N1282" s="652"/>
    </row>
    <row r="1283" spans="1:23" s="189" customFormat="1" ht="40.200000000000003" customHeight="1" x14ac:dyDescent="0.3">
      <c r="A1283" s="678" t="str">
        <f t="shared" ref="A1283" ca="1" si="5503">INDIRECT("'update Helper'!C"&amp;U1283)</f>
        <v>a163p000002zQeiAAE</v>
      </c>
      <c r="B1283" s="674">
        <v>17</v>
      </c>
      <c r="C1283" s="666" t="str">
        <f>VLOOKUP(B1283,'Coverage Indicators - Section D'!$A$9:$AU$70,47,FALSE)</f>
        <v xml:space="preserve">Pourcentage de professionnelles de sexe dépistées positives admises dans des services de soins durant la période de rapportage </v>
      </c>
      <c r="D1283" s="676" t="str">
        <f t="shared" ref="D1283" si="5504">R1283</f>
        <v/>
      </c>
      <c r="E1283" s="676" t="str">
        <f t="shared" ref="E1283" si="5505">S1283</f>
        <v/>
      </c>
      <c r="F1283" s="194"/>
      <c r="G1283" s="668" t="str">
        <f t="shared" ref="G1283" ca="1" si="5506">IF(OR(INDIRECT("'update Helper'!E"&amp;U1283)=0,F1283&lt;&gt;0,F1284&lt;&gt;0),IF(IFERROR((F1283/F1284),"")="","",(F1283/F1284)),INDIRECT("'update Helper'!E"&amp;U1283)/100)</f>
        <v/>
      </c>
      <c r="H1283" s="670"/>
      <c r="I1283" s="672"/>
      <c r="J1283" s="651"/>
      <c r="K1283" s="666" t="str">
        <f t="shared" ref="K1283" si="5507">W1283</f>
        <v/>
      </c>
      <c r="L1283" s="666" t="str">
        <f t="shared" ref="L1283" si="5508">V1283</f>
        <v/>
      </c>
      <c r="M1283" s="651"/>
      <c r="N1283" s="651"/>
      <c r="P1283" s="189">
        <f t="shared" ref="P1283" si="5509">IF(AND(EXACT(C1283,C1281),C1281&lt;&gt;0),P1281+1,0)</f>
        <v>11</v>
      </c>
      <c r="Q1283" s="189" t="str">
        <f t="shared" ref="Q1283" si="5510">IF(C1283&lt;&gt;"",C1283&amp;"-"&amp;P1283,"")</f>
        <v>Pourcentage de professionnelles de sexe dépistées positives admises dans des services de soins durant la période de rapportage -11</v>
      </c>
      <c r="R1283" s="189" t="str">
        <f t="array" ref="R1283">IFERROR(IF(INDEX('Disaggregation Records'!$E$155:$E$385,MATCH(RIGHT(Q1283,255),RIGHT('Disaggregation Records'!$D$155:$D$385,255),0))=0,"",INDEX('Disaggregation Records'!$E$155:$E$385,MATCH(RIGHT(Q1283,255),RIGHT('Disaggregation Records'!$D$155:$D$385,255),0))),"")</f>
        <v/>
      </c>
      <c r="S1283" s="189" t="str">
        <f t="array" ref="S1283">IFERROR(IF(INDEX('Disaggregation Records'!$F$155:$F$385,MATCH(RIGHT(Q1283,255),RIGHT('Disaggregation Records'!$D$155:$D$385,255),0))=0,"",INDEX('Disaggregation Records'!$F$155:$F$385,MATCH(RIGHT(Q1283,255),RIGHT('Disaggregation Records'!$D$155:$D$385,255),0))),"")</f>
        <v/>
      </c>
      <c r="T1283" s="189" t="str">
        <f t="array" ref="T1283">IFERROR(IF(INDEX('Disaggregation Records'!$H$155:$H$385,MATCH(RIGHT(Q1283,255),RIGHT('Disaggregation Records'!$D$155:$D$385,255),0))=0,"",INDEX('Disaggregation Records'!$H$155:$H$385,MATCH(RIGHT(Q1283,255),RIGHT('Disaggregation Records'!$D$155:$D$385,255),0))),"")</f>
        <v/>
      </c>
      <c r="U1283" s="189">
        <f t="shared" ref="U1283" si="5511">U1281+1</f>
        <v>1743</v>
      </c>
      <c r="V1283" s="189" t="str">
        <f t="array" ref="V1283">IFERROR(IF(INDEX('Disaggregation Records'!$I$155:$I$385,MATCH(RIGHT(Q1283,255),RIGHT('Disaggregation Records'!$D$155:$D$385,255),0))=0,"",INDEX('Disaggregation Records'!$I$155:$I$385,MATCH(RIGHT(Q1283,255),RIGHT('Disaggregation Records'!$D$155:$D$385,255),0))),"")</f>
        <v/>
      </c>
      <c r="W1283" s="189" t="str">
        <f>IFERROR(INDEX('Reference Records'!L$59:L$121,MATCH(LEFT(C1283,255),'Reference Records'!E$59:E$121,0)),"")</f>
        <v/>
      </c>
    </row>
    <row r="1284" spans="1:23" s="189" customFormat="1" ht="40.200000000000003" customHeight="1" x14ac:dyDescent="0.3">
      <c r="A1284" s="678"/>
      <c r="B1284" s="675"/>
      <c r="C1284" s="667"/>
      <c r="D1284" s="677"/>
      <c r="E1284" s="677"/>
      <c r="F1284" s="202"/>
      <c r="G1284" s="669"/>
      <c r="H1284" s="671"/>
      <c r="I1284" s="673"/>
      <c r="J1284" s="652"/>
      <c r="K1284" s="667"/>
      <c r="L1284" s="667"/>
      <c r="M1284" s="652"/>
      <c r="N1284" s="652"/>
    </row>
    <row r="1285" spans="1:23" s="189" customFormat="1" ht="40.200000000000003" customHeight="1" x14ac:dyDescent="0.3">
      <c r="A1285" s="678" t="str">
        <f t="shared" ref="A1285" ca="1" si="5512">INDIRECT("'update Helper'!C"&amp;U1285)</f>
        <v>a163p000002zQejAAE</v>
      </c>
      <c r="B1285" s="674">
        <v>17</v>
      </c>
      <c r="C1285" s="666" t="str">
        <f>VLOOKUP(B1285,'Coverage Indicators - Section D'!$A$9:$AU$70,47,FALSE)</f>
        <v xml:space="preserve">Pourcentage de professionnelles de sexe dépistées positives admises dans des services de soins durant la période de rapportage </v>
      </c>
      <c r="D1285" s="676" t="str">
        <f t="shared" ref="D1285" si="5513">R1285</f>
        <v/>
      </c>
      <c r="E1285" s="676" t="str">
        <f t="shared" ref="E1285" si="5514">S1285</f>
        <v/>
      </c>
      <c r="F1285" s="194"/>
      <c r="G1285" s="668" t="str">
        <f t="shared" ref="G1285" ca="1" si="5515">IF(OR(INDIRECT("'update Helper'!E"&amp;U1285)=0,F1285&lt;&gt;0,F1286&lt;&gt;0),IF(IFERROR((F1285/F1286),"")="","",(F1285/F1286)),INDIRECT("'update Helper'!E"&amp;U1285)/100)</f>
        <v/>
      </c>
      <c r="H1285" s="670"/>
      <c r="I1285" s="672"/>
      <c r="J1285" s="651"/>
      <c r="K1285" s="666" t="str">
        <f t="shared" ref="K1285" si="5516">W1285</f>
        <v/>
      </c>
      <c r="L1285" s="666" t="str">
        <f t="shared" ref="L1285" si="5517">V1285</f>
        <v/>
      </c>
      <c r="M1285" s="651"/>
      <c r="N1285" s="651"/>
      <c r="P1285" s="189">
        <f t="shared" ref="P1285" si="5518">IF(AND(EXACT(C1285,C1283),C1283&lt;&gt;0),P1283+1,0)</f>
        <v>12</v>
      </c>
      <c r="Q1285" s="189" t="str">
        <f t="shared" ref="Q1285" si="5519">IF(C1285&lt;&gt;"",C1285&amp;"-"&amp;P1285,"")</f>
        <v>Pourcentage de professionnelles de sexe dépistées positives admises dans des services de soins durant la période de rapportage -12</v>
      </c>
      <c r="R1285" s="189" t="str">
        <f t="array" ref="R1285">IFERROR(IF(INDEX('Disaggregation Records'!$E$155:$E$385,MATCH(RIGHT(Q1285,255),RIGHT('Disaggregation Records'!$D$155:$D$385,255),0))=0,"",INDEX('Disaggregation Records'!$E$155:$E$385,MATCH(RIGHT(Q1285,255),RIGHT('Disaggregation Records'!$D$155:$D$385,255),0))),"")</f>
        <v/>
      </c>
      <c r="S1285" s="189" t="str">
        <f t="array" ref="S1285">IFERROR(IF(INDEX('Disaggregation Records'!$F$155:$F$385,MATCH(RIGHT(Q1285,255),RIGHT('Disaggregation Records'!$D$155:$D$385,255),0))=0,"",INDEX('Disaggregation Records'!$F$155:$F$385,MATCH(RIGHT(Q1285,255),RIGHT('Disaggregation Records'!$D$155:$D$385,255),0))),"")</f>
        <v/>
      </c>
      <c r="T1285" s="189" t="str">
        <f t="array" ref="T1285">IFERROR(IF(INDEX('Disaggregation Records'!$H$155:$H$385,MATCH(RIGHT(Q1285,255),RIGHT('Disaggregation Records'!$D$155:$D$385,255),0))=0,"",INDEX('Disaggregation Records'!$H$155:$H$385,MATCH(RIGHT(Q1285,255),RIGHT('Disaggregation Records'!$D$155:$D$385,255),0))),"")</f>
        <v/>
      </c>
      <c r="U1285" s="189">
        <f t="shared" ref="U1285" si="5520">U1283+1</f>
        <v>1744</v>
      </c>
      <c r="V1285" s="189" t="str">
        <f t="array" ref="V1285">IFERROR(IF(INDEX('Disaggregation Records'!$I$155:$I$385,MATCH(RIGHT(Q1285,255),RIGHT('Disaggregation Records'!$D$155:$D$385,255),0))=0,"",INDEX('Disaggregation Records'!$I$155:$I$385,MATCH(RIGHT(Q1285,255),RIGHT('Disaggregation Records'!$D$155:$D$385,255),0))),"")</f>
        <v/>
      </c>
      <c r="W1285" s="189" t="str">
        <f>IFERROR(INDEX('Reference Records'!L$59:L$121,MATCH(LEFT(C1285,255),'Reference Records'!E$59:E$121,0)),"")</f>
        <v/>
      </c>
    </row>
    <row r="1286" spans="1:23" s="189" customFormat="1" ht="40.200000000000003" customHeight="1" x14ac:dyDescent="0.3">
      <c r="A1286" s="678"/>
      <c r="B1286" s="675"/>
      <c r="C1286" s="667"/>
      <c r="D1286" s="677"/>
      <c r="E1286" s="677"/>
      <c r="F1286" s="202"/>
      <c r="G1286" s="669"/>
      <c r="H1286" s="671"/>
      <c r="I1286" s="673"/>
      <c r="J1286" s="652"/>
      <c r="K1286" s="667"/>
      <c r="L1286" s="667"/>
      <c r="M1286" s="652"/>
      <c r="N1286" s="652"/>
    </row>
    <row r="1287" spans="1:23" s="189" customFormat="1" ht="40.200000000000003" customHeight="1" x14ac:dyDescent="0.3">
      <c r="A1287" s="678" t="str">
        <f t="shared" ref="A1287" ca="1" si="5521">INDIRECT("'update Helper'!C"&amp;U1287)</f>
        <v>a163p000002zQekAAE</v>
      </c>
      <c r="B1287" s="674">
        <v>17</v>
      </c>
      <c r="C1287" s="666" t="str">
        <f>VLOOKUP(B1287,'Coverage Indicators - Section D'!$A$9:$AU$70,47,FALSE)</f>
        <v xml:space="preserve">Pourcentage de professionnelles de sexe dépistées positives admises dans des services de soins durant la période de rapportage </v>
      </c>
      <c r="D1287" s="676" t="str">
        <f t="shared" ref="D1287" si="5522">R1287</f>
        <v/>
      </c>
      <c r="E1287" s="676" t="str">
        <f t="shared" ref="E1287" si="5523">S1287</f>
        <v/>
      </c>
      <c r="F1287" s="194"/>
      <c r="G1287" s="668" t="str">
        <f t="shared" ref="G1287" ca="1" si="5524">IF(OR(INDIRECT("'update Helper'!E"&amp;U1287)=0,F1287&lt;&gt;0,F1288&lt;&gt;0),IF(IFERROR((F1287/F1288),"")="","",(F1287/F1288)),INDIRECT("'update Helper'!E"&amp;U1287)/100)</f>
        <v/>
      </c>
      <c r="H1287" s="670"/>
      <c r="I1287" s="672"/>
      <c r="J1287" s="651"/>
      <c r="K1287" s="666" t="str">
        <f t="shared" ref="K1287" si="5525">W1287</f>
        <v/>
      </c>
      <c r="L1287" s="666" t="str">
        <f t="shared" ref="L1287" si="5526">V1287</f>
        <v/>
      </c>
      <c r="M1287" s="651"/>
      <c r="N1287" s="651"/>
      <c r="P1287" s="189">
        <f t="shared" ref="P1287" si="5527">IF(AND(EXACT(C1287,C1285),C1285&lt;&gt;0),P1285+1,0)</f>
        <v>13</v>
      </c>
      <c r="Q1287" s="189" t="str">
        <f t="shared" ref="Q1287" si="5528">IF(C1287&lt;&gt;"",C1287&amp;"-"&amp;P1287,"")</f>
        <v>Pourcentage de professionnelles de sexe dépistées positives admises dans des services de soins durant la période de rapportage -13</v>
      </c>
      <c r="R1287" s="189" t="str">
        <f t="array" ref="R1287">IFERROR(IF(INDEX('Disaggregation Records'!$E$155:$E$385,MATCH(RIGHT(Q1287,255),RIGHT('Disaggregation Records'!$D$155:$D$385,255),0))=0,"",INDEX('Disaggregation Records'!$E$155:$E$385,MATCH(RIGHT(Q1287,255),RIGHT('Disaggregation Records'!$D$155:$D$385,255),0))),"")</f>
        <v/>
      </c>
      <c r="S1287" s="189" t="str">
        <f t="array" ref="S1287">IFERROR(IF(INDEX('Disaggregation Records'!$F$155:$F$385,MATCH(RIGHT(Q1287,255),RIGHT('Disaggregation Records'!$D$155:$D$385,255),0))=0,"",INDEX('Disaggregation Records'!$F$155:$F$385,MATCH(RIGHT(Q1287,255),RIGHT('Disaggregation Records'!$D$155:$D$385,255),0))),"")</f>
        <v/>
      </c>
      <c r="T1287" s="189" t="str">
        <f t="array" ref="T1287">IFERROR(IF(INDEX('Disaggregation Records'!$H$155:$H$385,MATCH(RIGHT(Q1287,255),RIGHT('Disaggregation Records'!$D$155:$D$385,255),0))=0,"",INDEX('Disaggregation Records'!$H$155:$H$385,MATCH(RIGHT(Q1287,255),RIGHT('Disaggregation Records'!$D$155:$D$385,255),0))),"")</f>
        <v/>
      </c>
      <c r="U1287" s="189">
        <f t="shared" ref="U1287" si="5529">U1285+1</f>
        <v>1745</v>
      </c>
      <c r="V1287" s="189" t="str">
        <f t="array" ref="V1287">IFERROR(IF(INDEX('Disaggregation Records'!$I$155:$I$385,MATCH(RIGHT(Q1287,255),RIGHT('Disaggregation Records'!$D$155:$D$385,255),0))=0,"",INDEX('Disaggregation Records'!$I$155:$I$385,MATCH(RIGHT(Q1287,255),RIGHT('Disaggregation Records'!$D$155:$D$385,255),0))),"")</f>
        <v/>
      </c>
      <c r="W1287" s="189" t="str">
        <f>IFERROR(INDEX('Reference Records'!L$59:L$121,MATCH(LEFT(C1287,255),'Reference Records'!E$59:E$121,0)),"")</f>
        <v/>
      </c>
    </row>
    <row r="1288" spans="1:23" s="189" customFormat="1" ht="40.200000000000003" customHeight="1" x14ac:dyDescent="0.3">
      <c r="A1288" s="678"/>
      <c r="B1288" s="675"/>
      <c r="C1288" s="667"/>
      <c r="D1288" s="677"/>
      <c r="E1288" s="677"/>
      <c r="F1288" s="202"/>
      <c r="G1288" s="669"/>
      <c r="H1288" s="671"/>
      <c r="I1288" s="673"/>
      <c r="J1288" s="652"/>
      <c r="K1288" s="667"/>
      <c r="L1288" s="667"/>
      <c r="M1288" s="652"/>
      <c r="N1288" s="652"/>
    </row>
    <row r="1289" spans="1:23" s="189" customFormat="1" ht="40.200000000000003" customHeight="1" x14ac:dyDescent="0.3">
      <c r="A1289" s="678" t="str">
        <f t="shared" ref="A1289" ca="1" si="5530">INDIRECT("'update Helper'!C"&amp;U1289)</f>
        <v>a163p000002zQelAAE</v>
      </c>
      <c r="B1289" s="674">
        <v>17</v>
      </c>
      <c r="C1289" s="666" t="str">
        <f>VLOOKUP(B1289,'Coverage Indicators - Section D'!$A$9:$AU$70,47,FALSE)</f>
        <v xml:space="preserve">Pourcentage de professionnelles de sexe dépistées positives admises dans des services de soins durant la période de rapportage </v>
      </c>
      <c r="D1289" s="676" t="str">
        <f t="shared" ref="D1289" si="5531">R1289</f>
        <v/>
      </c>
      <c r="E1289" s="676" t="str">
        <f t="shared" ref="E1289" si="5532">S1289</f>
        <v/>
      </c>
      <c r="F1289" s="194"/>
      <c r="G1289" s="668" t="str">
        <f t="shared" ref="G1289" ca="1" si="5533">IF(OR(INDIRECT("'update Helper'!E"&amp;U1289)=0,F1289&lt;&gt;0,F1290&lt;&gt;0),IF(IFERROR((F1289/F1290),"")="","",(F1289/F1290)),INDIRECT("'update Helper'!E"&amp;U1289)/100)</f>
        <v/>
      </c>
      <c r="H1289" s="670"/>
      <c r="I1289" s="672"/>
      <c r="J1289" s="651"/>
      <c r="K1289" s="666" t="str">
        <f t="shared" ref="K1289" si="5534">W1289</f>
        <v/>
      </c>
      <c r="L1289" s="666" t="str">
        <f t="shared" ref="L1289" si="5535">V1289</f>
        <v/>
      </c>
      <c r="M1289" s="651"/>
      <c r="N1289" s="651"/>
      <c r="P1289" s="189">
        <f t="shared" ref="P1289" si="5536">IF(AND(EXACT(C1289,C1287),C1287&lt;&gt;0),P1287+1,0)</f>
        <v>14</v>
      </c>
      <c r="Q1289" s="189" t="str">
        <f t="shared" ref="Q1289" si="5537">IF(C1289&lt;&gt;"",C1289&amp;"-"&amp;P1289,"")</f>
        <v>Pourcentage de professionnelles de sexe dépistées positives admises dans des services de soins durant la période de rapportage -14</v>
      </c>
      <c r="R1289" s="189" t="str">
        <f t="array" ref="R1289">IFERROR(IF(INDEX('Disaggregation Records'!$E$155:$E$385,MATCH(RIGHT(Q1289,255),RIGHT('Disaggregation Records'!$D$155:$D$385,255),0))=0,"",INDEX('Disaggregation Records'!$E$155:$E$385,MATCH(RIGHT(Q1289,255),RIGHT('Disaggregation Records'!$D$155:$D$385,255),0))),"")</f>
        <v/>
      </c>
      <c r="S1289" s="189" t="str">
        <f t="array" ref="S1289">IFERROR(IF(INDEX('Disaggregation Records'!$F$155:$F$385,MATCH(RIGHT(Q1289,255),RIGHT('Disaggregation Records'!$D$155:$D$385,255),0))=0,"",INDEX('Disaggregation Records'!$F$155:$F$385,MATCH(RIGHT(Q1289,255),RIGHT('Disaggregation Records'!$D$155:$D$385,255),0))),"")</f>
        <v/>
      </c>
      <c r="T1289" s="189" t="str">
        <f t="array" ref="T1289">IFERROR(IF(INDEX('Disaggregation Records'!$H$155:$H$385,MATCH(RIGHT(Q1289,255),RIGHT('Disaggregation Records'!$D$155:$D$385,255),0))=0,"",INDEX('Disaggregation Records'!$H$155:$H$385,MATCH(RIGHT(Q1289,255),RIGHT('Disaggregation Records'!$D$155:$D$385,255),0))),"")</f>
        <v/>
      </c>
      <c r="U1289" s="189">
        <f t="shared" ref="U1289" si="5538">U1287+1</f>
        <v>1746</v>
      </c>
      <c r="V1289" s="189" t="str">
        <f t="array" ref="V1289">IFERROR(IF(INDEX('Disaggregation Records'!$I$155:$I$385,MATCH(RIGHT(Q1289,255),RIGHT('Disaggregation Records'!$D$155:$D$385,255),0))=0,"",INDEX('Disaggregation Records'!$I$155:$I$385,MATCH(RIGHT(Q1289,255),RIGHT('Disaggregation Records'!$D$155:$D$385,255),0))),"")</f>
        <v/>
      </c>
      <c r="W1289" s="189" t="str">
        <f>IFERROR(INDEX('Reference Records'!L$59:L$121,MATCH(LEFT(C1289,255),'Reference Records'!E$59:E$121,0)),"")</f>
        <v/>
      </c>
    </row>
    <row r="1290" spans="1:23" s="189" customFormat="1" ht="40.200000000000003" customHeight="1" x14ac:dyDescent="0.3">
      <c r="A1290" s="678"/>
      <c r="B1290" s="675"/>
      <c r="C1290" s="667"/>
      <c r="D1290" s="677"/>
      <c r="E1290" s="677"/>
      <c r="F1290" s="202"/>
      <c r="G1290" s="669"/>
      <c r="H1290" s="671"/>
      <c r="I1290" s="673"/>
      <c r="J1290" s="652"/>
      <c r="K1290" s="667"/>
      <c r="L1290" s="667"/>
      <c r="M1290" s="652"/>
      <c r="N1290" s="652"/>
    </row>
    <row r="1291" spans="1:23" s="189" customFormat="1" ht="40.200000000000003" customHeight="1" x14ac:dyDescent="0.3">
      <c r="A1291" s="678" t="str">
        <f t="shared" ref="A1291" ca="1" si="5539">INDIRECT("'update Helper'!C"&amp;U1291)</f>
        <v>a163p000002zQemAAE</v>
      </c>
      <c r="B1291" s="674">
        <v>17</v>
      </c>
      <c r="C1291" s="666" t="str">
        <f>VLOOKUP(B1291,'Coverage Indicators - Section D'!$A$9:$AU$70,47,FALSE)</f>
        <v xml:space="preserve">Pourcentage de professionnelles de sexe dépistées positives admises dans des services de soins durant la période de rapportage </v>
      </c>
      <c r="D1291" s="676" t="str">
        <f t="shared" ref="D1291" si="5540">R1291</f>
        <v/>
      </c>
      <c r="E1291" s="676" t="str">
        <f t="shared" ref="E1291" si="5541">S1291</f>
        <v/>
      </c>
      <c r="F1291" s="194"/>
      <c r="G1291" s="668" t="str">
        <f t="shared" ref="G1291" ca="1" si="5542">IF(OR(INDIRECT("'update Helper'!E"&amp;U1291)=0,F1291&lt;&gt;0,F1292&lt;&gt;0),IF(IFERROR((F1291/F1292),"")="","",(F1291/F1292)),INDIRECT("'update Helper'!E"&amp;U1291)/100)</f>
        <v/>
      </c>
      <c r="H1291" s="670"/>
      <c r="I1291" s="672"/>
      <c r="J1291" s="651"/>
      <c r="K1291" s="666" t="str">
        <f t="shared" ref="K1291" si="5543">W1291</f>
        <v/>
      </c>
      <c r="L1291" s="666" t="str">
        <f t="shared" ref="L1291" si="5544">V1291</f>
        <v/>
      </c>
      <c r="M1291" s="651"/>
      <c r="N1291" s="651"/>
      <c r="P1291" s="189">
        <f t="shared" ref="P1291" si="5545">IF(AND(EXACT(C1291,C1289),C1289&lt;&gt;0),P1289+1,0)</f>
        <v>15</v>
      </c>
      <c r="Q1291" s="189" t="str">
        <f t="shared" ref="Q1291" si="5546">IF(C1291&lt;&gt;"",C1291&amp;"-"&amp;P1291,"")</f>
        <v>Pourcentage de professionnelles de sexe dépistées positives admises dans des services de soins durant la période de rapportage -15</v>
      </c>
      <c r="R1291" s="189" t="str">
        <f t="array" ref="R1291">IFERROR(IF(INDEX('Disaggregation Records'!$E$155:$E$385,MATCH(RIGHT(Q1291,255),RIGHT('Disaggregation Records'!$D$155:$D$385,255),0))=0,"",INDEX('Disaggregation Records'!$E$155:$E$385,MATCH(RIGHT(Q1291,255),RIGHT('Disaggregation Records'!$D$155:$D$385,255),0))),"")</f>
        <v/>
      </c>
      <c r="S1291" s="189" t="str">
        <f t="array" ref="S1291">IFERROR(IF(INDEX('Disaggregation Records'!$F$155:$F$385,MATCH(RIGHT(Q1291,255),RIGHT('Disaggregation Records'!$D$155:$D$385,255),0))=0,"",INDEX('Disaggregation Records'!$F$155:$F$385,MATCH(RIGHT(Q1291,255),RIGHT('Disaggregation Records'!$D$155:$D$385,255),0))),"")</f>
        <v/>
      </c>
      <c r="T1291" s="189" t="str">
        <f t="array" ref="T1291">IFERROR(IF(INDEX('Disaggregation Records'!$H$155:$H$385,MATCH(RIGHT(Q1291,255),RIGHT('Disaggregation Records'!$D$155:$D$385,255),0))=0,"",INDEX('Disaggregation Records'!$H$155:$H$385,MATCH(RIGHT(Q1291,255),RIGHT('Disaggregation Records'!$D$155:$D$385,255),0))),"")</f>
        <v/>
      </c>
      <c r="U1291" s="189">
        <f t="shared" ref="U1291" si="5547">U1289+1</f>
        <v>1747</v>
      </c>
      <c r="V1291" s="189" t="str">
        <f t="array" ref="V1291">IFERROR(IF(INDEX('Disaggregation Records'!$I$155:$I$385,MATCH(RIGHT(Q1291,255),RIGHT('Disaggregation Records'!$D$155:$D$385,255),0))=0,"",INDEX('Disaggregation Records'!$I$155:$I$385,MATCH(RIGHT(Q1291,255),RIGHT('Disaggregation Records'!$D$155:$D$385,255),0))),"")</f>
        <v/>
      </c>
      <c r="W1291" s="189" t="str">
        <f>IFERROR(INDEX('Reference Records'!L$59:L$121,MATCH(LEFT(C1291,255),'Reference Records'!E$59:E$121,0)),"")</f>
        <v/>
      </c>
    </row>
    <row r="1292" spans="1:23" s="189" customFormat="1" ht="40.200000000000003" customHeight="1" x14ac:dyDescent="0.3">
      <c r="A1292" s="678"/>
      <c r="B1292" s="675"/>
      <c r="C1292" s="667"/>
      <c r="D1292" s="677"/>
      <c r="E1292" s="677"/>
      <c r="F1292" s="202"/>
      <c r="G1292" s="669"/>
      <c r="H1292" s="671"/>
      <c r="I1292" s="673"/>
      <c r="J1292" s="652"/>
      <c r="K1292" s="667"/>
      <c r="L1292" s="667"/>
      <c r="M1292" s="652"/>
      <c r="N1292" s="652"/>
    </row>
    <row r="1293" spans="1:23" s="189" customFormat="1" ht="40.200000000000003" customHeight="1" x14ac:dyDescent="0.3">
      <c r="A1293" s="678" t="str">
        <f t="shared" ref="A1293" ca="1" si="5548">INDIRECT("'update Helper'!C"&amp;U1293)</f>
        <v>a163p000002zQenAAE</v>
      </c>
      <c r="B1293" s="674">
        <v>17</v>
      </c>
      <c r="C1293" s="666" t="str">
        <f>VLOOKUP(B1293,'Coverage Indicators - Section D'!$A$9:$AU$70,47,FALSE)</f>
        <v xml:space="preserve">Pourcentage de professionnelles de sexe dépistées positives admises dans des services de soins durant la période de rapportage </v>
      </c>
      <c r="D1293" s="676" t="str">
        <f t="shared" ref="D1293" si="5549">R1293</f>
        <v/>
      </c>
      <c r="E1293" s="676" t="str">
        <f t="shared" ref="E1293" si="5550">S1293</f>
        <v/>
      </c>
      <c r="F1293" s="194"/>
      <c r="G1293" s="668" t="str">
        <f t="shared" ref="G1293" ca="1" si="5551">IF(OR(INDIRECT("'update Helper'!E"&amp;U1293)=0,F1293&lt;&gt;0,F1294&lt;&gt;0),IF(IFERROR((F1293/F1294),"")="","",(F1293/F1294)),INDIRECT("'update Helper'!E"&amp;U1293)/100)</f>
        <v/>
      </c>
      <c r="H1293" s="670"/>
      <c r="I1293" s="672"/>
      <c r="J1293" s="651"/>
      <c r="K1293" s="666" t="str">
        <f t="shared" ref="K1293" si="5552">W1293</f>
        <v/>
      </c>
      <c r="L1293" s="666" t="str">
        <f t="shared" ref="L1293" si="5553">V1293</f>
        <v/>
      </c>
      <c r="M1293" s="651"/>
      <c r="N1293" s="651"/>
      <c r="P1293" s="189">
        <f t="shared" ref="P1293" si="5554">IF(AND(EXACT(C1293,C1291),C1291&lt;&gt;0),P1291+1,0)</f>
        <v>16</v>
      </c>
      <c r="Q1293" s="189" t="str">
        <f t="shared" ref="Q1293" si="5555">IF(C1293&lt;&gt;"",C1293&amp;"-"&amp;P1293,"")</f>
        <v>Pourcentage de professionnelles de sexe dépistées positives admises dans des services de soins durant la période de rapportage -16</v>
      </c>
      <c r="R1293" s="189" t="str">
        <f t="array" ref="R1293">IFERROR(IF(INDEX('Disaggregation Records'!$E$155:$E$385,MATCH(RIGHT(Q1293,255),RIGHT('Disaggregation Records'!$D$155:$D$385,255),0))=0,"",INDEX('Disaggregation Records'!$E$155:$E$385,MATCH(RIGHT(Q1293,255),RIGHT('Disaggregation Records'!$D$155:$D$385,255),0))),"")</f>
        <v/>
      </c>
      <c r="S1293" s="189" t="str">
        <f t="array" ref="S1293">IFERROR(IF(INDEX('Disaggregation Records'!$F$155:$F$385,MATCH(RIGHT(Q1293,255),RIGHT('Disaggregation Records'!$D$155:$D$385,255),0))=0,"",INDEX('Disaggregation Records'!$F$155:$F$385,MATCH(RIGHT(Q1293,255),RIGHT('Disaggregation Records'!$D$155:$D$385,255),0))),"")</f>
        <v/>
      </c>
      <c r="T1293" s="189" t="str">
        <f t="array" ref="T1293">IFERROR(IF(INDEX('Disaggregation Records'!$H$155:$H$385,MATCH(RIGHT(Q1293,255),RIGHT('Disaggregation Records'!$D$155:$D$385,255),0))=0,"",INDEX('Disaggregation Records'!$H$155:$H$385,MATCH(RIGHT(Q1293,255),RIGHT('Disaggregation Records'!$D$155:$D$385,255),0))),"")</f>
        <v/>
      </c>
      <c r="U1293" s="189">
        <f t="shared" ref="U1293" si="5556">U1291+1</f>
        <v>1748</v>
      </c>
      <c r="V1293" s="189" t="str">
        <f t="array" ref="V1293">IFERROR(IF(INDEX('Disaggregation Records'!$I$155:$I$385,MATCH(RIGHT(Q1293,255),RIGHT('Disaggregation Records'!$D$155:$D$385,255),0))=0,"",INDEX('Disaggregation Records'!$I$155:$I$385,MATCH(RIGHT(Q1293,255),RIGHT('Disaggregation Records'!$D$155:$D$385,255),0))),"")</f>
        <v/>
      </c>
      <c r="W1293" s="189" t="str">
        <f>IFERROR(INDEX('Reference Records'!L$59:L$121,MATCH(LEFT(C1293,255),'Reference Records'!E$59:E$121,0)),"")</f>
        <v/>
      </c>
    </row>
    <row r="1294" spans="1:23" s="189" customFormat="1" ht="40.200000000000003" customHeight="1" x14ac:dyDescent="0.3">
      <c r="A1294" s="678"/>
      <c r="B1294" s="675"/>
      <c r="C1294" s="667"/>
      <c r="D1294" s="677"/>
      <c r="E1294" s="677"/>
      <c r="F1294" s="202"/>
      <c r="G1294" s="669"/>
      <c r="H1294" s="671"/>
      <c r="I1294" s="673"/>
      <c r="J1294" s="652"/>
      <c r="K1294" s="667"/>
      <c r="L1294" s="667"/>
      <c r="M1294" s="652"/>
      <c r="N1294" s="652"/>
    </row>
    <row r="1295" spans="1:23" s="189" customFormat="1" ht="40.200000000000003" customHeight="1" x14ac:dyDescent="0.3">
      <c r="A1295" s="678" t="str">
        <f t="shared" ref="A1295" ca="1" si="5557">INDIRECT("'update Helper'!C"&amp;U1295)</f>
        <v>a163p000002zQeoAAE</v>
      </c>
      <c r="B1295" s="674">
        <v>17</v>
      </c>
      <c r="C1295" s="666" t="str">
        <f>VLOOKUP(B1295,'Coverage Indicators - Section D'!$A$9:$AU$70,47,FALSE)</f>
        <v xml:space="preserve">Pourcentage de professionnelles de sexe dépistées positives admises dans des services de soins durant la période de rapportage </v>
      </c>
      <c r="D1295" s="676" t="str">
        <f t="shared" ref="D1295" si="5558">R1295</f>
        <v/>
      </c>
      <c r="E1295" s="676" t="str">
        <f t="shared" ref="E1295" si="5559">S1295</f>
        <v/>
      </c>
      <c r="F1295" s="194"/>
      <c r="G1295" s="668" t="str">
        <f t="shared" ref="G1295" ca="1" si="5560">IF(OR(INDIRECT("'update Helper'!E"&amp;U1295)=0,F1295&lt;&gt;0,F1296&lt;&gt;0),IF(IFERROR((F1295/F1296),"")="","",(F1295/F1296)),INDIRECT("'update Helper'!E"&amp;U1295)/100)</f>
        <v/>
      </c>
      <c r="H1295" s="670"/>
      <c r="I1295" s="672"/>
      <c r="J1295" s="651"/>
      <c r="K1295" s="666" t="str">
        <f t="shared" ref="K1295" si="5561">W1295</f>
        <v/>
      </c>
      <c r="L1295" s="666" t="str">
        <f t="shared" ref="L1295" si="5562">V1295</f>
        <v/>
      </c>
      <c r="M1295" s="651"/>
      <c r="N1295" s="651"/>
      <c r="P1295" s="189">
        <f t="shared" ref="P1295" si="5563">IF(AND(EXACT(C1295,C1293),C1293&lt;&gt;0),P1293+1,0)</f>
        <v>17</v>
      </c>
      <c r="Q1295" s="189" t="str">
        <f t="shared" ref="Q1295" si="5564">IF(C1295&lt;&gt;"",C1295&amp;"-"&amp;P1295,"")</f>
        <v>Pourcentage de professionnelles de sexe dépistées positives admises dans des services de soins durant la période de rapportage -17</v>
      </c>
      <c r="R1295" s="189" t="str">
        <f t="array" ref="R1295">IFERROR(IF(INDEX('Disaggregation Records'!$E$155:$E$385,MATCH(RIGHT(Q1295,255),RIGHT('Disaggregation Records'!$D$155:$D$385,255),0))=0,"",INDEX('Disaggregation Records'!$E$155:$E$385,MATCH(RIGHT(Q1295,255),RIGHT('Disaggregation Records'!$D$155:$D$385,255),0))),"")</f>
        <v/>
      </c>
      <c r="S1295" s="189" t="str">
        <f t="array" ref="S1295">IFERROR(IF(INDEX('Disaggregation Records'!$F$155:$F$385,MATCH(RIGHT(Q1295,255),RIGHT('Disaggregation Records'!$D$155:$D$385,255),0))=0,"",INDEX('Disaggregation Records'!$F$155:$F$385,MATCH(RIGHT(Q1295,255),RIGHT('Disaggregation Records'!$D$155:$D$385,255),0))),"")</f>
        <v/>
      </c>
      <c r="T1295" s="189" t="str">
        <f t="array" ref="T1295">IFERROR(IF(INDEX('Disaggregation Records'!$H$155:$H$385,MATCH(RIGHT(Q1295,255),RIGHT('Disaggregation Records'!$D$155:$D$385,255),0))=0,"",INDEX('Disaggregation Records'!$H$155:$H$385,MATCH(RIGHT(Q1295,255),RIGHT('Disaggregation Records'!$D$155:$D$385,255),0))),"")</f>
        <v/>
      </c>
      <c r="U1295" s="189">
        <f t="shared" ref="U1295" si="5565">U1293+1</f>
        <v>1749</v>
      </c>
      <c r="V1295" s="189" t="str">
        <f t="array" ref="V1295">IFERROR(IF(INDEX('Disaggregation Records'!$I$155:$I$385,MATCH(RIGHT(Q1295,255),RIGHT('Disaggregation Records'!$D$155:$D$385,255),0))=0,"",INDEX('Disaggregation Records'!$I$155:$I$385,MATCH(RIGHT(Q1295,255),RIGHT('Disaggregation Records'!$D$155:$D$385,255),0))),"")</f>
        <v/>
      </c>
      <c r="W1295" s="189" t="str">
        <f>IFERROR(INDEX('Reference Records'!L$59:L$121,MATCH(LEFT(C1295,255),'Reference Records'!E$59:E$121,0)),"")</f>
        <v/>
      </c>
    </row>
    <row r="1296" spans="1:23" s="189" customFormat="1" ht="40.200000000000003" customHeight="1" x14ac:dyDescent="0.3">
      <c r="A1296" s="678"/>
      <c r="B1296" s="675"/>
      <c r="C1296" s="667"/>
      <c r="D1296" s="677"/>
      <c r="E1296" s="677"/>
      <c r="F1296" s="202"/>
      <c r="G1296" s="669"/>
      <c r="H1296" s="671"/>
      <c r="I1296" s="673"/>
      <c r="J1296" s="652"/>
      <c r="K1296" s="667"/>
      <c r="L1296" s="667"/>
      <c r="M1296" s="652"/>
      <c r="N1296" s="652"/>
    </row>
    <row r="1297" spans="1:23" s="189" customFormat="1" ht="40.200000000000003" customHeight="1" x14ac:dyDescent="0.3">
      <c r="A1297" s="678" t="str">
        <f t="shared" ref="A1297" ca="1" si="5566">INDIRECT("'update Helper'!C"&amp;U1297)</f>
        <v>a163p000002zQepAAE</v>
      </c>
      <c r="B1297" s="674">
        <v>17</v>
      </c>
      <c r="C1297" s="666" t="str">
        <f>VLOOKUP(B1297,'Coverage Indicators - Section D'!$A$9:$AU$70,47,FALSE)</f>
        <v xml:space="preserve">Pourcentage de professionnelles de sexe dépistées positives admises dans des services de soins durant la période de rapportage </v>
      </c>
      <c r="D1297" s="676" t="str">
        <f t="shared" ref="D1297" si="5567">R1297</f>
        <v/>
      </c>
      <c r="E1297" s="676" t="str">
        <f t="shared" ref="E1297" si="5568">S1297</f>
        <v/>
      </c>
      <c r="F1297" s="194"/>
      <c r="G1297" s="668" t="str">
        <f t="shared" ref="G1297" ca="1" si="5569">IF(OR(INDIRECT("'update Helper'!E"&amp;U1297)=0,F1297&lt;&gt;0,F1298&lt;&gt;0),IF(IFERROR((F1297/F1298),"")="","",(F1297/F1298)),INDIRECT("'update Helper'!E"&amp;U1297)/100)</f>
        <v/>
      </c>
      <c r="H1297" s="670"/>
      <c r="I1297" s="672"/>
      <c r="J1297" s="651"/>
      <c r="K1297" s="666" t="str">
        <f t="shared" ref="K1297" si="5570">W1297</f>
        <v/>
      </c>
      <c r="L1297" s="666" t="str">
        <f t="shared" ref="L1297" si="5571">V1297</f>
        <v/>
      </c>
      <c r="M1297" s="651"/>
      <c r="N1297" s="651"/>
      <c r="P1297" s="189">
        <f t="shared" ref="P1297" si="5572">IF(AND(EXACT(C1297,C1295),C1295&lt;&gt;0),P1295+1,0)</f>
        <v>18</v>
      </c>
      <c r="Q1297" s="189" t="str">
        <f t="shared" ref="Q1297" si="5573">IF(C1297&lt;&gt;"",C1297&amp;"-"&amp;P1297,"")</f>
        <v>Pourcentage de professionnelles de sexe dépistées positives admises dans des services de soins durant la période de rapportage -18</v>
      </c>
      <c r="R1297" s="189" t="str">
        <f t="array" ref="R1297">IFERROR(IF(INDEX('Disaggregation Records'!$E$155:$E$385,MATCH(RIGHT(Q1297,255),RIGHT('Disaggregation Records'!$D$155:$D$385,255),0))=0,"",INDEX('Disaggregation Records'!$E$155:$E$385,MATCH(RIGHT(Q1297,255),RIGHT('Disaggregation Records'!$D$155:$D$385,255),0))),"")</f>
        <v/>
      </c>
      <c r="S1297" s="189" t="str">
        <f t="array" ref="S1297">IFERROR(IF(INDEX('Disaggregation Records'!$F$155:$F$385,MATCH(RIGHT(Q1297,255),RIGHT('Disaggregation Records'!$D$155:$D$385,255),0))=0,"",INDEX('Disaggregation Records'!$F$155:$F$385,MATCH(RIGHT(Q1297,255),RIGHT('Disaggregation Records'!$D$155:$D$385,255),0))),"")</f>
        <v/>
      </c>
      <c r="T1297" s="189" t="str">
        <f t="array" ref="T1297">IFERROR(IF(INDEX('Disaggregation Records'!$H$155:$H$385,MATCH(RIGHT(Q1297,255),RIGHT('Disaggregation Records'!$D$155:$D$385,255),0))=0,"",INDEX('Disaggregation Records'!$H$155:$H$385,MATCH(RIGHT(Q1297,255),RIGHT('Disaggregation Records'!$D$155:$D$385,255),0))),"")</f>
        <v/>
      </c>
      <c r="U1297" s="189">
        <f t="shared" ref="U1297" si="5574">U1295+1</f>
        <v>1750</v>
      </c>
      <c r="V1297" s="189" t="str">
        <f t="array" ref="V1297">IFERROR(IF(INDEX('Disaggregation Records'!$I$155:$I$385,MATCH(RIGHT(Q1297,255),RIGHT('Disaggregation Records'!$D$155:$D$385,255),0))=0,"",INDEX('Disaggregation Records'!$I$155:$I$385,MATCH(RIGHT(Q1297,255),RIGHT('Disaggregation Records'!$D$155:$D$385,255),0))),"")</f>
        <v/>
      </c>
      <c r="W1297" s="189" t="str">
        <f>IFERROR(INDEX('Reference Records'!L$59:L$121,MATCH(LEFT(C1297,255),'Reference Records'!E$59:E$121,0)),"")</f>
        <v/>
      </c>
    </row>
    <row r="1298" spans="1:23" s="189" customFormat="1" ht="40.200000000000003" customHeight="1" x14ac:dyDescent="0.3">
      <c r="A1298" s="678"/>
      <c r="B1298" s="675"/>
      <c r="C1298" s="667"/>
      <c r="D1298" s="677"/>
      <c r="E1298" s="677"/>
      <c r="F1298" s="202"/>
      <c r="G1298" s="669"/>
      <c r="H1298" s="671"/>
      <c r="I1298" s="673"/>
      <c r="J1298" s="652"/>
      <c r="K1298" s="667"/>
      <c r="L1298" s="667"/>
      <c r="M1298" s="652"/>
      <c r="N1298" s="652"/>
    </row>
    <row r="1299" spans="1:23" s="189" customFormat="1" ht="40.200000000000003" customHeight="1" x14ac:dyDescent="0.3">
      <c r="A1299" s="678" t="str">
        <f t="shared" ref="A1299" ca="1" si="5575">INDIRECT("'update Helper'!C"&amp;U1299)</f>
        <v>a163p000002zQeqAAE</v>
      </c>
      <c r="B1299" s="674">
        <v>17</v>
      </c>
      <c r="C1299" s="666" t="str">
        <f>VLOOKUP(B1299,'Coverage Indicators - Section D'!$A$9:$AU$70,47,FALSE)</f>
        <v xml:space="preserve">Pourcentage de professionnelles de sexe dépistées positives admises dans des services de soins durant la période de rapportage </v>
      </c>
      <c r="D1299" s="676" t="str">
        <f t="shared" ref="D1299" si="5576">R1299</f>
        <v/>
      </c>
      <c r="E1299" s="676" t="str">
        <f t="shared" ref="E1299" si="5577">S1299</f>
        <v/>
      </c>
      <c r="F1299" s="194"/>
      <c r="G1299" s="668" t="str">
        <f t="shared" ref="G1299" ca="1" si="5578">IF(OR(INDIRECT("'update Helper'!E"&amp;U1299)=0,F1299&lt;&gt;0,F1300&lt;&gt;0),IF(IFERROR((F1299/F1300),"")="","",(F1299/F1300)),INDIRECT("'update Helper'!E"&amp;U1299)/100)</f>
        <v/>
      </c>
      <c r="H1299" s="670"/>
      <c r="I1299" s="672"/>
      <c r="J1299" s="651"/>
      <c r="K1299" s="666" t="str">
        <f t="shared" ref="K1299" si="5579">W1299</f>
        <v/>
      </c>
      <c r="L1299" s="666" t="str">
        <f t="shared" ref="L1299" si="5580">V1299</f>
        <v/>
      </c>
      <c r="M1299" s="651"/>
      <c r="N1299" s="651"/>
      <c r="P1299" s="189">
        <f t="shared" ref="P1299" si="5581">IF(AND(EXACT(C1299,C1297),C1297&lt;&gt;0),P1297+1,0)</f>
        <v>19</v>
      </c>
      <c r="Q1299" s="189" t="str">
        <f t="shared" ref="Q1299" si="5582">IF(C1299&lt;&gt;"",C1299&amp;"-"&amp;P1299,"")</f>
        <v>Pourcentage de professionnelles de sexe dépistées positives admises dans des services de soins durant la période de rapportage -19</v>
      </c>
      <c r="R1299" s="189" t="str">
        <f t="array" ref="R1299">IFERROR(IF(INDEX('Disaggregation Records'!$E$155:$E$385,MATCH(RIGHT(Q1299,255),RIGHT('Disaggregation Records'!$D$155:$D$385,255),0))=0,"",INDEX('Disaggregation Records'!$E$155:$E$385,MATCH(RIGHT(Q1299,255),RIGHT('Disaggregation Records'!$D$155:$D$385,255),0))),"")</f>
        <v/>
      </c>
      <c r="S1299" s="189" t="str">
        <f t="array" ref="S1299">IFERROR(IF(INDEX('Disaggregation Records'!$F$155:$F$385,MATCH(RIGHT(Q1299,255),RIGHT('Disaggregation Records'!$D$155:$D$385,255),0))=0,"",INDEX('Disaggregation Records'!$F$155:$F$385,MATCH(RIGHT(Q1299,255),RIGHT('Disaggregation Records'!$D$155:$D$385,255),0))),"")</f>
        <v/>
      </c>
      <c r="T1299" s="189" t="str">
        <f t="array" ref="T1299">IFERROR(IF(INDEX('Disaggregation Records'!$H$155:$H$385,MATCH(RIGHT(Q1299,255),RIGHT('Disaggregation Records'!$D$155:$D$385,255),0))=0,"",INDEX('Disaggregation Records'!$H$155:$H$385,MATCH(RIGHT(Q1299,255),RIGHT('Disaggregation Records'!$D$155:$D$385,255),0))),"")</f>
        <v/>
      </c>
      <c r="U1299" s="189">
        <f t="shared" ref="U1299" si="5583">U1297+1</f>
        <v>1751</v>
      </c>
      <c r="V1299" s="189" t="str">
        <f t="array" ref="V1299">IFERROR(IF(INDEX('Disaggregation Records'!$I$155:$I$385,MATCH(RIGHT(Q1299,255),RIGHT('Disaggregation Records'!$D$155:$D$385,255),0))=0,"",INDEX('Disaggregation Records'!$I$155:$I$385,MATCH(RIGHT(Q1299,255),RIGHT('Disaggregation Records'!$D$155:$D$385,255),0))),"")</f>
        <v/>
      </c>
      <c r="W1299" s="189" t="str">
        <f>IFERROR(INDEX('Reference Records'!L$59:L$121,MATCH(LEFT(C1299,255),'Reference Records'!E$59:E$121,0)),"")</f>
        <v/>
      </c>
    </row>
    <row r="1300" spans="1:23" s="189" customFormat="1" ht="40.200000000000003" customHeight="1" x14ac:dyDescent="0.3">
      <c r="A1300" s="678"/>
      <c r="B1300" s="675"/>
      <c r="C1300" s="667"/>
      <c r="D1300" s="677"/>
      <c r="E1300" s="677"/>
      <c r="F1300" s="202"/>
      <c r="G1300" s="669"/>
      <c r="H1300" s="671"/>
      <c r="I1300" s="673"/>
      <c r="J1300" s="652"/>
      <c r="K1300" s="667"/>
      <c r="L1300" s="667"/>
      <c r="M1300" s="652"/>
      <c r="N1300" s="652"/>
    </row>
    <row r="1301" spans="1:23" s="189" customFormat="1" ht="40.200000000000003" customHeight="1" x14ac:dyDescent="0.3">
      <c r="A1301" s="678" t="str">
        <f t="shared" ref="A1301" ca="1" si="5584">INDIRECT("'update Helper'!C"&amp;U1301)</f>
        <v>a163p000002zQerAAE</v>
      </c>
      <c r="B1301" s="674">
        <v>18</v>
      </c>
      <c r="C1301" s="666" t="str">
        <f>VLOOKUP(B1301,'Coverage Indicators - Section D'!$A$9:$AU$70,47,FALSE)</f>
        <v xml:space="preserve">Pourcentage de UD dépistés positifs (y compris les UDI) admis dans des services de soins durant la période de rapportage </v>
      </c>
      <c r="D1301" s="676" t="str">
        <f t="shared" ref="D1301" si="5585">R1301</f>
        <v/>
      </c>
      <c r="E1301" s="676" t="str">
        <f t="shared" ref="E1301" si="5586">S1301</f>
        <v/>
      </c>
      <c r="F1301" s="194"/>
      <c r="G1301" s="668" t="str">
        <f t="shared" ref="G1301" ca="1" si="5587">IF(OR(INDIRECT("'update Helper'!E"&amp;U1301)=0,F1301&lt;&gt;0,F1302&lt;&gt;0),IF(IFERROR((F1301/F1302),"")="","",(F1301/F1302)),INDIRECT("'update Helper'!E"&amp;U1301)/100)</f>
        <v/>
      </c>
      <c r="H1301" s="670"/>
      <c r="I1301" s="672"/>
      <c r="J1301" s="651"/>
      <c r="K1301" s="666" t="str">
        <f t="shared" ref="K1301" si="5588">W1301</f>
        <v/>
      </c>
      <c r="L1301" s="666" t="str">
        <f t="shared" ref="L1301" si="5589">V1301</f>
        <v/>
      </c>
      <c r="M1301" s="651"/>
      <c r="N1301" s="651"/>
      <c r="P1301" s="189">
        <f t="shared" ref="P1301" si="5590">IF(AND(EXACT(C1301,C1299),C1299&lt;&gt;0),P1299+1,0)</f>
        <v>0</v>
      </c>
      <c r="Q1301" s="189" t="str">
        <f t="shared" ref="Q1301" si="5591">IF(C1301&lt;&gt;"",C1301&amp;"-"&amp;P1301,"")</f>
        <v>Pourcentage de UD dépistés positifs (y compris les UDI) admis dans des services de soins durant la période de rapportage -0</v>
      </c>
      <c r="R1301" s="189" t="str">
        <f t="array" ref="R1301">IFERROR(IF(INDEX('Disaggregation Records'!$E$155:$E$385,MATCH(RIGHT(Q1301,255),RIGHT('Disaggregation Records'!$D$155:$D$385,255),0))=0,"",INDEX('Disaggregation Records'!$E$155:$E$385,MATCH(RIGHT(Q1301,255),RIGHT('Disaggregation Records'!$D$155:$D$385,255),0))),"")</f>
        <v/>
      </c>
      <c r="S1301" s="189" t="str">
        <f t="array" ref="S1301">IFERROR(IF(INDEX('Disaggregation Records'!$F$155:$F$385,MATCH(RIGHT(Q1301,255),RIGHT('Disaggregation Records'!$D$155:$D$385,255),0))=0,"",INDEX('Disaggregation Records'!$F$155:$F$385,MATCH(RIGHT(Q1301,255),RIGHT('Disaggregation Records'!$D$155:$D$385,255),0))),"")</f>
        <v/>
      </c>
      <c r="T1301" s="189" t="str">
        <f t="array" ref="T1301">IFERROR(IF(INDEX('Disaggregation Records'!$H$155:$H$385,MATCH(RIGHT(Q1301,255),RIGHT('Disaggregation Records'!$D$155:$D$385,255),0))=0,"",INDEX('Disaggregation Records'!$H$155:$H$385,MATCH(RIGHT(Q1301,255),RIGHT('Disaggregation Records'!$D$155:$D$385,255),0))),"")</f>
        <v/>
      </c>
      <c r="U1301" s="189">
        <f t="shared" ref="U1301" si="5592">U1299+1</f>
        <v>1752</v>
      </c>
      <c r="V1301" s="189" t="str">
        <f t="array" ref="V1301">IFERROR(IF(INDEX('Disaggregation Records'!$I$155:$I$385,MATCH(RIGHT(Q1301,255),RIGHT('Disaggregation Records'!$D$155:$D$385,255),0))=0,"",INDEX('Disaggregation Records'!$I$155:$I$385,MATCH(RIGHT(Q1301,255),RIGHT('Disaggregation Records'!$D$155:$D$385,255),0))),"")</f>
        <v/>
      </c>
      <c r="W1301" s="189" t="str">
        <f>IFERROR(INDEX('Reference Records'!L$59:L$121,MATCH(LEFT(C1301,255),'Reference Records'!E$59:E$121,0)),"")</f>
        <v/>
      </c>
    </row>
    <row r="1302" spans="1:23" s="189" customFormat="1" ht="40.200000000000003" customHeight="1" x14ac:dyDescent="0.3">
      <c r="A1302" s="678"/>
      <c r="B1302" s="675"/>
      <c r="C1302" s="667"/>
      <c r="D1302" s="677"/>
      <c r="E1302" s="677"/>
      <c r="F1302" s="202"/>
      <c r="G1302" s="669"/>
      <c r="H1302" s="671"/>
      <c r="I1302" s="673"/>
      <c r="J1302" s="652"/>
      <c r="K1302" s="667"/>
      <c r="L1302" s="667"/>
      <c r="M1302" s="652"/>
      <c r="N1302" s="652"/>
    </row>
    <row r="1303" spans="1:23" s="189" customFormat="1" ht="40.200000000000003" customHeight="1" x14ac:dyDescent="0.3">
      <c r="A1303" s="678" t="str">
        <f t="shared" ref="A1303" ca="1" si="5593">INDIRECT("'update Helper'!C"&amp;U1303)</f>
        <v>a163p000002zQesAAE</v>
      </c>
      <c r="B1303" s="674">
        <v>18</v>
      </c>
      <c r="C1303" s="666" t="str">
        <f>VLOOKUP(B1303,'Coverage Indicators - Section D'!$A$9:$AU$70,47,FALSE)</f>
        <v xml:space="preserve">Pourcentage de UD dépistés positifs (y compris les UDI) admis dans des services de soins durant la période de rapportage </v>
      </c>
      <c r="D1303" s="676" t="str">
        <f t="shared" ref="D1303" si="5594">R1303</f>
        <v/>
      </c>
      <c r="E1303" s="676" t="str">
        <f t="shared" ref="E1303" si="5595">S1303</f>
        <v/>
      </c>
      <c r="F1303" s="194"/>
      <c r="G1303" s="668" t="str">
        <f t="shared" ref="G1303" ca="1" si="5596">IF(OR(INDIRECT("'update Helper'!E"&amp;U1303)=0,F1303&lt;&gt;0,F1304&lt;&gt;0),IF(IFERROR((F1303/F1304),"")="","",(F1303/F1304)),INDIRECT("'update Helper'!E"&amp;U1303)/100)</f>
        <v/>
      </c>
      <c r="H1303" s="670"/>
      <c r="I1303" s="672"/>
      <c r="J1303" s="651"/>
      <c r="K1303" s="666" t="str">
        <f t="shared" ref="K1303" si="5597">W1303</f>
        <v/>
      </c>
      <c r="L1303" s="666" t="str">
        <f t="shared" ref="L1303" si="5598">V1303</f>
        <v/>
      </c>
      <c r="M1303" s="651"/>
      <c r="N1303" s="651"/>
      <c r="P1303" s="189">
        <f t="shared" ref="P1303" si="5599">IF(AND(EXACT(C1303,C1301),C1301&lt;&gt;0),P1301+1,0)</f>
        <v>1</v>
      </c>
      <c r="Q1303" s="189" t="str">
        <f t="shared" ref="Q1303" si="5600">IF(C1303&lt;&gt;"",C1303&amp;"-"&amp;P1303,"")</f>
        <v>Pourcentage de UD dépistés positifs (y compris les UDI) admis dans des services de soins durant la période de rapportage -1</v>
      </c>
      <c r="R1303" s="189" t="str">
        <f t="array" ref="R1303">IFERROR(IF(INDEX('Disaggregation Records'!$E$155:$E$385,MATCH(RIGHT(Q1303,255),RIGHT('Disaggregation Records'!$D$155:$D$385,255),0))=0,"",INDEX('Disaggregation Records'!$E$155:$E$385,MATCH(RIGHT(Q1303,255),RIGHT('Disaggregation Records'!$D$155:$D$385,255),0))),"")</f>
        <v/>
      </c>
      <c r="S1303" s="189" t="str">
        <f t="array" ref="S1303">IFERROR(IF(INDEX('Disaggregation Records'!$F$155:$F$385,MATCH(RIGHT(Q1303,255),RIGHT('Disaggregation Records'!$D$155:$D$385,255),0))=0,"",INDEX('Disaggregation Records'!$F$155:$F$385,MATCH(RIGHT(Q1303,255),RIGHT('Disaggregation Records'!$D$155:$D$385,255),0))),"")</f>
        <v/>
      </c>
      <c r="T1303" s="189" t="str">
        <f t="array" ref="T1303">IFERROR(IF(INDEX('Disaggregation Records'!$H$155:$H$385,MATCH(RIGHT(Q1303,255),RIGHT('Disaggregation Records'!$D$155:$D$385,255),0))=0,"",INDEX('Disaggregation Records'!$H$155:$H$385,MATCH(RIGHT(Q1303,255),RIGHT('Disaggregation Records'!$D$155:$D$385,255),0))),"")</f>
        <v/>
      </c>
      <c r="U1303" s="189">
        <f t="shared" ref="U1303" si="5601">U1301+1</f>
        <v>1753</v>
      </c>
      <c r="V1303" s="189" t="str">
        <f t="array" ref="V1303">IFERROR(IF(INDEX('Disaggregation Records'!$I$155:$I$385,MATCH(RIGHT(Q1303,255),RIGHT('Disaggregation Records'!$D$155:$D$385,255),0))=0,"",INDEX('Disaggregation Records'!$I$155:$I$385,MATCH(RIGHT(Q1303,255),RIGHT('Disaggregation Records'!$D$155:$D$385,255),0))),"")</f>
        <v/>
      </c>
      <c r="W1303" s="189" t="str">
        <f>IFERROR(INDEX('Reference Records'!L$59:L$121,MATCH(LEFT(C1303,255),'Reference Records'!E$59:E$121,0)),"")</f>
        <v/>
      </c>
    </row>
    <row r="1304" spans="1:23" s="189" customFormat="1" ht="40.200000000000003" customHeight="1" x14ac:dyDescent="0.3">
      <c r="A1304" s="678"/>
      <c r="B1304" s="675"/>
      <c r="C1304" s="667"/>
      <c r="D1304" s="677"/>
      <c r="E1304" s="677"/>
      <c r="F1304" s="202"/>
      <c r="G1304" s="669"/>
      <c r="H1304" s="671"/>
      <c r="I1304" s="673"/>
      <c r="J1304" s="652"/>
      <c r="K1304" s="667"/>
      <c r="L1304" s="667"/>
      <c r="M1304" s="652"/>
      <c r="N1304" s="652"/>
    </row>
    <row r="1305" spans="1:23" s="189" customFormat="1" ht="40.200000000000003" customHeight="1" x14ac:dyDescent="0.3">
      <c r="A1305" s="678" t="str">
        <f t="shared" ref="A1305" ca="1" si="5602">INDIRECT("'update Helper'!C"&amp;U1305)</f>
        <v>a163p000002zQetAAE</v>
      </c>
      <c r="B1305" s="674">
        <v>18</v>
      </c>
      <c r="C1305" s="666" t="str">
        <f>VLOOKUP(B1305,'Coverage Indicators - Section D'!$A$9:$AU$70,47,FALSE)</f>
        <v xml:space="preserve">Pourcentage de UD dépistés positifs (y compris les UDI) admis dans des services de soins durant la période de rapportage </v>
      </c>
      <c r="D1305" s="676" t="str">
        <f t="shared" ref="D1305" si="5603">R1305</f>
        <v/>
      </c>
      <c r="E1305" s="676" t="str">
        <f t="shared" ref="E1305" si="5604">S1305</f>
        <v/>
      </c>
      <c r="F1305" s="194"/>
      <c r="G1305" s="668" t="str">
        <f t="shared" ref="G1305" ca="1" si="5605">IF(OR(INDIRECT("'update Helper'!E"&amp;U1305)=0,F1305&lt;&gt;0,F1306&lt;&gt;0),IF(IFERROR((F1305/F1306),"")="","",(F1305/F1306)),INDIRECT("'update Helper'!E"&amp;U1305)/100)</f>
        <v/>
      </c>
      <c r="H1305" s="670"/>
      <c r="I1305" s="672"/>
      <c r="J1305" s="651"/>
      <c r="K1305" s="666" t="str">
        <f t="shared" ref="K1305" si="5606">W1305</f>
        <v/>
      </c>
      <c r="L1305" s="666" t="str">
        <f t="shared" ref="L1305" si="5607">V1305</f>
        <v/>
      </c>
      <c r="M1305" s="651"/>
      <c r="N1305" s="651"/>
      <c r="P1305" s="189">
        <f t="shared" ref="P1305" si="5608">IF(AND(EXACT(C1305,C1303),C1303&lt;&gt;0),P1303+1,0)</f>
        <v>2</v>
      </c>
      <c r="Q1305" s="189" t="str">
        <f t="shared" ref="Q1305" si="5609">IF(C1305&lt;&gt;"",C1305&amp;"-"&amp;P1305,"")</f>
        <v>Pourcentage de UD dépistés positifs (y compris les UDI) admis dans des services de soins durant la période de rapportage -2</v>
      </c>
      <c r="R1305" s="189" t="str">
        <f t="array" ref="R1305">IFERROR(IF(INDEX('Disaggregation Records'!$E$155:$E$385,MATCH(RIGHT(Q1305,255),RIGHT('Disaggregation Records'!$D$155:$D$385,255),0))=0,"",INDEX('Disaggregation Records'!$E$155:$E$385,MATCH(RIGHT(Q1305,255),RIGHT('Disaggregation Records'!$D$155:$D$385,255),0))),"")</f>
        <v/>
      </c>
      <c r="S1305" s="189" t="str">
        <f t="array" ref="S1305">IFERROR(IF(INDEX('Disaggregation Records'!$F$155:$F$385,MATCH(RIGHT(Q1305,255),RIGHT('Disaggregation Records'!$D$155:$D$385,255),0))=0,"",INDEX('Disaggregation Records'!$F$155:$F$385,MATCH(RIGHT(Q1305,255),RIGHT('Disaggregation Records'!$D$155:$D$385,255),0))),"")</f>
        <v/>
      </c>
      <c r="T1305" s="189" t="str">
        <f t="array" ref="T1305">IFERROR(IF(INDEX('Disaggregation Records'!$H$155:$H$385,MATCH(RIGHT(Q1305,255),RIGHT('Disaggregation Records'!$D$155:$D$385,255),0))=0,"",INDEX('Disaggregation Records'!$H$155:$H$385,MATCH(RIGHT(Q1305,255),RIGHT('Disaggregation Records'!$D$155:$D$385,255),0))),"")</f>
        <v/>
      </c>
      <c r="U1305" s="189">
        <f t="shared" ref="U1305" si="5610">U1303+1</f>
        <v>1754</v>
      </c>
      <c r="V1305" s="189" t="str">
        <f t="array" ref="V1305">IFERROR(IF(INDEX('Disaggregation Records'!$I$155:$I$385,MATCH(RIGHT(Q1305,255),RIGHT('Disaggregation Records'!$D$155:$D$385,255),0))=0,"",INDEX('Disaggregation Records'!$I$155:$I$385,MATCH(RIGHT(Q1305,255),RIGHT('Disaggregation Records'!$D$155:$D$385,255),0))),"")</f>
        <v/>
      </c>
      <c r="W1305" s="189" t="str">
        <f>IFERROR(INDEX('Reference Records'!L$59:L$121,MATCH(LEFT(C1305,255),'Reference Records'!E$59:E$121,0)),"")</f>
        <v/>
      </c>
    </row>
    <row r="1306" spans="1:23" s="189" customFormat="1" ht="40.200000000000003" customHeight="1" x14ac:dyDescent="0.3">
      <c r="A1306" s="678"/>
      <c r="B1306" s="675"/>
      <c r="C1306" s="667"/>
      <c r="D1306" s="677"/>
      <c r="E1306" s="677"/>
      <c r="F1306" s="202"/>
      <c r="G1306" s="669"/>
      <c r="H1306" s="671"/>
      <c r="I1306" s="673"/>
      <c r="J1306" s="652"/>
      <c r="K1306" s="667"/>
      <c r="L1306" s="667"/>
      <c r="M1306" s="652"/>
      <c r="N1306" s="652"/>
    </row>
    <row r="1307" spans="1:23" s="189" customFormat="1" ht="40.200000000000003" customHeight="1" x14ac:dyDescent="0.3">
      <c r="A1307" s="678" t="str">
        <f t="shared" ref="A1307" ca="1" si="5611">INDIRECT("'update Helper'!C"&amp;U1307)</f>
        <v>a163p000002zQeuAAE</v>
      </c>
      <c r="B1307" s="674">
        <v>18</v>
      </c>
      <c r="C1307" s="666" t="str">
        <f>VLOOKUP(B1307,'Coverage Indicators - Section D'!$A$9:$AU$70,47,FALSE)</f>
        <v xml:space="preserve">Pourcentage de UD dépistés positifs (y compris les UDI) admis dans des services de soins durant la période de rapportage </v>
      </c>
      <c r="D1307" s="676" t="str">
        <f t="shared" ref="D1307" si="5612">R1307</f>
        <v/>
      </c>
      <c r="E1307" s="676" t="str">
        <f t="shared" ref="E1307" si="5613">S1307</f>
        <v/>
      </c>
      <c r="F1307" s="194"/>
      <c r="G1307" s="668" t="str">
        <f t="shared" ref="G1307" ca="1" si="5614">IF(OR(INDIRECT("'update Helper'!E"&amp;U1307)=0,F1307&lt;&gt;0,F1308&lt;&gt;0),IF(IFERROR((F1307/F1308),"")="","",(F1307/F1308)),INDIRECT("'update Helper'!E"&amp;U1307)/100)</f>
        <v/>
      </c>
      <c r="H1307" s="670"/>
      <c r="I1307" s="672"/>
      <c r="J1307" s="651"/>
      <c r="K1307" s="666" t="str">
        <f t="shared" ref="K1307" si="5615">W1307</f>
        <v/>
      </c>
      <c r="L1307" s="666" t="str">
        <f t="shared" ref="L1307" si="5616">V1307</f>
        <v/>
      </c>
      <c r="M1307" s="651"/>
      <c r="N1307" s="651"/>
      <c r="P1307" s="189">
        <f t="shared" ref="P1307" si="5617">IF(AND(EXACT(C1307,C1305),C1305&lt;&gt;0),P1305+1,0)</f>
        <v>3</v>
      </c>
      <c r="Q1307" s="189" t="str">
        <f t="shared" ref="Q1307" si="5618">IF(C1307&lt;&gt;"",C1307&amp;"-"&amp;P1307,"")</f>
        <v>Pourcentage de UD dépistés positifs (y compris les UDI) admis dans des services de soins durant la période de rapportage -3</v>
      </c>
      <c r="R1307" s="189" t="str">
        <f t="array" ref="R1307">IFERROR(IF(INDEX('Disaggregation Records'!$E$155:$E$385,MATCH(RIGHT(Q1307,255),RIGHT('Disaggregation Records'!$D$155:$D$385,255),0))=0,"",INDEX('Disaggregation Records'!$E$155:$E$385,MATCH(RIGHT(Q1307,255),RIGHT('Disaggregation Records'!$D$155:$D$385,255),0))),"")</f>
        <v/>
      </c>
      <c r="S1307" s="189" t="str">
        <f t="array" ref="S1307">IFERROR(IF(INDEX('Disaggregation Records'!$F$155:$F$385,MATCH(RIGHT(Q1307,255),RIGHT('Disaggregation Records'!$D$155:$D$385,255),0))=0,"",INDEX('Disaggregation Records'!$F$155:$F$385,MATCH(RIGHT(Q1307,255),RIGHT('Disaggregation Records'!$D$155:$D$385,255),0))),"")</f>
        <v/>
      </c>
      <c r="T1307" s="189" t="str">
        <f t="array" ref="T1307">IFERROR(IF(INDEX('Disaggregation Records'!$H$155:$H$385,MATCH(RIGHT(Q1307,255),RIGHT('Disaggregation Records'!$D$155:$D$385,255),0))=0,"",INDEX('Disaggregation Records'!$H$155:$H$385,MATCH(RIGHT(Q1307,255),RIGHT('Disaggregation Records'!$D$155:$D$385,255),0))),"")</f>
        <v/>
      </c>
      <c r="U1307" s="189">
        <f t="shared" ref="U1307" si="5619">U1305+1</f>
        <v>1755</v>
      </c>
      <c r="V1307" s="189" t="str">
        <f t="array" ref="V1307">IFERROR(IF(INDEX('Disaggregation Records'!$I$155:$I$385,MATCH(RIGHT(Q1307,255),RIGHT('Disaggregation Records'!$D$155:$D$385,255),0))=0,"",INDEX('Disaggregation Records'!$I$155:$I$385,MATCH(RIGHT(Q1307,255),RIGHT('Disaggregation Records'!$D$155:$D$385,255),0))),"")</f>
        <v/>
      </c>
      <c r="W1307" s="189" t="str">
        <f>IFERROR(INDEX('Reference Records'!L$59:L$121,MATCH(LEFT(C1307,255),'Reference Records'!E$59:E$121,0)),"")</f>
        <v/>
      </c>
    </row>
    <row r="1308" spans="1:23" s="189" customFormat="1" ht="40.200000000000003" customHeight="1" x14ac:dyDescent="0.3">
      <c r="A1308" s="678"/>
      <c r="B1308" s="675"/>
      <c r="C1308" s="667"/>
      <c r="D1308" s="677"/>
      <c r="E1308" s="677"/>
      <c r="F1308" s="202"/>
      <c r="G1308" s="669"/>
      <c r="H1308" s="671"/>
      <c r="I1308" s="673"/>
      <c r="J1308" s="652"/>
      <c r="K1308" s="667"/>
      <c r="L1308" s="667"/>
      <c r="M1308" s="652"/>
      <c r="N1308" s="652"/>
    </row>
    <row r="1309" spans="1:23" s="189" customFormat="1" ht="40.200000000000003" customHeight="1" x14ac:dyDescent="0.3">
      <c r="A1309" s="678" t="str">
        <f t="shared" ref="A1309" ca="1" si="5620">INDIRECT("'update Helper'!C"&amp;U1309)</f>
        <v>a163p000002zQevAAE</v>
      </c>
      <c r="B1309" s="674">
        <v>18</v>
      </c>
      <c r="C1309" s="666" t="str">
        <f>VLOOKUP(B1309,'Coverage Indicators - Section D'!$A$9:$AU$70,47,FALSE)</f>
        <v xml:space="preserve">Pourcentage de UD dépistés positifs (y compris les UDI) admis dans des services de soins durant la période de rapportage </v>
      </c>
      <c r="D1309" s="676" t="str">
        <f t="shared" ref="D1309" si="5621">R1309</f>
        <v/>
      </c>
      <c r="E1309" s="676" t="str">
        <f t="shared" ref="E1309" si="5622">S1309</f>
        <v/>
      </c>
      <c r="F1309" s="194"/>
      <c r="G1309" s="668" t="str">
        <f t="shared" ref="G1309" ca="1" si="5623">IF(OR(INDIRECT("'update Helper'!E"&amp;U1309)=0,F1309&lt;&gt;0,F1310&lt;&gt;0),IF(IFERROR((F1309/F1310),"")="","",(F1309/F1310)),INDIRECT("'update Helper'!E"&amp;U1309)/100)</f>
        <v/>
      </c>
      <c r="H1309" s="670"/>
      <c r="I1309" s="672"/>
      <c r="J1309" s="651"/>
      <c r="K1309" s="666" t="str">
        <f t="shared" ref="K1309" si="5624">W1309</f>
        <v/>
      </c>
      <c r="L1309" s="666" t="str">
        <f t="shared" ref="L1309" si="5625">V1309</f>
        <v/>
      </c>
      <c r="M1309" s="651"/>
      <c r="N1309" s="651"/>
      <c r="P1309" s="189">
        <f t="shared" ref="P1309" si="5626">IF(AND(EXACT(C1309,C1307),C1307&lt;&gt;0),P1307+1,0)</f>
        <v>4</v>
      </c>
      <c r="Q1309" s="189" t="str">
        <f t="shared" ref="Q1309" si="5627">IF(C1309&lt;&gt;"",C1309&amp;"-"&amp;P1309,"")</f>
        <v>Pourcentage de UD dépistés positifs (y compris les UDI) admis dans des services de soins durant la période de rapportage -4</v>
      </c>
      <c r="R1309" s="189" t="str">
        <f t="array" ref="R1309">IFERROR(IF(INDEX('Disaggregation Records'!$E$155:$E$385,MATCH(RIGHT(Q1309,255),RIGHT('Disaggregation Records'!$D$155:$D$385,255),0))=0,"",INDEX('Disaggregation Records'!$E$155:$E$385,MATCH(RIGHT(Q1309,255),RIGHT('Disaggregation Records'!$D$155:$D$385,255),0))),"")</f>
        <v/>
      </c>
      <c r="S1309" s="189" t="str">
        <f t="array" ref="S1309">IFERROR(IF(INDEX('Disaggregation Records'!$F$155:$F$385,MATCH(RIGHT(Q1309,255),RIGHT('Disaggregation Records'!$D$155:$D$385,255),0))=0,"",INDEX('Disaggregation Records'!$F$155:$F$385,MATCH(RIGHT(Q1309,255),RIGHT('Disaggregation Records'!$D$155:$D$385,255),0))),"")</f>
        <v/>
      </c>
      <c r="T1309" s="189" t="str">
        <f t="array" ref="T1309">IFERROR(IF(INDEX('Disaggregation Records'!$H$155:$H$385,MATCH(RIGHT(Q1309,255),RIGHT('Disaggregation Records'!$D$155:$D$385,255),0))=0,"",INDEX('Disaggregation Records'!$H$155:$H$385,MATCH(RIGHT(Q1309,255),RIGHT('Disaggregation Records'!$D$155:$D$385,255),0))),"")</f>
        <v/>
      </c>
      <c r="U1309" s="189">
        <f t="shared" ref="U1309" si="5628">U1307+1</f>
        <v>1756</v>
      </c>
      <c r="V1309" s="189" t="str">
        <f t="array" ref="V1309">IFERROR(IF(INDEX('Disaggregation Records'!$I$155:$I$385,MATCH(RIGHT(Q1309,255),RIGHT('Disaggregation Records'!$D$155:$D$385,255),0))=0,"",INDEX('Disaggregation Records'!$I$155:$I$385,MATCH(RIGHT(Q1309,255),RIGHT('Disaggregation Records'!$D$155:$D$385,255),0))),"")</f>
        <v/>
      </c>
      <c r="W1309" s="189" t="str">
        <f>IFERROR(INDEX('Reference Records'!L$59:L$121,MATCH(LEFT(C1309,255),'Reference Records'!E$59:E$121,0)),"")</f>
        <v/>
      </c>
    </row>
    <row r="1310" spans="1:23" s="189" customFormat="1" ht="40.200000000000003" customHeight="1" x14ac:dyDescent="0.3">
      <c r="A1310" s="678"/>
      <c r="B1310" s="675"/>
      <c r="C1310" s="667"/>
      <c r="D1310" s="677"/>
      <c r="E1310" s="677"/>
      <c r="F1310" s="202"/>
      <c r="G1310" s="669"/>
      <c r="H1310" s="671"/>
      <c r="I1310" s="673"/>
      <c r="J1310" s="652"/>
      <c r="K1310" s="667"/>
      <c r="L1310" s="667"/>
      <c r="M1310" s="652"/>
      <c r="N1310" s="652"/>
    </row>
    <row r="1311" spans="1:23" s="189" customFormat="1" ht="40.200000000000003" customHeight="1" x14ac:dyDescent="0.3">
      <c r="A1311" s="678" t="str">
        <f t="shared" ref="A1311" ca="1" si="5629">INDIRECT("'update Helper'!C"&amp;U1311)</f>
        <v>a163p000002zQewAAE</v>
      </c>
      <c r="B1311" s="674">
        <v>18</v>
      </c>
      <c r="C1311" s="666" t="str">
        <f>VLOOKUP(B1311,'Coverage Indicators - Section D'!$A$9:$AU$70,47,FALSE)</f>
        <v xml:space="preserve">Pourcentage de UD dépistés positifs (y compris les UDI) admis dans des services de soins durant la période de rapportage </v>
      </c>
      <c r="D1311" s="676" t="str">
        <f t="shared" ref="D1311" si="5630">R1311</f>
        <v/>
      </c>
      <c r="E1311" s="676" t="str">
        <f t="shared" ref="E1311" si="5631">S1311</f>
        <v/>
      </c>
      <c r="F1311" s="194"/>
      <c r="G1311" s="668" t="str">
        <f t="shared" ref="G1311" ca="1" si="5632">IF(OR(INDIRECT("'update Helper'!E"&amp;U1311)=0,F1311&lt;&gt;0,F1312&lt;&gt;0),IF(IFERROR((F1311/F1312),"")="","",(F1311/F1312)),INDIRECT("'update Helper'!E"&amp;U1311)/100)</f>
        <v/>
      </c>
      <c r="H1311" s="670"/>
      <c r="I1311" s="672"/>
      <c r="J1311" s="651"/>
      <c r="K1311" s="666" t="str">
        <f t="shared" ref="K1311" si="5633">W1311</f>
        <v/>
      </c>
      <c r="L1311" s="666" t="str">
        <f t="shared" ref="L1311" si="5634">V1311</f>
        <v/>
      </c>
      <c r="M1311" s="651"/>
      <c r="N1311" s="651"/>
      <c r="P1311" s="189">
        <f t="shared" ref="P1311" si="5635">IF(AND(EXACT(C1311,C1309),C1309&lt;&gt;0),P1309+1,0)</f>
        <v>5</v>
      </c>
      <c r="Q1311" s="189" t="str">
        <f t="shared" ref="Q1311" si="5636">IF(C1311&lt;&gt;"",C1311&amp;"-"&amp;P1311,"")</f>
        <v>Pourcentage de UD dépistés positifs (y compris les UDI) admis dans des services de soins durant la période de rapportage -5</v>
      </c>
      <c r="R1311" s="189" t="str">
        <f t="array" ref="R1311">IFERROR(IF(INDEX('Disaggregation Records'!$E$155:$E$385,MATCH(RIGHT(Q1311,255),RIGHT('Disaggregation Records'!$D$155:$D$385,255),0))=0,"",INDEX('Disaggregation Records'!$E$155:$E$385,MATCH(RIGHT(Q1311,255),RIGHT('Disaggregation Records'!$D$155:$D$385,255),0))),"")</f>
        <v/>
      </c>
      <c r="S1311" s="189" t="str">
        <f t="array" ref="S1311">IFERROR(IF(INDEX('Disaggregation Records'!$F$155:$F$385,MATCH(RIGHT(Q1311,255),RIGHT('Disaggregation Records'!$D$155:$D$385,255),0))=0,"",INDEX('Disaggregation Records'!$F$155:$F$385,MATCH(RIGHT(Q1311,255),RIGHT('Disaggregation Records'!$D$155:$D$385,255),0))),"")</f>
        <v/>
      </c>
      <c r="T1311" s="189" t="str">
        <f t="array" ref="T1311">IFERROR(IF(INDEX('Disaggregation Records'!$H$155:$H$385,MATCH(RIGHT(Q1311,255),RIGHT('Disaggregation Records'!$D$155:$D$385,255),0))=0,"",INDEX('Disaggregation Records'!$H$155:$H$385,MATCH(RIGHT(Q1311,255),RIGHT('Disaggregation Records'!$D$155:$D$385,255),0))),"")</f>
        <v/>
      </c>
      <c r="U1311" s="189">
        <f t="shared" ref="U1311" si="5637">U1309+1</f>
        <v>1757</v>
      </c>
      <c r="V1311" s="189" t="str">
        <f t="array" ref="V1311">IFERROR(IF(INDEX('Disaggregation Records'!$I$155:$I$385,MATCH(RIGHT(Q1311,255),RIGHT('Disaggregation Records'!$D$155:$D$385,255),0))=0,"",INDEX('Disaggregation Records'!$I$155:$I$385,MATCH(RIGHT(Q1311,255),RIGHT('Disaggregation Records'!$D$155:$D$385,255),0))),"")</f>
        <v/>
      </c>
      <c r="W1311" s="189" t="str">
        <f>IFERROR(INDEX('Reference Records'!L$59:L$121,MATCH(LEFT(C1311,255),'Reference Records'!E$59:E$121,0)),"")</f>
        <v/>
      </c>
    </row>
    <row r="1312" spans="1:23" s="189" customFormat="1" ht="40.200000000000003" customHeight="1" x14ac:dyDescent="0.3">
      <c r="A1312" s="678"/>
      <c r="B1312" s="675"/>
      <c r="C1312" s="667"/>
      <c r="D1312" s="677"/>
      <c r="E1312" s="677"/>
      <c r="F1312" s="202"/>
      <c r="G1312" s="669"/>
      <c r="H1312" s="671"/>
      <c r="I1312" s="673"/>
      <c r="J1312" s="652"/>
      <c r="K1312" s="667"/>
      <c r="L1312" s="667"/>
      <c r="M1312" s="652"/>
      <c r="N1312" s="652"/>
    </row>
    <row r="1313" spans="1:23" s="189" customFormat="1" ht="40.200000000000003" customHeight="1" x14ac:dyDescent="0.3">
      <c r="A1313" s="678" t="str">
        <f t="shared" ref="A1313" ca="1" si="5638">INDIRECT("'update Helper'!C"&amp;U1313)</f>
        <v>a163p000002zQexAAE</v>
      </c>
      <c r="B1313" s="674">
        <v>18</v>
      </c>
      <c r="C1313" s="666" t="str">
        <f>VLOOKUP(B1313,'Coverage Indicators - Section D'!$A$9:$AU$70,47,FALSE)</f>
        <v xml:space="preserve">Pourcentage de UD dépistés positifs (y compris les UDI) admis dans des services de soins durant la période de rapportage </v>
      </c>
      <c r="D1313" s="676" t="str">
        <f t="shared" ref="D1313" si="5639">R1313</f>
        <v/>
      </c>
      <c r="E1313" s="676" t="str">
        <f t="shared" ref="E1313" si="5640">S1313</f>
        <v/>
      </c>
      <c r="F1313" s="194"/>
      <c r="G1313" s="668" t="str">
        <f t="shared" ref="G1313" ca="1" si="5641">IF(OR(INDIRECT("'update Helper'!E"&amp;U1313)=0,F1313&lt;&gt;0,F1314&lt;&gt;0),IF(IFERROR((F1313/F1314),"")="","",(F1313/F1314)),INDIRECT("'update Helper'!E"&amp;U1313)/100)</f>
        <v/>
      </c>
      <c r="H1313" s="670"/>
      <c r="I1313" s="672"/>
      <c r="J1313" s="651"/>
      <c r="K1313" s="666" t="str">
        <f t="shared" ref="K1313" si="5642">W1313</f>
        <v/>
      </c>
      <c r="L1313" s="666" t="str">
        <f t="shared" ref="L1313" si="5643">V1313</f>
        <v/>
      </c>
      <c r="M1313" s="651"/>
      <c r="N1313" s="651"/>
      <c r="P1313" s="189">
        <f t="shared" ref="P1313" si="5644">IF(AND(EXACT(C1313,C1311),C1311&lt;&gt;0),P1311+1,0)</f>
        <v>6</v>
      </c>
      <c r="Q1313" s="189" t="str">
        <f t="shared" ref="Q1313" si="5645">IF(C1313&lt;&gt;"",C1313&amp;"-"&amp;P1313,"")</f>
        <v>Pourcentage de UD dépistés positifs (y compris les UDI) admis dans des services de soins durant la période de rapportage -6</v>
      </c>
      <c r="R1313" s="189" t="str">
        <f t="array" ref="R1313">IFERROR(IF(INDEX('Disaggregation Records'!$E$155:$E$385,MATCH(RIGHT(Q1313,255),RIGHT('Disaggregation Records'!$D$155:$D$385,255),0))=0,"",INDEX('Disaggregation Records'!$E$155:$E$385,MATCH(RIGHT(Q1313,255),RIGHT('Disaggregation Records'!$D$155:$D$385,255),0))),"")</f>
        <v/>
      </c>
      <c r="S1313" s="189" t="str">
        <f t="array" ref="S1313">IFERROR(IF(INDEX('Disaggregation Records'!$F$155:$F$385,MATCH(RIGHT(Q1313,255),RIGHT('Disaggregation Records'!$D$155:$D$385,255),0))=0,"",INDEX('Disaggregation Records'!$F$155:$F$385,MATCH(RIGHT(Q1313,255),RIGHT('Disaggregation Records'!$D$155:$D$385,255),0))),"")</f>
        <v/>
      </c>
      <c r="T1313" s="189" t="str">
        <f t="array" ref="T1313">IFERROR(IF(INDEX('Disaggregation Records'!$H$155:$H$385,MATCH(RIGHT(Q1313,255),RIGHT('Disaggregation Records'!$D$155:$D$385,255),0))=0,"",INDEX('Disaggregation Records'!$H$155:$H$385,MATCH(RIGHT(Q1313,255),RIGHT('Disaggregation Records'!$D$155:$D$385,255),0))),"")</f>
        <v/>
      </c>
      <c r="U1313" s="189">
        <f t="shared" ref="U1313" si="5646">U1311+1</f>
        <v>1758</v>
      </c>
      <c r="V1313" s="189" t="str">
        <f t="array" ref="V1313">IFERROR(IF(INDEX('Disaggregation Records'!$I$155:$I$385,MATCH(RIGHT(Q1313,255),RIGHT('Disaggregation Records'!$D$155:$D$385,255),0))=0,"",INDEX('Disaggregation Records'!$I$155:$I$385,MATCH(RIGHT(Q1313,255),RIGHT('Disaggregation Records'!$D$155:$D$385,255),0))),"")</f>
        <v/>
      </c>
      <c r="W1313" s="189" t="str">
        <f>IFERROR(INDEX('Reference Records'!L$59:L$121,MATCH(LEFT(C1313,255),'Reference Records'!E$59:E$121,0)),"")</f>
        <v/>
      </c>
    </row>
    <row r="1314" spans="1:23" s="189" customFormat="1" ht="40.200000000000003" customHeight="1" x14ac:dyDescent="0.3">
      <c r="A1314" s="678"/>
      <c r="B1314" s="675"/>
      <c r="C1314" s="667"/>
      <c r="D1314" s="677"/>
      <c r="E1314" s="677"/>
      <c r="F1314" s="202"/>
      <c r="G1314" s="669"/>
      <c r="H1314" s="671"/>
      <c r="I1314" s="673"/>
      <c r="J1314" s="652"/>
      <c r="K1314" s="667"/>
      <c r="L1314" s="667"/>
      <c r="M1314" s="652"/>
      <c r="N1314" s="652"/>
    </row>
    <row r="1315" spans="1:23" s="189" customFormat="1" ht="40.200000000000003" customHeight="1" x14ac:dyDescent="0.3">
      <c r="A1315" s="678" t="str">
        <f t="shared" ref="A1315" ca="1" si="5647">INDIRECT("'update Helper'!C"&amp;U1315)</f>
        <v>a163p000002zQeyAAE</v>
      </c>
      <c r="B1315" s="674">
        <v>18</v>
      </c>
      <c r="C1315" s="666" t="str">
        <f>VLOOKUP(B1315,'Coverage Indicators - Section D'!$A$9:$AU$70,47,FALSE)</f>
        <v xml:space="preserve">Pourcentage de UD dépistés positifs (y compris les UDI) admis dans des services de soins durant la période de rapportage </v>
      </c>
      <c r="D1315" s="676" t="str">
        <f t="shared" ref="D1315" si="5648">R1315</f>
        <v/>
      </c>
      <c r="E1315" s="676" t="str">
        <f t="shared" ref="E1315" si="5649">S1315</f>
        <v/>
      </c>
      <c r="F1315" s="194"/>
      <c r="G1315" s="668" t="str">
        <f t="shared" ref="G1315" ca="1" si="5650">IF(OR(INDIRECT("'update Helper'!E"&amp;U1315)=0,F1315&lt;&gt;0,F1316&lt;&gt;0),IF(IFERROR((F1315/F1316),"")="","",(F1315/F1316)),INDIRECT("'update Helper'!E"&amp;U1315)/100)</f>
        <v/>
      </c>
      <c r="H1315" s="670"/>
      <c r="I1315" s="672"/>
      <c r="J1315" s="651"/>
      <c r="K1315" s="666" t="str">
        <f t="shared" ref="K1315" si="5651">W1315</f>
        <v/>
      </c>
      <c r="L1315" s="666" t="str">
        <f t="shared" ref="L1315" si="5652">V1315</f>
        <v/>
      </c>
      <c r="M1315" s="651"/>
      <c r="N1315" s="651"/>
      <c r="P1315" s="189">
        <f t="shared" ref="P1315" si="5653">IF(AND(EXACT(C1315,C1313),C1313&lt;&gt;0),P1313+1,0)</f>
        <v>7</v>
      </c>
      <c r="Q1315" s="189" t="str">
        <f t="shared" ref="Q1315" si="5654">IF(C1315&lt;&gt;"",C1315&amp;"-"&amp;P1315,"")</f>
        <v>Pourcentage de UD dépistés positifs (y compris les UDI) admis dans des services de soins durant la période de rapportage -7</v>
      </c>
      <c r="R1315" s="189" t="str">
        <f t="array" ref="R1315">IFERROR(IF(INDEX('Disaggregation Records'!$E$155:$E$385,MATCH(RIGHT(Q1315,255),RIGHT('Disaggregation Records'!$D$155:$D$385,255),0))=0,"",INDEX('Disaggregation Records'!$E$155:$E$385,MATCH(RIGHT(Q1315,255),RIGHT('Disaggregation Records'!$D$155:$D$385,255),0))),"")</f>
        <v/>
      </c>
      <c r="S1315" s="189" t="str">
        <f t="array" ref="S1315">IFERROR(IF(INDEX('Disaggregation Records'!$F$155:$F$385,MATCH(RIGHT(Q1315,255),RIGHT('Disaggregation Records'!$D$155:$D$385,255),0))=0,"",INDEX('Disaggregation Records'!$F$155:$F$385,MATCH(RIGHT(Q1315,255),RIGHT('Disaggregation Records'!$D$155:$D$385,255),0))),"")</f>
        <v/>
      </c>
      <c r="T1315" s="189" t="str">
        <f t="array" ref="T1315">IFERROR(IF(INDEX('Disaggregation Records'!$H$155:$H$385,MATCH(RIGHT(Q1315,255),RIGHT('Disaggregation Records'!$D$155:$D$385,255),0))=0,"",INDEX('Disaggregation Records'!$H$155:$H$385,MATCH(RIGHT(Q1315,255),RIGHT('Disaggregation Records'!$D$155:$D$385,255),0))),"")</f>
        <v/>
      </c>
      <c r="U1315" s="189">
        <f t="shared" ref="U1315" si="5655">U1313+1</f>
        <v>1759</v>
      </c>
      <c r="V1315" s="189" t="str">
        <f t="array" ref="V1315">IFERROR(IF(INDEX('Disaggregation Records'!$I$155:$I$385,MATCH(RIGHT(Q1315,255),RIGHT('Disaggregation Records'!$D$155:$D$385,255),0))=0,"",INDEX('Disaggregation Records'!$I$155:$I$385,MATCH(RIGHT(Q1315,255),RIGHT('Disaggregation Records'!$D$155:$D$385,255),0))),"")</f>
        <v/>
      </c>
      <c r="W1315" s="189" t="str">
        <f>IFERROR(INDEX('Reference Records'!L$59:L$121,MATCH(LEFT(C1315,255),'Reference Records'!E$59:E$121,0)),"")</f>
        <v/>
      </c>
    </row>
    <row r="1316" spans="1:23" s="189" customFormat="1" ht="40.200000000000003" customHeight="1" x14ac:dyDescent="0.3">
      <c r="A1316" s="678"/>
      <c r="B1316" s="675"/>
      <c r="C1316" s="667"/>
      <c r="D1316" s="677"/>
      <c r="E1316" s="677"/>
      <c r="F1316" s="202"/>
      <c r="G1316" s="669"/>
      <c r="H1316" s="671"/>
      <c r="I1316" s="673"/>
      <c r="J1316" s="652"/>
      <c r="K1316" s="667"/>
      <c r="L1316" s="667"/>
      <c r="M1316" s="652"/>
      <c r="N1316" s="652"/>
    </row>
    <row r="1317" spans="1:23" s="189" customFormat="1" ht="40.200000000000003" customHeight="1" x14ac:dyDescent="0.3">
      <c r="A1317" s="678" t="str">
        <f t="shared" ref="A1317" ca="1" si="5656">INDIRECT("'update Helper'!C"&amp;U1317)</f>
        <v>a163p000002zQezAAE</v>
      </c>
      <c r="B1317" s="674">
        <v>18</v>
      </c>
      <c r="C1317" s="666" t="str">
        <f>VLOOKUP(B1317,'Coverage Indicators - Section D'!$A$9:$AU$70,47,FALSE)</f>
        <v xml:space="preserve">Pourcentage de UD dépistés positifs (y compris les UDI) admis dans des services de soins durant la période de rapportage </v>
      </c>
      <c r="D1317" s="676" t="str">
        <f t="shared" ref="D1317" si="5657">R1317</f>
        <v/>
      </c>
      <c r="E1317" s="676" t="str">
        <f t="shared" ref="E1317" si="5658">S1317</f>
        <v/>
      </c>
      <c r="F1317" s="194"/>
      <c r="G1317" s="668" t="str">
        <f t="shared" ref="G1317" ca="1" si="5659">IF(OR(INDIRECT("'update Helper'!E"&amp;U1317)=0,F1317&lt;&gt;0,F1318&lt;&gt;0),IF(IFERROR((F1317/F1318),"")="","",(F1317/F1318)),INDIRECT("'update Helper'!E"&amp;U1317)/100)</f>
        <v/>
      </c>
      <c r="H1317" s="670"/>
      <c r="I1317" s="672"/>
      <c r="J1317" s="651"/>
      <c r="K1317" s="666" t="str">
        <f t="shared" ref="K1317" si="5660">W1317</f>
        <v/>
      </c>
      <c r="L1317" s="666" t="str">
        <f t="shared" ref="L1317" si="5661">V1317</f>
        <v/>
      </c>
      <c r="M1317" s="651"/>
      <c r="N1317" s="651"/>
      <c r="P1317" s="189">
        <f t="shared" ref="P1317" si="5662">IF(AND(EXACT(C1317,C1315),C1315&lt;&gt;0),P1315+1,0)</f>
        <v>8</v>
      </c>
      <c r="Q1317" s="189" t="str">
        <f t="shared" ref="Q1317" si="5663">IF(C1317&lt;&gt;"",C1317&amp;"-"&amp;P1317,"")</f>
        <v>Pourcentage de UD dépistés positifs (y compris les UDI) admis dans des services de soins durant la période de rapportage -8</v>
      </c>
      <c r="R1317" s="189" t="str">
        <f t="array" ref="R1317">IFERROR(IF(INDEX('Disaggregation Records'!$E$155:$E$385,MATCH(RIGHT(Q1317,255),RIGHT('Disaggregation Records'!$D$155:$D$385,255),0))=0,"",INDEX('Disaggregation Records'!$E$155:$E$385,MATCH(RIGHT(Q1317,255),RIGHT('Disaggregation Records'!$D$155:$D$385,255),0))),"")</f>
        <v/>
      </c>
      <c r="S1317" s="189" t="str">
        <f t="array" ref="S1317">IFERROR(IF(INDEX('Disaggregation Records'!$F$155:$F$385,MATCH(RIGHT(Q1317,255),RIGHT('Disaggregation Records'!$D$155:$D$385,255),0))=0,"",INDEX('Disaggregation Records'!$F$155:$F$385,MATCH(RIGHT(Q1317,255),RIGHT('Disaggregation Records'!$D$155:$D$385,255),0))),"")</f>
        <v/>
      </c>
      <c r="T1317" s="189" t="str">
        <f t="array" ref="T1317">IFERROR(IF(INDEX('Disaggregation Records'!$H$155:$H$385,MATCH(RIGHT(Q1317,255),RIGHT('Disaggregation Records'!$D$155:$D$385,255),0))=0,"",INDEX('Disaggregation Records'!$H$155:$H$385,MATCH(RIGHT(Q1317,255),RIGHT('Disaggregation Records'!$D$155:$D$385,255),0))),"")</f>
        <v/>
      </c>
      <c r="U1317" s="189">
        <f t="shared" ref="U1317" si="5664">U1315+1</f>
        <v>1760</v>
      </c>
      <c r="V1317" s="189" t="str">
        <f t="array" ref="V1317">IFERROR(IF(INDEX('Disaggregation Records'!$I$155:$I$385,MATCH(RIGHT(Q1317,255),RIGHT('Disaggregation Records'!$D$155:$D$385,255),0))=0,"",INDEX('Disaggregation Records'!$I$155:$I$385,MATCH(RIGHT(Q1317,255),RIGHT('Disaggregation Records'!$D$155:$D$385,255),0))),"")</f>
        <v/>
      </c>
      <c r="W1317" s="189" t="str">
        <f>IFERROR(INDEX('Reference Records'!L$59:L$121,MATCH(LEFT(C1317,255),'Reference Records'!E$59:E$121,0)),"")</f>
        <v/>
      </c>
    </row>
    <row r="1318" spans="1:23" s="189" customFormat="1" ht="40.200000000000003" customHeight="1" x14ac:dyDescent="0.3">
      <c r="A1318" s="678"/>
      <c r="B1318" s="675"/>
      <c r="C1318" s="667"/>
      <c r="D1318" s="677"/>
      <c r="E1318" s="677"/>
      <c r="F1318" s="202"/>
      <c r="G1318" s="669"/>
      <c r="H1318" s="671"/>
      <c r="I1318" s="673"/>
      <c r="J1318" s="652"/>
      <c r="K1318" s="667"/>
      <c r="L1318" s="667"/>
      <c r="M1318" s="652"/>
      <c r="N1318" s="652"/>
    </row>
    <row r="1319" spans="1:23" s="189" customFormat="1" ht="40.200000000000003" customHeight="1" x14ac:dyDescent="0.3">
      <c r="A1319" s="678" t="str">
        <f t="shared" ref="A1319" ca="1" si="5665">INDIRECT("'update Helper'!C"&amp;U1319)</f>
        <v>a163p000002zQf0AAE</v>
      </c>
      <c r="B1319" s="674">
        <v>18</v>
      </c>
      <c r="C1319" s="666" t="str">
        <f>VLOOKUP(B1319,'Coverage Indicators - Section D'!$A$9:$AU$70,47,FALSE)</f>
        <v xml:space="preserve">Pourcentage de UD dépistés positifs (y compris les UDI) admis dans des services de soins durant la période de rapportage </v>
      </c>
      <c r="D1319" s="676" t="str">
        <f t="shared" ref="D1319" si="5666">R1319</f>
        <v/>
      </c>
      <c r="E1319" s="676" t="str">
        <f t="shared" ref="E1319" si="5667">S1319</f>
        <v/>
      </c>
      <c r="F1319" s="194"/>
      <c r="G1319" s="668" t="str">
        <f t="shared" ref="G1319" ca="1" si="5668">IF(OR(INDIRECT("'update Helper'!E"&amp;U1319)=0,F1319&lt;&gt;0,F1320&lt;&gt;0),IF(IFERROR((F1319/F1320),"")="","",(F1319/F1320)),INDIRECT("'update Helper'!E"&amp;U1319)/100)</f>
        <v/>
      </c>
      <c r="H1319" s="670"/>
      <c r="I1319" s="672"/>
      <c r="J1319" s="651"/>
      <c r="K1319" s="666" t="str">
        <f t="shared" ref="K1319" si="5669">W1319</f>
        <v/>
      </c>
      <c r="L1319" s="666" t="str">
        <f t="shared" ref="L1319" si="5670">V1319</f>
        <v/>
      </c>
      <c r="M1319" s="651"/>
      <c r="N1319" s="651"/>
      <c r="P1319" s="189">
        <f t="shared" ref="P1319" si="5671">IF(AND(EXACT(C1319,C1317),C1317&lt;&gt;0),P1317+1,0)</f>
        <v>9</v>
      </c>
      <c r="Q1319" s="189" t="str">
        <f t="shared" ref="Q1319" si="5672">IF(C1319&lt;&gt;"",C1319&amp;"-"&amp;P1319,"")</f>
        <v>Pourcentage de UD dépistés positifs (y compris les UDI) admis dans des services de soins durant la période de rapportage -9</v>
      </c>
      <c r="R1319" s="189" t="str">
        <f t="array" ref="R1319">IFERROR(IF(INDEX('Disaggregation Records'!$E$155:$E$385,MATCH(RIGHT(Q1319,255),RIGHT('Disaggregation Records'!$D$155:$D$385,255),0))=0,"",INDEX('Disaggregation Records'!$E$155:$E$385,MATCH(RIGHT(Q1319,255),RIGHT('Disaggregation Records'!$D$155:$D$385,255),0))),"")</f>
        <v/>
      </c>
      <c r="S1319" s="189" t="str">
        <f t="array" ref="S1319">IFERROR(IF(INDEX('Disaggregation Records'!$F$155:$F$385,MATCH(RIGHT(Q1319,255),RIGHT('Disaggregation Records'!$D$155:$D$385,255),0))=0,"",INDEX('Disaggregation Records'!$F$155:$F$385,MATCH(RIGHT(Q1319,255),RIGHT('Disaggregation Records'!$D$155:$D$385,255),0))),"")</f>
        <v/>
      </c>
      <c r="T1319" s="189" t="str">
        <f t="array" ref="T1319">IFERROR(IF(INDEX('Disaggregation Records'!$H$155:$H$385,MATCH(RIGHT(Q1319,255),RIGHT('Disaggregation Records'!$D$155:$D$385,255),0))=0,"",INDEX('Disaggregation Records'!$H$155:$H$385,MATCH(RIGHT(Q1319,255),RIGHT('Disaggregation Records'!$D$155:$D$385,255),0))),"")</f>
        <v/>
      </c>
      <c r="U1319" s="189">
        <f t="shared" ref="U1319" si="5673">U1317+1</f>
        <v>1761</v>
      </c>
      <c r="V1319" s="189" t="str">
        <f t="array" ref="V1319">IFERROR(IF(INDEX('Disaggregation Records'!$I$155:$I$385,MATCH(RIGHT(Q1319,255),RIGHT('Disaggregation Records'!$D$155:$D$385,255),0))=0,"",INDEX('Disaggregation Records'!$I$155:$I$385,MATCH(RIGHT(Q1319,255),RIGHT('Disaggregation Records'!$D$155:$D$385,255),0))),"")</f>
        <v/>
      </c>
      <c r="W1319" s="189" t="str">
        <f>IFERROR(INDEX('Reference Records'!L$59:L$121,MATCH(LEFT(C1319,255),'Reference Records'!E$59:E$121,0)),"")</f>
        <v/>
      </c>
    </row>
    <row r="1320" spans="1:23" s="189" customFormat="1" ht="40.200000000000003" customHeight="1" x14ac:dyDescent="0.3">
      <c r="A1320" s="678"/>
      <c r="B1320" s="675"/>
      <c r="C1320" s="667"/>
      <c r="D1320" s="677"/>
      <c r="E1320" s="677"/>
      <c r="F1320" s="202"/>
      <c r="G1320" s="669"/>
      <c r="H1320" s="671"/>
      <c r="I1320" s="673"/>
      <c r="J1320" s="652"/>
      <c r="K1320" s="667"/>
      <c r="L1320" s="667"/>
      <c r="M1320" s="652"/>
      <c r="N1320" s="652"/>
    </row>
    <row r="1321" spans="1:23" s="189" customFormat="1" ht="40.200000000000003" customHeight="1" x14ac:dyDescent="0.3">
      <c r="A1321" s="678" t="str">
        <f t="shared" ref="A1321" ca="1" si="5674">INDIRECT("'update Helper'!C"&amp;U1321)</f>
        <v>a163p000002zQf1AAE</v>
      </c>
      <c r="B1321" s="674">
        <v>18</v>
      </c>
      <c r="C1321" s="666" t="str">
        <f>VLOOKUP(B1321,'Coverage Indicators - Section D'!$A$9:$AU$70,47,FALSE)</f>
        <v xml:space="preserve">Pourcentage de UD dépistés positifs (y compris les UDI) admis dans des services de soins durant la période de rapportage </v>
      </c>
      <c r="D1321" s="676" t="str">
        <f t="shared" ref="D1321" si="5675">R1321</f>
        <v/>
      </c>
      <c r="E1321" s="676" t="str">
        <f t="shared" ref="E1321" si="5676">S1321</f>
        <v/>
      </c>
      <c r="F1321" s="194"/>
      <c r="G1321" s="668" t="str">
        <f t="shared" ref="G1321" ca="1" si="5677">IF(OR(INDIRECT("'update Helper'!E"&amp;U1321)=0,F1321&lt;&gt;0,F1322&lt;&gt;0),IF(IFERROR((F1321/F1322),"")="","",(F1321/F1322)),INDIRECT("'update Helper'!E"&amp;U1321)/100)</f>
        <v/>
      </c>
      <c r="H1321" s="670"/>
      <c r="I1321" s="672"/>
      <c r="J1321" s="651"/>
      <c r="K1321" s="666" t="str">
        <f t="shared" ref="K1321" si="5678">W1321</f>
        <v/>
      </c>
      <c r="L1321" s="666" t="str">
        <f t="shared" ref="L1321" si="5679">V1321</f>
        <v/>
      </c>
      <c r="M1321" s="651"/>
      <c r="N1321" s="651"/>
      <c r="P1321" s="189">
        <f t="shared" ref="P1321" si="5680">IF(AND(EXACT(C1321,C1319),C1319&lt;&gt;0),P1319+1,0)</f>
        <v>10</v>
      </c>
      <c r="Q1321" s="189" t="str">
        <f t="shared" ref="Q1321" si="5681">IF(C1321&lt;&gt;"",C1321&amp;"-"&amp;P1321,"")</f>
        <v>Pourcentage de UD dépistés positifs (y compris les UDI) admis dans des services de soins durant la période de rapportage -10</v>
      </c>
      <c r="R1321" s="189" t="str">
        <f t="array" ref="R1321">IFERROR(IF(INDEX('Disaggregation Records'!$E$155:$E$385,MATCH(RIGHT(Q1321,255),RIGHT('Disaggregation Records'!$D$155:$D$385,255),0))=0,"",INDEX('Disaggregation Records'!$E$155:$E$385,MATCH(RIGHT(Q1321,255),RIGHT('Disaggregation Records'!$D$155:$D$385,255),0))),"")</f>
        <v/>
      </c>
      <c r="S1321" s="189" t="str">
        <f t="array" ref="S1321">IFERROR(IF(INDEX('Disaggregation Records'!$F$155:$F$385,MATCH(RIGHT(Q1321,255),RIGHT('Disaggregation Records'!$D$155:$D$385,255),0))=0,"",INDEX('Disaggregation Records'!$F$155:$F$385,MATCH(RIGHT(Q1321,255),RIGHT('Disaggregation Records'!$D$155:$D$385,255),0))),"")</f>
        <v/>
      </c>
      <c r="T1321" s="189" t="str">
        <f t="array" ref="T1321">IFERROR(IF(INDEX('Disaggregation Records'!$H$155:$H$385,MATCH(RIGHT(Q1321,255),RIGHT('Disaggregation Records'!$D$155:$D$385,255),0))=0,"",INDEX('Disaggregation Records'!$H$155:$H$385,MATCH(RIGHT(Q1321,255),RIGHT('Disaggregation Records'!$D$155:$D$385,255),0))),"")</f>
        <v/>
      </c>
      <c r="U1321" s="189">
        <f t="shared" ref="U1321" si="5682">U1319+1</f>
        <v>1762</v>
      </c>
      <c r="V1321" s="189" t="str">
        <f t="array" ref="V1321">IFERROR(IF(INDEX('Disaggregation Records'!$I$155:$I$385,MATCH(RIGHT(Q1321,255),RIGHT('Disaggregation Records'!$D$155:$D$385,255),0))=0,"",INDEX('Disaggregation Records'!$I$155:$I$385,MATCH(RIGHT(Q1321,255),RIGHT('Disaggregation Records'!$D$155:$D$385,255),0))),"")</f>
        <v/>
      </c>
      <c r="W1321" s="189" t="str">
        <f>IFERROR(INDEX('Reference Records'!L$59:L$121,MATCH(LEFT(C1321,255),'Reference Records'!E$59:E$121,0)),"")</f>
        <v/>
      </c>
    </row>
    <row r="1322" spans="1:23" s="189" customFormat="1" ht="40.200000000000003" customHeight="1" x14ac:dyDescent="0.3">
      <c r="A1322" s="678"/>
      <c r="B1322" s="675"/>
      <c r="C1322" s="667"/>
      <c r="D1322" s="677"/>
      <c r="E1322" s="677"/>
      <c r="F1322" s="202"/>
      <c r="G1322" s="669"/>
      <c r="H1322" s="671"/>
      <c r="I1322" s="673"/>
      <c r="J1322" s="652"/>
      <c r="K1322" s="667"/>
      <c r="L1322" s="667"/>
      <c r="M1322" s="652"/>
      <c r="N1322" s="652"/>
    </row>
    <row r="1323" spans="1:23" s="189" customFormat="1" ht="40.200000000000003" customHeight="1" x14ac:dyDescent="0.3">
      <c r="A1323" s="678" t="str">
        <f t="shared" ref="A1323" ca="1" si="5683">INDIRECT("'update Helper'!C"&amp;U1323)</f>
        <v>a163p000002zQf2AAE</v>
      </c>
      <c r="B1323" s="674">
        <v>18</v>
      </c>
      <c r="C1323" s="666" t="str">
        <f>VLOOKUP(B1323,'Coverage Indicators - Section D'!$A$9:$AU$70,47,FALSE)</f>
        <v xml:space="preserve">Pourcentage de UD dépistés positifs (y compris les UDI) admis dans des services de soins durant la période de rapportage </v>
      </c>
      <c r="D1323" s="676" t="str">
        <f t="shared" ref="D1323" si="5684">R1323</f>
        <v/>
      </c>
      <c r="E1323" s="676" t="str">
        <f t="shared" ref="E1323" si="5685">S1323</f>
        <v/>
      </c>
      <c r="F1323" s="194"/>
      <c r="G1323" s="668" t="str">
        <f t="shared" ref="G1323" ca="1" si="5686">IF(OR(INDIRECT("'update Helper'!E"&amp;U1323)=0,F1323&lt;&gt;0,F1324&lt;&gt;0),IF(IFERROR((F1323/F1324),"")="","",(F1323/F1324)),INDIRECT("'update Helper'!E"&amp;U1323)/100)</f>
        <v/>
      </c>
      <c r="H1323" s="670"/>
      <c r="I1323" s="672"/>
      <c r="J1323" s="651"/>
      <c r="K1323" s="666" t="str">
        <f t="shared" ref="K1323" si="5687">W1323</f>
        <v/>
      </c>
      <c r="L1323" s="666" t="str">
        <f t="shared" ref="L1323" si="5688">V1323</f>
        <v/>
      </c>
      <c r="M1323" s="651"/>
      <c r="N1323" s="651"/>
      <c r="P1323" s="189">
        <f t="shared" ref="P1323" si="5689">IF(AND(EXACT(C1323,C1321),C1321&lt;&gt;0),P1321+1,0)</f>
        <v>11</v>
      </c>
      <c r="Q1323" s="189" t="str">
        <f t="shared" ref="Q1323" si="5690">IF(C1323&lt;&gt;"",C1323&amp;"-"&amp;P1323,"")</f>
        <v>Pourcentage de UD dépistés positifs (y compris les UDI) admis dans des services de soins durant la période de rapportage -11</v>
      </c>
      <c r="R1323" s="189" t="str">
        <f t="array" ref="R1323">IFERROR(IF(INDEX('Disaggregation Records'!$E$155:$E$385,MATCH(RIGHT(Q1323,255),RIGHT('Disaggregation Records'!$D$155:$D$385,255),0))=0,"",INDEX('Disaggregation Records'!$E$155:$E$385,MATCH(RIGHT(Q1323,255),RIGHT('Disaggregation Records'!$D$155:$D$385,255),0))),"")</f>
        <v/>
      </c>
      <c r="S1323" s="189" t="str">
        <f t="array" ref="S1323">IFERROR(IF(INDEX('Disaggregation Records'!$F$155:$F$385,MATCH(RIGHT(Q1323,255),RIGHT('Disaggregation Records'!$D$155:$D$385,255),0))=0,"",INDEX('Disaggregation Records'!$F$155:$F$385,MATCH(RIGHT(Q1323,255),RIGHT('Disaggregation Records'!$D$155:$D$385,255),0))),"")</f>
        <v/>
      </c>
      <c r="T1323" s="189" t="str">
        <f t="array" ref="T1323">IFERROR(IF(INDEX('Disaggregation Records'!$H$155:$H$385,MATCH(RIGHT(Q1323,255),RIGHT('Disaggregation Records'!$D$155:$D$385,255),0))=0,"",INDEX('Disaggregation Records'!$H$155:$H$385,MATCH(RIGHT(Q1323,255),RIGHT('Disaggregation Records'!$D$155:$D$385,255),0))),"")</f>
        <v/>
      </c>
      <c r="U1323" s="189">
        <f t="shared" ref="U1323" si="5691">U1321+1</f>
        <v>1763</v>
      </c>
      <c r="V1323" s="189" t="str">
        <f t="array" ref="V1323">IFERROR(IF(INDEX('Disaggregation Records'!$I$155:$I$385,MATCH(RIGHT(Q1323,255),RIGHT('Disaggregation Records'!$D$155:$D$385,255),0))=0,"",INDEX('Disaggregation Records'!$I$155:$I$385,MATCH(RIGHT(Q1323,255),RIGHT('Disaggregation Records'!$D$155:$D$385,255),0))),"")</f>
        <v/>
      </c>
      <c r="W1323" s="189" t="str">
        <f>IFERROR(INDEX('Reference Records'!L$59:L$121,MATCH(LEFT(C1323,255),'Reference Records'!E$59:E$121,0)),"")</f>
        <v/>
      </c>
    </row>
    <row r="1324" spans="1:23" s="189" customFormat="1" ht="40.200000000000003" customHeight="1" x14ac:dyDescent="0.3">
      <c r="A1324" s="678"/>
      <c r="B1324" s="675"/>
      <c r="C1324" s="667"/>
      <c r="D1324" s="677"/>
      <c r="E1324" s="677"/>
      <c r="F1324" s="202"/>
      <c r="G1324" s="669"/>
      <c r="H1324" s="671"/>
      <c r="I1324" s="673"/>
      <c r="J1324" s="652"/>
      <c r="K1324" s="667"/>
      <c r="L1324" s="667"/>
      <c r="M1324" s="652"/>
      <c r="N1324" s="652"/>
    </row>
    <row r="1325" spans="1:23" s="189" customFormat="1" ht="40.200000000000003" customHeight="1" x14ac:dyDescent="0.3">
      <c r="A1325" s="678" t="str">
        <f t="shared" ref="A1325" ca="1" si="5692">INDIRECT("'update Helper'!C"&amp;U1325)</f>
        <v>a163p000002zQf3AAE</v>
      </c>
      <c r="B1325" s="674">
        <v>18</v>
      </c>
      <c r="C1325" s="666" t="str">
        <f>VLOOKUP(B1325,'Coverage Indicators - Section D'!$A$9:$AU$70,47,FALSE)</f>
        <v xml:space="preserve">Pourcentage de UD dépistés positifs (y compris les UDI) admis dans des services de soins durant la période de rapportage </v>
      </c>
      <c r="D1325" s="676" t="str">
        <f t="shared" ref="D1325" si="5693">R1325</f>
        <v/>
      </c>
      <c r="E1325" s="676" t="str">
        <f t="shared" ref="E1325" si="5694">S1325</f>
        <v/>
      </c>
      <c r="F1325" s="194"/>
      <c r="G1325" s="668" t="str">
        <f t="shared" ref="G1325" ca="1" si="5695">IF(OR(INDIRECT("'update Helper'!E"&amp;U1325)=0,F1325&lt;&gt;0,F1326&lt;&gt;0),IF(IFERROR((F1325/F1326),"")="","",(F1325/F1326)),INDIRECT("'update Helper'!E"&amp;U1325)/100)</f>
        <v/>
      </c>
      <c r="H1325" s="670"/>
      <c r="I1325" s="672"/>
      <c r="J1325" s="651"/>
      <c r="K1325" s="666" t="str">
        <f t="shared" ref="K1325" si="5696">W1325</f>
        <v/>
      </c>
      <c r="L1325" s="666" t="str">
        <f t="shared" ref="L1325" si="5697">V1325</f>
        <v/>
      </c>
      <c r="M1325" s="651"/>
      <c r="N1325" s="651"/>
      <c r="P1325" s="189">
        <f t="shared" ref="P1325" si="5698">IF(AND(EXACT(C1325,C1323),C1323&lt;&gt;0),P1323+1,0)</f>
        <v>12</v>
      </c>
      <c r="Q1325" s="189" t="str">
        <f t="shared" ref="Q1325" si="5699">IF(C1325&lt;&gt;"",C1325&amp;"-"&amp;P1325,"")</f>
        <v>Pourcentage de UD dépistés positifs (y compris les UDI) admis dans des services de soins durant la période de rapportage -12</v>
      </c>
      <c r="R1325" s="189" t="str">
        <f t="array" ref="R1325">IFERROR(IF(INDEX('Disaggregation Records'!$E$155:$E$385,MATCH(RIGHT(Q1325,255),RIGHT('Disaggregation Records'!$D$155:$D$385,255),0))=0,"",INDEX('Disaggregation Records'!$E$155:$E$385,MATCH(RIGHT(Q1325,255),RIGHT('Disaggregation Records'!$D$155:$D$385,255),0))),"")</f>
        <v/>
      </c>
      <c r="S1325" s="189" t="str">
        <f t="array" ref="S1325">IFERROR(IF(INDEX('Disaggregation Records'!$F$155:$F$385,MATCH(RIGHT(Q1325,255),RIGHT('Disaggregation Records'!$D$155:$D$385,255),0))=0,"",INDEX('Disaggregation Records'!$F$155:$F$385,MATCH(RIGHT(Q1325,255),RIGHT('Disaggregation Records'!$D$155:$D$385,255),0))),"")</f>
        <v/>
      </c>
      <c r="T1325" s="189" t="str">
        <f t="array" ref="T1325">IFERROR(IF(INDEX('Disaggregation Records'!$H$155:$H$385,MATCH(RIGHT(Q1325,255),RIGHT('Disaggregation Records'!$D$155:$D$385,255),0))=0,"",INDEX('Disaggregation Records'!$H$155:$H$385,MATCH(RIGHT(Q1325,255),RIGHT('Disaggregation Records'!$D$155:$D$385,255),0))),"")</f>
        <v/>
      </c>
      <c r="U1325" s="189">
        <f t="shared" ref="U1325" si="5700">U1323+1</f>
        <v>1764</v>
      </c>
      <c r="V1325" s="189" t="str">
        <f t="array" ref="V1325">IFERROR(IF(INDEX('Disaggregation Records'!$I$155:$I$385,MATCH(RIGHT(Q1325,255),RIGHT('Disaggregation Records'!$D$155:$D$385,255),0))=0,"",INDEX('Disaggregation Records'!$I$155:$I$385,MATCH(RIGHT(Q1325,255),RIGHT('Disaggregation Records'!$D$155:$D$385,255),0))),"")</f>
        <v/>
      </c>
      <c r="W1325" s="189" t="str">
        <f>IFERROR(INDEX('Reference Records'!L$59:L$121,MATCH(LEFT(C1325,255),'Reference Records'!E$59:E$121,0)),"")</f>
        <v/>
      </c>
    </row>
    <row r="1326" spans="1:23" s="189" customFormat="1" ht="40.200000000000003" customHeight="1" x14ac:dyDescent="0.3">
      <c r="A1326" s="678"/>
      <c r="B1326" s="675"/>
      <c r="C1326" s="667"/>
      <c r="D1326" s="677"/>
      <c r="E1326" s="677"/>
      <c r="F1326" s="202"/>
      <c r="G1326" s="669"/>
      <c r="H1326" s="671"/>
      <c r="I1326" s="673"/>
      <c r="J1326" s="652"/>
      <c r="K1326" s="667"/>
      <c r="L1326" s="667"/>
      <c r="M1326" s="652"/>
      <c r="N1326" s="652"/>
    </row>
    <row r="1327" spans="1:23" s="189" customFormat="1" ht="40.200000000000003" customHeight="1" x14ac:dyDescent="0.3">
      <c r="A1327" s="678" t="str">
        <f t="shared" ref="A1327" ca="1" si="5701">INDIRECT("'update Helper'!C"&amp;U1327)</f>
        <v>a163p000002zQf4AAE</v>
      </c>
      <c r="B1327" s="674">
        <v>18</v>
      </c>
      <c r="C1327" s="666" t="str">
        <f>VLOOKUP(B1327,'Coverage Indicators - Section D'!$A$9:$AU$70,47,FALSE)</f>
        <v xml:space="preserve">Pourcentage de UD dépistés positifs (y compris les UDI) admis dans des services de soins durant la période de rapportage </v>
      </c>
      <c r="D1327" s="676" t="str">
        <f t="shared" ref="D1327" si="5702">R1327</f>
        <v/>
      </c>
      <c r="E1327" s="676" t="str">
        <f t="shared" ref="E1327" si="5703">S1327</f>
        <v/>
      </c>
      <c r="F1327" s="194"/>
      <c r="G1327" s="668" t="str">
        <f t="shared" ref="G1327" ca="1" si="5704">IF(OR(INDIRECT("'update Helper'!E"&amp;U1327)=0,F1327&lt;&gt;0,F1328&lt;&gt;0),IF(IFERROR((F1327/F1328),"")="","",(F1327/F1328)),INDIRECT("'update Helper'!E"&amp;U1327)/100)</f>
        <v/>
      </c>
      <c r="H1327" s="670"/>
      <c r="I1327" s="672"/>
      <c r="J1327" s="651"/>
      <c r="K1327" s="666" t="str">
        <f t="shared" ref="K1327" si="5705">W1327</f>
        <v/>
      </c>
      <c r="L1327" s="666" t="str">
        <f t="shared" ref="L1327" si="5706">V1327</f>
        <v/>
      </c>
      <c r="M1327" s="651"/>
      <c r="N1327" s="651"/>
      <c r="P1327" s="189">
        <f t="shared" ref="P1327" si="5707">IF(AND(EXACT(C1327,C1325),C1325&lt;&gt;0),P1325+1,0)</f>
        <v>13</v>
      </c>
      <c r="Q1327" s="189" t="str">
        <f t="shared" ref="Q1327" si="5708">IF(C1327&lt;&gt;"",C1327&amp;"-"&amp;P1327,"")</f>
        <v>Pourcentage de UD dépistés positifs (y compris les UDI) admis dans des services de soins durant la période de rapportage -13</v>
      </c>
      <c r="R1327" s="189" t="str">
        <f t="array" ref="R1327">IFERROR(IF(INDEX('Disaggregation Records'!$E$155:$E$385,MATCH(RIGHT(Q1327,255),RIGHT('Disaggregation Records'!$D$155:$D$385,255),0))=0,"",INDEX('Disaggregation Records'!$E$155:$E$385,MATCH(RIGHT(Q1327,255),RIGHT('Disaggregation Records'!$D$155:$D$385,255),0))),"")</f>
        <v/>
      </c>
      <c r="S1327" s="189" t="str">
        <f t="array" ref="S1327">IFERROR(IF(INDEX('Disaggregation Records'!$F$155:$F$385,MATCH(RIGHT(Q1327,255),RIGHT('Disaggregation Records'!$D$155:$D$385,255),0))=0,"",INDEX('Disaggregation Records'!$F$155:$F$385,MATCH(RIGHT(Q1327,255),RIGHT('Disaggregation Records'!$D$155:$D$385,255),0))),"")</f>
        <v/>
      </c>
      <c r="T1327" s="189" t="str">
        <f t="array" ref="T1327">IFERROR(IF(INDEX('Disaggregation Records'!$H$155:$H$385,MATCH(RIGHT(Q1327,255),RIGHT('Disaggregation Records'!$D$155:$D$385,255),0))=0,"",INDEX('Disaggregation Records'!$H$155:$H$385,MATCH(RIGHT(Q1327,255),RIGHT('Disaggregation Records'!$D$155:$D$385,255),0))),"")</f>
        <v/>
      </c>
      <c r="U1327" s="189">
        <f t="shared" ref="U1327" si="5709">U1325+1</f>
        <v>1765</v>
      </c>
      <c r="V1327" s="189" t="str">
        <f t="array" ref="V1327">IFERROR(IF(INDEX('Disaggregation Records'!$I$155:$I$385,MATCH(RIGHT(Q1327,255),RIGHT('Disaggregation Records'!$D$155:$D$385,255),0))=0,"",INDEX('Disaggregation Records'!$I$155:$I$385,MATCH(RIGHT(Q1327,255),RIGHT('Disaggregation Records'!$D$155:$D$385,255),0))),"")</f>
        <v/>
      </c>
      <c r="W1327" s="189" t="str">
        <f>IFERROR(INDEX('Reference Records'!L$59:L$121,MATCH(LEFT(C1327,255),'Reference Records'!E$59:E$121,0)),"")</f>
        <v/>
      </c>
    </row>
    <row r="1328" spans="1:23" s="189" customFormat="1" ht="40.200000000000003" customHeight="1" x14ac:dyDescent="0.3">
      <c r="A1328" s="678"/>
      <c r="B1328" s="675"/>
      <c r="C1328" s="667"/>
      <c r="D1328" s="677"/>
      <c r="E1328" s="677"/>
      <c r="F1328" s="202"/>
      <c r="G1328" s="669"/>
      <c r="H1328" s="671"/>
      <c r="I1328" s="673"/>
      <c r="J1328" s="652"/>
      <c r="K1328" s="667"/>
      <c r="L1328" s="667"/>
      <c r="M1328" s="652"/>
      <c r="N1328" s="652"/>
    </row>
    <row r="1329" spans="1:23" s="189" customFormat="1" ht="40.200000000000003" customHeight="1" x14ac:dyDescent="0.3">
      <c r="A1329" s="678" t="str">
        <f t="shared" ref="A1329" ca="1" si="5710">INDIRECT("'update Helper'!C"&amp;U1329)</f>
        <v>a163p000002zQf5AAE</v>
      </c>
      <c r="B1329" s="674">
        <v>18</v>
      </c>
      <c r="C1329" s="666" t="str">
        <f>VLOOKUP(B1329,'Coverage Indicators - Section D'!$A$9:$AU$70,47,FALSE)</f>
        <v xml:space="preserve">Pourcentage de UD dépistés positifs (y compris les UDI) admis dans des services de soins durant la période de rapportage </v>
      </c>
      <c r="D1329" s="676" t="str">
        <f t="shared" ref="D1329" si="5711">R1329</f>
        <v/>
      </c>
      <c r="E1329" s="676" t="str">
        <f t="shared" ref="E1329" si="5712">S1329</f>
        <v/>
      </c>
      <c r="F1329" s="194"/>
      <c r="G1329" s="668" t="str">
        <f t="shared" ref="G1329" ca="1" si="5713">IF(OR(INDIRECT("'update Helper'!E"&amp;U1329)=0,F1329&lt;&gt;0,F1330&lt;&gt;0),IF(IFERROR((F1329/F1330),"")="","",(F1329/F1330)),INDIRECT("'update Helper'!E"&amp;U1329)/100)</f>
        <v/>
      </c>
      <c r="H1329" s="670"/>
      <c r="I1329" s="672"/>
      <c r="J1329" s="651"/>
      <c r="K1329" s="666" t="str">
        <f t="shared" ref="K1329" si="5714">W1329</f>
        <v/>
      </c>
      <c r="L1329" s="666" t="str">
        <f t="shared" ref="L1329" si="5715">V1329</f>
        <v/>
      </c>
      <c r="M1329" s="651"/>
      <c r="N1329" s="651"/>
      <c r="P1329" s="189">
        <f t="shared" ref="P1329" si="5716">IF(AND(EXACT(C1329,C1327),C1327&lt;&gt;0),P1327+1,0)</f>
        <v>14</v>
      </c>
      <c r="Q1329" s="189" t="str">
        <f t="shared" ref="Q1329" si="5717">IF(C1329&lt;&gt;"",C1329&amp;"-"&amp;P1329,"")</f>
        <v>Pourcentage de UD dépistés positifs (y compris les UDI) admis dans des services de soins durant la période de rapportage -14</v>
      </c>
      <c r="R1329" s="189" t="str">
        <f t="array" ref="R1329">IFERROR(IF(INDEX('Disaggregation Records'!$E$155:$E$385,MATCH(RIGHT(Q1329,255),RIGHT('Disaggregation Records'!$D$155:$D$385,255),0))=0,"",INDEX('Disaggregation Records'!$E$155:$E$385,MATCH(RIGHT(Q1329,255),RIGHT('Disaggregation Records'!$D$155:$D$385,255),0))),"")</f>
        <v/>
      </c>
      <c r="S1329" s="189" t="str">
        <f t="array" ref="S1329">IFERROR(IF(INDEX('Disaggregation Records'!$F$155:$F$385,MATCH(RIGHT(Q1329,255),RIGHT('Disaggregation Records'!$D$155:$D$385,255),0))=0,"",INDEX('Disaggregation Records'!$F$155:$F$385,MATCH(RIGHT(Q1329,255),RIGHT('Disaggregation Records'!$D$155:$D$385,255),0))),"")</f>
        <v/>
      </c>
      <c r="T1329" s="189" t="str">
        <f t="array" ref="T1329">IFERROR(IF(INDEX('Disaggregation Records'!$H$155:$H$385,MATCH(RIGHT(Q1329,255),RIGHT('Disaggregation Records'!$D$155:$D$385,255),0))=0,"",INDEX('Disaggregation Records'!$H$155:$H$385,MATCH(RIGHT(Q1329,255),RIGHT('Disaggregation Records'!$D$155:$D$385,255),0))),"")</f>
        <v/>
      </c>
      <c r="U1329" s="189">
        <f t="shared" ref="U1329" si="5718">U1327+1</f>
        <v>1766</v>
      </c>
      <c r="V1329" s="189" t="str">
        <f t="array" ref="V1329">IFERROR(IF(INDEX('Disaggregation Records'!$I$155:$I$385,MATCH(RIGHT(Q1329,255),RIGHT('Disaggregation Records'!$D$155:$D$385,255),0))=0,"",INDEX('Disaggregation Records'!$I$155:$I$385,MATCH(RIGHT(Q1329,255),RIGHT('Disaggregation Records'!$D$155:$D$385,255),0))),"")</f>
        <v/>
      </c>
      <c r="W1329" s="189" t="str">
        <f>IFERROR(INDEX('Reference Records'!L$59:L$121,MATCH(LEFT(C1329,255),'Reference Records'!E$59:E$121,0)),"")</f>
        <v/>
      </c>
    </row>
    <row r="1330" spans="1:23" s="189" customFormat="1" ht="40.200000000000003" customHeight="1" x14ac:dyDescent="0.3">
      <c r="A1330" s="678"/>
      <c r="B1330" s="675"/>
      <c r="C1330" s="667"/>
      <c r="D1330" s="677"/>
      <c r="E1330" s="677"/>
      <c r="F1330" s="202"/>
      <c r="G1330" s="669"/>
      <c r="H1330" s="671"/>
      <c r="I1330" s="673"/>
      <c r="J1330" s="652"/>
      <c r="K1330" s="667"/>
      <c r="L1330" s="667"/>
      <c r="M1330" s="652"/>
      <c r="N1330" s="652"/>
    </row>
    <row r="1331" spans="1:23" s="189" customFormat="1" ht="40.200000000000003" customHeight="1" x14ac:dyDescent="0.3">
      <c r="A1331" s="678" t="str">
        <f t="shared" ref="A1331" ca="1" si="5719">INDIRECT("'update Helper'!C"&amp;U1331)</f>
        <v>a163p000002zQf6AAE</v>
      </c>
      <c r="B1331" s="674">
        <v>18</v>
      </c>
      <c r="C1331" s="666" t="str">
        <f>VLOOKUP(B1331,'Coverage Indicators - Section D'!$A$9:$AU$70,47,FALSE)</f>
        <v xml:space="preserve">Pourcentage de UD dépistés positifs (y compris les UDI) admis dans des services de soins durant la période de rapportage </v>
      </c>
      <c r="D1331" s="676" t="str">
        <f t="shared" ref="D1331" si="5720">R1331</f>
        <v/>
      </c>
      <c r="E1331" s="676" t="str">
        <f t="shared" ref="E1331" si="5721">S1331</f>
        <v/>
      </c>
      <c r="F1331" s="194"/>
      <c r="G1331" s="668" t="str">
        <f t="shared" ref="G1331" ca="1" si="5722">IF(OR(INDIRECT("'update Helper'!E"&amp;U1331)=0,F1331&lt;&gt;0,F1332&lt;&gt;0),IF(IFERROR((F1331/F1332),"")="","",(F1331/F1332)),INDIRECT("'update Helper'!E"&amp;U1331)/100)</f>
        <v/>
      </c>
      <c r="H1331" s="670"/>
      <c r="I1331" s="672"/>
      <c r="J1331" s="651"/>
      <c r="K1331" s="666" t="str">
        <f t="shared" ref="K1331" si="5723">W1331</f>
        <v/>
      </c>
      <c r="L1331" s="666" t="str">
        <f t="shared" ref="L1331" si="5724">V1331</f>
        <v/>
      </c>
      <c r="M1331" s="651"/>
      <c r="N1331" s="651"/>
      <c r="P1331" s="189">
        <f t="shared" ref="P1331" si="5725">IF(AND(EXACT(C1331,C1329),C1329&lt;&gt;0),P1329+1,0)</f>
        <v>15</v>
      </c>
      <c r="Q1331" s="189" t="str">
        <f t="shared" ref="Q1331" si="5726">IF(C1331&lt;&gt;"",C1331&amp;"-"&amp;P1331,"")</f>
        <v>Pourcentage de UD dépistés positifs (y compris les UDI) admis dans des services de soins durant la période de rapportage -15</v>
      </c>
      <c r="R1331" s="189" t="str">
        <f t="array" ref="R1331">IFERROR(IF(INDEX('Disaggregation Records'!$E$155:$E$385,MATCH(RIGHT(Q1331,255),RIGHT('Disaggregation Records'!$D$155:$D$385,255),0))=0,"",INDEX('Disaggregation Records'!$E$155:$E$385,MATCH(RIGHT(Q1331,255),RIGHT('Disaggregation Records'!$D$155:$D$385,255),0))),"")</f>
        <v/>
      </c>
      <c r="S1331" s="189" t="str">
        <f t="array" ref="S1331">IFERROR(IF(INDEX('Disaggregation Records'!$F$155:$F$385,MATCH(RIGHT(Q1331,255),RIGHT('Disaggregation Records'!$D$155:$D$385,255),0))=0,"",INDEX('Disaggregation Records'!$F$155:$F$385,MATCH(RIGHT(Q1331,255),RIGHT('Disaggregation Records'!$D$155:$D$385,255),0))),"")</f>
        <v/>
      </c>
      <c r="T1331" s="189" t="str">
        <f t="array" ref="T1331">IFERROR(IF(INDEX('Disaggregation Records'!$H$155:$H$385,MATCH(RIGHT(Q1331,255),RIGHT('Disaggregation Records'!$D$155:$D$385,255),0))=0,"",INDEX('Disaggregation Records'!$H$155:$H$385,MATCH(RIGHT(Q1331,255),RIGHT('Disaggregation Records'!$D$155:$D$385,255),0))),"")</f>
        <v/>
      </c>
      <c r="U1331" s="189">
        <f t="shared" ref="U1331" si="5727">U1329+1</f>
        <v>1767</v>
      </c>
      <c r="V1331" s="189" t="str">
        <f t="array" ref="V1331">IFERROR(IF(INDEX('Disaggregation Records'!$I$155:$I$385,MATCH(RIGHT(Q1331,255),RIGHT('Disaggregation Records'!$D$155:$D$385,255),0))=0,"",INDEX('Disaggregation Records'!$I$155:$I$385,MATCH(RIGHT(Q1331,255),RIGHT('Disaggregation Records'!$D$155:$D$385,255),0))),"")</f>
        <v/>
      </c>
      <c r="W1331" s="189" t="str">
        <f>IFERROR(INDEX('Reference Records'!L$59:L$121,MATCH(LEFT(C1331,255),'Reference Records'!E$59:E$121,0)),"")</f>
        <v/>
      </c>
    </row>
    <row r="1332" spans="1:23" s="189" customFormat="1" ht="40.200000000000003" customHeight="1" x14ac:dyDescent="0.3">
      <c r="A1332" s="678"/>
      <c r="B1332" s="675"/>
      <c r="C1332" s="667"/>
      <c r="D1332" s="677"/>
      <c r="E1332" s="677"/>
      <c r="F1332" s="202"/>
      <c r="G1332" s="669"/>
      <c r="H1332" s="671"/>
      <c r="I1332" s="673"/>
      <c r="J1332" s="652"/>
      <c r="K1332" s="667"/>
      <c r="L1332" s="667"/>
      <c r="M1332" s="652"/>
      <c r="N1332" s="652"/>
    </row>
    <row r="1333" spans="1:23" s="189" customFormat="1" ht="40.200000000000003" customHeight="1" x14ac:dyDescent="0.3">
      <c r="A1333" s="678" t="str">
        <f t="shared" ref="A1333" ca="1" si="5728">INDIRECT("'update Helper'!C"&amp;U1333)</f>
        <v>a163p000002zQf7AAE</v>
      </c>
      <c r="B1333" s="674">
        <v>18</v>
      </c>
      <c r="C1333" s="666" t="str">
        <f>VLOOKUP(B1333,'Coverage Indicators - Section D'!$A$9:$AU$70,47,FALSE)</f>
        <v xml:space="preserve">Pourcentage de UD dépistés positifs (y compris les UDI) admis dans des services de soins durant la période de rapportage </v>
      </c>
      <c r="D1333" s="676" t="str">
        <f t="shared" ref="D1333" si="5729">R1333</f>
        <v/>
      </c>
      <c r="E1333" s="676" t="str">
        <f t="shared" ref="E1333" si="5730">S1333</f>
        <v/>
      </c>
      <c r="F1333" s="194"/>
      <c r="G1333" s="668" t="str">
        <f t="shared" ref="G1333" ca="1" si="5731">IF(OR(INDIRECT("'update Helper'!E"&amp;U1333)=0,F1333&lt;&gt;0,F1334&lt;&gt;0),IF(IFERROR((F1333/F1334),"")="","",(F1333/F1334)),INDIRECT("'update Helper'!E"&amp;U1333)/100)</f>
        <v/>
      </c>
      <c r="H1333" s="670"/>
      <c r="I1333" s="672"/>
      <c r="J1333" s="651"/>
      <c r="K1333" s="666" t="str">
        <f t="shared" ref="K1333" si="5732">W1333</f>
        <v/>
      </c>
      <c r="L1333" s="666" t="str">
        <f t="shared" ref="L1333" si="5733">V1333</f>
        <v/>
      </c>
      <c r="M1333" s="651"/>
      <c r="N1333" s="651"/>
      <c r="P1333" s="189">
        <f t="shared" ref="P1333" si="5734">IF(AND(EXACT(C1333,C1331),C1331&lt;&gt;0),P1331+1,0)</f>
        <v>16</v>
      </c>
      <c r="Q1333" s="189" t="str">
        <f t="shared" ref="Q1333" si="5735">IF(C1333&lt;&gt;"",C1333&amp;"-"&amp;P1333,"")</f>
        <v>Pourcentage de UD dépistés positifs (y compris les UDI) admis dans des services de soins durant la période de rapportage -16</v>
      </c>
      <c r="R1333" s="189" t="str">
        <f t="array" ref="R1333">IFERROR(IF(INDEX('Disaggregation Records'!$E$155:$E$385,MATCH(RIGHT(Q1333,255),RIGHT('Disaggregation Records'!$D$155:$D$385,255),0))=0,"",INDEX('Disaggregation Records'!$E$155:$E$385,MATCH(RIGHT(Q1333,255),RIGHT('Disaggregation Records'!$D$155:$D$385,255),0))),"")</f>
        <v/>
      </c>
      <c r="S1333" s="189" t="str">
        <f t="array" ref="S1333">IFERROR(IF(INDEX('Disaggregation Records'!$F$155:$F$385,MATCH(RIGHT(Q1333,255),RIGHT('Disaggregation Records'!$D$155:$D$385,255),0))=0,"",INDEX('Disaggregation Records'!$F$155:$F$385,MATCH(RIGHT(Q1333,255),RIGHT('Disaggregation Records'!$D$155:$D$385,255),0))),"")</f>
        <v/>
      </c>
      <c r="T1333" s="189" t="str">
        <f t="array" ref="T1333">IFERROR(IF(INDEX('Disaggregation Records'!$H$155:$H$385,MATCH(RIGHT(Q1333,255),RIGHT('Disaggregation Records'!$D$155:$D$385,255),0))=0,"",INDEX('Disaggregation Records'!$H$155:$H$385,MATCH(RIGHT(Q1333,255),RIGHT('Disaggregation Records'!$D$155:$D$385,255),0))),"")</f>
        <v/>
      </c>
      <c r="U1333" s="189">
        <f t="shared" ref="U1333" si="5736">U1331+1</f>
        <v>1768</v>
      </c>
      <c r="V1333" s="189" t="str">
        <f t="array" ref="V1333">IFERROR(IF(INDEX('Disaggregation Records'!$I$155:$I$385,MATCH(RIGHT(Q1333,255),RIGHT('Disaggregation Records'!$D$155:$D$385,255),0))=0,"",INDEX('Disaggregation Records'!$I$155:$I$385,MATCH(RIGHT(Q1333,255),RIGHT('Disaggregation Records'!$D$155:$D$385,255),0))),"")</f>
        <v/>
      </c>
      <c r="W1333" s="189" t="str">
        <f>IFERROR(INDEX('Reference Records'!L$59:L$121,MATCH(LEFT(C1333,255),'Reference Records'!E$59:E$121,0)),"")</f>
        <v/>
      </c>
    </row>
    <row r="1334" spans="1:23" s="189" customFormat="1" ht="40.200000000000003" customHeight="1" x14ac:dyDescent="0.3">
      <c r="A1334" s="678"/>
      <c r="B1334" s="675"/>
      <c r="C1334" s="667"/>
      <c r="D1334" s="677"/>
      <c r="E1334" s="677"/>
      <c r="F1334" s="202"/>
      <c r="G1334" s="669"/>
      <c r="H1334" s="671"/>
      <c r="I1334" s="673"/>
      <c r="J1334" s="652"/>
      <c r="K1334" s="667"/>
      <c r="L1334" s="667"/>
      <c r="M1334" s="652"/>
      <c r="N1334" s="652"/>
    </row>
    <row r="1335" spans="1:23" s="189" customFormat="1" ht="40.200000000000003" customHeight="1" x14ac:dyDescent="0.3">
      <c r="A1335" s="678" t="str">
        <f t="shared" ref="A1335" ca="1" si="5737">INDIRECT("'update Helper'!C"&amp;U1335)</f>
        <v>a163p000002zQf8AAE</v>
      </c>
      <c r="B1335" s="674">
        <v>18</v>
      </c>
      <c r="C1335" s="666" t="str">
        <f>VLOOKUP(B1335,'Coverage Indicators - Section D'!$A$9:$AU$70,47,FALSE)</f>
        <v xml:space="preserve">Pourcentage de UD dépistés positifs (y compris les UDI) admis dans des services de soins durant la période de rapportage </v>
      </c>
      <c r="D1335" s="676" t="str">
        <f t="shared" ref="D1335" si="5738">R1335</f>
        <v/>
      </c>
      <c r="E1335" s="676" t="str">
        <f t="shared" ref="E1335" si="5739">S1335</f>
        <v/>
      </c>
      <c r="F1335" s="194"/>
      <c r="G1335" s="668" t="str">
        <f t="shared" ref="G1335" ca="1" si="5740">IF(OR(INDIRECT("'update Helper'!E"&amp;U1335)=0,F1335&lt;&gt;0,F1336&lt;&gt;0),IF(IFERROR((F1335/F1336),"")="","",(F1335/F1336)),INDIRECT("'update Helper'!E"&amp;U1335)/100)</f>
        <v/>
      </c>
      <c r="H1335" s="670"/>
      <c r="I1335" s="672"/>
      <c r="J1335" s="651"/>
      <c r="K1335" s="666" t="str">
        <f t="shared" ref="K1335" si="5741">W1335</f>
        <v/>
      </c>
      <c r="L1335" s="666" t="str">
        <f t="shared" ref="L1335" si="5742">V1335</f>
        <v/>
      </c>
      <c r="M1335" s="651"/>
      <c r="N1335" s="651"/>
      <c r="P1335" s="189">
        <f t="shared" ref="P1335" si="5743">IF(AND(EXACT(C1335,C1333),C1333&lt;&gt;0),P1333+1,0)</f>
        <v>17</v>
      </c>
      <c r="Q1335" s="189" t="str">
        <f t="shared" ref="Q1335" si="5744">IF(C1335&lt;&gt;"",C1335&amp;"-"&amp;P1335,"")</f>
        <v>Pourcentage de UD dépistés positifs (y compris les UDI) admis dans des services de soins durant la période de rapportage -17</v>
      </c>
      <c r="R1335" s="189" t="str">
        <f t="array" ref="R1335">IFERROR(IF(INDEX('Disaggregation Records'!$E$155:$E$385,MATCH(RIGHT(Q1335,255),RIGHT('Disaggregation Records'!$D$155:$D$385,255),0))=0,"",INDEX('Disaggregation Records'!$E$155:$E$385,MATCH(RIGHT(Q1335,255),RIGHT('Disaggregation Records'!$D$155:$D$385,255),0))),"")</f>
        <v/>
      </c>
      <c r="S1335" s="189" t="str">
        <f t="array" ref="S1335">IFERROR(IF(INDEX('Disaggregation Records'!$F$155:$F$385,MATCH(RIGHT(Q1335,255),RIGHT('Disaggregation Records'!$D$155:$D$385,255),0))=0,"",INDEX('Disaggregation Records'!$F$155:$F$385,MATCH(RIGHT(Q1335,255),RIGHT('Disaggregation Records'!$D$155:$D$385,255),0))),"")</f>
        <v/>
      </c>
      <c r="T1335" s="189" t="str">
        <f t="array" ref="T1335">IFERROR(IF(INDEX('Disaggregation Records'!$H$155:$H$385,MATCH(RIGHT(Q1335,255),RIGHT('Disaggregation Records'!$D$155:$D$385,255),0))=0,"",INDEX('Disaggregation Records'!$H$155:$H$385,MATCH(RIGHT(Q1335,255),RIGHT('Disaggregation Records'!$D$155:$D$385,255),0))),"")</f>
        <v/>
      </c>
      <c r="U1335" s="189">
        <f t="shared" ref="U1335" si="5745">U1333+1</f>
        <v>1769</v>
      </c>
      <c r="V1335" s="189" t="str">
        <f t="array" ref="V1335">IFERROR(IF(INDEX('Disaggregation Records'!$I$155:$I$385,MATCH(RIGHT(Q1335,255),RIGHT('Disaggregation Records'!$D$155:$D$385,255),0))=0,"",INDEX('Disaggregation Records'!$I$155:$I$385,MATCH(RIGHT(Q1335,255),RIGHT('Disaggregation Records'!$D$155:$D$385,255),0))),"")</f>
        <v/>
      </c>
      <c r="W1335" s="189" t="str">
        <f>IFERROR(INDEX('Reference Records'!L$59:L$121,MATCH(LEFT(C1335,255),'Reference Records'!E$59:E$121,0)),"")</f>
        <v/>
      </c>
    </row>
    <row r="1336" spans="1:23" s="189" customFormat="1" ht="40.200000000000003" customHeight="1" x14ac:dyDescent="0.3">
      <c r="A1336" s="678"/>
      <c r="B1336" s="675"/>
      <c r="C1336" s="667"/>
      <c r="D1336" s="677"/>
      <c r="E1336" s="677"/>
      <c r="F1336" s="202"/>
      <c r="G1336" s="669"/>
      <c r="H1336" s="671"/>
      <c r="I1336" s="673"/>
      <c r="J1336" s="652"/>
      <c r="K1336" s="667"/>
      <c r="L1336" s="667"/>
      <c r="M1336" s="652"/>
      <c r="N1336" s="652"/>
    </row>
    <row r="1337" spans="1:23" s="189" customFormat="1" ht="40.200000000000003" customHeight="1" x14ac:dyDescent="0.3">
      <c r="A1337" s="678" t="str">
        <f t="shared" ref="A1337" ca="1" si="5746">INDIRECT("'update Helper'!C"&amp;U1337)</f>
        <v>a163p000002zQf9AAE</v>
      </c>
      <c r="B1337" s="674">
        <v>18</v>
      </c>
      <c r="C1337" s="666" t="str">
        <f>VLOOKUP(B1337,'Coverage Indicators - Section D'!$A$9:$AU$70,47,FALSE)</f>
        <v xml:space="preserve">Pourcentage de UD dépistés positifs (y compris les UDI) admis dans des services de soins durant la période de rapportage </v>
      </c>
      <c r="D1337" s="676" t="str">
        <f t="shared" ref="D1337" si="5747">R1337</f>
        <v/>
      </c>
      <c r="E1337" s="676" t="str">
        <f t="shared" ref="E1337" si="5748">S1337</f>
        <v/>
      </c>
      <c r="F1337" s="194"/>
      <c r="G1337" s="668" t="str">
        <f t="shared" ref="G1337" ca="1" si="5749">IF(OR(INDIRECT("'update Helper'!E"&amp;U1337)=0,F1337&lt;&gt;0,F1338&lt;&gt;0),IF(IFERROR((F1337/F1338),"")="","",(F1337/F1338)),INDIRECT("'update Helper'!E"&amp;U1337)/100)</f>
        <v/>
      </c>
      <c r="H1337" s="670"/>
      <c r="I1337" s="672"/>
      <c r="J1337" s="651"/>
      <c r="K1337" s="666" t="str">
        <f t="shared" ref="K1337" si="5750">W1337</f>
        <v/>
      </c>
      <c r="L1337" s="666" t="str">
        <f t="shared" ref="L1337" si="5751">V1337</f>
        <v/>
      </c>
      <c r="M1337" s="651"/>
      <c r="N1337" s="651"/>
      <c r="P1337" s="189">
        <f t="shared" ref="P1337" si="5752">IF(AND(EXACT(C1337,C1335),C1335&lt;&gt;0),P1335+1,0)</f>
        <v>18</v>
      </c>
      <c r="Q1337" s="189" t="str">
        <f t="shared" ref="Q1337" si="5753">IF(C1337&lt;&gt;"",C1337&amp;"-"&amp;P1337,"")</f>
        <v>Pourcentage de UD dépistés positifs (y compris les UDI) admis dans des services de soins durant la période de rapportage -18</v>
      </c>
      <c r="R1337" s="189" t="str">
        <f t="array" ref="R1337">IFERROR(IF(INDEX('Disaggregation Records'!$E$155:$E$385,MATCH(RIGHT(Q1337,255),RIGHT('Disaggregation Records'!$D$155:$D$385,255),0))=0,"",INDEX('Disaggregation Records'!$E$155:$E$385,MATCH(RIGHT(Q1337,255),RIGHT('Disaggregation Records'!$D$155:$D$385,255),0))),"")</f>
        <v/>
      </c>
      <c r="S1337" s="189" t="str">
        <f t="array" ref="S1337">IFERROR(IF(INDEX('Disaggregation Records'!$F$155:$F$385,MATCH(RIGHT(Q1337,255),RIGHT('Disaggregation Records'!$D$155:$D$385,255),0))=0,"",INDEX('Disaggregation Records'!$F$155:$F$385,MATCH(RIGHT(Q1337,255),RIGHT('Disaggregation Records'!$D$155:$D$385,255),0))),"")</f>
        <v/>
      </c>
      <c r="T1337" s="189" t="str">
        <f t="array" ref="T1337">IFERROR(IF(INDEX('Disaggregation Records'!$H$155:$H$385,MATCH(RIGHT(Q1337,255),RIGHT('Disaggregation Records'!$D$155:$D$385,255),0))=0,"",INDEX('Disaggregation Records'!$H$155:$H$385,MATCH(RIGHT(Q1337,255),RIGHT('Disaggregation Records'!$D$155:$D$385,255),0))),"")</f>
        <v/>
      </c>
      <c r="U1337" s="189">
        <f t="shared" ref="U1337" si="5754">U1335+1</f>
        <v>1770</v>
      </c>
      <c r="V1337" s="189" t="str">
        <f t="array" ref="V1337">IFERROR(IF(INDEX('Disaggregation Records'!$I$155:$I$385,MATCH(RIGHT(Q1337,255),RIGHT('Disaggregation Records'!$D$155:$D$385,255),0))=0,"",INDEX('Disaggregation Records'!$I$155:$I$385,MATCH(RIGHT(Q1337,255),RIGHT('Disaggregation Records'!$D$155:$D$385,255),0))),"")</f>
        <v/>
      </c>
      <c r="W1337" s="189" t="str">
        <f>IFERROR(INDEX('Reference Records'!L$59:L$121,MATCH(LEFT(C1337,255),'Reference Records'!E$59:E$121,0)),"")</f>
        <v/>
      </c>
    </row>
    <row r="1338" spans="1:23" s="189" customFormat="1" ht="40.200000000000003" customHeight="1" x14ac:dyDescent="0.3">
      <c r="A1338" s="678"/>
      <c r="B1338" s="675"/>
      <c r="C1338" s="667"/>
      <c r="D1338" s="677"/>
      <c r="E1338" s="677"/>
      <c r="F1338" s="202"/>
      <c r="G1338" s="669"/>
      <c r="H1338" s="671"/>
      <c r="I1338" s="673"/>
      <c r="J1338" s="652"/>
      <c r="K1338" s="667"/>
      <c r="L1338" s="667"/>
      <c r="M1338" s="652"/>
      <c r="N1338" s="652"/>
    </row>
    <row r="1339" spans="1:23" s="189" customFormat="1" ht="40.200000000000003" customHeight="1" x14ac:dyDescent="0.3">
      <c r="A1339" s="678" t="str">
        <f t="shared" ref="A1339" ca="1" si="5755">INDIRECT("'update Helper'!C"&amp;U1339)</f>
        <v>a163p000002zQfAAAU</v>
      </c>
      <c r="B1339" s="674">
        <v>18</v>
      </c>
      <c r="C1339" s="666" t="str">
        <f>VLOOKUP(B1339,'Coverage Indicators - Section D'!$A$9:$AU$70,47,FALSE)</f>
        <v xml:space="preserve">Pourcentage de UD dépistés positifs (y compris les UDI) admis dans des services de soins durant la période de rapportage </v>
      </c>
      <c r="D1339" s="676" t="str">
        <f t="shared" ref="D1339" si="5756">R1339</f>
        <v/>
      </c>
      <c r="E1339" s="676" t="str">
        <f t="shared" ref="E1339" si="5757">S1339</f>
        <v/>
      </c>
      <c r="F1339" s="194"/>
      <c r="G1339" s="668" t="str">
        <f t="shared" ref="G1339" ca="1" si="5758">IF(OR(INDIRECT("'update Helper'!E"&amp;U1339)=0,F1339&lt;&gt;0,F1340&lt;&gt;0),IF(IFERROR((F1339/F1340),"")="","",(F1339/F1340)),INDIRECT("'update Helper'!E"&amp;U1339)/100)</f>
        <v/>
      </c>
      <c r="H1339" s="670"/>
      <c r="I1339" s="672"/>
      <c r="J1339" s="651"/>
      <c r="K1339" s="666" t="str">
        <f t="shared" ref="K1339" si="5759">W1339</f>
        <v/>
      </c>
      <c r="L1339" s="666" t="str">
        <f t="shared" ref="L1339" si="5760">V1339</f>
        <v/>
      </c>
      <c r="M1339" s="651"/>
      <c r="N1339" s="651"/>
      <c r="P1339" s="189">
        <f t="shared" ref="P1339" si="5761">IF(AND(EXACT(C1339,C1337),C1337&lt;&gt;0),P1337+1,0)</f>
        <v>19</v>
      </c>
      <c r="Q1339" s="189" t="str">
        <f t="shared" ref="Q1339" si="5762">IF(C1339&lt;&gt;"",C1339&amp;"-"&amp;P1339,"")</f>
        <v>Pourcentage de UD dépistés positifs (y compris les UDI) admis dans des services de soins durant la période de rapportage -19</v>
      </c>
      <c r="R1339" s="189" t="str">
        <f t="array" ref="R1339">IFERROR(IF(INDEX('Disaggregation Records'!$E$155:$E$385,MATCH(RIGHT(Q1339,255),RIGHT('Disaggregation Records'!$D$155:$D$385,255),0))=0,"",INDEX('Disaggregation Records'!$E$155:$E$385,MATCH(RIGHT(Q1339,255),RIGHT('Disaggregation Records'!$D$155:$D$385,255),0))),"")</f>
        <v/>
      </c>
      <c r="S1339" s="189" t="str">
        <f t="array" ref="S1339">IFERROR(IF(INDEX('Disaggregation Records'!$F$155:$F$385,MATCH(RIGHT(Q1339,255),RIGHT('Disaggregation Records'!$D$155:$D$385,255),0))=0,"",INDEX('Disaggregation Records'!$F$155:$F$385,MATCH(RIGHT(Q1339,255),RIGHT('Disaggregation Records'!$D$155:$D$385,255),0))),"")</f>
        <v/>
      </c>
      <c r="T1339" s="189" t="str">
        <f t="array" ref="T1339">IFERROR(IF(INDEX('Disaggregation Records'!$H$155:$H$385,MATCH(RIGHT(Q1339,255),RIGHT('Disaggregation Records'!$D$155:$D$385,255),0))=0,"",INDEX('Disaggregation Records'!$H$155:$H$385,MATCH(RIGHT(Q1339,255),RIGHT('Disaggregation Records'!$D$155:$D$385,255),0))),"")</f>
        <v/>
      </c>
      <c r="U1339" s="189">
        <f t="shared" ref="U1339" si="5763">U1337+1</f>
        <v>1771</v>
      </c>
      <c r="V1339" s="189" t="str">
        <f t="array" ref="V1339">IFERROR(IF(INDEX('Disaggregation Records'!$I$155:$I$385,MATCH(RIGHT(Q1339,255),RIGHT('Disaggregation Records'!$D$155:$D$385,255),0))=0,"",INDEX('Disaggregation Records'!$I$155:$I$385,MATCH(RIGHT(Q1339,255),RIGHT('Disaggregation Records'!$D$155:$D$385,255),0))),"")</f>
        <v/>
      </c>
      <c r="W1339" s="189" t="str">
        <f>IFERROR(INDEX('Reference Records'!L$59:L$121,MATCH(LEFT(C1339,255),'Reference Records'!E$59:E$121,0)),"")</f>
        <v/>
      </c>
    </row>
    <row r="1340" spans="1:23" s="189" customFormat="1" ht="40.200000000000003" customHeight="1" x14ac:dyDescent="0.3">
      <c r="A1340" s="678"/>
      <c r="B1340" s="675"/>
      <c r="C1340" s="667"/>
      <c r="D1340" s="677"/>
      <c r="E1340" s="677"/>
      <c r="F1340" s="202"/>
      <c r="G1340" s="669"/>
      <c r="H1340" s="671"/>
      <c r="I1340" s="673"/>
      <c r="J1340" s="652"/>
      <c r="K1340" s="667"/>
      <c r="L1340" s="667"/>
      <c r="M1340" s="652"/>
      <c r="N1340" s="652"/>
    </row>
    <row r="1341" spans="1:23" s="189" customFormat="1" ht="40.200000000000003" customHeight="1" x14ac:dyDescent="0.3">
      <c r="A1341" s="678" t="str">
        <f t="shared" ref="A1341" ca="1" si="5764">INDIRECT("'update Helper'!C"&amp;U1341)</f>
        <v>a163p000002zQfBAAU</v>
      </c>
      <c r="B1341" s="674">
        <v>19</v>
      </c>
      <c r="C1341" s="666" t="str">
        <f>VLOOKUP(B1341,'Coverage Indicators - Section D'!$A$9:$AU$70,47,FALSE)</f>
        <v>Pourcentage de PVVIH et population clés bénéfciant d'assistance juridique et/ou judiciaire</v>
      </c>
      <c r="D1341" s="676" t="str">
        <f t="shared" ref="D1341" si="5765">R1341</f>
        <v/>
      </c>
      <c r="E1341" s="676" t="str">
        <f t="shared" ref="E1341" si="5766">S1341</f>
        <v/>
      </c>
      <c r="F1341" s="194"/>
      <c r="G1341" s="668" t="str">
        <f t="shared" ref="G1341" ca="1" si="5767">IF(OR(INDIRECT("'update Helper'!E"&amp;U1341)=0,F1341&lt;&gt;0,F1342&lt;&gt;0),IF(IFERROR((F1341/F1342),"")="","",(F1341/F1342)),INDIRECT("'update Helper'!E"&amp;U1341)/100)</f>
        <v/>
      </c>
      <c r="H1341" s="670"/>
      <c r="I1341" s="672"/>
      <c r="J1341" s="651"/>
      <c r="K1341" s="666" t="str">
        <f t="shared" ref="K1341" si="5768">W1341</f>
        <v/>
      </c>
      <c r="L1341" s="666" t="str">
        <f t="shared" ref="L1341" si="5769">V1341</f>
        <v/>
      </c>
      <c r="M1341" s="651"/>
      <c r="N1341" s="651"/>
      <c r="P1341" s="189">
        <f t="shared" ref="P1341" si="5770">IF(AND(EXACT(C1341,C1339),C1339&lt;&gt;0),P1339+1,0)</f>
        <v>0</v>
      </c>
      <c r="Q1341" s="189" t="str">
        <f t="shared" ref="Q1341" si="5771">IF(C1341&lt;&gt;"",C1341&amp;"-"&amp;P1341,"")</f>
        <v>Pourcentage de PVVIH et population clés bénéfciant d'assistance juridique et/ou judiciaire-0</v>
      </c>
      <c r="R1341" s="189" t="str">
        <f t="array" ref="R1341">IFERROR(IF(INDEX('Disaggregation Records'!$E$155:$E$385,MATCH(RIGHT(Q1341,255),RIGHT('Disaggregation Records'!$D$155:$D$385,255),0))=0,"",INDEX('Disaggregation Records'!$E$155:$E$385,MATCH(RIGHT(Q1341,255),RIGHT('Disaggregation Records'!$D$155:$D$385,255),0))),"")</f>
        <v/>
      </c>
      <c r="S1341" s="189" t="str">
        <f t="array" ref="S1341">IFERROR(IF(INDEX('Disaggregation Records'!$F$155:$F$385,MATCH(RIGHT(Q1341,255),RIGHT('Disaggregation Records'!$D$155:$D$385,255),0))=0,"",INDEX('Disaggregation Records'!$F$155:$F$385,MATCH(RIGHT(Q1341,255),RIGHT('Disaggregation Records'!$D$155:$D$385,255),0))),"")</f>
        <v/>
      </c>
      <c r="T1341" s="189" t="str">
        <f t="array" ref="T1341">IFERROR(IF(INDEX('Disaggregation Records'!$H$155:$H$385,MATCH(RIGHT(Q1341,255),RIGHT('Disaggregation Records'!$D$155:$D$385,255),0))=0,"",INDEX('Disaggregation Records'!$H$155:$H$385,MATCH(RIGHT(Q1341,255),RIGHT('Disaggregation Records'!$D$155:$D$385,255),0))),"")</f>
        <v/>
      </c>
      <c r="U1341" s="189">
        <f t="shared" ref="U1341" si="5772">U1339+1</f>
        <v>1772</v>
      </c>
      <c r="V1341" s="189" t="str">
        <f t="array" ref="V1341">IFERROR(IF(INDEX('Disaggregation Records'!$I$155:$I$385,MATCH(RIGHT(Q1341,255),RIGHT('Disaggregation Records'!$D$155:$D$385,255),0))=0,"",INDEX('Disaggregation Records'!$I$155:$I$385,MATCH(RIGHT(Q1341,255),RIGHT('Disaggregation Records'!$D$155:$D$385,255),0))),"")</f>
        <v/>
      </c>
      <c r="W1341" s="189" t="str">
        <f>IFERROR(INDEX('Reference Records'!L$59:L$121,MATCH(LEFT(C1341,255),'Reference Records'!E$59:E$121,0)),"")</f>
        <v/>
      </c>
    </row>
    <row r="1342" spans="1:23" s="189" customFormat="1" ht="40.200000000000003" customHeight="1" x14ac:dyDescent="0.3">
      <c r="A1342" s="678"/>
      <c r="B1342" s="675"/>
      <c r="C1342" s="667"/>
      <c r="D1342" s="677"/>
      <c r="E1342" s="677"/>
      <c r="F1342" s="202"/>
      <c r="G1342" s="669"/>
      <c r="H1342" s="671"/>
      <c r="I1342" s="673"/>
      <c r="J1342" s="652"/>
      <c r="K1342" s="667"/>
      <c r="L1342" s="667"/>
      <c r="M1342" s="652"/>
      <c r="N1342" s="652"/>
    </row>
    <row r="1343" spans="1:23" s="189" customFormat="1" ht="40.200000000000003" customHeight="1" x14ac:dyDescent="0.3">
      <c r="A1343" s="678" t="str">
        <f t="shared" ref="A1343" ca="1" si="5773">INDIRECT("'update Helper'!C"&amp;U1343)</f>
        <v>a163p000002zQfCAAU</v>
      </c>
      <c r="B1343" s="674">
        <v>19</v>
      </c>
      <c r="C1343" s="666" t="str">
        <f>VLOOKUP(B1343,'Coverage Indicators - Section D'!$A$9:$AU$70,47,FALSE)</f>
        <v>Pourcentage de PVVIH et population clés bénéfciant d'assistance juridique et/ou judiciaire</v>
      </c>
      <c r="D1343" s="676" t="str">
        <f t="shared" ref="D1343" si="5774">R1343</f>
        <v/>
      </c>
      <c r="E1343" s="676" t="str">
        <f t="shared" ref="E1343" si="5775">S1343</f>
        <v/>
      </c>
      <c r="F1343" s="194"/>
      <c r="G1343" s="668" t="str">
        <f t="shared" ref="G1343" ca="1" si="5776">IF(OR(INDIRECT("'update Helper'!E"&amp;U1343)=0,F1343&lt;&gt;0,F1344&lt;&gt;0),IF(IFERROR((F1343/F1344),"")="","",(F1343/F1344)),INDIRECT("'update Helper'!E"&amp;U1343)/100)</f>
        <v/>
      </c>
      <c r="H1343" s="670"/>
      <c r="I1343" s="672"/>
      <c r="J1343" s="651"/>
      <c r="K1343" s="666" t="str">
        <f t="shared" ref="K1343" si="5777">W1343</f>
        <v/>
      </c>
      <c r="L1343" s="666" t="str">
        <f t="shared" ref="L1343" si="5778">V1343</f>
        <v/>
      </c>
      <c r="M1343" s="651"/>
      <c r="N1343" s="651"/>
      <c r="P1343" s="189">
        <f t="shared" ref="P1343" si="5779">IF(AND(EXACT(C1343,C1341),C1341&lt;&gt;0),P1341+1,0)</f>
        <v>1</v>
      </c>
      <c r="Q1343" s="189" t="str">
        <f t="shared" ref="Q1343" si="5780">IF(C1343&lt;&gt;"",C1343&amp;"-"&amp;P1343,"")</f>
        <v>Pourcentage de PVVIH et population clés bénéfciant d'assistance juridique et/ou judiciaire-1</v>
      </c>
      <c r="R1343" s="189" t="str">
        <f t="array" ref="R1343">IFERROR(IF(INDEX('Disaggregation Records'!$E$155:$E$385,MATCH(RIGHT(Q1343,255),RIGHT('Disaggregation Records'!$D$155:$D$385,255),0))=0,"",INDEX('Disaggregation Records'!$E$155:$E$385,MATCH(RIGHT(Q1343,255),RIGHT('Disaggregation Records'!$D$155:$D$385,255),0))),"")</f>
        <v/>
      </c>
      <c r="S1343" s="189" t="str">
        <f t="array" ref="S1343">IFERROR(IF(INDEX('Disaggregation Records'!$F$155:$F$385,MATCH(RIGHT(Q1343,255),RIGHT('Disaggregation Records'!$D$155:$D$385,255),0))=0,"",INDEX('Disaggregation Records'!$F$155:$F$385,MATCH(RIGHT(Q1343,255),RIGHT('Disaggregation Records'!$D$155:$D$385,255),0))),"")</f>
        <v/>
      </c>
      <c r="T1343" s="189" t="str">
        <f t="array" ref="T1343">IFERROR(IF(INDEX('Disaggregation Records'!$H$155:$H$385,MATCH(RIGHT(Q1343,255),RIGHT('Disaggregation Records'!$D$155:$D$385,255),0))=0,"",INDEX('Disaggregation Records'!$H$155:$H$385,MATCH(RIGHT(Q1343,255),RIGHT('Disaggregation Records'!$D$155:$D$385,255),0))),"")</f>
        <v/>
      </c>
      <c r="U1343" s="189">
        <f t="shared" ref="U1343" si="5781">U1341+1</f>
        <v>1773</v>
      </c>
      <c r="V1343" s="189" t="str">
        <f t="array" ref="V1343">IFERROR(IF(INDEX('Disaggregation Records'!$I$155:$I$385,MATCH(RIGHT(Q1343,255),RIGHT('Disaggregation Records'!$D$155:$D$385,255),0))=0,"",INDEX('Disaggregation Records'!$I$155:$I$385,MATCH(RIGHT(Q1343,255),RIGHT('Disaggregation Records'!$D$155:$D$385,255),0))),"")</f>
        <v/>
      </c>
      <c r="W1343" s="189" t="str">
        <f>IFERROR(INDEX('Reference Records'!L$59:L$121,MATCH(LEFT(C1343,255),'Reference Records'!E$59:E$121,0)),"")</f>
        <v/>
      </c>
    </row>
    <row r="1344" spans="1:23" s="189" customFormat="1" ht="40.200000000000003" customHeight="1" x14ac:dyDescent="0.3">
      <c r="A1344" s="678"/>
      <c r="B1344" s="675"/>
      <c r="C1344" s="667"/>
      <c r="D1344" s="677"/>
      <c r="E1344" s="677"/>
      <c r="F1344" s="202"/>
      <c r="G1344" s="669"/>
      <c r="H1344" s="671"/>
      <c r="I1344" s="673"/>
      <c r="J1344" s="652"/>
      <c r="K1344" s="667"/>
      <c r="L1344" s="667"/>
      <c r="M1344" s="652"/>
      <c r="N1344" s="652"/>
    </row>
    <row r="1345" spans="1:23" s="189" customFormat="1" ht="40.200000000000003" customHeight="1" x14ac:dyDescent="0.3">
      <c r="A1345" s="678" t="str">
        <f t="shared" ref="A1345" ca="1" si="5782">INDIRECT("'update Helper'!C"&amp;U1345)</f>
        <v>a163p000002zQfDAAU</v>
      </c>
      <c r="B1345" s="674">
        <v>19</v>
      </c>
      <c r="C1345" s="666" t="str">
        <f>VLOOKUP(B1345,'Coverage Indicators - Section D'!$A$9:$AU$70,47,FALSE)</f>
        <v>Pourcentage de PVVIH et population clés bénéfciant d'assistance juridique et/ou judiciaire</v>
      </c>
      <c r="D1345" s="676" t="str">
        <f t="shared" ref="D1345" si="5783">R1345</f>
        <v/>
      </c>
      <c r="E1345" s="676" t="str">
        <f t="shared" ref="E1345" si="5784">S1345</f>
        <v/>
      </c>
      <c r="F1345" s="194"/>
      <c r="G1345" s="668" t="str">
        <f t="shared" ref="G1345" ca="1" si="5785">IF(OR(INDIRECT("'update Helper'!E"&amp;U1345)=0,F1345&lt;&gt;0,F1346&lt;&gt;0),IF(IFERROR((F1345/F1346),"")="","",(F1345/F1346)),INDIRECT("'update Helper'!E"&amp;U1345)/100)</f>
        <v/>
      </c>
      <c r="H1345" s="670"/>
      <c r="I1345" s="672"/>
      <c r="J1345" s="651"/>
      <c r="K1345" s="666" t="str">
        <f t="shared" ref="K1345" si="5786">W1345</f>
        <v/>
      </c>
      <c r="L1345" s="666" t="str">
        <f t="shared" ref="L1345" si="5787">V1345</f>
        <v/>
      </c>
      <c r="M1345" s="651"/>
      <c r="N1345" s="651"/>
      <c r="P1345" s="189">
        <f t="shared" ref="P1345" si="5788">IF(AND(EXACT(C1345,C1343),C1343&lt;&gt;0),P1343+1,0)</f>
        <v>2</v>
      </c>
      <c r="Q1345" s="189" t="str">
        <f t="shared" ref="Q1345" si="5789">IF(C1345&lt;&gt;"",C1345&amp;"-"&amp;P1345,"")</f>
        <v>Pourcentage de PVVIH et population clés bénéfciant d'assistance juridique et/ou judiciaire-2</v>
      </c>
      <c r="R1345" s="189" t="str">
        <f t="array" ref="R1345">IFERROR(IF(INDEX('Disaggregation Records'!$E$155:$E$385,MATCH(RIGHT(Q1345,255),RIGHT('Disaggregation Records'!$D$155:$D$385,255),0))=0,"",INDEX('Disaggregation Records'!$E$155:$E$385,MATCH(RIGHT(Q1345,255),RIGHT('Disaggregation Records'!$D$155:$D$385,255),0))),"")</f>
        <v/>
      </c>
      <c r="S1345" s="189" t="str">
        <f t="array" ref="S1345">IFERROR(IF(INDEX('Disaggregation Records'!$F$155:$F$385,MATCH(RIGHT(Q1345,255),RIGHT('Disaggregation Records'!$D$155:$D$385,255),0))=0,"",INDEX('Disaggregation Records'!$F$155:$F$385,MATCH(RIGHT(Q1345,255),RIGHT('Disaggregation Records'!$D$155:$D$385,255),0))),"")</f>
        <v/>
      </c>
      <c r="T1345" s="189" t="str">
        <f t="array" ref="T1345">IFERROR(IF(INDEX('Disaggregation Records'!$H$155:$H$385,MATCH(RIGHT(Q1345,255),RIGHT('Disaggregation Records'!$D$155:$D$385,255),0))=0,"",INDEX('Disaggregation Records'!$H$155:$H$385,MATCH(RIGHT(Q1345,255),RIGHT('Disaggregation Records'!$D$155:$D$385,255),0))),"")</f>
        <v/>
      </c>
      <c r="U1345" s="189">
        <f t="shared" ref="U1345" si="5790">U1343+1</f>
        <v>1774</v>
      </c>
      <c r="V1345" s="189" t="str">
        <f t="array" ref="V1345">IFERROR(IF(INDEX('Disaggregation Records'!$I$155:$I$385,MATCH(RIGHT(Q1345,255),RIGHT('Disaggregation Records'!$D$155:$D$385,255),0))=0,"",INDEX('Disaggregation Records'!$I$155:$I$385,MATCH(RIGHT(Q1345,255),RIGHT('Disaggregation Records'!$D$155:$D$385,255),0))),"")</f>
        <v/>
      </c>
      <c r="W1345" s="189" t="str">
        <f>IFERROR(INDEX('Reference Records'!L$59:L$121,MATCH(LEFT(C1345,255),'Reference Records'!E$59:E$121,0)),"")</f>
        <v/>
      </c>
    </row>
    <row r="1346" spans="1:23" s="189" customFormat="1" ht="40.200000000000003" customHeight="1" x14ac:dyDescent="0.3">
      <c r="A1346" s="678"/>
      <c r="B1346" s="675"/>
      <c r="C1346" s="667"/>
      <c r="D1346" s="677"/>
      <c r="E1346" s="677"/>
      <c r="F1346" s="202"/>
      <c r="G1346" s="669"/>
      <c r="H1346" s="671"/>
      <c r="I1346" s="673"/>
      <c r="J1346" s="652"/>
      <c r="K1346" s="667"/>
      <c r="L1346" s="667"/>
      <c r="M1346" s="652"/>
      <c r="N1346" s="652"/>
    </row>
    <row r="1347" spans="1:23" s="189" customFormat="1" ht="40.200000000000003" customHeight="1" x14ac:dyDescent="0.3">
      <c r="A1347" s="678" t="str">
        <f t="shared" ref="A1347" ca="1" si="5791">INDIRECT("'update Helper'!C"&amp;U1347)</f>
        <v>a163p000002zQfEAAU</v>
      </c>
      <c r="B1347" s="674">
        <v>19</v>
      </c>
      <c r="C1347" s="666" t="str">
        <f>VLOOKUP(B1347,'Coverage Indicators - Section D'!$A$9:$AU$70,47,FALSE)</f>
        <v>Pourcentage de PVVIH et population clés bénéfciant d'assistance juridique et/ou judiciaire</v>
      </c>
      <c r="D1347" s="676" t="str">
        <f t="shared" ref="D1347" si="5792">R1347</f>
        <v/>
      </c>
      <c r="E1347" s="676" t="str">
        <f t="shared" ref="E1347" si="5793">S1347</f>
        <v/>
      </c>
      <c r="F1347" s="194"/>
      <c r="G1347" s="668" t="str">
        <f t="shared" ref="G1347" ca="1" si="5794">IF(OR(INDIRECT("'update Helper'!E"&amp;U1347)=0,F1347&lt;&gt;0,F1348&lt;&gt;0),IF(IFERROR((F1347/F1348),"")="","",(F1347/F1348)),INDIRECT("'update Helper'!E"&amp;U1347)/100)</f>
        <v/>
      </c>
      <c r="H1347" s="670"/>
      <c r="I1347" s="672"/>
      <c r="J1347" s="651"/>
      <c r="K1347" s="666" t="str">
        <f t="shared" ref="K1347" si="5795">W1347</f>
        <v/>
      </c>
      <c r="L1347" s="666" t="str">
        <f t="shared" ref="L1347" si="5796">V1347</f>
        <v/>
      </c>
      <c r="M1347" s="651"/>
      <c r="N1347" s="651"/>
      <c r="P1347" s="189">
        <f t="shared" ref="P1347" si="5797">IF(AND(EXACT(C1347,C1345),C1345&lt;&gt;0),P1345+1,0)</f>
        <v>3</v>
      </c>
      <c r="Q1347" s="189" t="str">
        <f t="shared" ref="Q1347" si="5798">IF(C1347&lt;&gt;"",C1347&amp;"-"&amp;P1347,"")</f>
        <v>Pourcentage de PVVIH et population clés bénéfciant d'assistance juridique et/ou judiciaire-3</v>
      </c>
      <c r="R1347" s="189" t="str">
        <f t="array" ref="R1347">IFERROR(IF(INDEX('Disaggregation Records'!$E$155:$E$385,MATCH(RIGHT(Q1347,255),RIGHT('Disaggregation Records'!$D$155:$D$385,255),0))=0,"",INDEX('Disaggregation Records'!$E$155:$E$385,MATCH(RIGHT(Q1347,255),RIGHT('Disaggregation Records'!$D$155:$D$385,255),0))),"")</f>
        <v/>
      </c>
      <c r="S1347" s="189" t="str">
        <f t="array" ref="S1347">IFERROR(IF(INDEX('Disaggregation Records'!$F$155:$F$385,MATCH(RIGHT(Q1347,255),RIGHT('Disaggregation Records'!$D$155:$D$385,255),0))=0,"",INDEX('Disaggregation Records'!$F$155:$F$385,MATCH(RIGHT(Q1347,255),RIGHT('Disaggregation Records'!$D$155:$D$385,255),0))),"")</f>
        <v/>
      </c>
      <c r="T1347" s="189" t="str">
        <f t="array" ref="T1347">IFERROR(IF(INDEX('Disaggregation Records'!$H$155:$H$385,MATCH(RIGHT(Q1347,255),RIGHT('Disaggregation Records'!$D$155:$D$385,255),0))=0,"",INDEX('Disaggregation Records'!$H$155:$H$385,MATCH(RIGHT(Q1347,255),RIGHT('Disaggregation Records'!$D$155:$D$385,255),0))),"")</f>
        <v/>
      </c>
      <c r="U1347" s="189">
        <f t="shared" ref="U1347" si="5799">U1345+1</f>
        <v>1775</v>
      </c>
      <c r="V1347" s="189" t="str">
        <f t="array" ref="V1347">IFERROR(IF(INDEX('Disaggregation Records'!$I$155:$I$385,MATCH(RIGHT(Q1347,255),RIGHT('Disaggregation Records'!$D$155:$D$385,255),0))=0,"",INDEX('Disaggregation Records'!$I$155:$I$385,MATCH(RIGHT(Q1347,255),RIGHT('Disaggregation Records'!$D$155:$D$385,255),0))),"")</f>
        <v/>
      </c>
      <c r="W1347" s="189" t="str">
        <f>IFERROR(INDEX('Reference Records'!L$59:L$121,MATCH(LEFT(C1347,255),'Reference Records'!E$59:E$121,0)),"")</f>
        <v/>
      </c>
    </row>
    <row r="1348" spans="1:23" s="189" customFormat="1" ht="40.200000000000003" customHeight="1" x14ac:dyDescent="0.3">
      <c r="A1348" s="678"/>
      <c r="B1348" s="675"/>
      <c r="C1348" s="667"/>
      <c r="D1348" s="677"/>
      <c r="E1348" s="677"/>
      <c r="F1348" s="202"/>
      <c r="G1348" s="669"/>
      <c r="H1348" s="671"/>
      <c r="I1348" s="673"/>
      <c r="J1348" s="652"/>
      <c r="K1348" s="667"/>
      <c r="L1348" s="667"/>
      <c r="M1348" s="652"/>
      <c r="N1348" s="652"/>
    </row>
    <row r="1349" spans="1:23" s="189" customFormat="1" ht="40.200000000000003" customHeight="1" x14ac:dyDescent="0.3">
      <c r="A1349" s="678" t="str">
        <f t="shared" ref="A1349" ca="1" si="5800">INDIRECT("'update Helper'!C"&amp;U1349)</f>
        <v>a163p000002zQfFAAU</v>
      </c>
      <c r="B1349" s="674">
        <v>19</v>
      </c>
      <c r="C1349" s="666" t="str">
        <f>VLOOKUP(B1349,'Coverage Indicators - Section D'!$A$9:$AU$70,47,FALSE)</f>
        <v>Pourcentage de PVVIH et population clés bénéfciant d'assistance juridique et/ou judiciaire</v>
      </c>
      <c r="D1349" s="676" t="str">
        <f t="shared" ref="D1349" si="5801">R1349</f>
        <v/>
      </c>
      <c r="E1349" s="676" t="str">
        <f t="shared" ref="E1349" si="5802">S1349</f>
        <v/>
      </c>
      <c r="F1349" s="194"/>
      <c r="G1349" s="668" t="str">
        <f t="shared" ref="G1349" ca="1" si="5803">IF(OR(INDIRECT("'update Helper'!E"&amp;U1349)=0,F1349&lt;&gt;0,F1350&lt;&gt;0),IF(IFERROR((F1349/F1350),"")="","",(F1349/F1350)),INDIRECT("'update Helper'!E"&amp;U1349)/100)</f>
        <v/>
      </c>
      <c r="H1349" s="670"/>
      <c r="I1349" s="672"/>
      <c r="J1349" s="651"/>
      <c r="K1349" s="666" t="str">
        <f t="shared" ref="K1349" si="5804">W1349</f>
        <v/>
      </c>
      <c r="L1349" s="666" t="str">
        <f t="shared" ref="L1349" si="5805">V1349</f>
        <v/>
      </c>
      <c r="M1349" s="651"/>
      <c r="N1349" s="651"/>
      <c r="P1349" s="189">
        <f t="shared" ref="P1349" si="5806">IF(AND(EXACT(C1349,C1347),C1347&lt;&gt;0),P1347+1,0)</f>
        <v>4</v>
      </c>
      <c r="Q1349" s="189" t="str">
        <f t="shared" ref="Q1349" si="5807">IF(C1349&lt;&gt;"",C1349&amp;"-"&amp;P1349,"")</f>
        <v>Pourcentage de PVVIH et population clés bénéfciant d'assistance juridique et/ou judiciaire-4</v>
      </c>
      <c r="R1349" s="189" t="str">
        <f t="array" ref="R1349">IFERROR(IF(INDEX('Disaggregation Records'!$E$155:$E$385,MATCH(RIGHT(Q1349,255),RIGHT('Disaggregation Records'!$D$155:$D$385,255),0))=0,"",INDEX('Disaggregation Records'!$E$155:$E$385,MATCH(RIGHT(Q1349,255),RIGHT('Disaggregation Records'!$D$155:$D$385,255),0))),"")</f>
        <v/>
      </c>
      <c r="S1349" s="189" t="str">
        <f t="array" ref="S1349">IFERROR(IF(INDEX('Disaggregation Records'!$F$155:$F$385,MATCH(RIGHT(Q1349,255),RIGHT('Disaggregation Records'!$D$155:$D$385,255),0))=0,"",INDEX('Disaggregation Records'!$F$155:$F$385,MATCH(RIGHT(Q1349,255),RIGHT('Disaggregation Records'!$D$155:$D$385,255),0))),"")</f>
        <v/>
      </c>
      <c r="T1349" s="189" t="str">
        <f t="array" ref="T1349">IFERROR(IF(INDEX('Disaggregation Records'!$H$155:$H$385,MATCH(RIGHT(Q1349,255),RIGHT('Disaggregation Records'!$D$155:$D$385,255),0))=0,"",INDEX('Disaggregation Records'!$H$155:$H$385,MATCH(RIGHT(Q1349,255),RIGHT('Disaggregation Records'!$D$155:$D$385,255),0))),"")</f>
        <v/>
      </c>
      <c r="U1349" s="189">
        <f t="shared" ref="U1349" si="5808">U1347+1</f>
        <v>1776</v>
      </c>
      <c r="V1349" s="189" t="str">
        <f t="array" ref="V1349">IFERROR(IF(INDEX('Disaggregation Records'!$I$155:$I$385,MATCH(RIGHT(Q1349,255),RIGHT('Disaggregation Records'!$D$155:$D$385,255),0))=0,"",INDEX('Disaggregation Records'!$I$155:$I$385,MATCH(RIGHT(Q1349,255),RIGHT('Disaggregation Records'!$D$155:$D$385,255),0))),"")</f>
        <v/>
      </c>
      <c r="W1349" s="189" t="str">
        <f>IFERROR(INDEX('Reference Records'!L$59:L$121,MATCH(LEFT(C1349,255),'Reference Records'!E$59:E$121,0)),"")</f>
        <v/>
      </c>
    </row>
    <row r="1350" spans="1:23" s="189" customFormat="1" ht="40.200000000000003" customHeight="1" x14ac:dyDescent="0.3">
      <c r="A1350" s="678"/>
      <c r="B1350" s="675"/>
      <c r="C1350" s="667"/>
      <c r="D1350" s="677"/>
      <c r="E1350" s="677"/>
      <c r="F1350" s="202"/>
      <c r="G1350" s="669"/>
      <c r="H1350" s="671"/>
      <c r="I1350" s="673"/>
      <c r="J1350" s="652"/>
      <c r="K1350" s="667"/>
      <c r="L1350" s="667"/>
      <c r="M1350" s="652"/>
      <c r="N1350" s="652"/>
    </row>
    <row r="1351" spans="1:23" s="189" customFormat="1" ht="40.200000000000003" customHeight="1" x14ac:dyDescent="0.3">
      <c r="A1351" s="678" t="str">
        <f t="shared" ref="A1351" ca="1" si="5809">INDIRECT("'update Helper'!C"&amp;U1351)</f>
        <v>a163p000002zQfGAAU</v>
      </c>
      <c r="B1351" s="674">
        <v>19</v>
      </c>
      <c r="C1351" s="666" t="str">
        <f>VLOOKUP(B1351,'Coverage Indicators - Section D'!$A$9:$AU$70,47,FALSE)</f>
        <v>Pourcentage de PVVIH et population clés bénéfciant d'assistance juridique et/ou judiciaire</v>
      </c>
      <c r="D1351" s="676" t="str">
        <f t="shared" ref="D1351" si="5810">R1351</f>
        <v/>
      </c>
      <c r="E1351" s="676" t="str">
        <f t="shared" ref="E1351" si="5811">S1351</f>
        <v/>
      </c>
      <c r="F1351" s="194"/>
      <c r="G1351" s="668" t="str">
        <f t="shared" ref="G1351" ca="1" si="5812">IF(OR(INDIRECT("'update Helper'!E"&amp;U1351)=0,F1351&lt;&gt;0,F1352&lt;&gt;0),IF(IFERROR((F1351/F1352),"")="","",(F1351/F1352)),INDIRECT("'update Helper'!E"&amp;U1351)/100)</f>
        <v/>
      </c>
      <c r="H1351" s="670"/>
      <c r="I1351" s="672"/>
      <c r="J1351" s="651"/>
      <c r="K1351" s="666" t="str">
        <f t="shared" ref="K1351" si="5813">W1351</f>
        <v/>
      </c>
      <c r="L1351" s="666" t="str">
        <f t="shared" ref="L1351" si="5814">V1351</f>
        <v/>
      </c>
      <c r="M1351" s="651"/>
      <c r="N1351" s="651"/>
      <c r="P1351" s="189">
        <f t="shared" ref="P1351" si="5815">IF(AND(EXACT(C1351,C1349),C1349&lt;&gt;0),P1349+1,0)</f>
        <v>5</v>
      </c>
      <c r="Q1351" s="189" t="str">
        <f t="shared" ref="Q1351" si="5816">IF(C1351&lt;&gt;"",C1351&amp;"-"&amp;P1351,"")</f>
        <v>Pourcentage de PVVIH et population clés bénéfciant d'assistance juridique et/ou judiciaire-5</v>
      </c>
      <c r="R1351" s="189" t="str">
        <f t="array" ref="R1351">IFERROR(IF(INDEX('Disaggregation Records'!$E$155:$E$385,MATCH(RIGHT(Q1351,255),RIGHT('Disaggregation Records'!$D$155:$D$385,255),0))=0,"",INDEX('Disaggregation Records'!$E$155:$E$385,MATCH(RIGHT(Q1351,255),RIGHT('Disaggregation Records'!$D$155:$D$385,255),0))),"")</f>
        <v/>
      </c>
      <c r="S1351" s="189" t="str">
        <f t="array" ref="S1351">IFERROR(IF(INDEX('Disaggregation Records'!$F$155:$F$385,MATCH(RIGHT(Q1351,255),RIGHT('Disaggregation Records'!$D$155:$D$385,255),0))=0,"",INDEX('Disaggregation Records'!$F$155:$F$385,MATCH(RIGHT(Q1351,255),RIGHT('Disaggregation Records'!$D$155:$D$385,255),0))),"")</f>
        <v/>
      </c>
      <c r="T1351" s="189" t="str">
        <f t="array" ref="T1351">IFERROR(IF(INDEX('Disaggregation Records'!$H$155:$H$385,MATCH(RIGHT(Q1351,255),RIGHT('Disaggregation Records'!$D$155:$D$385,255),0))=0,"",INDEX('Disaggregation Records'!$H$155:$H$385,MATCH(RIGHT(Q1351,255),RIGHT('Disaggregation Records'!$D$155:$D$385,255),0))),"")</f>
        <v/>
      </c>
      <c r="U1351" s="189">
        <f t="shared" ref="U1351" si="5817">U1349+1</f>
        <v>1777</v>
      </c>
      <c r="V1351" s="189" t="str">
        <f t="array" ref="V1351">IFERROR(IF(INDEX('Disaggregation Records'!$I$155:$I$385,MATCH(RIGHT(Q1351,255),RIGHT('Disaggregation Records'!$D$155:$D$385,255),0))=0,"",INDEX('Disaggregation Records'!$I$155:$I$385,MATCH(RIGHT(Q1351,255),RIGHT('Disaggregation Records'!$D$155:$D$385,255),0))),"")</f>
        <v/>
      </c>
      <c r="W1351" s="189" t="str">
        <f>IFERROR(INDEX('Reference Records'!L$59:L$121,MATCH(LEFT(C1351,255),'Reference Records'!E$59:E$121,0)),"")</f>
        <v/>
      </c>
    </row>
    <row r="1352" spans="1:23" s="189" customFormat="1" ht="40.200000000000003" customHeight="1" x14ac:dyDescent="0.3">
      <c r="A1352" s="678"/>
      <c r="B1352" s="675"/>
      <c r="C1352" s="667"/>
      <c r="D1352" s="677"/>
      <c r="E1352" s="677"/>
      <c r="F1352" s="202"/>
      <c r="G1352" s="669"/>
      <c r="H1352" s="671"/>
      <c r="I1352" s="673"/>
      <c r="J1352" s="652"/>
      <c r="K1352" s="667"/>
      <c r="L1352" s="667"/>
      <c r="M1352" s="652"/>
      <c r="N1352" s="652"/>
    </row>
    <row r="1353" spans="1:23" s="189" customFormat="1" ht="40.200000000000003" customHeight="1" x14ac:dyDescent="0.3">
      <c r="A1353" s="678" t="str">
        <f t="shared" ref="A1353" ca="1" si="5818">INDIRECT("'update Helper'!C"&amp;U1353)</f>
        <v>a163p000002zQfHAAU</v>
      </c>
      <c r="B1353" s="674">
        <v>19</v>
      </c>
      <c r="C1353" s="666" t="str">
        <f>VLOOKUP(B1353,'Coverage Indicators - Section D'!$A$9:$AU$70,47,FALSE)</f>
        <v>Pourcentage de PVVIH et population clés bénéfciant d'assistance juridique et/ou judiciaire</v>
      </c>
      <c r="D1353" s="676" t="str">
        <f t="shared" ref="D1353" si="5819">R1353</f>
        <v/>
      </c>
      <c r="E1353" s="676" t="str">
        <f t="shared" ref="E1353" si="5820">S1353</f>
        <v/>
      </c>
      <c r="F1353" s="194"/>
      <c r="G1353" s="668" t="str">
        <f t="shared" ref="G1353" ca="1" si="5821">IF(OR(INDIRECT("'update Helper'!E"&amp;U1353)=0,F1353&lt;&gt;0,F1354&lt;&gt;0),IF(IFERROR((F1353/F1354),"")="","",(F1353/F1354)),INDIRECT("'update Helper'!E"&amp;U1353)/100)</f>
        <v/>
      </c>
      <c r="H1353" s="670"/>
      <c r="I1353" s="672"/>
      <c r="J1353" s="651"/>
      <c r="K1353" s="666" t="str">
        <f t="shared" ref="K1353" si="5822">W1353</f>
        <v/>
      </c>
      <c r="L1353" s="666" t="str">
        <f t="shared" ref="L1353" si="5823">V1353</f>
        <v/>
      </c>
      <c r="M1353" s="651"/>
      <c r="N1353" s="651"/>
      <c r="P1353" s="189">
        <f t="shared" ref="P1353" si="5824">IF(AND(EXACT(C1353,C1351),C1351&lt;&gt;0),P1351+1,0)</f>
        <v>6</v>
      </c>
      <c r="Q1353" s="189" t="str">
        <f t="shared" ref="Q1353" si="5825">IF(C1353&lt;&gt;"",C1353&amp;"-"&amp;P1353,"")</f>
        <v>Pourcentage de PVVIH et population clés bénéfciant d'assistance juridique et/ou judiciaire-6</v>
      </c>
      <c r="R1353" s="189" t="str">
        <f t="array" ref="R1353">IFERROR(IF(INDEX('Disaggregation Records'!$E$155:$E$385,MATCH(RIGHT(Q1353,255),RIGHT('Disaggregation Records'!$D$155:$D$385,255),0))=0,"",INDEX('Disaggregation Records'!$E$155:$E$385,MATCH(RIGHT(Q1353,255),RIGHT('Disaggregation Records'!$D$155:$D$385,255),0))),"")</f>
        <v/>
      </c>
      <c r="S1353" s="189" t="str">
        <f t="array" ref="S1353">IFERROR(IF(INDEX('Disaggregation Records'!$F$155:$F$385,MATCH(RIGHT(Q1353,255),RIGHT('Disaggregation Records'!$D$155:$D$385,255),0))=0,"",INDEX('Disaggregation Records'!$F$155:$F$385,MATCH(RIGHT(Q1353,255),RIGHT('Disaggregation Records'!$D$155:$D$385,255),0))),"")</f>
        <v/>
      </c>
      <c r="T1353" s="189" t="str">
        <f t="array" ref="T1353">IFERROR(IF(INDEX('Disaggregation Records'!$H$155:$H$385,MATCH(RIGHT(Q1353,255),RIGHT('Disaggregation Records'!$D$155:$D$385,255),0))=0,"",INDEX('Disaggregation Records'!$H$155:$H$385,MATCH(RIGHT(Q1353,255),RIGHT('Disaggregation Records'!$D$155:$D$385,255),0))),"")</f>
        <v/>
      </c>
      <c r="U1353" s="189">
        <f t="shared" ref="U1353" si="5826">U1351+1</f>
        <v>1778</v>
      </c>
      <c r="V1353" s="189" t="str">
        <f t="array" ref="V1353">IFERROR(IF(INDEX('Disaggregation Records'!$I$155:$I$385,MATCH(RIGHT(Q1353,255),RIGHT('Disaggregation Records'!$D$155:$D$385,255),0))=0,"",INDEX('Disaggregation Records'!$I$155:$I$385,MATCH(RIGHT(Q1353,255),RIGHT('Disaggregation Records'!$D$155:$D$385,255),0))),"")</f>
        <v/>
      </c>
      <c r="W1353" s="189" t="str">
        <f>IFERROR(INDEX('Reference Records'!L$59:L$121,MATCH(LEFT(C1353,255),'Reference Records'!E$59:E$121,0)),"")</f>
        <v/>
      </c>
    </row>
    <row r="1354" spans="1:23" s="189" customFormat="1" ht="40.200000000000003" customHeight="1" x14ac:dyDescent="0.3">
      <c r="A1354" s="678"/>
      <c r="B1354" s="675"/>
      <c r="C1354" s="667"/>
      <c r="D1354" s="677"/>
      <c r="E1354" s="677"/>
      <c r="F1354" s="202"/>
      <c r="G1354" s="669"/>
      <c r="H1354" s="671"/>
      <c r="I1354" s="673"/>
      <c r="J1354" s="652"/>
      <c r="K1354" s="667"/>
      <c r="L1354" s="667"/>
      <c r="M1354" s="652"/>
      <c r="N1354" s="652"/>
    </row>
    <row r="1355" spans="1:23" s="189" customFormat="1" ht="40.200000000000003" customHeight="1" x14ac:dyDescent="0.3">
      <c r="A1355" s="678" t="str">
        <f t="shared" ref="A1355" ca="1" si="5827">INDIRECT("'update Helper'!C"&amp;U1355)</f>
        <v>a163p000002zQfIAAU</v>
      </c>
      <c r="B1355" s="674">
        <v>19</v>
      </c>
      <c r="C1355" s="666" t="str">
        <f>VLOOKUP(B1355,'Coverage Indicators - Section D'!$A$9:$AU$70,47,FALSE)</f>
        <v>Pourcentage de PVVIH et population clés bénéfciant d'assistance juridique et/ou judiciaire</v>
      </c>
      <c r="D1355" s="676" t="str">
        <f t="shared" ref="D1355" si="5828">R1355</f>
        <v/>
      </c>
      <c r="E1355" s="676" t="str">
        <f t="shared" ref="E1355" si="5829">S1355</f>
        <v/>
      </c>
      <c r="F1355" s="194"/>
      <c r="G1355" s="668" t="str">
        <f t="shared" ref="G1355" ca="1" si="5830">IF(OR(INDIRECT("'update Helper'!E"&amp;U1355)=0,F1355&lt;&gt;0,F1356&lt;&gt;0),IF(IFERROR((F1355/F1356),"")="","",(F1355/F1356)),INDIRECT("'update Helper'!E"&amp;U1355)/100)</f>
        <v/>
      </c>
      <c r="H1355" s="670"/>
      <c r="I1355" s="672"/>
      <c r="J1355" s="651"/>
      <c r="K1355" s="666" t="str">
        <f t="shared" ref="K1355" si="5831">W1355</f>
        <v/>
      </c>
      <c r="L1355" s="666" t="str">
        <f t="shared" ref="L1355" si="5832">V1355</f>
        <v/>
      </c>
      <c r="M1355" s="651"/>
      <c r="N1355" s="651"/>
      <c r="P1355" s="189">
        <f t="shared" ref="P1355" si="5833">IF(AND(EXACT(C1355,C1353),C1353&lt;&gt;0),P1353+1,0)</f>
        <v>7</v>
      </c>
      <c r="Q1355" s="189" t="str">
        <f t="shared" ref="Q1355" si="5834">IF(C1355&lt;&gt;"",C1355&amp;"-"&amp;P1355,"")</f>
        <v>Pourcentage de PVVIH et population clés bénéfciant d'assistance juridique et/ou judiciaire-7</v>
      </c>
      <c r="R1355" s="189" t="str">
        <f t="array" ref="R1355">IFERROR(IF(INDEX('Disaggregation Records'!$E$155:$E$385,MATCH(RIGHT(Q1355,255),RIGHT('Disaggregation Records'!$D$155:$D$385,255),0))=0,"",INDEX('Disaggregation Records'!$E$155:$E$385,MATCH(RIGHT(Q1355,255),RIGHT('Disaggregation Records'!$D$155:$D$385,255),0))),"")</f>
        <v/>
      </c>
      <c r="S1355" s="189" t="str">
        <f t="array" ref="S1355">IFERROR(IF(INDEX('Disaggregation Records'!$F$155:$F$385,MATCH(RIGHT(Q1355,255),RIGHT('Disaggregation Records'!$D$155:$D$385,255),0))=0,"",INDEX('Disaggregation Records'!$F$155:$F$385,MATCH(RIGHT(Q1355,255),RIGHT('Disaggregation Records'!$D$155:$D$385,255),0))),"")</f>
        <v/>
      </c>
      <c r="T1355" s="189" t="str">
        <f t="array" ref="T1355">IFERROR(IF(INDEX('Disaggregation Records'!$H$155:$H$385,MATCH(RIGHT(Q1355,255),RIGHT('Disaggregation Records'!$D$155:$D$385,255),0))=0,"",INDEX('Disaggregation Records'!$H$155:$H$385,MATCH(RIGHT(Q1355,255),RIGHT('Disaggregation Records'!$D$155:$D$385,255),0))),"")</f>
        <v/>
      </c>
      <c r="U1355" s="189">
        <f t="shared" ref="U1355" si="5835">U1353+1</f>
        <v>1779</v>
      </c>
      <c r="V1355" s="189" t="str">
        <f t="array" ref="V1355">IFERROR(IF(INDEX('Disaggregation Records'!$I$155:$I$385,MATCH(RIGHT(Q1355,255),RIGHT('Disaggregation Records'!$D$155:$D$385,255),0))=0,"",INDEX('Disaggregation Records'!$I$155:$I$385,MATCH(RIGHT(Q1355,255),RIGHT('Disaggregation Records'!$D$155:$D$385,255),0))),"")</f>
        <v/>
      </c>
      <c r="W1355" s="189" t="str">
        <f>IFERROR(INDEX('Reference Records'!L$59:L$121,MATCH(LEFT(C1355,255),'Reference Records'!E$59:E$121,0)),"")</f>
        <v/>
      </c>
    </row>
    <row r="1356" spans="1:23" s="189" customFormat="1" ht="40.200000000000003" customHeight="1" x14ac:dyDescent="0.3">
      <c r="A1356" s="678"/>
      <c r="B1356" s="675"/>
      <c r="C1356" s="667"/>
      <c r="D1356" s="677"/>
      <c r="E1356" s="677"/>
      <c r="F1356" s="202"/>
      <c r="G1356" s="669"/>
      <c r="H1356" s="671"/>
      <c r="I1356" s="673"/>
      <c r="J1356" s="652"/>
      <c r="K1356" s="667"/>
      <c r="L1356" s="667"/>
      <c r="M1356" s="652"/>
      <c r="N1356" s="652"/>
    </row>
    <row r="1357" spans="1:23" s="189" customFormat="1" ht="40.200000000000003" customHeight="1" x14ac:dyDescent="0.3">
      <c r="A1357" s="678" t="str">
        <f t="shared" ref="A1357" ca="1" si="5836">INDIRECT("'update Helper'!C"&amp;U1357)</f>
        <v>a163p000002zQfJAAU</v>
      </c>
      <c r="B1357" s="674">
        <v>19</v>
      </c>
      <c r="C1357" s="666" t="str">
        <f>VLOOKUP(B1357,'Coverage Indicators - Section D'!$A$9:$AU$70,47,FALSE)</f>
        <v>Pourcentage de PVVIH et population clés bénéfciant d'assistance juridique et/ou judiciaire</v>
      </c>
      <c r="D1357" s="676" t="str">
        <f t="shared" ref="D1357" si="5837">R1357</f>
        <v/>
      </c>
      <c r="E1357" s="676" t="str">
        <f t="shared" ref="E1357" si="5838">S1357</f>
        <v/>
      </c>
      <c r="F1357" s="194"/>
      <c r="G1357" s="668" t="str">
        <f t="shared" ref="G1357" ca="1" si="5839">IF(OR(INDIRECT("'update Helper'!E"&amp;U1357)=0,F1357&lt;&gt;0,F1358&lt;&gt;0),IF(IFERROR((F1357/F1358),"")="","",(F1357/F1358)),INDIRECT("'update Helper'!E"&amp;U1357)/100)</f>
        <v/>
      </c>
      <c r="H1357" s="670"/>
      <c r="I1357" s="672"/>
      <c r="J1357" s="651"/>
      <c r="K1357" s="666" t="str">
        <f t="shared" ref="K1357" si="5840">W1357</f>
        <v/>
      </c>
      <c r="L1357" s="666" t="str">
        <f t="shared" ref="L1357" si="5841">V1357</f>
        <v/>
      </c>
      <c r="M1357" s="651"/>
      <c r="N1357" s="651"/>
      <c r="P1357" s="189">
        <f t="shared" ref="P1357" si="5842">IF(AND(EXACT(C1357,C1355),C1355&lt;&gt;0),P1355+1,0)</f>
        <v>8</v>
      </c>
      <c r="Q1357" s="189" t="str">
        <f t="shared" ref="Q1357" si="5843">IF(C1357&lt;&gt;"",C1357&amp;"-"&amp;P1357,"")</f>
        <v>Pourcentage de PVVIH et population clés bénéfciant d'assistance juridique et/ou judiciaire-8</v>
      </c>
      <c r="R1357" s="189" t="str">
        <f t="array" ref="R1357">IFERROR(IF(INDEX('Disaggregation Records'!$E$155:$E$385,MATCH(RIGHT(Q1357,255),RIGHT('Disaggregation Records'!$D$155:$D$385,255),0))=0,"",INDEX('Disaggregation Records'!$E$155:$E$385,MATCH(RIGHT(Q1357,255),RIGHT('Disaggregation Records'!$D$155:$D$385,255),0))),"")</f>
        <v/>
      </c>
      <c r="S1357" s="189" t="str">
        <f t="array" ref="S1357">IFERROR(IF(INDEX('Disaggregation Records'!$F$155:$F$385,MATCH(RIGHT(Q1357,255),RIGHT('Disaggregation Records'!$D$155:$D$385,255),0))=0,"",INDEX('Disaggregation Records'!$F$155:$F$385,MATCH(RIGHT(Q1357,255),RIGHT('Disaggregation Records'!$D$155:$D$385,255),0))),"")</f>
        <v/>
      </c>
      <c r="T1357" s="189" t="str">
        <f t="array" ref="T1357">IFERROR(IF(INDEX('Disaggregation Records'!$H$155:$H$385,MATCH(RIGHT(Q1357,255),RIGHT('Disaggregation Records'!$D$155:$D$385,255),0))=0,"",INDEX('Disaggregation Records'!$H$155:$H$385,MATCH(RIGHT(Q1357,255),RIGHT('Disaggregation Records'!$D$155:$D$385,255),0))),"")</f>
        <v/>
      </c>
      <c r="U1357" s="189">
        <f t="shared" ref="U1357" si="5844">U1355+1</f>
        <v>1780</v>
      </c>
      <c r="V1357" s="189" t="str">
        <f t="array" ref="V1357">IFERROR(IF(INDEX('Disaggregation Records'!$I$155:$I$385,MATCH(RIGHT(Q1357,255),RIGHT('Disaggregation Records'!$D$155:$D$385,255),0))=0,"",INDEX('Disaggregation Records'!$I$155:$I$385,MATCH(RIGHT(Q1357,255),RIGHT('Disaggregation Records'!$D$155:$D$385,255),0))),"")</f>
        <v/>
      </c>
      <c r="W1357" s="189" t="str">
        <f>IFERROR(INDEX('Reference Records'!L$59:L$121,MATCH(LEFT(C1357,255),'Reference Records'!E$59:E$121,0)),"")</f>
        <v/>
      </c>
    </row>
    <row r="1358" spans="1:23" s="189" customFormat="1" ht="40.200000000000003" customHeight="1" x14ac:dyDescent="0.3">
      <c r="A1358" s="678"/>
      <c r="B1358" s="675"/>
      <c r="C1358" s="667"/>
      <c r="D1358" s="677"/>
      <c r="E1358" s="677"/>
      <c r="F1358" s="202"/>
      <c r="G1358" s="669"/>
      <c r="H1358" s="671"/>
      <c r="I1358" s="673"/>
      <c r="J1358" s="652"/>
      <c r="K1358" s="667"/>
      <c r="L1358" s="667"/>
      <c r="M1358" s="652"/>
      <c r="N1358" s="652"/>
    </row>
    <row r="1359" spans="1:23" s="189" customFormat="1" ht="40.200000000000003" customHeight="1" x14ac:dyDescent="0.3">
      <c r="A1359" s="678" t="str">
        <f t="shared" ref="A1359" ca="1" si="5845">INDIRECT("'update Helper'!C"&amp;U1359)</f>
        <v>a163p000002zQfKAAU</v>
      </c>
      <c r="B1359" s="674">
        <v>19</v>
      </c>
      <c r="C1359" s="666" t="str">
        <f>VLOOKUP(B1359,'Coverage Indicators - Section D'!$A$9:$AU$70,47,FALSE)</f>
        <v>Pourcentage de PVVIH et population clés bénéfciant d'assistance juridique et/ou judiciaire</v>
      </c>
      <c r="D1359" s="676" t="str">
        <f t="shared" ref="D1359" si="5846">R1359</f>
        <v/>
      </c>
      <c r="E1359" s="676" t="str">
        <f t="shared" ref="E1359" si="5847">S1359</f>
        <v/>
      </c>
      <c r="F1359" s="194"/>
      <c r="G1359" s="668" t="str">
        <f t="shared" ref="G1359" ca="1" si="5848">IF(OR(INDIRECT("'update Helper'!E"&amp;U1359)=0,F1359&lt;&gt;0,F1360&lt;&gt;0),IF(IFERROR((F1359/F1360),"")="","",(F1359/F1360)),INDIRECT("'update Helper'!E"&amp;U1359)/100)</f>
        <v/>
      </c>
      <c r="H1359" s="670"/>
      <c r="I1359" s="672"/>
      <c r="J1359" s="651"/>
      <c r="K1359" s="666" t="str">
        <f t="shared" ref="K1359" si="5849">W1359</f>
        <v/>
      </c>
      <c r="L1359" s="666" t="str">
        <f t="shared" ref="L1359" si="5850">V1359</f>
        <v/>
      </c>
      <c r="M1359" s="651"/>
      <c r="N1359" s="651"/>
      <c r="P1359" s="189">
        <f t="shared" ref="P1359" si="5851">IF(AND(EXACT(C1359,C1357),C1357&lt;&gt;0),P1357+1,0)</f>
        <v>9</v>
      </c>
      <c r="Q1359" s="189" t="str">
        <f t="shared" ref="Q1359" si="5852">IF(C1359&lt;&gt;"",C1359&amp;"-"&amp;P1359,"")</f>
        <v>Pourcentage de PVVIH et population clés bénéfciant d'assistance juridique et/ou judiciaire-9</v>
      </c>
      <c r="R1359" s="189" t="str">
        <f t="array" ref="R1359">IFERROR(IF(INDEX('Disaggregation Records'!$E$155:$E$385,MATCH(RIGHT(Q1359,255),RIGHT('Disaggregation Records'!$D$155:$D$385,255),0))=0,"",INDEX('Disaggregation Records'!$E$155:$E$385,MATCH(RIGHT(Q1359,255),RIGHT('Disaggregation Records'!$D$155:$D$385,255),0))),"")</f>
        <v/>
      </c>
      <c r="S1359" s="189" t="str">
        <f t="array" ref="S1359">IFERROR(IF(INDEX('Disaggregation Records'!$F$155:$F$385,MATCH(RIGHT(Q1359,255),RIGHT('Disaggregation Records'!$D$155:$D$385,255),0))=0,"",INDEX('Disaggregation Records'!$F$155:$F$385,MATCH(RIGHT(Q1359,255),RIGHT('Disaggregation Records'!$D$155:$D$385,255),0))),"")</f>
        <v/>
      </c>
      <c r="T1359" s="189" t="str">
        <f t="array" ref="T1359">IFERROR(IF(INDEX('Disaggregation Records'!$H$155:$H$385,MATCH(RIGHT(Q1359,255),RIGHT('Disaggregation Records'!$D$155:$D$385,255),0))=0,"",INDEX('Disaggregation Records'!$H$155:$H$385,MATCH(RIGHT(Q1359,255),RIGHT('Disaggregation Records'!$D$155:$D$385,255),0))),"")</f>
        <v/>
      </c>
      <c r="U1359" s="189">
        <f t="shared" ref="U1359" si="5853">U1357+1</f>
        <v>1781</v>
      </c>
      <c r="V1359" s="189" t="str">
        <f t="array" ref="V1359">IFERROR(IF(INDEX('Disaggregation Records'!$I$155:$I$385,MATCH(RIGHT(Q1359,255),RIGHT('Disaggregation Records'!$D$155:$D$385,255),0))=0,"",INDEX('Disaggregation Records'!$I$155:$I$385,MATCH(RIGHT(Q1359,255),RIGHT('Disaggregation Records'!$D$155:$D$385,255),0))),"")</f>
        <v/>
      </c>
      <c r="W1359" s="189" t="str">
        <f>IFERROR(INDEX('Reference Records'!L$59:L$121,MATCH(LEFT(C1359,255),'Reference Records'!E$59:E$121,0)),"")</f>
        <v/>
      </c>
    </row>
    <row r="1360" spans="1:23" s="189" customFormat="1" ht="40.200000000000003" customHeight="1" x14ac:dyDescent="0.3">
      <c r="A1360" s="678"/>
      <c r="B1360" s="675"/>
      <c r="C1360" s="667"/>
      <c r="D1360" s="677"/>
      <c r="E1360" s="677"/>
      <c r="F1360" s="202"/>
      <c r="G1360" s="669"/>
      <c r="H1360" s="671"/>
      <c r="I1360" s="673"/>
      <c r="J1360" s="652"/>
      <c r="K1360" s="667"/>
      <c r="L1360" s="667"/>
      <c r="M1360" s="652"/>
      <c r="N1360" s="652"/>
    </row>
    <row r="1361" spans="1:23" s="189" customFormat="1" ht="40.200000000000003" customHeight="1" x14ac:dyDescent="0.3">
      <c r="A1361" s="678" t="str">
        <f t="shared" ref="A1361" ca="1" si="5854">INDIRECT("'update Helper'!C"&amp;U1361)</f>
        <v>a163p000002zQfLAAU</v>
      </c>
      <c r="B1361" s="674">
        <v>19</v>
      </c>
      <c r="C1361" s="666" t="str">
        <f>VLOOKUP(B1361,'Coverage Indicators - Section D'!$A$9:$AU$70,47,FALSE)</f>
        <v>Pourcentage de PVVIH et population clés bénéfciant d'assistance juridique et/ou judiciaire</v>
      </c>
      <c r="D1361" s="676" t="str">
        <f t="shared" ref="D1361" si="5855">R1361</f>
        <v/>
      </c>
      <c r="E1361" s="676" t="str">
        <f t="shared" ref="E1361" si="5856">S1361</f>
        <v/>
      </c>
      <c r="F1361" s="194"/>
      <c r="G1361" s="668" t="str">
        <f t="shared" ref="G1361" ca="1" si="5857">IF(OR(INDIRECT("'update Helper'!E"&amp;U1361)=0,F1361&lt;&gt;0,F1362&lt;&gt;0),IF(IFERROR((F1361/F1362),"")="","",(F1361/F1362)),INDIRECT("'update Helper'!E"&amp;U1361)/100)</f>
        <v/>
      </c>
      <c r="H1361" s="670"/>
      <c r="I1361" s="672"/>
      <c r="J1361" s="651"/>
      <c r="K1361" s="666" t="str">
        <f t="shared" ref="K1361" si="5858">W1361</f>
        <v/>
      </c>
      <c r="L1361" s="666" t="str">
        <f t="shared" ref="L1361" si="5859">V1361</f>
        <v/>
      </c>
      <c r="M1361" s="651"/>
      <c r="N1361" s="651"/>
      <c r="P1361" s="189">
        <f t="shared" ref="P1361" si="5860">IF(AND(EXACT(C1361,C1359),C1359&lt;&gt;0),P1359+1,0)</f>
        <v>10</v>
      </c>
      <c r="Q1361" s="189" t="str">
        <f t="shared" ref="Q1361" si="5861">IF(C1361&lt;&gt;"",C1361&amp;"-"&amp;P1361,"")</f>
        <v>Pourcentage de PVVIH et population clés bénéfciant d'assistance juridique et/ou judiciaire-10</v>
      </c>
      <c r="R1361" s="189" t="str">
        <f t="array" ref="R1361">IFERROR(IF(INDEX('Disaggregation Records'!$E$155:$E$385,MATCH(RIGHT(Q1361,255),RIGHT('Disaggregation Records'!$D$155:$D$385,255),0))=0,"",INDEX('Disaggregation Records'!$E$155:$E$385,MATCH(RIGHT(Q1361,255),RIGHT('Disaggregation Records'!$D$155:$D$385,255),0))),"")</f>
        <v/>
      </c>
      <c r="S1361" s="189" t="str">
        <f t="array" ref="S1361">IFERROR(IF(INDEX('Disaggregation Records'!$F$155:$F$385,MATCH(RIGHT(Q1361,255),RIGHT('Disaggregation Records'!$D$155:$D$385,255),0))=0,"",INDEX('Disaggregation Records'!$F$155:$F$385,MATCH(RIGHT(Q1361,255),RIGHT('Disaggregation Records'!$D$155:$D$385,255),0))),"")</f>
        <v/>
      </c>
      <c r="T1361" s="189" t="str">
        <f t="array" ref="T1361">IFERROR(IF(INDEX('Disaggregation Records'!$H$155:$H$385,MATCH(RIGHT(Q1361,255),RIGHT('Disaggregation Records'!$D$155:$D$385,255),0))=0,"",INDEX('Disaggregation Records'!$H$155:$H$385,MATCH(RIGHT(Q1361,255),RIGHT('Disaggregation Records'!$D$155:$D$385,255),0))),"")</f>
        <v/>
      </c>
      <c r="U1361" s="189">
        <f t="shared" ref="U1361" si="5862">U1359+1</f>
        <v>1782</v>
      </c>
      <c r="V1361" s="189" t="str">
        <f t="array" ref="V1361">IFERROR(IF(INDEX('Disaggregation Records'!$I$155:$I$385,MATCH(RIGHT(Q1361,255),RIGHT('Disaggregation Records'!$D$155:$D$385,255),0))=0,"",INDEX('Disaggregation Records'!$I$155:$I$385,MATCH(RIGHT(Q1361,255),RIGHT('Disaggregation Records'!$D$155:$D$385,255),0))),"")</f>
        <v/>
      </c>
      <c r="W1361" s="189" t="str">
        <f>IFERROR(INDEX('Reference Records'!L$59:L$121,MATCH(LEFT(C1361,255),'Reference Records'!E$59:E$121,0)),"")</f>
        <v/>
      </c>
    </row>
    <row r="1362" spans="1:23" s="189" customFormat="1" ht="40.200000000000003" customHeight="1" x14ac:dyDescent="0.3">
      <c r="A1362" s="678"/>
      <c r="B1362" s="675"/>
      <c r="C1362" s="667"/>
      <c r="D1362" s="677"/>
      <c r="E1362" s="677"/>
      <c r="F1362" s="202"/>
      <c r="G1362" s="669"/>
      <c r="H1362" s="671"/>
      <c r="I1362" s="673"/>
      <c r="J1362" s="652"/>
      <c r="K1362" s="667"/>
      <c r="L1362" s="667"/>
      <c r="M1362" s="652"/>
      <c r="N1362" s="652"/>
    </row>
    <row r="1363" spans="1:23" s="189" customFormat="1" ht="40.200000000000003" customHeight="1" x14ac:dyDescent="0.3">
      <c r="A1363" s="678" t="str">
        <f t="shared" ref="A1363" ca="1" si="5863">INDIRECT("'update Helper'!C"&amp;U1363)</f>
        <v>a163p000002zQfMAAU</v>
      </c>
      <c r="B1363" s="674">
        <v>19</v>
      </c>
      <c r="C1363" s="666" t="str">
        <f>VLOOKUP(B1363,'Coverage Indicators - Section D'!$A$9:$AU$70,47,FALSE)</f>
        <v>Pourcentage de PVVIH et population clés bénéfciant d'assistance juridique et/ou judiciaire</v>
      </c>
      <c r="D1363" s="676" t="str">
        <f t="shared" ref="D1363" si="5864">R1363</f>
        <v/>
      </c>
      <c r="E1363" s="676" t="str">
        <f t="shared" ref="E1363" si="5865">S1363</f>
        <v/>
      </c>
      <c r="F1363" s="194"/>
      <c r="G1363" s="668" t="str">
        <f t="shared" ref="G1363" ca="1" si="5866">IF(OR(INDIRECT("'update Helper'!E"&amp;U1363)=0,F1363&lt;&gt;0,F1364&lt;&gt;0),IF(IFERROR((F1363/F1364),"")="","",(F1363/F1364)),INDIRECT("'update Helper'!E"&amp;U1363)/100)</f>
        <v/>
      </c>
      <c r="H1363" s="670"/>
      <c r="I1363" s="672"/>
      <c r="J1363" s="651"/>
      <c r="K1363" s="666" t="str">
        <f t="shared" ref="K1363" si="5867">W1363</f>
        <v/>
      </c>
      <c r="L1363" s="666" t="str">
        <f t="shared" ref="L1363" si="5868">V1363</f>
        <v/>
      </c>
      <c r="M1363" s="651"/>
      <c r="N1363" s="651"/>
      <c r="P1363" s="189">
        <f t="shared" ref="P1363" si="5869">IF(AND(EXACT(C1363,C1361),C1361&lt;&gt;0),P1361+1,0)</f>
        <v>11</v>
      </c>
      <c r="Q1363" s="189" t="str">
        <f t="shared" ref="Q1363" si="5870">IF(C1363&lt;&gt;"",C1363&amp;"-"&amp;P1363,"")</f>
        <v>Pourcentage de PVVIH et population clés bénéfciant d'assistance juridique et/ou judiciaire-11</v>
      </c>
      <c r="R1363" s="189" t="str">
        <f t="array" ref="R1363">IFERROR(IF(INDEX('Disaggregation Records'!$E$155:$E$385,MATCH(RIGHT(Q1363,255),RIGHT('Disaggregation Records'!$D$155:$D$385,255),0))=0,"",INDEX('Disaggregation Records'!$E$155:$E$385,MATCH(RIGHT(Q1363,255),RIGHT('Disaggregation Records'!$D$155:$D$385,255),0))),"")</f>
        <v/>
      </c>
      <c r="S1363" s="189" t="str">
        <f t="array" ref="S1363">IFERROR(IF(INDEX('Disaggregation Records'!$F$155:$F$385,MATCH(RIGHT(Q1363,255),RIGHT('Disaggregation Records'!$D$155:$D$385,255),0))=0,"",INDEX('Disaggregation Records'!$F$155:$F$385,MATCH(RIGHT(Q1363,255),RIGHT('Disaggregation Records'!$D$155:$D$385,255),0))),"")</f>
        <v/>
      </c>
      <c r="T1363" s="189" t="str">
        <f t="array" ref="T1363">IFERROR(IF(INDEX('Disaggregation Records'!$H$155:$H$385,MATCH(RIGHT(Q1363,255),RIGHT('Disaggregation Records'!$D$155:$D$385,255),0))=0,"",INDEX('Disaggregation Records'!$H$155:$H$385,MATCH(RIGHT(Q1363,255),RIGHT('Disaggregation Records'!$D$155:$D$385,255),0))),"")</f>
        <v/>
      </c>
      <c r="U1363" s="189">
        <f t="shared" ref="U1363" si="5871">U1361+1</f>
        <v>1783</v>
      </c>
      <c r="V1363" s="189" t="str">
        <f t="array" ref="V1363">IFERROR(IF(INDEX('Disaggregation Records'!$I$155:$I$385,MATCH(RIGHT(Q1363,255),RIGHT('Disaggregation Records'!$D$155:$D$385,255),0))=0,"",INDEX('Disaggregation Records'!$I$155:$I$385,MATCH(RIGHT(Q1363,255),RIGHT('Disaggregation Records'!$D$155:$D$385,255),0))),"")</f>
        <v/>
      </c>
      <c r="W1363" s="189" t="str">
        <f>IFERROR(INDEX('Reference Records'!L$59:L$121,MATCH(LEFT(C1363,255),'Reference Records'!E$59:E$121,0)),"")</f>
        <v/>
      </c>
    </row>
    <row r="1364" spans="1:23" s="189" customFormat="1" ht="40.200000000000003" customHeight="1" x14ac:dyDescent="0.3">
      <c r="A1364" s="678"/>
      <c r="B1364" s="675"/>
      <c r="C1364" s="667"/>
      <c r="D1364" s="677"/>
      <c r="E1364" s="677"/>
      <c r="F1364" s="202"/>
      <c r="G1364" s="669"/>
      <c r="H1364" s="671"/>
      <c r="I1364" s="673"/>
      <c r="J1364" s="652"/>
      <c r="K1364" s="667"/>
      <c r="L1364" s="667"/>
      <c r="M1364" s="652"/>
      <c r="N1364" s="652"/>
    </row>
    <row r="1365" spans="1:23" s="189" customFormat="1" ht="40.200000000000003" customHeight="1" x14ac:dyDescent="0.3">
      <c r="A1365" s="678" t="str">
        <f t="shared" ref="A1365" ca="1" si="5872">INDIRECT("'update Helper'!C"&amp;U1365)</f>
        <v>a163p000002zQfNAAU</v>
      </c>
      <c r="B1365" s="674">
        <v>19</v>
      </c>
      <c r="C1365" s="666" t="str">
        <f>VLOOKUP(B1365,'Coverage Indicators - Section D'!$A$9:$AU$70,47,FALSE)</f>
        <v>Pourcentage de PVVIH et population clés bénéfciant d'assistance juridique et/ou judiciaire</v>
      </c>
      <c r="D1365" s="676" t="str">
        <f t="shared" ref="D1365" si="5873">R1365</f>
        <v/>
      </c>
      <c r="E1365" s="676" t="str">
        <f t="shared" ref="E1365" si="5874">S1365</f>
        <v/>
      </c>
      <c r="F1365" s="194"/>
      <c r="G1365" s="668" t="str">
        <f t="shared" ref="G1365" ca="1" si="5875">IF(OR(INDIRECT("'update Helper'!E"&amp;U1365)=0,F1365&lt;&gt;0,F1366&lt;&gt;0),IF(IFERROR((F1365/F1366),"")="","",(F1365/F1366)),INDIRECT("'update Helper'!E"&amp;U1365)/100)</f>
        <v/>
      </c>
      <c r="H1365" s="670"/>
      <c r="I1365" s="672"/>
      <c r="J1365" s="651"/>
      <c r="K1365" s="666" t="str">
        <f t="shared" ref="K1365" si="5876">W1365</f>
        <v/>
      </c>
      <c r="L1365" s="666" t="str">
        <f t="shared" ref="L1365" si="5877">V1365</f>
        <v/>
      </c>
      <c r="M1365" s="651"/>
      <c r="N1365" s="651"/>
      <c r="P1365" s="189">
        <f t="shared" ref="P1365" si="5878">IF(AND(EXACT(C1365,C1363),C1363&lt;&gt;0),P1363+1,0)</f>
        <v>12</v>
      </c>
      <c r="Q1365" s="189" t="str">
        <f t="shared" ref="Q1365" si="5879">IF(C1365&lt;&gt;"",C1365&amp;"-"&amp;P1365,"")</f>
        <v>Pourcentage de PVVIH et population clés bénéfciant d'assistance juridique et/ou judiciaire-12</v>
      </c>
      <c r="R1365" s="189" t="str">
        <f t="array" ref="R1365">IFERROR(IF(INDEX('Disaggregation Records'!$E$155:$E$385,MATCH(RIGHT(Q1365,255),RIGHT('Disaggregation Records'!$D$155:$D$385,255),0))=0,"",INDEX('Disaggregation Records'!$E$155:$E$385,MATCH(RIGHT(Q1365,255),RIGHT('Disaggregation Records'!$D$155:$D$385,255),0))),"")</f>
        <v/>
      </c>
      <c r="S1365" s="189" t="str">
        <f t="array" ref="S1365">IFERROR(IF(INDEX('Disaggregation Records'!$F$155:$F$385,MATCH(RIGHT(Q1365,255),RIGHT('Disaggregation Records'!$D$155:$D$385,255),0))=0,"",INDEX('Disaggregation Records'!$F$155:$F$385,MATCH(RIGHT(Q1365,255),RIGHT('Disaggregation Records'!$D$155:$D$385,255),0))),"")</f>
        <v/>
      </c>
      <c r="T1365" s="189" t="str">
        <f t="array" ref="T1365">IFERROR(IF(INDEX('Disaggregation Records'!$H$155:$H$385,MATCH(RIGHT(Q1365,255),RIGHT('Disaggregation Records'!$D$155:$D$385,255),0))=0,"",INDEX('Disaggregation Records'!$H$155:$H$385,MATCH(RIGHT(Q1365,255),RIGHT('Disaggregation Records'!$D$155:$D$385,255),0))),"")</f>
        <v/>
      </c>
      <c r="U1365" s="189">
        <f t="shared" ref="U1365" si="5880">U1363+1</f>
        <v>1784</v>
      </c>
      <c r="V1365" s="189" t="str">
        <f t="array" ref="V1365">IFERROR(IF(INDEX('Disaggregation Records'!$I$155:$I$385,MATCH(RIGHT(Q1365,255),RIGHT('Disaggregation Records'!$D$155:$D$385,255),0))=0,"",INDEX('Disaggregation Records'!$I$155:$I$385,MATCH(RIGHT(Q1365,255),RIGHT('Disaggregation Records'!$D$155:$D$385,255),0))),"")</f>
        <v/>
      </c>
      <c r="W1365" s="189" t="str">
        <f>IFERROR(INDEX('Reference Records'!L$59:L$121,MATCH(LEFT(C1365,255),'Reference Records'!E$59:E$121,0)),"")</f>
        <v/>
      </c>
    </row>
    <row r="1366" spans="1:23" s="189" customFormat="1" ht="40.200000000000003" customHeight="1" x14ac:dyDescent="0.3">
      <c r="A1366" s="678"/>
      <c r="B1366" s="675"/>
      <c r="C1366" s="667"/>
      <c r="D1366" s="677"/>
      <c r="E1366" s="677"/>
      <c r="F1366" s="202"/>
      <c r="G1366" s="669"/>
      <c r="H1366" s="671"/>
      <c r="I1366" s="673"/>
      <c r="J1366" s="652"/>
      <c r="K1366" s="667"/>
      <c r="L1366" s="667"/>
      <c r="M1366" s="652"/>
      <c r="N1366" s="652"/>
    </row>
    <row r="1367" spans="1:23" s="189" customFormat="1" ht="40.200000000000003" customHeight="1" x14ac:dyDescent="0.3">
      <c r="A1367" s="678" t="str">
        <f t="shared" ref="A1367" ca="1" si="5881">INDIRECT("'update Helper'!C"&amp;U1367)</f>
        <v>a163p000002zQfOAAU</v>
      </c>
      <c r="B1367" s="674">
        <v>19</v>
      </c>
      <c r="C1367" s="666" t="str">
        <f>VLOOKUP(B1367,'Coverage Indicators - Section D'!$A$9:$AU$70,47,FALSE)</f>
        <v>Pourcentage de PVVIH et population clés bénéfciant d'assistance juridique et/ou judiciaire</v>
      </c>
      <c r="D1367" s="676" t="str">
        <f t="shared" ref="D1367" si="5882">R1367</f>
        <v/>
      </c>
      <c r="E1367" s="676" t="str">
        <f t="shared" ref="E1367" si="5883">S1367</f>
        <v/>
      </c>
      <c r="F1367" s="194"/>
      <c r="G1367" s="668" t="str">
        <f t="shared" ref="G1367" ca="1" si="5884">IF(OR(INDIRECT("'update Helper'!E"&amp;U1367)=0,F1367&lt;&gt;0,F1368&lt;&gt;0),IF(IFERROR((F1367/F1368),"")="","",(F1367/F1368)),INDIRECT("'update Helper'!E"&amp;U1367)/100)</f>
        <v/>
      </c>
      <c r="H1367" s="670"/>
      <c r="I1367" s="672"/>
      <c r="J1367" s="651"/>
      <c r="K1367" s="666" t="str">
        <f t="shared" ref="K1367" si="5885">W1367</f>
        <v/>
      </c>
      <c r="L1367" s="666" t="str">
        <f t="shared" ref="L1367" si="5886">V1367</f>
        <v/>
      </c>
      <c r="M1367" s="651"/>
      <c r="N1367" s="651"/>
      <c r="P1367" s="189">
        <f t="shared" ref="P1367" si="5887">IF(AND(EXACT(C1367,C1365),C1365&lt;&gt;0),P1365+1,0)</f>
        <v>13</v>
      </c>
      <c r="Q1367" s="189" t="str">
        <f t="shared" ref="Q1367" si="5888">IF(C1367&lt;&gt;"",C1367&amp;"-"&amp;P1367,"")</f>
        <v>Pourcentage de PVVIH et population clés bénéfciant d'assistance juridique et/ou judiciaire-13</v>
      </c>
      <c r="R1367" s="189" t="str">
        <f t="array" ref="R1367">IFERROR(IF(INDEX('Disaggregation Records'!$E$155:$E$385,MATCH(RIGHT(Q1367,255),RIGHT('Disaggregation Records'!$D$155:$D$385,255),0))=0,"",INDEX('Disaggregation Records'!$E$155:$E$385,MATCH(RIGHT(Q1367,255),RIGHT('Disaggregation Records'!$D$155:$D$385,255),0))),"")</f>
        <v/>
      </c>
      <c r="S1367" s="189" t="str">
        <f t="array" ref="S1367">IFERROR(IF(INDEX('Disaggregation Records'!$F$155:$F$385,MATCH(RIGHT(Q1367,255),RIGHT('Disaggregation Records'!$D$155:$D$385,255),0))=0,"",INDEX('Disaggregation Records'!$F$155:$F$385,MATCH(RIGHT(Q1367,255),RIGHT('Disaggregation Records'!$D$155:$D$385,255),0))),"")</f>
        <v/>
      </c>
      <c r="T1367" s="189" t="str">
        <f t="array" ref="T1367">IFERROR(IF(INDEX('Disaggregation Records'!$H$155:$H$385,MATCH(RIGHT(Q1367,255),RIGHT('Disaggregation Records'!$D$155:$D$385,255),0))=0,"",INDEX('Disaggregation Records'!$H$155:$H$385,MATCH(RIGHT(Q1367,255),RIGHT('Disaggregation Records'!$D$155:$D$385,255),0))),"")</f>
        <v/>
      </c>
      <c r="U1367" s="189">
        <f t="shared" ref="U1367" si="5889">U1365+1</f>
        <v>1785</v>
      </c>
      <c r="V1367" s="189" t="str">
        <f t="array" ref="V1367">IFERROR(IF(INDEX('Disaggregation Records'!$I$155:$I$385,MATCH(RIGHT(Q1367,255),RIGHT('Disaggregation Records'!$D$155:$D$385,255),0))=0,"",INDEX('Disaggregation Records'!$I$155:$I$385,MATCH(RIGHT(Q1367,255),RIGHT('Disaggregation Records'!$D$155:$D$385,255),0))),"")</f>
        <v/>
      </c>
      <c r="W1367" s="189" t="str">
        <f>IFERROR(INDEX('Reference Records'!L$59:L$121,MATCH(LEFT(C1367,255),'Reference Records'!E$59:E$121,0)),"")</f>
        <v/>
      </c>
    </row>
    <row r="1368" spans="1:23" s="189" customFormat="1" ht="40.200000000000003" customHeight="1" x14ac:dyDescent="0.3">
      <c r="A1368" s="678"/>
      <c r="B1368" s="675"/>
      <c r="C1368" s="667"/>
      <c r="D1368" s="677"/>
      <c r="E1368" s="677"/>
      <c r="F1368" s="202"/>
      <c r="G1368" s="669"/>
      <c r="H1368" s="671"/>
      <c r="I1368" s="673"/>
      <c r="J1368" s="652"/>
      <c r="K1368" s="667"/>
      <c r="L1368" s="667"/>
      <c r="M1368" s="652"/>
      <c r="N1368" s="652"/>
    </row>
    <row r="1369" spans="1:23" s="189" customFormat="1" ht="40.200000000000003" customHeight="1" x14ac:dyDescent="0.3">
      <c r="A1369" s="678" t="str">
        <f t="shared" ref="A1369" ca="1" si="5890">INDIRECT("'update Helper'!C"&amp;U1369)</f>
        <v>a163p000002zQfPAAU</v>
      </c>
      <c r="B1369" s="674">
        <v>19</v>
      </c>
      <c r="C1369" s="666" t="str">
        <f>VLOOKUP(B1369,'Coverage Indicators - Section D'!$A$9:$AU$70,47,FALSE)</f>
        <v>Pourcentage de PVVIH et population clés bénéfciant d'assistance juridique et/ou judiciaire</v>
      </c>
      <c r="D1369" s="676" t="str">
        <f t="shared" ref="D1369" si="5891">R1369</f>
        <v/>
      </c>
      <c r="E1369" s="676" t="str">
        <f t="shared" ref="E1369" si="5892">S1369</f>
        <v/>
      </c>
      <c r="F1369" s="194"/>
      <c r="G1369" s="668" t="str">
        <f t="shared" ref="G1369" ca="1" si="5893">IF(OR(INDIRECT("'update Helper'!E"&amp;U1369)=0,F1369&lt;&gt;0,F1370&lt;&gt;0),IF(IFERROR((F1369/F1370),"")="","",(F1369/F1370)),INDIRECT("'update Helper'!E"&amp;U1369)/100)</f>
        <v/>
      </c>
      <c r="H1369" s="670"/>
      <c r="I1369" s="672"/>
      <c r="J1369" s="651"/>
      <c r="K1369" s="666" t="str">
        <f t="shared" ref="K1369" si="5894">W1369</f>
        <v/>
      </c>
      <c r="L1369" s="666" t="str">
        <f t="shared" ref="L1369" si="5895">V1369</f>
        <v/>
      </c>
      <c r="M1369" s="651"/>
      <c r="N1369" s="651"/>
      <c r="P1369" s="189">
        <f t="shared" ref="P1369" si="5896">IF(AND(EXACT(C1369,C1367),C1367&lt;&gt;0),P1367+1,0)</f>
        <v>14</v>
      </c>
      <c r="Q1369" s="189" t="str">
        <f t="shared" ref="Q1369" si="5897">IF(C1369&lt;&gt;"",C1369&amp;"-"&amp;P1369,"")</f>
        <v>Pourcentage de PVVIH et population clés bénéfciant d'assistance juridique et/ou judiciaire-14</v>
      </c>
      <c r="R1369" s="189" t="str">
        <f t="array" ref="R1369">IFERROR(IF(INDEX('Disaggregation Records'!$E$155:$E$385,MATCH(RIGHT(Q1369,255),RIGHT('Disaggregation Records'!$D$155:$D$385,255),0))=0,"",INDEX('Disaggregation Records'!$E$155:$E$385,MATCH(RIGHT(Q1369,255),RIGHT('Disaggregation Records'!$D$155:$D$385,255),0))),"")</f>
        <v/>
      </c>
      <c r="S1369" s="189" t="str">
        <f t="array" ref="S1369">IFERROR(IF(INDEX('Disaggregation Records'!$F$155:$F$385,MATCH(RIGHT(Q1369,255),RIGHT('Disaggregation Records'!$D$155:$D$385,255),0))=0,"",INDEX('Disaggregation Records'!$F$155:$F$385,MATCH(RIGHT(Q1369,255),RIGHT('Disaggregation Records'!$D$155:$D$385,255),0))),"")</f>
        <v/>
      </c>
      <c r="T1369" s="189" t="str">
        <f t="array" ref="T1369">IFERROR(IF(INDEX('Disaggregation Records'!$H$155:$H$385,MATCH(RIGHT(Q1369,255),RIGHT('Disaggregation Records'!$D$155:$D$385,255),0))=0,"",INDEX('Disaggregation Records'!$H$155:$H$385,MATCH(RIGHT(Q1369,255),RIGHT('Disaggregation Records'!$D$155:$D$385,255),0))),"")</f>
        <v/>
      </c>
      <c r="U1369" s="189">
        <f t="shared" ref="U1369" si="5898">U1367+1</f>
        <v>1786</v>
      </c>
      <c r="V1369" s="189" t="str">
        <f t="array" ref="V1369">IFERROR(IF(INDEX('Disaggregation Records'!$I$155:$I$385,MATCH(RIGHT(Q1369,255),RIGHT('Disaggregation Records'!$D$155:$D$385,255),0))=0,"",INDEX('Disaggregation Records'!$I$155:$I$385,MATCH(RIGHT(Q1369,255),RIGHT('Disaggregation Records'!$D$155:$D$385,255),0))),"")</f>
        <v/>
      </c>
      <c r="W1369" s="189" t="str">
        <f>IFERROR(INDEX('Reference Records'!L$59:L$121,MATCH(LEFT(C1369,255),'Reference Records'!E$59:E$121,0)),"")</f>
        <v/>
      </c>
    </row>
    <row r="1370" spans="1:23" s="189" customFormat="1" ht="40.200000000000003" customHeight="1" x14ac:dyDescent="0.3">
      <c r="A1370" s="678"/>
      <c r="B1370" s="675"/>
      <c r="C1370" s="667"/>
      <c r="D1370" s="677"/>
      <c r="E1370" s="677"/>
      <c r="F1370" s="202"/>
      <c r="G1370" s="669"/>
      <c r="H1370" s="671"/>
      <c r="I1370" s="673"/>
      <c r="J1370" s="652"/>
      <c r="K1370" s="667"/>
      <c r="L1370" s="667"/>
      <c r="M1370" s="652"/>
      <c r="N1370" s="652"/>
    </row>
    <row r="1371" spans="1:23" s="189" customFormat="1" ht="40.200000000000003" customHeight="1" x14ac:dyDescent="0.3">
      <c r="A1371" s="678" t="str">
        <f t="shared" ref="A1371" ca="1" si="5899">INDIRECT("'update Helper'!C"&amp;U1371)</f>
        <v>a163p000002zQfQAAU</v>
      </c>
      <c r="B1371" s="674">
        <v>19</v>
      </c>
      <c r="C1371" s="666" t="str">
        <f>VLOOKUP(B1371,'Coverage Indicators - Section D'!$A$9:$AU$70,47,FALSE)</f>
        <v>Pourcentage de PVVIH et population clés bénéfciant d'assistance juridique et/ou judiciaire</v>
      </c>
      <c r="D1371" s="676" t="str">
        <f t="shared" ref="D1371" si="5900">R1371</f>
        <v/>
      </c>
      <c r="E1371" s="676" t="str">
        <f t="shared" ref="E1371" si="5901">S1371</f>
        <v/>
      </c>
      <c r="F1371" s="194"/>
      <c r="G1371" s="668" t="str">
        <f t="shared" ref="G1371" ca="1" si="5902">IF(OR(INDIRECT("'update Helper'!E"&amp;U1371)=0,F1371&lt;&gt;0,F1372&lt;&gt;0),IF(IFERROR((F1371/F1372),"")="","",(F1371/F1372)),INDIRECT("'update Helper'!E"&amp;U1371)/100)</f>
        <v/>
      </c>
      <c r="H1371" s="670"/>
      <c r="I1371" s="672"/>
      <c r="J1371" s="651"/>
      <c r="K1371" s="666" t="str">
        <f t="shared" ref="K1371" si="5903">W1371</f>
        <v/>
      </c>
      <c r="L1371" s="666" t="str">
        <f t="shared" ref="L1371" si="5904">V1371</f>
        <v/>
      </c>
      <c r="M1371" s="651"/>
      <c r="N1371" s="651"/>
      <c r="P1371" s="189">
        <f t="shared" ref="P1371" si="5905">IF(AND(EXACT(C1371,C1369),C1369&lt;&gt;0),P1369+1,0)</f>
        <v>15</v>
      </c>
      <c r="Q1371" s="189" t="str">
        <f t="shared" ref="Q1371" si="5906">IF(C1371&lt;&gt;"",C1371&amp;"-"&amp;P1371,"")</f>
        <v>Pourcentage de PVVIH et population clés bénéfciant d'assistance juridique et/ou judiciaire-15</v>
      </c>
      <c r="R1371" s="189" t="str">
        <f t="array" ref="R1371">IFERROR(IF(INDEX('Disaggregation Records'!$E$155:$E$385,MATCH(RIGHT(Q1371,255),RIGHT('Disaggregation Records'!$D$155:$D$385,255),0))=0,"",INDEX('Disaggregation Records'!$E$155:$E$385,MATCH(RIGHT(Q1371,255),RIGHT('Disaggregation Records'!$D$155:$D$385,255),0))),"")</f>
        <v/>
      </c>
      <c r="S1371" s="189" t="str">
        <f t="array" ref="S1371">IFERROR(IF(INDEX('Disaggregation Records'!$F$155:$F$385,MATCH(RIGHT(Q1371,255),RIGHT('Disaggregation Records'!$D$155:$D$385,255),0))=0,"",INDEX('Disaggregation Records'!$F$155:$F$385,MATCH(RIGHT(Q1371,255),RIGHT('Disaggregation Records'!$D$155:$D$385,255),0))),"")</f>
        <v/>
      </c>
      <c r="T1371" s="189" t="str">
        <f t="array" ref="T1371">IFERROR(IF(INDEX('Disaggregation Records'!$H$155:$H$385,MATCH(RIGHT(Q1371,255),RIGHT('Disaggregation Records'!$D$155:$D$385,255),0))=0,"",INDEX('Disaggregation Records'!$H$155:$H$385,MATCH(RIGHT(Q1371,255),RIGHT('Disaggregation Records'!$D$155:$D$385,255),0))),"")</f>
        <v/>
      </c>
      <c r="U1371" s="189">
        <f t="shared" ref="U1371" si="5907">U1369+1</f>
        <v>1787</v>
      </c>
      <c r="V1371" s="189" t="str">
        <f t="array" ref="V1371">IFERROR(IF(INDEX('Disaggregation Records'!$I$155:$I$385,MATCH(RIGHT(Q1371,255),RIGHT('Disaggregation Records'!$D$155:$D$385,255),0))=0,"",INDEX('Disaggregation Records'!$I$155:$I$385,MATCH(RIGHT(Q1371,255),RIGHT('Disaggregation Records'!$D$155:$D$385,255),0))),"")</f>
        <v/>
      </c>
      <c r="W1371" s="189" t="str">
        <f>IFERROR(INDEX('Reference Records'!L$59:L$121,MATCH(LEFT(C1371,255),'Reference Records'!E$59:E$121,0)),"")</f>
        <v/>
      </c>
    </row>
    <row r="1372" spans="1:23" s="189" customFormat="1" ht="40.200000000000003" customHeight="1" x14ac:dyDescent="0.3">
      <c r="A1372" s="678"/>
      <c r="B1372" s="675"/>
      <c r="C1372" s="667"/>
      <c r="D1372" s="677"/>
      <c r="E1372" s="677"/>
      <c r="F1372" s="202"/>
      <c r="G1372" s="669"/>
      <c r="H1372" s="671"/>
      <c r="I1372" s="673"/>
      <c r="J1372" s="652"/>
      <c r="K1372" s="667"/>
      <c r="L1372" s="667"/>
      <c r="M1372" s="652"/>
      <c r="N1372" s="652"/>
    </row>
    <row r="1373" spans="1:23" s="189" customFormat="1" ht="40.200000000000003" customHeight="1" x14ac:dyDescent="0.3">
      <c r="A1373" s="678" t="str">
        <f t="shared" ref="A1373" ca="1" si="5908">INDIRECT("'update Helper'!C"&amp;U1373)</f>
        <v>a163p000002zQfRAAU</v>
      </c>
      <c r="B1373" s="674">
        <v>19</v>
      </c>
      <c r="C1373" s="666" t="str">
        <f>VLOOKUP(B1373,'Coverage Indicators - Section D'!$A$9:$AU$70,47,FALSE)</f>
        <v>Pourcentage de PVVIH et population clés bénéfciant d'assistance juridique et/ou judiciaire</v>
      </c>
      <c r="D1373" s="676" t="str">
        <f t="shared" ref="D1373" si="5909">R1373</f>
        <v/>
      </c>
      <c r="E1373" s="676" t="str">
        <f t="shared" ref="E1373" si="5910">S1373</f>
        <v/>
      </c>
      <c r="F1373" s="194"/>
      <c r="G1373" s="668" t="str">
        <f t="shared" ref="G1373" ca="1" si="5911">IF(OR(INDIRECT("'update Helper'!E"&amp;U1373)=0,F1373&lt;&gt;0,F1374&lt;&gt;0),IF(IFERROR((F1373/F1374),"")="","",(F1373/F1374)),INDIRECT("'update Helper'!E"&amp;U1373)/100)</f>
        <v/>
      </c>
      <c r="H1373" s="670"/>
      <c r="I1373" s="672"/>
      <c r="J1373" s="651"/>
      <c r="K1373" s="666" t="str">
        <f t="shared" ref="K1373" si="5912">W1373</f>
        <v/>
      </c>
      <c r="L1373" s="666" t="str">
        <f t="shared" ref="L1373" si="5913">V1373</f>
        <v/>
      </c>
      <c r="M1373" s="651"/>
      <c r="N1373" s="651"/>
      <c r="P1373" s="189">
        <f t="shared" ref="P1373" si="5914">IF(AND(EXACT(C1373,C1371),C1371&lt;&gt;0),P1371+1,0)</f>
        <v>16</v>
      </c>
      <c r="Q1373" s="189" t="str">
        <f t="shared" ref="Q1373" si="5915">IF(C1373&lt;&gt;"",C1373&amp;"-"&amp;P1373,"")</f>
        <v>Pourcentage de PVVIH et population clés bénéfciant d'assistance juridique et/ou judiciaire-16</v>
      </c>
      <c r="R1373" s="189" t="str">
        <f t="array" ref="R1373">IFERROR(IF(INDEX('Disaggregation Records'!$E$155:$E$385,MATCH(RIGHT(Q1373,255),RIGHT('Disaggregation Records'!$D$155:$D$385,255),0))=0,"",INDEX('Disaggregation Records'!$E$155:$E$385,MATCH(RIGHT(Q1373,255),RIGHT('Disaggregation Records'!$D$155:$D$385,255),0))),"")</f>
        <v/>
      </c>
      <c r="S1373" s="189" t="str">
        <f t="array" ref="S1373">IFERROR(IF(INDEX('Disaggregation Records'!$F$155:$F$385,MATCH(RIGHT(Q1373,255),RIGHT('Disaggregation Records'!$D$155:$D$385,255),0))=0,"",INDEX('Disaggregation Records'!$F$155:$F$385,MATCH(RIGHT(Q1373,255),RIGHT('Disaggregation Records'!$D$155:$D$385,255),0))),"")</f>
        <v/>
      </c>
      <c r="T1373" s="189" t="str">
        <f t="array" ref="T1373">IFERROR(IF(INDEX('Disaggregation Records'!$H$155:$H$385,MATCH(RIGHT(Q1373,255),RIGHT('Disaggregation Records'!$D$155:$D$385,255),0))=0,"",INDEX('Disaggregation Records'!$H$155:$H$385,MATCH(RIGHT(Q1373,255),RIGHT('Disaggregation Records'!$D$155:$D$385,255),0))),"")</f>
        <v/>
      </c>
      <c r="U1373" s="189">
        <f t="shared" ref="U1373" si="5916">U1371+1</f>
        <v>1788</v>
      </c>
      <c r="V1373" s="189" t="str">
        <f t="array" ref="V1373">IFERROR(IF(INDEX('Disaggregation Records'!$I$155:$I$385,MATCH(RIGHT(Q1373,255),RIGHT('Disaggregation Records'!$D$155:$D$385,255),0))=0,"",INDEX('Disaggregation Records'!$I$155:$I$385,MATCH(RIGHT(Q1373,255),RIGHT('Disaggregation Records'!$D$155:$D$385,255),0))),"")</f>
        <v/>
      </c>
      <c r="W1373" s="189" t="str">
        <f>IFERROR(INDEX('Reference Records'!L$59:L$121,MATCH(LEFT(C1373,255),'Reference Records'!E$59:E$121,0)),"")</f>
        <v/>
      </c>
    </row>
    <row r="1374" spans="1:23" s="189" customFormat="1" ht="40.200000000000003" customHeight="1" x14ac:dyDescent="0.3">
      <c r="A1374" s="678"/>
      <c r="B1374" s="675"/>
      <c r="C1374" s="667"/>
      <c r="D1374" s="677"/>
      <c r="E1374" s="677"/>
      <c r="F1374" s="202"/>
      <c r="G1374" s="669"/>
      <c r="H1374" s="671"/>
      <c r="I1374" s="673"/>
      <c r="J1374" s="652"/>
      <c r="K1374" s="667"/>
      <c r="L1374" s="667"/>
      <c r="M1374" s="652"/>
      <c r="N1374" s="652"/>
    </row>
    <row r="1375" spans="1:23" s="189" customFormat="1" ht="40.200000000000003" customHeight="1" x14ac:dyDescent="0.3">
      <c r="A1375" s="678" t="str">
        <f t="shared" ref="A1375" ca="1" si="5917">INDIRECT("'update Helper'!C"&amp;U1375)</f>
        <v>a163p000002zQfSAAU</v>
      </c>
      <c r="B1375" s="674">
        <v>19</v>
      </c>
      <c r="C1375" s="666" t="str">
        <f>VLOOKUP(B1375,'Coverage Indicators - Section D'!$A$9:$AU$70,47,FALSE)</f>
        <v>Pourcentage de PVVIH et population clés bénéfciant d'assistance juridique et/ou judiciaire</v>
      </c>
      <c r="D1375" s="676" t="str">
        <f t="shared" ref="D1375" si="5918">R1375</f>
        <v/>
      </c>
      <c r="E1375" s="676" t="str">
        <f t="shared" ref="E1375" si="5919">S1375</f>
        <v/>
      </c>
      <c r="F1375" s="194"/>
      <c r="G1375" s="668" t="str">
        <f t="shared" ref="G1375" ca="1" si="5920">IF(OR(INDIRECT("'update Helper'!E"&amp;U1375)=0,F1375&lt;&gt;0,F1376&lt;&gt;0),IF(IFERROR((F1375/F1376),"")="","",(F1375/F1376)),INDIRECT("'update Helper'!E"&amp;U1375)/100)</f>
        <v/>
      </c>
      <c r="H1375" s="670"/>
      <c r="I1375" s="672"/>
      <c r="J1375" s="651"/>
      <c r="K1375" s="666" t="str">
        <f t="shared" ref="K1375" si="5921">W1375</f>
        <v/>
      </c>
      <c r="L1375" s="666" t="str">
        <f t="shared" ref="L1375" si="5922">V1375</f>
        <v/>
      </c>
      <c r="M1375" s="651"/>
      <c r="N1375" s="651"/>
      <c r="P1375" s="189">
        <f t="shared" ref="P1375" si="5923">IF(AND(EXACT(C1375,C1373),C1373&lt;&gt;0),P1373+1,0)</f>
        <v>17</v>
      </c>
      <c r="Q1375" s="189" t="str">
        <f t="shared" ref="Q1375" si="5924">IF(C1375&lt;&gt;"",C1375&amp;"-"&amp;P1375,"")</f>
        <v>Pourcentage de PVVIH et population clés bénéfciant d'assistance juridique et/ou judiciaire-17</v>
      </c>
      <c r="R1375" s="189" t="str">
        <f t="array" ref="R1375">IFERROR(IF(INDEX('Disaggregation Records'!$E$155:$E$385,MATCH(RIGHT(Q1375,255),RIGHT('Disaggregation Records'!$D$155:$D$385,255),0))=0,"",INDEX('Disaggregation Records'!$E$155:$E$385,MATCH(RIGHT(Q1375,255),RIGHT('Disaggregation Records'!$D$155:$D$385,255),0))),"")</f>
        <v/>
      </c>
      <c r="S1375" s="189" t="str">
        <f t="array" ref="S1375">IFERROR(IF(INDEX('Disaggregation Records'!$F$155:$F$385,MATCH(RIGHT(Q1375,255),RIGHT('Disaggregation Records'!$D$155:$D$385,255),0))=0,"",INDEX('Disaggregation Records'!$F$155:$F$385,MATCH(RIGHT(Q1375,255),RIGHT('Disaggregation Records'!$D$155:$D$385,255),0))),"")</f>
        <v/>
      </c>
      <c r="T1375" s="189" t="str">
        <f t="array" ref="T1375">IFERROR(IF(INDEX('Disaggregation Records'!$H$155:$H$385,MATCH(RIGHT(Q1375,255),RIGHT('Disaggregation Records'!$D$155:$D$385,255),0))=0,"",INDEX('Disaggregation Records'!$H$155:$H$385,MATCH(RIGHT(Q1375,255),RIGHT('Disaggregation Records'!$D$155:$D$385,255),0))),"")</f>
        <v/>
      </c>
      <c r="U1375" s="189">
        <f t="shared" ref="U1375" si="5925">U1373+1</f>
        <v>1789</v>
      </c>
      <c r="V1375" s="189" t="str">
        <f t="array" ref="V1375">IFERROR(IF(INDEX('Disaggregation Records'!$I$155:$I$385,MATCH(RIGHT(Q1375,255),RIGHT('Disaggregation Records'!$D$155:$D$385,255),0))=0,"",INDEX('Disaggregation Records'!$I$155:$I$385,MATCH(RIGHT(Q1375,255),RIGHT('Disaggregation Records'!$D$155:$D$385,255),0))),"")</f>
        <v/>
      </c>
      <c r="W1375" s="189" t="str">
        <f>IFERROR(INDEX('Reference Records'!L$59:L$121,MATCH(LEFT(C1375,255),'Reference Records'!E$59:E$121,0)),"")</f>
        <v/>
      </c>
    </row>
    <row r="1376" spans="1:23" s="189" customFormat="1" ht="40.200000000000003" customHeight="1" x14ac:dyDescent="0.3">
      <c r="A1376" s="678"/>
      <c r="B1376" s="675"/>
      <c r="C1376" s="667"/>
      <c r="D1376" s="677"/>
      <c r="E1376" s="677"/>
      <c r="F1376" s="202"/>
      <c r="G1376" s="669"/>
      <c r="H1376" s="671"/>
      <c r="I1376" s="673"/>
      <c r="J1376" s="652"/>
      <c r="K1376" s="667"/>
      <c r="L1376" s="667"/>
      <c r="M1376" s="652"/>
      <c r="N1376" s="652"/>
    </row>
    <row r="1377" spans="1:23" s="189" customFormat="1" ht="40.200000000000003" customHeight="1" x14ac:dyDescent="0.3">
      <c r="A1377" s="678" t="str">
        <f t="shared" ref="A1377" ca="1" si="5926">INDIRECT("'update Helper'!C"&amp;U1377)</f>
        <v>a163p000002zQfTAAU</v>
      </c>
      <c r="B1377" s="674">
        <v>19</v>
      </c>
      <c r="C1377" s="666" t="str">
        <f>VLOOKUP(B1377,'Coverage Indicators - Section D'!$A$9:$AU$70,47,FALSE)</f>
        <v>Pourcentage de PVVIH et population clés bénéfciant d'assistance juridique et/ou judiciaire</v>
      </c>
      <c r="D1377" s="676" t="str">
        <f t="shared" ref="D1377" si="5927">R1377</f>
        <v/>
      </c>
      <c r="E1377" s="676" t="str">
        <f t="shared" ref="E1377" si="5928">S1377</f>
        <v/>
      </c>
      <c r="F1377" s="194"/>
      <c r="G1377" s="668" t="str">
        <f t="shared" ref="G1377" ca="1" si="5929">IF(OR(INDIRECT("'update Helper'!E"&amp;U1377)=0,F1377&lt;&gt;0,F1378&lt;&gt;0),IF(IFERROR((F1377/F1378),"")="","",(F1377/F1378)),INDIRECT("'update Helper'!E"&amp;U1377)/100)</f>
        <v/>
      </c>
      <c r="H1377" s="670"/>
      <c r="I1377" s="672"/>
      <c r="J1377" s="651"/>
      <c r="K1377" s="666" t="str">
        <f t="shared" ref="K1377" si="5930">W1377</f>
        <v/>
      </c>
      <c r="L1377" s="666" t="str">
        <f t="shared" ref="L1377" si="5931">V1377</f>
        <v/>
      </c>
      <c r="M1377" s="651"/>
      <c r="N1377" s="651"/>
      <c r="P1377" s="189">
        <f t="shared" ref="P1377" si="5932">IF(AND(EXACT(C1377,C1375),C1375&lt;&gt;0),P1375+1,0)</f>
        <v>18</v>
      </c>
      <c r="Q1377" s="189" t="str">
        <f t="shared" ref="Q1377" si="5933">IF(C1377&lt;&gt;"",C1377&amp;"-"&amp;P1377,"")</f>
        <v>Pourcentage de PVVIH et population clés bénéfciant d'assistance juridique et/ou judiciaire-18</v>
      </c>
      <c r="R1377" s="189" t="str">
        <f t="array" ref="R1377">IFERROR(IF(INDEX('Disaggregation Records'!$E$155:$E$385,MATCH(RIGHT(Q1377,255),RIGHT('Disaggregation Records'!$D$155:$D$385,255),0))=0,"",INDEX('Disaggregation Records'!$E$155:$E$385,MATCH(RIGHT(Q1377,255),RIGHT('Disaggregation Records'!$D$155:$D$385,255),0))),"")</f>
        <v/>
      </c>
      <c r="S1377" s="189" t="str">
        <f t="array" ref="S1377">IFERROR(IF(INDEX('Disaggregation Records'!$F$155:$F$385,MATCH(RIGHT(Q1377,255),RIGHT('Disaggregation Records'!$D$155:$D$385,255),0))=0,"",INDEX('Disaggregation Records'!$F$155:$F$385,MATCH(RIGHT(Q1377,255),RIGHT('Disaggregation Records'!$D$155:$D$385,255),0))),"")</f>
        <v/>
      </c>
      <c r="T1377" s="189" t="str">
        <f t="array" ref="T1377">IFERROR(IF(INDEX('Disaggregation Records'!$H$155:$H$385,MATCH(RIGHT(Q1377,255),RIGHT('Disaggregation Records'!$D$155:$D$385,255),0))=0,"",INDEX('Disaggregation Records'!$H$155:$H$385,MATCH(RIGHT(Q1377,255),RIGHT('Disaggregation Records'!$D$155:$D$385,255),0))),"")</f>
        <v/>
      </c>
      <c r="U1377" s="189">
        <f t="shared" ref="U1377" si="5934">U1375+1</f>
        <v>1790</v>
      </c>
      <c r="V1377" s="189" t="str">
        <f t="array" ref="V1377">IFERROR(IF(INDEX('Disaggregation Records'!$I$155:$I$385,MATCH(RIGHT(Q1377,255),RIGHT('Disaggregation Records'!$D$155:$D$385,255),0))=0,"",INDEX('Disaggregation Records'!$I$155:$I$385,MATCH(RIGHT(Q1377,255),RIGHT('Disaggregation Records'!$D$155:$D$385,255),0))),"")</f>
        <v/>
      </c>
      <c r="W1377" s="189" t="str">
        <f>IFERROR(INDEX('Reference Records'!L$59:L$121,MATCH(LEFT(C1377,255),'Reference Records'!E$59:E$121,0)),"")</f>
        <v/>
      </c>
    </row>
    <row r="1378" spans="1:23" s="189" customFormat="1" ht="40.200000000000003" customHeight="1" x14ac:dyDescent="0.3">
      <c r="A1378" s="678"/>
      <c r="B1378" s="675"/>
      <c r="C1378" s="667"/>
      <c r="D1378" s="677"/>
      <c r="E1378" s="677"/>
      <c r="F1378" s="202"/>
      <c r="G1378" s="669"/>
      <c r="H1378" s="671"/>
      <c r="I1378" s="673"/>
      <c r="J1378" s="652"/>
      <c r="K1378" s="667"/>
      <c r="L1378" s="667"/>
      <c r="M1378" s="652"/>
      <c r="N1378" s="652"/>
    </row>
    <row r="1379" spans="1:23" s="189" customFormat="1" ht="40.200000000000003" customHeight="1" x14ac:dyDescent="0.3">
      <c r="A1379" s="678" t="str">
        <f t="shared" ref="A1379" ca="1" si="5935">INDIRECT("'update Helper'!C"&amp;U1379)</f>
        <v>a163p000002zQfUAAU</v>
      </c>
      <c r="B1379" s="674">
        <v>19</v>
      </c>
      <c r="C1379" s="666" t="str">
        <f>VLOOKUP(B1379,'Coverage Indicators - Section D'!$A$9:$AU$70,47,FALSE)</f>
        <v>Pourcentage de PVVIH et population clés bénéfciant d'assistance juridique et/ou judiciaire</v>
      </c>
      <c r="D1379" s="676" t="str">
        <f t="shared" ref="D1379" si="5936">R1379</f>
        <v/>
      </c>
      <c r="E1379" s="676" t="str">
        <f t="shared" ref="E1379" si="5937">S1379</f>
        <v/>
      </c>
      <c r="F1379" s="194"/>
      <c r="G1379" s="668" t="str">
        <f t="shared" ref="G1379" ca="1" si="5938">IF(OR(INDIRECT("'update Helper'!E"&amp;U1379)=0,F1379&lt;&gt;0,F1380&lt;&gt;0),IF(IFERROR((F1379/F1380),"")="","",(F1379/F1380)),INDIRECT("'update Helper'!E"&amp;U1379)/100)</f>
        <v/>
      </c>
      <c r="H1379" s="670"/>
      <c r="I1379" s="672"/>
      <c r="J1379" s="651"/>
      <c r="K1379" s="666" t="str">
        <f t="shared" ref="K1379" si="5939">W1379</f>
        <v/>
      </c>
      <c r="L1379" s="666" t="str">
        <f t="shared" ref="L1379" si="5940">V1379</f>
        <v/>
      </c>
      <c r="M1379" s="651"/>
      <c r="N1379" s="651"/>
      <c r="P1379" s="189">
        <f t="shared" ref="P1379" si="5941">IF(AND(EXACT(C1379,C1377),C1377&lt;&gt;0),P1377+1,0)</f>
        <v>19</v>
      </c>
      <c r="Q1379" s="189" t="str">
        <f t="shared" ref="Q1379" si="5942">IF(C1379&lt;&gt;"",C1379&amp;"-"&amp;P1379,"")</f>
        <v>Pourcentage de PVVIH et population clés bénéfciant d'assistance juridique et/ou judiciaire-19</v>
      </c>
      <c r="R1379" s="189" t="str">
        <f t="array" ref="R1379">IFERROR(IF(INDEX('Disaggregation Records'!$E$155:$E$385,MATCH(RIGHT(Q1379,255),RIGHT('Disaggregation Records'!$D$155:$D$385,255),0))=0,"",INDEX('Disaggregation Records'!$E$155:$E$385,MATCH(RIGHT(Q1379,255),RIGHT('Disaggregation Records'!$D$155:$D$385,255),0))),"")</f>
        <v/>
      </c>
      <c r="S1379" s="189" t="str">
        <f t="array" ref="S1379">IFERROR(IF(INDEX('Disaggregation Records'!$F$155:$F$385,MATCH(RIGHT(Q1379,255),RIGHT('Disaggregation Records'!$D$155:$D$385,255),0))=0,"",INDEX('Disaggregation Records'!$F$155:$F$385,MATCH(RIGHT(Q1379,255),RIGHT('Disaggregation Records'!$D$155:$D$385,255),0))),"")</f>
        <v/>
      </c>
      <c r="T1379" s="189" t="str">
        <f t="array" ref="T1379">IFERROR(IF(INDEX('Disaggregation Records'!$H$155:$H$385,MATCH(RIGHT(Q1379,255),RIGHT('Disaggregation Records'!$D$155:$D$385,255),0))=0,"",INDEX('Disaggregation Records'!$H$155:$H$385,MATCH(RIGHT(Q1379,255),RIGHT('Disaggregation Records'!$D$155:$D$385,255),0))),"")</f>
        <v/>
      </c>
      <c r="U1379" s="189">
        <f t="shared" ref="U1379" si="5943">U1377+1</f>
        <v>1791</v>
      </c>
      <c r="V1379" s="189" t="str">
        <f t="array" ref="V1379">IFERROR(IF(INDEX('Disaggregation Records'!$I$155:$I$385,MATCH(RIGHT(Q1379,255),RIGHT('Disaggregation Records'!$D$155:$D$385,255),0))=0,"",INDEX('Disaggregation Records'!$I$155:$I$385,MATCH(RIGHT(Q1379,255),RIGHT('Disaggregation Records'!$D$155:$D$385,255),0))),"")</f>
        <v/>
      </c>
      <c r="W1379" s="189" t="str">
        <f>IFERROR(INDEX('Reference Records'!L$59:L$121,MATCH(LEFT(C1379,255),'Reference Records'!E$59:E$121,0)),"")</f>
        <v/>
      </c>
    </row>
    <row r="1380" spans="1:23" s="189" customFormat="1" ht="40.200000000000003" customHeight="1" x14ac:dyDescent="0.3">
      <c r="A1380" s="678"/>
      <c r="B1380" s="675"/>
      <c r="C1380" s="667"/>
      <c r="D1380" s="677"/>
      <c r="E1380" s="677"/>
      <c r="F1380" s="202"/>
      <c r="G1380" s="669"/>
      <c r="H1380" s="671"/>
      <c r="I1380" s="673"/>
      <c r="J1380" s="652"/>
      <c r="K1380" s="667"/>
      <c r="L1380" s="667"/>
      <c r="M1380" s="652"/>
      <c r="N1380" s="652"/>
    </row>
    <row r="1381" spans="1:23" s="189" customFormat="1" ht="40.200000000000003" customHeight="1" x14ac:dyDescent="0.3">
      <c r="A1381" s="678" t="str">
        <f t="shared" ref="A1381" ca="1" si="5944">INDIRECT("'update Helper'!C"&amp;U1381)</f>
        <v>a163p000002zQfVAAU</v>
      </c>
      <c r="B1381" s="674">
        <v>20</v>
      </c>
      <c r="C1381" s="666" t="str">
        <f>VLOOKUP(B1381,'Coverage Indicators - Section D'!$A$9:$AU$70,47,FALSE)</f>
        <v xml:space="preserve">Pourcentage des Hommes âgés de 25 ans et plus dépistés pour le VIH et ayant reçu le résultat du test chaque année </v>
      </c>
      <c r="D1381" s="676" t="str">
        <f t="shared" ref="D1381" si="5945">R1381</f>
        <v/>
      </c>
      <c r="E1381" s="676" t="str">
        <f t="shared" ref="E1381" si="5946">S1381</f>
        <v/>
      </c>
      <c r="F1381" s="194"/>
      <c r="G1381" s="668" t="str">
        <f t="shared" ref="G1381" ca="1" si="5947">IF(OR(INDIRECT("'update Helper'!E"&amp;U1381)=0,F1381&lt;&gt;0,F1382&lt;&gt;0),IF(IFERROR((F1381/F1382),"")="","",(F1381/F1382)),INDIRECT("'update Helper'!E"&amp;U1381)/100)</f>
        <v/>
      </c>
      <c r="H1381" s="670"/>
      <c r="I1381" s="672"/>
      <c r="J1381" s="651"/>
      <c r="K1381" s="666" t="str">
        <f t="shared" ref="K1381" si="5948">W1381</f>
        <v/>
      </c>
      <c r="L1381" s="666" t="str">
        <f t="shared" ref="L1381" si="5949">V1381</f>
        <v/>
      </c>
      <c r="M1381" s="651"/>
      <c r="N1381" s="651"/>
      <c r="P1381" s="189">
        <f t="shared" ref="P1381" si="5950">IF(AND(EXACT(C1381,C1379),C1379&lt;&gt;0),P1379+1,0)</f>
        <v>0</v>
      </c>
      <c r="Q1381" s="189" t="str">
        <f t="shared" ref="Q1381" si="5951">IF(C1381&lt;&gt;"",C1381&amp;"-"&amp;P1381,"")</f>
        <v>Pourcentage des Hommes âgés de 25 ans et plus dépistés pour le VIH et ayant reçu le résultat du test chaque année -0</v>
      </c>
      <c r="R1381" s="189" t="str">
        <f t="array" ref="R1381">IFERROR(IF(INDEX('Disaggregation Records'!$E$155:$E$385,MATCH(RIGHT(Q1381,255),RIGHT('Disaggregation Records'!$D$155:$D$385,255),0))=0,"",INDEX('Disaggregation Records'!$E$155:$E$385,MATCH(RIGHT(Q1381,255),RIGHT('Disaggregation Records'!$D$155:$D$385,255),0))),"")</f>
        <v/>
      </c>
      <c r="S1381" s="189" t="str">
        <f t="array" ref="S1381">IFERROR(IF(INDEX('Disaggregation Records'!$F$155:$F$385,MATCH(RIGHT(Q1381,255),RIGHT('Disaggregation Records'!$D$155:$D$385,255),0))=0,"",INDEX('Disaggregation Records'!$F$155:$F$385,MATCH(RIGHT(Q1381,255),RIGHT('Disaggregation Records'!$D$155:$D$385,255),0))),"")</f>
        <v/>
      </c>
      <c r="T1381" s="189" t="str">
        <f t="array" ref="T1381">IFERROR(IF(INDEX('Disaggregation Records'!$H$155:$H$385,MATCH(RIGHT(Q1381,255),RIGHT('Disaggregation Records'!$D$155:$D$385,255),0))=0,"",INDEX('Disaggregation Records'!$H$155:$H$385,MATCH(RIGHT(Q1381,255),RIGHT('Disaggregation Records'!$D$155:$D$385,255),0))),"")</f>
        <v/>
      </c>
      <c r="U1381" s="189">
        <f t="shared" ref="U1381" si="5952">U1379+1</f>
        <v>1792</v>
      </c>
      <c r="V1381" s="189" t="str">
        <f t="array" ref="V1381">IFERROR(IF(INDEX('Disaggregation Records'!$I$155:$I$385,MATCH(RIGHT(Q1381,255),RIGHT('Disaggregation Records'!$D$155:$D$385,255),0))=0,"",INDEX('Disaggregation Records'!$I$155:$I$385,MATCH(RIGHT(Q1381,255),RIGHT('Disaggregation Records'!$D$155:$D$385,255),0))),"")</f>
        <v/>
      </c>
      <c r="W1381" s="189" t="str">
        <f>IFERROR(INDEX('Reference Records'!L$59:L$121,MATCH(LEFT(C1381,255),'Reference Records'!E$59:E$121,0)),"")</f>
        <v/>
      </c>
    </row>
    <row r="1382" spans="1:23" s="189" customFormat="1" ht="40.200000000000003" customHeight="1" x14ac:dyDescent="0.3">
      <c r="A1382" s="678"/>
      <c r="B1382" s="675"/>
      <c r="C1382" s="667"/>
      <c r="D1382" s="677"/>
      <c r="E1382" s="677"/>
      <c r="F1382" s="202"/>
      <c r="G1382" s="669"/>
      <c r="H1382" s="671"/>
      <c r="I1382" s="673"/>
      <c r="J1382" s="652"/>
      <c r="K1382" s="667"/>
      <c r="L1382" s="667"/>
      <c r="M1382" s="652"/>
      <c r="N1382" s="652"/>
    </row>
    <row r="1383" spans="1:23" s="189" customFormat="1" ht="40.200000000000003" customHeight="1" x14ac:dyDescent="0.3">
      <c r="A1383" s="678" t="str">
        <f t="shared" ref="A1383" ca="1" si="5953">INDIRECT("'update Helper'!C"&amp;U1383)</f>
        <v>a163p000002zQfWAAU</v>
      </c>
      <c r="B1383" s="674">
        <v>20</v>
      </c>
      <c r="C1383" s="666" t="str">
        <f>VLOOKUP(B1383,'Coverage Indicators - Section D'!$A$9:$AU$70,47,FALSE)</f>
        <v xml:space="preserve">Pourcentage des Hommes âgés de 25 ans et plus dépistés pour le VIH et ayant reçu le résultat du test chaque année </v>
      </c>
      <c r="D1383" s="676" t="str">
        <f t="shared" ref="D1383" si="5954">R1383</f>
        <v/>
      </c>
      <c r="E1383" s="676" t="str">
        <f t="shared" ref="E1383" si="5955">S1383</f>
        <v/>
      </c>
      <c r="F1383" s="194"/>
      <c r="G1383" s="668" t="str">
        <f t="shared" ref="G1383" ca="1" si="5956">IF(OR(INDIRECT("'update Helper'!E"&amp;U1383)=0,F1383&lt;&gt;0,F1384&lt;&gt;0),IF(IFERROR((F1383/F1384),"")="","",(F1383/F1384)),INDIRECT("'update Helper'!E"&amp;U1383)/100)</f>
        <v/>
      </c>
      <c r="H1383" s="670"/>
      <c r="I1383" s="672"/>
      <c r="J1383" s="651"/>
      <c r="K1383" s="666" t="str">
        <f t="shared" ref="K1383" si="5957">W1383</f>
        <v/>
      </c>
      <c r="L1383" s="666" t="str">
        <f t="shared" ref="L1383" si="5958">V1383</f>
        <v/>
      </c>
      <c r="M1383" s="651"/>
      <c r="N1383" s="651"/>
      <c r="P1383" s="189">
        <f t="shared" ref="P1383" si="5959">IF(AND(EXACT(C1383,C1381),C1381&lt;&gt;0),P1381+1,0)</f>
        <v>1</v>
      </c>
      <c r="Q1383" s="189" t="str">
        <f t="shared" ref="Q1383" si="5960">IF(C1383&lt;&gt;"",C1383&amp;"-"&amp;P1383,"")</f>
        <v>Pourcentage des Hommes âgés de 25 ans et plus dépistés pour le VIH et ayant reçu le résultat du test chaque année -1</v>
      </c>
      <c r="R1383" s="189" t="str">
        <f t="array" ref="R1383">IFERROR(IF(INDEX('Disaggregation Records'!$E$155:$E$385,MATCH(RIGHT(Q1383,255),RIGHT('Disaggregation Records'!$D$155:$D$385,255),0))=0,"",INDEX('Disaggregation Records'!$E$155:$E$385,MATCH(RIGHT(Q1383,255),RIGHT('Disaggregation Records'!$D$155:$D$385,255),0))),"")</f>
        <v/>
      </c>
      <c r="S1383" s="189" t="str">
        <f t="array" ref="S1383">IFERROR(IF(INDEX('Disaggregation Records'!$F$155:$F$385,MATCH(RIGHT(Q1383,255),RIGHT('Disaggregation Records'!$D$155:$D$385,255),0))=0,"",INDEX('Disaggregation Records'!$F$155:$F$385,MATCH(RIGHT(Q1383,255),RIGHT('Disaggregation Records'!$D$155:$D$385,255),0))),"")</f>
        <v/>
      </c>
      <c r="T1383" s="189" t="str">
        <f t="array" ref="T1383">IFERROR(IF(INDEX('Disaggregation Records'!$H$155:$H$385,MATCH(RIGHT(Q1383,255),RIGHT('Disaggregation Records'!$D$155:$D$385,255),0))=0,"",INDEX('Disaggregation Records'!$H$155:$H$385,MATCH(RIGHT(Q1383,255),RIGHT('Disaggregation Records'!$D$155:$D$385,255),0))),"")</f>
        <v/>
      </c>
      <c r="U1383" s="189">
        <f t="shared" ref="U1383" si="5961">U1381+1</f>
        <v>1793</v>
      </c>
      <c r="V1383" s="189" t="str">
        <f t="array" ref="V1383">IFERROR(IF(INDEX('Disaggregation Records'!$I$155:$I$385,MATCH(RIGHT(Q1383,255),RIGHT('Disaggregation Records'!$D$155:$D$385,255),0))=0,"",INDEX('Disaggregation Records'!$I$155:$I$385,MATCH(RIGHT(Q1383,255),RIGHT('Disaggregation Records'!$D$155:$D$385,255),0))),"")</f>
        <v/>
      </c>
      <c r="W1383" s="189" t="str">
        <f>IFERROR(INDEX('Reference Records'!L$59:L$121,MATCH(LEFT(C1383,255),'Reference Records'!E$59:E$121,0)),"")</f>
        <v/>
      </c>
    </row>
    <row r="1384" spans="1:23" s="189" customFormat="1" ht="40.200000000000003" customHeight="1" x14ac:dyDescent="0.3">
      <c r="A1384" s="678"/>
      <c r="B1384" s="675"/>
      <c r="C1384" s="667"/>
      <c r="D1384" s="677"/>
      <c r="E1384" s="677"/>
      <c r="F1384" s="202"/>
      <c r="G1384" s="669"/>
      <c r="H1384" s="671"/>
      <c r="I1384" s="673"/>
      <c r="J1384" s="652"/>
      <c r="K1384" s="667"/>
      <c r="L1384" s="667"/>
      <c r="M1384" s="652"/>
      <c r="N1384" s="652"/>
    </row>
    <row r="1385" spans="1:23" s="189" customFormat="1" ht="40.200000000000003" customHeight="1" x14ac:dyDescent="0.3">
      <c r="A1385" s="678" t="str">
        <f t="shared" ref="A1385" ca="1" si="5962">INDIRECT("'update Helper'!C"&amp;U1385)</f>
        <v>a163p000002zQfXAAU</v>
      </c>
      <c r="B1385" s="674">
        <v>20</v>
      </c>
      <c r="C1385" s="666" t="str">
        <f>VLOOKUP(B1385,'Coverage Indicators - Section D'!$A$9:$AU$70,47,FALSE)</f>
        <v xml:space="preserve">Pourcentage des Hommes âgés de 25 ans et plus dépistés pour le VIH et ayant reçu le résultat du test chaque année </v>
      </c>
      <c r="D1385" s="676" t="str">
        <f t="shared" ref="D1385" si="5963">R1385</f>
        <v/>
      </c>
      <c r="E1385" s="676" t="str">
        <f t="shared" ref="E1385" si="5964">S1385</f>
        <v/>
      </c>
      <c r="F1385" s="194"/>
      <c r="G1385" s="668" t="str">
        <f t="shared" ref="G1385" ca="1" si="5965">IF(OR(INDIRECT("'update Helper'!E"&amp;U1385)=0,F1385&lt;&gt;0,F1386&lt;&gt;0),IF(IFERROR((F1385/F1386),"")="","",(F1385/F1386)),INDIRECT("'update Helper'!E"&amp;U1385)/100)</f>
        <v/>
      </c>
      <c r="H1385" s="670"/>
      <c r="I1385" s="672"/>
      <c r="J1385" s="651"/>
      <c r="K1385" s="666" t="str">
        <f t="shared" ref="K1385" si="5966">W1385</f>
        <v/>
      </c>
      <c r="L1385" s="666" t="str">
        <f t="shared" ref="L1385" si="5967">V1385</f>
        <v/>
      </c>
      <c r="M1385" s="651"/>
      <c r="N1385" s="651"/>
      <c r="P1385" s="189">
        <f t="shared" ref="P1385" si="5968">IF(AND(EXACT(C1385,C1383),C1383&lt;&gt;0),P1383+1,0)</f>
        <v>2</v>
      </c>
      <c r="Q1385" s="189" t="str">
        <f t="shared" ref="Q1385" si="5969">IF(C1385&lt;&gt;"",C1385&amp;"-"&amp;P1385,"")</f>
        <v>Pourcentage des Hommes âgés de 25 ans et plus dépistés pour le VIH et ayant reçu le résultat du test chaque année -2</v>
      </c>
      <c r="R1385" s="189" t="str">
        <f t="array" ref="R1385">IFERROR(IF(INDEX('Disaggregation Records'!$E$155:$E$385,MATCH(RIGHT(Q1385,255),RIGHT('Disaggregation Records'!$D$155:$D$385,255),0))=0,"",INDEX('Disaggregation Records'!$E$155:$E$385,MATCH(RIGHT(Q1385,255),RIGHT('Disaggregation Records'!$D$155:$D$385,255),0))),"")</f>
        <v/>
      </c>
      <c r="S1385" s="189" t="str">
        <f t="array" ref="S1385">IFERROR(IF(INDEX('Disaggregation Records'!$F$155:$F$385,MATCH(RIGHT(Q1385,255),RIGHT('Disaggregation Records'!$D$155:$D$385,255),0))=0,"",INDEX('Disaggregation Records'!$F$155:$F$385,MATCH(RIGHT(Q1385,255),RIGHT('Disaggregation Records'!$D$155:$D$385,255),0))),"")</f>
        <v/>
      </c>
      <c r="T1385" s="189" t="str">
        <f t="array" ref="T1385">IFERROR(IF(INDEX('Disaggregation Records'!$H$155:$H$385,MATCH(RIGHT(Q1385,255),RIGHT('Disaggregation Records'!$D$155:$D$385,255),0))=0,"",INDEX('Disaggregation Records'!$H$155:$H$385,MATCH(RIGHT(Q1385,255),RIGHT('Disaggregation Records'!$D$155:$D$385,255),0))),"")</f>
        <v/>
      </c>
      <c r="U1385" s="189">
        <f t="shared" ref="U1385" si="5970">U1383+1</f>
        <v>1794</v>
      </c>
      <c r="V1385" s="189" t="str">
        <f t="array" ref="V1385">IFERROR(IF(INDEX('Disaggregation Records'!$I$155:$I$385,MATCH(RIGHT(Q1385,255),RIGHT('Disaggregation Records'!$D$155:$D$385,255),0))=0,"",INDEX('Disaggregation Records'!$I$155:$I$385,MATCH(RIGHT(Q1385,255),RIGHT('Disaggregation Records'!$D$155:$D$385,255),0))),"")</f>
        <v/>
      </c>
      <c r="W1385" s="189" t="str">
        <f>IFERROR(INDEX('Reference Records'!L$59:L$121,MATCH(LEFT(C1385,255),'Reference Records'!E$59:E$121,0)),"")</f>
        <v/>
      </c>
    </row>
    <row r="1386" spans="1:23" s="189" customFormat="1" ht="40.200000000000003" customHeight="1" x14ac:dyDescent="0.3">
      <c r="A1386" s="678"/>
      <c r="B1386" s="675"/>
      <c r="C1386" s="667"/>
      <c r="D1386" s="677"/>
      <c r="E1386" s="677"/>
      <c r="F1386" s="202"/>
      <c r="G1386" s="669"/>
      <c r="H1386" s="671"/>
      <c r="I1386" s="673"/>
      <c r="J1386" s="652"/>
      <c r="K1386" s="667"/>
      <c r="L1386" s="667"/>
      <c r="M1386" s="652"/>
      <c r="N1386" s="652"/>
    </row>
    <row r="1387" spans="1:23" s="189" customFormat="1" ht="40.200000000000003" customHeight="1" x14ac:dyDescent="0.3">
      <c r="A1387" s="678" t="str">
        <f t="shared" ref="A1387" ca="1" si="5971">INDIRECT("'update Helper'!C"&amp;U1387)</f>
        <v>a163p000002zQfYAAU</v>
      </c>
      <c r="B1387" s="674">
        <v>20</v>
      </c>
      <c r="C1387" s="666" t="str">
        <f>VLOOKUP(B1387,'Coverage Indicators - Section D'!$A$9:$AU$70,47,FALSE)</f>
        <v xml:space="preserve">Pourcentage des Hommes âgés de 25 ans et plus dépistés pour le VIH et ayant reçu le résultat du test chaque année </v>
      </c>
      <c r="D1387" s="676" t="str">
        <f t="shared" ref="D1387" si="5972">R1387</f>
        <v/>
      </c>
      <c r="E1387" s="676" t="str">
        <f t="shared" ref="E1387" si="5973">S1387</f>
        <v/>
      </c>
      <c r="F1387" s="194"/>
      <c r="G1387" s="668" t="str">
        <f t="shared" ref="G1387" ca="1" si="5974">IF(OR(INDIRECT("'update Helper'!E"&amp;U1387)=0,F1387&lt;&gt;0,F1388&lt;&gt;0),IF(IFERROR((F1387/F1388),"")="","",(F1387/F1388)),INDIRECT("'update Helper'!E"&amp;U1387)/100)</f>
        <v/>
      </c>
      <c r="H1387" s="670"/>
      <c r="I1387" s="672"/>
      <c r="J1387" s="651"/>
      <c r="K1387" s="666" t="str">
        <f t="shared" ref="K1387" si="5975">W1387</f>
        <v/>
      </c>
      <c r="L1387" s="666" t="str">
        <f t="shared" ref="L1387" si="5976">V1387</f>
        <v/>
      </c>
      <c r="M1387" s="651"/>
      <c r="N1387" s="651"/>
      <c r="P1387" s="189">
        <f t="shared" ref="P1387" si="5977">IF(AND(EXACT(C1387,C1385),C1385&lt;&gt;0),P1385+1,0)</f>
        <v>3</v>
      </c>
      <c r="Q1387" s="189" t="str">
        <f t="shared" ref="Q1387" si="5978">IF(C1387&lt;&gt;"",C1387&amp;"-"&amp;P1387,"")</f>
        <v>Pourcentage des Hommes âgés de 25 ans et plus dépistés pour le VIH et ayant reçu le résultat du test chaque année -3</v>
      </c>
      <c r="R1387" s="189" t="str">
        <f t="array" ref="R1387">IFERROR(IF(INDEX('Disaggregation Records'!$E$155:$E$385,MATCH(RIGHT(Q1387,255),RIGHT('Disaggregation Records'!$D$155:$D$385,255),0))=0,"",INDEX('Disaggregation Records'!$E$155:$E$385,MATCH(RIGHT(Q1387,255),RIGHT('Disaggregation Records'!$D$155:$D$385,255),0))),"")</f>
        <v/>
      </c>
      <c r="S1387" s="189" t="str">
        <f t="array" ref="S1387">IFERROR(IF(INDEX('Disaggregation Records'!$F$155:$F$385,MATCH(RIGHT(Q1387,255),RIGHT('Disaggregation Records'!$D$155:$D$385,255),0))=0,"",INDEX('Disaggregation Records'!$F$155:$F$385,MATCH(RIGHT(Q1387,255),RIGHT('Disaggregation Records'!$D$155:$D$385,255),0))),"")</f>
        <v/>
      </c>
      <c r="T1387" s="189" t="str">
        <f t="array" ref="T1387">IFERROR(IF(INDEX('Disaggregation Records'!$H$155:$H$385,MATCH(RIGHT(Q1387,255),RIGHT('Disaggregation Records'!$D$155:$D$385,255),0))=0,"",INDEX('Disaggregation Records'!$H$155:$H$385,MATCH(RIGHT(Q1387,255),RIGHT('Disaggregation Records'!$D$155:$D$385,255),0))),"")</f>
        <v/>
      </c>
      <c r="U1387" s="189">
        <f t="shared" ref="U1387" si="5979">U1385+1</f>
        <v>1795</v>
      </c>
      <c r="V1387" s="189" t="str">
        <f t="array" ref="V1387">IFERROR(IF(INDEX('Disaggregation Records'!$I$155:$I$385,MATCH(RIGHT(Q1387,255),RIGHT('Disaggregation Records'!$D$155:$D$385,255),0))=0,"",INDEX('Disaggregation Records'!$I$155:$I$385,MATCH(RIGHT(Q1387,255),RIGHT('Disaggregation Records'!$D$155:$D$385,255),0))),"")</f>
        <v/>
      </c>
      <c r="W1387" s="189" t="str">
        <f>IFERROR(INDEX('Reference Records'!L$59:L$121,MATCH(LEFT(C1387,255),'Reference Records'!E$59:E$121,0)),"")</f>
        <v/>
      </c>
    </row>
    <row r="1388" spans="1:23" s="189" customFormat="1" ht="40.200000000000003" customHeight="1" x14ac:dyDescent="0.3">
      <c r="A1388" s="678"/>
      <c r="B1388" s="675"/>
      <c r="C1388" s="667"/>
      <c r="D1388" s="677"/>
      <c r="E1388" s="677"/>
      <c r="F1388" s="202"/>
      <c r="G1388" s="669"/>
      <c r="H1388" s="671"/>
      <c r="I1388" s="673"/>
      <c r="J1388" s="652"/>
      <c r="K1388" s="667"/>
      <c r="L1388" s="667"/>
      <c r="M1388" s="652"/>
      <c r="N1388" s="652"/>
    </row>
    <row r="1389" spans="1:23" s="189" customFormat="1" ht="40.200000000000003" customHeight="1" x14ac:dyDescent="0.3">
      <c r="A1389" s="678" t="str">
        <f t="shared" ref="A1389" ca="1" si="5980">INDIRECT("'update Helper'!C"&amp;U1389)</f>
        <v>a163p000002zQfZAAU</v>
      </c>
      <c r="B1389" s="674">
        <v>20</v>
      </c>
      <c r="C1389" s="666" t="str">
        <f>VLOOKUP(B1389,'Coverage Indicators - Section D'!$A$9:$AU$70,47,FALSE)</f>
        <v xml:space="preserve">Pourcentage des Hommes âgés de 25 ans et plus dépistés pour le VIH et ayant reçu le résultat du test chaque année </v>
      </c>
      <c r="D1389" s="676" t="str">
        <f t="shared" ref="D1389" si="5981">R1389</f>
        <v/>
      </c>
      <c r="E1389" s="676" t="str">
        <f t="shared" ref="E1389" si="5982">S1389</f>
        <v/>
      </c>
      <c r="F1389" s="194"/>
      <c r="G1389" s="668" t="str">
        <f t="shared" ref="G1389" ca="1" si="5983">IF(OR(INDIRECT("'update Helper'!E"&amp;U1389)=0,F1389&lt;&gt;0,F1390&lt;&gt;0),IF(IFERROR((F1389/F1390),"")="","",(F1389/F1390)),INDIRECT("'update Helper'!E"&amp;U1389)/100)</f>
        <v/>
      </c>
      <c r="H1389" s="670"/>
      <c r="I1389" s="672"/>
      <c r="J1389" s="651"/>
      <c r="K1389" s="666" t="str">
        <f t="shared" ref="K1389" si="5984">W1389</f>
        <v/>
      </c>
      <c r="L1389" s="666" t="str">
        <f t="shared" ref="L1389" si="5985">V1389</f>
        <v/>
      </c>
      <c r="M1389" s="651"/>
      <c r="N1389" s="651"/>
      <c r="P1389" s="189">
        <f t="shared" ref="P1389" si="5986">IF(AND(EXACT(C1389,C1387),C1387&lt;&gt;0),P1387+1,0)</f>
        <v>4</v>
      </c>
      <c r="Q1389" s="189" t="str">
        <f t="shared" ref="Q1389" si="5987">IF(C1389&lt;&gt;"",C1389&amp;"-"&amp;P1389,"")</f>
        <v>Pourcentage des Hommes âgés de 25 ans et plus dépistés pour le VIH et ayant reçu le résultat du test chaque année -4</v>
      </c>
      <c r="R1389" s="189" t="str">
        <f t="array" ref="R1389">IFERROR(IF(INDEX('Disaggregation Records'!$E$155:$E$385,MATCH(RIGHT(Q1389,255),RIGHT('Disaggregation Records'!$D$155:$D$385,255),0))=0,"",INDEX('Disaggregation Records'!$E$155:$E$385,MATCH(RIGHT(Q1389,255),RIGHT('Disaggregation Records'!$D$155:$D$385,255),0))),"")</f>
        <v/>
      </c>
      <c r="S1389" s="189" t="str">
        <f t="array" ref="S1389">IFERROR(IF(INDEX('Disaggregation Records'!$F$155:$F$385,MATCH(RIGHT(Q1389,255),RIGHT('Disaggregation Records'!$D$155:$D$385,255),0))=0,"",INDEX('Disaggregation Records'!$F$155:$F$385,MATCH(RIGHT(Q1389,255),RIGHT('Disaggregation Records'!$D$155:$D$385,255),0))),"")</f>
        <v/>
      </c>
      <c r="T1389" s="189" t="str">
        <f t="array" ref="T1389">IFERROR(IF(INDEX('Disaggregation Records'!$H$155:$H$385,MATCH(RIGHT(Q1389,255),RIGHT('Disaggregation Records'!$D$155:$D$385,255),0))=0,"",INDEX('Disaggregation Records'!$H$155:$H$385,MATCH(RIGHT(Q1389,255),RIGHT('Disaggregation Records'!$D$155:$D$385,255),0))),"")</f>
        <v/>
      </c>
      <c r="U1389" s="189">
        <f t="shared" ref="U1389" si="5988">U1387+1</f>
        <v>1796</v>
      </c>
      <c r="V1389" s="189" t="str">
        <f t="array" ref="V1389">IFERROR(IF(INDEX('Disaggregation Records'!$I$155:$I$385,MATCH(RIGHT(Q1389,255),RIGHT('Disaggregation Records'!$D$155:$D$385,255),0))=0,"",INDEX('Disaggregation Records'!$I$155:$I$385,MATCH(RIGHT(Q1389,255),RIGHT('Disaggregation Records'!$D$155:$D$385,255),0))),"")</f>
        <v/>
      </c>
      <c r="W1389" s="189" t="str">
        <f>IFERROR(INDEX('Reference Records'!L$59:L$121,MATCH(LEFT(C1389,255),'Reference Records'!E$59:E$121,0)),"")</f>
        <v/>
      </c>
    </row>
    <row r="1390" spans="1:23" s="189" customFormat="1" ht="40.200000000000003" customHeight="1" x14ac:dyDescent="0.3">
      <c r="A1390" s="678"/>
      <c r="B1390" s="675"/>
      <c r="C1390" s="667"/>
      <c r="D1390" s="677"/>
      <c r="E1390" s="677"/>
      <c r="F1390" s="202"/>
      <c r="G1390" s="669"/>
      <c r="H1390" s="671"/>
      <c r="I1390" s="673"/>
      <c r="J1390" s="652"/>
      <c r="K1390" s="667"/>
      <c r="L1390" s="667"/>
      <c r="M1390" s="652"/>
      <c r="N1390" s="652"/>
    </row>
    <row r="1391" spans="1:23" s="189" customFormat="1" ht="40.200000000000003" customHeight="1" x14ac:dyDescent="0.3">
      <c r="A1391" s="678" t="str">
        <f t="shared" ref="A1391" ca="1" si="5989">INDIRECT("'update Helper'!C"&amp;U1391)</f>
        <v>a163p000002zQfaAAE</v>
      </c>
      <c r="B1391" s="674">
        <v>20</v>
      </c>
      <c r="C1391" s="666" t="str">
        <f>VLOOKUP(B1391,'Coverage Indicators - Section D'!$A$9:$AU$70,47,FALSE)</f>
        <v xml:space="preserve">Pourcentage des Hommes âgés de 25 ans et plus dépistés pour le VIH et ayant reçu le résultat du test chaque année </v>
      </c>
      <c r="D1391" s="676" t="str">
        <f t="shared" ref="D1391" si="5990">R1391</f>
        <v/>
      </c>
      <c r="E1391" s="676" t="str">
        <f t="shared" ref="E1391" si="5991">S1391</f>
        <v/>
      </c>
      <c r="F1391" s="194"/>
      <c r="G1391" s="668" t="str">
        <f t="shared" ref="G1391" ca="1" si="5992">IF(OR(INDIRECT("'update Helper'!E"&amp;U1391)=0,F1391&lt;&gt;0,F1392&lt;&gt;0),IF(IFERROR((F1391/F1392),"")="","",(F1391/F1392)),INDIRECT("'update Helper'!E"&amp;U1391)/100)</f>
        <v/>
      </c>
      <c r="H1391" s="670"/>
      <c r="I1391" s="672"/>
      <c r="J1391" s="651"/>
      <c r="K1391" s="666" t="str">
        <f t="shared" ref="K1391" si="5993">W1391</f>
        <v/>
      </c>
      <c r="L1391" s="666" t="str">
        <f t="shared" ref="L1391" si="5994">V1391</f>
        <v/>
      </c>
      <c r="M1391" s="651"/>
      <c r="N1391" s="651"/>
      <c r="P1391" s="189">
        <f t="shared" ref="P1391" si="5995">IF(AND(EXACT(C1391,C1389),C1389&lt;&gt;0),P1389+1,0)</f>
        <v>5</v>
      </c>
      <c r="Q1391" s="189" t="str">
        <f t="shared" ref="Q1391" si="5996">IF(C1391&lt;&gt;"",C1391&amp;"-"&amp;P1391,"")</f>
        <v>Pourcentage des Hommes âgés de 25 ans et plus dépistés pour le VIH et ayant reçu le résultat du test chaque année -5</v>
      </c>
      <c r="R1391" s="189" t="str">
        <f t="array" ref="R1391">IFERROR(IF(INDEX('Disaggregation Records'!$E$155:$E$385,MATCH(RIGHT(Q1391,255),RIGHT('Disaggregation Records'!$D$155:$D$385,255),0))=0,"",INDEX('Disaggregation Records'!$E$155:$E$385,MATCH(RIGHT(Q1391,255),RIGHT('Disaggregation Records'!$D$155:$D$385,255),0))),"")</f>
        <v/>
      </c>
      <c r="S1391" s="189" t="str">
        <f t="array" ref="S1391">IFERROR(IF(INDEX('Disaggregation Records'!$F$155:$F$385,MATCH(RIGHT(Q1391,255),RIGHT('Disaggregation Records'!$D$155:$D$385,255),0))=0,"",INDEX('Disaggregation Records'!$F$155:$F$385,MATCH(RIGHT(Q1391,255),RIGHT('Disaggregation Records'!$D$155:$D$385,255),0))),"")</f>
        <v/>
      </c>
      <c r="T1391" s="189" t="str">
        <f t="array" ref="T1391">IFERROR(IF(INDEX('Disaggregation Records'!$H$155:$H$385,MATCH(RIGHT(Q1391,255),RIGHT('Disaggregation Records'!$D$155:$D$385,255),0))=0,"",INDEX('Disaggregation Records'!$H$155:$H$385,MATCH(RIGHT(Q1391,255),RIGHT('Disaggregation Records'!$D$155:$D$385,255),0))),"")</f>
        <v/>
      </c>
      <c r="U1391" s="189">
        <f t="shared" ref="U1391" si="5997">U1389+1</f>
        <v>1797</v>
      </c>
      <c r="V1391" s="189" t="str">
        <f t="array" ref="V1391">IFERROR(IF(INDEX('Disaggregation Records'!$I$155:$I$385,MATCH(RIGHT(Q1391,255),RIGHT('Disaggregation Records'!$D$155:$D$385,255),0))=0,"",INDEX('Disaggregation Records'!$I$155:$I$385,MATCH(RIGHT(Q1391,255),RIGHT('Disaggregation Records'!$D$155:$D$385,255),0))),"")</f>
        <v/>
      </c>
      <c r="W1391" s="189" t="str">
        <f>IFERROR(INDEX('Reference Records'!L$59:L$121,MATCH(LEFT(C1391,255),'Reference Records'!E$59:E$121,0)),"")</f>
        <v/>
      </c>
    </row>
    <row r="1392" spans="1:23" s="189" customFormat="1" ht="40.200000000000003" customHeight="1" x14ac:dyDescent="0.3">
      <c r="A1392" s="678"/>
      <c r="B1392" s="675"/>
      <c r="C1392" s="667"/>
      <c r="D1392" s="677"/>
      <c r="E1392" s="677"/>
      <c r="F1392" s="202"/>
      <c r="G1392" s="669"/>
      <c r="H1392" s="671"/>
      <c r="I1392" s="673"/>
      <c r="J1392" s="652"/>
      <c r="K1392" s="667"/>
      <c r="L1392" s="667"/>
      <c r="M1392" s="652"/>
      <c r="N1392" s="652"/>
    </row>
    <row r="1393" spans="1:23" s="189" customFormat="1" ht="40.200000000000003" customHeight="1" x14ac:dyDescent="0.3">
      <c r="A1393" s="678" t="str">
        <f t="shared" ref="A1393" ca="1" si="5998">INDIRECT("'update Helper'!C"&amp;U1393)</f>
        <v>a163p000002zQfbAAE</v>
      </c>
      <c r="B1393" s="674">
        <v>20</v>
      </c>
      <c r="C1393" s="666" t="str">
        <f>VLOOKUP(B1393,'Coverage Indicators - Section D'!$A$9:$AU$70,47,FALSE)</f>
        <v xml:space="preserve">Pourcentage des Hommes âgés de 25 ans et plus dépistés pour le VIH et ayant reçu le résultat du test chaque année </v>
      </c>
      <c r="D1393" s="676" t="str">
        <f t="shared" ref="D1393" si="5999">R1393</f>
        <v/>
      </c>
      <c r="E1393" s="676" t="str">
        <f t="shared" ref="E1393" si="6000">S1393</f>
        <v/>
      </c>
      <c r="F1393" s="194"/>
      <c r="G1393" s="668" t="str">
        <f t="shared" ref="G1393" ca="1" si="6001">IF(OR(INDIRECT("'update Helper'!E"&amp;U1393)=0,F1393&lt;&gt;0,F1394&lt;&gt;0),IF(IFERROR((F1393/F1394),"")="","",(F1393/F1394)),INDIRECT("'update Helper'!E"&amp;U1393)/100)</f>
        <v/>
      </c>
      <c r="H1393" s="670"/>
      <c r="I1393" s="672"/>
      <c r="J1393" s="651"/>
      <c r="K1393" s="666" t="str">
        <f t="shared" ref="K1393" si="6002">W1393</f>
        <v/>
      </c>
      <c r="L1393" s="666" t="str">
        <f t="shared" ref="L1393" si="6003">V1393</f>
        <v/>
      </c>
      <c r="M1393" s="651"/>
      <c r="N1393" s="651"/>
      <c r="P1393" s="189">
        <f t="shared" ref="P1393" si="6004">IF(AND(EXACT(C1393,C1391),C1391&lt;&gt;0),P1391+1,0)</f>
        <v>6</v>
      </c>
      <c r="Q1393" s="189" t="str">
        <f t="shared" ref="Q1393" si="6005">IF(C1393&lt;&gt;"",C1393&amp;"-"&amp;P1393,"")</f>
        <v>Pourcentage des Hommes âgés de 25 ans et plus dépistés pour le VIH et ayant reçu le résultat du test chaque année -6</v>
      </c>
      <c r="R1393" s="189" t="str">
        <f t="array" ref="R1393">IFERROR(IF(INDEX('Disaggregation Records'!$E$155:$E$385,MATCH(RIGHT(Q1393,255),RIGHT('Disaggregation Records'!$D$155:$D$385,255),0))=0,"",INDEX('Disaggregation Records'!$E$155:$E$385,MATCH(RIGHT(Q1393,255),RIGHT('Disaggregation Records'!$D$155:$D$385,255),0))),"")</f>
        <v/>
      </c>
      <c r="S1393" s="189" t="str">
        <f t="array" ref="S1393">IFERROR(IF(INDEX('Disaggregation Records'!$F$155:$F$385,MATCH(RIGHT(Q1393,255),RIGHT('Disaggregation Records'!$D$155:$D$385,255),0))=0,"",INDEX('Disaggregation Records'!$F$155:$F$385,MATCH(RIGHT(Q1393,255),RIGHT('Disaggregation Records'!$D$155:$D$385,255),0))),"")</f>
        <v/>
      </c>
      <c r="T1393" s="189" t="str">
        <f t="array" ref="T1393">IFERROR(IF(INDEX('Disaggregation Records'!$H$155:$H$385,MATCH(RIGHT(Q1393,255),RIGHT('Disaggregation Records'!$D$155:$D$385,255),0))=0,"",INDEX('Disaggregation Records'!$H$155:$H$385,MATCH(RIGHT(Q1393,255),RIGHT('Disaggregation Records'!$D$155:$D$385,255),0))),"")</f>
        <v/>
      </c>
      <c r="U1393" s="189">
        <f t="shared" ref="U1393" si="6006">U1391+1</f>
        <v>1798</v>
      </c>
      <c r="V1393" s="189" t="str">
        <f t="array" ref="V1393">IFERROR(IF(INDEX('Disaggregation Records'!$I$155:$I$385,MATCH(RIGHT(Q1393,255),RIGHT('Disaggregation Records'!$D$155:$D$385,255),0))=0,"",INDEX('Disaggregation Records'!$I$155:$I$385,MATCH(RIGHT(Q1393,255),RIGHT('Disaggregation Records'!$D$155:$D$385,255),0))),"")</f>
        <v/>
      </c>
      <c r="W1393" s="189" t="str">
        <f>IFERROR(INDEX('Reference Records'!L$59:L$121,MATCH(LEFT(C1393,255),'Reference Records'!E$59:E$121,0)),"")</f>
        <v/>
      </c>
    </row>
    <row r="1394" spans="1:23" s="189" customFormat="1" ht="40.200000000000003" customHeight="1" x14ac:dyDescent="0.3">
      <c r="A1394" s="678"/>
      <c r="B1394" s="675"/>
      <c r="C1394" s="667"/>
      <c r="D1394" s="677"/>
      <c r="E1394" s="677"/>
      <c r="F1394" s="202"/>
      <c r="G1394" s="669"/>
      <c r="H1394" s="671"/>
      <c r="I1394" s="673"/>
      <c r="J1394" s="652"/>
      <c r="K1394" s="667"/>
      <c r="L1394" s="667"/>
      <c r="M1394" s="652"/>
      <c r="N1394" s="652"/>
    </row>
    <row r="1395" spans="1:23" s="189" customFormat="1" ht="40.200000000000003" customHeight="1" x14ac:dyDescent="0.3">
      <c r="A1395" s="678" t="str">
        <f t="shared" ref="A1395" ca="1" si="6007">INDIRECT("'update Helper'!C"&amp;U1395)</f>
        <v>a163p000002zQfcAAE</v>
      </c>
      <c r="B1395" s="674">
        <v>20</v>
      </c>
      <c r="C1395" s="666" t="str">
        <f>VLOOKUP(B1395,'Coverage Indicators - Section D'!$A$9:$AU$70,47,FALSE)</f>
        <v xml:space="preserve">Pourcentage des Hommes âgés de 25 ans et plus dépistés pour le VIH et ayant reçu le résultat du test chaque année </v>
      </c>
      <c r="D1395" s="676" t="str">
        <f t="shared" ref="D1395" si="6008">R1395</f>
        <v/>
      </c>
      <c r="E1395" s="676" t="str">
        <f t="shared" ref="E1395" si="6009">S1395</f>
        <v/>
      </c>
      <c r="F1395" s="194"/>
      <c r="G1395" s="668" t="str">
        <f t="shared" ref="G1395" ca="1" si="6010">IF(OR(INDIRECT("'update Helper'!E"&amp;U1395)=0,F1395&lt;&gt;0,F1396&lt;&gt;0),IF(IFERROR((F1395/F1396),"")="","",(F1395/F1396)),INDIRECT("'update Helper'!E"&amp;U1395)/100)</f>
        <v/>
      </c>
      <c r="H1395" s="670"/>
      <c r="I1395" s="672"/>
      <c r="J1395" s="651"/>
      <c r="K1395" s="666" t="str">
        <f t="shared" ref="K1395" si="6011">W1395</f>
        <v/>
      </c>
      <c r="L1395" s="666" t="str">
        <f t="shared" ref="L1395" si="6012">V1395</f>
        <v/>
      </c>
      <c r="M1395" s="651"/>
      <c r="N1395" s="651"/>
      <c r="P1395" s="189">
        <f t="shared" ref="P1395" si="6013">IF(AND(EXACT(C1395,C1393),C1393&lt;&gt;0),P1393+1,0)</f>
        <v>7</v>
      </c>
      <c r="Q1395" s="189" t="str">
        <f t="shared" ref="Q1395" si="6014">IF(C1395&lt;&gt;"",C1395&amp;"-"&amp;P1395,"")</f>
        <v>Pourcentage des Hommes âgés de 25 ans et plus dépistés pour le VIH et ayant reçu le résultat du test chaque année -7</v>
      </c>
      <c r="R1395" s="189" t="str">
        <f t="array" ref="R1395">IFERROR(IF(INDEX('Disaggregation Records'!$E$155:$E$385,MATCH(RIGHT(Q1395,255),RIGHT('Disaggregation Records'!$D$155:$D$385,255),0))=0,"",INDEX('Disaggregation Records'!$E$155:$E$385,MATCH(RIGHT(Q1395,255),RIGHT('Disaggregation Records'!$D$155:$D$385,255),0))),"")</f>
        <v/>
      </c>
      <c r="S1395" s="189" t="str">
        <f t="array" ref="S1395">IFERROR(IF(INDEX('Disaggregation Records'!$F$155:$F$385,MATCH(RIGHT(Q1395,255),RIGHT('Disaggregation Records'!$D$155:$D$385,255),0))=0,"",INDEX('Disaggregation Records'!$F$155:$F$385,MATCH(RIGHT(Q1395,255),RIGHT('Disaggregation Records'!$D$155:$D$385,255),0))),"")</f>
        <v/>
      </c>
      <c r="T1395" s="189" t="str">
        <f t="array" ref="T1395">IFERROR(IF(INDEX('Disaggregation Records'!$H$155:$H$385,MATCH(RIGHT(Q1395,255),RIGHT('Disaggregation Records'!$D$155:$D$385,255),0))=0,"",INDEX('Disaggregation Records'!$H$155:$H$385,MATCH(RIGHT(Q1395,255),RIGHT('Disaggregation Records'!$D$155:$D$385,255),0))),"")</f>
        <v/>
      </c>
      <c r="U1395" s="189">
        <f t="shared" ref="U1395" si="6015">U1393+1</f>
        <v>1799</v>
      </c>
      <c r="V1395" s="189" t="str">
        <f t="array" ref="V1395">IFERROR(IF(INDEX('Disaggregation Records'!$I$155:$I$385,MATCH(RIGHT(Q1395,255),RIGHT('Disaggregation Records'!$D$155:$D$385,255),0))=0,"",INDEX('Disaggregation Records'!$I$155:$I$385,MATCH(RIGHT(Q1395,255),RIGHT('Disaggregation Records'!$D$155:$D$385,255),0))),"")</f>
        <v/>
      </c>
      <c r="W1395" s="189" t="str">
        <f>IFERROR(INDEX('Reference Records'!L$59:L$121,MATCH(LEFT(C1395,255),'Reference Records'!E$59:E$121,0)),"")</f>
        <v/>
      </c>
    </row>
    <row r="1396" spans="1:23" s="189" customFormat="1" ht="40.200000000000003" customHeight="1" x14ac:dyDescent="0.3">
      <c r="A1396" s="678"/>
      <c r="B1396" s="675"/>
      <c r="C1396" s="667"/>
      <c r="D1396" s="677"/>
      <c r="E1396" s="677"/>
      <c r="F1396" s="202"/>
      <c r="G1396" s="669"/>
      <c r="H1396" s="671"/>
      <c r="I1396" s="673"/>
      <c r="J1396" s="652"/>
      <c r="K1396" s="667"/>
      <c r="L1396" s="667"/>
      <c r="M1396" s="652"/>
      <c r="N1396" s="652"/>
    </row>
    <row r="1397" spans="1:23" s="189" customFormat="1" ht="40.200000000000003" customHeight="1" x14ac:dyDescent="0.3">
      <c r="A1397" s="678" t="str">
        <f t="shared" ref="A1397" ca="1" si="6016">INDIRECT("'update Helper'!C"&amp;U1397)</f>
        <v>a163p000002zQfdAAE</v>
      </c>
      <c r="B1397" s="674">
        <v>20</v>
      </c>
      <c r="C1397" s="666" t="str">
        <f>VLOOKUP(B1397,'Coverage Indicators - Section D'!$A$9:$AU$70,47,FALSE)</f>
        <v xml:space="preserve">Pourcentage des Hommes âgés de 25 ans et plus dépistés pour le VIH et ayant reçu le résultat du test chaque année </v>
      </c>
      <c r="D1397" s="676" t="str">
        <f t="shared" ref="D1397" si="6017">R1397</f>
        <v/>
      </c>
      <c r="E1397" s="676" t="str">
        <f t="shared" ref="E1397" si="6018">S1397</f>
        <v/>
      </c>
      <c r="F1397" s="194"/>
      <c r="G1397" s="668" t="str">
        <f t="shared" ref="G1397" ca="1" si="6019">IF(OR(INDIRECT("'update Helper'!E"&amp;U1397)=0,F1397&lt;&gt;0,F1398&lt;&gt;0),IF(IFERROR((F1397/F1398),"")="","",(F1397/F1398)),INDIRECT("'update Helper'!E"&amp;U1397)/100)</f>
        <v/>
      </c>
      <c r="H1397" s="670"/>
      <c r="I1397" s="672"/>
      <c r="J1397" s="651"/>
      <c r="K1397" s="666" t="str">
        <f t="shared" ref="K1397" si="6020">W1397</f>
        <v/>
      </c>
      <c r="L1397" s="666" t="str">
        <f t="shared" ref="L1397" si="6021">V1397</f>
        <v/>
      </c>
      <c r="M1397" s="651"/>
      <c r="N1397" s="651"/>
      <c r="P1397" s="189">
        <f t="shared" ref="P1397" si="6022">IF(AND(EXACT(C1397,C1395),C1395&lt;&gt;0),P1395+1,0)</f>
        <v>8</v>
      </c>
      <c r="Q1397" s="189" t="str">
        <f t="shared" ref="Q1397" si="6023">IF(C1397&lt;&gt;"",C1397&amp;"-"&amp;P1397,"")</f>
        <v>Pourcentage des Hommes âgés de 25 ans et plus dépistés pour le VIH et ayant reçu le résultat du test chaque année -8</v>
      </c>
      <c r="R1397" s="189" t="str">
        <f t="array" ref="R1397">IFERROR(IF(INDEX('Disaggregation Records'!$E$155:$E$385,MATCH(RIGHT(Q1397,255),RIGHT('Disaggregation Records'!$D$155:$D$385,255),0))=0,"",INDEX('Disaggregation Records'!$E$155:$E$385,MATCH(RIGHT(Q1397,255),RIGHT('Disaggregation Records'!$D$155:$D$385,255),0))),"")</f>
        <v/>
      </c>
      <c r="S1397" s="189" t="str">
        <f t="array" ref="S1397">IFERROR(IF(INDEX('Disaggregation Records'!$F$155:$F$385,MATCH(RIGHT(Q1397,255),RIGHT('Disaggregation Records'!$D$155:$D$385,255),0))=0,"",INDEX('Disaggregation Records'!$F$155:$F$385,MATCH(RIGHT(Q1397,255),RIGHT('Disaggregation Records'!$D$155:$D$385,255),0))),"")</f>
        <v/>
      </c>
      <c r="T1397" s="189" t="str">
        <f t="array" ref="T1397">IFERROR(IF(INDEX('Disaggregation Records'!$H$155:$H$385,MATCH(RIGHT(Q1397,255),RIGHT('Disaggregation Records'!$D$155:$D$385,255),0))=0,"",INDEX('Disaggregation Records'!$H$155:$H$385,MATCH(RIGHT(Q1397,255),RIGHT('Disaggregation Records'!$D$155:$D$385,255),0))),"")</f>
        <v/>
      </c>
      <c r="U1397" s="189">
        <f t="shared" ref="U1397" si="6024">U1395+1</f>
        <v>1800</v>
      </c>
      <c r="V1397" s="189" t="str">
        <f t="array" ref="V1397">IFERROR(IF(INDEX('Disaggregation Records'!$I$155:$I$385,MATCH(RIGHT(Q1397,255),RIGHT('Disaggregation Records'!$D$155:$D$385,255),0))=0,"",INDEX('Disaggregation Records'!$I$155:$I$385,MATCH(RIGHT(Q1397,255),RIGHT('Disaggregation Records'!$D$155:$D$385,255),0))),"")</f>
        <v/>
      </c>
      <c r="W1397" s="189" t="str">
        <f>IFERROR(INDEX('Reference Records'!L$59:L$121,MATCH(LEFT(C1397,255),'Reference Records'!E$59:E$121,0)),"")</f>
        <v/>
      </c>
    </row>
    <row r="1398" spans="1:23" s="189" customFormat="1" ht="40.200000000000003" customHeight="1" x14ac:dyDescent="0.3">
      <c r="A1398" s="678"/>
      <c r="B1398" s="675"/>
      <c r="C1398" s="667"/>
      <c r="D1398" s="677"/>
      <c r="E1398" s="677"/>
      <c r="F1398" s="202"/>
      <c r="G1398" s="669"/>
      <c r="H1398" s="671"/>
      <c r="I1398" s="673"/>
      <c r="J1398" s="652"/>
      <c r="K1398" s="667"/>
      <c r="L1398" s="667"/>
      <c r="M1398" s="652"/>
      <c r="N1398" s="652"/>
    </row>
    <row r="1399" spans="1:23" s="189" customFormat="1" ht="40.200000000000003" customHeight="1" x14ac:dyDescent="0.3">
      <c r="A1399" s="678" t="str">
        <f t="shared" ref="A1399" ca="1" si="6025">INDIRECT("'update Helper'!C"&amp;U1399)</f>
        <v>a163p000002zQfeAAE</v>
      </c>
      <c r="B1399" s="674">
        <v>20</v>
      </c>
      <c r="C1399" s="666" t="str">
        <f>VLOOKUP(B1399,'Coverage Indicators - Section D'!$A$9:$AU$70,47,FALSE)</f>
        <v xml:space="preserve">Pourcentage des Hommes âgés de 25 ans et plus dépistés pour le VIH et ayant reçu le résultat du test chaque année </v>
      </c>
      <c r="D1399" s="676" t="str">
        <f t="shared" ref="D1399" si="6026">R1399</f>
        <v/>
      </c>
      <c r="E1399" s="676" t="str">
        <f t="shared" ref="E1399" si="6027">S1399</f>
        <v/>
      </c>
      <c r="F1399" s="194"/>
      <c r="G1399" s="668" t="str">
        <f t="shared" ref="G1399" ca="1" si="6028">IF(OR(INDIRECT("'update Helper'!E"&amp;U1399)=0,F1399&lt;&gt;0,F1400&lt;&gt;0),IF(IFERROR((F1399/F1400),"")="","",(F1399/F1400)),INDIRECT("'update Helper'!E"&amp;U1399)/100)</f>
        <v/>
      </c>
      <c r="H1399" s="670"/>
      <c r="I1399" s="672"/>
      <c r="J1399" s="651"/>
      <c r="K1399" s="666" t="str">
        <f t="shared" ref="K1399" si="6029">W1399</f>
        <v/>
      </c>
      <c r="L1399" s="666" t="str">
        <f t="shared" ref="L1399" si="6030">V1399</f>
        <v/>
      </c>
      <c r="M1399" s="651"/>
      <c r="N1399" s="651"/>
      <c r="P1399" s="189">
        <f t="shared" ref="P1399" si="6031">IF(AND(EXACT(C1399,C1397),C1397&lt;&gt;0),P1397+1,0)</f>
        <v>9</v>
      </c>
      <c r="Q1399" s="189" t="str">
        <f t="shared" ref="Q1399" si="6032">IF(C1399&lt;&gt;"",C1399&amp;"-"&amp;P1399,"")</f>
        <v>Pourcentage des Hommes âgés de 25 ans et plus dépistés pour le VIH et ayant reçu le résultat du test chaque année -9</v>
      </c>
      <c r="R1399" s="189" t="str">
        <f t="array" ref="R1399">IFERROR(IF(INDEX('Disaggregation Records'!$E$155:$E$385,MATCH(RIGHT(Q1399,255),RIGHT('Disaggregation Records'!$D$155:$D$385,255),0))=0,"",INDEX('Disaggregation Records'!$E$155:$E$385,MATCH(RIGHT(Q1399,255),RIGHT('Disaggregation Records'!$D$155:$D$385,255),0))),"")</f>
        <v/>
      </c>
      <c r="S1399" s="189" t="str">
        <f t="array" ref="S1399">IFERROR(IF(INDEX('Disaggregation Records'!$F$155:$F$385,MATCH(RIGHT(Q1399,255),RIGHT('Disaggregation Records'!$D$155:$D$385,255),0))=0,"",INDEX('Disaggregation Records'!$F$155:$F$385,MATCH(RIGHT(Q1399,255),RIGHT('Disaggregation Records'!$D$155:$D$385,255),0))),"")</f>
        <v/>
      </c>
      <c r="T1399" s="189" t="str">
        <f t="array" ref="T1399">IFERROR(IF(INDEX('Disaggregation Records'!$H$155:$H$385,MATCH(RIGHT(Q1399,255),RIGHT('Disaggregation Records'!$D$155:$D$385,255),0))=0,"",INDEX('Disaggregation Records'!$H$155:$H$385,MATCH(RIGHT(Q1399,255),RIGHT('Disaggregation Records'!$D$155:$D$385,255),0))),"")</f>
        <v/>
      </c>
      <c r="U1399" s="189">
        <f t="shared" ref="U1399" si="6033">U1397+1</f>
        <v>1801</v>
      </c>
      <c r="V1399" s="189" t="str">
        <f t="array" ref="V1399">IFERROR(IF(INDEX('Disaggregation Records'!$I$155:$I$385,MATCH(RIGHT(Q1399,255),RIGHT('Disaggregation Records'!$D$155:$D$385,255),0))=0,"",INDEX('Disaggregation Records'!$I$155:$I$385,MATCH(RIGHT(Q1399,255),RIGHT('Disaggregation Records'!$D$155:$D$385,255),0))),"")</f>
        <v/>
      </c>
      <c r="W1399" s="189" t="str">
        <f>IFERROR(INDEX('Reference Records'!L$59:L$121,MATCH(LEFT(C1399,255),'Reference Records'!E$59:E$121,0)),"")</f>
        <v/>
      </c>
    </row>
    <row r="1400" spans="1:23" s="189" customFormat="1" ht="40.200000000000003" customHeight="1" x14ac:dyDescent="0.3">
      <c r="A1400" s="678"/>
      <c r="B1400" s="675"/>
      <c r="C1400" s="667"/>
      <c r="D1400" s="677"/>
      <c r="E1400" s="677"/>
      <c r="F1400" s="202"/>
      <c r="G1400" s="669"/>
      <c r="H1400" s="671"/>
      <c r="I1400" s="673"/>
      <c r="J1400" s="652"/>
      <c r="K1400" s="667"/>
      <c r="L1400" s="667"/>
      <c r="M1400" s="652"/>
      <c r="N1400" s="652"/>
    </row>
    <row r="1401" spans="1:23" s="189" customFormat="1" ht="40.200000000000003" customHeight="1" x14ac:dyDescent="0.3">
      <c r="A1401" s="678" t="str">
        <f t="shared" ref="A1401" ca="1" si="6034">INDIRECT("'update Helper'!C"&amp;U1401)</f>
        <v>a163p000002zQffAAE</v>
      </c>
      <c r="B1401" s="674">
        <v>20</v>
      </c>
      <c r="C1401" s="666" t="str">
        <f>VLOOKUP(B1401,'Coverage Indicators - Section D'!$A$9:$AU$70,47,FALSE)</f>
        <v xml:space="preserve">Pourcentage des Hommes âgés de 25 ans et plus dépistés pour le VIH et ayant reçu le résultat du test chaque année </v>
      </c>
      <c r="D1401" s="676" t="str">
        <f t="shared" ref="D1401" si="6035">R1401</f>
        <v/>
      </c>
      <c r="E1401" s="676" t="str">
        <f t="shared" ref="E1401" si="6036">S1401</f>
        <v/>
      </c>
      <c r="F1401" s="194"/>
      <c r="G1401" s="668" t="str">
        <f t="shared" ref="G1401" ca="1" si="6037">IF(OR(INDIRECT("'update Helper'!E"&amp;U1401)=0,F1401&lt;&gt;0,F1402&lt;&gt;0),IF(IFERROR((F1401/F1402),"")="","",(F1401/F1402)),INDIRECT("'update Helper'!E"&amp;U1401)/100)</f>
        <v/>
      </c>
      <c r="H1401" s="670"/>
      <c r="I1401" s="672"/>
      <c r="J1401" s="651"/>
      <c r="K1401" s="666" t="str">
        <f t="shared" ref="K1401" si="6038">W1401</f>
        <v/>
      </c>
      <c r="L1401" s="666" t="str">
        <f t="shared" ref="L1401" si="6039">V1401</f>
        <v/>
      </c>
      <c r="M1401" s="651"/>
      <c r="N1401" s="651"/>
      <c r="P1401" s="189">
        <f t="shared" ref="P1401" si="6040">IF(AND(EXACT(C1401,C1399),C1399&lt;&gt;0),P1399+1,0)</f>
        <v>10</v>
      </c>
      <c r="Q1401" s="189" t="str">
        <f t="shared" ref="Q1401" si="6041">IF(C1401&lt;&gt;"",C1401&amp;"-"&amp;P1401,"")</f>
        <v>Pourcentage des Hommes âgés de 25 ans et plus dépistés pour le VIH et ayant reçu le résultat du test chaque année -10</v>
      </c>
      <c r="R1401" s="189" t="str">
        <f t="array" ref="R1401">IFERROR(IF(INDEX('Disaggregation Records'!$E$155:$E$385,MATCH(RIGHT(Q1401,255),RIGHT('Disaggregation Records'!$D$155:$D$385,255),0))=0,"",INDEX('Disaggregation Records'!$E$155:$E$385,MATCH(RIGHT(Q1401,255),RIGHT('Disaggregation Records'!$D$155:$D$385,255),0))),"")</f>
        <v/>
      </c>
      <c r="S1401" s="189" t="str">
        <f t="array" ref="S1401">IFERROR(IF(INDEX('Disaggregation Records'!$F$155:$F$385,MATCH(RIGHT(Q1401,255),RIGHT('Disaggregation Records'!$D$155:$D$385,255),0))=0,"",INDEX('Disaggregation Records'!$F$155:$F$385,MATCH(RIGHT(Q1401,255),RIGHT('Disaggregation Records'!$D$155:$D$385,255),0))),"")</f>
        <v/>
      </c>
      <c r="T1401" s="189" t="str">
        <f t="array" ref="T1401">IFERROR(IF(INDEX('Disaggregation Records'!$H$155:$H$385,MATCH(RIGHT(Q1401,255),RIGHT('Disaggregation Records'!$D$155:$D$385,255),0))=0,"",INDEX('Disaggregation Records'!$H$155:$H$385,MATCH(RIGHT(Q1401,255),RIGHT('Disaggregation Records'!$D$155:$D$385,255),0))),"")</f>
        <v/>
      </c>
      <c r="U1401" s="189">
        <f t="shared" ref="U1401" si="6042">U1399+1</f>
        <v>1802</v>
      </c>
      <c r="V1401" s="189" t="str">
        <f t="array" ref="V1401">IFERROR(IF(INDEX('Disaggregation Records'!$I$155:$I$385,MATCH(RIGHT(Q1401,255),RIGHT('Disaggregation Records'!$D$155:$D$385,255),0))=0,"",INDEX('Disaggregation Records'!$I$155:$I$385,MATCH(RIGHT(Q1401,255),RIGHT('Disaggregation Records'!$D$155:$D$385,255),0))),"")</f>
        <v/>
      </c>
      <c r="W1401" s="189" t="str">
        <f>IFERROR(INDEX('Reference Records'!L$59:L$121,MATCH(LEFT(C1401,255),'Reference Records'!E$59:E$121,0)),"")</f>
        <v/>
      </c>
    </row>
    <row r="1402" spans="1:23" s="189" customFormat="1" ht="40.200000000000003" customHeight="1" x14ac:dyDescent="0.3">
      <c r="A1402" s="678"/>
      <c r="B1402" s="675"/>
      <c r="C1402" s="667"/>
      <c r="D1402" s="677"/>
      <c r="E1402" s="677"/>
      <c r="F1402" s="202"/>
      <c r="G1402" s="669"/>
      <c r="H1402" s="671"/>
      <c r="I1402" s="673"/>
      <c r="J1402" s="652"/>
      <c r="K1402" s="667"/>
      <c r="L1402" s="667"/>
      <c r="M1402" s="652"/>
      <c r="N1402" s="652"/>
    </row>
    <row r="1403" spans="1:23" s="189" customFormat="1" ht="40.200000000000003" customHeight="1" x14ac:dyDescent="0.3">
      <c r="A1403" s="678" t="str">
        <f t="shared" ref="A1403" ca="1" si="6043">INDIRECT("'update Helper'!C"&amp;U1403)</f>
        <v>a163p000002zQfgAAE</v>
      </c>
      <c r="B1403" s="674">
        <v>20</v>
      </c>
      <c r="C1403" s="666" t="str">
        <f>VLOOKUP(B1403,'Coverage Indicators - Section D'!$A$9:$AU$70,47,FALSE)</f>
        <v xml:space="preserve">Pourcentage des Hommes âgés de 25 ans et plus dépistés pour le VIH et ayant reçu le résultat du test chaque année </v>
      </c>
      <c r="D1403" s="676" t="str">
        <f t="shared" ref="D1403" si="6044">R1403</f>
        <v/>
      </c>
      <c r="E1403" s="676" t="str">
        <f t="shared" ref="E1403" si="6045">S1403</f>
        <v/>
      </c>
      <c r="F1403" s="194"/>
      <c r="G1403" s="668" t="str">
        <f t="shared" ref="G1403" ca="1" si="6046">IF(OR(INDIRECT("'update Helper'!E"&amp;U1403)=0,F1403&lt;&gt;0,F1404&lt;&gt;0),IF(IFERROR((F1403/F1404),"")="","",(F1403/F1404)),INDIRECT("'update Helper'!E"&amp;U1403)/100)</f>
        <v/>
      </c>
      <c r="H1403" s="670"/>
      <c r="I1403" s="672"/>
      <c r="J1403" s="651"/>
      <c r="K1403" s="666" t="str">
        <f t="shared" ref="K1403" si="6047">W1403</f>
        <v/>
      </c>
      <c r="L1403" s="666" t="str">
        <f t="shared" ref="L1403" si="6048">V1403</f>
        <v/>
      </c>
      <c r="M1403" s="651"/>
      <c r="N1403" s="651"/>
      <c r="P1403" s="189">
        <f t="shared" ref="P1403" si="6049">IF(AND(EXACT(C1403,C1401),C1401&lt;&gt;0),P1401+1,0)</f>
        <v>11</v>
      </c>
      <c r="Q1403" s="189" t="str">
        <f t="shared" ref="Q1403" si="6050">IF(C1403&lt;&gt;"",C1403&amp;"-"&amp;P1403,"")</f>
        <v>Pourcentage des Hommes âgés de 25 ans et plus dépistés pour le VIH et ayant reçu le résultat du test chaque année -11</v>
      </c>
      <c r="R1403" s="189" t="str">
        <f t="array" ref="R1403">IFERROR(IF(INDEX('Disaggregation Records'!$E$155:$E$385,MATCH(RIGHT(Q1403,255),RIGHT('Disaggregation Records'!$D$155:$D$385,255),0))=0,"",INDEX('Disaggregation Records'!$E$155:$E$385,MATCH(RIGHT(Q1403,255),RIGHT('Disaggregation Records'!$D$155:$D$385,255),0))),"")</f>
        <v/>
      </c>
      <c r="S1403" s="189" t="str">
        <f t="array" ref="S1403">IFERROR(IF(INDEX('Disaggregation Records'!$F$155:$F$385,MATCH(RIGHT(Q1403,255),RIGHT('Disaggregation Records'!$D$155:$D$385,255),0))=0,"",INDEX('Disaggregation Records'!$F$155:$F$385,MATCH(RIGHT(Q1403,255),RIGHT('Disaggregation Records'!$D$155:$D$385,255),0))),"")</f>
        <v/>
      </c>
      <c r="T1403" s="189" t="str">
        <f t="array" ref="T1403">IFERROR(IF(INDEX('Disaggregation Records'!$H$155:$H$385,MATCH(RIGHT(Q1403,255),RIGHT('Disaggregation Records'!$D$155:$D$385,255),0))=0,"",INDEX('Disaggregation Records'!$H$155:$H$385,MATCH(RIGHT(Q1403,255),RIGHT('Disaggregation Records'!$D$155:$D$385,255),0))),"")</f>
        <v/>
      </c>
      <c r="U1403" s="189">
        <f t="shared" ref="U1403" si="6051">U1401+1</f>
        <v>1803</v>
      </c>
      <c r="V1403" s="189" t="str">
        <f t="array" ref="V1403">IFERROR(IF(INDEX('Disaggregation Records'!$I$155:$I$385,MATCH(RIGHT(Q1403,255),RIGHT('Disaggregation Records'!$D$155:$D$385,255),0))=0,"",INDEX('Disaggregation Records'!$I$155:$I$385,MATCH(RIGHT(Q1403,255),RIGHT('Disaggregation Records'!$D$155:$D$385,255),0))),"")</f>
        <v/>
      </c>
      <c r="W1403" s="189" t="str">
        <f>IFERROR(INDEX('Reference Records'!L$59:L$121,MATCH(LEFT(C1403,255),'Reference Records'!E$59:E$121,0)),"")</f>
        <v/>
      </c>
    </row>
    <row r="1404" spans="1:23" s="189" customFormat="1" ht="40.200000000000003" customHeight="1" x14ac:dyDescent="0.3">
      <c r="A1404" s="678"/>
      <c r="B1404" s="675"/>
      <c r="C1404" s="667"/>
      <c r="D1404" s="677"/>
      <c r="E1404" s="677"/>
      <c r="F1404" s="202"/>
      <c r="G1404" s="669"/>
      <c r="H1404" s="671"/>
      <c r="I1404" s="673"/>
      <c r="J1404" s="652"/>
      <c r="K1404" s="667"/>
      <c r="L1404" s="667"/>
      <c r="M1404" s="652"/>
      <c r="N1404" s="652"/>
    </row>
    <row r="1405" spans="1:23" s="189" customFormat="1" ht="40.200000000000003" customHeight="1" x14ac:dyDescent="0.3">
      <c r="A1405" s="678" t="str">
        <f t="shared" ref="A1405" ca="1" si="6052">INDIRECT("'update Helper'!C"&amp;U1405)</f>
        <v>a163p000002zQfhAAE</v>
      </c>
      <c r="B1405" s="674">
        <v>20</v>
      </c>
      <c r="C1405" s="666" t="str">
        <f>VLOOKUP(B1405,'Coverage Indicators - Section D'!$A$9:$AU$70,47,FALSE)</f>
        <v xml:space="preserve">Pourcentage des Hommes âgés de 25 ans et plus dépistés pour le VIH et ayant reçu le résultat du test chaque année </v>
      </c>
      <c r="D1405" s="676" t="str">
        <f t="shared" ref="D1405" si="6053">R1405</f>
        <v/>
      </c>
      <c r="E1405" s="676" t="str">
        <f t="shared" ref="E1405" si="6054">S1405</f>
        <v/>
      </c>
      <c r="F1405" s="194"/>
      <c r="G1405" s="668" t="str">
        <f t="shared" ref="G1405" ca="1" si="6055">IF(OR(INDIRECT("'update Helper'!E"&amp;U1405)=0,F1405&lt;&gt;0,F1406&lt;&gt;0),IF(IFERROR((F1405/F1406),"")="","",(F1405/F1406)),INDIRECT("'update Helper'!E"&amp;U1405)/100)</f>
        <v/>
      </c>
      <c r="H1405" s="670"/>
      <c r="I1405" s="672"/>
      <c r="J1405" s="651"/>
      <c r="K1405" s="666" t="str">
        <f t="shared" ref="K1405" si="6056">W1405</f>
        <v/>
      </c>
      <c r="L1405" s="666" t="str">
        <f t="shared" ref="L1405" si="6057">V1405</f>
        <v/>
      </c>
      <c r="M1405" s="651"/>
      <c r="N1405" s="651"/>
      <c r="P1405" s="189">
        <f t="shared" ref="P1405" si="6058">IF(AND(EXACT(C1405,C1403),C1403&lt;&gt;0),P1403+1,0)</f>
        <v>12</v>
      </c>
      <c r="Q1405" s="189" t="str">
        <f t="shared" ref="Q1405" si="6059">IF(C1405&lt;&gt;"",C1405&amp;"-"&amp;P1405,"")</f>
        <v>Pourcentage des Hommes âgés de 25 ans et plus dépistés pour le VIH et ayant reçu le résultat du test chaque année -12</v>
      </c>
      <c r="R1405" s="189" t="str">
        <f t="array" ref="R1405">IFERROR(IF(INDEX('Disaggregation Records'!$E$155:$E$385,MATCH(RIGHT(Q1405,255),RIGHT('Disaggregation Records'!$D$155:$D$385,255),0))=0,"",INDEX('Disaggregation Records'!$E$155:$E$385,MATCH(RIGHT(Q1405,255),RIGHT('Disaggregation Records'!$D$155:$D$385,255),0))),"")</f>
        <v/>
      </c>
      <c r="S1405" s="189" t="str">
        <f t="array" ref="S1405">IFERROR(IF(INDEX('Disaggregation Records'!$F$155:$F$385,MATCH(RIGHT(Q1405,255),RIGHT('Disaggregation Records'!$D$155:$D$385,255),0))=0,"",INDEX('Disaggregation Records'!$F$155:$F$385,MATCH(RIGHT(Q1405,255),RIGHT('Disaggregation Records'!$D$155:$D$385,255),0))),"")</f>
        <v/>
      </c>
      <c r="T1405" s="189" t="str">
        <f t="array" ref="T1405">IFERROR(IF(INDEX('Disaggregation Records'!$H$155:$H$385,MATCH(RIGHT(Q1405,255),RIGHT('Disaggregation Records'!$D$155:$D$385,255),0))=0,"",INDEX('Disaggregation Records'!$H$155:$H$385,MATCH(RIGHT(Q1405,255),RIGHT('Disaggregation Records'!$D$155:$D$385,255),0))),"")</f>
        <v/>
      </c>
      <c r="U1405" s="189">
        <f t="shared" ref="U1405" si="6060">U1403+1</f>
        <v>1804</v>
      </c>
      <c r="V1405" s="189" t="str">
        <f t="array" ref="V1405">IFERROR(IF(INDEX('Disaggregation Records'!$I$155:$I$385,MATCH(RIGHT(Q1405,255),RIGHT('Disaggregation Records'!$D$155:$D$385,255),0))=0,"",INDEX('Disaggregation Records'!$I$155:$I$385,MATCH(RIGHT(Q1405,255),RIGHT('Disaggregation Records'!$D$155:$D$385,255),0))),"")</f>
        <v/>
      </c>
      <c r="W1405" s="189" t="str">
        <f>IFERROR(INDEX('Reference Records'!L$59:L$121,MATCH(LEFT(C1405,255),'Reference Records'!E$59:E$121,0)),"")</f>
        <v/>
      </c>
    </row>
    <row r="1406" spans="1:23" s="189" customFormat="1" ht="40.200000000000003" customHeight="1" x14ac:dyDescent="0.3">
      <c r="A1406" s="678"/>
      <c r="B1406" s="675"/>
      <c r="C1406" s="667"/>
      <c r="D1406" s="677"/>
      <c r="E1406" s="677"/>
      <c r="F1406" s="202"/>
      <c r="G1406" s="669"/>
      <c r="H1406" s="671"/>
      <c r="I1406" s="673"/>
      <c r="J1406" s="652"/>
      <c r="K1406" s="667"/>
      <c r="L1406" s="667"/>
      <c r="M1406" s="652"/>
      <c r="N1406" s="652"/>
    </row>
    <row r="1407" spans="1:23" s="189" customFormat="1" ht="40.200000000000003" customHeight="1" x14ac:dyDescent="0.3">
      <c r="A1407" s="678" t="str">
        <f t="shared" ref="A1407" ca="1" si="6061">INDIRECT("'update Helper'!C"&amp;U1407)</f>
        <v>a163p000002zQfiAAE</v>
      </c>
      <c r="B1407" s="674">
        <v>20</v>
      </c>
      <c r="C1407" s="666" t="str">
        <f>VLOOKUP(B1407,'Coverage Indicators - Section D'!$A$9:$AU$70,47,FALSE)</f>
        <v xml:space="preserve">Pourcentage des Hommes âgés de 25 ans et plus dépistés pour le VIH et ayant reçu le résultat du test chaque année </v>
      </c>
      <c r="D1407" s="676" t="str">
        <f t="shared" ref="D1407" si="6062">R1407</f>
        <v/>
      </c>
      <c r="E1407" s="676" t="str">
        <f t="shared" ref="E1407" si="6063">S1407</f>
        <v/>
      </c>
      <c r="F1407" s="194"/>
      <c r="G1407" s="668" t="str">
        <f t="shared" ref="G1407" ca="1" si="6064">IF(OR(INDIRECT("'update Helper'!E"&amp;U1407)=0,F1407&lt;&gt;0,F1408&lt;&gt;0),IF(IFERROR((F1407/F1408),"")="","",(F1407/F1408)),INDIRECT("'update Helper'!E"&amp;U1407)/100)</f>
        <v/>
      </c>
      <c r="H1407" s="670"/>
      <c r="I1407" s="672"/>
      <c r="J1407" s="651"/>
      <c r="K1407" s="666" t="str">
        <f t="shared" ref="K1407" si="6065">W1407</f>
        <v/>
      </c>
      <c r="L1407" s="666" t="str">
        <f t="shared" ref="L1407" si="6066">V1407</f>
        <v/>
      </c>
      <c r="M1407" s="651"/>
      <c r="N1407" s="651"/>
      <c r="P1407" s="189">
        <f t="shared" ref="P1407" si="6067">IF(AND(EXACT(C1407,C1405),C1405&lt;&gt;0),P1405+1,0)</f>
        <v>13</v>
      </c>
      <c r="Q1407" s="189" t="str">
        <f t="shared" ref="Q1407" si="6068">IF(C1407&lt;&gt;"",C1407&amp;"-"&amp;P1407,"")</f>
        <v>Pourcentage des Hommes âgés de 25 ans et plus dépistés pour le VIH et ayant reçu le résultat du test chaque année -13</v>
      </c>
      <c r="R1407" s="189" t="str">
        <f t="array" ref="R1407">IFERROR(IF(INDEX('Disaggregation Records'!$E$155:$E$385,MATCH(RIGHT(Q1407,255),RIGHT('Disaggregation Records'!$D$155:$D$385,255),0))=0,"",INDEX('Disaggregation Records'!$E$155:$E$385,MATCH(RIGHT(Q1407,255),RIGHT('Disaggregation Records'!$D$155:$D$385,255),0))),"")</f>
        <v/>
      </c>
      <c r="S1407" s="189" t="str">
        <f t="array" ref="S1407">IFERROR(IF(INDEX('Disaggregation Records'!$F$155:$F$385,MATCH(RIGHT(Q1407,255),RIGHT('Disaggregation Records'!$D$155:$D$385,255),0))=0,"",INDEX('Disaggregation Records'!$F$155:$F$385,MATCH(RIGHT(Q1407,255),RIGHT('Disaggregation Records'!$D$155:$D$385,255),0))),"")</f>
        <v/>
      </c>
      <c r="T1407" s="189" t="str">
        <f t="array" ref="T1407">IFERROR(IF(INDEX('Disaggregation Records'!$H$155:$H$385,MATCH(RIGHT(Q1407,255),RIGHT('Disaggregation Records'!$D$155:$D$385,255),0))=0,"",INDEX('Disaggregation Records'!$H$155:$H$385,MATCH(RIGHT(Q1407,255),RIGHT('Disaggregation Records'!$D$155:$D$385,255),0))),"")</f>
        <v/>
      </c>
      <c r="U1407" s="189">
        <f t="shared" ref="U1407" si="6069">U1405+1</f>
        <v>1805</v>
      </c>
      <c r="V1407" s="189" t="str">
        <f t="array" ref="V1407">IFERROR(IF(INDEX('Disaggregation Records'!$I$155:$I$385,MATCH(RIGHT(Q1407,255),RIGHT('Disaggregation Records'!$D$155:$D$385,255),0))=0,"",INDEX('Disaggregation Records'!$I$155:$I$385,MATCH(RIGHT(Q1407,255),RIGHT('Disaggregation Records'!$D$155:$D$385,255),0))),"")</f>
        <v/>
      </c>
      <c r="W1407" s="189" t="str">
        <f>IFERROR(INDEX('Reference Records'!L$59:L$121,MATCH(LEFT(C1407,255),'Reference Records'!E$59:E$121,0)),"")</f>
        <v/>
      </c>
    </row>
    <row r="1408" spans="1:23" s="189" customFormat="1" ht="40.200000000000003" customHeight="1" x14ac:dyDescent="0.3">
      <c r="A1408" s="678"/>
      <c r="B1408" s="675"/>
      <c r="C1408" s="667"/>
      <c r="D1408" s="677"/>
      <c r="E1408" s="677"/>
      <c r="F1408" s="202"/>
      <c r="G1408" s="669"/>
      <c r="H1408" s="671"/>
      <c r="I1408" s="673"/>
      <c r="J1408" s="652"/>
      <c r="K1408" s="667"/>
      <c r="L1408" s="667"/>
      <c r="M1408" s="652"/>
      <c r="N1408" s="652"/>
    </row>
    <row r="1409" spans="1:23" s="189" customFormat="1" ht="40.200000000000003" customHeight="1" x14ac:dyDescent="0.3">
      <c r="A1409" s="678" t="str">
        <f t="shared" ref="A1409" ca="1" si="6070">INDIRECT("'update Helper'!C"&amp;U1409)</f>
        <v>a163p000002zQfjAAE</v>
      </c>
      <c r="B1409" s="674">
        <v>20</v>
      </c>
      <c r="C1409" s="666" t="str">
        <f>VLOOKUP(B1409,'Coverage Indicators - Section D'!$A$9:$AU$70,47,FALSE)</f>
        <v xml:space="preserve">Pourcentage des Hommes âgés de 25 ans et plus dépistés pour le VIH et ayant reçu le résultat du test chaque année </v>
      </c>
      <c r="D1409" s="676" t="str">
        <f t="shared" ref="D1409" si="6071">R1409</f>
        <v/>
      </c>
      <c r="E1409" s="676" t="str">
        <f t="shared" ref="E1409" si="6072">S1409</f>
        <v/>
      </c>
      <c r="F1409" s="194"/>
      <c r="G1409" s="668" t="str">
        <f t="shared" ref="G1409" ca="1" si="6073">IF(OR(INDIRECT("'update Helper'!E"&amp;U1409)=0,F1409&lt;&gt;0,F1410&lt;&gt;0),IF(IFERROR((F1409/F1410),"")="","",(F1409/F1410)),INDIRECT("'update Helper'!E"&amp;U1409)/100)</f>
        <v/>
      </c>
      <c r="H1409" s="670"/>
      <c r="I1409" s="672"/>
      <c r="J1409" s="651"/>
      <c r="K1409" s="666" t="str">
        <f t="shared" ref="K1409" si="6074">W1409</f>
        <v/>
      </c>
      <c r="L1409" s="666" t="str">
        <f t="shared" ref="L1409" si="6075">V1409</f>
        <v/>
      </c>
      <c r="M1409" s="651"/>
      <c r="N1409" s="651"/>
      <c r="P1409" s="189">
        <f t="shared" ref="P1409" si="6076">IF(AND(EXACT(C1409,C1407),C1407&lt;&gt;0),P1407+1,0)</f>
        <v>14</v>
      </c>
      <c r="Q1409" s="189" t="str">
        <f t="shared" ref="Q1409" si="6077">IF(C1409&lt;&gt;"",C1409&amp;"-"&amp;P1409,"")</f>
        <v>Pourcentage des Hommes âgés de 25 ans et plus dépistés pour le VIH et ayant reçu le résultat du test chaque année -14</v>
      </c>
      <c r="R1409" s="189" t="str">
        <f t="array" ref="R1409">IFERROR(IF(INDEX('Disaggregation Records'!$E$155:$E$385,MATCH(RIGHT(Q1409,255),RIGHT('Disaggregation Records'!$D$155:$D$385,255),0))=0,"",INDEX('Disaggregation Records'!$E$155:$E$385,MATCH(RIGHT(Q1409,255),RIGHT('Disaggregation Records'!$D$155:$D$385,255),0))),"")</f>
        <v/>
      </c>
      <c r="S1409" s="189" t="str">
        <f t="array" ref="S1409">IFERROR(IF(INDEX('Disaggregation Records'!$F$155:$F$385,MATCH(RIGHT(Q1409,255),RIGHT('Disaggregation Records'!$D$155:$D$385,255),0))=0,"",INDEX('Disaggregation Records'!$F$155:$F$385,MATCH(RIGHT(Q1409,255),RIGHT('Disaggregation Records'!$D$155:$D$385,255),0))),"")</f>
        <v/>
      </c>
      <c r="T1409" s="189" t="str">
        <f t="array" ref="T1409">IFERROR(IF(INDEX('Disaggregation Records'!$H$155:$H$385,MATCH(RIGHT(Q1409,255),RIGHT('Disaggregation Records'!$D$155:$D$385,255),0))=0,"",INDEX('Disaggregation Records'!$H$155:$H$385,MATCH(RIGHT(Q1409,255),RIGHT('Disaggregation Records'!$D$155:$D$385,255),0))),"")</f>
        <v/>
      </c>
      <c r="U1409" s="189">
        <f t="shared" ref="U1409" si="6078">U1407+1</f>
        <v>1806</v>
      </c>
      <c r="V1409" s="189" t="str">
        <f t="array" ref="V1409">IFERROR(IF(INDEX('Disaggregation Records'!$I$155:$I$385,MATCH(RIGHT(Q1409,255),RIGHT('Disaggregation Records'!$D$155:$D$385,255),0))=0,"",INDEX('Disaggregation Records'!$I$155:$I$385,MATCH(RIGHT(Q1409,255),RIGHT('Disaggregation Records'!$D$155:$D$385,255),0))),"")</f>
        <v/>
      </c>
      <c r="W1409" s="189" t="str">
        <f>IFERROR(INDEX('Reference Records'!L$59:L$121,MATCH(LEFT(C1409,255),'Reference Records'!E$59:E$121,0)),"")</f>
        <v/>
      </c>
    </row>
    <row r="1410" spans="1:23" s="189" customFormat="1" ht="40.200000000000003" customHeight="1" x14ac:dyDescent="0.3">
      <c r="A1410" s="678"/>
      <c r="B1410" s="675"/>
      <c r="C1410" s="667"/>
      <c r="D1410" s="677"/>
      <c r="E1410" s="677"/>
      <c r="F1410" s="202"/>
      <c r="G1410" s="669"/>
      <c r="H1410" s="671"/>
      <c r="I1410" s="673"/>
      <c r="J1410" s="652"/>
      <c r="K1410" s="667"/>
      <c r="L1410" s="667"/>
      <c r="M1410" s="652"/>
      <c r="N1410" s="652"/>
    </row>
    <row r="1411" spans="1:23" s="189" customFormat="1" ht="40.200000000000003" customHeight="1" x14ac:dyDescent="0.3">
      <c r="A1411" s="678" t="str">
        <f t="shared" ref="A1411" ca="1" si="6079">INDIRECT("'update Helper'!C"&amp;U1411)</f>
        <v>a163p000002zQfkAAE</v>
      </c>
      <c r="B1411" s="674">
        <v>20</v>
      </c>
      <c r="C1411" s="666" t="str">
        <f>VLOOKUP(B1411,'Coverage Indicators - Section D'!$A$9:$AU$70,47,FALSE)</f>
        <v xml:space="preserve">Pourcentage des Hommes âgés de 25 ans et plus dépistés pour le VIH et ayant reçu le résultat du test chaque année </v>
      </c>
      <c r="D1411" s="676" t="str">
        <f t="shared" ref="D1411" si="6080">R1411</f>
        <v/>
      </c>
      <c r="E1411" s="676" t="str">
        <f t="shared" ref="E1411" si="6081">S1411</f>
        <v/>
      </c>
      <c r="F1411" s="194"/>
      <c r="G1411" s="668" t="str">
        <f t="shared" ref="G1411" ca="1" si="6082">IF(OR(INDIRECT("'update Helper'!E"&amp;U1411)=0,F1411&lt;&gt;0,F1412&lt;&gt;0),IF(IFERROR((F1411/F1412),"")="","",(F1411/F1412)),INDIRECT("'update Helper'!E"&amp;U1411)/100)</f>
        <v/>
      </c>
      <c r="H1411" s="670"/>
      <c r="I1411" s="672"/>
      <c r="J1411" s="651"/>
      <c r="K1411" s="666" t="str">
        <f t="shared" ref="K1411" si="6083">W1411</f>
        <v/>
      </c>
      <c r="L1411" s="666" t="str">
        <f t="shared" ref="L1411" si="6084">V1411</f>
        <v/>
      </c>
      <c r="M1411" s="651"/>
      <c r="N1411" s="651"/>
      <c r="P1411" s="189">
        <f t="shared" ref="P1411" si="6085">IF(AND(EXACT(C1411,C1409),C1409&lt;&gt;0),P1409+1,0)</f>
        <v>15</v>
      </c>
      <c r="Q1411" s="189" t="str">
        <f t="shared" ref="Q1411" si="6086">IF(C1411&lt;&gt;"",C1411&amp;"-"&amp;P1411,"")</f>
        <v>Pourcentage des Hommes âgés de 25 ans et plus dépistés pour le VIH et ayant reçu le résultat du test chaque année -15</v>
      </c>
      <c r="R1411" s="189" t="str">
        <f t="array" ref="R1411">IFERROR(IF(INDEX('Disaggregation Records'!$E$155:$E$385,MATCH(RIGHT(Q1411,255),RIGHT('Disaggregation Records'!$D$155:$D$385,255),0))=0,"",INDEX('Disaggregation Records'!$E$155:$E$385,MATCH(RIGHT(Q1411,255),RIGHT('Disaggregation Records'!$D$155:$D$385,255),0))),"")</f>
        <v/>
      </c>
      <c r="S1411" s="189" t="str">
        <f t="array" ref="S1411">IFERROR(IF(INDEX('Disaggregation Records'!$F$155:$F$385,MATCH(RIGHT(Q1411,255),RIGHT('Disaggregation Records'!$D$155:$D$385,255),0))=0,"",INDEX('Disaggregation Records'!$F$155:$F$385,MATCH(RIGHT(Q1411,255),RIGHT('Disaggregation Records'!$D$155:$D$385,255),0))),"")</f>
        <v/>
      </c>
      <c r="T1411" s="189" t="str">
        <f t="array" ref="T1411">IFERROR(IF(INDEX('Disaggregation Records'!$H$155:$H$385,MATCH(RIGHT(Q1411,255),RIGHT('Disaggregation Records'!$D$155:$D$385,255),0))=0,"",INDEX('Disaggregation Records'!$H$155:$H$385,MATCH(RIGHT(Q1411,255),RIGHT('Disaggregation Records'!$D$155:$D$385,255),0))),"")</f>
        <v/>
      </c>
      <c r="U1411" s="189">
        <f t="shared" ref="U1411" si="6087">U1409+1</f>
        <v>1807</v>
      </c>
      <c r="V1411" s="189" t="str">
        <f t="array" ref="V1411">IFERROR(IF(INDEX('Disaggregation Records'!$I$155:$I$385,MATCH(RIGHT(Q1411,255),RIGHT('Disaggregation Records'!$D$155:$D$385,255),0))=0,"",INDEX('Disaggregation Records'!$I$155:$I$385,MATCH(RIGHT(Q1411,255),RIGHT('Disaggregation Records'!$D$155:$D$385,255),0))),"")</f>
        <v/>
      </c>
      <c r="W1411" s="189" t="str">
        <f>IFERROR(INDEX('Reference Records'!L$59:L$121,MATCH(LEFT(C1411,255),'Reference Records'!E$59:E$121,0)),"")</f>
        <v/>
      </c>
    </row>
    <row r="1412" spans="1:23" s="189" customFormat="1" ht="40.200000000000003" customHeight="1" x14ac:dyDescent="0.3">
      <c r="A1412" s="678"/>
      <c r="B1412" s="675"/>
      <c r="C1412" s="667"/>
      <c r="D1412" s="677"/>
      <c r="E1412" s="677"/>
      <c r="F1412" s="202"/>
      <c r="G1412" s="669"/>
      <c r="H1412" s="671"/>
      <c r="I1412" s="673"/>
      <c r="J1412" s="652"/>
      <c r="K1412" s="667"/>
      <c r="L1412" s="667"/>
      <c r="M1412" s="652"/>
      <c r="N1412" s="652"/>
    </row>
    <row r="1413" spans="1:23" s="189" customFormat="1" ht="40.200000000000003" customHeight="1" x14ac:dyDescent="0.3">
      <c r="A1413" s="678" t="str">
        <f t="shared" ref="A1413" ca="1" si="6088">INDIRECT("'update Helper'!C"&amp;U1413)</f>
        <v>a163p000002zQflAAE</v>
      </c>
      <c r="B1413" s="674">
        <v>20</v>
      </c>
      <c r="C1413" s="666" t="str">
        <f>VLOOKUP(B1413,'Coverage Indicators - Section D'!$A$9:$AU$70,47,FALSE)</f>
        <v xml:space="preserve">Pourcentage des Hommes âgés de 25 ans et plus dépistés pour le VIH et ayant reçu le résultat du test chaque année </v>
      </c>
      <c r="D1413" s="676" t="str">
        <f t="shared" ref="D1413" si="6089">R1413</f>
        <v/>
      </c>
      <c r="E1413" s="676" t="str">
        <f t="shared" ref="E1413" si="6090">S1413</f>
        <v/>
      </c>
      <c r="F1413" s="194"/>
      <c r="G1413" s="668" t="str">
        <f t="shared" ref="G1413" ca="1" si="6091">IF(OR(INDIRECT("'update Helper'!E"&amp;U1413)=0,F1413&lt;&gt;0,F1414&lt;&gt;0),IF(IFERROR((F1413/F1414),"")="","",(F1413/F1414)),INDIRECT("'update Helper'!E"&amp;U1413)/100)</f>
        <v/>
      </c>
      <c r="H1413" s="670"/>
      <c r="I1413" s="672"/>
      <c r="J1413" s="651"/>
      <c r="K1413" s="666" t="str">
        <f t="shared" ref="K1413" si="6092">W1413</f>
        <v/>
      </c>
      <c r="L1413" s="666" t="str">
        <f t="shared" ref="L1413" si="6093">V1413</f>
        <v/>
      </c>
      <c r="M1413" s="651"/>
      <c r="N1413" s="651"/>
      <c r="P1413" s="189">
        <f t="shared" ref="P1413" si="6094">IF(AND(EXACT(C1413,C1411),C1411&lt;&gt;0),P1411+1,0)</f>
        <v>16</v>
      </c>
      <c r="Q1413" s="189" t="str">
        <f t="shared" ref="Q1413" si="6095">IF(C1413&lt;&gt;"",C1413&amp;"-"&amp;P1413,"")</f>
        <v>Pourcentage des Hommes âgés de 25 ans et plus dépistés pour le VIH et ayant reçu le résultat du test chaque année -16</v>
      </c>
      <c r="R1413" s="189" t="str">
        <f t="array" ref="R1413">IFERROR(IF(INDEX('Disaggregation Records'!$E$155:$E$385,MATCH(RIGHT(Q1413,255),RIGHT('Disaggregation Records'!$D$155:$D$385,255),0))=0,"",INDEX('Disaggregation Records'!$E$155:$E$385,MATCH(RIGHT(Q1413,255),RIGHT('Disaggregation Records'!$D$155:$D$385,255),0))),"")</f>
        <v/>
      </c>
      <c r="S1413" s="189" t="str">
        <f t="array" ref="S1413">IFERROR(IF(INDEX('Disaggregation Records'!$F$155:$F$385,MATCH(RIGHT(Q1413,255),RIGHT('Disaggregation Records'!$D$155:$D$385,255),0))=0,"",INDEX('Disaggregation Records'!$F$155:$F$385,MATCH(RIGHT(Q1413,255),RIGHT('Disaggregation Records'!$D$155:$D$385,255),0))),"")</f>
        <v/>
      </c>
      <c r="T1413" s="189" t="str">
        <f t="array" ref="T1413">IFERROR(IF(INDEX('Disaggregation Records'!$H$155:$H$385,MATCH(RIGHT(Q1413,255),RIGHT('Disaggregation Records'!$D$155:$D$385,255),0))=0,"",INDEX('Disaggregation Records'!$H$155:$H$385,MATCH(RIGHT(Q1413,255),RIGHT('Disaggregation Records'!$D$155:$D$385,255),0))),"")</f>
        <v/>
      </c>
      <c r="U1413" s="189">
        <f t="shared" ref="U1413" si="6096">U1411+1</f>
        <v>1808</v>
      </c>
      <c r="V1413" s="189" t="str">
        <f t="array" ref="V1413">IFERROR(IF(INDEX('Disaggregation Records'!$I$155:$I$385,MATCH(RIGHT(Q1413,255),RIGHT('Disaggregation Records'!$D$155:$D$385,255),0))=0,"",INDEX('Disaggregation Records'!$I$155:$I$385,MATCH(RIGHT(Q1413,255),RIGHT('Disaggregation Records'!$D$155:$D$385,255),0))),"")</f>
        <v/>
      </c>
      <c r="W1413" s="189" t="str">
        <f>IFERROR(INDEX('Reference Records'!L$59:L$121,MATCH(LEFT(C1413,255),'Reference Records'!E$59:E$121,0)),"")</f>
        <v/>
      </c>
    </row>
    <row r="1414" spans="1:23" s="189" customFormat="1" ht="40.200000000000003" customHeight="1" x14ac:dyDescent="0.3">
      <c r="A1414" s="678"/>
      <c r="B1414" s="675"/>
      <c r="C1414" s="667"/>
      <c r="D1414" s="677"/>
      <c r="E1414" s="677"/>
      <c r="F1414" s="202"/>
      <c r="G1414" s="669"/>
      <c r="H1414" s="671"/>
      <c r="I1414" s="673"/>
      <c r="J1414" s="652"/>
      <c r="K1414" s="667"/>
      <c r="L1414" s="667"/>
      <c r="M1414" s="652"/>
      <c r="N1414" s="652"/>
    </row>
    <row r="1415" spans="1:23" s="189" customFormat="1" ht="40.200000000000003" customHeight="1" x14ac:dyDescent="0.3">
      <c r="A1415" s="678" t="str">
        <f t="shared" ref="A1415" ca="1" si="6097">INDIRECT("'update Helper'!C"&amp;U1415)</f>
        <v>a163p000002zQfmAAE</v>
      </c>
      <c r="B1415" s="674">
        <v>20</v>
      </c>
      <c r="C1415" s="666" t="str">
        <f>VLOOKUP(B1415,'Coverage Indicators - Section D'!$A$9:$AU$70,47,FALSE)</f>
        <v xml:space="preserve">Pourcentage des Hommes âgés de 25 ans et plus dépistés pour le VIH et ayant reçu le résultat du test chaque année </v>
      </c>
      <c r="D1415" s="676" t="str">
        <f t="shared" ref="D1415" si="6098">R1415</f>
        <v/>
      </c>
      <c r="E1415" s="676" t="str">
        <f t="shared" ref="E1415" si="6099">S1415</f>
        <v/>
      </c>
      <c r="F1415" s="194"/>
      <c r="G1415" s="668" t="str">
        <f t="shared" ref="G1415" ca="1" si="6100">IF(OR(INDIRECT("'update Helper'!E"&amp;U1415)=0,F1415&lt;&gt;0,F1416&lt;&gt;0),IF(IFERROR((F1415/F1416),"")="","",(F1415/F1416)),INDIRECT("'update Helper'!E"&amp;U1415)/100)</f>
        <v/>
      </c>
      <c r="H1415" s="670"/>
      <c r="I1415" s="672"/>
      <c r="J1415" s="651"/>
      <c r="K1415" s="666" t="str">
        <f t="shared" ref="K1415" si="6101">W1415</f>
        <v/>
      </c>
      <c r="L1415" s="666" t="str">
        <f t="shared" ref="L1415" si="6102">V1415</f>
        <v/>
      </c>
      <c r="M1415" s="651"/>
      <c r="N1415" s="651"/>
      <c r="P1415" s="189">
        <f t="shared" ref="P1415" si="6103">IF(AND(EXACT(C1415,C1413),C1413&lt;&gt;0),P1413+1,0)</f>
        <v>17</v>
      </c>
      <c r="Q1415" s="189" t="str">
        <f t="shared" ref="Q1415" si="6104">IF(C1415&lt;&gt;"",C1415&amp;"-"&amp;P1415,"")</f>
        <v>Pourcentage des Hommes âgés de 25 ans et plus dépistés pour le VIH et ayant reçu le résultat du test chaque année -17</v>
      </c>
      <c r="R1415" s="189" t="str">
        <f t="array" ref="R1415">IFERROR(IF(INDEX('Disaggregation Records'!$E$155:$E$385,MATCH(RIGHT(Q1415,255),RIGHT('Disaggregation Records'!$D$155:$D$385,255),0))=0,"",INDEX('Disaggregation Records'!$E$155:$E$385,MATCH(RIGHT(Q1415,255),RIGHT('Disaggregation Records'!$D$155:$D$385,255),0))),"")</f>
        <v/>
      </c>
      <c r="S1415" s="189" t="str">
        <f t="array" ref="S1415">IFERROR(IF(INDEX('Disaggregation Records'!$F$155:$F$385,MATCH(RIGHT(Q1415,255),RIGHT('Disaggregation Records'!$D$155:$D$385,255),0))=0,"",INDEX('Disaggregation Records'!$F$155:$F$385,MATCH(RIGHT(Q1415,255),RIGHT('Disaggregation Records'!$D$155:$D$385,255),0))),"")</f>
        <v/>
      </c>
      <c r="T1415" s="189" t="str">
        <f t="array" ref="T1415">IFERROR(IF(INDEX('Disaggregation Records'!$H$155:$H$385,MATCH(RIGHT(Q1415,255),RIGHT('Disaggregation Records'!$D$155:$D$385,255),0))=0,"",INDEX('Disaggregation Records'!$H$155:$H$385,MATCH(RIGHT(Q1415,255),RIGHT('Disaggregation Records'!$D$155:$D$385,255),0))),"")</f>
        <v/>
      </c>
      <c r="U1415" s="189">
        <f t="shared" ref="U1415" si="6105">U1413+1</f>
        <v>1809</v>
      </c>
      <c r="V1415" s="189" t="str">
        <f t="array" ref="V1415">IFERROR(IF(INDEX('Disaggregation Records'!$I$155:$I$385,MATCH(RIGHT(Q1415,255),RIGHT('Disaggregation Records'!$D$155:$D$385,255),0))=0,"",INDEX('Disaggregation Records'!$I$155:$I$385,MATCH(RIGHT(Q1415,255),RIGHT('Disaggregation Records'!$D$155:$D$385,255),0))),"")</f>
        <v/>
      </c>
      <c r="W1415" s="189" t="str">
        <f>IFERROR(INDEX('Reference Records'!L$59:L$121,MATCH(LEFT(C1415,255),'Reference Records'!E$59:E$121,0)),"")</f>
        <v/>
      </c>
    </row>
    <row r="1416" spans="1:23" s="189" customFormat="1" ht="40.200000000000003" customHeight="1" x14ac:dyDescent="0.3">
      <c r="A1416" s="678"/>
      <c r="B1416" s="675"/>
      <c r="C1416" s="667"/>
      <c r="D1416" s="677"/>
      <c r="E1416" s="677"/>
      <c r="F1416" s="202"/>
      <c r="G1416" s="669"/>
      <c r="H1416" s="671"/>
      <c r="I1416" s="673"/>
      <c r="J1416" s="652"/>
      <c r="K1416" s="667"/>
      <c r="L1416" s="667"/>
      <c r="M1416" s="652"/>
      <c r="N1416" s="652"/>
    </row>
    <row r="1417" spans="1:23" s="189" customFormat="1" ht="40.200000000000003" customHeight="1" x14ac:dyDescent="0.3">
      <c r="A1417" s="678" t="str">
        <f t="shared" ref="A1417" ca="1" si="6106">INDIRECT("'update Helper'!C"&amp;U1417)</f>
        <v>a163p000002zQfnAAE</v>
      </c>
      <c r="B1417" s="674">
        <v>20</v>
      </c>
      <c r="C1417" s="666" t="str">
        <f>VLOOKUP(B1417,'Coverage Indicators - Section D'!$A$9:$AU$70,47,FALSE)</f>
        <v xml:space="preserve">Pourcentage des Hommes âgés de 25 ans et plus dépistés pour le VIH et ayant reçu le résultat du test chaque année </v>
      </c>
      <c r="D1417" s="676" t="str">
        <f t="shared" ref="D1417" si="6107">R1417</f>
        <v/>
      </c>
      <c r="E1417" s="676" t="str">
        <f t="shared" ref="E1417" si="6108">S1417</f>
        <v/>
      </c>
      <c r="F1417" s="194"/>
      <c r="G1417" s="668" t="str">
        <f t="shared" ref="G1417" ca="1" si="6109">IF(OR(INDIRECT("'update Helper'!E"&amp;U1417)=0,F1417&lt;&gt;0,F1418&lt;&gt;0),IF(IFERROR((F1417/F1418),"")="","",(F1417/F1418)),INDIRECT("'update Helper'!E"&amp;U1417)/100)</f>
        <v/>
      </c>
      <c r="H1417" s="670"/>
      <c r="I1417" s="672"/>
      <c r="J1417" s="651"/>
      <c r="K1417" s="666" t="str">
        <f t="shared" ref="K1417" si="6110">W1417</f>
        <v/>
      </c>
      <c r="L1417" s="666" t="str">
        <f t="shared" ref="L1417" si="6111">V1417</f>
        <v/>
      </c>
      <c r="M1417" s="651"/>
      <c r="N1417" s="651"/>
      <c r="P1417" s="189">
        <f t="shared" ref="P1417" si="6112">IF(AND(EXACT(C1417,C1415),C1415&lt;&gt;0),P1415+1,0)</f>
        <v>18</v>
      </c>
      <c r="Q1417" s="189" t="str">
        <f t="shared" ref="Q1417" si="6113">IF(C1417&lt;&gt;"",C1417&amp;"-"&amp;P1417,"")</f>
        <v>Pourcentage des Hommes âgés de 25 ans et plus dépistés pour le VIH et ayant reçu le résultat du test chaque année -18</v>
      </c>
      <c r="R1417" s="189" t="str">
        <f t="array" ref="R1417">IFERROR(IF(INDEX('Disaggregation Records'!$E$155:$E$385,MATCH(RIGHT(Q1417,255),RIGHT('Disaggregation Records'!$D$155:$D$385,255),0))=0,"",INDEX('Disaggregation Records'!$E$155:$E$385,MATCH(RIGHT(Q1417,255),RIGHT('Disaggregation Records'!$D$155:$D$385,255),0))),"")</f>
        <v/>
      </c>
      <c r="S1417" s="189" t="str">
        <f t="array" ref="S1417">IFERROR(IF(INDEX('Disaggregation Records'!$F$155:$F$385,MATCH(RIGHT(Q1417,255),RIGHT('Disaggregation Records'!$D$155:$D$385,255),0))=0,"",INDEX('Disaggregation Records'!$F$155:$F$385,MATCH(RIGHT(Q1417,255),RIGHT('Disaggregation Records'!$D$155:$D$385,255),0))),"")</f>
        <v/>
      </c>
      <c r="T1417" s="189" t="str">
        <f t="array" ref="T1417">IFERROR(IF(INDEX('Disaggregation Records'!$H$155:$H$385,MATCH(RIGHT(Q1417,255),RIGHT('Disaggregation Records'!$D$155:$D$385,255),0))=0,"",INDEX('Disaggregation Records'!$H$155:$H$385,MATCH(RIGHT(Q1417,255),RIGHT('Disaggregation Records'!$D$155:$D$385,255),0))),"")</f>
        <v/>
      </c>
      <c r="U1417" s="189">
        <f t="shared" ref="U1417" si="6114">U1415+1</f>
        <v>1810</v>
      </c>
      <c r="V1417" s="189" t="str">
        <f t="array" ref="V1417">IFERROR(IF(INDEX('Disaggregation Records'!$I$155:$I$385,MATCH(RIGHT(Q1417,255),RIGHT('Disaggregation Records'!$D$155:$D$385,255),0))=0,"",INDEX('Disaggregation Records'!$I$155:$I$385,MATCH(RIGHT(Q1417,255),RIGHT('Disaggregation Records'!$D$155:$D$385,255),0))),"")</f>
        <v/>
      </c>
      <c r="W1417" s="189" t="str">
        <f>IFERROR(INDEX('Reference Records'!L$59:L$121,MATCH(LEFT(C1417,255),'Reference Records'!E$59:E$121,0)),"")</f>
        <v/>
      </c>
    </row>
    <row r="1418" spans="1:23" s="189" customFormat="1" ht="40.200000000000003" customHeight="1" x14ac:dyDescent="0.3">
      <c r="A1418" s="678"/>
      <c r="B1418" s="675"/>
      <c r="C1418" s="667"/>
      <c r="D1418" s="677"/>
      <c r="E1418" s="677"/>
      <c r="F1418" s="202"/>
      <c r="G1418" s="669"/>
      <c r="H1418" s="671"/>
      <c r="I1418" s="673"/>
      <c r="J1418" s="652"/>
      <c r="K1418" s="667"/>
      <c r="L1418" s="667"/>
      <c r="M1418" s="652"/>
      <c r="N1418" s="652"/>
    </row>
    <row r="1419" spans="1:23" s="189" customFormat="1" ht="40.200000000000003" customHeight="1" x14ac:dyDescent="0.3">
      <c r="A1419" s="678" t="str">
        <f t="shared" ref="A1419" ca="1" si="6115">INDIRECT("'update Helper'!C"&amp;U1419)</f>
        <v>a163p000002zQfoAAE</v>
      </c>
      <c r="B1419" s="674">
        <v>20</v>
      </c>
      <c r="C1419" s="666" t="str">
        <f>VLOOKUP(B1419,'Coverage Indicators - Section D'!$A$9:$AU$70,47,FALSE)</f>
        <v xml:space="preserve">Pourcentage des Hommes âgés de 25 ans et plus dépistés pour le VIH et ayant reçu le résultat du test chaque année </v>
      </c>
      <c r="D1419" s="676" t="str">
        <f t="shared" ref="D1419" si="6116">R1419</f>
        <v/>
      </c>
      <c r="E1419" s="676" t="str">
        <f t="shared" ref="E1419" si="6117">S1419</f>
        <v/>
      </c>
      <c r="F1419" s="194"/>
      <c r="G1419" s="668" t="str">
        <f t="shared" ref="G1419" ca="1" si="6118">IF(OR(INDIRECT("'update Helper'!E"&amp;U1419)=0,F1419&lt;&gt;0,F1420&lt;&gt;0),IF(IFERROR((F1419/F1420),"")="","",(F1419/F1420)),INDIRECT("'update Helper'!E"&amp;U1419)/100)</f>
        <v/>
      </c>
      <c r="H1419" s="670"/>
      <c r="I1419" s="672"/>
      <c r="J1419" s="651"/>
      <c r="K1419" s="666" t="str">
        <f t="shared" ref="K1419" si="6119">W1419</f>
        <v/>
      </c>
      <c r="L1419" s="666" t="str">
        <f t="shared" ref="L1419" si="6120">V1419</f>
        <v/>
      </c>
      <c r="M1419" s="651"/>
      <c r="N1419" s="651"/>
      <c r="P1419" s="189">
        <f t="shared" ref="P1419" si="6121">IF(AND(EXACT(C1419,C1417),C1417&lt;&gt;0),P1417+1,0)</f>
        <v>19</v>
      </c>
      <c r="Q1419" s="189" t="str">
        <f t="shared" ref="Q1419" si="6122">IF(C1419&lt;&gt;"",C1419&amp;"-"&amp;P1419,"")</f>
        <v>Pourcentage des Hommes âgés de 25 ans et plus dépistés pour le VIH et ayant reçu le résultat du test chaque année -19</v>
      </c>
      <c r="R1419" s="189" t="str">
        <f t="array" ref="R1419">IFERROR(IF(INDEX('Disaggregation Records'!$E$155:$E$385,MATCH(RIGHT(Q1419,255),RIGHT('Disaggregation Records'!$D$155:$D$385,255),0))=0,"",INDEX('Disaggregation Records'!$E$155:$E$385,MATCH(RIGHT(Q1419,255),RIGHT('Disaggregation Records'!$D$155:$D$385,255),0))),"")</f>
        <v/>
      </c>
      <c r="S1419" s="189" t="str">
        <f t="array" ref="S1419">IFERROR(IF(INDEX('Disaggregation Records'!$F$155:$F$385,MATCH(RIGHT(Q1419,255),RIGHT('Disaggregation Records'!$D$155:$D$385,255),0))=0,"",INDEX('Disaggregation Records'!$F$155:$F$385,MATCH(RIGHT(Q1419,255),RIGHT('Disaggregation Records'!$D$155:$D$385,255),0))),"")</f>
        <v/>
      </c>
      <c r="T1419" s="189" t="str">
        <f t="array" ref="T1419">IFERROR(IF(INDEX('Disaggregation Records'!$H$155:$H$385,MATCH(RIGHT(Q1419,255),RIGHT('Disaggregation Records'!$D$155:$D$385,255),0))=0,"",INDEX('Disaggregation Records'!$H$155:$H$385,MATCH(RIGHT(Q1419,255),RIGHT('Disaggregation Records'!$D$155:$D$385,255),0))),"")</f>
        <v/>
      </c>
      <c r="U1419" s="189">
        <f t="shared" ref="U1419" si="6123">U1417+1</f>
        <v>1811</v>
      </c>
      <c r="V1419" s="189" t="str">
        <f t="array" ref="V1419">IFERROR(IF(INDEX('Disaggregation Records'!$I$155:$I$385,MATCH(RIGHT(Q1419,255),RIGHT('Disaggregation Records'!$D$155:$D$385,255),0))=0,"",INDEX('Disaggregation Records'!$I$155:$I$385,MATCH(RIGHT(Q1419,255),RIGHT('Disaggregation Records'!$D$155:$D$385,255),0))),"")</f>
        <v/>
      </c>
      <c r="W1419" s="189" t="str">
        <f>IFERROR(INDEX('Reference Records'!L$59:L$121,MATCH(LEFT(C1419,255),'Reference Records'!E$59:E$121,0)),"")</f>
        <v/>
      </c>
    </row>
    <row r="1420" spans="1:23" s="189" customFormat="1" ht="40.200000000000003" customHeight="1" x14ac:dyDescent="0.3">
      <c r="A1420" s="678"/>
      <c r="B1420" s="675"/>
      <c r="C1420" s="667"/>
      <c r="D1420" s="677"/>
      <c r="E1420" s="677"/>
      <c r="F1420" s="202"/>
      <c r="G1420" s="669"/>
      <c r="H1420" s="671"/>
      <c r="I1420" s="673"/>
      <c r="J1420" s="652"/>
      <c r="K1420" s="667"/>
      <c r="L1420" s="667"/>
      <c r="M1420" s="652"/>
      <c r="N1420" s="652"/>
    </row>
    <row r="1421" spans="1:23" s="189" customFormat="1" ht="40.200000000000003" customHeight="1" x14ac:dyDescent="0.3">
      <c r="A1421" s="678" t="str">
        <f t="shared" ref="A1421" ca="1" si="6124">INDIRECT("'update Helper'!C"&amp;U1421)</f>
        <v>a163p000002zQfpAAE</v>
      </c>
      <c r="B1421" s="674">
        <v>21</v>
      </c>
      <c r="C1421" s="666" t="str">
        <f>VLOOKUP(B1421,'Coverage Indicators - Section D'!$A$9:$AU$70,47,FALSE)</f>
        <v/>
      </c>
      <c r="D1421" s="676" t="str">
        <f t="shared" ref="D1421" si="6125">R1421</f>
        <v/>
      </c>
      <c r="E1421" s="676" t="str">
        <f t="shared" ref="E1421" si="6126">S1421</f>
        <v/>
      </c>
      <c r="F1421" s="194"/>
      <c r="G1421" s="668" t="str">
        <f t="shared" ref="G1421" ca="1" si="6127">IF(OR(INDIRECT("'update Helper'!E"&amp;U1421)=0,F1421&lt;&gt;0,F1422&lt;&gt;0),IF(IFERROR((F1421/F1422),"")="","",(F1421/F1422)),INDIRECT("'update Helper'!E"&amp;U1421)/100)</f>
        <v/>
      </c>
      <c r="H1421" s="670"/>
      <c r="I1421" s="672"/>
      <c r="J1421" s="651"/>
      <c r="K1421" s="666" t="str">
        <f t="shared" ref="K1421" si="6128">W1421</f>
        <v/>
      </c>
      <c r="L1421" s="666" t="str">
        <f t="shared" ref="L1421" si="6129">V1421</f>
        <v/>
      </c>
      <c r="M1421" s="651"/>
      <c r="N1421" s="651"/>
      <c r="P1421" s="189">
        <f t="shared" ref="P1421" si="6130">IF(AND(EXACT(C1421,C1419),C1419&lt;&gt;0),P1419+1,0)</f>
        <v>0</v>
      </c>
      <c r="Q1421" s="189" t="str">
        <f t="shared" ref="Q1421" si="6131">IF(C1421&lt;&gt;"",C1421&amp;"-"&amp;P1421,"")</f>
        <v/>
      </c>
      <c r="R1421" s="189" t="str">
        <f t="array" ref="R1421">IFERROR(IF(INDEX('Disaggregation Records'!$E$155:$E$385,MATCH(RIGHT(Q1421,255),RIGHT('Disaggregation Records'!$D$155:$D$385,255),0))=0,"",INDEX('Disaggregation Records'!$E$155:$E$385,MATCH(RIGHT(Q1421,255),RIGHT('Disaggregation Records'!$D$155:$D$385,255),0))),"")</f>
        <v/>
      </c>
      <c r="S1421" s="189" t="str">
        <f t="array" ref="S1421">IFERROR(IF(INDEX('Disaggregation Records'!$F$155:$F$385,MATCH(RIGHT(Q1421,255),RIGHT('Disaggregation Records'!$D$155:$D$385,255),0))=0,"",INDEX('Disaggregation Records'!$F$155:$F$385,MATCH(RIGHT(Q1421,255),RIGHT('Disaggregation Records'!$D$155:$D$385,255),0))),"")</f>
        <v/>
      </c>
      <c r="T1421" s="189" t="str">
        <f t="array" ref="T1421">IFERROR(IF(INDEX('Disaggregation Records'!$H$155:$H$385,MATCH(RIGHT(Q1421,255),RIGHT('Disaggregation Records'!$D$155:$D$385,255),0))=0,"",INDEX('Disaggregation Records'!$H$155:$H$385,MATCH(RIGHT(Q1421,255),RIGHT('Disaggregation Records'!$D$155:$D$385,255),0))),"")</f>
        <v/>
      </c>
      <c r="U1421" s="189">
        <f t="shared" ref="U1421" si="6132">U1419+1</f>
        <v>1812</v>
      </c>
      <c r="V1421" s="189" t="str">
        <f t="array" ref="V1421">IFERROR(IF(INDEX('Disaggregation Records'!$I$155:$I$385,MATCH(RIGHT(Q1421,255),RIGHT('Disaggregation Records'!$D$155:$D$385,255),0))=0,"",INDEX('Disaggregation Records'!$I$155:$I$385,MATCH(RIGHT(Q1421,255),RIGHT('Disaggregation Records'!$D$155:$D$385,255),0))),"")</f>
        <v/>
      </c>
      <c r="W1421" s="189" t="str">
        <f>IFERROR(INDEX('Reference Records'!L$59:L$121,MATCH(LEFT(C1421,255),'Reference Records'!E$59:E$121,0)),"")</f>
        <v/>
      </c>
    </row>
    <row r="1422" spans="1:23" s="189" customFormat="1" ht="40.200000000000003" customHeight="1" x14ac:dyDescent="0.3">
      <c r="A1422" s="678"/>
      <c r="B1422" s="675"/>
      <c r="C1422" s="667"/>
      <c r="D1422" s="677"/>
      <c r="E1422" s="677"/>
      <c r="F1422" s="202"/>
      <c r="G1422" s="669"/>
      <c r="H1422" s="671"/>
      <c r="I1422" s="673"/>
      <c r="J1422" s="652"/>
      <c r="K1422" s="667"/>
      <c r="L1422" s="667"/>
      <c r="M1422" s="652"/>
      <c r="N1422" s="652"/>
    </row>
    <row r="1423" spans="1:23" s="189" customFormat="1" ht="40.200000000000003" customHeight="1" x14ac:dyDescent="0.3">
      <c r="A1423" s="678" t="str">
        <f t="shared" ref="A1423" ca="1" si="6133">INDIRECT("'update Helper'!C"&amp;U1423)</f>
        <v>a163p000002zQfqAAE</v>
      </c>
      <c r="B1423" s="674">
        <v>21</v>
      </c>
      <c r="C1423" s="666" t="str">
        <f>VLOOKUP(B1423,'Coverage Indicators - Section D'!$A$9:$AU$70,47,FALSE)</f>
        <v/>
      </c>
      <c r="D1423" s="676" t="str">
        <f t="shared" ref="D1423" si="6134">R1423</f>
        <v/>
      </c>
      <c r="E1423" s="676" t="str">
        <f t="shared" ref="E1423" si="6135">S1423</f>
        <v/>
      </c>
      <c r="F1423" s="194"/>
      <c r="G1423" s="668" t="str">
        <f t="shared" ref="G1423" ca="1" si="6136">IF(OR(INDIRECT("'update Helper'!E"&amp;U1423)=0,F1423&lt;&gt;0,F1424&lt;&gt;0),IF(IFERROR((F1423/F1424),"")="","",(F1423/F1424)),INDIRECT("'update Helper'!E"&amp;U1423)/100)</f>
        <v/>
      </c>
      <c r="H1423" s="670"/>
      <c r="I1423" s="672"/>
      <c r="J1423" s="651"/>
      <c r="K1423" s="666" t="str">
        <f t="shared" ref="K1423" si="6137">W1423</f>
        <v/>
      </c>
      <c r="L1423" s="666" t="str">
        <f t="shared" ref="L1423" si="6138">V1423</f>
        <v/>
      </c>
      <c r="M1423" s="651"/>
      <c r="N1423" s="651"/>
      <c r="P1423" s="189">
        <f t="shared" ref="P1423" si="6139">IF(AND(EXACT(C1423,C1421),C1421&lt;&gt;0),P1421+1,0)</f>
        <v>1</v>
      </c>
      <c r="Q1423" s="189" t="str">
        <f t="shared" ref="Q1423" si="6140">IF(C1423&lt;&gt;"",C1423&amp;"-"&amp;P1423,"")</f>
        <v/>
      </c>
      <c r="R1423" s="189" t="str">
        <f t="array" ref="R1423">IFERROR(IF(INDEX('Disaggregation Records'!$E$155:$E$385,MATCH(RIGHT(Q1423,255),RIGHT('Disaggregation Records'!$D$155:$D$385,255),0))=0,"",INDEX('Disaggregation Records'!$E$155:$E$385,MATCH(RIGHT(Q1423,255),RIGHT('Disaggregation Records'!$D$155:$D$385,255),0))),"")</f>
        <v/>
      </c>
      <c r="S1423" s="189" t="str">
        <f t="array" ref="S1423">IFERROR(IF(INDEX('Disaggregation Records'!$F$155:$F$385,MATCH(RIGHT(Q1423,255),RIGHT('Disaggregation Records'!$D$155:$D$385,255),0))=0,"",INDEX('Disaggregation Records'!$F$155:$F$385,MATCH(RIGHT(Q1423,255),RIGHT('Disaggregation Records'!$D$155:$D$385,255),0))),"")</f>
        <v/>
      </c>
      <c r="T1423" s="189" t="str">
        <f t="array" ref="T1423">IFERROR(IF(INDEX('Disaggregation Records'!$H$155:$H$385,MATCH(RIGHT(Q1423,255),RIGHT('Disaggregation Records'!$D$155:$D$385,255),0))=0,"",INDEX('Disaggregation Records'!$H$155:$H$385,MATCH(RIGHT(Q1423,255),RIGHT('Disaggregation Records'!$D$155:$D$385,255),0))),"")</f>
        <v/>
      </c>
      <c r="U1423" s="189">
        <f t="shared" ref="U1423" si="6141">U1421+1</f>
        <v>1813</v>
      </c>
      <c r="V1423" s="189" t="str">
        <f t="array" ref="V1423">IFERROR(IF(INDEX('Disaggregation Records'!$I$155:$I$385,MATCH(RIGHT(Q1423,255),RIGHT('Disaggregation Records'!$D$155:$D$385,255),0))=0,"",INDEX('Disaggregation Records'!$I$155:$I$385,MATCH(RIGHT(Q1423,255),RIGHT('Disaggregation Records'!$D$155:$D$385,255),0))),"")</f>
        <v/>
      </c>
      <c r="W1423" s="189" t="str">
        <f>IFERROR(INDEX('Reference Records'!L$59:L$121,MATCH(LEFT(C1423,255),'Reference Records'!E$59:E$121,0)),"")</f>
        <v/>
      </c>
    </row>
    <row r="1424" spans="1:23" s="189" customFormat="1" ht="40.200000000000003" customHeight="1" x14ac:dyDescent="0.3">
      <c r="A1424" s="678"/>
      <c r="B1424" s="675"/>
      <c r="C1424" s="667"/>
      <c r="D1424" s="677"/>
      <c r="E1424" s="677"/>
      <c r="F1424" s="202"/>
      <c r="G1424" s="669"/>
      <c r="H1424" s="671"/>
      <c r="I1424" s="673"/>
      <c r="J1424" s="652"/>
      <c r="K1424" s="667"/>
      <c r="L1424" s="667"/>
      <c r="M1424" s="652"/>
      <c r="N1424" s="652"/>
    </row>
    <row r="1425" spans="1:23" s="189" customFormat="1" ht="40.200000000000003" customHeight="1" x14ac:dyDescent="0.3">
      <c r="A1425" s="678" t="str">
        <f t="shared" ref="A1425" ca="1" si="6142">INDIRECT("'update Helper'!C"&amp;U1425)</f>
        <v>a163p000002zQfrAAE</v>
      </c>
      <c r="B1425" s="674">
        <v>21</v>
      </c>
      <c r="C1425" s="666" t="str">
        <f>VLOOKUP(B1425,'Coverage Indicators - Section D'!$A$9:$AU$70,47,FALSE)</f>
        <v/>
      </c>
      <c r="D1425" s="676" t="str">
        <f t="shared" ref="D1425" si="6143">R1425</f>
        <v/>
      </c>
      <c r="E1425" s="676" t="str">
        <f t="shared" ref="E1425" si="6144">S1425</f>
        <v/>
      </c>
      <c r="F1425" s="194"/>
      <c r="G1425" s="668" t="str">
        <f t="shared" ref="G1425" ca="1" si="6145">IF(OR(INDIRECT("'update Helper'!E"&amp;U1425)=0,F1425&lt;&gt;0,F1426&lt;&gt;0),IF(IFERROR((F1425/F1426),"")="","",(F1425/F1426)),INDIRECT("'update Helper'!E"&amp;U1425)/100)</f>
        <v/>
      </c>
      <c r="H1425" s="670"/>
      <c r="I1425" s="672"/>
      <c r="J1425" s="651"/>
      <c r="K1425" s="666" t="str">
        <f t="shared" ref="K1425" si="6146">W1425</f>
        <v/>
      </c>
      <c r="L1425" s="666" t="str">
        <f t="shared" ref="L1425" si="6147">V1425</f>
        <v/>
      </c>
      <c r="M1425" s="651"/>
      <c r="N1425" s="651"/>
      <c r="P1425" s="189">
        <f t="shared" ref="P1425" si="6148">IF(AND(EXACT(C1425,C1423),C1423&lt;&gt;0),P1423+1,0)</f>
        <v>2</v>
      </c>
      <c r="Q1425" s="189" t="str">
        <f t="shared" ref="Q1425" si="6149">IF(C1425&lt;&gt;"",C1425&amp;"-"&amp;P1425,"")</f>
        <v/>
      </c>
      <c r="R1425" s="189" t="str">
        <f t="array" ref="R1425">IFERROR(IF(INDEX('Disaggregation Records'!$E$155:$E$385,MATCH(RIGHT(Q1425,255),RIGHT('Disaggregation Records'!$D$155:$D$385,255),0))=0,"",INDEX('Disaggregation Records'!$E$155:$E$385,MATCH(RIGHT(Q1425,255),RIGHT('Disaggregation Records'!$D$155:$D$385,255),0))),"")</f>
        <v/>
      </c>
      <c r="S1425" s="189" t="str">
        <f t="array" ref="S1425">IFERROR(IF(INDEX('Disaggregation Records'!$F$155:$F$385,MATCH(RIGHT(Q1425,255),RIGHT('Disaggregation Records'!$D$155:$D$385,255),0))=0,"",INDEX('Disaggregation Records'!$F$155:$F$385,MATCH(RIGHT(Q1425,255),RIGHT('Disaggregation Records'!$D$155:$D$385,255),0))),"")</f>
        <v/>
      </c>
      <c r="T1425" s="189" t="str">
        <f t="array" ref="T1425">IFERROR(IF(INDEX('Disaggregation Records'!$H$155:$H$385,MATCH(RIGHT(Q1425,255),RIGHT('Disaggregation Records'!$D$155:$D$385,255),0))=0,"",INDEX('Disaggregation Records'!$H$155:$H$385,MATCH(RIGHT(Q1425,255),RIGHT('Disaggregation Records'!$D$155:$D$385,255),0))),"")</f>
        <v/>
      </c>
      <c r="U1425" s="189">
        <f t="shared" ref="U1425" si="6150">U1423+1</f>
        <v>1814</v>
      </c>
      <c r="V1425" s="189" t="str">
        <f t="array" ref="V1425">IFERROR(IF(INDEX('Disaggregation Records'!$I$155:$I$385,MATCH(RIGHT(Q1425,255),RIGHT('Disaggregation Records'!$D$155:$D$385,255),0))=0,"",INDEX('Disaggregation Records'!$I$155:$I$385,MATCH(RIGHT(Q1425,255),RIGHT('Disaggregation Records'!$D$155:$D$385,255),0))),"")</f>
        <v/>
      </c>
      <c r="W1425" s="189" t="str">
        <f>IFERROR(INDEX('Reference Records'!L$59:L$121,MATCH(LEFT(C1425,255),'Reference Records'!E$59:E$121,0)),"")</f>
        <v/>
      </c>
    </row>
    <row r="1426" spans="1:23" s="189" customFormat="1" ht="40.200000000000003" customHeight="1" x14ac:dyDescent="0.3">
      <c r="A1426" s="678"/>
      <c r="B1426" s="675"/>
      <c r="C1426" s="667"/>
      <c r="D1426" s="677"/>
      <c r="E1426" s="677"/>
      <c r="F1426" s="202"/>
      <c r="G1426" s="669"/>
      <c r="H1426" s="671"/>
      <c r="I1426" s="673"/>
      <c r="J1426" s="652"/>
      <c r="K1426" s="667"/>
      <c r="L1426" s="667"/>
      <c r="M1426" s="652"/>
      <c r="N1426" s="652"/>
    </row>
    <row r="1427" spans="1:23" s="189" customFormat="1" ht="40.200000000000003" customHeight="1" x14ac:dyDescent="0.3">
      <c r="A1427" s="678" t="str">
        <f t="shared" ref="A1427" ca="1" si="6151">INDIRECT("'update Helper'!C"&amp;U1427)</f>
        <v>a163p000002zQfsAAE</v>
      </c>
      <c r="B1427" s="674">
        <v>21</v>
      </c>
      <c r="C1427" s="666" t="str">
        <f>VLOOKUP(B1427,'Coverage Indicators - Section D'!$A$9:$AU$70,47,FALSE)</f>
        <v/>
      </c>
      <c r="D1427" s="676" t="str">
        <f t="shared" ref="D1427" si="6152">R1427</f>
        <v/>
      </c>
      <c r="E1427" s="676" t="str">
        <f t="shared" ref="E1427" si="6153">S1427</f>
        <v/>
      </c>
      <c r="F1427" s="194"/>
      <c r="G1427" s="668" t="str">
        <f t="shared" ref="G1427" ca="1" si="6154">IF(OR(INDIRECT("'update Helper'!E"&amp;U1427)=0,F1427&lt;&gt;0,F1428&lt;&gt;0),IF(IFERROR((F1427/F1428),"")="","",(F1427/F1428)),INDIRECT("'update Helper'!E"&amp;U1427)/100)</f>
        <v/>
      </c>
      <c r="H1427" s="670"/>
      <c r="I1427" s="672"/>
      <c r="J1427" s="651"/>
      <c r="K1427" s="666" t="str">
        <f t="shared" ref="K1427" si="6155">W1427</f>
        <v/>
      </c>
      <c r="L1427" s="666" t="str">
        <f t="shared" ref="L1427" si="6156">V1427</f>
        <v/>
      </c>
      <c r="M1427" s="651"/>
      <c r="N1427" s="651"/>
      <c r="P1427" s="189">
        <f t="shared" ref="P1427" si="6157">IF(AND(EXACT(C1427,C1425),C1425&lt;&gt;0),P1425+1,0)</f>
        <v>3</v>
      </c>
      <c r="Q1427" s="189" t="str">
        <f t="shared" ref="Q1427" si="6158">IF(C1427&lt;&gt;"",C1427&amp;"-"&amp;P1427,"")</f>
        <v/>
      </c>
      <c r="R1427" s="189" t="str">
        <f t="array" ref="R1427">IFERROR(IF(INDEX('Disaggregation Records'!$E$155:$E$385,MATCH(RIGHT(Q1427,255),RIGHT('Disaggregation Records'!$D$155:$D$385,255),0))=0,"",INDEX('Disaggregation Records'!$E$155:$E$385,MATCH(RIGHT(Q1427,255),RIGHT('Disaggregation Records'!$D$155:$D$385,255),0))),"")</f>
        <v/>
      </c>
      <c r="S1427" s="189" t="str">
        <f t="array" ref="S1427">IFERROR(IF(INDEX('Disaggregation Records'!$F$155:$F$385,MATCH(RIGHT(Q1427,255),RIGHT('Disaggregation Records'!$D$155:$D$385,255),0))=0,"",INDEX('Disaggregation Records'!$F$155:$F$385,MATCH(RIGHT(Q1427,255),RIGHT('Disaggregation Records'!$D$155:$D$385,255),0))),"")</f>
        <v/>
      </c>
      <c r="T1427" s="189" t="str">
        <f t="array" ref="T1427">IFERROR(IF(INDEX('Disaggregation Records'!$H$155:$H$385,MATCH(RIGHT(Q1427,255),RIGHT('Disaggregation Records'!$D$155:$D$385,255),0))=0,"",INDEX('Disaggregation Records'!$H$155:$H$385,MATCH(RIGHT(Q1427,255),RIGHT('Disaggregation Records'!$D$155:$D$385,255),0))),"")</f>
        <v/>
      </c>
      <c r="U1427" s="189">
        <f t="shared" ref="U1427" si="6159">U1425+1</f>
        <v>1815</v>
      </c>
      <c r="V1427" s="189" t="str">
        <f t="array" ref="V1427">IFERROR(IF(INDEX('Disaggregation Records'!$I$155:$I$385,MATCH(RIGHT(Q1427,255),RIGHT('Disaggregation Records'!$D$155:$D$385,255),0))=0,"",INDEX('Disaggregation Records'!$I$155:$I$385,MATCH(RIGHT(Q1427,255),RIGHT('Disaggregation Records'!$D$155:$D$385,255),0))),"")</f>
        <v/>
      </c>
      <c r="W1427" s="189" t="str">
        <f>IFERROR(INDEX('Reference Records'!L$59:L$121,MATCH(LEFT(C1427,255),'Reference Records'!E$59:E$121,0)),"")</f>
        <v/>
      </c>
    </row>
    <row r="1428" spans="1:23" s="189" customFormat="1" ht="40.200000000000003" customHeight="1" x14ac:dyDescent="0.3">
      <c r="A1428" s="678"/>
      <c r="B1428" s="675"/>
      <c r="C1428" s="667"/>
      <c r="D1428" s="677"/>
      <c r="E1428" s="677"/>
      <c r="F1428" s="202"/>
      <c r="G1428" s="669"/>
      <c r="H1428" s="671"/>
      <c r="I1428" s="673"/>
      <c r="J1428" s="652"/>
      <c r="K1428" s="667"/>
      <c r="L1428" s="667"/>
      <c r="M1428" s="652"/>
      <c r="N1428" s="652"/>
    </row>
    <row r="1429" spans="1:23" s="189" customFormat="1" ht="40.200000000000003" customHeight="1" x14ac:dyDescent="0.3">
      <c r="A1429" s="678" t="str">
        <f t="shared" ref="A1429" ca="1" si="6160">INDIRECT("'update Helper'!C"&amp;U1429)</f>
        <v>a163p000002zQftAAE</v>
      </c>
      <c r="B1429" s="674">
        <v>21</v>
      </c>
      <c r="C1429" s="666" t="str">
        <f>VLOOKUP(B1429,'Coverage Indicators - Section D'!$A$9:$AU$70,47,FALSE)</f>
        <v/>
      </c>
      <c r="D1429" s="676" t="str">
        <f t="shared" ref="D1429" si="6161">R1429</f>
        <v/>
      </c>
      <c r="E1429" s="676" t="str">
        <f t="shared" ref="E1429" si="6162">S1429</f>
        <v/>
      </c>
      <c r="F1429" s="194"/>
      <c r="G1429" s="668" t="str">
        <f t="shared" ref="G1429" ca="1" si="6163">IF(OR(INDIRECT("'update Helper'!E"&amp;U1429)=0,F1429&lt;&gt;0,F1430&lt;&gt;0),IF(IFERROR((F1429/F1430),"")="","",(F1429/F1430)),INDIRECT("'update Helper'!E"&amp;U1429)/100)</f>
        <v/>
      </c>
      <c r="H1429" s="670"/>
      <c r="I1429" s="672"/>
      <c r="J1429" s="651"/>
      <c r="K1429" s="666" t="str">
        <f t="shared" ref="K1429" si="6164">W1429</f>
        <v/>
      </c>
      <c r="L1429" s="666" t="str">
        <f t="shared" ref="L1429" si="6165">V1429</f>
        <v/>
      </c>
      <c r="M1429" s="651"/>
      <c r="N1429" s="651"/>
      <c r="P1429" s="189">
        <f t="shared" ref="P1429" si="6166">IF(AND(EXACT(C1429,C1427),C1427&lt;&gt;0),P1427+1,0)</f>
        <v>4</v>
      </c>
      <c r="Q1429" s="189" t="str">
        <f t="shared" ref="Q1429" si="6167">IF(C1429&lt;&gt;"",C1429&amp;"-"&amp;P1429,"")</f>
        <v/>
      </c>
      <c r="R1429" s="189" t="str">
        <f t="array" ref="R1429">IFERROR(IF(INDEX('Disaggregation Records'!$E$155:$E$385,MATCH(RIGHT(Q1429,255),RIGHT('Disaggregation Records'!$D$155:$D$385,255),0))=0,"",INDEX('Disaggregation Records'!$E$155:$E$385,MATCH(RIGHT(Q1429,255),RIGHT('Disaggregation Records'!$D$155:$D$385,255),0))),"")</f>
        <v/>
      </c>
      <c r="S1429" s="189" t="str">
        <f t="array" ref="S1429">IFERROR(IF(INDEX('Disaggregation Records'!$F$155:$F$385,MATCH(RIGHT(Q1429,255),RIGHT('Disaggregation Records'!$D$155:$D$385,255),0))=0,"",INDEX('Disaggregation Records'!$F$155:$F$385,MATCH(RIGHT(Q1429,255),RIGHT('Disaggregation Records'!$D$155:$D$385,255),0))),"")</f>
        <v/>
      </c>
      <c r="T1429" s="189" t="str">
        <f t="array" ref="T1429">IFERROR(IF(INDEX('Disaggregation Records'!$H$155:$H$385,MATCH(RIGHT(Q1429,255),RIGHT('Disaggregation Records'!$D$155:$D$385,255),0))=0,"",INDEX('Disaggregation Records'!$H$155:$H$385,MATCH(RIGHT(Q1429,255),RIGHT('Disaggregation Records'!$D$155:$D$385,255),0))),"")</f>
        <v/>
      </c>
      <c r="U1429" s="189">
        <f t="shared" ref="U1429" si="6168">U1427+1</f>
        <v>1816</v>
      </c>
      <c r="V1429" s="189" t="str">
        <f t="array" ref="V1429">IFERROR(IF(INDEX('Disaggregation Records'!$I$155:$I$385,MATCH(RIGHT(Q1429,255),RIGHT('Disaggregation Records'!$D$155:$D$385,255),0))=0,"",INDEX('Disaggregation Records'!$I$155:$I$385,MATCH(RIGHT(Q1429,255),RIGHT('Disaggregation Records'!$D$155:$D$385,255),0))),"")</f>
        <v/>
      </c>
      <c r="W1429" s="189" t="str">
        <f>IFERROR(INDEX('Reference Records'!L$59:L$121,MATCH(LEFT(C1429,255),'Reference Records'!E$59:E$121,0)),"")</f>
        <v/>
      </c>
    </row>
    <row r="1430" spans="1:23" s="189" customFormat="1" ht="40.200000000000003" customHeight="1" x14ac:dyDescent="0.3">
      <c r="A1430" s="678"/>
      <c r="B1430" s="675"/>
      <c r="C1430" s="667"/>
      <c r="D1430" s="677"/>
      <c r="E1430" s="677"/>
      <c r="F1430" s="202"/>
      <c r="G1430" s="669"/>
      <c r="H1430" s="671"/>
      <c r="I1430" s="673"/>
      <c r="J1430" s="652"/>
      <c r="K1430" s="667"/>
      <c r="L1430" s="667"/>
      <c r="M1430" s="652"/>
      <c r="N1430" s="652"/>
    </row>
    <row r="1431" spans="1:23" s="189" customFormat="1" ht="40.200000000000003" customHeight="1" x14ac:dyDescent="0.3">
      <c r="A1431" s="678" t="str">
        <f t="shared" ref="A1431" ca="1" si="6169">INDIRECT("'update Helper'!C"&amp;U1431)</f>
        <v>a163p000002zQfuAAE</v>
      </c>
      <c r="B1431" s="674">
        <v>21</v>
      </c>
      <c r="C1431" s="666" t="str">
        <f>VLOOKUP(B1431,'Coverage Indicators - Section D'!$A$9:$AU$70,47,FALSE)</f>
        <v/>
      </c>
      <c r="D1431" s="676" t="str">
        <f t="shared" ref="D1431" si="6170">R1431</f>
        <v/>
      </c>
      <c r="E1431" s="676" t="str">
        <f t="shared" ref="E1431" si="6171">S1431</f>
        <v/>
      </c>
      <c r="F1431" s="194"/>
      <c r="G1431" s="668" t="str">
        <f t="shared" ref="G1431" ca="1" si="6172">IF(OR(INDIRECT("'update Helper'!E"&amp;U1431)=0,F1431&lt;&gt;0,F1432&lt;&gt;0),IF(IFERROR((F1431/F1432),"")="","",(F1431/F1432)),INDIRECT("'update Helper'!E"&amp;U1431)/100)</f>
        <v/>
      </c>
      <c r="H1431" s="670"/>
      <c r="I1431" s="672"/>
      <c r="J1431" s="651"/>
      <c r="K1431" s="666" t="str">
        <f t="shared" ref="K1431" si="6173">W1431</f>
        <v/>
      </c>
      <c r="L1431" s="666" t="str">
        <f t="shared" ref="L1431" si="6174">V1431</f>
        <v/>
      </c>
      <c r="M1431" s="651"/>
      <c r="N1431" s="651"/>
      <c r="P1431" s="189">
        <f t="shared" ref="P1431" si="6175">IF(AND(EXACT(C1431,C1429),C1429&lt;&gt;0),P1429+1,0)</f>
        <v>5</v>
      </c>
      <c r="Q1431" s="189" t="str">
        <f t="shared" ref="Q1431" si="6176">IF(C1431&lt;&gt;"",C1431&amp;"-"&amp;P1431,"")</f>
        <v/>
      </c>
      <c r="R1431" s="189" t="str">
        <f t="array" ref="R1431">IFERROR(IF(INDEX('Disaggregation Records'!$E$155:$E$385,MATCH(RIGHT(Q1431,255),RIGHT('Disaggregation Records'!$D$155:$D$385,255),0))=0,"",INDEX('Disaggregation Records'!$E$155:$E$385,MATCH(RIGHT(Q1431,255),RIGHT('Disaggregation Records'!$D$155:$D$385,255),0))),"")</f>
        <v/>
      </c>
      <c r="S1431" s="189" t="str">
        <f t="array" ref="S1431">IFERROR(IF(INDEX('Disaggregation Records'!$F$155:$F$385,MATCH(RIGHT(Q1431,255),RIGHT('Disaggregation Records'!$D$155:$D$385,255),0))=0,"",INDEX('Disaggregation Records'!$F$155:$F$385,MATCH(RIGHT(Q1431,255),RIGHT('Disaggregation Records'!$D$155:$D$385,255),0))),"")</f>
        <v/>
      </c>
      <c r="T1431" s="189" t="str">
        <f t="array" ref="T1431">IFERROR(IF(INDEX('Disaggregation Records'!$H$155:$H$385,MATCH(RIGHT(Q1431,255),RIGHT('Disaggregation Records'!$D$155:$D$385,255),0))=0,"",INDEX('Disaggregation Records'!$H$155:$H$385,MATCH(RIGHT(Q1431,255),RIGHT('Disaggregation Records'!$D$155:$D$385,255),0))),"")</f>
        <v/>
      </c>
      <c r="U1431" s="189">
        <f t="shared" ref="U1431" si="6177">U1429+1</f>
        <v>1817</v>
      </c>
      <c r="V1431" s="189" t="str">
        <f t="array" ref="V1431">IFERROR(IF(INDEX('Disaggregation Records'!$I$155:$I$385,MATCH(RIGHT(Q1431,255),RIGHT('Disaggregation Records'!$D$155:$D$385,255),0))=0,"",INDEX('Disaggregation Records'!$I$155:$I$385,MATCH(RIGHT(Q1431,255),RIGHT('Disaggregation Records'!$D$155:$D$385,255),0))),"")</f>
        <v/>
      </c>
      <c r="W1431" s="189" t="str">
        <f>IFERROR(INDEX('Reference Records'!L$59:L$121,MATCH(LEFT(C1431,255),'Reference Records'!E$59:E$121,0)),"")</f>
        <v/>
      </c>
    </row>
    <row r="1432" spans="1:23" s="189" customFormat="1" ht="40.200000000000003" customHeight="1" x14ac:dyDescent="0.3">
      <c r="A1432" s="678"/>
      <c r="B1432" s="675"/>
      <c r="C1432" s="667"/>
      <c r="D1432" s="677"/>
      <c r="E1432" s="677"/>
      <c r="F1432" s="202"/>
      <c r="G1432" s="669"/>
      <c r="H1432" s="671"/>
      <c r="I1432" s="673"/>
      <c r="J1432" s="652"/>
      <c r="K1432" s="667"/>
      <c r="L1432" s="667"/>
      <c r="M1432" s="652"/>
      <c r="N1432" s="652"/>
    </row>
    <row r="1433" spans="1:23" s="189" customFormat="1" ht="40.200000000000003" customHeight="1" x14ac:dyDescent="0.3">
      <c r="A1433" s="678" t="str">
        <f t="shared" ref="A1433" ca="1" si="6178">INDIRECT("'update Helper'!C"&amp;U1433)</f>
        <v>a163p000002zQfvAAE</v>
      </c>
      <c r="B1433" s="674">
        <v>21</v>
      </c>
      <c r="C1433" s="666" t="str">
        <f>VLOOKUP(B1433,'Coverage Indicators - Section D'!$A$9:$AU$70,47,FALSE)</f>
        <v/>
      </c>
      <c r="D1433" s="676" t="str">
        <f t="shared" ref="D1433" si="6179">R1433</f>
        <v/>
      </c>
      <c r="E1433" s="676" t="str">
        <f t="shared" ref="E1433" si="6180">S1433</f>
        <v/>
      </c>
      <c r="F1433" s="194"/>
      <c r="G1433" s="668" t="str">
        <f t="shared" ref="G1433" ca="1" si="6181">IF(OR(INDIRECT("'update Helper'!E"&amp;U1433)=0,F1433&lt;&gt;0,F1434&lt;&gt;0),IF(IFERROR((F1433/F1434),"")="","",(F1433/F1434)),INDIRECT("'update Helper'!E"&amp;U1433)/100)</f>
        <v/>
      </c>
      <c r="H1433" s="670"/>
      <c r="I1433" s="672"/>
      <c r="J1433" s="651"/>
      <c r="K1433" s="666" t="str">
        <f t="shared" ref="K1433" si="6182">W1433</f>
        <v/>
      </c>
      <c r="L1433" s="666" t="str">
        <f t="shared" ref="L1433" si="6183">V1433</f>
        <v/>
      </c>
      <c r="M1433" s="651"/>
      <c r="N1433" s="651"/>
      <c r="P1433" s="189">
        <f t="shared" ref="P1433" si="6184">IF(AND(EXACT(C1433,C1431),C1431&lt;&gt;0),P1431+1,0)</f>
        <v>6</v>
      </c>
      <c r="Q1433" s="189" t="str">
        <f t="shared" ref="Q1433" si="6185">IF(C1433&lt;&gt;"",C1433&amp;"-"&amp;P1433,"")</f>
        <v/>
      </c>
      <c r="R1433" s="189" t="str">
        <f t="array" ref="R1433">IFERROR(IF(INDEX('Disaggregation Records'!$E$155:$E$385,MATCH(RIGHT(Q1433,255),RIGHT('Disaggregation Records'!$D$155:$D$385,255),0))=0,"",INDEX('Disaggregation Records'!$E$155:$E$385,MATCH(RIGHT(Q1433,255),RIGHT('Disaggregation Records'!$D$155:$D$385,255),0))),"")</f>
        <v/>
      </c>
      <c r="S1433" s="189" t="str">
        <f t="array" ref="S1433">IFERROR(IF(INDEX('Disaggregation Records'!$F$155:$F$385,MATCH(RIGHT(Q1433,255),RIGHT('Disaggregation Records'!$D$155:$D$385,255),0))=0,"",INDEX('Disaggregation Records'!$F$155:$F$385,MATCH(RIGHT(Q1433,255),RIGHT('Disaggregation Records'!$D$155:$D$385,255),0))),"")</f>
        <v/>
      </c>
      <c r="T1433" s="189" t="str">
        <f t="array" ref="T1433">IFERROR(IF(INDEX('Disaggregation Records'!$H$155:$H$385,MATCH(RIGHT(Q1433,255),RIGHT('Disaggregation Records'!$D$155:$D$385,255),0))=0,"",INDEX('Disaggregation Records'!$H$155:$H$385,MATCH(RIGHT(Q1433,255),RIGHT('Disaggregation Records'!$D$155:$D$385,255),0))),"")</f>
        <v/>
      </c>
      <c r="U1433" s="189">
        <f t="shared" ref="U1433" si="6186">U1431+1</f>
        <v>1818</v>
      </c>
      <c r="V1433" s="189" t="str">
        <f t="array" ref="V1433">IFERROR(IF(INDEX('Disaggregation Records'!$I$155:$I$385,MATCH(RIGHT(Q1433,255),RIGHT('Disaggregation Records'!$D$155:$D$385,255),0))=0,"",INDEX('Disaggregation Records'!$I$155:$I$385,MATCH(RIGHT(Q1433,255),RIGHT('Disaggregation Records'!$D$155:$D$385,255),0))),"")</f>
        <v/>
      </c>
      <c r="W1433" s="189" t="str">
        <f>IFERROR(INDEX('Reference Records'!L$59:L$121,MATCH(LEFT(C1433,255),'Reference Records'!E$59:E$121,0)),"")</f>
        <v/>
      </c>
    </row>
    <row r="1434" spans="1:23" s="189" customFormat="1" ht="40.200000000000003" customHeight="1" x14ac:dyDescent="0.3">
      <c r="A1434" s="678"/>
      <c r="B1434" s="675"/>
      <c r="C1434" s="667"/>
      <c r="D1434" s="677"/>
      <c r="E1434" s="677"/>
      <c r="F1434" s="202"/>
      <c r="G1434" s="669"/>
      <c r="H1434" s="671"/>
      <c r="I1434" s="673"/>
      <c r="J1434" s="652"/>
      <c r="K1434" s="667"/>
      <c r="L1434" s="667"/>
      <c r="M1434" s="652"/>
      <c r="N1434" s="652"/>
    </row>
    <row r="1435" spans="1:23" s="189" customFormat="1" ht="40.200000000000003" customHeight="1" x14ac:dyDescent="0.3">
      <c r="A1435" s="678" t="str">
        <f t="shared" ref="A1435" ca="1" si="6187">INDIRECT("'update Helper'!C"&amp;U1435)</f>
        <v>a163p000002zQfwAAE</v>
      </c>
      <c r="B1435" s="674">
        <v>21</v>
      </c>
      <c r="C1435" s="666" t="str">
        <f>VLOOKUP(B1435,'Coverage Indicators - Section D'!$A$9:$AU$70,47,FALSE)</f>
        <v/>
      </c>
      <c r="D1435" s="676" t="str">
        <f t="shared" ref="D1435" si="6188">R1435</f>
        <v/>
      </c>
      <c r="E1435" s="676" t="str">
        <f t="shared" ref="E1435" si="6189">S1435</f>
        <v/>
      </c>
      <c r="F1435" s="194"/>
      <c r="G1435" s="668" t="str">
        <f t="shared" ref="G1435" ca="1" si="6190">IF(OR(INDIRECT("'update Helper'!E"&amp;U1435)=0,F1435&lt;&gt;0,F1436&lt;&gt;0),IF(IFERROR((F1435/F1436),"")="","",(F1435/F1436)),INDIRECT("'update Helper'!E"&amp;U1435)/100)</f>
        <v/>
      </c>
      <c r="H1435" s="670"/>
      <c r="I1435" s="672"/>
      <c r="J1435" s="651"/>
      <c r="K1435" s="666" t="str">
        <f t="shared" ref="K1435" si="6191">W1435</f>
        <v/>
      </c>
      <c r="L1435" s="666" t="str">
        <f t="shared" ref="L1435" si="6192">V1435</f>
        <v/>
      </c>
      <c r="M1435" s="651"/>
      <c r="N1435" s="651"/>
      <c r="P1435" s="189">
        <f t="shared" ref="P1435" si="6193">IF(AND(EXACT(C1435,C1433),C1433&lt;&gt;0),P1433+1,0)</f>
        <v>7</v>
      </c>
      <c r="Q1435" s="189" t="str">
        <f t="shared" ref="Q1435" si="6194">IF(C1435&lt;&gt;"",C1435&amp;"-"&amp;P1435,"")</f>
        <v/>
      </c>
      <c r="R1435" s="189" t="str">
        <f t="array" ref="R1435">IFERROR(IF(INDEX('Disaggregation Records'!$E$155:$E$385,MATCH(RIGHT(Q1435,255),RIGHT('Disaggregation Records'!$D$155:$D$385,255),0))=0,"",INDEX('Disaggregation Records'!$E$155:$E$385,MATCH(RIGHT(Q1435,255),RIGHT('Disaggregation Records'!$D$155:$D$385,255),0))),"")</f>
        <v/>
      </c>
      <c r="S1435" s="189" t="str">
        <f t="array" ref="S1435">IFERROR(IF(INDEX('Disaggregation Records'!$F$155:$F$385,MATCH(RIGHT(Q1435,255),RIGHT('Disaggregation Records'!$D$155:$D$385,255),0))=0,"",INDEX('Disaggregation Records'!$F$155:$F$385,MATCH(RIGHT(Q1435,255),RIGHT('Disaggregation Records'!$D$155:$D$385,255),0))),"")</f>
        <v/>
      </c>
      <c r="T1435" s="189" t="str">
        <f t="array" ref="T1435">IFERROR(IF(INDEX('Disaggregation Records'!$H$155:$H$385,MATCH(RIGHT(Q1435,255),RIGHT('Disaggregation Records'!$D$155:$D$385,255),0))=0,"",INDEX('Disaggregation Records'!$H$155:$H$385,MATCH(RIGHT(Q1435,255),RIGHT('Disaggregation Records'!$D$155:$D$385,255),0))),"")</f>
        <v/>
      </c>
      <c r="U1435" s="189">
        <f t="shared" ref="U1435" si="6195">U1433+1</f>
        <v>1819</v>
      </c>
      <c r="V1435" s="189" t="str">
        <f t="array" ref="V1435">IFERROR(IF(INDEX('Disaggregation Records'!$I$155:$I$385,MATCH(RIGHT(Q1435,255),RIGHT('Disaggregation Records'!$D$155:$D$385,255),0))=0,"",INDEX('Disaggregation Records'!$I$155:$I$385,MATCH(RIGHT(Q1435,255),RIGHT('Disaggregation Records'!$D$155:$D$385,255),0))),"")</f>
        <v/>
      </c>
      <c r="W1435" s="189" t="str">
        <f>IFERROR(INDEX('Reference Records'!L$59:L$121,MATCH(LEFT(C1435,255),'Reference Records'!E$59:E$121,0)),"")</f>
        <v/>
      </c>
    </row>
    <row r="1436" spans="1:23" s="189" customFormat="1" ht="40.200000000000003" customHeight="1" x14ac:dyDescent="0.3">
      <c r="A1436" s="678"/>
      <c r="B1436" s="675"/>
      <c r="C1436" s="667"/>
      <c r="D1436" s="677"/>
      <c r="E1436" s="677"/>
      <c r="F1436" s="202"/>
      <c r="G1436" s="669"/>
      <c r="H1436" s="671"/>
      <c r="I1436" s="673"/>
      <c r="J1436" s="652"/>
      <c r="K1436" s="667"/>
      <c r="L1436" s="667"/>
      <c r="M1436" s="652"/>
      <c r="N1436" s="652"/>
    </row>
    <row r="1437" spans="1:23" s="189" customFormat="1" ht="40.200000000000003" customHeight="1" x14ac:dyDescent="0.3">
      <c r="A1437" s="678" t="str">
        <f t="shared" ref="A1437" ca="1" si="6196">INDIRECT("'update Helper'!C"&amp;U1437)</f>
        <v>a163p000002zQfxAAE</v>
      </c>
      <c r="B1437" s="674">
        <v>21</v>
      </c>
      <c r="C1437" s="666" t="str">
        <f>VLOOKUP(B1437,'Coverage Indicators - Section D'!$A$9:$AU$70,47,FALSE)</f>
        <v/>
      </c>
      <c r="D1437" s="676" t="str">
        <f t="shared" ref="D1437" si="6197">R1437</f>
        <v/>
      </c>
      <c r="E1437" s="676" t="str">
        <f t="shared" ref="E1437" si="6198">S1437</f>
        <v/>
      </c>
      <c r="F1437" s="194"/>
      <c r="G1437" s="668" t="str">
        <f t="shared" ref="G1437" ca="1" si="6199">IF(OR(INDIRECT("'update Helper'!E"&amp;U1437)=0,F1437&lt;&gt;0,F1438&lt;&gt;0),IF(IFERROR((F1437/F1438),"")="","",(F1437/F1438)),INDIRECT("'update Helper'!E"&amp;U1437)/100)</f>
        <v/>
      </c>
      <c r="H1437" s="670"/>
      <c r="I1437" s="672"/>
      <c r="J1437" s="651"/>
      <c r="K1437" s="666" t="str">
        <f t="shared" ref="K1437" si="6200">W1437</f>
        <v/>
      </c>
      <c r="L1437" s="666" t="str">
        <f t="shared" ref="L1437" si="6201">V1437</f>
        <v/>
      </c>
      <c r="M1437" s="651"/>
      <c r="N1437" s="651"/>
      <c r="P1437" s="189">
        <f t="shared" ref="P1437" si="6202">IF(AND(EXACT(C1437,C1435),C1435&lt;&gt;0),P1435+1,0)</f>
        <v>8</v>
      </c>
      <c r="Q1437" s="189" t="str">
        <f t="shared" ref="Q1437" si="6203">IF(C1437&lt;&gt;"",C1437&amp;"-"&amp;P1437,"")</f>
        <v/>
      </c>
      <c r="R1437" s="189" t="str">
        <f t="array" ref="R1437">IFERROR(IF(INDEX('Disaggregation Records'!$E$155:$E$385,MATCH(RIGHT(Q1437,255),RIGHT('Disaggregation Records'!$D$155:$D$385,255),0))=0,"",INDEX('Disaggregation Records'!$E$155:$E$385,MATCH(RIGHT(Q1437,255),RIGHT('Disaggregation Records'!$D$155:$D$385,255),0))),"")</f>
        <v/>
      </c>
      <c r="S1437" s="189" t="str">
        <f t="array" ref="S1437">IFERROR(IF(INDEX('Disaggregation Records'!$F$155:$F$385,MATCH(RIGHT(Q1437,255),RIGHT('Disaggregation Records'!$D$155:$D$385,255),0))=0,"",INDEX('Disaggregation Records'!$F$155:$F$385,MATCH(RIGHT(Q1437,255),RIGHT('Disaggregation Records'!$D$155:$D$385,255),0))),"")</f>
        <v/>
      </c>
      <c r="T1437" s="189" t="str">
        <f t="array" ref="T1437">IFERROR(IF(INDEX('Disaggregation Records'!$H$155:$H$385,MATCH(RIGHT(Q1437,255),RIGHT('Disaggregation Records'!$D$155:$D$385,255),0))=0,"",INDEX('Disaggregation Records'!$H$155:$H$385,MATCH(RIGHT(Q1437,255),RIGHT('Disaggregation Records'!$D$155:$D$385,255),0))),"")</f>
        <v/>
      </c>
      <c r="U1437" s="189">
        <f t="shared" ref="U1437" si="6204">U1435+1</f>
        <v>1820</v>
      </c>
      <c r="V1437" s="189" t="str">
        <f t="array" ref="V1437">IFERROR(IF(INDEX('Disaggregation Records'!$I$155:$I$385,MATCH(RIGHT(Q1437,255),RIGHT('Disaggregation Records'!$D$155:$D$385,255),0))=0,"",INDEX('Disaggregation Records'!$I$155:$I$385,MATCH(RIGHT(Q1437,255),RIGHT('Disaggregation Records'!$D$155:$D$385,255),0))),"")</f>
        <v/>
      </c>
      <c r="W1437" s="189" t="str">
        <f>IFERROR(INDEX('Reference Records'!L$59:L$121,MATCH(LEFT(C1437,255),'Reference Records'!E$59:E$121,0)),"")</f>
        <v/>
      </c>
    </row>
    <row r="1438" spans="1:23" s="189" customFormat="1" ht="40.200000000000003" customHeight="1" x14ac:dyDescent="0.3">
      <c r="A1438" s="678"/>
      <c r="B1438" s="675"/>
      <c r="C1438" s="667"/>
      <c r="D1438" s="677"/>
      <c r="E1438" s="677"/>
      <c r="F1438" s="202"/>
      <c r="G1438" s="669"/>
      <c r="H1438" s="671"/>
      <c r="I1438" s="673"/>
      <c r="J1438" s="652"/>
      <c r="K1438" s="667"/>
      <c r="L1438" s="667"/>
      <c r="M1438" s="652"/>
      <c r="N1438" s="652"/>
    </row>
    <row r="1439" spans="1:23" s="189" customFormat="1" ht="40.200000000000003" customHeight="1" x14ac:dyDescent="0.3">
      <c r="A1439" s="678" t="str">
        <f t="shared" ref="A1439" ca="1" si="6205">INDIRECT("'update Helper'!C"&amp;U1439)</f>
        <v>a163p000002zQfyAAE</v>
      </c>
      <c r="B1439" s="674">
        <v>21</v>
      </c>
      <c r="C1439" s="666" t="str">
        <f>VLOOKUP(B1439,'Coverage Indicators - Section D'!$A$9:$AU$70,47,FALSE)</f>
        <v/>
      </c>
      <c r="D1439" s="676" t="str">
        <f t="shared" ref="D1439" si="6206">R1439</f>
        <v/>
      </c>
      <c r="E1439" s="676" t="str">
        <f t="shared" ref="E1439" si="6207">S1439</f>
        <v/>
      </c>
      <c r="F1439" s="194"/>
      <c r="G1439" s="668" t="str">
        <f t="shared" ref="G1439" ca="1" si="6208">IF(OR(INDIRECT("'update Helper'!E"&amp;U1439)=0,F1439&lt;&gt;0,F1440&lt;&gt;0),IF(IFERROR((F1439/F1440),"")="","",(F1439/F1440)),INDIRECT("'update Helper'!E"&amp;U1439)/100)</f>
        <v/>
      </c>
      <c r="H1439" s="670"/>
      <c r="I1439" s="672"/>
      <c r="J1439" s="651"/>
      <c r="K1439" s="666" t="str">
        <f t="shared" ref="K1439" si="6209">W1439</f>
        <v/>
      </c>
      <c r="L1439" s="666" t="str">
        <f t="shared" ref="L1439" si="6210">V1439</f>
        <v/>
      </c>
      <c r="M1439" s="651"/>
      <c r="N1439" s="651"/>
      <c r="P1439" s="189">
        <f t="shared" ref="P1439" si="6211">IF(AND(EXACT(C1439,C1437),C1437&lt;&gt;0),P1437+1,0)</f>
        <v>9</v>
      </c>
      <c r="Q1439" s="189" t="str">
        <f t="shared" ref="Q1439" si="6212">IF(C1439&lt;&gt;"",C1439&amp;"-"&amp;P1439,"")</f>
        <v/>
      </c>
      <c r="R1439" s="189" t="str">
        <f t="array" ref="R1439">IFERROR(IF(INDEX('Disaggregation Records'!$E$155:$E$385,MATCH(RIGHT(Q1439,255),RIGHT('Disaggregation Records'!$D$155:$D$385,255),0))=0,"",INDEX('Disaggregation Records'!$E$155:$E$385,MATCH(RIGHT(Q1439,255),RIGHT('Disaggregation Records'!$D$155:$D$385,255),0))),"")</f>
        <v/>
      </c>
      <c r="S1439" s="189" t="str">
        <f t="array" ref="S1439">IFERROR(IF(INDEX('Disaggregation Records'!$F$155:$F$385,MATCH(RIGHT(Q1439,255),RIGHT('Disaggregation Records'!$D$155:$D$385,255),0))=0,"",INDEX('Disaggregation Records'!$F$155:$F$385,MATCH(RIGHT(Q1439,255),RIGHT('Disaggregation Records'!$D$155:$D$385,255),0))),"")</f>
        <v/>
      </c>
      <c r="T1439" s="189" t="str">
        <f t="array" ref="T1439">IFERROR(IF(INDEX('Disaggregation Records'!$H$155:$H$385,MATCH(RIGHT(Q1439,255),RIGHT('Disaggregation Records'!$D$155:$D$385,255),0))=0,"",INDEX('Disaggregation Records'!$H$155:$H$385,MATCH(RIGHT(Q1439,255),RIGHT('Disaggregation Records'!$D$155:$D$385,255),0))),"")</f>
        <v/>
      </c>
      <c r="U1439" s="189">
        <f t="shared" ref="U1439" si="6213">U1437+1</f>
        <v>1821</v>
      </c>
      <c r="V1439" s="189" t="str">
        <f t="array" ref="V1439">IFERROR(IF(INDEX('Disaggregation Records'!$I$155:$I$385,MATCH(RIGHT(Q1439,255),RIGHT('Disaggregation Records'!$D$155:$D$385,255),0))=0,"",INDEX('Disaggregation Records'!$I$155:$I$385,MATCH(RIGHT(Q1439,255),RIGHT('Disaggregation Records'!$D$155:$D$385,255),0))),"")</f>
        <v/>
      </c>
      <c r="W1439" s="189" t="str">
        <f>IFERROR(INDEX('Reference Records'!L$59:L$121,MATCH(LEFT(C1439,255),'Reference Records'!E$59:E$121,0)),"")</f>
        <v/>
      </c>
    </row>
    <row r="1440" spans="1:23" s="189" customFormat="1" ht="40.200000000000003" customHeight="1" x14ac:dyDescent="0.3">
      <c r="A1440" s="678"/>
      <c r="B1440" s="675"/>
      <c r="C1440" s="667"/>
      <c r="D1440" s="677"/>
      <c r="E1440" s="677"/>
      <c r="F1440" s="202"/>
      <c r="G1440" s="669"/>
      <c r="H1440" s="671"/>
      <c r="I1440" s="673"/>
      <c r="J1440" s="652"/>
      <c r="K1440" s="667"/>
      <c r="L1440" s="667"/>
      <c r="M1440" s="652"/>
      <c r="N1440" s="652"/>
    </row>
    <row r="1441" spans="1:23" s="189" customFormat="1" ht="40.200000000000003" customHeight="1" x14ac:dyDescent="0.3">
      <c r="A1441" s="678" t="str">
        <f t="shared" ref="A1441" ca="1" si="6214">INDIRECT("'update Helper'!C"&amp;U1441)</f>
        <v>a163p000002zQfzAAE</v>
      </c>
      <c r="B1441" s="674">
        <v>21</v>
      </c>
      <c r="C1441" s="666" t="str">
        <f>VLOOKUP(B1441,'Coverage Indicators - Section D'!$A$9:$AU$70,47,FALSE)</f>
        <v/>
      </c>
      <c r="D1441" s="676" t="str">
        <f t="shared" ref="D1441" si="6215">R1441</f>
        <v/>
      </c>
      <c r="E1441" s="676" t="str">
        <f t="shared" ref="E1441" si="6216">S1441</f>
        <v/>
      </c>
      <c r="F1441" s="194"/>
      <c r="G1441" s="668" t="str">
        <f t="shared" ref="G1441" ca="1" si="6217">IF(OR(INDIRECT("'update Helper'!E"&amp;U1441)=0,F1441&lt;&gt;0,F1442&lt;&gt;0),IF(IFERROR((F1441/F1442),"")="","",(F1441/F1442)),INDIRECT("'update Helper'!E"&amp;U1441)/100)</f>
        <v/>
      </c>
      <c r="H1441" s="670"/>
      <c r="I1441" s="672"/>
      <c r="J1441" s="651"/>
      <c r="K1441" s="666" t="str">
        <f t="shared" ref="K1441" si="6218">W1441</f>
        <v/>
      </c>
      <c r="L1441" s="666" t="str">
        <f t="shared" ref="L1441" si="6219">V1441</f>
        <v/>
      </c>
      <c r="M1441" s="651"/>
      <c r="N1441" s="651"/>
      <c r="P1441" s="189">
        <f t="shared" ref="P1441" si="6220">IF(AND(EXACT(C1441,C1439),C1439&lt;&gt;0),P1439+1,0)</f>
        <v>10</v>
      </c>
      <c r="Q1441" s="189" t="str">
        <f t="shared" ref="Q1441" si="6221">IF(C1441&lt;&gt;"",C1441&amp;"-"&amp;P1441,"")</f>
        <v/>
      </c>
      <c r="R1441" s="189" t="str">
        <f t="array" ref="R1441">IFERROR(IF(INDEX('Disaggregation Records'!$E$155:$E$385,MATCH(RIGHT(Q1441,255),RIGHT('Disaggregation Records'!$D$155:$D$385,255),0))=0,"",INDEX('Disaggregation Records'!$E$155:$E$385,MATCH(RIGHT(Q1441,255),RIGHT('Disaggregation Records'!$D$155:$D$385,255),0))),"")</f>
        <v/>
      </c>
      <c r="S1441" s="189" t="str">
        <f t="array" ref="S1441">IFERROR(IF(INDEX('Disaggregation Records'!$F$155:$F$385,MATCH(RIGHT(Q1441,255),RIGHT('Disaggregation Records'!$D$155:$D$385,255),0))=0,"",INDEX('Disaggregation Records'!$F$155:$F$385,MATCH(RIGHT(Q1441,255),RIGHT('Disaggregation Records'!$D$155:$D$385,255),0))),"")</f>
        <v/>
      </c>
      <c r="T1441" s="189" t="str">
        <f t="array" ref="T1441">IFERROR(IF(INDEX('Disaggregation Records'!$H$155:$H$385,MATCH(RIGHT(Q1441,255),RIGHT('Disaggregation Records'!$D$155:$D$385,255),0))=0,"",INDEX('Disaggregation Records'!$H$155:$H$385,MATCH(RIGHT(Q1441,255),RIGHT('Disaggregation Records'!$D$155:$D$385,255),0))),"")</f>
        <v/>
      </c>
      <c r="U1441" s="189">
        <f t="shared" ref="U1441" si="6222">U1439+1</f>
        <v>1822</v>
      </c>
      <c r="V1441" s="189" t="str">
        <f t="array" ref="V1441">IFERROR(IF(INDEX('Disaggregation Records'!$I$155:$I$385,MATCH(RIGHT(Q1441,255),RIGHT('Disaggregation Records'!$D$155:$D$385,255),0))=0,"",INDEX('Disaggregation Records'!$I$155:$I$385,MATCH(RIGHT(Q1441,255),RIGHT('Disaggregation Records'!$D$155:$D$385,255),0))),"")</f>
        <v/>
      </c>
      <c r="W1441" s="189" t="str">
        <f>IFERROR(INDEX('Reference Records'!L$59:L$121,MATCH(LEFT(C1441,255),'Reference Records'!E$59:E$121,0)),"")</f>
        <v/>
      </c>
    </row>
    <row r="1442" spans="1:23" s="189" customFormat="1" ht="40.200000000000003" customHeight="1" x14ac:dyDescent="0.3">
      <c r="A1442" s="678"/>
      <c r="B1442" s="675"/>
      <c r="C1442" s="667"/>
      <c r="D1442" s="677"/>
      <c r="E1442" s="677"/>
      <c r="F1442" s="202"/>
      <c r="G1442" s="669"/>
      <c r="H1442" s="671"/>
      <c r="I1442" s="673"/>
      <c r="J1442" s="652"/>
      <c r="K1442" s="667"/>
      <c r="L1442" s="667"/>
      <c r="M1442" s="652"/>
      <c r="N1442" s="652"/>
    </row>
    <row r="1443" spans="1:23" s="189" customFormat="1" ht="40.200000000000003" customHeight="1" x14ac:dyDescent="0.3">
      <c r="A1443" s="678" t="str">
        <f t="shared" ref="A1443" ca="1" si="6223">INDIRECT("'update Helper'!C"&amp;U1443)</f>
        <v>a163p000002zQg0AAE</v>
      </c>
      <c r="B1443" s="674">
        <v>21</v>
      </c>
      <c r="C1443" s="666" t="str">
        <f>VLOOKUP(B1443,'Coverage Indicators - Section D'!$A$9:$AU$70,47,FALSE)</f>
        <v/>
      </c>
      <c r="D1443" s="676" t="str">
        <f t="shared" ref="D1443" si="6224">R1443</f>
        <v/>
      </c>
      <c r="E1443" s="676" t="str">
        <f t="shared" ref="E1443" si="6225">S1443</f>
        <v/>
      </c>
      <c r="F1443" s="194"/>
      <c r="G1443" s="668" t="str">
        <f t="shared" ref="G1443" ca="1" si="6226">IF(OR(INDIRECT("'update Helper'!E"&amp;U1443)=0,F1443&lt;&gt;0,F1444&lt;&gt;0),IF(IFERROR((F1443/F1444),"")="","",(F1443/F1444)),INDIRECT("'update Helper'!E"&amp;U1443)/100)</f>
        <v/>
      </c>
      <c r="H1443" s="670"/>
      <c r="I1443" s="672"/>
      <c r="J1443" s="651"/>
      <c r="K1443" s="666" t="str">
        <f t="shared" ref="K1443" si="6227">W1443</f>
        <v/>
      </c>
      <c r="L1443" s="666" t="str">
        <f t="shared" ref="L1443" si="6228">V1443</f>
        <v/>
      </c>
      <c r="M1443" s="651"/>
      <c r="N1443" s="651"/>
      <c r="P1443" s="189">
        <f t="shared" ref="P1443" si="6229">IF(AND(EXACT(C1443,C1441),C1441&lt;&gt;0),P1441+1,0)</f>
        <v>11</v>
      </c>
      <c r="Q1443" s="189" t="str">
        <f t="shared" ref="Q1443" si="6230">IF(C1443&lt;&gt;"",C1443&amp;"-"&amp;P1443,"")</f>
        <v/>
      </c>
      <c r="R1443" s="189" t="str">
        <f t="array" ref="R1443">IFERROR(IF(INDEX('Disaggregation Records'!$E$155:$E$385,MATCH(RIGHT(Q1443,255),RIGHT('Disaggregation Records'!$D$155:$D$385,255),0))=0,"",INDEX('Disaggregation Records'!$E$155:$E$385,MATCH(RIGHT(Q1443,255),RIGHT('Disaggregation Records'!$D$155:$D$385,255),0))),"")</f>
        <v/>
      </c>
      <c r="S1443" s="189" t="str">
        <f t="array" ref="S1443">IFERROR(IF(INDEX('Disaggregation Records'!$F$155:$F$385,MATCH(RIGHT(Q1443,255),RIGHT('Disaggregation Records'!$D$155:$D$385,255),0))=0,"",INDEX('Disaggregation Records'!$F$155:$F$385,MATCH(RIGHT(Q1443,255),RIGHT('Disaggregation Records'!$D$155:$D$385,255),0))),"")</f>
        <v/>
      </c>
      <c r="T1443" s="189" t="str">
        <f t="array" ref="T1443">IFERROR(IF(INDEX('Disaggregation Records'!$H$155:$H$385,MATCH(RIGHT(Q1443,255),RIGHT('Disaggregation Records'!$D$155:$D$385,255),0))=0,"",INDEX('Disaggregation Records'!$H$155:$H$385,MATCH(RIGHT(Q1443,255),RIGHT('Disaggregation Records'!$D$155:$D$385,255),0))),"")</f>
        <v/>
      </c>
      <c r="U1443" s="189">
        <f t="shared" ref="U1443" si="6231">U1441+1</f>
        <v>1823</v>
      </c>
      <c r="V1443" s="189" t="str">
        <f t="array" ref="V1443">IFERROR(IF(INDEX('Disaggregation Records'!$I$155:$I$385,MATCH(RIGHT(Q1443,255),RIGHT('Disaggregation Records'!$D$155:$D$385,255),0))=0,"",INDEX('Disaggregation Records'!$I$155:$I$385,MATCH(RIGHT(Q1443,255),RIGHT('Disaggregation Records'!$D$155:$D$385,255),0))),"")</f>
        <v/>
      </c>
      <c r="W1443" s="189" t="str">
        <f>IFERROR(INDEX('Reference Records'!L$59:L$121,MATCH(LEFT(C1443,255),'Reference Records'!E$59:E$121,0)),"")</f>
        <v/>
      </c>
    </row>
    <row r="1444" spans="1:23" s="189" customFormat="1" ht="40.200000000000003" customHeight="1" x14ac:dyDescent="0.3">
      <c r="A1444" s="678"/>
      <c r="B1444" s="675"/>
      <c r="C1444" s="667"/>
      <c r="D1444" s="677"/>
      <c r="E1444" s="677"/>
      <c r="F1444" s="202"/>
      <c r="G1444" s="669"/>
      <c r="H1444" s="671"/>
      <c r="I1444" s="673"/>
      <c r="J1444" s="652"/>
      <c r="K1444" s="667"/>
      <c r="L1444" s="667"/>
      <c r="M1444" s="652"/>
      <c r="N1444" s="652"/>
    </row>
    <row r="1445" spans="1:23" s="189" customFormat="1" ht="40.200000000000003" customHeight="1" x14ac:dyDescent="0.3">
      <c r="A1445" s="678" t="str">
        <f t="shared" ref="A1445" ca="1" si="6232">INDIRECT("'update Helper'!C"&amp;U1445)</f>
        <v>a163p000002zQg1AAE</v>
      </c>
      <c r="B1445" s="674">
        <v>21</v>
      </c>
      <c r="C1445" s="666" t="str">
        <f>VLOOKUP(B1445,'Coverage Indicators - Section D'!$A$9:$AU$70,47,FALSE)</f>
        <v/>
      </c>
      <c r="D1445" s="676" t="str">
        <f t="shared" ref="D1445" si="6233">R1445</f>
        <v/>
      </c>
      <c r="E1445" s="676" t="str">
        <f t="shared" ref="E1445" si="6234">S1445</f>
        <v/>
      </c>
      <c r="F1445" s="194"/>
      <c r="G1445" s="668" t="str">
        <f t="shared" ref="G1445" ca="1" si="6235">IF(OR(INDIRECT("'update Helper'!E"&amp;U1445)=0,F1445&lt;&gt;0,F1446&lt;&gt;0),IF(IFERROR((F1445/F1446),"")="","",(F1445/F1446)),INDIRECT("'update Helper'!E"&amp;U1445)/100)</f>
        <v/>
      </c>
      <c r="H1445" s="670"/>
      <c r="I1445" s="672"/>
      <c r="J1445" s="651"/>
      <c r="K1445" s="666" t="str">
        <f t="shared" ref="K1445" si="6236">W1445</f>
        <v/>
      </c>
      <c r="L1445" s="666" t="str">
        <f t="shared" ref="L1445" si="6237">V1445</f>
        <v/>
      </c>
      <c r="M1445" s="651"/>
      <c r="N1445" s="651"/>
      <c r="P1445" s="189">
        <f t="shared" ref="P1445" si="6238">IF(AND(EXACT(C1445,C1443),C1443&lt;&gt;0),P1443+1,0)</f>
        <v>12</v>
      </c>
      <c r="Q1445" s="189" t="str">
        <f t="shared" ref="Q1445" si="6239">IF(C1445&lt;&gt;"",C1445&amp;"-"&amp;P1445,"")</f>
        <v/>
      </c>
      <c r="R1445" s="189" t="str">
        <f t="array" ref="R1445">IFERROR(IF(INDEX('Disaggregation Records'!$E$155:$E$385,MATCH(RIGHT(Q1445,255),RIGHT('Disaggregation Records'!$D$155:$D$385,255),0))=0,"",INDEX('Disaggregation Records'!$E$155:$E$385,MATCH(RIGHT(Q1445,255),RIGHT('Disaggregation Records'!$D$155:$D$385,255),0))),"")</f>
        <v/>
      </c>
      <c r="S1445" s="189" t="str">
        <f t="array" ref="S1445">IFERROR(IF(INDEX('Disaggregation Records'!$F$155:$F$385,MATCH(RIGHT(Q1445,255),RIGHT('Disaggregation Records'!$D$155:$D$385,255),0))=0,"",INDEX('Disaggregation Records'!$F$155:$F$385,MATCH(RIGHT(Q1445,255),RIGHT('Disaggregation Records'!$D$155:$D$385,255),0))),"")</f>
        <v/>
      </c>
      <c r="T1445" s="189" t="str">
        <f t="array" ref="T1445">IFERROR(IF(INDEX('Disaggregation Records'!$H$155:$H$385,MATCH(RIGHT(Q1445,255),RIGHT('Disaggregation Records'!$D$155:$D$385,255),0))=0,"",INDEX('Disaggregation Records'!$H$155:$H$385,MATCH(RIGHT(Q1445,255),RIGHT('Disaggregation Records'!$D$155:$D$385,255),0))),"")</f>
        <v/>
      </c>
      <c r="U1445" s="189">
        <f t="shared" ref="U1445" si="6240">U1443+1</f>
        <v>1824</v>
      </c>
      <c r="V1445" s="189" t="str">
        <f t="array" ref="V1445">IFERROR(IF(INDEX('Disaggregation Records'!$I$155:$I$385,MATCH(RIGHT(Q1445,255),RIGHT('Disaggregation Records'!$D$155:$D$385,255),0))=0,"",INDEX('Disaggregation Records'!$I$155:$I$385,MATCH(RIGHT(Q1445,255),RIGHT('Disaggregation Records'!$D$155:$D$385,255),0))),"")</f>
        <v/>
      </c>
      <c r="W1445" s="189" t="str">
        <f>IFERROR(INDEX('Reference Records'!L$59:L$121,MATCH(LEFT(C1445,255),'Reference Records'!E$59:E$121,0)),"")</f>
        <v/>
      </c>
    </row>
    <row r="1446" spans="1:23" s="189" customFormat="1" ht="40.200000000000003" customHeight="1" x14ac:dyDescent="0.3">
      <c r="A1446" s="678"/>
      <c r="B1446" s="675"/>
      <c r="C1446" s="667"/>
      <c r="D1446" s="677"/>
      <c r="E1446" s="677"/>
      <c r="F1446" s="202"/>
      <c r="G1446" s="669"/>
      <c r="H1446" s="671"/>
      <c r="I1446" s="673"/>
      <c r="J1446" s="652"/>
      <c r="K1446" s="667"/>
      <c r="L1446" s="667"/>
      <c r="M1446" s="652"/>
      <c r="N1446" s="652"/>
    </row>
    <row r="1447" spans="1:23" s="189" customFormat="1" ht="40.200000000000003" customHeight="1" x14ac:dyDescent="0.3">
      <c r="A1447" s="678" t="str">
        <f t="shared" ref="A1447" ca="1" si="6241">INDIRECT("'update Helper'!C"&amp;U1447)</f>
        <v>a163p000002zQg2AAE</v>
      </c>
      <c r="B1447" s="674">
        <v>21</v>
      </c>
      <c r="C1447" s="666" t="str">
        <f>VLOOKUP(B1447,'Coverage Indicators - Section D'!$A$9:$AU$70,47,FALSE)</f>
        <v/>
      </c>
      <c r="D1447" s="676" t="str">
        <f t="shared" ref="D1447" si="6242">R1447</f>
        <v/>
      </c>
      <c r="E1447" s="676" t="str">
        <f t="shared" ref="E1447" si="6243">S1447</f>
        <v/>
      </c>
      <c r="F1447" s="194"/>
      <c r="G1447" s="668" t="str">
        <f t="shared" ref="G1447" ca="1" si="6244">IF(OR(INDIRECT("'update Helper'!E"&amp;U1447)=0,F1447&lt;&gt;0,F1448&lt;&gt;0),IF(IFERROR((F1447/F1448),"")="","",(F1447/F1448)),INDIRECT("'update Helper'!E"&amp;U1447)/100)</f>
        <v/>
      </c>
      <c r="H1447" s="670"/>
      <c r="I1447" s="672"/>
      <c r="J1447" s="651"/>
      <c r="K1447" s="666" t="str">
        <f t="shared" ref="K1447" si="6245">W1447</f>
        <v/>
      </c>
      <c r="L1447" s="666" t="str">
        <f t="shared" ref="L1447" si="6246">V1447</f>
        <v/>
      </c>
      <c r="M1447" s="651"/>
      <c r="N1447" s="651"/>
      <c r="P1447" s="189">
        <f t="shared" ref="P1447" si="6247">IF(AND(EXACT(C1447,C1445),C1445&lt;&gt;0),P1445+1,0)</f>
        <v>13</v>
      </c>
      <c r="Q1447" s="189" t="str">
        <f t="shared" ref="Q1447" si="6248">IF(C1447&lt;&gt;"",C1447&amp;"-"&amp;P1447,"")</f>
        <v/>
      </c>
      <c r="R1447" s="189" t="str">
        <f t="array" ref="R1447">IFERROR(IF(INDEX('Disaggregation Records'!$E$155:$E$385,MATCH(RIGHT(Q1447,255),RIGHT('Disaggregation Records'!$D$155:$D$385,255),0))=0,"",INDEX('Disaggregation Records'!$E$155:$E$385,MATCH(RIGHT(Q1447,255),RIGHT('Disaggregation Records'!$D$155:$D$385,255),0))),"")</f>
        <v/>
      </c>
      <c r="S1447" s="189" t="str">
        <f t="array" ref="S1447">IFERROR(IF(INDEX('Disaggregation Records'!$F$155:$F$385,MATCH(RIGHT(Q1447,255),RIGHT('Disaggregation Records'!$D$155:$D$385,255),0))=0,"",INDEX('Disaggregation Records'!$F$155:$F$385,MATCH(RIGHT(Q1447,255),RIGHT('Disaggregation Records'!$D$155:$D$385,255),0))),"")</f>
        <v/>
      </c>
      <c r="T1447" s="189" t="str">
        <f t="array" ref="T1447">IFERROR(IF(INDEX('Disaggregation Records'!$H$155:$H$385,MATCH(RIGHT(Q1447,255),RIGHT('Disaggregation Records'!$D$155:$D$385,255),0))=0,"",INDEX('Disaggregation Records'!$H$155:$H$385,MATCH(RIGHT(Q1447,255),RIGHT('Disaggregation Records'!$D$155:$D$385,255),0))),"")</f>
        <v/>
      </c>
      <c r="U1447" s="189">
        <f t="shared" ref="U1447" si="6249">U1445+1</f>
        <v>1825</v>
      </c>
      <c r="V1447" s="189" t="str">
        <f t="array" ref="V1447">IFERROR(IF(INDEX('Disaggregation Records'!$I$155:$I$385,MATCH(RIGHT(Q1447,255),RIGHT('Disaggregation Records'!$D$155:$D$385,255),0))=0,"",INDEX('Disaggregation Records'!$I$155:$I$385,MATCH(RIGHT(Q1447,255),RIGHT('Disaggregation Records'!$D$155:$D$385,255),0))),"")</f>
        <v/>
      </c>
      <c r="W1447" s="189" t="str">
        <f>IFERROR(INDEX('Reference Records'!L$59:L$121,MATCH(LEFT(C1447,255),'Reference Records'!E$59:E$121,0)),"")</f>
        <v/>
      </c>
    </row>
    <row r="1448" spans="1:23" s="189" customFormat="1" ht="40.200000000000003" customHeight="1" x14ac:dyDescent="0.3">
      <c r="A1448" s="678"/>
      <c r="B1448" s="675"/>
      <c r="C1448" s="667"/>
      <c r="D1448" s="677"/>
      <c r="E1448" s="677"/>
      <c r="F1448" s="202"/>
      <c r="G1448" s="669"/>
      <c r="H1448" s="671"/>
      <c r="I1448" s="673"/>
      <c r="J1448" s="652"/>
      <c r="K1448" s="667"/>
      <c r="L1448" s="667"/>
      <c r="M1448" s="652"/>
      <c r="N1448" s="652"/>
    </row>
    <row r="1449" spans="1:23" s="189" customFormat="1" ht="40.200000000000003" customHeight="1" x14ac:dyDescent="0.3">
      <c r="A1449" s="678" t="str">
        <f t="shared" ref="A1449" ca="1" si="6250">INDIRECT("'update Helper'!C"&amp;U1449)</f>
        <v>a163p000002zQg3AAE</v>
      </c>
      <c r="B1449" s="674">
        <v>21</v>
      </c>
      <c r="C1449" s="666" t="str">
        <f>VLOOKUP(B1449,'Coverage Indicators - Section D'!$A$9:$AU$70,47,FALSE)</f>
        <v/>
      </c>
      <c r="D1449" s="676" t="str">
        <f t="shared" ref="D1449" si="6251">R1449</f>
        <v/>
      </c>
      <c r="E1449" s="676" t="str">
        <f t="shared" ref="E1449" si="6252">S1449</f>
        <v/>
      </c>
      <c r="F1449" s="194"/>
      <c r="G1449" s="668" t="str">
        <f t="shared" ref="G1449" ca="1" si="6253">IF(OR(INDIRECT("'update Helper'!E"&amp;U1449)=0,F1449&lt;&gt;0,F1450&lt;&gt;0),IF(IFERROR((F1449/F1450),"")="","",(F1449/F1450)),INDIRECT("'update Helper'!E"&amp;U1449)/100)</f>
        <v/>
      </c>
      <c r="H1449" s="670"/>
      <c r="I1449" s="672"/>
      <c r="J1449" s="651"/>
      <c r="K1449" s="666" t="str">
        <f t="shared" ref="K1449" si="6254">W1449</f>
        <v/>
      </c>
      <c r="L1449" s="666" t="str">
        <f t="shared" ref="L1449" si="6255">V1449</f>
        <v/>
      </c>
      <c r="M1449" s="651"/>
      <c r="N1449" s="651"/>
      <c r="P1449" s="189">
        <f t="shared" ref="P1449" si="6256">IF(AND(EXACT(C1449,C1447),C1447&lt;&gt;0),P1447+1,0)</f>
        <v>14</v>
      </c>
      <c r="Q1449" s="189" t="str">
        <f t="shared" ref="Q1449" si="6257">IF(C1449&lt;&gt;"",C1449&amp;"-"&amp;P1449,"")</f>
        <v/>
      </c>
      <c r="R1449" s="189" t="str">
        <f t="array" ref="R1449">IFERROR(IF(INDEX('Disaggregation Records'!$E$155:$E$385,MATCH(RIGHT(Q1449,255),RIGHT('Disaggregation Records'!$D$155:$D$385,255),0))=0,"",INDEX('Disaggregation Records'!$E$155:$E$385,MATCH(RIGHT(Q1449,255),RIGHT('Disaggregation Records'!$D$155:$D$385,255),0))),"")</f>
        <v/>
      </c>
      <c r="S1449" s="189" t="str">
        <f t="array" ref="S1449">IFERROR(IF(INDEX('Disaggregation Records'!$F$155:$F$385,MATCH(RIGHT(Q1449,255),RIGHT('Disaggregation Records'!$D$155:$D$385,255),0))=0,"",INDEX('Disaggregation Records'!$F$155:$F$385,MATCH(RIGHT(Q1449,255),RIGHT('Disaggregation Records'!$D$155:$D$385,255),0))),"")</f>
        <v/>
      </c>
      <c r="T1449" s="189" t="str">
        <f t="array" ref="T1449">IFERROR(IF(INDEX('Disaggregation Records'!$H$155:$H$385,MATCH(RIGHT(Q1449,255),RIGHT('Disaggregation Records'!$D$155:$D$385,255),0))=0,"",INDEX('Disaggregation Records'!$H$155:$H$385,MATCH(RIGHT(Q1449,255),RIGHT('Disaggregation Records'!$D$155:$D$385,255),0))),"")</f>
        <v/>
      </c>
      <c r="U1449" s="189">
        <f t="shared" ref="U1449" si="6258">U1447+1</f>
        <v>1826</v>
      </c>
      <c r="V1449" s="189" t="str">
        <f t="array" ref="V1449">IFERROR(IF(INDEX('Disaggregation Records'!$I$155:$I$385,MATCH(RIGHT(Q1449,255),RIGHT('Disaggregation Records'!$D$155:$D$385,255),0))=0,"",INDEX('Disaggregation Records'!$I$155:$I$385,MATCH(RIGHT(Q1449,255),RIGHT('Disaggregation Records'!$D$155:$D$385,255),0))),"")</f>
        <v/>
      </c>
      <c r="W1449" s="189" t="str">
        <f>IFERROR(INDEX('Reference Records'!L$59:L$121,MATCH(LEFT(C1449,255),'Reference Records'!E$59:E$121,0)),"")</f>
        <v/>
      </c>
    </row>
    <row r="1450" spans="1:23" s="189" customFormat="1" ht="40.200000000000003" customHeight="1" x14ac:dyDescent="0.3">
      <c r="A1450" s="678"/>
      <c r="B1450" s="675"/>
      <c r="C1450" s="667"/>
      <c r="D1450" s="677"/>
      <c r="E1450" s="677"/>
      <c r="F1450" s="202"/>
      <c r="G1450" s="669"/>
      <c r="H1450" s="671"/>
      <c r="I1450" s="673"/>
      <c r="J1450" s="652"/>
      <c r="K1450" s="667"/>
      <c r="L1450" s="667"/>
      <c r="M1450" s="652"/>
      <c r="N1450" s="652"/>
    </row>
    <row r="1451" spans="1:23" s="189" customFormat="1" ht="40.200000000000003" customHeight="1" x14ac:dyDescent="0.3">
      <c r="A1451" s="678" t="str">
        <f t="shared" ref="A1451" ca="1" si="6259">INDIRECT("'update Helper'!C"&amp;U1451)</f>
        <v>a163p000002zQg4AAE</v>
      </c>
      <c r="B1451" s="674">
        <v>21</v>
      </c>
      <c r="C1451" s="666" t="str">
        <f>VLOOKUP(B1451,'Coverage Indicators - Section D'!$A$9:$AU$70,47,FALSE)</f>
        <v/>
      </c>
      <c r="D1451" s="676" t="str">
        <f t="shared" ref="D1451" si="6260">R1451</f>
        <v/>
      </c>
      <c r="E1451" s="676" t="str">
        <f t="shared" ref="E1451" si="6261">S1451</f>
        <v/>
      </c>
      <c r="F1451" s="194"/>
      <c r="G1451" s="668" t="str">
        <f t="shared" ref="G1451" ca="1" si="6262">IF(OR(INDIRECT("'update Helper'!E"&amp;U1451)=0,F1451&lt;&gt;0,F1452&lt;&gt;0),IF(IFERROR((F1451/F1452),"")="","",(F1451/F1452)),INDIRECT("'update Helper'!E"&amp;U1451)/100)</f>
        <v/>
      </c>
      <c r="H1451" s="670"/>
      <c r="I1451" s="672"/>
      <c r="J1451" s="651"/>
      <c r="K1451" s="666" t="str">
        <f t="shared" ref="K1451" si="6263">W1451</f>
        <v/>
      </c>
      <c r="L1451" s="666" t="str">
        <f t="shared" ref="L1451" si="6264">V1451</f>
        <v/>
      </c>
      <c r="M1451" s="651"/>
      <c r="N1451" s="651"/>
      <c r="P1451" s="189">
        <f t="shared" ref="P1451" si="6265">IF(AND(EXACT(C1451,C1449),C1449&lt;&gt;0),P1449+1,0)</f>
        <v>15</v>
      </c>
      <c r="Q1451" s="189" t="str">
        <f t="shared" ref="Q1451" si="6266">IF(C1451&lt;&gt;"",C1451&amp;"-"&amp;P1451,"")</f>
        <v/>
      </c>
      <c r="R1451" s="189" t="str">
        <f t="array" ref="R1451">IFERROR(IF(INDEX('Disaggregation Records'!$E$155:$E$385,MATCH(RIGHT(Q1451,255),RIGHT('Disaggregation Records'!$D$155:$D$385,255),0))=0,"",INDEX('Disaggregation Records'!$E$155:$E$385,MATCH(RIGHT(Q1451,255),RIGHT('Disaggregation Records'!$D$155:$D$385,255),0))),"")</f>
        <v/>
      </c>
      <c r="S1451" s="189" t="str">
        <f t="array" ref="S1451">IFERROR(IF(INDEX('Disaggregation Records'!$F$155:$F$385,MATCH(RIGHT(Q1451,255),RIGHT('Disaggregation Records'!$D$155:$D$385,255),0))=0,"",INDEX('Disaggregation Records'!$F$155:$F$385,MATCH(RIGHT(Q1451,255),RIGHT('Disaggregation Records'!$D$155:$D$385,255),0))),"")</f>
        <v/>
      </c>
      <c r="T1451" s="189" t="str">
        <f t="array" ref="T1451">IFERROR(IF(INDEX('Disaggregation Records'!$H$155:$H$385,MATCH(RIGHT(Q1451,255),RIGHT('Disaggregation Records'!$D$155:$D$385,255),0))=0,"",INDEX('Disaggregation Records'!$H$155:$H$385,MATCH(RIGHT(Q1451,255),RIGHT('Disaggregation Records'!$D$155:$D$385,255),0))),"")</f>
        <v/>
      </c>
      <c r="U1451" s="189">
        <f t="shared" ref="U1451" si="6267">U1449+1</f>
        <v>1827</v>
      </c>
      <c r="V1451" s="189" t="str">
        <f t="array" ref="V1451">IFERROR(IF(INDEX('Disaggregation Records'!$I$155:$I$385,MATCH(RIGHT(Q1451,255),RIGHT('Disaggregation Records'!$D$155:$D$385,255),0))=0,"",INDEX('Disaggregation Records'!$I$155:$I$385,MATCH(RIGHT(Q1451,255),RIGHT('Disaggregation Records'!$D$155:$D$385,255),0))),"")</f>
        <v/>
      </c>
      <c r="W1451" s="189" t="str">
        <f>IFERROR(INDEX('Reference Records'!L$59:L$121,MATCH(LEFT(C1451,255),'Reference Records'!E$59:E$121,0)),"")</f>
        <v/>
      </c>
    </row>
    <row r="1452" spans="1:23" s="189" customFormat="1" ht="40.200000000000003" customHeight="1" x14ac:dyDescent="0.3">
      <c r="A1452" s="678"/>
      <c r="B1452" s="675"/>
      <c r="C1452" s="667"/>
      <c r="D1452" s="677"/>
      <c r="E1452" s="677"/>
      <c r="F1452" s="202"/>
      <c r="G1452" s="669"/>
      <c r="H1452" s="671"/>
      <c r="I1452" s="673"/>
      <c r="J1452" s="652"/>
      <c r="K1452" s="667"/>
      <c r="L1452" s="667"/>
      <c r="M1452" s="652"/>
      <c r="N1452" s="652"/>
    </row>
    <row r="1453" spans="1:23" s="189" customFormat="1" ht="40.200000000000003" customHeight="1" x14ac:dyDescent="0.3">
      <c r="A1453" s="678" t="str">
        <f t="shared" ref="A1453" ca="1" si="6268">INDIRECT("'update Helper'!C"&amp;U1453)</f>
        <v>a163p000002zQg5AAE</v>
      </c>
      <c r="B1453" s="674">
        <v>21</v>
      </c>
      <c r="C1453" s="666" t="str">
        <f>VLOOKUP(B1453,'Coverage Indicators - Section D'!$A$9:$AU$70,47,FALSE)</f>
        <v/>
      </c>
      <c r="D1453" s="676" t="str">
        <f t="shared" ref="D1453" si="6269">R1453</f>
        <v/>
      </c>
      <c r="E1453" s="676" t="str">
        <f t="shared" ref="E1453" si="6270">S1453</f>
        <v/>
      </c>
      <c r="F1453" s="194"/>
      <c r="G1453" s="668" t="str">
        <f t="shared" ref="G1453" ca="1" si="6271">IF(OR(INDIRECT("'update Helper'!E"&amp;U1453)=0,F1453&lt;&gt;0,F1454&lt;&gt;0),IF(IFERROR((F1453/F1454),"")="","",(F1453/F1454)),INDIRECT("'update Helper'!E"&amp;U1453)/100)</f>
        <v/>
      </c>
      <c r="H1453" s="670"/>
      <c r="I1453" s="672"/>
      <c r="J1453" s="651"/>
      <c r="K1453" s="666" t="str">
        <f t="shared" ref="K1453" si="6272">W1453</f>
        <v/>
      </c>
      <c r="L1453" s="666" t="str">
        <f t="shared" ref="L1453" si="6273">V1453</f>
        <v/>
      </c>
      <c r="M1453" s="651"/>
      <c r="N1453" s="651"/>
      <c r="P1453" s="189">
        <f t="shared" ref="P1453" si="6274">IF(AND(EXACT(C1453,C1451),C1451&lt;&gt;0),P1451+1,0)</f>
        <v>16</v>
      </c>
      <c r="Q1453" s="189" t="str">
        <f t="shared" ref="Q1453" si="6275">IF(C1453&lt;&gt;"",C1453&amp;"-"&amp;P1453,"")</f>
        <v/>
      </c>
      <c r="R1453" s="189" t="str">
        <f t="array" ref="R1453">IFERROR(IF(INDEX('Disaggregation Records'!$E$155:$E$385,MATCH(RIGHT(Q1453,255),RIGHT('Disaggregation Records'!$D$155:$D$385,255),0))=0,"",INDEX('Disaggregation Records'!$E$155:$E$385,MATCH(RIGHT(Q1453,255),RIGHT('Disaggregation Records'!$D$155:$D$385,255),0))),"")</f>
        <v/>
      </c>
      <c r="S1453" s="189" t="str">
        <f t="array" ref="S1453">IFERROR(IF(INDEX('Disaggregation Records'!$F$155:$F$385,MATCH(RIGHT(Q1453,255),RIGHT('Disaggregation Records'!$D$155:$D$385,255),0))=0,"",INDEX('Disaggregation Records'!$F$155:$F$385,MATCH(RIGHT(Q1453,255),RIGHT('Disaggregation Records'!$D$155:$D$385,255),0))),"")</f>
        <v/>
      </c>
      <c r="T1453" s="189" t="str">
        <f t="array" ref="T1453">IFERROR(IF(INDEX('Disaggregation Records'!$H$155:$H$385,MATCH(RIGHT(Q1453,255),RIGHT('Disaggregation Records'!$D$155:$D$385,255),0))=0,"",INDEX('Disaggregation Records'!$H$155:$H$385,MATCH(RIGHT(Q1453,255),RIGHT('Disaggregation Records'!$D$155:$D$385,255),0))),"")</f>
        <v/>
      </c>
      <c r="U1453" s="189">
        <f t="shared" ref="U1453" si="6276">U1451+1</f>
        <v>1828</v>
      </c>
      <c r="V1453" s="189" t="str">
        <f t="array" ref="V1453">IFERROR(IF(INDEX('Disaggregation Records'!$I$155:$I$385,MATCH(RIGHT(Q1453,255),RIGHT('Disaggregation Records'!$D$155:$D$385,255),0))=0,"",INDEX('Disaggregation Records'!$I$155:$I$385,MATCH(RIGHT(Q1453,255),RIGHT('Disaggregation Records'!$D$155:$D$385,255),0))),"")</f>
        <v/>
      </c>
      <c r="W1453" s="189" t="str">
        <f>IFERROR(INDEX('Reference Records'!L$59:L$121,MATCH(LEFT(C1453,255),'Reference Records'!E$59:E$121,0)),"")</f>
        <v/>
      </c>
    </row>
    <row r="1454" spans="1:23" s="189" customFormat="1" ht="40.200000000000003" customHeight="1" x14ac:dyDescent="0.3">
      <c r="A1454" s="678"/>
      <c r="B1454" s="675"/>
      <c r="C1454" s="667"/>
      <c r="D1454" s="677"/>
      <c r="E1454" s="677"/>
      <c r="F1454" s="202"/>
      <c r="G1454" s="669"/>
      <c r="H1454" s="671"/>
      <c r="I1454" s="673"/>
      <c r="J1454" s="652"/>
      <c r="K1454" s="667"/>
      <c r="L1454" s="667"/>
      <c r="M1454" s="652"/>
      <c r="N1454" s="652"/>
    </row>
    <row r="1455" spans="1:23" s="189" customFormat="1" ht="40.200000000000003" customHeight="1" x14ac:dyDescent="0.3">
      <c r="A1455" s="678" t="str">
        <f t="shared" ref="A1455" ca="1" si="6277">INDIRECT("'update Helper'!C"&amp;U1455)</f>
        <v>a163p000002zQg6AAE</v>
      </c>
      <c r="B1455" s="674">
        <v>21</v>
      </c>
      <c r="C1455" s="666" t="str">
        <f>VLOOKUP(B1455,'Coverage Indicators - Section D'!$A$9:$AU$70,47,FALSE)</f>
        <v/>
      </c>
      <c r="D1455" s="676" t="str">
        <f t="shared" ref="D1455" si="6278">R1455</f>
        <v/>
      </c>
      <c r="E1455" s="676" t="str">
        <f t="shared" ref="E1455" si="6279">S1455</f>
        <v/>
      </c>
      <c r="F1455" s="194"/>
      <c r="G1455" s="668" t="str">
        <f t="shared" ref="G1455" ca="1" si="6280">IF(OR(INDIRECT("'update Helper'!E"&amp;U1455)=0,F1455&lt;&gt;0,F1456&lt;&gt;0),IF(IFERROR((F1455/F1456),"")="","",(F1455/F1456)),INDIRECT("'update Helper'!E"&amp;U1455)/100)</f>
        <v/>
      </c>
      <c r="H1455" s="670"/>
      <c r="I1455" s="672"/>
      <c r="J1455" s="651"/>
      <c r="K1455" s="666" t="str">
        <f t="shared" ref="K1455" si="6281">W1455</f>
        <v/>
      </c>
      <c r="L1455" s="666" t="str">
        <f t="shared" ref="L1455" si="6282">V1455</f>
        <v/>
      </c>
      <c r="M1455" s="651"/>
      <c r="N1455" s="651"/>
      <c r="P1455" s="189">
        <f t="shared" ref="P1455" si="6283">IF(AND(EXACT(C1455,C1453),C1453&lt;&gt;0),P1453+1,0)</f>
        <v>17</v>
      </c>
      <c r="Q1455" s="189" t="str">
        <f t="shared" ref="Q1455" si="6284">IF(C1455&lt;&gt;"",C1455&amp;"-"&amp;P1455,"")</f>
        <v/>
      </c>
      <c r="R1455" s="189" t="str">
        <f t="array" ref="R1455">IFERROR(IF(INDEX('Disaggregation Records'!$E$155:$E$385,MATCH(RIGHT(Q1455,255),RIGHT('Disaggregation Records'!$D$155:$D$385,255),0))=0,"",INDEX('Disaggregation Records'!$E$155:$E$385,MATCH(RIGHT(Q1455,255),RIGHT('Disaggregation Records'!$D$155:$D$385,255),0))),"")</f>
        <v/>
      </c>
      <c r="S1455" s="189" t="str">
        <f t="array" ref="S1455">IFERROR(IF(INDEX('Disaggregation Records'!$F$155:$F$385,MATCH(RIGHT(Q1455,255),RIGHT('Disaggregation Records'!$D$155:$D$385,255),0))=0,"",INDEX('Disaggregation Records'!$F$155:$F$385,MATCH(RIGHT(Q1455,255),RIGHT('Disaggregation Records'!$D$155:$D$385,255),0))),"")</f>
        <v/>
      </c>
      <c r="T1455" s="189" t="str">
        <f t="array" ref="T1455">IFERROR(IF(INDEX('Disaggregation Records'!$H$155:$H$385,MATCH(RIGHT(Q1455,255),RIGHT('Disaggregation Records'!$D$155:$D$385,255),0))=0,"",INDEX('Disaggregation Records'!$H$155:$H$385,MATCH(RIGHT(Q1455,255),RIGHT('Disaggregation Records'!$D$155:$D$385,255),0))),"")</f>
        <v/>
      </c>
      <c r="U1455" s="189">
        <f t="shared" ref="U1455" si="6285">U1453+1</f>
        <v>1829</v>
      </c>
      <c r="V1455" s="189" t="str">
        <f t="array" ref="V1455">IFERROR(IF(INDEX('Disaggregation Records'!$I$155:$I$385,MATCH(RIGHT(Q1455,255),RIGHT('Disaggregation Records'!$D$155:$D$385,255),0))=0,"",INDEX('Disaggregation Records'!$I$155:$I$385,MATCH(RIGHT(Q1455,255),RIGHT('Disaggregation Records'!$D$155:$D$385,255),0))),"")</f>
        <v/>
      </c>
      <c r="W1455" s="189" t="str">
        <f>IFERROR(INDEX('Reference Records'!L$59:L$121,MATCH(LEFT(C1455,255),'Reference Records'!E$59:E$121,0)),"")</f>
        <v/>
      </c>
    </row>
    <row r="1456" spans="1:23" s="189" customFormat="1" ht="40.200000000000003" customHeight="1" x14ac:dyDescent="0.3">
      <c r="A1456" s="678"/>
      <c r="B1456" s="675"/>
      <c r="C1456" s="667"/>
      <c r="D1456" s="677"/>
      <c r="E1456" s="677"/>
      <c r="F1456" s="202"/>
      <c r="G1456" s="669"/>
      <c r="H1456" s="671"/>
      <c r="I1456" s="673"/>
      <c r="J1456" s="652"/>
      <c r="K1456" s="667"/>
      <c r="L1456" s="667"/>
      <c r="M1456" s="652"/>
      <c r="N1456" s="652"/>
    </row>
    <row r="1457" spans="1:23" s="189" customFormat="1" ht="40.200000000000003" customHeight="1" x14ac:dyDescent="0.3">
      <c r="A1457" s="678" t="str">
        <f t="shared" ref="A1457" ca="1" si="6286">INDIRECT("'update Helper'!C"&amp;U1457)</f>
        <v>a163p000002zQg7AAE</v>
      </c>
      <c r="B1457" s="674">
        <v>21</v>
      </c>
      <c r="C1457" s="666" t="str">
        <f>VLOOKUP(B1457,'Coverage Indicators - Section D'!$A$9:$AU$70,47,FALSE)</f>
        <v/>
      </c>
      <c r="D1457" s="676" t="str">
        <f t="shared" ref="D1457" si="6287">R1457</f>
        <v/>
      </c>
      <c r="E1457" s="676" t="str">
        <f t="shared" ref="E1457" si="6288">S1457</f>
        <v/>
      </c>
      <c r="F1457" s="194"/>
      <c r="G1457" s="668" t="str">
        <f t="shared" ref="G1457" ca="1" si="6289">IF(OR(INDIRECT("'update Helper'!E"&amp;U1457)=0,F1457&lt;&gt;0,F1458&lt;&gt;0),IF(IFERROR((F1457/F1458),"")="","",(F1457/F1458)),INDIRECT("'update Helper'!E"&amp;U1457)/100)</f>
        <v/>
      </c>
      <c r="H1457" s="670"/>
      <c r="I1457" s="672"/>
      <c r="J1457" s="651"/>
      <c r="K1457" s="666" t="str">
        <f t="shared" ref="K1457" si="6290">W1457</f>
        <v/>
      </c>
      <c r="L1457" s="666" t="str">
        <f t="shared" ref="L1457" si="6291">V1457</f>
        <v/>
      </c>
      <c r="M1457" s="651"/>
      <c r="N1457" s="651"/>
      <c r="P1457" s="189">
        <f t="shared" ref="P1457" si="6292">IF(AND(EXACT(C1457,C1455),C1455&lt;&gt;0),P1455+1,0)</f>
        <v>18</v>
      </c>
      <c r="Q1457" s="189" t="str">
        <f t="shared" ref="Q1457" si="6293">IF(C1457&lt;&gt;"",C1457&amp;"-"&amp;P1457,"")</f>
        <v/>
      </c>
      <c r="R1457" s="189" t="str">
        <f t="array" ref="R1457">IFERROR(IF(INDEX('Disaggregation Records'!$E$155:$E$385,MATCH(RIGHT(Q1457,255),RIGHT('Disaggregation Records'!$D$155:$D$385,255),0))=0,"",INDEX('Disaggregation Records'!$E$155:$E$385,MATCH(RIGHT(Q1457,255),RIGHT('Disaggregation Records'!$D$155:$D$385,255),0))),"")</f>
        <v/>
      </c>
      <c r="S1457" s="189" t="str">
        <f t="array" ref="S1457">IFERROR(IF(INDEX('Disaggregation Records'!$F$155:$F$385,MATCH(RIGHT(Q1457,255),RIGHT('Disaggregation Records'!$D$155:$D$385,255),0))=0,"",INDEX('Disaggregation Records'!$F$155:$F$385,MATCH(RIGHT(Q1457,255),RIGHT('Disaggregation Records'!$D$155:$D$385,255),0))),"")</f>
        <v/>
      </c>
      <c r="T1457" s="189" t="str">
        <f t="array" ref="T1457">IFERROR(IF(INDEX('Disaggregation Records'!$H$155:$H$385,MATCH(RIGHT(Q1457,255),RIGHT('Disaggregation Records'!$D$155:$D$385,255),0))=0,"",INDEX('Disaggregation Records'!$H$155:$H$385,MATCH(RIGHT(Q1457,255),RIGHT('Disaggregation Records'!$D$155:$D$385,255),0))),"")</f>
        <v/>
      </c>
      <c r="U1457" s="189">
        <f t="shared" ref="U1457" si="6294">U1455+1</f>
        <v>1830</v>
      </c>
      <c r="V1457" s="189" t="str">
        <f t="array" ref="V1457">IFERROR(IF(INDEX('Disaggregation Records'!$I$155:$I$385,MATCH(RIGHT(Q1457,255),RIGHT('Disaggregation Records'!$D$155:$D$385,255),0))=0,"",INDEX('Disaggregation Records'!$I$155:$I$385,MATCH(RIGHT(Q1457,255),RIGHT('Disaggregation Records'!$D$155:$D$385,255),0))),"")</f>
        <v/>
      </c>
      <c r="W1457" s="189" t="str">
        <f>IFERROR(INDEX('Reference Records'!L$59:L$121,MATCH(LEFT(C1457,255),'Reference Records'!E$59:E$121,0)),"")</f>
        <v/>
      </c>
    </row>
    <row r="1458" spans="1:23" s="189" customFormat="1" ht="40.200000000000003" customHeight="1" x14ac:dyDescent="0.3">
      <c r="A1458" s="678"/>
      <c r="B1458" s="675"/>
      <c r="C1458" s="667"/>
      <c r="D1458" s="677"/>
      <c r="E1458" s="677"/>
      <c r="F1458" s="202"/>
      <c r="G1458" s="669"/>
      <c r="H1458" s="671"/>
      <c r="I1458" s="673"/>
      <c r="J1458" s="652"/>
      <c r="K1458" s="667"/>
      <c r="L1458" s="667"/>
      <c r="M1458" s="652"/>
      <c r="N1458" s="652"/>
    </row>
    <row r="1459" spans="1:23" s="189" customFormat="1" ht="40.200000000000003" customHeight="1" x14ac:dyDescent="0.3">
      <c r="A1459" s="678" t="str">
        <f t="shared" ref="A1459" ca="1" si="6295">INDIRECT("'update Helper'!C"&amp;U1459)</f>
        <v>a163p000002zQg8AAE</v>
      </c>
      <c r="B1459" s="674">
        <v>21</v>
      </c>
      <c r="C1459" s="666" t="str">
        <f>VLOOKUP(B1459,'Coverage Indicators - Section D'!$A$9:$AU$70,47,FALSE)</f>
        <v/>
      </c>
      <c r="D1459" s="676" t="str">
        <f t="shared" ref="D1459" si="6296">R1459</f>
        <v/>
      </c>
      <c r="E1459" s="676" t="str">
        <f t="shared" ref="E1459" si="6297">S1459</f>
        <v/>
      </c>
      <c r="F1459" s="194"/>
      <c r="G1459" s="668" t="str">
        <f t="shared" ref="G1459" ca="1" si="6298">IF(OR(INDIRECT("'update Helper'!E"&amp;U1459)=0,F1459&lt;&gt;0,F1460&lt;&gt;0),IF(IFERROR((F1459/F1460),"")="","",(F1459/F1460)),INDIRECT("'update Helper'!E"&amp;U1459)/100)</f>
        <v/>
      </c>
      <c r="H1459" s="670"/>
      <c r="I1459" s="672"/>
      <c r="J1459" s="651"/>
      <c r="K1459" s="666" t="str">
        <f t="shared" ref="K1459" si="6299">W1459</f>
        <v/>
      </c>
      <c r="L1459" s="666" t="str">
        <f t="shared" ref="L1459" si="6300">V1459</f>
        <v/>
      </c>
      <c r="M1459" s="651"/>
      <c r="N1459" s="651"/>
      <c r="P1459" s="189">
        <f t="shared" ref="P1459" si="6301">IF(AND(EXACT(C1459,C1457),C1457&lt;&gt;0),P1457+1,0)</f>
        <v>19</v>
      </c>
      <c r="Q1459" s="189" t="str">
        <f t="shared" ref="Q1459" si="6302">IF(C1459&lt;&gt;"",C1459&amp;"-"&amp;P1459,"")</f>
        <v/>
      </c>
      <c r="R1459" s="189" t="str">
        <f t="array" ref="R1459">IFERROR(IF(INDEX('Disaggregation Records'!$E$155:$E$385,MATCH(RIGHT(Q1459,255),RIGHT('Disaggregation Records'!$D$155:$D$385,255),0))=0,"",INDEX('Disaggregation Records'!$E$155:$E$385,MATCH(RIGHT(Q1459,255),RIGHT('Disaggregation Records'!$D$155:$D$385,255),0))),"")</f>
        <v/>
      </c>
      <c r="S1459" s="189" t="str">
        <f t="array" ref="S1459">IFERROR(IF(INDEX('Disaggregation Records'!$F$155:$F$385,MATCH(RIGHT(Q1459,255),RIGHT('Disaggregation Records'!$D$155:$D$385,255),0))=0,"",INDEX('Disaggregation Records'!$F$155:$F$385,MATCH(RIGHT(Q1459,255),RIGHT('Disaggregation Records'!$D$155:$D$385,255),0))),"")</f>
        <v/>
      </c>
      <c r="T1459" s="189" t="str">
        <f t="array" ref="T1459">IFERROR(IF(INDEX('Disaggregation Records'!$H$155:$H$385,MATCH(RIGHT(Q1459,255),RIGHT('Disaggregation Records'!$D$155:$D$385,255),0))=0,"",INDEX('Disaggregation Records'!$H$155:$H$385,MATCH(RIGHT(Q1459,255),RIGHT('Disaggregation Records'!$D$155:$D$385,255),0))),"")</f>
        <v/>
      </c>
      <c r="U1459" s="189">
        <f t="shared" ref="U1459" si="6303">U1457+1</f>
        <v>1831</v>
      </c>
      <c r="V1459" s="189" t="str">
        <f t="array" ref="V1459">IFERROR(IF(INDEX('Disaggregation Records'!$I$155:$I$385,MATCH(RIGHT(Q1459,255),RIGHT('Disaggregation Records'!$D$155:$D$385,255),0))=0,"",INDEX('Disaggregation Records'!$I$155:$I$385,MATCH(RIGHT(Q1459,255),RIGHT('Disaggregation Records'!$D$155:$D$385,255),0))),"")</f>
        <v/>
      </c>
      <c r="W1459" s="189" t="str">
        <f>IFERROR(INDEX('Reference Records'!L$59:L$121,MATCH(LEFT(C1459,255),'Reference Records'!E$59:E$121,0)),"")</f>
        <v/>
      </c>
    </row>
    <row r="1460" spans="1:23" s="189" customFormat="1" ht="40.200000000000003" customHeight="1" x14ac:dyDescent="0.3">
      <c r="A1460" s="678"/>
      <c r="B1460" s="675"/>
      <c r="C1460" s="667"/>
      <c r="D1460" s="677"/>
      <c r="E1460" s="677"/>
      <c r="F1460" s="202"/>
      <c r="G1460" s="669"/>
      <c r="H1460" s="671"/>
      <c r="I1460" s="673"/>
      <c r="J1460" s="652"/>
      <c r="K1460" s="667"/>
      <c r="L1460" s="667"/>
      <c r="M1460" s="652"/>
      <c r="N1460" s="652"/>
    </row>
    <row r="1461" spans="1:23" s="189" customFormat="1" ht="40.200000000000003" customHeight="1" x14ac:dyDescent="0.3">
      <c r="A1461" s="678" t="str">
        <f t="shared" ref="A1461" ca="1" si="6304">INDIRECT("'update Helper'!C"&amp;U1461)</f>
        <v>a163p000002zQg9AAE</v>
      </c>
      <c r="B1461" s="674">
        <v>22</v>
      </c>
      <c r="C1461" s="666" t="str">
        <f>VLOOKUP(B1461,'Coverage Indicators - Section D'!$A$9:$AU$70,47,FALSE)</f>
        <v/>
      </c>
      <c r="D1461" s="676" t="str">
        <f t="shared" ref="D1461" si="6305">R1461</f>
        <v/>
      </c>
      <c r="E1461" s="676" t="str">
        <f t="shared" ref="E1461" si="6306">S1461</f>
        <v/>
      </c>
      <c r="F1461" s="194"/>
      <c r="G1461" s="668" t="str">
        <f t="shared" ref="G1461" ca="1" si="6307">IF(OR(INDIRECT("'update Helper'!E"&amp;U1461)=0,F1461&lt;&gt;0,F1462&lt;&gt;0),IF(IFERROR((F1461/F1462),"")="","",(F1461/F1462)),INDIRECT("'update Helper'!E"&amp;U1461)/100)</f>
        <v/>
      </c>
      <c r="H1461" s="670"/>
      <c r="I1461" s="672"/>
      <c r="J1461" s="651"/>
      <c r="K1461" s="666" t="str">
        <f t="shared" ref="K1461" si="6308">W1461</f>
        <v/>
      </c>
      <c r="L1461" s="666" t="str">
        <f t="shared" ref="L1461" si="6309">V1461</f>
        <v/>
      </c>
      <c r="M1461" s="651"/>
      <c r="N1461" s="651"/>
      <c r="P1461" s="189">
        <f t="shared" ref="P1461" si="6310">IF(AND(EXACT(C1461,C1459),C1459&lt;&gt;0),P1459+1,0)</f>
        <v>20</v>
      </c>
      <c r="Q1461" s="189" t="str">
        <f t="shared" ref="Q1461" si="6311">IF(C1461&lt;&gt;"",C1461&amp;"-"&amp;P1461,"")</f>
        <v/>
      </c>
      <c r="R1461" s="189" t="str">
        <f t="array" ref="R1461">IFERROR(IF(INDEX('Disaggregation Records'!$E$155:$E$385,MATCH(RIGHT(Q1461,255),RIGHT('Disaggregation Records'!$D$155:$D$385,255),0))=0,"",INDEX('Disaggregation Records'!$E$155:$E$385,MATCH(RIGHT(Q1461,255),RIGHT('Disaggregation Records'!$D$155:$D$385,255),0))),"")</f>
        <v/>
      </c>
      <c r="S1461" s="189" t="str">
        <f t="array" ref="S1461">IFERROR(IF(INDEX('Disaggregation Records'!$F$155:$F$385,MATCH(RIGHT(Q1461,255),RIGHT('Disaggregation Records'!$D$155:$D$385,255),0))=0,"",INDEX('Disaggregation Records'!$F$155:$F$385,MATCH(RIGHT(Q1461,255),RIGHT('Disaggregation Records'!$D$155:$D$385,255),0))),"")</f>
        <v/>
      </c>
      <c r="T1461" s="189" t="str">
        <f t="array" ref="T1461">IFERROR(IF(INDEX('Disaggregation Records'!$H$155:$H$385,MATCH(RIGHT(Q1461,255),RIGHT('Disaggregation Records'!$D$155:$D$385,255),0))=0,"",INDEX('Disaggregation Records'!$H$155:$H$385,MATCH(RIGHT(Q1461,255),RIGHT('Disaggregation Records'!$D$155:$D$385,255),0))),"")</f>
        <v/>
      </c>
      <c r="U1461" s="189">
        <f t="shared" ref="U1461" si="6312">U1459+1</f>
        <v>1832</v>
      </c>
      <c r="V1461" s="189" t="str">
        <f t="array" ref="V1461">IFERROR(IF(INDEX('Disaggregation Records'!$I$155:$I$385,MATCH(RIGHT(Q1461,255),RIGHT('Disaggregation Records'!$D$155:$D$385,255),0))=0,"",INDEX('Disaggregation Records'!$I$155:$I$385,MATCH(RIGHT(Q1461,255),RIGHT('Disaggregation Records'!$D$155:$D$385,255),0))),"")</f>
        <v/>
      </c>
      <c r="W1461" s="189" t="str">
        <f>IFERROR(INDEX('Reference Records'!L$59:L$121,MATCH(LEFT(C1461,255),'Reference Records'!E$59:E$121,0)),"")</f>
        <v/>
      </c>
    </row>
    <row r="1462" spans="1:23" s="189" customFormat="1" ht="40.200000000000003" customHeight="1" x14ac:dyDescent="0.3">
      <c r="A1462" s="678"/>
      <c r="B1462" s="675"/>
      <c r="C1462" s="667"/>
      <c r="D1462" s="677"/>
      <c r="E1462" s="677"/>
      <c r="F1462" s="202"/>
      <c r="G1462" s="669"/>
      <c r="H1462" s="671"/>
      <c r="I1462" s="673"/>
      <c r="J1462" s="652"/>
      <c r="K1462" s="667"/>
      <c r="L1462" s="667"/>
      <c r="M1462" s="652"/>
      <c r="N1462" s="652"/>
    </row>
    <row r="1463" spans="1:23" s="189" customFormat="1" ht="40.200000000000003" customHeight="1" x14ac:dyDescent="0.3">
      <c r="A1463" s="678" t="str">
        <f t="shared" ref="A1463" ca="1" si="6313">INDIRECT("'update Helper'!C"&amp;U1463)</f>
        <v>a163p000002zQgAAAU</v>
      </c>
      <c r="B1463" s="674">
        <v>22</v>
      </c>
      <c r="C1463" s="666" t="str">
        <f>VLOOKUP(B1463,'Coverage Indicators - Section D'!$A$9:$AU$70,47,FALSE)</f>
        <v/>
      </c>
      <c r="D1463" s="676" t="str">
        <f t="shared" ref="D1463" si="6314">R1463</f>
        <v/>
      </c>
      <c r="E1463" s="676" t="str">
        <f t="shared" ref="E1463" si="6315">S1463</f>
        <v/>
      </c>
      <c r="F1463" s="194"/>
      <c r="G1463" s="668" t="str">
        <f t="shared" ref="G1463" ca="1" si="6316">IF(OR(INDIRECT("'update Helper'!E"&amp;U1463)=0,F1463&lt;&gt;0,F1464&lt;&gt;0),IF(IFERROR((F1463/F1464),"")="","",(F1463/F1464)),INDIRECT("'update Helper'!E"&amp;U1463)/100)</f>
        <v/>
      </c>
      <c r="H1463" s="670"/>
      <c r="I1463" s="672"/>
      <c r="J1463" s="651"/>
      <c r="K1463" s="666" t="str">
        <f t="shared" ref="K1463" si="6317">W1463</f>
        <v/>
      </c>
      <c r="L1463" s="666" t="str">
        <f t="shared" ref="L1463" si="6318">V1463</f>
        <v/>
      </c>
      <c r="M1463" s="651"/>
      <c r="N1463" s="651"/>
      <c r="P1463" s="189">
        <f t="shared" ref="P1463" si="6319">IF(AND(EXACT(C1463,C1461),C1461&lt;&gt;0),P1461+1,0)</f>
        <v>21</v>
      </c>
      <c r="Q1463" s="189" t="str">
        <f t="shared" ref="Q1463" si="6320">IF(C1463&lt;&gt;"",C1463&amp;"-"&amp;P1463,"")</f>
        <v/>
      </c>
      <c r="R1463" s="189" t="str">
        <f t="array" ref="R1463">IFERROR(IF(INDEX('Disaggregation Records'!$E$155:$E$385,MATCH(RIGHT(Q1463,255),RIGHT('Disaggregation Records'!$D$155:$D$385,255),0))=0,"",INDEX('Disaggregation Records'!$E$155:$E$385,MATCH(RIGHT(Q1463,255),RIGHT('Disaggregation Records'!$D$155:$D$385,255),0))),"")</f>
        <v/>
      </c>
      <c r="S1463" s="189" t="str">
        <f t="array" ref="S1463">IFERROR(IF(INDEX('Disaggregation Records'!$F$155:$F$385,MATCH(RIGHT(Q1463,255),RIGHT('Disaggregation Records'!$D$155:$D$385,255),0))=0,"",INDEX('Disaggregation Records'!$F$155:$F$385,MATCH(RIGHT(Q1463,255),RIGHT('Disaggregation Records'!$D$155:$D$385,255),0))),"")</f>
        <v/>
      </c>
      <c r="T1463" s="189" t="str">
        <f t="array" ref="T1463">IFERROR(IF(INDEX('Disaggregation Records'!$H$155:$H$385,MATCH(RIGHT(Q1463,255),RIGHT('Disaggregation Records'!$D$155:$D$385,255),0))=0,"",INDEX('Disaggregation Records'!$H$155:$H$385,MATCH(RIGHT(Q1463,255),RIGHT('Disaggregation Records'!$D$155:$D$385,255),0))),"")</f>
        <v/>
      </c>
      <c r="U1463" s="189">
        <f t="shared" ref="U1463" si="6321">U1461+1</f>
        <v>1833</v>
      </c>
      <c r="V1463" s="189" t="str">
        <f t="array" ref="V1463">IFERROR(IF(INDEX('Disaggregation Records'!$I$155:$I$385,MATCH(RIGHT(Q1463,255),RIGHT('Disaggregation Records'!$D$155:$D$385,255),0))=0,"",INDEX('Disaggregation Records'!$I$155:$I$385,MATCH(RIGHT(Q1463,255),RIGHT('Disaggregation Records'!$D$155:$D$385,255),0))),"")</f>
        <v/>
      </c>
      <c r="W1463" s="189" t="str">
        <f>IFERROR(INDEX('Reference Records'!L$59:L$121,MATCH(LEFT(C1463,255),'Reference Records'!E$59:E$121,0)),"")</f>
        <v/>
      </c>
    </row>
    <row r="1464" spans="1:23" s="189" customFormat="1" ht="40.200000000000003" customHeight="1" x14ac:dyDescent="0.3">
      <c r="A1464" s="678"/>
      <c r="B1464" s="675"/>
      <c r="C1464" s="667"/>
      <c r="D1464" s="677"/>
      <c r="E1464" s="677"/>
      <c r="F1464" s="202"/>
      <c r="G1464" s="669"/>
      <c r="H1464" s="671"/>
      <c r="I1464" s="673"/>
      <c r="J1464" s="652"/>
      <c r="K1464" s="667"/>
      <c r="L1464" s="667"/>
      <c r="M1464" s="652"/>
      <c r="N1464" s="652"/>
    </row>
    <row r="1465" spans="1:23" s="189" customFormat="1" ht="40.200000000000003" customHeight="1" x14ac:dyDescent="0.3">
      <c r="A1465" s="678" t="str">
        <f t="shared" ref="A1465" ca="1" si="6322">INDIRECT("'update Helper'!C"&amp;U1465)</f>
        <v>a163p000002zQgBAAU</v>
      </c>
      <c r="B1465" s="674">
        <v>22</v>
      </c>
      <c r="C1465" s="666" t="str">
        <f>VLOOKUP(B1465,'Coverage Indicators - Section D'!$A$9:$AU$70,47,FALSE)</f>
        <v/>
      </c>
      <c r="D1465" s="676" t="str">
        <f t="shared" ref="D1465" si="6323">R1465</f>
        <v/>
      </c>
      <c r="E1465" s="676" t="str">
        <f t="shared" ref="E1465" si="6324">S1465</f>
        <v/>
      </c>
      <c r="F1465" s="194"/>
      <c r="G1465" s="668" t="str">
        <f t="shared" ref="G1465" ca="1" si="6325">IF(OR(INDIRECT("'update Helper'!E"&amp;U1465)=0,F1465&lt;&gt;0,F1466&lt;&gt;0),IF(IFERROR((F1465/F1466),"")="","",(F1465/F1466)),INDIRECT("'update Helper'!E"&amp;U1465)/100)</f>
        <v/>
      </c>
      <c r="H1465" s="670"/>
      <c r="I1465" s="672"/>
      <c r="J1465" s="651"/>
      <c r="K1465" s="666" t="str">
        <f t="shared" ref="K1465" si="6326">W1465</f>
        <v/>
      </c>
      <c r="L1465" s="666" t="str">
        <f t="shared" ref="L1465" si="6327">V1465</f>
        <v/>
      </c>
      <c r="M1465" s="651"/>
      <c r="N1465" s="651"/>
      <c r="P1465" s="189">
        <f t="shared" ref="P1465" si="6328">IF(AND(EXACT(C1465,C1463),C1463&lt;&gt;0),P1463+1,0)</f>
        <v>22</v>
      </c>
      <c r="Q1465" s="189" t="str">
        <f t="shared" ref="Q1465" si="6329">IF(C1465&lt;&gt;"",C1465&amp;"-"&amp;P1465,"")</f>
        <v/>
      </c>
      <c r="R1465" s="189" t="str">
        <f t="array" ref="R1465">IFERROR(IF(INDEX('Disaggregation Records'!$E$155:$E$385,MATCH(RIGHT(Q1465,255),RIGHT('Disaggregation Records'!$D$155:$D$385,255),0))=0,"",INDEX('Disaggregation Records'!$E$155:$E$385,MATCH(RIGHT(Q1465,255),RIGHT('Disaggregation Records'!$D$155:$D$385,255),0))),"")</f>
        <v/>
      </c>
      <c r="S1465" s="189" t="str">
        <f t="array" ref="S1465">IFERROR(IF(INDEX('Disaggregation Records'!$F$155:$F$385,MATCH(RIGHT(Q1465,255),RIGHT('Disaggregation Records'!$D$155:$D$385,255),0))=0,"",INDEX('Disaggregation Records'!$F$155:$F$385,MATCH(RIGHT(Q1465,255),RIGHT('Disaggregation Records'!$D$155:$D$385,255),0))),"")</f>
        <v/>
      </c>
      <c r="T1465" s="189" t="str">
        <f t="array" ref="T1465">IFERROR(IF(INDEX('Disaggregation Records'!$H$155:$H$385,MATCH(RIGHT(Q1465,255),RIGHT('Disaggregation Records'!$D$155:$D$385,255),0))=0,"",INDEX('Disaggregation Records'!$H$155:$H$385,MATCH(RIGHT(Q1465,255),RIGHT('Disaggregation Records'!$D$155:$D$385,255),0))),"")</f>
        <v/>
      </c>
      <c r="U1465" s="189">
        <f t="shared" ref="U1465" si="6330">U1463+1</f>
        <v>1834</v>
      </c>
      <c r="V1465" s="189" t="str">
        <f t="array" ref="V1465">IFERROR(IF(INDEX('Disaggregation Records'!$I$155:$I$385,MATCH(RIGHT(Q1465,255),RIGHT('Disaggregation Records'!$D$155:$D$385,255),0))=0,"",INDEX('Disaggregation Records'!$I$155:$I$385,MATCH(RIGHT(Q1465,255),RIGHT('Disaggregation Records'!$D$155:$D$385,255),0))),"")</f>
        <v/>
      </c>
      <c r="W1465" s="189" t="str">
        <f>IFERROR(INDEX('Reference Records'!L$59:L$121,MATCH(LEFT(C1465,255),'Reference Records'!E$59:E$121,0)),"")</f>
        <v/>
      </c>
    </row>
    <row r="1466" spans="1:23" s="189" customFormat="1" ht="40.200000000000003" customHeight="1" x14ac:dyDescent="0.3">
      <c r="A1466" s="678"/>
      <c r="B1466" s="675"/>
      <c r="C1466" s="667"/>
      <c r="D1466" s="677"/>
      <c r="E1466" s="677"/>
      <c r="F1466" s="202"/>
      <c r="G1466" s="669"/>
      <c r="H1466" s="671"/>
      <c r="I1466" s="673"/>
      <c r="J1466" s="652"/>
      <c r="K1466" s="667"/>
      <c r="L1466" s="667"/>
      <c r="M1466" s="652"/>
      <c r="N1466" s="652"/>
    </row>
    <row r="1467" spans="1:23" s="189" customFormat="1" ht="40.200000000000003" customHeight="1" x14ac:dyDescent="0.3">
      <c r="A1467" s="678" t="str">
        <f t="shared" ref="A1467" ca="1" si="6331">INDIRECT("'update Helper'!C"&amp;U1467)</f>
        <v>a163p000002zQgCAAU</v>
      </c>
      <c r="B1467" s="674">
        <v>22</v>
      </c>
      <c r="C1467" s="666" t="str">
        <f>VLOOKUP(B1467,'Coverage Indicators - Section D'!$A$9:$AU$70,47,FALSE)</f>
        <v/>
      </c>
      <c r="D1467" s="676" t="str">
        <f t="shared" ref="D1467" si="6332">R1467</f>
        <v/>
      </c>
      <c r="E1467" s="676" t="str">
        <f t="shared" ref="E1467" si="6333">S1467</f>
        <v/>
      </c>
      <c r="F1467" s="194"/>
      <c r="G1467" s="668" t="str">
        <f t="shared" ref="G1467" ca="1" si="6334">IF(OR(INDIRECT("'update Helper'!E"&amp;U1467)=0,F1467&lt;&gt;0,F1468&lt;&gt;0),IF(IFERROR((F1467/F1468),"")="","",(F1467/F1468)),INDIRECT("'update Helper'!E"&amp;U1467)/100)</f>
        <v/>
      </c>
      <c r="H1467" s="670"/>
      <c r="I1467" s="672"/>
      <c r="J1467" s="651"/>
      <c r="K1467" s="666" t="str">
        <f t="shared" ref="K1467" si="6335">W1467</f>
        <v/>
      </c>
      <c r="L1467" s="666" t="str">
        <f t="shared" ref="L1467" si="6336">V1467</f>
        <v/>
      </c>
      <c r="M1467" s="651"/>
      <c r="N1467" s="651"/>
      <c r="P1467" s="189">
        <f t="shared" ref="P1467" si="6337">IF(AND(EXACT(C1467,C1465),C1465&lt;&gt;0),P1465+1,0)</f>
        <v>23</v>
      </c>
      <c r="Q1467" s="189" t="str">
        <f t="shared" ref="Q1467" si="6338">IF(C1467&lt;&gt;"",C1467&amp;"-"&amp;P1467,"")</f>
        <v/>
      </c>
      <c r="R1467" s="189" t="str">
        <f t="array" ref="R1467">IFERROR(IF(INDEX('Disaggregation Records'!$E$155:$E$385,MATCH(RIGHT(Q1467,255),RIGHT('Disaggregation Records'!$D$155:$D$385,255),0))=0,"",INDEX('Disaggregation Records'!$E$155:$E$385,MATCH(RIGHT(Q1467,255),RIGHT('Disaggregation Records'!$D$155:$D$385,255),0))),"")</f>
        <v/>
      </c>
      <c r="S1467" s="189" t="str">
        <f t="array" ref="S1467">IFERROR(IF(INDEX('Disaggregation Records'!$F$155:$F$385,MATCH(RIGHT(Q1467,255),RIGHT('Disaggregation Records'!$D$155:$D$385,255),0))=0,"",INDEX('Disaggregation Records'!$F$155:$F$385,MATCH(RIGHT(Q1467,255),RIGHT('Disaggregation Records'!$D$155:$D$385,255),0))),"")</f>
        <v/>
      </c>
      <c r="T1467" s="189" t="str">
        <f t="array" ref="T1467">IFERROR(IF(INDEX('Disaggregation Records'!$H$155:$H$385,MATCH(RIGHT(Q1467,255),RIGHT('Disaggregation Records'!$D$155:$D$385,255),0))=0,"",INDEX('Disaggregation Records'!$H$155:$H$385,MATCH(RIGHT(Q1467,255),RIGHT('Disaggregation Records'!$D$155:$D$385,255),0))),"")</f>
        <v/>
      </c>
      <c r="U1467" s="189">
        <f t="shared" ref="U1467" si="6339">U1465+1</f>
        <v>1835</v>
      </c>
      <c r="V1467" s="189" t="str">
        <f t="array" ref="V1467">IFERROR(IF(INDEX('Disaggregation Records'!$I$155:$I$385,MATCH(RIGHT(Q1467,255),RIGHT('Disaggregation Records'!$D$155:$D$385,255),0))=0,"",INDEX('Disaggregation Records'!$I$155:$I$385,MATCH(RIGHT(Q1467,255),RIGHT('Disaggregation Records'!$D$155:$D$385,255),0))),"")</f>
        <v/>
      </c>
      <c r="W1467" s="189" t="str">
        <f>IFERROR(INDEX('Reference Records'!L$59:L$121,MATCH(LEFT(C1467,255),'Reference Records'!E$59:E$121,0)),"")</f>
        <v/>
      </c>
    </row>
    <row r="1468" spans="1:23" s="189" customFormat="1" ht="40.200000000000003" customHeight="1" x14ac:dyDescent="0.3">
      <c r="A1468" s="678"/>
      <c r="B1468" s="675"/>
      <c r="C1468" s="667"/>
      <c r="D1468" s="677"/>
      <c r="E1468" s="677"/>
      <c r="F1468" s="202"/>
      <c r="G1468" s="669"/>
      <c r="H1468" s="671"/>
      <c r="I1468" s="673"/>
      <c r="J1468" s="652"/>
      <c r="K1468" s="667"/>
      <c r="L1468" s="667"/>
      <c r="M1468" s="652"/>
      <c r="N1468" s="652"/>
    </row>
    <row r="1469" spans="1:23" s="189" customFormat="1" ht="40.200000000000003" customHeight="1" x14ac:dyDescent="0.3">
      <c r="A1469" s="678" t="str">
        <f t="shared" ref="A1469" ca="1" si="6340">INDIRECT("'update Helper'!C"&amp;U1469)</f>
        <v>a163p000002zQgDAAU</v>
      </c>
      <c r="B1469" s="674">
        <v>22</v>
      </c>
      <c r="C1469" s="666" t="str">
        <f>VLOOKUP(B1469,'Coverage Indicators - Section D'!$A$9:$AU$70,47,FALSE)</f>
        <v/>
      </c>
      <c r="D1469" s="676" t="str">
        <f t="shared" ref="D1469" si="6341">R1469</f>
        <v/>
      </c>
      <c r="E1469" s="676" t="str">
        <f t="shared" ref="E1469" si="6342">S1469</f>
        <v/>
      </c>
      <c r="F1469" s="194"/>
      <c r="G1469" s="668" t="str">
        <f t="shared" ref="G1469" ca="1" si="6343">IF(OR(INDIRECT("'update Helper'!E"&amp;U1469)=0,F1469&lt;&gt;0,F1470&lt;&gt;0),IF(IFERROR((F1469/F1470),"")="","",(F1469/F1470)),INDIRECT("'update Helper'!E"&amp;U1469)/100)</f>
        <v/>
      </c>
      <c r="H1469" s="670"/>
      <c r="I1469" s="672"/>
      <c r="J1469" s="651"/>
      <c r="K1469" s="666" t="str">
        <f t="shared" ref="K1469" si="6344">W1469</f>
        <v/>
      </c>
      <c r="L1469" s="666" t="str">
        <f t="shared" ref="L1469" si="6345">V1469</f>
        <v/>
      </c>
      <c r="M1469" s="651"/>
      <c r="N1469" s="651"/>
      <c r="P1469" s="189">
        <f t="shared" ref="P1469" si="6346">IF(AND(EXACT(C1469,C1467),C1467&lt;&gt;0),P1467+1,0)</f>
        <v>24</v>
      </c>
      <c r="Q1469" s="189" t="str">
        <f t="shared" ref="Q1469" si="6347">IF(C1469&lt;&gt;"",C1469&amp;"-"&amp;P1469,"")</f>
        <v/>
      </c>
      <c r="R1469" s="189" t="str">
        <f t="array" ref="R1469">IFERROR(IF(INDEX('Disaggregation Records'!$E$155:$E$385,MATCH(RIGHT(Q1469,255),RIGHT('Disaggregation Records'!$D$155:$D$385,255),0))=0,"",INDEX('Disaggregation Records'!$E$155:$E$385,MATCH(RIGHT(Q1469,255),RIGHT('Disaggregation Records'!$D$155:$D$385,255),0))),"")</f>
        <v/>
      </c>
      <c r="S1469" s="189" t="str">
        <f t="array" ref="S1469">IFERROR(IF(INDEX('Disaggregation Records'!$F$155:$F$385,MATCH(RIGHT(Q1469,255),RIGHT('Disaggregation Records'!$D$155:$D$385,255),0))=0,"",INDEX('Disaggregation Records'!$F$155:$F$385,MATCH(RIGHT(Q1469,255),RIGHT('Disaggregation Records'!$D$155:$D$385,255),0))),"")</f>
        <v/>
      </c>
      <c r="T1469" s="189" t="str">
        <f t="array" ref="T1469">IFERROR(IF(INDEX('Disaggregation Records'!$H$155:$H$385,MATCH(RIGHT(Q1469,255),RIGHT('Disaggregation Records'!$D$155:$D$385,255),0))=0,"",INDEX('Disaggregation Records'!$H$155:$H$385,MATCH(RIGHT(Q1469,255),RIGHT('Disaggregation Records'!$D$155:$D$385,255),0))),"")</f>
        <v/>
      </c>
      <c r="U1469" s="189">
        <f t="shared" ref="U1469" si="6348">U1467+1</f>
        <v>1836</v>
      </c>
      <c r="V1469" s="189" t="str">
        <f t="array" ref="V1469">IFERROR(IF(INDEX('Disaggregation Records'!$I$155:$I$385,MATCH(RIGHT(Q1469,255),RIGHT('Disaggregation Records'!$D$155:$D$385,255),0))=0,"",INDEX('Disaggregation Records'!$I$155:$I$385,MATCH(RIGHT(Q1469,255),RIGHT('Disaggregation Records'!$D$155:$D$385,255),0))),"")</f>
        <v/>
      </c>
      <c r="W1469" s="189" t="str">
        <f>IFERROR(INDEX('Reference Records'!L$59:L$121,MATCH(LEFT(C1469,255),'Reference Records'!E$59:E$121,0)),"")</f>
        <v/>
      </c>
    </row>
    <row r="1470" spans="1:23" s="189" customFormat="1" ht="40.200000000000003" customHeight="1" x14ac:dyDescent="0.3">
      <c r="A1470" s="678"/>
      <c r="B1470" s="675"/>
      <c r="C1470" s="667"/>
      <c r="D1470" s="677"/>
      <c r="E1470" s="677"/>
      <c r="F1470" s="202"/>
      <c r="G1470" s="669"/>
      <c r="H1470" s="671"/>
      <c r="I1470" s="673"/>
      <c r="J1470" s="652"/>
      <c r="K1470" s="667"/>
      <c r="L1470" s="667"/>
      <c r="M1470" s="652"/>
      <c r="N1470" s="652"/>
    </row>
    <row r="1471" spans="1:23" s="189" customFormat="1" ht="40.200000000000003" customHeight="1" x14ac:dyDescent="0.3">
      <c r="A1471" s="678" t="str">
        <f t="shared" ref="A1471" ca="1" si="6349">INDIRECT("'update Helper'!C"&amp;U1471)</f>
        <v>a163p000002zQgEAAU</v>
      </c>
      <c r="B1471" s="674">
        <v>22</v>
      </c>
      <c r="C1471" s="666" t="str">
        <f>VLOOKUP(B1471,'Coverage Indicators - Section D'!$A$9:$AU$70,47,FALSE)</f>
        <v/>
      </c>
      <c r="D1471" s="676" t="str">
        <f t="shared" ref="D1471" si="6350">R1471</f>
        <v/>
      </c>
      <c r="E1471" s="676" t="str">
        <f t="shared" ref="E1471" si="6351">S1471</f>
        <v/>
      </c>
      <c r="F1471" s="194"/>
      <c r="G1471" s="668" t="str">
        <f t="shared" ref="G1471" ca="1" si="6352">IF(OR(INDIRECT("'update Helper'!E"&amp;U1471)=0,F1471&lt;&gt;0,F1472&lt;&gt;0),IF(IFERROR((F1471/F1472),"")="","",(F1471/F1472)),INDIRECT("'update Helper'!E"&amp;U1471)/100)</f>
        <v/>
      </c>
      <c r="H1471" s="670"/>
      <c r="I1471" s="672"/>
      <c r="J1471" s="651"/>
      <c r="K1471" s="666" t="str">
        <f t="shared" ref="K1471" si="6353">W1471</f>
        <v/>
      </c>
      <c r="L1471" s="666" t="str">
        <f t="shared" ref="L1471" si="6354">V1471</f>
        <v/>
      </c>
      <c r="M1471" s="651"/>
      <c r="N1471" s="651"/>
      <c r="P1471" s="189">
        <f t="shared" ref="P1471" si="6355">IF(AND(EXACT(C1471,C1469),C1469&lt;&gt;0),P1469+1,0)</f>
        <v>25</v>
      </c>
      <c r="Q1471" s="189" t="str">
        <f t="shared" ref="Q1471" si="6356">IF(C1471&lt;&gt;"",C1471&amp;"-"&amp;P1471,"")</f>
        <v/>
      </c>
      <c r="R1471" s="189" t="str">
        <f t="array" ref="R1471">IFERROR(IF(INDEX('Disaggregation Records'!$E$155:$E$385,MATCH(RIGHT(Q1471,255),RIGHT('Disaggregation Records'!$D$155:$D$385,255),0))=0,"",INDEX('Disaggregation Records'!$E$155:$E$385,MATCH(RIGHT(Q1471,255),RIGHT('Disaggregation Records'!$D$155:$D$385,255),0))),"")</f>
        <v/>
      </c>
      <c r="S1471" s="189" t="str">
        <f t="array" ref="S1471">IFERROR(IF(INDEX('Disaggregation Records'!$F$155:$F$385,MATCH(RIGHT(Q1471,255),RIGHT('Disaggregation Records'!$D$155:$D$385,255),0))=0,"",INDEX('Disaggregation Records'!$F$155:$F$385,MATCH(RIGHT(Q1471,255),RIGHT('Disaggregation Records'!$D$155:$D$385,255),0))),"")</f>
        <v/>
      </c>
      <c r="T1471" s="189" t="str">
        <f t="array" ref="T1471">IFERROR(IF(INDEX('Disaggregation Records'!$H$155:$H$385,MATCH(RIGHT(Q1471,255),RIGHT('Disaggregation Records'!$D$155:$D$385,255),0))=0,"",INDEX('Disaggregation Records'!$H$155:$H$385,MATCH(RIGHT(Q1471,255),RIGHT('Disaggregation Records'!$D$155:$D$385,255),0))),"")</f>
        <v/>
      </c>
      <c r="U1471" s="189">
        <f t="shared" ref="U1471" si="6357">U1469+1</f>
        <v>1837</v>
      </c>
      <c r="V1471" s="189" t="str">
        <f t="array" ref="V1471">IFERROR(IF(INDEX('Disaggregation Records'!$I$155:$I$385,MATCH(RIGHT(Q1471,255),RIGHT('Disaggregation Records'!$D$155:$D$385,255),0))=0,"",INDEX('Disaggregation Records'!$I$155:$I$385,MATCH(RIGHT(Q1471,255),RIGHT('Disaggregation Records'!$D$155:$D$385,255),0))),"")</f>
        <v/>
      </c>
      <c r="W1471" s="189" t="str">
        <f>IFERROR(INDEX('Reference Records'!L$59:L$121,MATCH(LEFT(C1471,255),'Reference Records'!E$59:E$121,0)),"")</f>
        <v/>
      </c>
    </row>
    <row r="1472" spans="1:23" s="189" customFormat="1" ht="40.200000000000003" customHeight="1" x14ac:dyDescent="0.3">
      <c r="A1472" s="678"/>
      <c r="B1472" s="675"/>
      <c r="C1472" s="667"/>
      <c r="D1472" s="677"/>
      <c r="E1472" s="677"/>
      <c r="F1472" s="202"/>
      <c r="G1472" s="669"/>
      <c r="H1472" s="671"/>
      <c r="I1472" s="673"/>
      <c r="J1472" s="652"/>
      <c r="K1472" s="667"/>
      <c r="L1472" s="667"/>
      <c r="M1472" s="652"/>
      <c r="N1472" s="652"/>
    </row>
    <row r="1473" spans="1:23" s="189" customFormat="1" ht="40.200000000000003" customHeight="1" x14ac:dyDescent="0.3">
      <c r="A1473" s="678" t="str">
        <f t="shared" ref="A1473" ca="1" si="6358">INDIRECT("'update Helper'!C"&amp;U1473)</f>
        <v>a163p000002zQgFAAU</v>
      </c>
      <c r="B1473" s="674">
        <v>22</v>
      </c>
      <c r="C1473" s="666" t="str">
        <f>VLOOKUP(B1473,'Coverage Indicators - Section D'!$A$9:$AU$70,47,FALSE)</f>
        <v/>
      </c>
      <c r="D1473" s="676" t="str">
        <f t="shared" ref="D1473" si="6359">R1473</f>
        <v/>
      </c>
      <c r="E1473" s="676" t="str">
        <f t="shared" ref="E1473" si="6360">S1473</f>
        <v/>
      </c>
      <c r="F1473" s="194"/>
      <c r="G1473" s="668" t="str">
        <f t="shared" ref="G1473" ca="1" si="6361">IF(OR(INDIRECT("'update Helper'!E"&amp;U1473)=0,F1473&lt;&gt;0,F1474&lt;&gt;0),IF(IFERROR((F1473/F1474),"")="","",(F1473/F1474)),INDIRECT("'update Helper'!E"&amp;U1473)/100)</f>
        <v/>
      </c>
      <c r="H1473" s="670"/>
      <c r="I1473" s="672"/>
      <c r="J1473" s="651"/>
      <c r="K1473" s="666" t="str">
        <f t="shared" ref="K1473" si="6362">W1473</f>
        <v/>
      </c>
      <c r="L1473" s="666" t="str">
        <f t="shared" ref="L1473" si="6363">V1473</f>
        <v/>
      </c>
      <c r="M1473" s="651"/>
      <c r="N1473" s="651"/>
      <c r="P1473" s="189">
        <f t="shared" ref="P1473" si="6364">IF(AND(EXACT(C1473,C1471),C1471&lt;&gt;0),P1471+1,0)</f>
        <v>26</v>
      </c>
      <c r="Q1473" s="189" t="str">
        <f t="shared" ref="Q1473" si="6365">IF(C1473&lt;&gt;"",C1473&amp;"-"&amp;P1473,"")</f>
        <v/>
      </c>
      <c r="R1473" s="189" t="str">
        <f t="array" ref="R1473">IFERROR(IF(INDEX('Disaggregation Records'!$E$155:$E$385,MATCH(RIGHT(Q1473,255),RIGHT('Disaggregation Records'!$D$155:$D$385,255),0))=0,"",INDEX('Disaggregation Records'!$E$155:$E$385,MATCH(RIGHT(Q1473,255),RIGHT('Disaggregation Records'!$D$155:$D$385,255),0))),"")</f>
        <v/>
      </c>
      <c r="S1473" s="189" t="str">
        <f t="array" ref="S1473">IFERROR(IF(INDEX('Disaggregation Records'!$F$155:$F$385,MATCH(RIGHT(Q1473,255),RIGHT('Disaggregation Records'!$D$155:$D$385,255),0))=0,"",INDEX('Disaggregation Records'!$F$155:$F$385,MATCH(RIGHT(Q1473,255),RIGHT('Disaggregation Records'!$D$155:$D$385,255),0))),"")</f>
        <v/>
      </c>
      <c r="T1473" s="189" t="str">
        <f t="array" ref="T1473">IFERROR(IF(INDEX('Disaggregation Records'!$H$155:$H$385,MATCH(RIGHT(Q1473,255),RIGHT('Disaggregation Records'!$D$155:$D$385,255),0))=0,"",INDEX('Disaggregation Records'!$H$155:$H$385,MATCH(RIGHT(Q1473,255),RIGHT('Disaggregation Records'!$D$155:$D$385,255),0))),"")</f>
        <v/>
      </c>
      <c r="U1473" s="189">
        <f t="shared" ref="U1473" si="6366">U1471+1</f>
        <v>1838</v>
      </c>
      <c r="V1473" s="189" t="str">
        <f t="array" ref="V1473">IFERROR(IF(INDEX('Disaggregation Records'!$I$155:$I$385,MATCH(RIGHT(Q1473,255),RIGHT('Disaggregation Records'!$D$155:$D$385,255),0))=0,"",INDEX('Disaggregation Records'!$I$155:$I$385,MATCH(RIGHT(Q1473,255),RIGHT('Disaggregation Records'!$D$155:$D$385,255),0))),"")</f>
        <v/>
      </c>
      <c r="W1473" s="189" t="str">
        <f>IFERROR(INDEX('Reference Records'!L$59:L$121,MATCH(LEFT(C1473,255),'Reference Records'!E$59:E$121,0)),"")</f>
        <v/>
      </c>
    </row>
    <row r="1474" spans="1:23" s="189" customFormat="1" ht="40.200000000000003" customHeight="1" x14ac:dyDescent="0.3">
      <c r="A1474" s="678"/>
      <c r="B1474" s="675"/>
      <c r="C1474" s="667"/>
      <c r="D1474" s="677"/>
      <c r="E1474" s="677"/>
      <c r="F1474" s="202"/>
      <c r="G1474" s="669"/>
      <c r="H1474" s="671"/>
      <c r="I1474" s="673"/>
      <c r="J1474" s="652"/>
      <c r="K1474" s="667"/>
      <c r="L1474" s="667"/>
      <c r="M1474" s="652"/>
      <c r="N1474" s="652"/>
    </row>
    <row r="1475" spans="1:23" s="189" customFormat="1" ht="40.200000000000003" customHeight="1" x14ac:dyDescent="0.3">
      <c r="A1475" s="678" t="str">
        <f t="shared" ref="A1475" ca="1" si="6367">INDIRECT("'update Helper'!C"&amp;U1475)</f>
        <v>a163p000002zQgGAAU</v>
      </c>
      <c r="B1475" s="674">
        <v>22</v>
      </c>
      <c r="C1475" s="666" t="str">
        <f>VLOOKUP(B1475,'Coverage Indicators - Section D'!$A$9:$AU$70,47,FALSE)</f>
        <v/>
      </c>
      <c r="D1475" s="676" t="str">
        <f t="shared" ref="D1475" si="6368">R1475</f>
        <v/>
      </c>
      <c r="E1475" s="676" t="str">
        <f t="shared" ref="E1475" si="6369">S1475</f>
        <v/>
      </c>
      <c r="F1475" s="194"/>
      <c r="G1475" s="668" t="str">
        <f t="shared" ref="G1475" ca="1" si="6370">IF(OR(INDIRECT("'update Helper'!E"&amp;U1475)=0,F1475&lt;&gt;0,F1476&lt;&gt;0),IF(IFERROR((F1475/F1476),"")="","",(F1475/F1476)),INDIRECT("'update Helper'!E"&amp;U1475)/100)</f>
        <v/>
      </c>
      <c r="H1475" s="670"/>
      <c r="I1475" s="672"/>
      <c r="J1475" s="651"/>
      <c r="K1475" s="666" t="str">
        <f t="shared" ref="K1475" si="6371">W1475</f>
        <v/>
      </c>
      <c r="L1475" s="666" t="str">
        <f t="shared" ref="L1475" si="6372">V1475</f>
        <v/>
      </c>
      <c r="M1475" s="651"/>
      <c r="N1475" s="651"/>
      <c r="P1475" s="189">
        <f t="shared" ref="P1475" si="6373">IF(AND(EXACT(C1475,C1473),C1473&lt;&gt;0),P1473+1,0)</f>
        <v>27</v>
      </c>
      <c r="Q1475" s="189" t="str">
        <f t="shared" ref="Q1475" si="6374">IF(C1475&lt;&gt;"",C1475&amp;"-"&amp;P1475,"")</f>
        <v/>
      </c>
      <c r="R1475" s="189" t="str">
        <f t="array" ref="R1475">IFERROR(IF(INDEX('Disaggregation Records'!$E$155:$E$385,MATCH(RIGHT(Q1475,255),RIGHT('Disaggregation Records'!$D$155:$D$385,255),0))=0,"",INDEX('Disaggregation Records'!$E$155:$E$385,MATCH(RIGHT(Q1475,255),RIGHT('Disaggregation Records'!$D$155:$D$385,255),0))),"")</f>
        <v/>
      </c>
      <c r="S1475" s="189" t="str">
        <f t="array" ref="S1475">IFERROR(IF(INDEX('Disaggregation Records'!$F$155:$F$385,MATCH(RIGHT(Q1475,255),RIGHT('Disaggregation Records'!$D$155:$D$385,255),0))=0,"",INDEX('Disaggregation Records'!$F$155:$F$385,MATCH(RIGHT(Q1475,255),RIGHT('Disaggregation Records'!$D$155:$D$385,255),0))),"")</f>
        <v/>
      </c>
      <c r="T1475" s="189" t="str">
        <f t="array" ref="T1475">IFERROR(IF(INDEX('Disaggregation Records'!$H$155:$H$385,MATCH(RIGHT(Q1475,255),RIGHT('Disaggregation Records'!$D$155:$D$385,255),0))=0,"",INDEX('Disaggregation Records'!$H$155:$H$385,MATCH(RIGHT(Q1475,255),RIGHT('Disaggregation Records'!$D$155:$D$385,255),0))),"")</f>
        <v/>
      </c>
      <c r="U1475" s="189">
        <f t="shared" ref="U1475" si="6375">U1473+1</f>
        <v>1839</v>
      </c>
      <c r="V1475" s="189" t="str">
        <f t="array" ref="V1475">IFERROR(IF(INDEX('Disaggregation Records'!$I$155:$I$385,MATCH(RIGHT(Q1475,255),RIGHT('Disaggregation Records'!$D$155:$D$385,255),0))=0,"",INDEX('Disaggregation Records'!$I$155:$I$385,MATCH(RIGHT(Q1475,255),RIGHT('Disaggregation Records'!$D$155:$D$385,255),0))),"")</f>
        <v/>
      </c>
      <c r="W1475" s="189" t="str">
        <f>IFERROR(INDEX('Reference Records'!L$59:L$121,MATCH(LEFT(C1475,255),'Reference Records'!E$59:E$121,0)),"")</f>
        <v/>
      </c>
    </row>
    <row r="1476" spans="1:23" s="189" customFormat="1" ht="40.200000000000003" customHeight="1" x14ac:dyDescent="0.3">
      <c r="A1476" s="678"/>
      <c r="B1476" s="675"/>
      <c r="C1476" s="667"/>
      <c r="D1476" s="677"/>
      <c r="E1476" s="677"/>
      <c r="F1476" s="202"/>
      <c r="G1476" s="669"/>
      <c r="H1476" s="671"/>
      <c r="I1476" s="673"/>
      <c r="J1476" s="652"/>
      <c r="K1476" s="667"/>
      <c r="L1476" s="667"/>
      <c r="M1476" s="652"/>
      <c r="N1476" s="652"/>
    </row>
    <row r="1477" spans="1:23" s="189" customFormat="1" ht="40.200000000000003" customHeight="1" x14ac:dyDescent="0.3">
      <c r="A1477" s="678" t="str">
        <f t="shared" ref="A1477" ca="1" si="6376">INDIRECT("'update Helper'!C"&amp;U1477)</f>
        <v>a163p000002zQgHAAU</v>
      </c>
      <c r="B1477" s="674">
        <v>22</v>
      </c>
      <c r="C1477" s="666" t="str">
        <f>VLOOKUP(B1477,'Coverage Indicators - Section D'!$A$9:$AU$70,47,FALSE)</f>
        <v/>
      </c>
      <c r="D1477" s="676" t="str">
        <f t="shared" ref="D1477" si="6377">R1477</f>
        <v/>
      </c>
      <c r="E1477" s="676" t="str">
        <f t="shared" ref="E1477" si="6378">S1477</f>
        <v/>
      </c>
      <c r="F1477" s="194"/>
      <c r="G1477" s="668" t="str">
        <f t="shared" ref="G1477" ca="1" si="6379">IF(OR(INDIRECT("'update Helper'!E"&amp;U1477)=0,F1477&lt;&gt;0,F1478&lt;&gt;0),IF(IFERROR((F1477/F1478),"")="","",(F1477/F1478)),INDIRECT("'update Helper'!E"&amp;U1477)/100)</f>
        <v/>
      </c>
      <c r="H1477" s="670"/>
      <c r="I1477" s="672"/>
      <c r="J1477" s="651"/>
      <c r="K1477" s="666" t="str">
        <f t="shared" ref="K1477" si="6380">W1477</f>
        <v/>
      </c>
      <c r="L1477" s="666" t="str">
        <f t="shared" ref="L1477" si="6381">V1477</f>
        <v/>
      </c>
      <c r="M1477" s="651"/>
      <c r="N1477" s="651"/>
      <c r="P1477" s="189">
        <f t="shared" ref="P1477" si="6382">IF(AND(EXACT(C1477,C1475),C1475&lt;&gt;0),P1475+1,0)</f>
        <v>28</v>
      </c>
      <c r="Q1477" s="189" t="str">
        <f t="shared" ref="Q1477" si="6383">IF(C1477&lt;&gt;"",C1477&amp;"-"&amp;P1477,"")</f>
        <v/>
      </c>
      <c r="R1477" s="189" t="str">
        <f t="array" ref="R1477">IFERROR(IF(INDEX('Disaggregation Records'!$E$155:$E$385,MATCH(RIGHT(Q1477,255),RIGHT('Disaggregation Records'!$D$155:$D$385,255),0))=0,"",INDEX('Disaggregation Records'!$E$155:$E$385,MATCH(RIGHT(Q1477,255),RIGHT('Disaggregation Records'!$D$155:$D$385,255),0))),"")</f>
        <v/>
      </c>
      <c r="S1477" s="189" t="str">
        <f t="array" ref="S1477">IFERROR(IF(INDEX('Disaggregation Records'!$F$155:$F$385,MATCH(RIGHT(Q1477,255),RIGHT('Disaggregation Records'!$D$155:$D$385,255),0))=0,"",INDEX('Disaggregation Records'!$F$155:$F$385,MATCH(RIGHT(Q1477,255),RIGHT('Disaggregation Records'!$D$155:$D$385,255),0))),"")</f>
        <v/>
      </c>
      <c r="T1477" s="189" t="str">
        <f t="array" ref="T1477">IFERROR(IF(INDEX('Disaggregation Records'!$H$155:$H$385,MATCH(RIGHT(Q1477,255),RIGHT('Disaggregation Records'!$D$155:$D$385,255),0))=0,"",INDEX('Disaggregation Records'!$H$155:$H$385,MATCH(RIGHT(Q1477,255),RIGHT('Disaggregation Records'!$D$155:$D$385,255),0))),"")</f>
        <v/>
      </c>
      <c r="U1477" s="189">
        <f t="shared" ref="U1477" si="6384">U1475+1</f>
        <v>1840</v>
      </c>
      <c r="V1477" s="189" t="str">
        <f t="array" ref="V1477">IFERROR(IF(INDEX('Disaggregation Records'!$I$155:$I$385,MATCH(RIGHT(Q1477,255),RIGHT('Disaggregation Records'!$D$155:$D$385,255),0))=0,"",INDEX('Disaggregation Records'!$I$155:$I$385,MATCH(RIGHT(Q1477,255),RIGHT('Disaggregation Records'!$D$155:$D$385,255),0))),"")</f>
        <v/>
      </c>
      <c r="W1477" s="189" t="str">
        <f>IFERROR(INDEX('Reference Records'!L$59:L$121,MATCH(LEFT(C1477,255),'Reference Records'!E$59:E$121,0)),"")</f>
        <v/>
      </c>
    </row>
    <row r="1478" spans="1:23" s="189" customFormat="1" ht="40.200000000000003" customHeight="1" x14ac:dyDescent="0.3">
      <c r="A1478" s="678"/>
      <c r="B1478" s="675"/>
      <c r="C1478" s="667"/>
      <c r="D1478" s="677"/>
      <c r="E1478" s="677"/>
      <c r="F1478" s="202"/>
      <c r="G1478" s="669"/>
      <c r="H1478" s="671"/>
      <c r="I1478" s="673"/>
      <c r="J1478" s="652"/>
      <c r="K1478" s="667"/>
      <c r="L1478" s="667"/>
      <c r="M1478" s="652"/>
      <c r="N1478" s="652"/>
    </row>
    <row r="1479" spans="1:23" s="189" customFormat="1" ht="40.200000000000003" customHeight="1" x14ac:dyDescent="0.3">
      <c r="A1479" s="678" t="str">
        <f t="shared" ref="A1479" ca="1" si="6385">INDIRECT("'update Helper'!C"&amp;U1479)</f>
        <v>a163p000002zQgIAAU</v>
      </c>
      <c r="B1479" s="674">
        <v>22</v>
      </c>
      <c r="C1479" s="666" t="str">
        <f>VLOOKUP(B1479,'Coverage Indicators - Section D'!$A$9:$AU$70,47,FALSE)</f>
        <v/>
      </c>
      <c r="D1479" s="676" t="str">
        <f t="shared" ref="D1479" si="6386">R1479</f>
        <v/>
      </c>
      <c r="E1479" s="676" t="str">
        <f t="shared" ref="E1479" si="6387">S1479</f>
        <v/>
      </c>
      <c r="F1479" s="194"/>
      <c r="G1479" s="668" t="str">
        <f t="shared" ref="G1479" ca="1" si="6388">IF(OR(INDIRECT("'update Helper'!E"&amp;U1479)=0,F1479&lt;&gt;0,F1480&lt;&gt;0),IF(IFERROR((F1479/F1480),"")="","",(F1479/F1480)),INDIRECT("'update Helper'!E"&amp;U1479)/100)</f>
        <v/>
      </c>
      <c r="H1479" s="670"/>
      <c r="I1479" s="672"/>
      <c r="J1479" s="651"/>
      <c r="K1479" s="666" t="str">
        <f t="shared" ref="K1479" si="6389">W1479</f>
        <v/>
      </c>
      <c r="L1479" s="666" t="str">
        <f t="shared" ref="L1479" si="6390">V1479</f>
        <v/>
      </c>
      <c r="M1479" s="651"/>
      <c r="N1479" s="651"/>
      <c r="P1479" s="189">
        <f t="shared" ref="P1479" si="6391">IF(AND(EXACT(C1479,C1477),C1477&lt;&gt;0),P1477+1,0)</f>
        <v>29</v>
      </c>
      <c r="Q1479" s="189" t="str">
        <f t="shared" ref="Q1479" si="6392">IF(C1479&lt;&gt;"",C1479&amp;"-"&amp;P1479,"")</f>
        <v/>
      </c>
      <c r="R1479" s="189" t="str">
        <f t="array" ref="R1479">IFERROR(IF(INDEX('Disaggregation Records'!$E$155:$E$385,MATCH(RIGHT(Q1479,255),RIGHT('Disaggregation Records'!$D$155:$D$385,255),0))=0,"",INDEX('Disaggregation Records'!$E$155:$E$385,MATCH(RIGHT(Q1479,255),RIGHT('Disaggregation Records'!$D$155:$D$385,255),0))),"")</f>
        <v/>
      </c>
      <c r="S1479" s="189" t="str">
        <f t="array" ref="S1479">IFERROR(IF(INDEX('Disaggregation Records'!$F$155:$F$385,MATCH(RIGHT(Q1479,255),RIGHT('Disaggregation Records'!$D$155:$D$385,255),0))=0,"",INDEX('Disaggregation Records'!$F$155:$F$385,MATCH(RIGHT(Q1479,255),RIGHT('Disaggregation Records'!$D$155:$D$385,255),0))),"")</f>
        <v/>
      </c>
      <c r="T1479" s="189" t="str">
        <f t="array" ref="T1479">IFERROR(IF(INDEX('Disaggregation Records'!$H$155:$H$385,MATCH(RIGHT(Q1479,255),RIGHT('Disaggregation Records'!$D$155:$D$385,255),0))=0,"",INDEX('Disaggregation Records'!$H$155:$H$385,MATCH(RIGHT(Q1479,255),RIGHT('Disaggregation Records'!$D$155:$D$385,255),0))),"")</f>
        <v/>
      </c>
      <c r="U1479" s="189">
        <f t="shared" ref="U1479" si="6393">U1477+1</f>
        <v>1841</v>
      </c>
      <c r="V1479" s="189" t="str">
        <f t="array" ref="V1479">IFERROR(IF(INDEX('Disaggregation Records'!$I$155:$I$385,MATCH(RIGHT(Q1479,255),RIGHT('Disaggregation Records'!$D$155:$D$385,255),0))=0,"",INDEX('Disaggregation Records'!$I$155:$I$385,MATCH(RIGHT(Q1479,255),RIGHT('Disaggregation Records'!$D$155:$D$385,255),0))),"")</f>
        <v/>
      </c>
      <c r="W1479" s="189" t="str">
        <f>IFERROR(INDEX('Reference Records'!L$59:L$121,MATCH(LEFT(C1479,255),'Reference Records'!E$59:E$121,0)),"")</f>
        <v/>
      </c>
    </row>
    <row r="1480" spans="1:23" s="189" customFormat="1" ht="40.200000000000003" customHeight="1" x14ac:dyDescent="0.3">
      <c r="A1480" s="678"/>
      <c r="B1480" s="675"/>
      <c r="C1480" s="667"/>
      <c r="D1480" s="677"/>
      <c r="E1480" s="677"/>
      <c r="F1480" s="202"/>
      <c r="G1480" s="669"/>
      <c r="H1480" s="671"/>
      <c r="I1480" s="673"/>
      <c r="J1480" s="652"/>
      <c r="K1480" s="667"/>
      <c r="L1480" s="667"/>
      <c r="M1480" s="652"/>
      <c r="N1480" s="652"/>
    </row>
    <row r="1481" spans="1:23" s="189" customFormat="1" ht="40.200000000000003" customHeight="1" x14ac:dyDescent="0.3">
      <c r="A1481" s="678" t="str">
        <f t="shared" ref="A1481" ca="1" si="6394">INDIRECT("'update Helper'!C"&amp;U1481)</f>
        <v>a163p000002zQgJAAU</v>
      </c>
      <c r="B1481" s="674">
        <v>22</v>
      </c>
      <c r="C1481" s="666" t="str">
        <f>VLOOKUP(B1481,'Coverage Indicators - Section D'!$A$9:$AU$70,47,FALSE)</f>
        <v/>
      </c>
      <c r="D1481" s="676" t="str">
        <f t="shared" ref="D1481" si="6395">R1481</f>
        <v/>
      </c>
      <c r="E1481" s="676" t="str">
        <f t="shared" ref="E1481" si="6396">S1481</f>
        <v/>
      </c>
      <c r="F1481" s="194"/>
      <c r="G1481" s="668" t="str">
        <f t="shared" ref="G1481" ca="1" si="6397">IF(OR(INDIRECT("'update Helper'!E"&amp;U1481)=0,F1481&lt;&gt;0,F1482&lt;&gt;0),IF(IFERROR((F1481/F1482),"")="","",(F1481/F1482)),INDIRECT("'update Helper'!E"&amp;U1481)/100)</f>
        <v/>
      </c>
      <c r="H1481" s="670"/>
      <c r="I1481" s="672"/>
      <c r="J1481" s="651"/>
      <c r="K1481" s="666" t="str">
        <f t="shared" ref="K1481" si="6398">W1481</f>
        <v/>
      </c>
      <c r="L1481" s="666" t="str">
        <f t="shared" ref="L1481" si="6399">V1481</f>
        <v/>
      </c>
      <c r="M1481" s="651"/>
      <c r="N1481" s="651"/>
      <c r="P1481" s="189">
        <f t="shared" ref="P1481" si="6400">IF(AND(EXACT(C1481,C1479),C1479&lt;&gt;0),P1479+1,0)</f>
        <v>30</v>
      </c>
      <c r="Q1481" s="189" t="str">
        <f t="shared" ref="Q1481" si="6401">IF(C1481&lt;&gt;"",C1481&amp;"-"&amp;P1481,"")</f>
        <v/>
      </c>
      <c r="R1481" s="189" t="str">
        <f t="array" ref="R1481">IFERROR(IF(INDEX('Disaggregation Records'!$E$155:$E$385,MATCH(RIGHT(Q1481,255),RIGHT('Disaggregation Records'!$D$155:$D$385,255),0))=0,"",INDEX('Disaggregation Records'!$E$155:$E$385,MATCH(RIGHT(Q1481,255),RIGHT('Disaggregation Records'!$D$155:$D$385,255),0))),"")</f>
        <v/>
      </c>
      <c r="S1481" s="189" t="str">
        <f t="array" ref="S1481">IFERROR(IF(INDEX('Disaggregation Records'!$F$155:$F$385,MATCH(RIGHT(Q1481,255),RIGHT('Disaggregation Records'!$D$155:$D$385,255),0))=0,"",INDEX('Disaggregation Records'!$F$155:$F$385,MATCH(RIGHT(Q1481,255),RIGHT('Disaggregation Records'!$D$155:$D$385,255),0))),"")</f>
        <v/>
      </c>
      <c r="T1481" s="189" t="str">
        <f t="array" ref="T1481">IFERROR(IF(INDEX('Disaggregation Records'!$H$155:$H$385,MATCH(RIGHT(Q1481,255),RIGHT('Disaggregation Records'!$D$155:$D$385,255),0))=0,"",INDEX('Disaggregation Records'!$H$155:$H$385,MATCH(RIGHT(Q1481,255),RIGHT('Disaggregation Records'!$D$155:$D$385,255),0))),"")</f>
        <v/>
      </c>
      <c r="U1481" s="189">
        <f t="shared" ref="U1481" si="6402">U1479+1</f>
        <v>1842</v>
      </c>
      <c r="V1481" s="189" t="str">
        <f t="array" ref="V1481">IFERROR(IF(INDEX('Disaggregation Records'!$I$155:$I$385,MATCH(RIGHT(Q1481,255),RIGHT('Disaggregation Records'!$D$155:$D$385,255),0))=0,"",INDEX('Disaggregation Records'!$I$155:$I$385,MATCH(RIGHT(Q1481,255),RIGHT('Disaggregation Records'!$D$155:$D$385,255),0))),"")</f>
        <v/>
      </c>
      <c r="W1481" s="189" t="str">
        <f>IFERROR(INDEX('Reference Records'!L$59:L$121,MATCH(LEFT(C1481,255),'Reference Records'!E$59:E$121,0)),"")</f>
        <v/>
      </c>
    </row>
    <row r="1482" spans="1:23" s="189" customFormat="1" ht="40.200000000000003" customHeight="1" x14ac:dyDescent="0.3">
      <c r="A1482" s="678"/>
      <c r="B1482" s="675"/>
      <c r="C1482" s="667"/>
      <c r="D1482" s="677"/>
      <c r="E1482" s="677"/>
      <c r="F1482" s="202"/>
      <c r="G1482" s="669"/>
      <c r="H1482" s="671"/>
      <c r="I1482" s="673"/>
      <c r="J1482" s="652"/>
      <c r="K1482" s="667"/>
      <c r="L1482" s="667"/>
      <c r="M1482" s="652"/>
      <c r="N1482" s="652"/>
    </row>
    <row r="1483" spans="1:23" s="189" customFormat="1" ht="40.200000000000003" customHeight="1" x14ac:dyDescent="0.3">
      <c r="A1483" s="678" t="str">
        <f t="shared" ref="A1483" ca="1" si="6403">INDIRECT("'update Helper'!C"&amp;U1483)</f>
        <v>a163p000002zQgKAAU</v>
      </c>
      <c r="B1483" s="674">
        <v>22</v>
      </c>
      <c r="C1483" s="666" t="str">
        <f>VLOOKUP(B1483,'Coverage Indicators - Section D'!$A$9:$AU$70,47,FALSE)</f>
        <v/>
      </c>
      <c r="D1483" s="676" t="str">
        <f t="shared" ref="D1483" si="6404">R1483</f>
        <v/>
      </c>
      <c r="E1483" s="676" t="str">
        <f t="shared" ref="E1483" si="6405">S1483</f>
        <v/>
      </c>
      <c r="F1483" s="194"/>
      <c r="G1483" s="668" t="str">
        <f t="shared" ref="G1483" ca="1" si="6406">IF(OR(INDIRECT("'update Helper'!E"&amp;U1483)=0,F1483&lt;&gt;0,F1484&lt;&gt;0),IF(IFERROR((F1483/F1484),"")="","",(F1483/F1484)),INDIRECT("'update Helper'!E"&amp;U1483)/100)</f>
        <v/>
      </c>
      <c r="H1483" s="670"/>
      <c r="I1483" s="672"/>
      <c r="J1483" s="651"/>
      <c r="K1483" s="666" t="str">
        <f t="shared" ref="K1483" si="6407">W1483</f>
        <v/>
      </c>
      <c r="L1483" s="666" t="str">
        <f t="shared" ref="L1483" si="6408">V1483</f>
        <v/>
      </c>
      <c r="M1483" s="651"/>
      <c r="N1483" s="651"/>
      <c r="P1483" s="189">
        <f t="shared" ref="P1483" si="6409">IF(AND(EXACT(C1483,C1481),C1481&lt;&gt;0),P1481+1,0)</f>
        <v>31</v>
      </c>
      <c r="Q1483" s="189" t="str">
        <f t="shared" ref="Q1483" si="6410">IF(C1483&lt;&gt;"",C1483&amp;"-"&amp;P1483,"")</f>
        <v/>
      </c>
      <c r="R1483" s="189" t="str">
        <f t="array" ref="R1483">IFERROR(IF(INDEX('Disaggregation Records'!$E$155:$E$385,MATCH(RIGHT(Q1483,255),RIGHT('Disaggregation Records'!$D$155:$D$385,255),0))=0,"",INDEX('Disaggregation Records'!$E$155:$E$385,MATCH(RIGHT(Q1483,255),RIGHT('Disaggregation Records'!$D$155:$D$385,255),0))),"")</f>
        <v/>
      </c>
      <c r="S1483" s="189" t="str">
        <f t="array" ref="S1483">IFERROR(IF(INDEX('Disaggregation Records'!$F$155:$F$385,MATCH(RIGHT(Q1483,255),RIGHT('Disaggregation Records'!$D$155:$D$385,255),0))=0,"",INDEX('Disaggregation Records'!$F$155:$F$385,MATCH(RIGHT(Q1483,255),RIGHT('Disaggregation Records'!$D$155:$D$385,255),0))),"")</f>
        <v/>
      </c>
      <c r="T1483" s="189" t="str">
        <f t="array" ref="T1483">IFERROR(IF(INDEX('Disaggregation Records'!$H$155:$H$385,MATCH(RIGHT(Q1483,255),RIGHT('Disaggregation Records'!$D$155:$D$385,255),0))=0,"",INDEX('Disaggregation Records'!$H$155:$H$385,MATCH(RIGHT(Q1483,255),RIGHT('Disaggregation Records'!$D$155:$D$385,255),0))),"")</f>
        <v/>
      </c>
      <c r="U1483" s="189">
        <f t="shared" ref="U1483" si="6411">U1481+1</f>
        <v>1843</v>
      </c>
      <c r="V1483" s="189" t="str">
        <f t="array" ref="V1483">IFERROR(IF(INDEX('Disaggregation Records'!$I$155:$I$385,MATCH(RIGHT(Q1483,255),RIGHT('Disaggregation Records'!$D$155:$D$385,255),0))=0,"",INDEX('Disaggregation Records'!$I$155:$I$385,MATCH(RIGHT(Q1483,255),RIGHT('Disaggregation Records'!$D$155:$D$385,255),0))),"")</f>
        <v/>
      </c>
      <c r="W1483" s="189" t="str">
        <f>IFERROR(INDEX('Reference Records'!L$59:L$121,MATCH(LEFT(C1483,255),'Reference Records'!E$59:E$121,0)),"")</f>
        <v/>
      </c>
    </row>
    <row r="1484" spans="1:23" s="189" customFormat="1" ht="40.200000000000003" customHeight="1" x14ac:dyDescent="0.3">
      <c r="A1484" s="678"/>
      <c r="B1484" s="675"/>
      <c r="C1484" s="667"/>
      <c r="D1484" s="677"/>
      <c r="E1484" s="677"/>
      <c r="F1484" s="202"/>
      <c r="G1484" s="669"/>
      <c r="H1484" s="671"/>
      <c r="I1484" s="673"/>
      <c r="J1484" s="652"/>
      <c r="K1484" s="667"/>
      <c r="L1484" s="667"/>
      <c r="M1484" s="652"/>
      <c r="N1484" s="652"/>
    </row>
    <row r="1485" spans="1:23" s="189" customFormat="1" ht="40.200000000000003" customHeight="1" x14ac:dyDescent="0.3">
      <c r="A1485" s="678" t="str">
        <f t="shared" ref="A1485" ca="1" si="6412">INDIRECT("'update Helper'!C"&amp;U1485)</f>
        <v>a163p000002zQgLAAU</v>
      </c>
      <c r="B1485" s="674">
        <v>22</v>
      </c>
      <c r="C1485" s="666" t="str">
        <f>VLOOKUP(B1485,'Coverage Indicators - Section D'!$A$9:$AU$70,47,FALSE)</f>
        <v/>
      </c>
      <c r="D1485" s="676" t="str">
        <f t="shared" ref="D1485" si="6413">R1485</f>
        <v/>
      </c>
      <c r="E1485" s="676" t="str">
        <f t="shared" ref="E1485" si="6414">S1485</f>
        <v/>
      </c>
      <c r="F1485" s="194"/>
      <c r="G1485" s="668" t="str">
        <f t="shared" ref="G1485" ca="1" si="6415">IF(OR(INDIRECT("'update Helper'!E"&amp;U1485)=0,F1485&lt;&gt;0,F1486&lt;&gt;0),IF(IFERROR((F1485/F1486),"")="","",(F1485/F1486)),INDIRECT("'update Helper'!E"&amp;U1485)/100)</f>
        <v/>
      </c>
      <c r="H1485" s="670"/>
      <c r="I1485" s="672"/>
      <c r="J1485" s="651"/>
      <c r="K1485" s="666" t="str">
        <f t="shared" ref="K1485" si="6416">W1485</f>
        <v/>
      </c>
      <c r="L1485" s="666" t="str">
        <f t="shared" ref="L1485" si="6417">V1485</f>
        <v/>
      </c>
      <c r="M1485" s="651"/>
      <c r="N1485" s="651"/>
      <c r="P1485" s="189">
        <f t="shared" ref="P1485" si="6418">IF(AND(EXACT(C1485,C1483),C1483&lt;&gt;0),P1483+1,0)</f>
        <v>32</v>
      </c>
      <c r="Q1485" s="189" t="str">
        <f t="shared" ref="Q1485" si="6419">IF(C1485&lt;&gt;"",C1485&amp;"-"&amp;P1485,"")</f>
        <v/>
      </c>
      <c r="R1485" s="189" t="str">
        <f t="array" ref="R1485">IFERROR(IF(INDEX('Disaggregation Records'!$E$155:$E$385,MATCH(RIGHT(Q1485,255),RIGHT('Disaggregation Records'!$D$155:$D$385,255),0))=0,"",INDEX('Disaggregation Records'!$E$155:$E$385,MATCH(RIGHT(Q1485,255),RIGHT('Disaggregation Records'!$D$155:$D$385,255),0))),"")</f>
        <v/>
      </c>
      <c r="S1485" s="189" t="str">
        <f t="array" ref="S1485">IFERROR(IF(INDEX('Disaggregation Records'!$F$155:$F$385,MATCH(RIGHT(Q1485,255),RIGHT('Disaggregation Records'!$D$155:$D$385,255),0))=0,"",INDEX('Disaggregation Records'!$F$155:$F$385,MATCH(RIGHT(Q1485,255),RIGHT('Disaggregation Records'!$D$155:$D$385,255),0))),"")</f>
        <v/>
      </c>
      <c r="T1485" s="189" t="str">
        <f t="array" ref="T1485">IFERROR(IF(INDEX('Disaggregation Records'!$H$155:$H$385,MATCH(RIGHT(Q1485,255),RIGHT('Disaggregation Records'!$D$155:$D$385,255),0))=0,"",INDEX('Disaggregation Records'!$H$155:$H$385,MATCH(RIGHT(Q1485,255),RIGHT('Disaggregation Records'!$D$155:$D$385,255),0))),"")</f>
        <v/>
      </c>
      <c r="U1485" s="189">
        <f t="shared" ref="U1485" si="6420">U1483+1</f>
        <v>1844</v>
      </c>
      <c r="V1485" s="189" t="str">
        <f t="array" ref="V1485">IFERROR(IF(INDEX('Disaggregation Records'!$I$155:$I$385,MATCH(RIGHT(Q1485,255),RIGHT('Disaggregation Records'!$D$155:$D$385,255),0))=0,"",INDEX('Disaggregation Records'!$I$155:$I$385,MATCH(RIGHT(Q1485,255),RIGHT('Disaggregation Records'!$D$155:$D$385,255),0))),"")</f>
        <v/>
      </c>
      <c r="W1485" s="189" t="str">
        <f>IFERROR(INDEX('Reference Records'!L$59:L$121,MATCH(LEFT(C1485,255),'Reference Records'!E$59:E$121,0)),"")</f>
        <v/>
      </c>
    </row>
    <row r="1486" spans="1:23" s="189" customFormat="1" ht="40.200000000000003" customHeight="1" x14ac:dyDescent="0.3">
      <c r="A1486" s="678"/>
      <c r="B1486" s="675"/>
      <c r="C1486" s="667"/>
      <c r="D1486" s="677"/>
      <c r="E1486" s="677"/>
      <c r="F1486" s="202"/>
      <c r="G1486" s="669"/>
      <c r="H1486" s="671"/>
      <c r="I1486" s="673"/>
      <c r="J1486" s="652"/>
      <c r="K1486" s="667"/>
      <c r="L1486" s="667"/>
      <c r="M1486" s="652"/>
      <c r="N1486" s="652"/>
    </row>
    <row r="1487" spans="1:23" s="189" customFormat="1" ht="40.200000000000003" customHeight="1" x14ac:dyDescent="0.3">
      <c r="A1487" s="678" t="str">
        <f t="shared" ref="A1487" ca="1" si="6421">INDIRECT("'update Helper'!C"&amp;U1487)</f>
        <v>a163p000002zQgMAAU</v>
      </c>
      <c r="B1487" s="674">
        <v>22</v>
      </c>
      <c r="C1487" s="666" t="str">
        <f>VLOOKUP(B1487,'Coverage Indicators - Section D'!$A$9:$AU$70,47,FALSE)</f>
        <v/>
      </c>
      <c r="D1487" s="676" t="str">
        <f t="shared" ref="D1487" si="6422">R1487</f>
        <v/>
      </c>
      <c r="E1487" s="676" t="str">
        <f t="shared" ref="E1487" si="6423">S1487</f>
        <v/>
      </c>
      <c r="F1487" s="194"/>
      <c r="G1487" s="668" t="str">
        <f t="shared" ref="G1487" ca="1" si="6424">IF(OR(INDIRECT("'update Helper'!E"&amp;U1487)=0,F1487&lt;&gt;0,F1488&lt;&gt;0),IF(IFERROR((F1487/F1488),"")="","",(F1487/F1488)),INDIRECT("'update Helper'!E"&amp;U1487)/100)</f>
        <v/>
      </c>
      <c r="H1487" s="670"/>
      <c r="I1487" s="672"/>
      <c r="J1487" s="651"/>
      <c r="K1487" s="666" t="str">
        <f t="shared" ref="K1487" si="6425">W1487</f>
        <v/>
      </c>
      <c r="L1487" s="666" t="str">
        <f t="shared" ref="L1487" si="6426">V1487</f>
        <v/>
      </c>
      <c r="M1487" s="651"/>
      <c r="N1487" s="651"/>
      <c r="P1487" s="189">
        <f t="shared" ref="P1487" si="6427">IF(AND(EXACT(C1487,C1485),C1485&lt;&gt;0),P1485+1,0)</f>
        <v>33</v>
      </c>
      <c r="Q1487" s="189" t="str">
        <f t="shared" ref="Q1487" si="6428">IF(C1487&lt;&gt;"",C1487&amp;"-"&amp;P1487,"")</f>
        <v/>
      </c>
      <c r="R1487" s="189" t="str">
        <f t="array" ref="R1487">IFERROR(IF(INDEX('Disaggregation Records'!$E$155:$E$385,MATCH(RIGHT(Q1487,255),RIGHT('Disaggregation Records'!$D$155:$D$385,255),0))=0,"",INDEX('Disaggregation Records'!$E$155:$E$385,MATCH(RIGHT(Q1487,255),RIGHT('Disaggregation Records'!$D$155:$D$385,255),0))),"")</f>
        <v/>
      </c>
      <c r="S1487" s="189" t="str">
        <f t="array" ref="S1487">IFERROR(IF(INDEX('Disaggregation Records'!$F$155:$F$385,MATCH(RIGHT(Q1487,255),RIGHT('Disaggregation Records'!$D$155:$D$385,255),0))=0,"",INDEX('Disaggregation Records'!$F$155:$F$385,MATCH(RIGHT(Q1487,255),RIGHT('Disaggregation Records'!$D$155:$D$385,255),0))),"")</f>
        <v/>
      </c>
      <c r="T1487" s="189" t="str">
        <f t="array" ref="T1487">IFERROR(IF(INDEX('Disaggregation Records'!$H$155:$H$385,MATCH(RIGHT(Q1487,255),RIGHT('Disaggregation Records'!$D$155:$D$385,255),0))=0,"",INDEX('Disaggregation Records'!$H$155:$H$385,MATCH(RIGHT(Q1487,255),RIGHT('Disaggregation Records'!$D$155:$D$385,255),0))),"")</f>
        <v/>
      </c>
      <c r="U1487" s="189">
        <f t="shared" ref="U1487" si="6429">U1485+1</f>
        <v>1845</v>
      </c>
      <c r="V1487" s="189" t="str">
        <f t="array" ref="V1487">IFERROR(IF(INDEX('Disaggregation Records'!$I$155:$I$385,MATCH(RIGHT(Q1487,255),RIGHT('Disaggregation Records'!$D$155:$D$385,255),0))=0,"",INDEX('Disaggregation Records'!$I$155:$I$385,MATCH(RIGHT(Q1487,255),RIGHT('Disaggregation Records'!$D$155:$D$385,255),0))),"")</f>
        <v/>
      </c>
      <c r="W1487" s="189" t="str">
        <f>IFERROR(INDEX('Reference Records'!L$59:L$121,MATCH(LEFT(C1487,255),'Reference Records'!E$59:E$121,0)),"")</f>
        <v/>
      </c>
    </row>
    <row r="1488" spans="1:23" s="189" customFormat="1" ht="40.200000000000003" customHeight="1" x14ac:dyDescent="0.3">
      <c r="A1488" s="678"/>
      <c r="B1488" s="675"/>
      <c r="C1488" s="667"/>
      <c r="D1488" s="677"/>
      <c r="E1488" s="677"/>
      <c r="F1488" s="202"/>
      <c r="G1488" s="669"/>
      <c r="H1488" s="671"/>
      <c r="I1488" s="673"/>
      <c r="J1488" s="652"/>
      <c r="K1488" s="667"/>
      <c r="L1488" s="667"/>
      <c r="M1488" s="652"/>
      <c r="N1488" s="652"/>
    </row>
    <row r="1489" spans="1:23" s="189" customFormat="1" ht="40.200000000000003" customHeight="1" x14ac:dyDescent="0.3">
      <c r="A1489" s="678" t="str">
        <f t="shared" ref="A1489" ca="1" si="6430">INDIRECT("'update Helper'!C"&amp;U1489)</f>
        <v>a163p000002zQgNAAU</v>
      </c>
      <c r="B1489" s="674">
        <v>22</v>
      </c>
      <c r="C1489" s="666" t="str">
        <f>VLOOKUP(B1489,'Coverage Indicators - Section D'!$A$9:$AU$70,47,FALSE)</f>
        <v/>
      </c>
      <c r="D1489" s="676" t="str">
        <f t="shared" ref="D1489" si="6431">R1489</f>
        <v/>
      </c>
      <c r="E1489" s="676" t="str">
        <f t="shared" ref="E1489" si="6432">S1489</f>
        <v/>
      </c>
      <c r="F1489" s="194"/>
      <c r="G1489" s="668" t="str">
        <f t="shared" ref="G1489" ca="1" si="6433">IF(OR(INDIRECT("'update Helper'!E"&amp;U1489)=0,F1489&lt;&gt;0,F1490&lt;&gt;0),IF(IFERROR((F1489/F1490),"")="","",(F1489/F1490)),INDIRECT("'update Helper'!E"&amp;U1489)/100)</f>
        <v/>
      </c>
      <c r="H1489" s="670"/>
      <c r="I1489" s="672"/>
      <c r="J1489" s="651"/>
      <c r="K1489" s="666" t="str">
        <f t="shared" ref="K1489" si="6434">W1489</f>
        <v/>
      </c>
      <c r="L1489" s="666" t="str">
        <f t="shared" ref="L1489" si="6435">V1489</f>
        <v/>
      </c>
      <c r="M1489" s="651"/>
      <c r="N1489" s="651"/>
      <c r="P1489" s="189">
        <f t="shared" ref="P1489" si="6436">IF(AND(EXACT(C1489,C1487),C1487&lt;&gt;0),P1487+1,0)</f>
        <v>34</v>
      </c>
      <c r="Q1489" s="189" t="str">
        <f t="shared" ref="Q1489" si="6437">IF(C1489&lt;&gt;"",C1489&amp;"-"&amp;P1489,"")</f>
        <v/>
      </c>
      <c r="R1489" s="189" t="str">
        <f t="array" ref="R1489">IFERROR(IF(INDEX('Disaggregation Records'!$E$155:$E$385,MATCH(RIGHT(Q1489,255),RIGHT('Disaggregation Records'!$D$155:$D$385,255),0))=0,"",INDEX('Disaggregation Records'!$E$155:$E$385,MATCH(RIGHT(Q1489,255),RIGHT('Disaggregation Records'!$D$155:$D$385,255),0))),"")</f>
        <v/>
      </c>
      <c r="S1489" s="189" t="str">
        <f t="array" ref="S1489">IFERROR(IF(INDEX('Disaggregation Records'!$F$155:$F$385,MATCH(RIGHT(Q1489,255),RIGHT('Disaggregation Records'!$D$155:$D$385,255),0))=0,"",INDEX('Disaggregation Records'!$F$155:$F$385,MATCH(RIGHT(Q1489,255),RIGHT('Disaggregation Records'!$D$155:$D$385,255),0))),"")</f>
        <v/>
      </c>
      <c r="T1489" s="189" t="str">
        <f t="array" ref="T1489">IFERROR(IF(INDEX('Disaggregation Records'!$H$155:$H$385,MATCH(RIGHT(Q1489,255),RIGHT('Disaggregation Records'!$D$155:$D$385,255),0))=0,"",INDEX('Disaggregation Records'!$H$155:$H$385,MATCH(RIGHT(Q1489,255),RIGHT('Disaggregation Records'!$D$155:$D$385,255),0))),"")</f>
        <v/>
      </c>
      <c r="U1489" s="189">
        <f t="shared" ref="U1489" si="6438">U1487+1</f>
        <v>1846</v>
      </c>
      <c r="V1489" s="189" t="str">
        <f t="array" ref="V1489">IFERROR(IF(INDEX('Disaggregation Records'!$I$155:$I$385,MATCH(RIGHT(Q1489,255),RIGHT('Disaggregation Records'!$D$155:$D$385,255),0))=0,"",INDEX('Disaggregation Records'!$I$155:$I$385,MATCH(RIGHT(Q1489,255),RIGHT('Disaggregation Records'!$D$155:$D$385,255),0))),"")</f>
        <v/>
      </c>
      <c r="W1489" s="189" t="str">
        <f>IFERROR(INDEX('Reference Records'!L$59:L$121,MATCH(LEFT(C1489,255),'Reference Records'!E$59:E$121,0)),"")</f>
        <v/>
      </c>
    </row>
    <row r="1490" spans="1:23" s="189" customFormat="1" ht="40.200000000000003" customHeight="1" x14ac:dyDescent="0.3">
      <c r="A1490" s="678"/>
      <c r="B1490" s="675"/>
      <c r="C1490" s="667"/>
      <c r="D1490" s="677"/>
      <c r="E1490" s="677"/>
      <c r="F1490" s="202"/>
      <c r="G1490" s="669"/>
      <c r="H1490" s="671"/>
      <c r="I1490" s="673"/>
      <c r="J1490" s="652"/>
      <c r="K1490" s="667"/>
      <c r="L1490" s="667"/>
      <c r="M1490" s="652"/>
      <c r="N1490" s="652"/>
    </row>
    <row r="1491" spans="1:23" s="189" customFormat="1" ht="40.200000000000003" customHeight="1" x14ac:dyDescent="0.3">
      <c r="A1491" s="678" t="str">
        <f t="shared" ref="A1491" ca="1" si="6439">INDIRECT("'update Helper'!C"&amp;U1491)</f>
        <v>a163p000002zQgOAAU</v>
      </c>
      <c r="B1491" s="674">
        <v>22</v>
      </c>
      <c r="C1491" s="666" t="str">
        <f>VLOOKUP(B1491,'Coverage Indicators - Section D'!$A$9:$AU$70,47,FALSE)</f>
        <v/>
      </c>
      <c r="D1491" s="676" t="str">
        <f t="shared" ref="D1491" si="6440">R1491</f>
        <v/>
      </c>
      <c r="E1491" s="676" t="str">
        <f t="shared" ref="E1491" si="6441">S1491</f>
        <v/>
      </c>
      <c r="F1491" s="194"/>
      <c r="G1491" s="668" t="str">
        <f t="shared" ref="G1491" ca="1" si="6442">IF(OR(INDIRECT("'update Helper'!E"&amp;U1491)=0,F1491&lt;&gt;0,F1492&lt;&gt;0),IF(IFERROR((F1491/F1492),"")="","",(F1491/F1492)),INDIRECT("'update Helper'!E"&amp;U1491)/100)</f>
        <v/>
      </c>
      <c r="H1491" s="670"/>
      <c r="I1491" s="672"/>
      <c r="J1491" s="651"/>
      <c r="K1491" s="666" t="str">
        <f t="shared" ref="K1491" si="6443">W1491</f>
        <v/>
      </c>
      <c r="L1491" s="666" t="str">
        <f t="shared" ref="L1491" si="6444">V1491</f>
        <v/>
      </c>
      <c r="M1491" s="651"/>
      <c r="N1491" s="651"/>
      <c r="P1491" s="189">
        <f t="shared" ref="P1491" si="6445">IF(AND(EXACT(C1491,C1489),C1489&lt;&gt;0),P1489+1,0)</f>
        <v>35</v>
      </c>
      <c r="Q1491" s="189" t="str">
        <f t="shared" ref="Q1491" si="6446">IF(C1491&lt;&gt;"",C1491&amp;"-"&amp;P1491,"")</f>
        <v/>
      </c>
      <c r="R1491" s="189" t="str">
        <f t="array" ref="R1491">IFERROR(IF(INDEX('Disaggregation Records'!$E$155:$E$385,MATCH(RIGHT(Q1491,255),RIGHT('Disaggregation Records'!$D$155:$D$385,255),0))=0,"",INDEX('Disaggregation Records'!$E$155:$E$385,MATCH(RIGHT(Q1491,255),RIGHT('Disaggregation Records'!$D$155:$D$385,255),0))),"")</f>
        <v/>
      </c>
      <c r="S1491" s="189" t="str">
        <f t="array" ref="S1491">IFERROR(IF(INDEX('Disaggregation Records'!$F$155:$F$385,MATCH(RIGHT(Q1491,255),RIGHT('Disaggregation Records'!$D$155:$D$385,255),0))=0,"",INDEX('Disaggregation Records'!$F$155:$F$385,MATCH(RIGHT(Q1491,255),RIGHT('Disaggregation Records'!$D$155:$D$385,255),0))),"")</f>
        <v/>
      </c>
      <c r="T1491" s="189" t="str">
        <f t="array" ref="T1491">IFERROR(IF(INDEX('Disaggregation Records'!$H$155:$H$385,MATCH(RIGHT(Q1491,255),RIGHT('Disaggregation Records'!$D$155:$D$385,255),0))=0,"",INDEX('Disaggregation Records'!$H$155:$H$385,MATCH(RIGHT(Q1491,255),RIGHT('Disaggregation Records'!$D$155:$D$385,255),0))),"")</f>
        <v/>
      </c>
      <c r="U1491" s="189">
        <f t="shared" ref="U1491" si="6447">U1489+1</f>
        <v>1847</v>
      </c>
      <c r="V1491" s="189" t="str">
        <f t="array" ref="V1491">IFERROR(IF(INDEX('Disaggregation Records'!$I$155:$I$385,MATCH(RIGHT(Q1491,255),RIGHT('Disaggregation Records'!$D$155:$D$385,255),0))=0,"",INDEX('Disaggregation Records'!$I$155:$I$385,MATCH(RIGHT(Q1491,255),RIGHT('Disaggregation Records'!$D$155:$D$385,255),0))),"")</f>
        <v/>
      </c>
      <c r="W1491" s="189" t="str">
        <f>IFERROR(INDEX('Reference Records'!L$59:L$121,MATCH(LEFT(C1491,255),'Reference Records'!E$59:E$121,0)),"")</f>
        <v/>
      </c>
    </row>
    <row r="1492" spans="1:23" s="189" customFormat="1" ht="40.200000000000003" customHeight="1" x14ac:dyDescent="0.3">
      <c r="A1492" s="678"/>
      <c r="B1492" s="675"/>
      <c r="C1492" s="667"/>
      <c r="D1492" s="677"/>
      <c r="E1492" s="677"/>
      <c r="F1492" s="202"/>
      <c r="G1492" s="669"/>
      <c r="H1492" s="671"/>
      <c r="I1492" s="673"/>
      <c r="J1492" s="652"/>
      <c r="K1492" s="667"/>
      <c r="L1492" s="667"/>
      <c r="M1492" s="652"/>
      <c r="N1492" s="652"/>
    </row>
    <row r="1493" spans="1:23" s="189" customFormat="1" ht="40.200000000000003" customHeight="1" x14ac:dyDescent="0.3">
      <c r="A1493" s="678" t="str">
        <f t="shared" ref="A1493" ca="1" si="6448">INDIRECT("'update Helper'!C"&amp;U1493)</f>
        <v>a163p000002zQgPAAU</v>
      </c>
      <c r="B1493" s="674">
        <v>22</v>
      </c>
      <c r="C1493" s="666" t="str">
        <f>VLOOKUP(B1493,'Coverage Indicators - Section D'!$A$9:$AU$70,47,FALSE)</f>
        <v/>
      </c>
      <c r="D1493" s="676" t="str">
        <f t="shared" ref="D1493" si="6449">R1493</f>
        <v/>
      </c>
      <c r="E1493" s="676" t="str">
        <f t="shared" ref="E1493" si="6450">S1493</f>
        <v/>
      </c>
      <c r="F1493" s="194"/>
      <c r="G1493" s="668" t="str">
        <f t="shared" ref="G1493" ca="1" si="6451">IF(OR(INDIRECT("'update Helper'!E"&amp;U1493)=0,F1493&lt;&gt;0,F1494&lt;&gt;0),IF(IFERROR((F1493/F1494),"")="","",(F1493/F1494)),INDIRECT("'update Helper'!E"&amp;U1493)/100)</f>
        <v/>
      </c>
      <c r="H1493" s="670"/>
      <c r="I1493" s="672"/>
      <c r="J1493" s="651"/>
      <c r="K1493" s="666" t="str">
        <f t="shared" ref="K1493" si="6452">W1493</f>
        <v/>
      </c>
      <c r="L1493" s="666" t="str">
        <f t="shared" ref="L1493" si="6453">V1493</f>
        <v/>
      </c>
      <c r="M1493" s="651"/>
      <c r="N1493" s="651"/>
      <c r="P1493" s="189">
        <f t="shared" ref="P1493" si="6454">IF(AND(EXACT(C1493,C1491),C1491&lt;&gt;0),P1491+1,0)</f>
        <v>36</v>
      </c>
      <c r="Q1493" s="189" t="str">
        <f t="shared" ref="Q1493" si="6455">IF(C1493&lt;&gt;"",C1493&amp;"-"&amp;P1493,"")</f>
        <v/>
      </c>
      <c r="R1493" s="189" t="str">
        <f t="array" ref="R1493">IFERROR(IF(INDEX('Disaggregation Records'!$E$155:$E$385,MATCH(RIGHT(Q1493,255),RIGHT('Disaggregation Records'!$D$155:$D$385,255),0))=0,"",INDEX('Disaggregation Records'!$E$155:$E$385,MATCH(RIGHT(Q1493,255),RIGHT('Disaggregation Records'!$D$155:$D$385,255),0))),"")</f>
        <v/>
      </c>
      <c r="S1493" s="189" t="str">
        <f t="array" ref="S1493">IFERROR(IF(INDEX('Disaggregation Records'!$F$155:$F$385,MATCH(RIGHT(Q1493,255),RIGHT('Disaggregation Records'!$D$155:$D$385,255),0))=0,"",INDEX('Disaggregation Records'!$F$155:$F$385,MATCH(RIGHT(Q1493,255),RIGHT('Disaggregation Records'!$D$155:$D$385,255),0))),"")</f>
        <v/>
      </c>
      <c r="T1493" s="189" t="str">
        <f t="array" ref="T1493">IFERROR(IF(INDEX('Disaggregation Records'!$H$155:$H$385,MATCH(RIGHT(Q1493,255),RIGHT('Disaggregation Records'!$D$155:$D$385,255),0))=0,"",INDEX('Disaggregation Records'!$H$155:$H$385,MATCH(RIGHT(Q1493,255),RIGHT('Disaggregation Records'!$D$155:$D$385,255),0))),"")</f>
        <v/>
      </c>
      <c r="U1493" s="189">
        <f t="shared" ref="U1493" si="6456">U1491+1</f>
        <v>1848</v>
      </c>
      <c r="V1493" s="189" t="str">
        <f t="array" ref="V1493">IFERROR(IF(INDEX('Disaggregation Records'!$I$155:$I$385,MATCH(RIGHT(Q1493,255),RIGHT('Disaggregation Records'!$D$155:$D$385,255),0))=0,"",INDEX('Disaggregation Records'!$I$155:$I$385,MATCH(RIGHT(Q1493,255),RIGHT('Disaggregation Records'!$D$155:$D$385,255),0))),"")</f>
        <v/>
      </c>
      <c r="W1493" s="189" t="str">
        <f>IFERROR(INDEX('Reference Records'!L$59:L$121,MATCH(LEFT(C1493,255),'Reference Records'!E$59:E$121,0)),"")</f>
        <v/>
      </c>
    </row>
    <row r="1494" spans="1:23" s="189" customFormat="1" ht="40.200000000000003" customHeight="1" x14ac:dyDescent="0.3">
      <c r="A1494" s="678"/>
      <c r="B1494" s="675"/>
      <c r="C1494" s="667"/>
      <c r="D1494" s="677"/>
      <c r="E1494" s="677"/>
      <c r="F1494" s="202"/>
      <c r="G1494" s="669"/>
      <c r="H1494" s="671"/>
      <c r="I1494" s="673"/>
      <c r="J1494" s="652"/>
      <c r="K1494" s="667"/>
      <c r="L1494" s="667"/>
      <c r="M1494" s="652"/>
      <c r="N1494" s="652"/>
    </row>
    <row r="1495" spans="1:23" s="189" customFormat="1" ht="40.200000000000003" customHeight="1" x14ac:dyDescent="0.3">
      <c r="A1495" s="678" t="str">
        <f t="shared" ref="A1495" ca="1" si="6457">INDIRECT("'update Helper'!C"&amp;U1495)</f>
        <v>a163p000002zQgQAAU</v>
      </c>
      <c r="B1495" s="674">
        <v>22</v>
      </c>
      <c r="C1495" s="666" t="str">
        <f>VLOOKUP(B1495,'Coverage Indicators - Section D'!$A$9:$AU$70,47,FALSE)</f>
        <v/>
      </c>
      <c r="D1495" s="676" t="str">
        <f t="shared" ref="D1495" si="6458">R1495</f>
        <v/>
      </c>
      <c r="E1495" s="676" t="str">
        <f t="shared" ref="E1495" si="6459">S1495</f>
        <v/>
      </c>
      <c r="F1495" s="194"/>
      <c r="G1495" s="668" t="str">
        <f t="shared" ref="G1495" ca="1" si="6460">IF(OR(INDIRECT("'update Helper'!E"&amp;U1495)=0,F1495&lt;&gt;0,F1496&lt;&gt;0),IF(IFERROR((F1495/F1496),"")="","",(F1495/F1496)),INDIRECT("'update Helper'!E"&amp;U1495)/100)</f>
        <v/>
      </c>
      <c r="H1495" s="670"/>
      <c r="I1495" s="672"/>
      <c r="J1495" s="651"/>
      <c r="K1495" s="666" t="str">
        <f t="shared" ref="K1495" si="6461">W1495</f>
        <v/>
      </c>
      <c r="L1495" s="666" t="str">
        <f t="shared" ref="L1495" si="6462">V1495</f>
        <v/>
      </c>
      <c r="M1495" s="651"/>
      <c r="N1495" s="651"/>
      <c r="P1495" s="189">
        <f t="shared" ref="P1495" si="6463">IF(AND(EXACT(C1495,C1493),C1493&lt;&gt;0),P1493+1,0)</f>
        <v>37</v>
      </c>
      <c r="Q1495" s="189" t="str">
        <f t="shared" ref="Q1495" si="6464">IF(C1495&lt;&gt;"",C1495&amp;"-"&amp;P1495,"")</f>
        <v/>
      </c>
      <c r="R1495" s="189" t="str">
        <f t="array" ref="R1495">IFERROR(IF(INDEX('Disaggregation Records'!$E$155:$E$385,MATCH(RIGHT(Q1495,255),RIGHT('Disaggregation Records'!$D$155:$D$385,255),0))=0,"",INDEX('Disaggregation Records'!$E$155:$E$385,MATCH(RIGHT(Q1495,255),RIGHT('Disaggregation Records'!$D$155:$D$385,255),0))),"")</f>
        <v/>
      </c>
      <c r="S1495" s="189" t="str">
        <f t="array" ref="S1495">IFERROR(IF(INDEX('Disaggregation Records'!$F$155:$F$385,MATCH(RIGHT(Q1495,255),RIGHT('Disaggregation Records'!$D$155:$D$385,255),0))=0,"",INDEX('Disaggregation Records'!$F$155:$F$385,MATCH(RIGHT(Q1495,255),RIGHT('Disaggregation Records'!$D$155:$D$385,255),0))),"")</f>
        <v/>
      </c>
      <c r="T1495" s="189" t="str">
        <f t="array" ref="T1495">IFERROR(IF(INDEX('Disaggregation Records'!$H$155:$H$385,MATCH(RIGHT(Q1495,255),RIGHT('Disaggregation Records'!$D$155:$D$385,255),0))=0,"",INDEX('Disaggregation Records'!$H$155:$H$385,MATCH(RIGHT(Q1495,255),RIGHT('Disaggregation Records'!$D$155:$D$385,255),0))),"")</f>
        <v/>
      </c>
      <c r="U1495" s="189">
        <f t="shared" ref="U1495" si="6465">U1493+1</f>
        <v>1849</v>
      </c>
      <c r="V1495" s="189" t="str">
        <f t="array" ref="V1495">IFERROR(IF(INDEX('Disaggregation Records'!$I$155:$I$385,MATCH(RIGHT(Q1495,255),RIGHT('Disaggregation Records'!$D$155:$D$385,255),0))=0,"",INDEX('Disaggregation Records'!$I$155:$I$385,MATCH(RIGHT(Q1495,255),RIGHT('Disaggregation Records'!$D$155:$D$385,255),0))),"")</f>
        <v/>
      </c>
      <c r="W1495" s="189" t="str">
        <f>IFERROR(INDEX('Reference Records'!L$59:L$121,MATCH(LEFT(C1495,255),'Reference Records'!E$59:E$121,0)),"")</f>
        <v/>
      </c>
    </row>
    <row r="1496" spans="1:23" s="189" customFormat="1" ht="40.200000000000003" customHeight="1" x14ac:dyDescent="0.3">
      <c r="A1496" s="678"/>
      <c r="B1496" s="675"/>
      <c r="C1496" s="667"/>
      <c r="D1496" s="677"/>
      <c r="E1496" s="677"/>
      <c r="F1496" s="202"/>
      <c r="G1496" s="669"/>
      <c r="H1496" s="671"/>
      <c r="I1496" s="673"/>
      <c r="J1496" s="652"/>
      <c r="K1496" s="667"/>
      <c r="L1496" s="667"/>
      <c r="M1496" s="652"/>
      <c r="N1496" s="652"/>
    </row>
    <row r="1497" spans="1:23" s="189" customFormat="1" ht="40.200000000000003" customHeight="1" x14ac:dyDescent="0.3">
      <c r="A1497" s="678" t="str">
        <f t="shared" ref="A1497" ca="1" si="6466">INDIRECT("'update Helper'!C"&amp;U1497)</f>
        <v>a163p000002zQgRAAU</v>
      </c>
      <c r="B1497" s="674">
        <v>22</v>
      </c>
      <c r="C1497" s="666" t="str">
        <f>VLOOKUP(B1497,'Coverage Indicators - Section D'!$A$9:$AU$70,47,FALSE)</f>
        <v/>
      </c>
      <c r="D1497" s="676" t="str">
        <f t="shared" ref="D1497" si="6467">R1497</f>
        <v/>
      </c>
      <c r="E1497" s="676" t="str">
        <f t="shared" ref="E1497" si="6468">S1497</f>
        <v/>
      </c>
      <c r="F1497" s="194"/>
      <c r="G1497" s="668" t="str">
        <f t="shared" ref="G1497" ca="1" si="6469">IF(OR(INDIRECT("'update Helper'!E"&amp;U1497)=0,F1497&lt;&gt;0,F1498&lt;&gt;0),IF(IFERROR((F1497/F1498),"")="","",(F1497/F1498)),INDIRECT("'update Helper'!E"&amp;U1497)/100)</f>
        <v/>
      </c>
      <c r="H1497" s="670"/>
      <c r="I1497" s="672"/>
      <c r="J1497" s="651"/>
      <c r="K1497" s="666" t="str">
        <f t="shared" ref="K1497" si="6470">W1497</f>
        <v/>
      </c>
      <c r="L1497" s="666" t="str">
        <f t="shared" ref="L1497" si="6471">V1497</f>
        <v/>
      </c>
      <c r="M1497" s="651"/>
      <c r="N1497" s="651"/>
      <c r="P1497" s="189">
        <f t="shared" ref="P1497" si="6472">IF(AND(EXACT(C1497,C1495),C1495&lt;&gt;0),P1495+1,0)</f>
        <v>38</v>
      </c>
      <c r="Q1497" s="189" t="str">
        <f t="shared" ref="Q1497" si="6473">IF(C1497&lt;&gt;"",C1497&amp;"-"&amp;P1497,"")</f>
        <v/>
      </c>
      <c r="R1497" s="189" t="str">
        <f t="array" ref="R1497">IFERROR(IF(INDEX('Disaggregation Records'!$E$155:$E$385,MATCH(RIGHT(Q1497,255),RIGHT('Disaggregation Records'!$D$155:$D$385,255),0))=0,"",INDEX('Disaggregation Records'!$E$155:$E$385,MATCH(RIGHT(Q1497,255),RIGHT('Disaggregation Records'!$D$155:$D$385,255),0))),"")</f>
        <v/>
      </c>
      <c r="S1497" s="189" t="str">
        <f t="array" ref="S1497">IFERROR(IF(INDEX('Disaggregation Records'!$F$155:$F$385,MATCH(RIGHT(Q1497,255),RIGHT('Disaggregation Records'!$D$155:$D$385,255),0))=0,"",INDEX('Disaggregation Records'!$F$155:$F$385,MATCH(RIGHT(Q1497,255),RIGHT('Disaggregation Records'!$D$155:$D$385,255),0))),"")</f>
        <v/>
      </c>
      <c r="T1497" s="189" t="str">
        <f t="array" ref="T1497">IFERROR(IF(INDEX('Disaggregation Records'!$H$155:$H$385,MATCH(RIGHT(Q1497,255),RIGHT('Disaggregation Records'!$D$155:$D$385,255),0))=0,"",INDEX('Disaggregation Records'!$H$155:$H$385,MATCH(RIGHT(Q1497,255),RIGHT('Disaggregation Records'!$D$155:$D$385,255),0))),"")</f>
        <v/>
      </c>
      <c r="U1497" s="189">
        <f t="shared" ref="U1497" si="6474">U1495+1</f>
        <v>1850</v>
      </c>
      <c r="V1497" s="189" t="str">
        <f t="array" ref="V1497">IFERROR(IF(INDEX('Disaggregation Records'!$I$155:$I$385,MATCH(RIGHT(Q1497,255),RIGHT('Disaggregation Records'!$D$155:$D$385,255),0))=0,"",INDEX('Disaggregation Records'!$I$155:$I$385,MATCH(RIGHT(Q1497,255),RIGHT('Disaggregation Records'!$D$155:$D$385,255),0))),"")</f>
        <v/>
      </c>
      <c r="W1497" s="189" t="str">
        <f>IFERROR(INDEX('Reference Records'!L$59:L$121,MATCH(LEFT(C1497,255),'Reference Records'!E$59:E$121,0)),"")</f>
        <v/>
      </c>
    </row>
    <row r="1498" spans="1:23" s="189" customFormat="1" ht="40.200000000000003" customHeight="1" x14ac:dyDescent="0.3">
      <c r="A1498" s="678"/>
      <c r="B1498" s="675"/>
      <c r="C1498" s="667"/>
      <c r="D1498" s="677"/>
      <c r="E1498" s="677"/>
      <c r="F1498" s="202"/>
      <c r="G1498" s="669"/>
      <c r="H1498" s="671"/>
      <c r="I1498" s="673"/>
      <c r="J1498" s="652"/>
      <c r="K1498" s="667"/>
      <c r="L1498" s="667"/>
      <c r="M1498" s="652"/>
      <c r="N1498" s="652"/>
    </row>
    <row r="1499" spans="1:23" s="189" customFormat="1" ht="40.200000000000003" customHeight="1" x14ac:dyDescent="0.3">
      <c r="A1499" s="678" t="str">
        <f t="shared" ref="A1499" ca="1" si="6475">INDIRECT("'update Helper'!C"&amp;U1499)</f>
        <v>a163p000002zQgSAAU</v>
      </c>
      <c r="B1499" s="674">
        <v>22</v>
      </c>
      <c r="C1499" s="666" t="str">
        <f>VLOOKUP(B1499,'Coverage Indicators - Section D'!$A$9:$AU$70,47,FALSE)</f>
        <v/>
      </c>
      <c r="D1499" s="676" t="str">
        <f t="shared" ref="D1499" si="6476">R1499</f>
        <v/>
      </c>
      <c r="E1499" s="676" t="str">
        <f t="shared" ref="E1499" si="6477">S1499</f>
        <v/>
      </c>
      <c r="F1499" s="194"/>
      <c r="G1499" s="668" t="str">
        <f t="shared" ref="G1499" ca="1" si="6478">IF(OR(INDIRECT("'update Helper'!E"&amp;U1499)=0,F1499&lt;&gt;0,F1500&lt;&gt;0),IF(IFERROR((F1499/F1500),"")="","",(F1499/F1500)),INDIRECT("'update Helper'!E"&amp;U1499)/100)</f>
        <v/>
      </c>
      <c r="H1499" s="670"/>
      <c r="I1499" s="672"/>
      <c r="J1499" s="651"/>
      <c r="K1499" s="666" t="str">
        <f t="shared" ref="K1499" si="6479">W1499</f>
        <v/>
      </c>
      <c r="L1499" s="666" t="str">
        <f t="shared" ref="L1499" si="6480">V1499</f>
        <v/>
      </c>
      <c r="M1499" s="651"/>
      <c r="N1499" s="651"/>
      <c r="P1499" s="189">
        <f t="shared" ref="P1499" si="6481">IF(AND(EXACT(C1499,C1497),C1497&lt;&gt;0),P1497+1,0)</f>
        <v>39</v>
      </c>
      <c r="Q1499" s="189" t="str">
        <f t="shared" ref="Q1499" si="6482">IF(C1499&lt;&gt;"",C1499&amp;"-"&amp;P1499,"")</f>
        <v/>
      </c>
      <c r="R1499" s="189" t="str">
        <f t="array" ref="R1499">IFERROR(IF(INDEX('Disaggregation Records'!$E$155:$E$385,MATCH(RIGHT(Q1499,255),RIGHT('Disaggregation Records'!$D$155:$D$385,255),0))=0,"",INDEX('Disaggregation Records'!$E$155:$E$385,MATCH(RIGHT(Q1499,255),RIGHT('Disaggregation Records'!$D$155:$D$385,255),0))),"")</f>
        <v/>
      </c>
      <c r="S1499" s="189" t="str">
        <f t="array" ref="S1499">IFERROR(IF(INDEX('Disaggregation Records'!$F$155:$F$385,MATCH(RIGHT(Q1499,255),RIGHT('Disaggregation Records'!$D$155:$D$385,255),0))=0,"",INDEX('Disaggregation Records'!$F$155:$F$385,MATCH(RIGHT(Q1499,255),RIGHT('Disaggregation Records'!$D$155:$D$385,255),0))),"")</f>
        <v/>
      </c>
      <c r="T1499" s="189" t="str">
        <f t="array" ref="T1499">IFERROR(IF(INDEX('Disaggregation Records'!$H$155:$H$385,MATCH(RIGHT(Q1499,255),RIGHT('Disaggregation Records'!$D$155:$D$385,255),0))=0,"",INDEX('Disaggregation Records'!$H$155:$H$385,MATCH(RIGHT(Q1499,255),RIGHT('Disaggregation Records'!$D$155:$D$385,255),0))),"")</f>
        <v/>
      </c>
      <c r="U1499" s="189">
        <f t="shared" ref="U1499" si="6483">U1497+1</f>
        <v>1851</v>
      </c>
      <c r="V1499" s="189" t="str">
        <f t="array" ref="V1499">IFERROR(IF(INDEX('Disaggregation Records'!$I$155:$I$385,MATCH(RIGHT(Q1499,255),RIGHT('Disaggregation Records'!$D$155:$D$385,255),0))=0,"",INDEX('Disaggregation Records'!$I$155:$I$385,MATCH(RIGHT(Q1499,255),RIGHT('Disaggregation Records'!$D$155:$D$385,255),0))),"")</f>
        <v/>
      </c>
      <c r="W1499" s="189" t="str">
        <f>IFERROR(INDEX('Reference Records'!L$59:L$121,MATCH(LEFT(C1499,255),'Reference Records'!E$59:E$121,0)),"")</f>
        <v/>
      </c>
    </row>
    <row r="1500" spans="1:23" s="189" customFormat="1" ht="40.200000000000003" customHeight="1" x14ac:dyDescent="0.3">
      <c r="A1500" s="678"/>
      <c r="B1500" s="675"/>
      <c r="C1500" s="667"/>
      <c r="D1500" s="677"/>
      <c r="E1500" s="677"/>
      <c r="F1500" s="202"/>
      <c r="G1500" s="669"/>
      <c r="H1500" s="671"/>
      <c r="I1500" s="673"/>
      <c r="J1500" s="652"/>
      <c r="K1500" s="667"/>
      <c r="L1500" s="667"/>
      <c r="M1500" s="652"/>
      <c r="N1500" s="652"/>
    </row>
    <row r="1501" spans="1:23" s="189" customFormat="1" ht="40.200000000000003" customHeight="1" x14ac:dyDescent="0.3">
      <c r="A1501" s="678" t="str">
        <f t="shared" ref="A1501" ca="1" si="6484">INDIRECT("'update Helper'!C"&amp;U1501)</f>
        <v>a163p000002zQgTAAU</v>
      </c>
      <c r="B1501" s="674">
        <v>23</v>
      </c>
      <c r="C1501" s="666" t="str">
        <f>VLOOKUP(B1501,'Coverage Indicators - Section D'!$A$9:$AU$70,47,FALSE)</f>
        <v/>
      </c>
      <c r="D1501" s="676" t="str">
        <f t="shared" ref="D1501" si="6485">R1501</f>
        <v/>
      </c>
      <c r="E1501" s="676" t="str">
        <f t="shared" ref="E1501" si="6486">S1501</f>
        <v/>
      </c>
      <c r="F1501" s="194"/>
      <c r="G1501" s="668" t="str">
        <f t="shared" ref="G1501" ca="1" si="6487">IF(OR(INDIRECT("'update Helper'!E"&amp;U1501)=0,F1501&lt;&gt;0,F1502&lt;&gt;0),IF(IFERROR((F1501/F1502),"")="","",(F1501/F1502)),INDIRECT("'update Helper'!E"&amp;U1501)/100)</f>
        <v/>
      </c>
      <c r="H1501" s="670"/>
      <c r="I1501" s="672"/>
      <c r="J1501" s="651"/>
      <c r="K1501" s="666" t="str">
        <f t="shared" ref="K1501" si="6488">W1501</f>
        <v/>
      </c>
      <c r="L1501" s="666" t="str">
        <f t="shared" ref="L1501" si="6489">V1501</f>
        <v/>
      </c>
      <c r="M1501" s="651"/>
      <c r="N1501" s="651"/>
      <c r="P1501" s="189">
        <f t="shared" ref="P1501" si="6490">IF(AND(EXACT(C1501,C1499),C1499&lt;&gt;0),P1499+1,0)</f>
        <v>40</v>
      </c>
      <c r="Q1501" s="189" t="str">
        <f t="shared" ref="Q1501" si="6491">IF(C1501&lt;&gt;"",C1501&amp;"-"&amp;P1501,"")</f>
        <v/>
      </c>
      <c r="R1501" s="189" t="str">
        <f t="array" ref="R1501">IFERROR(IF(INDEX('Disaggregation Records'!$E$155:$E$385,MATCH(RIGHT(Q1501,255),RIGHT('Disaggregation Records'!$D$155:$D$385,255),0))=0,"",INDEX('Disaggregation Records'!$E$155:$E$385,MATCH(RIGHT(Q1501,255),RIGHT('Disaggregation Records'!$D$155:$D$385,255),0))),"")</f>
        <v/>
      </c>
      <c r="S1501" s="189" t="str">
        <f t="array" ref="S1501">IFERROR(IF(INDEX('Disaggregation Records'!$F$155:$F$385,MATCH(RIGHT(Q1501,255),RIGHT('Disaggregation Records'!$D$155:$D$385,255),0))=0,"",INDEX('Disaggregation Records'!$F$155:$F$385,MATCH(RIGHT(Q1501,255),RIGHT('Disaggregation Records'!$D$155:$D$385,255),0))),"")</f>
        <v/>
      </c>
      <c r="T1501" s="189" t="str">
        <f t="array" ref="T1501">IFERROR(IF(INDEX('Disaggregation Records'!$H$155:$H$385,MATCH(RIGHT(Q1501,255),RIGHT('Disaggregation Records'!$D$155:$D$385,255),0))=0,"",INDEX('Disaggregation Records'!$H$155:$H$385,MATCH(RIGHT(Q1501,255),RIGHT('Disaggregation Records'!$D$155:$D$385,255),0))),"")</f>
        <v/>
      </c>
      <c r="U1501" s="189">
        <f t="shared" ref="U1501" si="6492">U1499+1</f>
        <v>1852</v>
      </c>
      <c r="V1501" s="189" t="str">
        <f t="array" ref="V1501">IFERROR(IF(INDEX('Disaggregation Records'!$I$155:$I$385,MATCH(RIGHT(Q1501,255),RIGHT('Disaggregation Records'!$D$155:$D$385,255),0))=0,"",INDEX('Disaggregation Records'!$I$155:$I$385,MATCH(RIGHT(Q1501,255),RIGHT('Disaggregation Records'!$D$155:$D$385,255),0))),"")</f>
        <v/>
      </c>
      <c r="W1501" s="189" t="str">
        <f>IFERROR(INDEX('Reference Records'!L$59:L$121,MATCH(LEFT(C1501,255),'Reference Records'!E$59:E$121,0)),"")</f>
        <v/>
      </c>
    </row>
    <row r="1502" spans="1:23" s="189" customFormat="1" ht="40.200000000000003" customHeight="1" x14ac:dyDescent="0.3">
      <c r="A1502" s="678"/>
      <c r="B1502" s="675"/>
      <c r="C1502" s="667"/>
      <c r="D1502" s="677"/>
      <c r="E1502" s="677"/>
      <c r="F1502" s="202"/>
      <c r="G1502" s="669"/>
      <c r="H1502" s="671"/>
      <c r="I1502" s="673"/>
      <c r="J1502" s="652"/>
      <c r="K1502" s="667"/>
      <c r="L1502" s="667"/>
      <c r="M1502" s="652"/>
      <c r="N1502" s="652"/>
    </row>
    <row r="1503" spans="1:23" s="189" customFormat="1" ht="40.200000000000003" customHeight="1" x14ac:dyDescent="0.3">
      <c r="A1503" s="678" t="str">
        <f t="shared" ref="A1503" ca="1" si="6493">INDIRECT("'update Helper'!C"&amp;U1503)</f>
        <v>a163p000002zQgUAAU</v>
      </c>
      <c r="B1503" s="674">
        <v>23</v>
      </c>
      <c r="C1503" s="666" t="str">
        <f>VLOOKUP(B1503,'Coverage Indicators - Section D'!$A$9:$AU$70,47,FALSE)</f>
        <v/>
      </c>
      <c r="D1503" s="676" t="str">
        <f t="shared" ref="D1503" si="6494">R1503</f>
        <v/>
      </c>
      <c r="E1503" s="676" t="str">
        <f t="shared" ref="E1503" si="6495">S1503</f>
        <v/>
      </c>
      <c r="F1503" s="194"/>
      <c r="G1503" s="668" t="str">
        <f t="shared" ref="G1503" ca="1" si="6496">IF(OR(INDIRECT("'update Helper'!E"&amp;U1503)=0,F1503&lt;&gt;0,F1504&lt;&gt;0),IF(IFERROR((F1503/F1504),"")="","",(F1503/F1504)),INDIRECT("'update Helper'!E"&amp;U1503)/100)</f>
        <v/>
      </c>
      <c r="H1503" s="670"/>
      <c r="I1503" s="672"/>
      <c r="J1503" s="651"/>
      <c r="K1503" s="666" t="str">
        <f t="shared" ref="K1503" si="6497">W1503</f>
        <v/>
      </c>
      <c r="L1503" s="666" t="str">
        <f t="shared" ref="L1503" si="6498">V1503</f>
        <v/>
      </c>
      <c r="M1503" s="651"/>
      <c r="N1503" s="651"/>
      <c r="P1503" s="189">
        <f t="shared" ref="P1503" si="6499">IF(AND(EXACT(C1503,C1501),C1501&lt;&gt;0),P1501+1,0)</f>
        <v>41</v>
      </c>
      <c r="Q1503" s="189" t="str">
        <f t="shared" ref="Q1503" si="6500">IF(C1503&lt;&gt;"",C1503&amp;"-"&amp;P1503,"")</f>
        <v/>
      </c>
      <c r="R1503" s="189" t="str">
        <f t="array" ref="R1503">IFERROR(IF(INDEX('Disaggregation Records'!$E$155:$E$385,MATCH(RIGHT(Q1503,255),RIGHT('Disaggregation Records'!$D$155:$D$385,255),0))=0,"",INDEX('Disaggregation Records'!$E$155:$E$385,MATCH(RIGHT(Q1503,255),RIGHT('Disaggregation Records'!$D$155:$D$385,255),0))),"")</f>
        <v/>
      </c>
      <c r="S1503" s="189" t="str">
        <f t="array" ref="S1503">IFERROR(IF(INDEX('Disaggregation Records'!$F$155:$F$385,MATCH(RIGHT(Q1503,255),RIGHT('Disaggregation Records'!$D$155:$D$385,255),0))=0,"",INDEX('Disaggregation Records'!$F$155:$F$385,MATCH(RIGHT(Q1503,255),RIGHT('Disaggregation Records'!$D$155:$D$385,255),0))),"")</f>
        <v/>
      </c>
      <c r="T1503" s="189" t="str">
        <f t="array" ref="T1503">IFERROR(IF(INDEX('Disaggregation Records'!$H$155:$H$385,MATCH(RIGHT(Q1503,255),RIGHT('Disaggregation Records'!$D$155:$D$385,255),0))=0,"",INDEX('Disaggregation Records'!$H$155:$H$385,MATCH(RIGHT(Q1503,255),RIGHT('Disaggregation Records'!$D$155:$D$385,255),0))),"")</f>
        <v/>
      </c>
      <c r="U1503" s="189">
        <f t="shared" ref="U1503" si="6501">U1501+1</f>
        <v>1853</v>
      </c>
      <c r="V1503" s="189" t="str">
        <f t="array" ref="V1503">IFERROR(IF(INDEX('Disaggregation Records'!$I$155:$I$385,MATCH(RIGHT(Q1503,255),RIGHT('Disaggregation Records'!$D$155:$D$385,255),0))=0,"",INDEX('Disaggregation Records'!$I$155:$I$385,MATCH(RIGHT(Q1503,255),RIGHT('Disaggregation Records'!$D$155:$D$385,255),0))),"")</f>
        <v/>
      </c>
      <c r="W1503" s="189" t="str">
        <f>IFERROR(INDEX('Reference Records'!L$59:L$121,MATCH(LEFT(C1503,255),'Reference Records'!E$59:E$121,0)),"")</f>
        <v/>
      </c>
    </row>
    <row r="1504" spans="1:23" s="189" customFormat="1" ht="40.200000000000003" customHeight="1" x14ac:dyDescent="0.3">
      <c r="A1504" s="678"/>
      <c r="B1504" s="675"/>
      <c r="C1504" s="667"/>
      <c r="D1504" s="677"/>
      <c r="E1504" s="677"/>
      <c r="F1504" s="202"/>
      <c r="G1504" s="669"/>
      <c r="H1504" s="671"/>
      <c r="I1504" s="673"/>
      <c r="J1504" s="652"/>
      <c r="K1504" s="667"/>
      <c r="L1504" s="667"/>
      <c r="M1504" s="652"/>
      <c r="N1504" s="652"/>
    </row>
    <row r="1505" spans="1:23" s="189" customFormat="1" ht="40.200000000000003" customHeight="1" x14ac:dyDescent="0.3">
      <c r="A1505" s="678" t="str">
        <f t="shared" ref="A1505" ca="1" si="6502">INDIRECT("'update Helper'!C"&amp;U1505)</f>
        <v>a163p000002zQgVAAU</v>
      </c>
      <c r="B1505" s="674">
        <v>23</v>
      </c>
      <c r="C1505" s="666" t="str">
        <f>VLOOKUP(B1505,'Coverage Indicators - Section D'!$A$9:$AU$70,47,FALSE)</f>
        <v/>
      </c>
      <c r="D1505" s="676" t="str">
        <f t="shared" ref="D1505" si="6503">R1505</f>
        <v/>
      </c>
      <c r="E1505" s="676" t="str">
        <f t="shared" ref="E1505" si="6504">S1505</f>
        <v/>
      </c>
      <c r="F1505" s="194"/>
      <c r="G1505" s="668" t="str">
        <f t="shared" ref="G1505" ca="1" si="6505">IF(OR(INDIRECT("'update Helper'!E"&amp;U1505)=0,F1505&lt;&gt;0,F1506&lt;&gt;0),IF(IFERROR((F1505/F1506),"")="","",(F1505/F1506)),INDIRECT("'update Helper'!E"&amp;U1505)/100)</f>
        <v/>
      </c>
      <c r="H1505" s="670"/>
      <c r="I1505" s="672"/>
      <c r="J1505" s="651"/>
      <c r="K1505" s="666" t="str">
        <f t="shared" ref="K1505" si="6506">W1505</f>
        <v/>
      </c>
      <c r="L1505" s="666" t="str">
        <f t="shared" ref="L1505" si="6507">V1505</f>
        <v/>
      </c>
      <c r="M1505" s="651"/>
      <c r="N1505" s="651"/>
      <c r="P1505" s="189">
        <f t="shared" ref="P1505" si="6508">IF(AND(EXACT(C1505,C1503),C1503&lt;&gt;0),P1503+1,0)</f>
        <v>42</v>
      </c>
      <c r="Q1505" s="189" t="str">
        <f t="shared" ref="Q1505" si="6509">IF(C1505&lt;&gt;"",C1505&amp;"-"&amp;P1505,"")</f>
        <v/>
      </c>
      <c r="R1505" s="189" t="str">
        <f t="array" ref="R1505">IFERROR(IF(INDEX('Disaggregation Records'!$E$155:$E$385,MATCH(RIGHT(Q1505,255),RIGHT('Disaggregation Records'!$D$155:$D$385,255),0))=0,"",INDEX('Disaggregation Records'!$E$155:$E$385,MATCH(RIGHT(Q1505,255),RIGHT('Disaggregation Records'!$D$155:$D$385,255),0))),"")</f>
        <v/>
      </c>
      <c r="S1505" s="189" t="str">
        <f t="array" ref="S1505">IFERROR(IF(INDEX('Disaggregation Records'!$F$155:$F$385,MATCH(RIGHT(Q1505,255),RIGHT('Disaggregation Records'!$D$155:$D$385,255),0))=0,"",INDEX('Disaggregation Records'!$F$155:$F$385,MATCH(RIGHT(Q1505,255),RIGHT('Disaggregation Records'!$D$155:$D$385,255),0))),"")</f>
        <v/>
      </c>
      <c r="T1505" s="189" t="str">
        <f t="array" ref="T1505">IFERROR(IF(INDEX('Disaggregation Records'!$H$155:$H$385,MATCH(RIGHT(Q1505,255),RIGHT('Disaggregation Records'!$D$155:$D$385,255),0))=0,"",INDEX('Disaggregation Records'!$H$155:$H$385,MATCH(RIGHT(Q1505,255),RIGHT('Disaggregation Records'!$D$155:$D$385,255),0))),"")</f>
        <v/>
      </c>
      <c r="U1505" s="189">
        <f t="shared" ref="U1505" si="6510">U1503+1</f>
        <v>1854</v>
      </c>
      <c r="V1505" s="189" t="str">
        <f t="array" ref="V1505">IFERROR(IF(INDEX('Disaggregation Records'!$I$155:$I$385,MATCH(RIGHT(Q1505,255),RIGHT('Disaggregation Records'!$D$155:$D$385,255),0))=0,"",INDEX('Disaggregation Records'!$I$155:$I$385,MATCH(RIGHT(Q1505,255),RIGHT('Disaggregation Records'!$D$155:$D$385,255),0))),"")</f>
        <v/>
      </c>
      <c r="W1505" s="189" t="str">
        <f>IFERROR(INDEX('Reference Records'!L$59:L$121,MATCH(LEFT(C1505,255),'Reference Records'!E$59:E$121,0)),"")</f>
        <v/>
      </c>
    </row>
    <row r="1506" spans="1:23" s="189" customFormat="1" ht="40.200000000000003" customHeight="1" x14ac:dyDescent="0.3">
      <c r="A1506" s="678"/>
      <c r="B1506" s="675"/>
      <c r="C1506" s="667"/>
      <c r="D1506" s="677"/>
      <c r="E1506" s="677"/>
      <c r="F1506" s="202"/>
      <c r="G1506" s="669"/>
      <c r="H1506" s="671"/>
      <c r="I1506" s="673"/>
      <c r="J1506" s="652"/>
      <c r="K1506" s="667"/>
      <c r="L1506" s="667"/>
      <c r="M1506" s="652"/>
      <c r="N1506" s="652"/>
    </row>
    <row r="1507" spans="1:23" s="189" customFormat="1" ht="40.200000000000003" customHeight="1" x14ac:dyDescent="0.3">
      <c r="A1507" s="678" t="str">
        <f t="shared" ref="A1507" ca="1" si="6511">INDIRECT("'update Helper'!C"&amp;U1507)</f>
        <v>a163p000002zQgWAAU</v>
      </c>
      <c r="B1507" s="674">
        <v>23</v>
      </c>
      <c r="C1507" s="666" t="str">
        <f>VLOOKUP(B1507,'Coverage Indicators - Section D'!$A$9:$AU$70,47,FALSE)</f>
        <v/>
      </c>
      <c r="D1507" s="676" t="str">
        <f t="shared" ref="D1507" si="6512">R1507</f>
        <v/>
      </c>
      <c r="E1507" s="676" t="str">
        <f t="shared" ref="E1507" si="6513">S1507</f>
        <v/>
      </c>
      <c r="F1507" s="194"/>
      <c r="G1507" s="668" t="str">
        <f t="shared" ref="G1507" ca="1" si="6514">IF(OR(INDIRECT("'update Helper'!E"&amp;U1507)=0,F1507&lt;&gt;0,F1508&lt;&gt;0),IF(IFERROR((F1507/F1508),"")="","",(F1507/F1508)),INDIRECT("'update Helper'!E"&amp;U1507)/100)</f>
        <v/>
      </c>
      <c r="H1507" s="670"/>
      <c r="I1507" s="672"/>
      <c r="J1507" s="651"/>
      <c r="K1507" s="666" t="str">
        <f t="shared" ref="K1507" si="6515">W1507</f>
        <v/>
      </c>
      <c r="L1507" s="666" t="str">
        <f t="shared" ref="L1507" si="6516">V1507</f>
        <v/>
      </c>
      <c r="M1507" s="651"/>
      <c r="N1507" s="651"/>
      <c r="P1507" s="189">
        <f t="shared" ref="P1507" si="6517">IF(AND(EXACT(C1507,C1505),C1505&lt;&gt;0),P1505+1,0)</f>
        <v>43</v>
      </c>
      <c r="Q1507" s="189" t="str">
        <f t="shared" ref="Q1507" si="6518">IF(C1507&lt;&gt;"",C1507&amp;"-"&amp;P1507,"")</f>
        <v/>
      </c>
      <c r="R1507" s="189" t="str">
        <f t="array" ref="R1507">IFERROR(IF(INDEX('Disaggregation Records'!$E$155:$E$385,MATCH(RIGHT(Q1507,255),RIGHT('Disaggregation Records'!$D$155:$D$385,255),0))=0,"",INDEX('Disaggregation Records'!$E$155:$E$385,MATCH(RIGHT(Q1507,255),RIGHT('Disaggregation Records'!$D$155:$D$385,255),0))),"")</f>
        <v/>
      </c>
      <c r="S1507" s="189" t="str">
        <f t="array" ref="S1507">IFERROR(IF(INDEX('Disaggregation Records'!$F$155:$F$385,MATCH(RIGHT(Q1507,255),RIGHT('Disaggregation Records'!$D$155:$D$385,255),0))=0,"",INDEX('Disaggregation Records'!$F$155:$F$385,MATCH(RIGHT(Q1507,255),RIGHT('Disaggregation Records'!$D$155:$D$385,255),0))),"")</f>
        <v/>
      </c>
      <c r="T1507" s="189" t="str">
        <f t="array" ref="T1507">IFERROR(IF(INDEX('Disaggregation Records'!$H$155:$H$385,MATCH(RIGHT(Q1507,255),RIGHT('Disaggregation Records'!$D$155:$D$385,255),0))=0,"",INDEX('Disaggregation Records'!$H$155:$H$385,MATCH(RIGHT(Q1507,255),RIGHT('Disaggregation Records'!$D$155:$D$385,255),0))),"")</f>
        <v/>
      </c>
      <c r="U1507" s="189">
        <f t="shared" ref="U1507" si="6519">U1505+1</f>
        <v>1855</v>
      </c>
      <c r="V1507" s="189" t="str">
        <f t="array" ref="V1507">IFERROR(IF(INDEX('Disaggregation Records'!$I$155:$I$385,MATCH(RIGHT(Q1507,255),RIGHT('Disaggregation Records'!$D$155:$D$385,255),0))=0,"",INDEX('Disaggregation Records'!$I$155:$I$385,MATCH(RIGHT(Q1507,255),RIGHT('Disaggregation Records'!$D$155:$D$385,255),0))),"")</f>
        <v/>
      </c>
      <c r="W1507" s="189" t="str">
        <f>IFERROR(INDEX('Reference Records'!L$59:L$121,MATCH(LEFT(C1507,255),'Reference Records'!E$59:E$121,0)),"")</f>
        <v/>
      </c>
    </row>
    <row r="1508" spans="1:23" s="189" customFormat="1" ht="40.200000000000003" customHeight="1" x14ac:dyDescent="0.3">
      <c r="A1508" s="678"/>
      <c r="B1508" s="675"/>
      <c r="C1508" s="667"/>
      <c r="D1508" s="677"/>
      <c r="E1508" s="677"/>
      <c r="F1508" s="202"/>
      <c r="G1508" s="669"/>
      <c r="H1508" s="671"/>
      <c r="I1508" s="673"/>
      <c r="J1508" s="652"/>
      <c r="K1508" s="667"/>
      <c r="L1508" s="667"/>
      <c r="M1508" s="652"/>
      <c r="N1508" s="652"/>
    </row>
    <row r="1509" spans="1:23" s="189" customFormat="1" ht="40.200000000000003" customHeight="1" x14ac:dyDescent="0.3">
      <c r="A1509" s="678" t="str">
        <f t="shared" ref="A1509" ca="1" si="6520">INDIRECT("'update Helper'!C"&amp;U1509)</f>
        <v>a163p000002zQgXAAU</v>
      </c>
      <c r="B1509" s="674">
        <v>23</v>
      </c>
      <c r="C1509" s="666" t="str">
        <f>VLOOKUP(B1509,'Coverage Indicators - Section D'!$A$9:$AU$70,47,FALSE)</f>
        <v/>
      </c>
      <c r="D1509" s="676" t="str">
        <f t="shared" ref="D1509" si="6521">R1509</f>
        <v/>
      </c>
      <c r="E1509" s="676" t="str">
        <f t="shared" ref="E1509" si="6522">S1509</f>
        <v/>
      </c>
      <c r="F1509" s="194"/>
      <c r="G1509" s="668" t="str">
        <f t="shared" ref="G1509" ca="1" si="6523">IF(OR(INDIRECT("'update Helper'!E"&amp;U1509)=0,F1509&lt;&gt;0,F1510&lt;&gt;0),IF(IFERROR((F1509/F1510),"")="","",(F1509/F1510)),INDIRECT("'update Helper'!E"&amp;U1509)/100)</f>
        <v/>
      </c>
      <c r="H1509" s="670"/>
      <c r="I1509" s="672"/>
      <c r="J1509" s="651"/>
      <c r="K1509" s="666" t="str">
        <f t="shared" ref="K1509" si="6524">W1509</f>
        <v/>
      </c>
      <c r="L1509" s="666" t="str">
        <f t="shared" ref="L1509" si="6525">V1509</f>
        <v/>
      </c>
      <c r="M1509" s="651"/>
      <c r="N1509" s="651"/>
      <c r="P1509" s="189">
        <f t="shared" ref="P1509" si="6526">IF(AND(EXACT(C1509,C1507),C1507&lt;&gt;0),P1507+1,0)</f>
        <v>44</v>
      </c>
      <c r="Q1509" s="189" t="str">
        <f t="shared" ref="Q1509" si="6527">IF(C1509&lt;&gt;"",C1509&amp;"-"&amp;P1509,"")</f>
        <v/>
      </c>
      <c r="R1509" s="189" t="str">
        <f t="array" ref="R1509">IFERROR(IF(INDEX('Disaggregation Records'!$E$155:$E$385,MATCH(RIGHT(Q1509,255),RIGHT('Disaggregation Records'!$D$155:$D$385,255),0))=0,"",INDEX('Disaggregation Records'!$E$155:$E$385,MATCH(RIGHT(Q1509,255),RIGHT('Disaggregation Records'!$D$155:$D$385,255),0))),"")</f>
        <v/>
      </c>
      <c r="S1509" s="189" t="str">
        <f t="array" ref="S1509">IFERROR(IF(INDEX('Disaggregation Records'!$F$155:$F$385,MATCH(RIGHT(Q1509,255),RIGHT('Disaggregation Records'!$D$155:$D$385,255),0))=0,"",INDEX('Disaggregation Records'!$F$155:$F$385,MATCH(RIGHT(Q1509,255),RIGHT('Disaggregation Records'!$D$155:$D$385,255),0))),"")</f>
        <v/>
      </c>
      <c r="T1509" s="189" t="str">
        <f t="array" ref="T1509">IFERROR(IF(INDEX('Disaggregation Records'!$H$155:$H$385,MATCH(RIGHT(Q1509,255),RIGHT('Disaggregation Records'!$D$155:$D$385,255),0))=0,"",INDEX('Disaggregation Records'!$H$155:$H$385,MATCH(RIGHT(Q1509,255),RIGHT('Disaggregation Records'!$D$155:$D$385,255),0))),"")</f>
        <v/>
      </c>
      <c r="U1509" s="189">
        <f t="shared" ref="U1509" si="6528">U1507+1</f>
        <v>1856</v>
      </c>
      <c r="V1509" s="189" t="str">
        <f t="array" ref="V1509">IFERROR(IF(INDEX('Disaggregation Records'!$I$155:$I$385,MATCH(RIGHT(Q1509,255),RIGHT('Disaggregation Records'!$D$155:$D$385,255),0))=0,"",INDEX('Disaggregation Records'!$I$155:$I$385,MATCH(RIGHT(Q1509,255),RIGHT('Disaggregation Records'!$D$155:$D$385,255),0))),"")</f>
        <v/>
      </c>
      <c r="W1509" s="189" t="str">
        <f>IFERROR(INDEX('Reference Records'!L$59:L$121,MATCH(LEFT(C1509,255),'Reference Records'!E$59:E$121,0)),"")</f>
        <v/>
      </c>
    </row>
    <row r="1510" spans="1:23" s="189" customFormat="1" ht="40.200000000000003" customHeight="1" x14ac:dyDescent="0.3">
      <c r="A1510" s="678"/>
      <c r="B1510" s="675"/>
      <c r="C1510" s="667"/>
      <c r="D1510" s="677"/>
      <c r="E1510" s="677"/>
      <c r="F1510" s="202"/>
      <c r="G1510" s="669"/>
      <c r="H1510" s="671"/>
      <c r="I1510" s="673"/>
      <c r="J1510" s="652"/>
      <c r="K1510" s="667"/>
      <c r="L1510" s="667"/>
      <c r="M1510" s="652"/>
      <c r="N1510" s="652"/>
    </row>
    <row r="1511" spans="1:23" s="189" customFormat="1" ht="40.200000000000003" customHeight="1" x14ac:dyDescent="0.3">
      <c r="A1511" s="678" t="str">
        <f t="shared" ref="A1511" ca="1" si="6529">INDIRECT("'update Helper'!C"&amp;U1511)</f>
        <v>a163p000002zQgYAAU</v>
      </c>
      <c r="B1511" s="674">
        <v>23</v>
      </c>
      <c r="C1511" s="666" t="str">
        <f>VLOOKUP(B1511,'Coverage Indicators - Section D'!$A$9:$AU$70,47,FALSE)</f>
        <v/>
      </c>
      <c r="D1511" s="676" t="str">
        <f t="shared" ref="D1511" si="6530">R1511</f>
        <v/>
      </c>
      <c r="E1511" s="676" t="str">
        <f t="shared" ref="E1511" si="6531">S1511</f>
        <v/>
      </c>
      <c r="F1511" s="194"/>
      <c r="G1511" s="668" t="str">
        <f t="shared" ref="G1511" ca="1" si="6532">IF(OR(INDIRECT("'update Helper'!E"&amp;U1511)=0,F1511&lt;&gt;0,F1512&lt;&gt;0),IF(IFERROR((F1511/F1512),"")="","",(F1511/F1512)),INDIRECT("'update Helper'!E"&amp;U1511)/100)</f>
        <v/>
      </c>
      <c r="H1511" s="670"/>
      <c r="I1511" s="672"/>
      <c r="J1511" s="651"/>
      <c r="K1511" s="666" t="str">
        <f t="shared" ref="K1511" si="6533">W1511</f>
        <v/>
      </c>
      <c r="L1511" s="666" t="str">
        <f t="shared" ref="L1511" si="6534">V1511</f>
        <v/>
      </c>
      <c r="M1511" s="651"/>
      <c r="N1511" s="651"/>
      <c r="P1511" s="189">
        <f t="shared" ref="P1511" si="6535">IF(AND(EXACT(C1511,C1509),C1509&lt;&gt;0),P1509+1,0)</f>
        <v>45</v>
      </c>
      <c r="Q1511" s="189" t="str">
        <f t="shared" ref="Q1511" si="6536">IF(C1511&lt;&gt;"",C1511&amp;"-"&amp;P1511,"")</f>
        <v/>
      </c>
      <c r="R1511" s="189" t="str">
        <f t="array" ref="R1511">IFERROR(IF(INDEX('Disaggregation Records'!$E$155:$E$385,MATCH(RIGHT(Q1511,255),RIGHT('Disaggregation Records'!$D$155:$D$385,255),0))=0,"",INDEX('Disaggregation Records'!$E$155:$E$385,MATCH(RIGHT(Q1511,255),RIGHT('Disaggregation Records'!$D$155:$D$385,255),0))),"")</f>
        <v/>
      </c>
      <c r="S1511" s="189" t="str">
        <f t="array" ref="S1511">IFERROR(IF(INDEX('Disaggregation Records'!$F$155:$F$385,MATCH(RIGHT(Q1511,255),RIGHT('Disaggregation Records'!$D$155:$D$385,255),0))=0,"",INDEX('Disaggregation Records'!$F$155:$F$385,MATCH(RIGHT(Q1511,255),RIGHT('Disaggregation Records'!$D$155:$D$385,255),0))),"")</f>
        <v/>
      </c>
      <c r="T1511" s="189" t="str">
        <f t="array" ref="T1511">IFERROR(IF(INDEX('Disaggregation Records'!$H$155:$H$385,MATCH(RIGHT(Q1511,255),RIGHT('Disaggregation Records'!$D$155:$D$385,255),0))=0,"",INDEX('Disaggregation Records'!$H$155:$H$385,MATCH(RIGHT(Q1511,255),RIGHT('Disaggregation Records'!$D$155:$D$385,255),0))),"")</f>
        <v/>
      </c>
      <c r="U1511" s="189">
        <f t="shared" ref="U1511" si="6537">U1509+1</f>
        <v>1857</v>
      </c>
      <c r="V1511" s="189" t="str">
        <f t="array" ref="V1511">IFERROR(IF(INDEX('Disaggregation Records'!$I$155:$I$385,MATCH(RIGHT(Q1511,255),RIGHT('Disaggregation Records'!$D$155:$D$385,255),0))=0,"",INDEX('Disaggregation Records'!$I$155:$I$385,MATCH(RIGHT(Q1511,255),RIGHT('Disaggregation Records'!$D$155:$D$385,255),0))),"")</f>
        <v/>
      </c>
      <c r="W1511" s="189" t="str">
        <f>IFERROR(INDEX('Reference Records'!L$59:L$121,MATCH(LEFT(C1511,255),'Reference Records'!E$59:E$121,0)),"")</f>
        <v/>
      </c>
    </row>
    <row r="1512" spans="1:23" s="189" customFormat="1" ht="40.200000000000003" customHeight="1" x14ac:dyDescent="0.3">
      <c r="A1512" s="678"/>
      <c r="B1512" s="675"/>
      <c r="C1512" s="667"/>
      <c r="D1512" s="677"/>
      <c r="E1512" s="677"/>
      <c r="F1512" s="202"/>
      <c r="G1512" s="669"/>
      <c r="H1512" s="671"/>
      <c r="I1512" s="673"/>
      <c r="J1512" s="652"/>
      <c r="K1512" s="667"/>
      <c r="L1512" s="667"/>
      <c r="M1512" s="652"/>
      <c r="N1512" s="652"/>
    </row>
    <row r="1513" spans="1:23" s="189" customFormat="1" ht="40.200000000000003" customHeight="1" x14ac:dyDescent="0.3">
      <c r="A1513" s="678" t="str">
        <f t="shared" ref="A1513" ca="1" si="6538">INDIRECT("'update Helper'!C"&amp;U1513)</f>
        <v>a163p000002zQgZAAU</v>
      </c>
      <c r="B1513" s="674">
        <v>23</v>
      </c>
      <c r="C1513" s="666" t="str">
        <f>VLOOKUP(B1513,'Coverage Indicators - Section D'!$A$9:$AU$70,47,FALSE)</f>
        <v/>
      </c>
      <c r="D1513" s="676" t="str">
        <f t="shared" ref="D1513" si="6539">R1513</f>
        <v/>
      </c>
      <c r="E1513" s="676" t="str">
        <f t="shared" ref="E1513" si="6540">S1513</f>
        <v/>
      </c>
      <c r="F1513" s="194"/>
      <c r="G1513" s="668" t="str">
        <f t="shared" ref="G1513" ca="1" si="6541">IF(OR(INDIRECT("'update Helper'!E"&amp;U1513)=0,F1513&lt;&gt;0,F1514&lt;&gt;0),IF(IFERROR((F1513/F1514),"")="","",(F1513/F1514)),INDIRECT("'update Helper'!E"&amp;U1513)/100)</f>
        <v/>
      </c>
      <c r="H1513" s="670"/>
      <c r="I1513" s="672"/>
      <c r="J1513" s="651"/>
      <c r="K1513" s="666" t="str">
        <f t="shared" ref="K1513" si="6542">W1513</f>
        <v/>
      </c>
      <c r="L1513" s="666" t="str">
        <f t="shared" ref="L1513" si="6543">V1513</f>
        <v/>
      </c>
      <c r="M1513" s="651"/>
      <c r="N1513" s="651"/>
      <c r="P1513" s="189">
        <f t="shared" ref="P1513" si="6544">IF(AND(EXACT(C1513,C1511),C1511&lt;&gt;0),P1511+1,0)</f>
        <v>46</v>
      </c>
      <c r="Q1513" s="189" t="str">
        <f t="shared" ref="Q1513" si="6545">IF(C1513&lt;&gt;"",C1513&amp;"-"&amp;P1513,"")</f>
        <v/>
      </c>
      <c r="R1513" s="189" t="str">
        <f t="array" ref="R1513">IFERROR(IF(INDEX('Disaggregation Records'!$E$155:$E$385,MATCH(RIGHT(Q1513,255),RIGHT('Disaggregation Records'!$D$155:$D$385,255),0))=0,"",INDEX('Disaggregation Records'!$E$155:$E$385,MATCH(RIGHT(Q1513,255),RIGHT('Disaggregation Records'!$D$155:$D$385,255),0))),"")</f>
        <v/>
      </c>
      <c r="S1513" s="189" t="str">
        <f t="array" ref="S1513">IFERROR(IF(INDEX('Disaggregation Records'!$F$155:$F$385,MATCH(RIGHT(Q1513,255),RIGHT('Disaggregation Records'!$D$155:$D$385,255),0))=0,"",INDEX('Disaggregation Records'!$F$155:$F$385,MATCH(RIGHT(Q1513,255),RIGHT('Disaggregation Records'!$D$155:$D$385,255),0))),"")</f>
        <v/>
      </c>
      <c r="T1513" s="189" t="str">
        <f t="array" ref="T1513">IFERROR(IF(INDEX('Disaggregation Records'!$H$155:$H$385,MATCH(RIGHT(Q1513,255),RIGHT('Disaggregation Records'!$D$155:$D$385,255),0))=0,"",INDEX('Disaggregation Records'!$H$155:$H$385,MATCH(RIGHT(Q1513,255),RIGHT('Disaggregation Records'!$D$155:$D$385,255),0))),"")</f>
        <v/>
      </c>
      <c r="U1513" s="189">
        <f t="shared" ref="U1513" si="6546">U1511+1</f>
        <v>1858</v>
      </c>
      <c r="V1513" s="189" t="str">
        <f t="array" ref="V1513">IFERROR(IF(INDEX('Disaggregation Records'!$I$155:$I$385,MATCH(RIGHT(Q1513,255),RIGHT('Disaggregation Records'!$D$155:$D$385,255),0))=0,"",INDEX('Disaggregation Records'!$I$155:$I$385,MATCH(RIGHT(Q1513,255),RIGHT('Disaggregation Records'!$D$155:$D$385,255),0))),"")</f>
        <v/>
      </c>
      <c r="W1513" s="189" t="str">
        <f>IFERROR(INDEX('Reference Records'!L$59:L$121,MATCH(LEFT(C1513,255),'Reference Records'!E$59:E$121,0)),"")</f>
        <v/>
      </c>
    </row>
    <row r="1514" spans="1:23" s="189" customFormat="1" ht="40.200000000000003" customHeight="1" x14ac:dyDescent="0.3">
      <c r="A1514" s="678"/>
      <c r="B1514" s="675"/>
      <c r="C1514" s="667"/>
      <c r="D1514" s="677"/>
      <c r="E1514" s="677"/>
      <c r="F1514" s="202"/>
      <c r="G1514" s="669"/>
      <c r="H1514" s="671"/>
      <c r="I1514" s="673"/>
      <c r="J1514" s="652"/>
      <c r="K1514" s="667"/>
      <c r="L1514" s="667"/>
      <c r="M1514" s="652"/>
      <c r="N1514" s="652"/>
    </row>
    <row r="1515" spans="1:23" s="189" customFormat="1" ht="40.200000000000003" customHeight="1" x14ac:dyDescent="0.3">
      <c r="A1515" s="678" t="str">
        <f t="shared" ref="A1515" ca="1" si="6547">INDIRECT("'update Helper'!C"&amp;U1515)</f>
        <v>a163p000002zQgaAAE</v>
      </c>
      <c r="B1515" s="674">
        <v>23</v>
      </c>
      <c r="C1515" s="666" t="str">
        <f>VLOOKUP(B1515,'Coverage Indicators - Section D'!$A$9:$AU$70,47,FALSE)</f>
        <v/>
      </c>
      <c r="D1515" s="676" t="str">
        <f t="shared" ref="D1515" si="6548">R1515</f>
        <v/>
      </c>
      <c r="E1515" s="676" t="str">
        <f t="shared" ref="E1515" si="6549">S1515</f>
        <v/>
      </c>
      <c r="F1515" s="194"/>
      <c r="G1515" s="668" t="str">
        <f t="shared" ref="G1515" ca="1" si="6550">IF(OR(INDIRECT("'update Helper'!E"&amp;U1515)=0,F1515&lt;&gt;0,F1516&lt;&gt;0),IF(IFERROR((F1515/F1516),"")="","",(F1515/F1516)),INDIRECT("'update Helper'!E"&amp;U1515)/100)</f>
        <v/>
      </c>
      <c r="H1515" s="670"/>
      <c r="I1515" s="672"/>
      <c r="J1515" s="651"/>
      <c r="K1515" s="666" t="str">
        <f t="shared" ref="K1515" si="6551">W1515</f>
        <v/>
      </c>
      <c r="L1515" s="666" t="str">
        <f t="shared" ref="L1515" si="6552">V1515</f>
        <v/>
      </c>
      <c r="M1515" s="651"/>
      <c r="N1515" s="651"/>
      <c r="P1515" s="189">
        <f t="shared" ref="P1515" si="6553">IF(AND(EXACT(C1515,C1513),C1513&lt;&gt;0),P1513+1,0)</f>
        <v>47</v>
      </c>
      <c r="Q1515" s="189" t="str">
        <f t="shared" ref="Q1515" si="6554">IF(C1515&lt;&gt;"",C1515&amp;"-"&amp;P1515,"")</f>
        <v/>
      </c>
      <c r="R1515" s="189" t="str">
        <f t="array" ref="R1515">IFERROR(IF(INDEX('Disaggregation Records'!$E$155:$E$385,MATCH(RIGHT(Q1515,255),RIGHT('Disaggregation Records'!$D$155:$D$385,255),0))=0,"",INDEX('Disaggregation Records'!$E$155:$E$385,MATCH(RIGHT(Q1515,255),RIGHT('Disaggregation Records'!$D$155:$D$385,255),0))),"")</f>
        <v/>
      </c>
      <c r="S1515" s="189" t="str">
        <f t="array" ref="S1515">IFERROR(IF(INDEX('Disaggregation Records'!$F$155:$F$385,MATCH(RIGHT(Q1515,255),RIGHT('Disaggregation Records'!$D$155:$D$385,255),0))=0,"",INDEX('Disaggregation Records'!$F$155:$F$385,MATCH(RIGHT(Q1515,255),RIGHT('Disaggregation Records'!$D$155:$D$385,255),0))),"")</f>
        <v/>
      </c>
      <c r="T1515" s="189" t="str">
        <f t="array" ref="T1515">IFERROR(IF(INDEX('Disaggregation Records'!$H$155:$H$385,MATCH(RIGHT(Q1515,255),RIGHT('Disaggregation Records'!$D$155:$D$385,255),0))=0,"",INDEX('Disaggregation Records'!$H$155:$H$385,MATCH(RIGHT(Q1515,255),RIGHT('Disaggregation Records'!$D$155:$D$385,255),0))),"")</f>
        <v/>
      </c>
      <c r="U1515" s="189">
        <f t="shared" ref="U1515" si="6555">U1513+1</f>
        <v>1859</v>
      </c>
      <c r="V1515" s="189" t="str">
        <f t="array" ref="V1515">IFERROR(IF(INDEX('Disaggregation Records'!$I$155:$I$385,MATCH(RIGHT(Q1515,255),RIGHT('Disaggregation Records'!$D$155:$D$385,255),0))=0,"",INDEX('Disaggregation Records'!$I$155:$I$385,MATCH(RIGHT(Q1515,255),RIGHT('Disaggregation Records'!$D$155:$D$385,255),0))),"")</f>
        <v/>
      </c>
      <c r="W1515" s="189" t="str">
        <f>IFERROR(INDEX('Reference Records'!L$59:L$121,MATCH(LEFT(C1515,255),'Reference Records'!E$59:E$121,0)),"")</f>
        <v/>
      </c>
    </row>
    <row r="1516" spans="1:23" s="189" customFormat="1" ht="40.200000000000003" customHeight="1" x14ac:dyDescent="0.3">
      <c r="A1516" s="678"/>
      <c r="B1516" s="675"/>
      <c r="C1516" s="667"/>
      <c r="D1516" s="677"/>
      <c r="E1516" s="677"/>
      <c r="F1516" s="202"/>
      <c r="G1516" s="669"/>
      <c r="H1516" s="671"/>
      <c r="I1516" s="673"/>
      <c r="J1516" s="652"/>
      <c r="K1516" s="667"/>
      <c r="L1516" s="667"/>
      <c r="M1516" s="652"/>
      <c r="N1516" s="652"/>
    </row>
    <row r="1517" spans="1:23" s="189" customFormat="1" ht="40.200000000000003" customHeight="1" x14ac:dyDescent="0.3">
      <c r="A1517" s="678" t="str">
        <f t="shared" ref="A1517" ca="1" si="6556">INDIRECT("'update Helper'!C"&amp;U1517)</f>
        <v>a163p000002zQgbAAE</v>
      </c>
      <c r="B1517" s="674">
        <v>23</v>
      </c>
      <c r="C1517" s="666" t="str">
        <f>VLOOKUP(B1517,'Coverage Indicators - Section D'!$A$9:$AU$70,47,FALSE)</f>
        <v/>
      </c>
      <c r="D1517" s="676" t="str">
        <f t="shared" ref="D1517" si="6557">R1517</f>
        <v/>
      </c>
      <c r="E1517" s="676" t="str">
        <f t="shared" ref="E1517" si="6558">S1517</f>
        <v/>
      </c>
      <c r="F1517" s="194"/>
      <c r="G1517" s="668" t="str">
        <f t="shared" ref="G1517" ca="1" si="6559">IF(OR(INDIRECT("'update Helper'!E"&amp;U1517)=0,F1517&lt;&gt;0,F1518&lt;&gt;0),IF(IFERROR((F1517/F1518),"")="","",(F1517/F1518)),INDIRECT("'update Helper'!E"&amp;U1517)/100)</f>
        <v/>
      </c>
      <c r="H1517" s="670"/>
      <c r="I1517" s="672"/>
      <c r="J1517" s="651"/>
      <c r="K1517" s="666" t="str">
        <f t="shared" ref="K1517" si="6560">W1517</f>
        <v/>
      </c>
      <c r="L1517" s="666" t="str">
        <f t="shared" ref="L1517" si="6561">V1517</f>
        <v/>
      </c>
      <c r="M1517" s="651"/>
      <c r="N1517" s="651"/>
      <c r="P1517" s="189">
        <f t="shared" ref="P1517" si="6562">IF(AND(EXACT(C1517,C1515),C1515&lt;&gt;0),P1515+1,0)</f>
        <v>48</v>
      </c>
      <c r="Q1517" s="189" t="str">
        <f t="shared" ref="Q1517" si="6563">IF(C1517&lt;&gt;"",C1517&amp;"-"&amp;P1517,"")</f>
        <v/>
      </c>
      <c r="R1517" s="189" t="str">
        <f t="array" ref="R1517">IFERROR(IF(INDEX('Disaggregation Records'!$E$155:$E$385,MATCH(RIGHT(Q1517,255),RIGHT('Disaggregation Records'!$D$155:$D$385,255),0))=0,"",INDEX('Disaggregation Records'!$E$155:$E$385,MATCH(RIGHT(Q1517,255),RIGHT('Disaggregation Records'!$D$155:$D$385,255),0))),"")</f>
        <v/>
      </c>
      <c r="S1517" s="189" t="str">
        <f t="array" ref="S1517">IFERROR(IF(INDEX('Disaggregation Records'!$F$155:$F$385,MATCH(RIGHT(Q1517,255),RIGHT('Disaggregation Records'!$D$155:$D$385,255),0))=0,"",INDEX('Disaggregation Records'!$F$155:$F$385,MATCH(RIGHT(Q1517,255),RIGHT('Disaggregation Records'!$D$155:$D$385,255),0))),"")</f>
        <v/>
      </c>
      <c r="T1517" s="189" t="str">
        <f t="array" ref="T1517">IFERROR(IF(INDEX('Disaggregation Records'!$H$155:$H$385,MATCH(RIGHT(Q1517,255),RIGHT('Disaggregation Records'!$D$155:$D$385,255),0))=0,"",INDEX('Disaggregation Records'!$H$155:$H$385,MATCH(RIGHT(Q1517,255),RIGHT('Disaggregation Records'!$D$155:$D$385,255),0))),"")</f>
        <v/>
      </c>
      <c r="U1517" s="189">
        <f t="shared" ref="U1517" si="6564">U1515+1</f>
        <v>1860</v>
      </c>
      <c r="V1517" s="189" t="str">
        <f t="array" ref="V1517">IFERROR(IF(INDEX('Disaggregation Records'!$I$155:$I$385,MATCH(RIGHT(Q1517,255),RIGHT('Disaggregation Records'!$D$155:$D$385,255),0))=0,"",INDEX('Disaggregation Records'!$I$155:$I$385,MATCH(RIGHT(Q1517,255),RIGHT('Disaggregation Records'!$D$155:$D$385,255),0))),"")</f>
        <v/>
      </c>
      <c r="W1517" s="189" t="str">
        <f>IFERROR(INDEX('Reference Records'!L$59:L$121,MATCH(LEFT(C1517,255),'Reference Records'!E$59:E$121,0)),"")</f>
        <v/>
      </c>
    </row>
    <row r="1518" spans="1:23" s="189" customFormat="1" ht="40.200000000000003" customHeight="1" x14ac:dyDescent="0.3">
      <c r="A1518" s="678"/>
      <c r="B1518" s="675"/>
      <c r="C1518" s="667"/>
      <c r="D1518" s="677"/>
      <c r="E1518" s="677"/>
      <c r="F1518" s="202"/>
      <c r="G1518" s="669"/>
      <c r="H1518" s="671"/>
      <c r="I1518" s="673"/>
      <c r="J1518" s="652"/>
      <c r="K1518" s="667"/>
      <c r="L1518" s="667"/>
      <c r="M1518" s="652"/>
      <c r="N1518" s="652"/>
    </row>
    <row r="1519" spans="1:23" s="189" customFormat="1" ht="40.200000000000003" customHeight="1" x14ac:dyDescent="0.3">
      <c r="A1519" s="678" t="str">
        <f t="shared" ref="A1519" ca="1" si="6565">INDIRECT("'update Helper'!C"&amp;U1519)</f>
        <v>a163p000002zQgcAAE</v>
      </c>
      <c r="B1519" s="674">
        <v>23</v>
      </c>
      <c r="C1519" s="666" t="str">
        <f>VLOOKUP(B1519,'Coverage Indicators - Section D'!$A$9:$AU$70,47,FALSE)</f>
        <v/>
      </c>
      <c r="D1519" s="676" t="str">
        <f t="shared" ref="D1519" si="6566">R1519</f>
        <v/>
      </c>
      <c r="E1519" s="676" t="str">
        <f t="shared" ref="E1519" si="6567">S1519</f>
        <v/>
      </c>
      <c r="F1519" s="194"/>
      <c r="G1519" s="668" t="str">
        <f t="shared" ref="G1519" ca="1" si="6568">IF(OR(INDIRECT("'update Helper'!E"&amp;U1519)=0,F1519&lt;&gt;0,F1520&lt;&gt;0),IF(IFERROR((F1519/F1520),"")="","",(F1519/F1520)),INDIRECT("'update Helper'!E"&amp;U1519)/100)</f>
        <v/>
      </c>
      <c r="H1519" s="670"/>
      <c r="I1519" s="672"/>
      <c r="J1519" s="651"/>
      <c r="K1519" s="666" t="str">
        <f t="shared" ref="K1519" si="6569">W1519</f>
        <v/>
      </c>
      <c r="L1519" s="666" t="str">
        <f t="shared" ref="L1519" si="6570">V1519</f>
        <v/>
      </c>
      <c r="M1519" s="651"/>
      <c r="N1519" s="651"/>
      <c r="P1519" s="189">
        <f t="shared" ref="P1519" si="6571">IF(AND(EXACT(C1519,C1517),C1517&lt;&gt;0),P1517+1,0)</f>
        <v>49</v>
      </c>
      <c r="Q1519" s="189" t="str">
        <f t="shared" ref="Q1519" si="6572">IF(C1519&lt;&gt;"",C1519&amp;"-"&amp;P1519,"")</f>
        <v/>
      </c>
      <c r="R1519" s="189" t="str">
        <f t="array" ref="R1519">IFERROR(IF(INDEX('Disaggregation Records'!$E$155:$E$385,MATCH(RIGHT(Q1519,255),RIGHT('Disaggregation Records'!$D$155:$D$385,255),0))=0,"",INDEX('Disaggregation Records'!$E$155:$E$385,MATCH(RIGHT(Q1519,255),RIGHT('Disaggregation Records'!$D$155:$D$385,255),0))),"")</f>
        <v/>
      </c>
      <c r="S1519" s="189" t="str">
        <f t="array" ref="S1519">IFERROR(IF(INDEX('Disaggregation Records'!$F$155:$F$385,MATCH(RIGHT(Q1519,255),RIGHT('Disaggregation Records'!$D$155:$D$385,255),0))=0,"",INDEX('Disaggregation Records'!$F$155:$F$385,MATCH(RIGHT(Q1519,255),RIGHT('Disaggregation Records'!$D$155:$D$385,255),0))),"")</f>
        <v/>
      </c>
      <c r="T1519" s="189" t="str">
        <f t="array" ref="T1519">IFERROR(IF(INDEX('Disaggregation Records'!$H$155:$H$385,MATCH(RIGHT(Q1519,255),RIGHT('Disaggregation Records'!$D$155:$D$385,255),0))=0,"",INDEX('Disaggregation Records'!$H$155:$H$385,MATCH(RIGHT(Q1519,255),RIGHT('Disaggregation Records'!$D$155:$D$385,255),0))),"")</f>
        <v/>
      </c>
      <c r="U1519" s="189">
        <f t="shared" ref="U1519" si="6573">U1517+1</f>
        <v>1861</v>
      </c>
      <c r="V1519" s="189" t="str">
        <f t="array" ref="V1519">IFERROR(IF(INDEX('Disaggregation Records'!$I$155:$I$385,MATCH(RIGHT(Q1519,255),RIGHT('Disaggregation Records'!$D$155:$D$385,255),0))=0,"",INDEX('Disaggregation Records'!$I$155:$I$385,MATCH(RIGHT(Q1519,255),RIGHT('Disaggregation Records'!$D$155:$D$385,255),0))),"")</f>
        <v/>
      </c>
      <c r="W1519" s="189" t="str">
        <f>IFERROR(INDEX('Reference Records'!L$59:L$121,MATCH(LEFT(C1519,255),'Reference Records'!E$59:E$121,0)),"")</f>
        <v/>
      </c>
    </row>
    <row r="1520" spans="1:23" s="189" customFormat="1" ht="40.200000000000003" customHeight="1" x14ac:dyDescent="0.3">
      <c r="A1520" s="678"/>
      <c r="B1520" s="675"/>
      <c r="C1520" s="667"/>
      <c r="D1520" s="677"/>
      <c r="E1520" s="677"/>
      <c r="F1520" s="202"/>
      <c r="G1520" s="669"/>
      <c r="H1520" s="671"/>
      <c r="I1520" s="673"/>
      <c r="J1520" s="652"/>
      <c r="K1520" s="667"/>
      <c r="L1520" s="667"/>
      <c r="M1520" s="652"/>
      <c r="N1520" s="652"/>
    </row>
    <row r="1521" spans="1:23" s="189" customFormat="1" ht="40.200000000000003" customHeight="1" x14ac:dyDescent="0.3">
      <c r="A1521" s="678" t="str">
        <f t="shared" ref="A1521" ca="1" si="6574">INDIRECT("'update Helper'!C"&amp;U1521)</f>
        <v>a163p000002zQgdAAE</v>
      </c>
      <c r="B1521" s="674">
        <v>23</v>
      </c>
      <c r="C1521" s="666" t="str">
        <f>VLOOKUP(B1521,'Coverage Indicators - Section D'!$A$9:$AU$70,47,FALSE)</f>
        <v/>
      </c>
      <c r="D1521" s="676" t="str">
        <f t="shared" ref="D1521" si="6575">R1521</f>
        <v/>
      </c>
      <c r="E1521" s="676" t="str">
        <f t="shared" ref="E1521" si="6576">S1521</f>
        <v/>
      </c>
      <c r="F1521" s="194"/>
      <c r="G1521" s="668" t="str">
        <f t="shared" ref="G1521" ca="1" si="6577">IF(OR(INDIRECT("'update Helper'!E"&amp;U1521)=0,F1521&lt;&gt;0,F1522&lt;&gt;0),IF(IFERROR((F1521/F1522),"")="","",(F1521/F1522)),INDIRECT("'update Helper'!E"&amp;U1521)/100)</f>
        <v/>
      </c>
      <c r="H1521" s="670"/>
      <c r="I1521" s="672"/>
      <c r="J1521" s="651"/>
      <c r="K1521" s="666" t="str">
        <f t="shared" ref="K1521" si="6578">W1521</f>
        <v/>
      </c>
      <c r="L1521" s="666" t="str">
        <f t="shared" ref="L1521" si="6579">V1521</f>
        <v/>
      </c>
      <c r="M1521" s="651"/>
      <c r="N1521" s="651"/>
      <c r="P1521" s="189">
        <f t="shared" ref="P1521" si="6580">IF(AND(EXACT(C1521,C1519),C1519&lt;&gt;0),P1519+1,0)</f>
        <v>50</v>
      </c>
      <c r="Q1521" s="189" t="str">
        <f t="shared" ref="Q1521" si="6581">IF(C1521&lt;&gt;"",C1521&amp;"-"&amp;P1521,"")</f>
        <v/>
      </c>
      <c r="R1521" s="189" t="str">
        <f t="array" ref="R1521">IFERROR(IF(INDEX('Disaggregation Records'!$E$155:$E$385,MATCH(RIGHT(Q1521,255),RIGHT('Disaggregation Records'!$D$155:$D$385,255),0))=0,"",INDEX('Disaggregation Records'!$E$155:$E$385,MATCH(RIGHT(Q1521,255),RIGHT('Disaggregation Records'!$D$155:$D$385,255),0))),"")</f>
        <v/>
      </c>
      <c r="S1521" s="189" t="str">
        <f t="array" ref="S1521">IFERROR(IF(INDEX('Disaggregation Records'!$F$155:$F$385,MATCH(RIGHT(Q1521,255),RIGHT('Disaggregation Records'!$D$155:$D$385,255),0))=0,"",INDEX('Disaggregation Records'!$F$155:$F$385,MATCH(RIGHT(Q1521,255),RIGHT('Disaggregation Records'!$D$155:$D$385,255),0))),"")</f>
        <v/>
      </c>
      <c r="T1521" s="189" t="str">
        <f t="array" ref="T1521">IFERROR(IF(INDEX('Disaggregation Records'!$H$155:$H$385,MATCH(RIGHT(Q1521,255),RIGHT('Disaggregation Records'!$D$155:$D$385,255),0))=0,"",INDEX('Disaggregation Records'!$H$155:$H$385,MATCH(RIGHT(Q1521,255),RIGHT('Disaggregation Records'!$D$155:$D$385,255),0))),"")</f>
        <v/>
      </c>
      <c r="U1521" s="189">
        <f t="shared" ref="U1521" si="6582">U1519+1</f>
        <v>1862</v>
      </c>
      <c r="V1521" s="189" t="str">
        <f t="array" ref="V1521">IFERROR(IF(INDEX('Disaggregation Records'!$I$155:$I$385,MATCH(RIGHT(Q1521,255),RIGHT('Disaggregation Records'!$D$155:$D$385,255),0))=0,"",INDEX('Disaggregation Records'!$I$155:$I$385,MATCH(RIGHT(Q1521,255),RIGHT('Disaggregation Records'!$D$155:$D$385,255),0))),"")</f>
        <v/>
      </c>
      <c r="W1521" s="189" t="str">
        <f>IFERROR(INDEX('Reference Records'!L$59:L$121,MATCH(LEFT(C1521,255),'Reference Records'!E$59:E$121,0)),"")</f>
        <v/>
      </c>
    </row>
    <row r="1522" spans="1:23" s="189" customFormat="1" ht="40.200000000000003" customHeight="1" x14ac:dyDescent="0.3">
      <c r="A1522" s="678"/>
      <c r="B1522" s="675"/>
      <c r="C1522" s="667"/>
      <c r="D1522" s="677"/>
      <c r="E1522" s="677"/>
      <c r="F1522" s="202"/>
      <c r="G1522" s="669"/>
      <c r="H1522" s="671"/>
      <c r="I1522" s="673"/>
      <c r="J1522" s="652"/>
      <c r="K1522" s="667"/>
      <c r="L1522" s="667"/>
      <c r="M1522" s="652"/>
      <c r="N1522" s="652"/>
    </row>
    <row r="1523" spans="1:23" s="189" customFormat="1" ht="40.200000000000003" customHeight="1" x14ac:dyDescent="0.3">
      <c r="A1523" s="678" t="str">
        <f t="shared" ref="A1523" ca="1" si="6583">INDIRECT("'update Helper'!C"&amp;U1523)</f>
        <v>a163p000002zQgeAAE</v>
      </c>
      <c r="B1523" s="674">
        <v>23</v>
      </c>
      <c r="C1523" s="666" t="str">
        <f>VLOOKUP(B1523,'Coverage Indicators - Section D'!$A$9:$AU$70,47,FALSE)</f>
        <v/>
      </c>
      <c r="D1523" s="676" t="str">
        <f t="shared" ref="D1523" si="6584">R1523</f>
        <v/>
      </c>
      <c r="E1523" s="676" t="str">
        <f t="shared" ref="E1523" si="6585">S1523</f>
        <v/>
      </c>
      <c r="F1523" s="194"/>
      <c r="G1523" s="668" t="str">
        <f t="shared" ref="G1523" ca="1" si="6586">IF(OR(INDIRECT("'update Helper'!E"&amp;U1523)=0,F1523&lt;&gt;0,F1524&lt;&gt;0),IF(IFERROR((F1523/F1524),"")="","",(F1523/F1524)),INDIRECT("'update Helper'!E"&amp;U1523)/100)</f>
        <v/>
      </c>
      <c r="H1523" s="670"/>
      <c r="I1523" s="672"/>
      <c r="J1523" s="651"/>
      <c r="K1523" s="666" t="str">
        <f t="shared" ref="K1523" si="6587">W1523</f>
        <v/>
      </c>
      <c r="L1523" s="666" t="str">
        <f t="shared" ref="L1523" si="6588">V1523</f>
        <v/>
      </c>
      <c r="M1523" s="651"/>
      <c r="N1523" s="651"/>
      <c r="P1523" s="189">
        <f t="shared" ref="P1523" si="6589">IF(AND(EXACT(C1523,C1521),C1521&lt;&gt;0),P1521+1,0)</f>
        <v>51</v>
      </c>
      <c r="Q1523" s="189" t="str">
        <f t="shared" ref="Q1523" si="6590">IF(C1523&lt;&gt;"",C1523&amp;"-"&amp;P1523,"")</f>
        <v/>
      </c>
      <c r="R1523" s="189" t="str">
        <f t="array" ref="R1523">IFERROR(IF(INDEX('Disaggregation Records'!$E$155:$E$385,MATCH(RIGHT(Q1523,255),RIGHT('Disaggregation Records'!$D$155:$D$385,255),0))=0,"",INDEX('Disaggregation Records'!$E$155:$E$385,MATCH(RIGHT(Q1523,255),RIGHT('Disaggregation Records'!$D$155:$D$385,255),0))),"")</f>
        <v/>
      </c>
      <c r="S1523" s="189" t="str">
        <f t="array" ref="S1523">IFERROR(IF(INDEX('Disaggregation Records'!$F$155:$F$385,MATCH(RIGHT(Q1523,255),RIGHT('Disaggregation Records'!$D$155:$D$385,255),0))=0,"",INDEX('Disaggregation Records'!$F$155:$F$385,MATCH(RIGHT(Q1523,255),RIGHT('Disaggregation Records'!$D$155:$D$385,255),0))),"")</f>
        <v/>
      </c>
      <c r="T1523" s="189" t="str">
        <f t="array" ref="T1523">IFERROR(IF(INDEX('Disaggregation Records'!$H$155:$H$385,MATCH(RIGHT(Q1523,255),RIGHT('Disaggregation Records'!$D$155:$D$385,255),0))=0,"",INDEX('Disaggregation Records'!$H$155:$H$385,MATCH(RIGHT(Q1523,255),RIGHT('Disaggregation Records'!$D$155:$D$385,255),0))),"")</f>
        <v/>
      </c>
      <c r="U1523" s="189">
        <f t="shared" ref="U1523" si="6591">U1521+1</f>
        <v>1863</v>
      </c>
      <c r="V1523" s="189" t="str">
        <f t="array" ref="V1523">IFERROR(IF(INDEX('Disaggregation Records'!$I$155:$I$385,MATCH(RIGHT(Q1523,255),RIGHT('Disaggregation Records'!$D$155:$D$385,255),0))=0,"",INDEX('Disaggregation Records'!$I$155:$I$385,MATCH(RIGHT(Q1523,255),RIGHT('Disaggregation Records'!$D$155:$D$385,255),0))),"")</f>
        <v/>
      </c>
      <c r="W1523" s="189" t="str">
        <f>IFERROR(INDEX('Reference Records'!L$59:L$121,MATCH(LEFT(C1523,255),'Reference Records'!E$59:E$121,0)),"")</f>
        <v/>
      </c>
    </row>
    <row r="1524" spans="1:23" s="189" customFormat="1" ht="40.200000000000003" customHeight="1" x14ac:dyDescent="0.3">
      <c r="A1524" s="678"/>
      <c r="B1524" s="675"/>
      <c r="C1524" s="667"/>
      <c r="D1524" s="677"/>
      <c r="E1524" s="677"/>
      <c r="F1524" s="202"/>
      <c r="G1524" s="669"/>
      <c r="H1524" s="671"/>
      <c r="I1524" s="673"/>
      <c r="J1524" s="652"/>
      <c r="K1524" s="667"/>
      <c r="L1524" s="667"/>
      <c r="M1524" s="652"/>
      <c r="N1524" s="652"/>
    </row>
    <row r="1525" spans="1:23" s="189" customFormat="1" ht="40.200000000000003" customHeight="1" x14ac:dyDescent="0.3">
      <c r="A1525" s="678" t="str">
        <f t="shared" ref="A1525" ca="1" si="6592">INDIRECT("'update Helper'!C"&amp;U1525)</f>
        <v>a163p000002zQgfAAE</v>
      </c>
      <c r="B1525" s="674">
        <v>23</v>
      </c>
      <c r="C1525" s="666" t="str">
        <f>VLOOKUP(B1525,'Coverage Indicators - Section D'!$A$9:$AU$70,47,FALSE)</f>
        <v/>
      </c>
      <c r="D1525" s="676" t="str">
        <f t="shared" ref="D1525" si="6593">R1525</f>
        <v/>
      </c>
      <c r="E1525" s="676" t="str">
        <f t="shared" ref="E1525" si="6594">S1525</f>
        <v/>
      </c>
      <c r="F1525" s="194"/>
      <c r="G1525" s="668" t="str">
        <f t="shared" ref="G1525" ca="1" si="6595">IF(OR(INDIRECT("'update Helper'!E"&amp;U1525)=0,F1525&lt;&gt;0,F1526&lt;&gt;0),IF(IFERROR((F1525/F1526),"")="","",(F1525/F1526)),INDIRECT("'update Helper'!E"&amp;U1525)/100)</f>
        <v/>
      </c>
      <c r="H1525" s="670"/>
      <c r="I1525" s="672"/>
      <c r="J1525" s="651"/>
      <c r="K1525" s="666" t="str">
        <f t="shared" ref="K1525" si="6596">W1525</f>
        <v/>
      </c>
      <c r="L1525" s="666" t="str">
        <f t="shared" ref="L1525" si="6597">V1525</f>
        <v/>
      </c>
      <c r="M1525" s="651"/>
      <c r="N1525" s="651"/>
      <c r="P1525" s="189">
        <f t="shared" ref="P1525" si="6598">IF(AND(EXACT(C1525,C1523),C1523&lt;&gt;0),P1523+1,0)</f>
        <v>52</v>
      </c>
      <c r="Q1525" s="189" t="str">
        <f t="shared" ref="Q1525" si="6599">IF(C1525&lt;&gt;"",C1525&amp;"-"&amp;P1525,"")</f>
        <v/>
      </c>
      <c r="R1525" s="189" t="str">
        <f t="array" ref="R1525">IFERROR(IF(INDEX('Disaggregation Records'!$E$155:$E$385,MATCH(RIGHT(Q1525,255),RIGHT('Disaggregation Records'!$D$155:$D$385,255),0))=0,"",INDEX('Disaggregation Records'!$E$155:$E$385,MATCH(RIGHT(Q1525,255),RIGHT('Disaggregation Records'!$D$155:$D$385,255),0))),"")</f>
        <v/>
      </c>
      <c r="S1525" s="189" t="str">
        <f t="array" ref="S1525">IFERROR(IF(INDEX('Disaggregation Records'!$F$155:$F$385,MATCH(RIGHT(Q1525,255),RIGHT('Disaggregation Records'!$D$155:$D$385,255),0))=0,"",INDEX('Disaggregation Records'!$F$155:$F$385,MATCH(RIGHT(Q1525,255),RIGHT('Disaggregation Records'!$D$155:$D$385,255),0))),"")</f>
        <v/>
      </c>
      <c r="T1525" s="189" t="str">
        <f t="array" ref="T1525">IFERROR(IF(INDEX('Disaggregation Records'!$H$155:$H$385,MATCH(RIGHT(Q1525,255),RIGHT('Disaggregation Records'!$D$155:$D$385,255),0))=0,"",INDEX('Disaggregation Records'!$H$155:$H$385,MATCH(RIGHT(Q1525,255),RIGHT('Disaggregation Records'!$D$155:$D$385,255),0))),"")</f>
        <v/>
      </c>
      <c r="U1525" s="189">
        <f t="shared" ref="U1525" si="6600">U1523+1</f>
        <v>1864</v>
      </c>
      <c r="V1525" s="189" t="str">
        <f t="array" ref="V1525">IFERROR(IF(INDEX('Disaggregation Records'!$I$155:$I$385,MATCH(RIGHT(Q1525,255),RIGHT('Disaggregation Records'!$D$155:$D$385,255),0))=0,"",INDEX('Disaggregation Records'!$I$155:$I$385,MATCH(RIGHT(Q1525,255),RIGHT('Disaggregation Records'!$D$155:$D$385,255),0))),"")</f>
        <v/>
      </c>
      <c r="W1525" s="189" t="str">
        <f>IFERROR(INDEX('Reference Records'!L$59:L$121,MATCH(LEFT(C1525,255),'Reference Records'!E$59:E$121,0)),"")</f>
        <v/>
      </c>
    </row>
    <row r="1526" spans="1:23" s="189" customFormat="1" ht="40.200000000000003" customHeight="1" x14ac:dyDescent="0.3">
      <c r="A1526" s="678"/>
      <c r="B1526" s="675"/>
      <c r="C1526" s="667"/>
      <c r="D1526" s="677"/>
      <c r="E1526" s="677"/>
      <c r="F1526" s="202"/>
      <c r="G1526" s="669"/>
      <c r="H1526" s="671"/>
      <c r="I1526" s="673"/>
      <c r="J1526" s="652"/>
      <c r="K1526" s="667"/>
      <c r="L1526" s="667"/>
      <c r="M1526" s="652"/>
      <c r="N1526" s="652"/>
    </row>
    <row r="1527" spans="1:23" s="189" customFormat="1" ht="40.200000000000003" customHeight="1" x14ac:dyDescent="0.3">
      <c r="A1527" s="678" t="str">
        <f t="shared" ref="A1527" ca="1" si="6601">INDIRECT("'update Helper'!C"&amp;U1527)</f>
        <v>a163p000002zQggAAE</v>
      </c>
      <c r="B1527" s="674">
        <v>23</v>
      </c>
      <c r="C1527" s="666" t="str">
        <f>VLOOKUP(B1527,'Coverage Indicators - Section D'!$A$9:$AU$70,47,FALSE)</f>
        <v/>
      </c>
      <c r="D1527" s="676" t="str">
        <f t="shared" ref="D1527" si="6602">R1527</f>
        <v/>
      </c>
      <c r="E1527" s="676" t="str">
        <f t="shared" ref="E1527" si="6603">S1527</f>
        <v/>
      </c>
      <c r="F1527" s="194"/>
      <c r="G1527" s="668" t="str">
        <f t="shared" ref="G1527" ca="1" si="6604">IF(OR(INDIRECT("'update Helper'!E"&amp;U1527)=0,F1527&lt;&gt;0,F1528&lt;&gt;0),IF(IFERROR((F1527/F1528),"")="","",(F1527/F1528)),INDIRECT("'update Helper'!E"&amp;U1527)/100)</f>
        <v/>
      </c>
      <c r="H1527" s="670"/>
      <c r="I1527" s="672"/>
      <c r="J1527" s="651"/>
      <c r="K1527" s="666" t="str">
        <f t="shared" ref="K1527" si="6605">W1527</f>
        <v/>
      </c>
      <c r="L1527" s="666" t="str">
        <f t="shared" ref="L1527" si="6606">V1527</f>
        <v/>
      </c>
      <c r="M1527" s="651"/>
      <c r="N1527" s="651"/>
      <c r="P1527" s="189">
        <f t="shared" ref="P1527" si="6607">IF(AND(EXACT(C1527,C1525),C1525&lt;&gt;0),P1525+1,0)</f>
        <v>53</v>
      </c>
      <c r="Q1527" s="189" t="str">
        <f t="shared" ref="Q1527" si="6608">IF(C1527&lt;&gt;"",C1527&amp;"-"&amp;P1527,"")</f>
        <v/>
      </c>
      <c r="R1527" s="189" t="str">
        <f t="array" ref="R1527">IFERROR(IF(INDEX('Disaggregation Records'!$E$155:$E$385,MATCH(RIGHT(Q1527,255),RIGHT('Disaggregation Records'!$D$155:$D$385,255),0))=0,"",INDEX('Disaggregation Records'!$E$155:$E$385,MATCH(RIGHT(Q1527,255),RIGHT('Disaggregation Records'!$D$155:$D$385,255),0))),"")</f>
        <v/>
      </c>
      <c r="S1527" s="189" t="str">
        <f t="array" ref="S1527">IFERROR(IF(INDEX('Disaggregation Records'!$F$155:$F$385,MATCH(RIGHT(Q1527,255),RIGHT('Disaggregation Records'!$D$155:$D$385,255),0))=0,"",INDEX('Disaggregation Records'!$F$155:$F$385,MATCH(RIGHT(Q1527,255),RIGHT('Disaggregation Records'!$D$155:$D$385,255),0))),"")</f>
        <v/>
      </c>
      <c r="T1527" s="189" t="str">
        <f t="array" ref="T1527">IFERROR(IF(INDEX('Disaggregation Records'!$H$155:$H$385,MATCH(RIGHT(Q1527,255),RIGHT('Disaggregation Records'!$D$155:$D$385,255),0))=0,"",INDEX('Disaggregation Records'!$H$155:$H$385,MATCH(RIGHT(Q1527,255),RIGHT('Disaggregation Records'!$D$155:$D$385,255),0))),"")</f>
        <v/>
      </c>
      <c r="U1527" s="189">
        <f t="shared" ref="U1527" si="6609">U1525+1</f>
        <v>1865</v>
      </c>
      <c r="V1527" s="189" t="str">
        <f t="array" ref="V1527">IFERROR(IF(INDEX('Disaggregation Records'!$I$155:$I$385,MATCH(RIGHT(Q1527,255),RIGHT('Disaggregation Records'!$D$155:$D$385,255),0))=0,"",INDEX('Disaggregation Records'!$I$155:$I$385,MATCH(RIGHT(Q1527,255),RIGHT('Disaggregation Records'!$D$155:$D$385,255),0))),"")</f>
        <v/>
      </c>
      <c r="W1527" s="189" t="str">
        <f>IFERROR(INDEX('Reference Records'!L$59:L$121,MATCH(LEFT(C1527,255),'Reference Records'!E$59:E$121,0)),"")</f>
        <v/>
      </c>
    </row>
    <row r="1528" spans="1:23" s="189" customFormat="1" ht="40.200000000000003" customHeight="1" x14ac:dyDescent="0.3">
      <c r="A1528" s="678"/>
      <c r="B1528" s="675"/>
      <c r="C1528" s="667"/>
      <c r="D1528" s="677"/>
      <c r="E1528" s="677"/>
      <c r="F1528" s="202"/>
      <c r="G1528" s="669"/>
      <c r="H1528" s="671"/>
      <c r="I1528" s="673"/>
      <c r="J1528" s="652"/>
      <c r="K1528" s="667"/>
      <c r="L1528" s="667"/>
      <c r="M1528" s="652"/>
      <c r="N1528" s="652"/>
    </row>
    <row r="1529" spans="1:23" s="189" customFormat="1" ht="40.200000000000003" customHeight="1" x14ac:dyDescent="0.3">
      <c r="A1529" s="678" t="str">
        <f t="shared" ref="A1529" ca="1" si="6610">INDIRECT("'update Helper'!C"&amp;U1529)</f>
        <v>a163p000002zQghAAE</v>
      </c>
      <c r="B1529" s="674">
        <v>23</v>
      </c>
      <c r="C1529" s="666" t="str">
        <f>VLOOKUP(B1529,'Coverage Indicators - Section D'!$A$9:$AU$70,47,FALSE)</f>
        <v/>
      </c>
      <c r="D1529" s="676" t="str">
        <f t="shared" ref="D1529" si="6611">R1529</f>
        <v/>
      </c>
      <c r="E1529" s="676" t="str">
        <f t="shared" ref="E1529" si="6612">S1529</f>
        <v/>
      </c>
      <c r="F1529" s="194"/>
      <c r="G1529" s="668" t="str">
        <f t="shared" ref="G1529" ca="1" si="6613">IF(OR(INDIRECT("'update Helper'!E"&amp;U1529)=0,F1529&lt;&gt;0,F1530&lt;&gt;0),IF(IFERROR((F1529/F1530),"")="","",(F1529/F1530)),INDIRECT("'update Helper'!E"&amp;U1529)/100)</f>
        <v/>
      </c>
      <c r="H1529" s="670"/>
      <c r="I1529" s="672"/>
      <c r="J1529" s="651"/>
      <c r="K1529" s="666" t="str">
        <f t="shared" ref="K1529" si="6614">W1529</f>
        <v/>
      </c>
      <c r="L1529" s="666" t="str">
        <f t="shared" ref="L1529" si="6615">V1529</f>
        <v/>
      </c>
      <c r="M1529" s="651"/>
      <c r="N1529" s="651"/>
      <c r="P1529" s="189">
        <f t="shared" ref="P1529" si="6616">IF(AND(EXACT(C1529,C1527),C1527&lt;&gt;0),P1527+1,0)</f>
        <v>54</v>
      </c>
      <c r="Q1529" s="189" t="str">
        <f t="shared" ref="Q1529" si="6617">IF(C1529&lt;&gt;"",C1529&amp;"-"&amp;P1529,"")</f>
        <v/>
      </c>
      <c r="R1529" s="189" t="str">
        <f t="array" ref="R1529">IFERROR(IF(INDEX('Disaggregation Records'!$E$155:$E$385,MATCH(RIGHT(Q1529,255),RIGHT('Disaggregation Records'!$D$155:$D$385,255),0))=0,"",INDEX('Disaggregation Records'!$E$155:$E$385,MATCH(RIGHT(Q1529,255),RIGHT('Disaggregation Records'!$D$155:$D$385,255),0))),"")</f>
        <v/>
      </c>
      <c r="S1529" s="189" t="str">
        <f t="array" ref="S1529">IFERROR(IF(INDEX('Disaggregation Records'!$F$155:$F$385,MATCH(RIGHT(Q1529,255),RIGHT('Disaggregation Records'!$D$155:$D$385,255),0))=0,"",INDEX('Disaggregation Records'!$F$155:$F$385,MATCH(RIGHT(Q1529,255),RIGHT('Disaggregation Records'!$D$155:$D$385,255),0))),"")</f>
        <v/>
      </c>
      <c r="T1529" s="189" t="str">
        <f t="array" ref="T1529">IFERROR(IF(INDEX('Disaggregation Records'!$H$155:$H$385,MATCH(RIGHT(Q1529,255),RIGHT('Disaggregation Records'!$D$155:$D$385,255),0))=0,"",INDEX('Disaggregation Records'!$H$155:$H$385,MATCH(RIGHT(Q1529,255),RIGHT('Disaggregation Records'!$D$155:$D$385,255),0))),"")</f>
        <v/>
      </c>
      <c r="U1529" s="189">
        <f t="shared" ref="U1529" si="6618">U1527+1</f>
        <v>1866</v>
      </c>
      <c r="V1529" s="189" t="str">
        <f t="array" ref="V1529">IFERROR(IF(INDEX('Disaggregation Records'!$I$155:$I$385,MATCH(RIGHT(Q1529,255),RIGHT('Disaggregation Records'!$D$155:$D$385,255),0))=0,"",INDEX('Disaggregation Records'!$I$155:$I$385,MATCH(RIGHT(Q1529,255),RIGHT('Disaggregation Records'!$D$155:$D$385,255),0))),"")</f>
        <v/>
      </c>
      <c r="W1529" s="189" t="str">
        <f>IFERROR(INDEX('Reference Records'!L$59:L$121,MATCH(LEFT(C1529,255),'Reference Records'!E$59:E$121,0)),"")</f>
        <v/>
      </c>
    </row>
    <row r="1530" spans="1:23" s="189" customFormat="1" ht="40.200000000000003" customHeight="1" x14ac:dyDescent="0.3">
      <c r="A1530" s="678"/>
      <c r="B1530" s="675"/>
      <c r="C1530" s="667"/>
      <c r="D1530" s="677"/>
      <c r="E1530" s="677"/>
      <c r="F1530" s="202"/>
      <c r="G1530" s="669"/>
      <c r="H1530" s="671"/>
      <c r="I1530" s="673"/>
      <c r="J1530" s="652"/>
      <c r="K1530" s="667"/>
      <c r="L1530" s="667"/>
      <c r="M1530" s="652"/>
      <c r="N1530" s="652"/>
    </row>
    <row r="1531" spans="1:23" s="189" customFormat="1" ht="40.200000000000003" customHeight="1" x14ac:dyDescent="0.3">
      <c r="A1531" s="678" t="str">
        <f t="shared" ref="A1531" ca="1" si="6619">INDIRECT("'update Helper'!C"&amp;U1531)</f>
        <v>a163p000002zQgiAAE</v>
      </c>
      <c r="B1531" s="674">
        <v>23</v>
      </c>
      <c r="C1531" s="666" t="str">
        <f>VLOOKUP(B1531,'Coverage Indicators - Section D'!$A$9:$AU$70,47,FALSE)</f>
        <v/>
      </c>
      <c r="D1531" s="676" t="str">
        <f t="shared" ref="D1531" si="6620">R1531</f>
        <v/>
      </c>
      <c r="E1531" s="676" t="str">
        <f t="shared" ref="E1531" si="6621">S1531</f>
        <v/>
      </c>
      <c r="F1531" s="194"/>
      <c r="G1531" s="668" t="str">
        <f t="shared" ref="G1531" ca="1" si="6622">IF(OR(INDIRECT("'update Helper'!E"&amp;U1531)=0,F1531&lt;&gt;0,F1532&lt;&gt;0),IF(IFERROR((F1531/F1532),"")="","",(F1531/F1532)),INDIRECT("'update Helper'!E"&amp;U1531)/100)</f>
        <v/>
      </c>
      <c r="H1531" s="670"/>
      <c r="I1531" s="672"/>
      <c r="J1531" s="651"/>
      <c r="K1531" s="666" t="str">
        <f t="shared" ref="K1531" si="6623">W1531</f>
        <v/>
      </c>
      <c r="L1531" s="666" t="str">
        <f t="shared" ref="L1531" si="6624">V1531</f>
        <v/>
      </c>
      <c r="M1531" s="651"/>
      <c r="N1531" s="651"/>
      <c r="P1531" s="189">
        <f t="shared" ref="P1531" si="6625">IF(AND(EXACT(C1531,C1529),C1529&lt;&gt;0),P1529+1,0)</f>
        <v>55</v>
      </c>
      <c r="Q1531" s="189" t="str">
        <f t="shared" ref="Q1531" si="6626">IF(C1531&lt;&gt;"",C1531&amp;"-"&amp;P1531,"")</f>
        <v/>
      </c>
      <c r="R1531" s="189" t="str">
        <f t="array" ref="R1531">IFERROR(IF(INDEX('Disaggregation Records'!$E$155:$E$385,MATCH(RIGHT(Q1531,255),RIGHT('Disaggregation Records'!$D$155:$D$385,255),0))=0,"",INDEX('Disaggregation Records'!$E$155:$E$385,MATCH(RIGHT(Q1531,255),RIGHT('Disaggregation Records'!$D$155:$D$385,255),0))),"")</f>
        <v/>
      </c>
      <c r="S1531" s="189" t="str">
        <f t="array" ref="S1531">IFERROR(IF(INDEX('Disaggregation Records'!$F$155:$F$385,MATCH(RIGHT(Q1531,255),RIGHT('Disaggregation Records'!$D$155:$D$385,255),0))=0,"",INDEX('Disaggregation Records'!$F$155:$F$385,MATCH(RIGHT(Q1531,255),RIGHT('Disaggregation Records'!$D$155:$D$385,255),0))),"")</f>
        <v/>
      </c>
      <c r="T1531" s="189" t="str">
        <f t="array" ref="T1531">IFERROR(IF(INDEX('Disaggregation Records'!$H$155:$H$385,MATCH(RIGHT(Q1531,255),RIGHT('Disaggregation Records'!$D$155:$D$385,255),0))=0,"",INDEX('Disaggregation Records'!$H$155:$H$385,MATCH(RIGHT(Q1531,255),RIGHT('Disaggregation Records'!$D$155:$D$385,255),0))),"")</f>
        <v/>
      </c>
      <c r="U1531" s="189">
        <f t="shared" ref="U1531" si="6627">U1529+1</f>
        <v>1867</v>
      </c>
      <c r="V1531" s="189" t="str">
        <f t="array" ref="V1531">IFERROR(IF(INDEX('Disaggregation Records'!$I$155:$I$385,MATCH(RIGHT(Q1531,255),RIGHT('Disaggregation Records'!$D$155:$D$385,255),0))=0,"",INDEX('Disaggregation Records'!$I$155:$I$385,MATCH(RIGHT(Q1531,255),RIGHT('Disaggregation Records'!$D$155:$D$385,255),0))),"")</f>
        <v/>
      </c>
      <c r="W1531" s="189" t="str">
        <f>IFERROR(INDEX('Reference Records'!L$59:L$121,MATCH(LEFT(C1531,255),'Reference Records'!E$59:E$121,0)),"")</f>
        <v/>
      </c>
    </row>
    <row r="1532" spans="1:23" s="189" customFormat="1" ht="40.200000000000003" customHeight="1" x14ac:dyDescent="0.3">
      <c r="A1532" s="678"/>
      <c r="B1532" s="675"/>
      <c r="C1532" s="667"/>
      <c r="D1532" s="677"/>
      <c r="E1532" s="677"/>
      <c r="F1532" s="202"/>
      <c r="G1532" s="669"/>
      <c r="H1532" s="671"/>
      <c r="I1532" s="673"/>
      <c r="J1532" s="652"/>
      <c r="K1532" s="667"/>
      <c r="L1532" s="667"/>
      <c r="M1532" s="652"/>
      <c r="N1532" s="652"/>
    </row>
    <row r="1533" spans="1:23" s="189" customFormat="1" ht="40.200000000000003" customHeight="1" x14ac:dyDescent="0.3">
      <c r="A1533" s="678" t="str">
        <f t="shared" ref="A1533" ca="1" si="6628">INDIRECT("'update Helper'!C"&amp;U1533)</f>
        <v>a163p000002zQgjAAE</v>
      </c>
      <c r="B1533" s="674">
        <v>23</v>
      </c>
      <c r="C1533" s="666" t="str">
        <f>VLOOKUP(B1533,'Coverage Indicators - Section D'!$A$9:$AU$70,47,FALSE)</f>
        <v/>
      </c>
      <c r="D1533" s="676" t="str">
        <f t="shared" ref="D1533" si="6629">R1533</f>
        <v/>
      </c>
      <c r="E1533" s="676" t="str">
        <f t="shared" ref="E1533" si="6630">S1533</f>
        <v/>
      </c>
      <c r="F1533" s="194"/>
      <c r="G1533" s="668" t="str">
        <f t="shared" ref="G1533" ca="1" si="6631">IF(OR(INDIRECT("'update Helper'!E"&amp;U1533)=0,F1533&lt;&gt;0,F1534&lt;&gt;0),IF(IFERROR((F1533/F1534),"")="","",(F1533/F1534)),INDIRECT("'update Helper'!E"&amp;U1533)/100)</f>
        <v/>
      </c>
      <c r="H1533" s="670"/>
      <c r="I1533" s="672"/>
      <c r="J1533" s="651"/>
      <c r="K1533" s="666" t="str">
        <f t="shared" ref="K1533" si="6632">W1533</f>
        <v/>
      </c>
      <c r="L1533" s="666" t="str">
        <f t="shared" ref="L1533" si="6633">V1533</f>
        <v/>
      </c>
      <c r="M1533" s="651"/>
      <c r="N1533" s="651"/>
      <c r="P1533" s="189">
        <f t="shared" ref="P1533" si="6634">IF(AND(EXACT(C1533,C1531),C1531&lt;&gt;0),P1531+1,0)</f>
        <v>56</v>
      </c>
      <c r="Q1533" s="189" t="str">
        <f t="shared" ref="Q1533" si="6635">IF(C1533&lt;&gt;"",C1533&amp;"-"&amp;P1533,"")</f>
        <v/>
      </c>
      <c r="R1533" s="189" t="str">
        <f t="array" ref="R1533">IFERROR(IF(INDEX('Disaggregation Records'!$E$155:$E$385,MATCH(RIGHT(Q1533,255),RIGHT('Disaggregation Records'!$D$155:$D$385,255),0))=0,"",INDEX('Disaggregation Records'!$E$155:$E$385,MATCH(RIGHT(Q1533,255),RIGHT('Disaggregation Records'!$D$155:$D$385,255),0))),"")</f>
        <v/>
      </c>
      <c r="S1533" s="189" t="str">
        <f t="array" ref="S1533">IFERROR(IF(INDEX('Disaggregation Records'!$F$155:$F$385,MATCH(RIGHT(Q1533,255),RIGHT('Disaggregation Records'!$D$155:$D$385,255),0))=0,"",INDEX('Disaggregation Records'!$F$155:$F$385,MATCH(RIGHT(Q1533,255),RIGHT('Disaggregation Records'!$D$155:$D$385,255),0))),"")</f>
        <v/>
      </c>
      <c r="T1533" s="189" t="str">
        <f t="array" ref="T1533">IFERROR(IF(INDEX('Disaggregation Records'!$H$155:$H$385,MATCH(RIGHT(Q1533,255),RIGHT('Disaggregation Records'!$D$155:$D$385,255),0))=0,"",INDEX('Disaggregation Records'!$H$155:$H$385,MATCH(RIGHT(Q1533,255),RIGHT('Disaggregation Records'!$D$155:$D$385,255),0))),"")</f>
        <v/>
      </c>
      <c r="U1533" s="189">
        <f t="shared" ref="U1533" si="6636">U1531+1</f>
        <v>1868</v>
      </c>
      <c r="V1533" s="189" t="str">
        <f t="array" ref="V1533">IFERROR(IF(INDEX('Disaggregation Records'!$I$155:$I$385,MATCH(RIGHT(Q1533,255),RIGHT('Disaggregation Records'!$D$155:$D$385,255),0))=0,"",INDEX('Disaggregation Records'!$I$155:$I$385,MATCH(RIGHT(Q1533,255),RIGHT('Disaggregation Records'!$D$155:$D$385,255),0))),"")</f>
        <v/>
      </c>
      <c r="W1533" s="189" t="str">
        <f>IFERROR(INDEX('Reference Records'!L$59:L$121,MATCH(LEFT(C1533,255),'Reference Records'!E$59:E$121,0)),"")</f>
        <v/>
      </c>
    </row>
    <row r="1534" spans="1:23" s="189" customFormat="1" ht="40.200000000000003" customHeight="1" x14ac:dyDescent="0.3">
      <c r="A1534" s="678"/>
      <c r="B1534" s="675"/>
      <c r="C1534" s="667"/>
      <c r="D1534" s="677"/>
      <c r="E1534" s="677"/>
      <c r="F1534" s="202"/>
      <c r="G1534" s="669"/>
      <c r="H1534" s="671"/>
      <c r="I1534" s="673"/>
      <c r="J1534" s="652"/>
      <c r="K1534" s="667"/>
      <c r="L1534" s="667"/>
      <c r="M1534" s="652"/>
      <c r="N1534" s="652"/>
    </row>
    <row r="1535" spans="1:23" s="189" customFormat="1" ht="40.200000000000003" customHeight="1" x14ac:dyDescent="0.3">
      <c r="A1535" s="678" t="str">
        <f t="shared" ref="A1535" ca="1" si="6637">INDIRECT("'update Helper'!C"&amp;U1535)</f>
        <v>a163p000002zQgkAAE</v>
      </c>
      <c r="B1535" s="674">
        <v>23</v>
      </c>
      <c r="C1535" s="666" t="str">
        <f>VLOOKUP(B1535,'Coverage Indicators - Section D'!$A$9:$AU$70,47,FALSE)</f>
        <v/>
      </c>
      <c r="D1535" s="676" t="str">
        <f t="shared" ref="D1535" si="6638">R1535</f>
        <v/>
      </c>
      <c r="E1535" s="676" t="str">
        <f t="shared" ref="E1535" si="6639">S1535</f>
        <v/>
      </c>
      <c r="F1535" s="194"/>
      <c r="G1535" s="668" t="str">
        <f t="shared" ref="G1535" ca="1" si="6640">IF(OR(INDIRECT("'update Helper'!E"&amp;U1535)=0,F1535&lt;&gt;0,F1536&lt;&gt;0),IF(IFERROR((F1535/F1536),"")="","",(F1535/F1536)),INDIRECT("'update Helper'!E"&amp;U1535)/100)</f>
        <v/>
      </c>
      <c r="H1535" s="670"/>
      <c r="I1535" s="672"/>
      <c r="J1535" s="651"/>
      <c r="K1535" s="666" t="str">
        <f t="shared" ref="K1535" si="6641">W1535</f>
        <v/>
      </c>
      <c r="L1535" s="666" t="str">
        <f t="shared" ref="L1535" si="6642">V1535</f>
        <v/>
      </c>
      <c r="M1535" s="651"/>
      <c r="N1535" s="651"/>
      <c r="P1535" s="189">
        <f t="shared" ref="P1535" si="6643">IF(AND(EXACT(C1535,C1533),C1533&lt;&gt;0),P1533+1,0)</f>
        <v>57</v>
      </c>
      <c r="Q1535" s="189" t="str">
        <f t="shared" ref="Q1535" si="6644">IF(C1535&lt;&gt;"",C1535&amp;"-"&amp;P1535,"")</f>
        <v/>
      </c>
      <c r="R1535" s="189" t="str">
        <f t="array" ref="R1535">IFERROR(IF(INDEX('Disaggregation Records'!$E$155:$E$385,MATCH(RIGHT(Q1535,255),RIGHT('Disaggregation Records'!$D$155:$D$385,255),0))=0,"",INDEX('Disaggregation Records'!$E$155:$E$385,MATCH(RIGHT(Q1535,255),RIGHT('Disaggregation Records'!$D$155:$D$385,255),0))),"")</f>
        <v/>
      </c>
      <c r="S1535" s="189" t="str">
        <f t="array" ref="S1535">IFERROR(IF(INDEX('Disaggregation Records'!$F$155:$F$385,MATCH(RIGHT(Q1535,255),RIGHT('Disaggregation Records'!$D$155:$D$385,255),0))=0,"",INDEX('Disaggregation Records'!$F$155:$F$385,MATCH(RIGHT(Q1535,255),RIGHT('Disaggregation Records'!$D$155:$D$385,255),0))),"")</f>
        <v/>
      </c>
      <c r="T1535" s="189" t="str">
        <f t="array" ref="T1535">IFERROR(IF(INDEX('Disaggregation Records'!$H$155:$H$385,MATCH(RIGHT(Q1535,255),RIGHT('Disaggregation Records'!$D$155:$D$385,255),0))=0,"",INDEX('Disaggregation Records'!$H$155:$H$385,MATCH(RIGHT(Q1535,255),RIGHT('Disaggregation Records'!$D$155:$D$385,255),0))),"")</f>
        <v/>
      </c>
      <c r="U1535" s="189">
        <f t="shared" ref="U1535" si="6645">U1533+1</f>
        <v>1869</v>
      </c>
      <c r="V1535" s="189" t="str">
        <f t="array" ref="V1535">IFERROR(IF(INDEX('Disaggregation Records'!$I$155:$I$385,MATCH(RIGHT(Q1535,255),RIGHT('Disaggregation Records'!$D$155:$D$385,255),0))=0,"",INDEX('Disaggregation Records'!$I$155:$I$385,MATCH(RIGHT(Q1535,255),RIGHT('Disaggregation Records'!$D$155:$D$385,255),0))),"")</f>
        <v/>
      </c>
      <c r="W1535" s="189" t="str">
        <f>IFERROR(INDEX('Reference Records'!L$59:L$121,MATCH(LEFT(C1535,255),'Reference Records'!E$59:E$121,0)),"")</f>
        <v/>
      </c>
    </row>
    <row r="1536" spans="1:23" s="189" customFormat="1" ht="40.200000000000003" customHeight="1" x14ac:dyDescent="0.3">
      <c r="A1536" s="678"/>
      <c r="B1536" s="675"/>
      <c r="C1536" s="667"/>
      <c r="D1536" s="677"/>
      <c r="E1536" s="677"/>
      <c r="F1536" s="202"/>
      <c r="G1536" s="669"/>
      <c r="H1536" s="671"/>
      <c r="I1536" s="673"/>
      <c r="J1536" s="652"/>
      <c r="K1536" s="667"/>
      <c r="L1536" s="667"/>
      <c r="M1536" s="652"/>
      <c r="N1536" s="652"/>
    </row>
    <row r="1537" spans="1:23" s="189" customFormat="1" ht="40.200000000000003" customHeight="1" x14ac:dyDescent="0.3">
      <c r="A1537" s="678" t="str">
        <f t="shared" ref="A1537" ca="1" si="6646">INDIRECT("'update Helper'!C"&amp;U1537)</f>
        <v>a163p000002zQglAAE</v>
      </c>
      <c r="B1537" s="674">
        <v>23</v>
      </c>
      <c r="C1537" s="666" t="str">
        <f>VLOOKUP(B1537,'Coverage Indicators - Section D'!$A$9:$AU$70,47,FALSE)</f>
        <v/>
      </c>
      <c r="D1537" s="676" t="str">
        <f t="shared" ref="D1537" si="6647">R1537</f>
        <v/>
      </c>
      <c r="E1537" s="676" t="str">
        <f t="shared" ref="E1537" si="6648">S1537</f>
        <v/>
      </c>
      <c r="F1537" s="194"/>
      <c r="G1537" s="668" t="str">
        <f t="shared" ref="G1537" ca="1" si="6649">IF(OR(INDIRECT("'update Helper'!E"&amp;U1537)=0,F1537&lt;&gt;0,F1538&lt;&gt;0),IF(IFERROR((F1537/F1538),"")="","",(F1537/F1538)),INDIRECT("'update Helper'!E"&amp;U1537)/100)</f>
        <v/>
      </c>
      <c r="H1537" s="670"/>
      <c r="I1537" s="672"/>
      <c r="J1537" s="651"/>
      <c r="K1537" s="666" t="str">
        <f t="shared" ref="K1537" si="6650">W1537</f>
        <v/>
      </c>
      <c r="L1537" s="666" t="str">
        <f t="shared" ref="L1537" si="6651">V1537</f>
        <v/>
      </c>
      <c r="M1537" s="651"/>
      <c r="N1537" s="651"/>
      <c r="P1537" s="189">
        <f t="shared" ref="P1537" si="6652">IF(AND(EXACT(C1537,C1535),C1535&lt;&gt;0),P1535+1,0)</f>
        <v>58</v>
      </c>
      <c r="Q1537" s="189" t="str">
        <f t="shared" ref="Q1537" si="6653">IF(C1537&lt;&gt;"",C1537&amp;"-"&amp;P1537,"")</f>
        <v/>
      </c>
      <c r="R1537" s="189" t="str">
        <f t="array" ref="R1537">IFERROR(IF(INDEX('Disaggregation Records'!$E$155:$E$385,MATCH(RIGHT(Q1537,255),RIGHT('Disaggregation Records'!$D$155:$D$385,255),0))=0,"",INDEX('Disaggregation Records'!$E$155:$E$385,MATCH(RIGHT(Q1537,255),RIGHT('Disaggregation Records'!$D$155:$D$385,255),0))),"")</f>
        <v/>
      </c>
      <c r="S1537" s="189" t="str">
        <f t="array" ref="S1537">IFERROR(IF(INDEX('Disaggregation Records'!$F$155:$F$385,MATCH(RIGHT(Q1537,255),RIGHT('Disaggregation Records'!$D$155:$D$385,255),0))=0,"",INDEX('Disaggregation Records'!$F$155:$F$385,MATCH(RIGHT(Q1537,255),RIGHT('Disaggregation Records'!$D$155:$D$385,255),0))),"")</f>
        <v/>
      </c>
      <c r="T1537" s="189" t="str">
        <f t="array" ref="T1537">IFERROR(IF(INDEX('Disaggregation Records'!$H$155:$H$385,MATCH(RIGHT(Q1537,255),RIGHT('Disaggregation Records'!$D$155:$D$385,255),0))=0,"",INDEX('Disaggregation Records'!$H$155:$H$385,MATCH(RIGHT(Q1537,255),RIGHT('Disaggregation Records'!$D$155:$D$385,255),0))),"")</f>
        <v/>
      </c>
      <c r="U1537" s="189">
        <f t="shared" ref="U1537" si="6654">U1535+1</f>
        <v>1870</v>
      </c>
      <c r="V1537" s="189" t="str">
        <f t="array" ref="V1537">IFERROR(IF(INDEX('Disaggregation Records'!$I$155:$I$385,MATCH(RIGHT(Q1537,255),RIGHT('Disaggregation Records'!$D$155:$D$385,255),0))=0,"",INDEX('Disaggregation Records'!$I$155:$I$385,MATCH(RIGHT(Q1537,255),RIGHT('Disaggregation Records'!$D$155:$D$385,255),0))),"")</f>
        <v/>
      </c>
      <c r="W1537" s="189" t="str">
        <f>IFERROR(INDEX('Reference Records'!L$59:L$121,MATCH(LEFT(C1537,255),'Reference Records'!E$59:E$121,0)),"")</f>
        <v/>
      </c>
    </row>
    <row r="1538" spans="1:23" s="189" customFormat="1" ht="40.200000000000003" customHeight="1" x14ac:dyDescent="0.3">
      <c r="A1538" s="678"/>
      <c r="B1538" s="675"/>
      <c r="C1538" s="667"/>
      <c r="D1538" s="677"/>
      <c r="E1538" s="677"/>
      <c r="F1538" s="202"/>
      <c r="G1538" s="669"/>
      <c r="H1538" s="671"/>
      <c r="I1538" s="673"/>
      <c r="J1538" s="652"/>
      <c r="K1538" s="667"/>
      <c r="L1538" s="667"/>
      <c r="M1538" s="652"/>
      <c r="N1538" s="652"/>
    </row>
    <row r="1539" spans="1:23" s="189" customFormat="1" ht="40.200000000000003" customHeight="1" x14ac:dyDescent="0.3">
      <c r="A1539" s="678" t="str">
        <f t="shared" ref="A1539" ca="1" si="6655">INDIRECT("'update Helper'!C"&amp;U1539)</f>
        <v>a163p000002zQgmAAE</v>
      </c>
      <c r="B1539" s="674">
        <v>23</v>
      </c>
      <c r="C1539" s="666" t="str">
        <f>VLOOKUP(B1539,'Coverage Indicators - Section D'!$A$9:$AU$70,47,FALSE)</f>
        <v/>
      </c>
      <c r="D1539" s="676" t="str">
        <f t="shared" ref="D1539" si="6656">R1539</f>
        <v/>
      </c>
      <c r="E1539" s="676" t="str">
        <f t="shared" ref="E1539" si="6657">S1539</f>
        <v/>
      </c>
      <c r="F1539" s="194"/>
      <c r="G1539" s="668" t="str">
        <f t="shared" ref="G1539" ca="1" si="6658">IF(OR(INDIRECT("'update Helper'!E"&amp;U1539)=0,F1539&lt;&gt;0,F1540&lt;&gt;0),IF(IFERROR((F1539/F1540),"")="","",(F1539/F1540)),INDIRECT("'update Helper'!E"&amp;U1539)/100)</f>
        <v/>
      </c>
      <c r="H1539" s="670"/>
      <c r="I1539" s="672"/>
      <c r="J1539" s="651"/>
      <c r="K1539" s="666" t="str">
        <f t="shared" ref="K1539" si="6659">W1539</f>
        <v/>
      </c>
      <c r="L1539" s="666" t="str">
        <f t="shared" ref="L1539" si="6660">V1539</f>
        <v/>
      </c>
      <c r="M1539" s="651"/>
      <c r="N1539" s="651"/>
      <c r="P1539" s="189">
        <f t="shared" ref="P1539" si="6661">IF(AND(EXACT(C1539,C1537),C1537&lt;&gt;0),P1537+1,0)</f>
        <v>59</v>
      </c>
      <c r="Q1539" s="189" t="str">
        <f t="shared" ref="Q1539" si="6662">IF(C1539&lt;&gt;"",C1539&amp;"-"&amp;P1539,"")</f>
        <v/>
      </c>
      <c r="R1539" s="189" t="str">
        <f t="array" ref="R1539">IFERROR(IF(INDEX('Disaggregation Records'!$E$155:$E$385,MATCH(RIGHT(Q1539,255),RIGHT('Disaggregation Records'!$D$155:$D$385,255),0))=0,"",INDEX('Disaggregation Records'!$E$155:$E$385,MATCH(RIGHT(Q1539,255),RIGHT('Disaggregation Records'!$D$155:$D$385,255),0))),"")</f>
        <v/>
      </c>
      <c r="S1539" s="189" t="str">
        <f t="array" ref="S1539">IFERROR(IF(INDEX('Disaggregation Records'!$F$155:$F$385,MATCH(RIGHT(Q1539,255),RIGHT('Disaggregation Records'!$D$155:$D$385,255),0))=0,"",INDEX('Disaggregation Records'!$F$155:$F$385,MATCH(RIGHT(Q1539,255),RIGHT('Disaggregation Records'!$D$155:$D$385,255),0))),"")</f>
        <v/>
      </c>
      <c r="T1539" s="189" t="str">
        <f t="array" ref="T1539">IFERROR(IF(INDEX('Disaggregation Records'!$H$155:$H$385,MATCH(RIGHT(Q1539,255),RIGHT('Disaggregation Records'!$D$155:$D$385,255),0))=0,"",INDEX('Disaggregation Records'!$H$155:$H$385,MATCH(RIGHT(Q1539,255),RIGHT('Disaggregation Records'!$D$155:$D$385,255),0))),"")</f>
        <v/>
      </c>
      <c r="U1539" s="189">
        <f t="shared" ref="U1539" si="6663">U1537+1</f>
        <v>1871</v>
      </c>
      <c r="V1539" s="189" t="str">
        <f t="array" ref="V1539">IFERROR(IF(INDEX('Disaggregation Records'!$I$155:$I$385,MATCH(RIGHT(Q1539,255),RIGHT('Disaggregation Records'!$D$155:$D$385,255),0))=0,"",INDEX('Disaggregation Records'!$I$155:$I$385,MATCH(RIGHT(Q1539,255),RIGHT('Disaggregation Records'!$D$155:$D$385,255),0))),"")</f>
        <v/>
      </c>
      <c r="W1539" s="189" t="str">
        <f>IFERROR(INDEX('Reference Records'!L$59:L$121,MATCH(LEFT(C1539,255),'Reference Records'!E$59:E$121,0)),"")</f>
        <v/>
      </c>
    </row>
    <row r="1540" spans="1:23" s="189" customFormat="1" ht="40.200000000000003" customHeight="1" x14ac:dyDescent="0.3">
      <c r="A1540" s="678"/>
      <c r="B1540" s="675"/>
      <c r="C1540" s="667"/>
      <c r="D1540" s="677"/>
      <c r="E1540" s="677"/>
      <c r="F1540" s="202"/>
      <c r="G1540" s="669"/>
      <c r="H1540" s="671"/>
      <c r="I1540" s="673"/>
      <c r="J1540" s="652"/>
      <c r="K1540" s="667"/>
      <c r="L1540" s="667"/>
      <c r="M1540" s="652"/>
      <c r="N1540" s="652"/>
    </row>
    <row r="1541" spans="1:23" s="189" customFormat="1" ht="40.200000000000003" customHeight="1" x14ac:dyDescent="0.3">
      <c r="A1541" s="678" t="str">
        <f t="shared" ref="A1541" ca="1" si="6664">INDIRECT("'update Helper'!C"&amp;U1541)</f>
        <v>a163p000002zQgnAAE</v>
      </c>
      <c r="B1541" s="674">
        <v>24</v>
      </c>
      <c r="C1541" s="666" t="str">
        <f>VLOOKUP(B1541,'Coverage Indicators - Section D'!$A$9:$AU$70,47,FALSE)</f>
        <v/>
      </c>
      <c r="D1541" s="676" t="str">
        <f t="shared" ref="D1541" si="6665">R1541</f>
        <v/>
      </c>
      <c r="E1541" s="676" t="str">
        <f t="shared" ref="E1541" si="6666">S1541</f>
        <v/>
      </c>
      <c r="F1541" s="194"/>
      <c r="G1541" s="668" t="str">
        <f t="shared" ref="G1541" ca="1" si="6667">IF(OR(INDIRECT("'update Helper'!E"&amp;U1541)=0,F1541&lt;&gt;0,F1542&lt;&gt;0),IF(IFERROR((F1541/F1542),"")="","",(F1541/F1542)),INDIRECT("'update Helper'!E"&amp;U1541)/100)</f>
        <v/>
      </c>
      <c r="H1541" s="670"/>
      <c r="I1541" s="672"/>
      <c r="J1541" s="651"/>
      <c r="K1541" s="666" t="str">
        <f t="shared" ref="K1541" si="6668">W1541</f>
        <v/>
      </c>
      <c r="L1541" s="666" t="str">
        <f t="shared" ref="L1541" si="6669">V1541</f>
        <v/>
      </c>
      <c r="M1541" s="651"/>
      <c r="N1541" s="651"/>
      <c r="P1541" s="189">
        <f t="shared" ref="P1541" si="6670">IF(AND(EXACT(C1541,C1539),C1539&lt;&gt;0),P1539+1,0)</f>
        <v>60</v>
      </c>
      <c r="Q1541" s="189" t="str">
        <f t="shared" ref="Q1541" si="6671">IF(C1541&lt;&gt;"",C1541&amp;"-"&amp;P1541,"")</f>
        <v/>
      </c>
      <c r="R1541" s="189" t="str">
        <f t="array" ref="R1541">IFERROR(IF(INDEX('Disaggregation Records'!$E$155:$E$385,MATCH(RIGHT(Q1541,255),RIGHT('Disaggregation Records'!$D$155:$D$385,255),0))=0,"",INDEX('Disaggregation Records'!$E$155:$E$385,MATCH(RIGHT(Q1541,255),RIGHT('Disaggregation Records'!$D$155:$D$385,255),0))),"")</f>
        <v/>
      </c>
      <c r="S1541" s="189" t="str">
        <f t="array" ref="S1541">IFERROR(IF(INDEX('Disaggregation Records'!$F$155:$F$385,MATCH(RIGHT(Q1541,255),RIGHT('Disaggregation Records'!$D$155:$D$385,255),0))=0,"",INDEX('Disaggregation Records'!$F$155:$F$385,MATCH(RIGHT(Q1541,255),RIGHT('Disaggregation Records'!$D$155:$D$385,255),0))),"")</f>
        <v/>
      </c>
      <c r="T1541" s="189" t="str">
        <f t="array" ref="T1541">IFERROR(IF(INDEX('Disaggregation Records'!$H$155:$H$385,MATCH(RIGHT(Q1541,255),RIGHT('Disaggregation Records'!$D$155:$D$385,255),0))=0,"",INDEX('Disaggregation Records'!$H$155:$H$385,MATCH(RIGHT(Q1541,255),RIGHT('Disaggregation Records'!$D$155:$D$385,255),0))),"")</f>
        <v/>
      </c>
      <c r="U1541" s="189">
        <f t="shared" ref="U1541" si="6672">U1539+1</f>
        <v>1872</v>
      </c>
      <c r="V1541" s="189" t="str">
        <f t="array" ref="V1541">IFERROR(IF(INDEX('Disaggregation Records'!$I$155:$I$385,MATCH(RIGHT(Q1541,255),RIGHT('Disaggregation Records'!$D$155:$D$385,255),0))=0,"",INDEX('Disaggregation Records'!$I$155:$I$385,MATCH(RIGHT(Q1541,255),RIGHT('Disaggregation Records'!$D$155:$D$385,255),0))),"")</f>
        <v/>
      </c>
      <c r="W1541" s="189" t="str">
        <f>IFERROR(INDEX('Reference Records'!L$59:L$121,MATCH(LEFT(C1541,255),'Reference Records'!E$59:E$121,0)),"")</f>
        <v/>
      </c>
    </row>
    <row r="1542" spans="1:23" s="189" customFormat="1" ht="40.200000000000003" customHeight="1" x14ac:dyDescent="0.3">
      <c r="A1542" s="678"/>
      <c r="B1542" s="675"/>
      <c r="C1542" s="667"/>
      <c r="D1542" s="677"/>
      <c r="E1542" s="677"/>
      <c r="F1542" s="202"/>
      <c r="G1542" s="669"/>
      <c r="H1542" s="671"/>
      <c r="I1542" s="673"/>
      <c r="J1542" s="652"/>
      <c r="K1542" s="667"/>
      <c r="L1542" s="667"/>
      <c r="M1542" s="652"/>
      <c r="N1542" s="652"/>
    </row>
    <row r="1543" spans="1:23" s="189" customFormat="1" ht="40.200000000000003" customHeight="1" x14ac:dyDescent="0.3">
      <c r="A1543" s="678" t="str">
        <f t="shared" ref="A1543" ca="1" si="6673">INDIRECT("'update Helper'!C"&amp;U1543)</f>
        <v>a163p000002zQgoAAE</v>
      </c>
      <c r="B1543" s="674">
        <v>24</v>
      </c>
      <c r="C1543" s="666" t="str">
        <f>VLOOKUP(B1543,'Coverage Indicators - Section D'!$A$9:$AU$70,47,FALSE)</f>
        <v/>
      </c>
      <c r="D1543" s="676" t="str">
        <f t="shared" ref="D1543" si="6674">R1543</f>
        <v/>
      </c>
      <c r="E1543" s="676" t="str">
        <f t="shared" ref="E1543" si="6675">S1543</f>
        <v/>
      </c>
      <c r="F1543" s="194"/>
      <c r="G1543" s="668" t="str">
        <f t="shared" ref="G1543" ca="1" si="6676">IF(OR(INDIRECT("'update Helper'!E"&amp;U1543)=0,F1543&lt;&gt;0,F1544&lt;&gt;0),IF(IFERROR((F1543/F1544),"")="","",(F1543/F1544)),INDIRECT("'update Helper'!E"&amp;U1543)/100)</f>
        <v/>
      </c>
      <c r="H1543" s="670"/>
      <c r="I1543" s="672"/>
      <c r="J1543" s="651"/>
      <c r="K1543" s="666" t="str">
        <f t="shared" ref="K1543" si="6677">W1543</f>
        <v/>
      </c>
      <c r="L1543" s="666" t="str">
        <f t="shared" ref="L1543" si="6678">V1543</f>
        <v/>
      </c>
      <c r="M1543" s="651"/>
      <c r="N1543" s="651"/>
      <c r="P1543" s="189">
        <f t="shared" ref="P1543" si="6679">IF(AND(EXACT(C1543,C1541),C1541&lt;&gt;0),P1541+1,0)</f>
        <v>61</v>
      </c>
      <c r="Q1543" s="189" t="str">
        <f t="shared" ref="Q1543" si="6680">IF(C1543&lt;&gt;"",C1543&amp;"-"&amp;P1543,"")</f>
        <v/>
      </c>
      <c r="R1543" s="189" t="str">
        <f t="array" ref="R1543">IFERROR(IF(INDEX('Disaggregation Records'!$E$155:$E$385,MATCH(RIGHT(Q1543,255),RIGHT('Disaggregation Records'!$D$155:$D$385,255),0))=0,"",INDEX('Disaggregation Records'!$E$155:$E$385,MATCH(RIGHT(Q1543,255),RIGHT('Disaggregation Records'!$D$155:$D$385,255),0))),"")</f>
        <v/>
      </c>
      <c r="S1543" s="189" t="str">
        <f t="array" ref="S1543">IFERROR(IF(INDEX('Disaggregation Records'!$F$155:$F$385,MATCH(RIGHT(Q1543,255),RIGHT('Disaggregation Records'!$D$155:$D$385,255),0))=0,"",INDEX('Disaggregation Records'!$F$155:$F$385,MATCH(RIGHT(Q1543,255),RIGHT('Disaggregation Records'!$D$155:$D$385,255),0))),"")</f>
        <v/>
      </c>
      <c r="T1543" s="189" t="str">
        <f t="array" ref="T1543">IFERROR(IF(INDEX('Disaggregation Records'!$H$155:$H$385,MATCH(RIGHT(Q1543,255),RIGHT('Disaggregation Records'!$D$155:$D$385,255),0))=0,"",INDEX('Disaggregation Records'!$H$155:$H$385,MATCH(RIGHT(Q1543,255),RIGHT('Disaggregation Records'!$D$155:$D$385,255),0))),"")</f>
        <v/>
      </c>
      <c r="U1543" s="189">
        <f t="shared" ref="U1543" si="6681">U1541+1</f>
        <v>1873</v>
      </c>
      <c r="V1543" s="189" t="str">
        <f t="array" ref="V1543">IFERROR(IF(INDEX('Disaggregation Records'!$I$155:$I$385,MATCH(RIGHT(Q1543,255),RIGHT('Disaggregation Records'!$D$155:$D$385,255),0))=0,"",INDEX('Disaggregation Records'!$I$155:$I$385,MATCH(RIGHT(Q1543,255),RIGHT('Disaggregation Records'!$D$155:$D$385,255),0))),"")</f>
        <v/>
      </c>
      <c r="W1543" s="189" t="str">
        <f>IFERROR(INDEX('Reference Records'!L$59:L$121,MATCH(LEFT(C1543,255),'Reference Records'!E$59:E$121,0)),"")</f>
        <v/>
      </c>
    </row>
    <row r="1544" spans="1:23" s="189" customFormat="1" ht="40.200000000000003" customHeight="1" x14ac:dyDescent="0.3">
      <c r="A1544" s="678"/>
      <c r="B1544" s="675"/>
      <c r="C1544" s="667"/>
      <c r="D1544" s="677"/>
      <c r="E1544" s="677"/>
      <c r="F1544" s="202"/>
      <c r="G1544" s="669"/>
      <c r="H1544" s="671"/>
      <c r="I1544" s="673"/>
      <c r="J1544" s="652"/>
      <c r="K1544" s="667"/>
      <c r="L1544" s="667"/>
      <c r="M1544" s="652"/>
      <c r="N1544" s="652"/>
    </row>
    <row r="1545" spans="1:23" s="189" customFormat="1" ht="40.200000000000003" customHeight="1" x14ac:dyDescent="0.3">
      <c r="A1545" s="678" t="str">
        <f t="shared" ref="A1545" ca="1" si="6682">INDIRECT("'update Helper'!C"&amp;U1545)</f>
        <v>a163p000002zQgpAAE</v>
      </c>
      <c r="B1545" s="674">
        <v>24</v>
      </c>
      <c r="C1545" s="666" t="str">
        <f>VLOOKUP(B1545,'Coverage Indicators - Section D'!$A$9:$AU$70,47,FALSE)</f>
        <v/>
      </c>
      <c r="D1545" s="676" t="str">
        <f t="shared" ref="D1545" si="6683">R1545</f>
        <v/>
      </c>
      <c r="E1545" s="676" t="str">
        <f t="shared" ref="E1545" si="6684">S1545</f>
        <v/>
      </c>
      <c r="F1545" s="194"/>
      <c r="G1545" s="668" t="str">
        <f t="shared" ref="G1545" ca="1" si="6685">IF(OR(INDIRECT("'update Helper'!E"&amp;U1545)=0,F1545&lt;&gt;0,F1546&lt;&gt;0),IF(IFERROR((F1545/F1546),"")="","",(F1545/F1546)),INDIRECT("'update Helper'!E"&amp;U1545)/100)</f>
        <v/>
      </c>
      <c r="H1545" s="670"/>
      <c r="I1545" s="672"/>
      <c r="J1545" s="651"/>
      <c r="K1545" s="666" t="str">
        <f t="shared" ref="K1545" si="6686">W1545</f>
        <v/>
      </c>
      <c r="L1545" s="666" t="str">
        <f t="shared" ref="L1545" si="6687">V1545</f>
        <v/>
      </c>
      <c r="M1545" s="651"/>
      <c r="N1545" s="651"/>
      <c r="P1545" s="189">
        <f t="shared" ref="P1545" si="6688">IF(AND(EXACT(C1545,C1543),C1543&lt;&gt;0),P1543+1,0)</f>
        <v>62</v>
      </c>
      <c r="Q1545" s="189" t="str">
        <f t="shared" ref="Q1545" si="6689">IF(C1545&lt;&gt;"",C1545&amp;"-"&amp;P1545,"")</f>
        <v/>
      </c>
      <c r="R1545" s="189" t="str">
        <f t="array" ref="R1545">IFERROR(IF(INDEX('Disaggregation Records'!$E$155:$E$385,MATCH(RIGHT(Q1545,255),RIGHT('Disaggregation Records'!$D$155:$D$385,255),0))=0,"",INDEX('Disaggregation Records'!$E$155:$E$385,MATCH(RIGHT(Q1545,255),RIGHT('Disaggregation Records'!$D$155:$D$385,255),0))),"")</f>
        <v/>
      </c>
      <c r="S1545" s="189" t="str">
        <f t="array" ref="S1545">IFERROR(IF(INDEX('Disaggregation Records'!$F$155:$F$385,MATCH(RIGHT(Q1545,255),RIGHT('Disaggregation Records'!$D$155:$D$385,255),0))=0,"",INDEX('Disaggregation Records'!$F$155:$F$385,MATCH(RIGHT(Q1545,255),RIGHT('Disaggregation Records'!$D$155:$D$385,255),0))),"")</f>
        <v/>
      </c>
      <c r="T1545" s="189" t="str">
        <f t="array" ref="T1545">IFERROR(IF(INDEX('Disaggregation Records'!$H$155:$H$385,MATCH(RIGHT(Q1545,255),RIGHT('Disaggregation Records'!$D$155:$D$385,255),0))=0,"",INDEX('Disaggregation Records'!$H$155:$H$385,MATCH(RIGHT(Q1545,255),RIGHT('Disaggregation Records'!$D$155:$D$385,255),0))),"")</f>
        <v/>
      </c>
      <c r="U1545" s="189">
        <f t="shared" ref="U1545" si="6690">U1543+1</f>
        <v>1874</v>
      </c>
      <c r="V1545" s="189" t="str">
        <f t="array" ref="V1545">IFERROR(IF(INDEX('Disaggregation Records'!$I$155:$I$385,MATCH(RIGHT(Q1545,255),RIGHT('Disaggregation Records'!$D$155:$D$385,255),0))=0,"",INDEX('Disaggregation Records'!$I$155:$I$385,MATCH(RIGHT(Q1545,255),RIGHT('Disaggregation Records'!$D$155:$D$385,255),0))),"")</f>
        <v/>
      </c>
      <c r="W1545" s="189" t="str">
        <f>IFERROR(INDEX('Reference Records'!L$59:L$121,MATCH(LEFT(C1545,255),'Reference Records'!E$59:E$121,0)),"")</f>
        <v/>
      </c>
    </row>
    <row r="1546" spans="1:23" s="189" customFormat="1" ht="40.200000000000003" customHeight="1" x14ac:dyDescent="0.3">
      <c r="A1546" s="678"/>
      <c r="B1546" s="675"/>
      <c r="C1546" s="667"/>
      <c r="D1546" s="677"/>
      <c r="E1546" s="677"/>
      <c r="F1546" s="202"/>
      <c r="G1546" s="669"/>
      <c r="H1546" s="671"/>
      <c r="I1546" s="673"/>
      <c r="J1546" s="652"/>
      <c r="K1546" s="667"/>
      <c r="L1546" s="667"/>
      <c r="M1546" s="652"/>
      <c r="N1546" s="652"/>
    </row>
    <row r="1547" spans="1:23" s="189" customFormat="1" ht="40.200000000000003" customHeight="1" x14ac:dyDescent="0.3">
      <c r="A1547" s="678" t="str">
        <f t="shared" ref="A1547" ca="1" si="6691">INDIRECT("'update Helper'!C"&amp;U1547)</f>
        <v>a163p000002zQgqAAE</v>
      </c>
      <c r="B1547" s="674">
        <v>24</v>
      </c>
      <c r="C1547" s="666" t="str">
        <f>VLOOKUP(B1547,'Coverage Indicators - Section D'!$A$9:$AU$70,47,FALSE)</f>
        <v/>
      </c>
      <c r="D1547" s="676" t="str">
        <f t="shared" ref="D1547" si="6692">R1547</f>
        <v/>
      </c>
      <c r="E1547" s="676" t="str">
        <f t="shared" ref="E1547" si="6693">S1547</f>
        <v/>
      </c>
      <c r="F1547" s="194"/>
      <c r="G1547" s="668" t="str">
        <f t="shared" ref="G1547" ca="1" si="6694">IF(OR(INDIRECT("'update Helper'!E"&amp;U1547)=0,F1547&lt;&gt;0,F1548&lt;&gt;0),IF(IFERROR((F1547/F1548),"")="","",(F1547/F1548)),INDIRECT("'update Helper'!E"&amp;U1547)/100)</f>
        <v/>
      </c>
      <c r="H1547" s="670"/>
      <c r="I1547" s="672"/>
      <c r="J1547" s="651"/>
      <c r="K1547" s="666" t="str">
        <f t="shared" ref="K1547" si="6695">W1547</f>
        <v/>
      </c>
      <c r="L1547" s="666" t="str">
        <f t="shared" ref="L1547" si="6696">V1547</f>
        <v/>
      </c>
      <c r="M1547" s="651"/>
      <c r="N1547" s="651"/>
      <c r="P1547" s="189">
        <f t="shared" ref="P1547" si="6697">IF(AND(EXACT(C1547,C1545),C1545&lt;&gt;0),P1545+1,0)</f>
        <v>63</v>
      </c>
      <c r="Q1547" s="189" t="str">
        <f t="shared" ref="Q1547" si="6698">IF(C1547&lt;&gt;"",C1547&amp;"-"&amp;P1547,"")</f>
        <v/>
      </c>
      <c r="R1547" s="189" t="str">
        <f t="array" ref="R1547">IFERROR(IF(INDEX('Disaggregation Records'!$E$155:$E$385,MATCH(RIGHT(Q1547,255),RIGHT('Disaggregation Records'!$D$155:$D$385,255),0))=0,"",INDEX('Disaggregation Records'!$E$155:$E$385,MATCH(RIGHT(Q1547,255),RIGHT('Disaggregation Records'!$D$155:$D$385,255),0))),"")</f>
        <v/>
      </c>
      <c r="S1547" s="189" t="str">
        <f t="array" ref="S1547">IFERROR(IF(INDEX('Disaggregation Records'!$F$155:$F$385,MATCH(RIGHT(Q1547,255),RIGHT('Disaggregation Records'!$D$155:$D$385,255),0))=0,"",INDEX('Disaggregation Records'!$F$155:$F$385,MATCH(RIGHT(Q1547,255),RIGHT('Disaggregation Records'!$D$155:$D$385,255),0))),"")</f>
        <v/>
      </c>
      <c r="T1547" s="189" t="str">
        <f t="array" ref="T1547">IFERROR(IF(INDEX('Disaggregation Records'!$H$155:$H$385,MATCH(RIGHT(Q1547,255),RIGHT('Disaggregation Records'!$D$155:$D$385,255),0))=0,"",INDEX('Disaggregation Records'!$H$155:$H$385,MATCH(RIGHT(Q1547,255),RIGHT('Disaggregation Records'!$D$155:$D$385,255),0))),"")</f>
        <v/>
      </c>
      <c r="U1547" s="189">
        <f t="shared" ref="U1547" si="6699">U1545+1</f>
        <v>1875</v>
      </c>
      <c r="V1547" s="189" t="str">
        <f t="array" ref="V1547">IFERROR(IF(INDEX('Disaggregation Records'!$I$155:$I$385,MATCH(RIGHT(Q1547,255),RIGHT('Disaggregation Records'!$D$155:$D$385,255),0))=0,"",INDEX('Disaggregation Records'!$I$155:$I$385,MATCH(RIGHT(Q1547,255),RIGHT('Disaggregation Records'!$D$155:$D$385,255),0))),"")</f>
        <v/>
      </c>
      <c r="W1547" s="189" t="str">
        <f>IFERROR(INDEX('Reference Records'!L$59:L$121,MATCH(LEFT(C1547,255),'Reference Records'!E$59:E$121,0)),"")</f>
        <v/>
      </c>
    </row>
    <row r="1548" spans="1:23" s="189" customFormat="1" ht="40.200000000000003" customHeight="1" x14ac:dyDescent="0.3">
      <c r="A1548" s="678"/>
      <c r="B1548" s="675"/>
      <c r="C1548" s="667"/>
      <c r="D1548" s="677"/>
      <c r="E1548" s="677"/>
      <c r="F1548" s="202"/>
      <c r="G1548" s="669"/>
      <c r="H1548" s="671"/>
      <c r="I1548" s="673"/>
      <c r="J1548" s="652"/>
      <c r="K1548" s="667"/>
      <c r="L1548" s="667"/>
      <c r="M1548" s="652"/>
      <c r="N1548" s="652"/>
    </row>
    <row r="1549" spans="1:23" s="189" customFormat="1" ht="40.200000000000003" customHeight="1" x14ac:dyDescent="0.3">
      <c r="A1549" s="678" t="str">
        <f t="shared" ref="A1549" ca="1" si="6700">INDIRECT("'update Helper'!C"&amp;U1549)</f>
        <v>a163p000002zQgrAAE</v>
      </c>
      <c r="B1549" s="674">
        <v>24</v>
      </c>
      <c r="C1549" s="666" t="str">
        <f>VLOOKUP(B1549,'Coverage Indicators - Section D'!$A$9:$AU$70,47,FALSE)</f>
        <v/>
      </c>
      <c r="D1549" s="676" t="str">
        <f t="shared" ref="D1549" si="6701">R1549</f>
        <v/>
      </c>
      <c r="E1549" s="676" t="str">
        <f t="shared" ref="E1549" si="6702">S1549</f>
        <v/>
      </c>
      <c r="F1549" s="194"/>
      <c r="G1549" s="668" t="str">
        <f t="shared" ref="G1549" ca="1" si="6703">IF(OR(INDIRECT("'update Helper'!E"&amp;U1549)=0,F1549&lt;&gt;0,F1550&lt;&gt;0),IF(IFERROR((F1549/F1550),"")="","",(F1549/F1550)),INDIRECT("'update Helper'!E"&amp;U1549)/100)</f>
        <v/>
      </c>
      <c r="H1549" s="670"/>
      <c r="I1549" s="672"/>
      <c r="J1549" s="651"/>
      <c r="K1549" s="666" t="str">
        <f t="shared" ref="K1549" si="6704">W1549</f>
        <v/>
      </c>
      <c r="L1549" s="666" t="str">
        <f t="shared" ref="L1549" si="6705">V1549</f>
        <v/>
      </c>
      <c r="M1549" s="651"/>
      <c r="N1549" s="651"/>
      <c r="P1549" s="189">
        <f t="shared" ref="P1549" si="6706">IF(AND(EXACT(C1549,C1547),C1547&lt;&gt;0),P1547+1,0)</f>
        <v>64</v>
      </c>
      <c r="Q1549" s="189" t="str">
        <f t="shared" ref="Q1549" si="6707">IF(C1549&lt;&gt;"",C1549&amp;"-"&amp;P1549,"")</f>
        <v/>
      </c>
      <c r="R1549" s="189" t="str">
        <f t="array" ref="R1549">IFERROR(IF(INDEX('Disaggregation Records'!$E$155:$E$385,MATCH(RIGHT(Q1549,255),RIGHT('Disaggregation Records'!$D$155:$D$385,255),0))=0,"",INDEX('Disaggregation Records'!$E$155:$E$385,MATCH(RIGHT(Q1549,255),RIGHT('Disaggregation Records'!$D$155:$D$385,255),0))),"")</f>
        <v/>
      </c>
      <c r="S1549" s="189" t="str">
        <f t="array" ref="S1549">IFERROR(IF(INDEX('Disaggregation Records'!$F$155:$F$385,MATCH(RIGHT(Q1549,255),RIGHT('Disaggregation Records'!$D$155:$D$385,255),0))=0,"",INDEX('Disaggregation Records'!$F$155:$F$385,MATCH(RIGHT(Q1549,255),RIGHT('Disaggregation Records'!$D$155:$D$385,255),0))),"")</f>
        <v/>
      </c>
      <c r="T1549" s="189" t="str">
        <f t="array" ref="T1549">IFERROR(IF(INDEX('Disaggregation Records'!$H$155:$H$385,MATCH(RIGHT(Q1549,255),RIGHT('Disaggregation Records'!$D$155:$D$385,255),0))=0,"",INDEX('Disaggregation Records'!$H$155:$H$385,MATCH(RIGHT(Q1549,255),RIGHT('Disaggregation Records'!$D$155:$D$385,255),0))),"")</f>
        <v/>
      </c>
      <c r="U1549" s="189">
        <f t="shared" ref="U1549" si="6708">U1547+1</f>
        <v>1876</v>
      </c>
      <c r="V1549" s="189" t="str">
        <f t="array" ref="V1549">IFERROR(IF(INDEX('Disaggregation Records'!$I$155:$I$385,MATCH(RIGHT(Q1549,255),RIGHT('Disaggregation Records'!$D$155:$D$385,255),0))=0,"",INDEX('Disaggregation Records'!$I$155:$I$385,MATCH(RIGHT(Q1549,255),RIGHT('Disaggregation Records'!$D$155:$D$385,255),0))),"")</f>
        <v/>
      </c>
      <c r="W1549" s="189" t="str">
        <f>IFERROR(INDEX('Reference Records'!L$59:L$121,MATCH(LEFT(C1549,255),'Reference Records'!E$59:E$121,0)),"")</f>
        <v/>
      </c>
    </row>
    <row r="1550" spans="1:23" s="189" customFormat="1" ht="40.200000000000003" customHeight="1" x14ac:dyDescent="0.3">
      <c r="A1550" s="678"/>
      <c r="B1550" s="675"/>
      <c r="C1550" s="667"/>
      <c r="D1550" s="677"/>
      <c r="E1550" s="677"/>
      <c r="F1550" s="202"/>
      <c r="G1550" s="669"/>
      <c r="H1550" s="671"/>
      <c r="I1550" s="673"/>
      <c r="J1550" s="652"/>
      <c r="K1550" s="667"/>
      <c r="L1550" s="667"/>
      <c r="M1550" s="652"/>
      <c r="N1550" s="652"/>
    </row>
    <row r="1551" spans="1:23" s="189" customFormat="1" ht="40.200000000000003" customHeight="1" x14ac:dyDescent="0.3">
      <c r="A1551" s="678" t="str">
        <f t="shared" ref="A1551" ca="1" si="6709">INDIRECT("'update Helper'!C"&amp;U1551)</f>
        <v>a163p000002zQgsAAE</v>
      </c>
      <c r="B1551" s="674">
        <v>24</v>
      </c>
      <c r="C1551" s="666" t="str">
        <f>VLOOKUP(B1551,'Coverage Indicators - Section D'!$A$9:$AU$70,47,FALSE)</f>
        <v/>
      </c>
      <c r="D1551" s="676" t="str">
        <f t="shared" ref="D1551" si="6710">R1551</f>
        <v/>
      </c>
      <c r="E1551" s="676" t="str">
        <f t="shared" ref="E1551" si="6711">S1551</f>
        <v/>
      </c>
      <c r="F1551" s="194"/>
      <c r="G1551" s="668" t="str">
        <f t="shared" ref="G1551" ca="1" si="6712">IF(OR(INDIRECT("'update Helper'!E"&amp;U1551)=0,F1551&lt;&gt;0,F1552&lt;&gt;0),IF(IFERROR((F1551/F1552),"")="","",(F1551/F1552)),INDIRECT("'update Helper'!E"&amp;U1551)/100)</f>
        <v/>
      </c>
      <c r="H1551" s="670"/>
      <c r="I1551" s="672"/>
      <c r="J1551" s="651"/>
      <c r="K1551" s="666" t="str">
        <f t="shared" ref="K1551" si="6713">W1551</f>
        <v/>
      </c>
      <c r="L1551" s="666" t="str">
        <f t="shared" ref="L1551" si="6714">V1551</f>
        <v/>
      </c>
      <c r="M1551" s="651"/>
      <c r="N1551" s="651"/>
      <c r="P1551" s="189">
        <f t="shared" ref="P1551" si="6715">IF(AND(EXACT(C1551,C1549),C1549&lt;&gt;0),P1549+1,0)</f>
        <v>65</v>
      </c>
      <c r="Q1551" s="189" t="str">
        <f t="shared" ref="Q1551" si="6716">IF(C1551&lt;&gt;"",C1551&amp;"-"&amp;P1551,"")</f>
        <v/>
      </c>
      <c r="R1551" s="189" t="str">
        <f t="array" ref="R1551">IFERROR(IF(INDEX('Disaggregation Records'!$E$155:$E$385,MATCH(RIGHT(Q1551,255),RIGHT('Disaggregation Records'!$D$155:$D$385,255),0))=0,"",INDEX('Disaggregation Records'!$E$155:$E$385,MATCH(RIGHT(Q1551,255),RIGHT('Disaggregation Records'!$D$155:$D$385,255),0))),"")</f>
        <v/>
      </c>
      <c r="S1551" s="189" t="str">
        <f t="array" ref="S1551">IFERROR(IF(INDEX('Disaggregation Records'!$F$155:$F$385,MATCH(RIGHT(Q1551,255),RIGHT('Disaggregation Records'!$D$155:$D$385,255),0))=0,"",INDEX('Disaggregation Records'!$F$155:$F$385,MATCH(RIGHT(Q1551,255),RIGHT('Disaggregation Records'!$D$155:$D$385,255),0))),"")</f>
        <v/>
      </c>
      <c r="T1551" s="189" t="str">
        <f t="array" ref="T1551">IFERROR(IF(INDEX('Disaggregation Records'!$H$155:$H$385,MATCH(RIGHT(Q1551,255),RIGHT('Disaggregation Records'!$D$155:$D$385,255),0))=0,"",INDEX('Disaggregation Records'!$H$155:$H$385,MATCH(RIGHT(Q1551,255),RIGHT('Disaggregation Records'!$D$155:$D$385,255),0))),"")</f>
        <v/>
      </c>
      <c r="U1551" s="189">
        <f t="shared" ref="U1551" si="6717">U1549+1</f>
        <v>1877</v>
      </c>
      <c r="V1551" s="189" t="str">
        <f t="array" ref="V1551">IFERROR(IF(INDEX('Disaggregation Records'!$I$155:$I$385,MATCH(RIGHT(Q1551,255),RIGHT('Disaggregation Records'!$D$155:$D$385,255),0))=0,"",INDEX('Disaggregation Records'!$I$155:$I$385,MATCH(RIGHT(Q1551,255),RIGHT('Disaggregation Records'!$D$155:$D$385,255),0))),"")</f>
        <v/>
      </c>
      <c r="W1551" s="189" t="str">
        <f>IFERROR(INDEX('Reference Records'!L$59:L$121,MATCH(LEFT(C1551,255),'Reference Records'!E$59:E$121,0)),"")</f>
        <v/>
      </c>
    </row>
    <row r="1552" spans="1:23" s="189" customFormat="1" ht="40.200000000000003" customHeight="1" x14ac:dyDescent="0.3">
      <c r="A1552" s="678"/>
      <c r="B1552" s="675"/>
      <c r="C1552" s="667"/>
      <c r="D1552" s="677"/>
      <c r="E1552" s="677"/>
      <c r="F1552" s="202"/>
      <c r="G1552" s="669"/>
      <c r="H1552" s="671"/>
      <c r="I1552" s="673"/>
      <c r="J1552" s="652"/>
      <c r="K1552" s="667"/>
      <c r="L1552" s="667"/>
      <c r="M1552" s="652"/>
      <c r="N1552" s="652"/>
    </row>
    <row r="1553" spans="1:23" s="189" customFormat="1" ht="40.200000000000003" customHeight="1" x14ac:dyDescent="0.3">
      <c r="A1553" s="678" t="str">
        <f t="shared" ref="A1553" ca="1" si="6718">INDIRECT("'update Helper'!C"&amp;U1553)</f>
        <v>a163p000002zQgtAAE</v>
      </c>
      <c r="B1553" s="674">
        <v>24</v>
      </c>
      <c r="C1553" s="666" t="str">
        <f>VLOOKUP(B1553,'Coverage Indicators - Section D'!$A$9:$AU$70,47,FALSE)</f>
        <v/>
      </c>
      <c r="D1553" s="676" t="str">
        <f t="shared" ref="D1553" si="6719">R1553</f>
        <v/>
      </c>
      <c r="E1553" s="676" t="str">
        <f t="shared" ref="E1553" si="6720">S1553</f>
        <v/>
      </c>
      <c r="F1553" s="194"/>
      <c r="G1553" s="668" t="str">
        <f t="shared" ref="G1553" ca="1" si="6721">IF(OR(INDIRECT("'update Helper'!E"&amp;U1553)=0,F1553&lt;&gt;0,F1554&lt;&gt;0),IF(IFERROR((F1553/F1554),"")="","",(F1553/F1554)),INDIRECT("'update Helper'!E"&amp;U1553)/100)</f>
        <v/>
      </c>
      <c r="H1553" s="670"/>
      <c r="I1553" s="672"/>
      <c r="J1553" s="651"/>
      <c r="K1553" s="666" t="str">
        <f t="shared" ref="K1553" si="6722">W1553</f>
        <v/>
      </c>
      <c r="L1553" s="666" t="str">
        <f t="shared" ref="L1553" si="6723">V1553</f>
        <v/>
      </c>
      <c r="M1553" s="651"/>
      <c r="N1553" s="651"/>
      <c r="P1553" s="189">
        <f t="shared" ref="P1553" si="6724">IF(AND(EXACT(C1553,C1551),C1551&lt;&gt;0),P1551+1,0)</f>
        <v>66</v>
      </c>
      <c r="Q1553" s="189" t="str">
        <f t="shared" ref="Q1553" si="6725">IF(C1553&lt;&gt;"",C1553&amp;"-"&amp;P1553,"")</f>
        <v/>
      </c>
      <c r="R1553" s="189" t="str">
        <f t="array" ref="R1553">IFERROR(IF(INDEX('Disaggregation Records'!$E$155:$E$385,MATCH(RIGHT(Q1553,255),RIGHT('Disaggregation Records'!$D$155:$D$385,255),0))=0,"",INDEX('Disaggregation Records'!$E$155:$E$385,MATCH(RIGHT(Q1553,255),RIGHT('Disaggregation Records'!$D$155:$D$385,255),0))),"")</f>
        <v/>
      </c>
      <c r="S1553" s="189" t="str">
        <f t="array" ref="S1553">IFERROR(IF(INDEX('Disaggregation Records'!$F$155:$F$385,MATCH(RIGHT(Q1553,255),RIGHT('Disaggregation Records'!$D$155:$D$385,255),0))=0,"",INDEX('Disaggregation Records'!$F$155:$F$385,MATCH(RIGHT(Q1553,255),RIGHT('Disaggregation Records'!$D$155:$D$385,255),0))),"")</f>
        <v/>
      </c>
      <c r="T1553" s="189" t="str">
        <f t="array" ref="T1553">IFERROR(IF(INDEX('Disaggregation Records'!$H$155:$H$385,MATCH(RIGHT(Q1553,255),RIGHT('Disaggregation Records'!$D$155:$D$385,255),0))=0,"",INDEX('Disaggregation Records'!$H$155:$H$385,MATCH(RIGHT(Q1553,255),RIGHT('Disaggregation Records'!$D$155:$D$385,255),0))),"")</f>
        <v/>
      </c>
      <c r="U1553" s="189">
        <f t="shared" ref="U1553" si="6726">U1551+1</f>
        <v>1878</v>
      </c>
      <c r="V1553" s="189" t="str">
        <f t="array" ref="V1553">IFERROR(IF(INDEX('Disaggregation Records'!$I$155:$I$385,MATCH(RIGHT(Q1553,255),RIGHT('Disaggregation Records'!$D$155:$D$385,255),0))=0,"",INDEX('Disaggregation Records'!$I$155:$I$385,MATCH(RIGHT(Q1553,255),RIGHT('Disaggregation Records'!$D$155:$D$385,255),0))),"")</f>
        <v/>
      </c>
      <c r="W1553" s="189" t="str">
        <f>IFERROR(INDEX('Reference Records'!L$59:L$121,MATCH(LEFT(C1553,255),'Reference Records'!E$59:E$121,0)),"")</f>
        <v/>
      </c>
    </row>
    <row r="1554" spans="1:23" s="189" customFormat="1" ht="40.200000000000003" customHeight="1" x14ac:dyDescent="0.3">
      <c r="A1554" s="678"/>
      <c r="B1554" s="675"/>
      <c r="C1554" s="667"/>
      <c r="D1554" s="677"/>
      <c r="E1554" s="677"/>
      <c r="F1554" s="202"/>
      <c r="G1554" s="669"/>
      <c r="H1554" s="671"/>
      <c r="I1554" s="673"/>
      <c r="J1554" s="652"/>
      <c r="K1554" s="667"/>
      <c r="L1554" s="667"/>
      <c r="M1554" s="652"/>
      <c r="N1554" s="652"/>
    </row>
    <row r="1555" spans="1:23" s="189" customFormat="1" ht="40.200000000000003" customHeight="1" x14ac:dyDescent="0.3">
      <c r="A1555" s="678" t="str">
        <f t="shared" ref="A1555" ca="1" si="6727">INDIRECT("'update Helper'!C"&amp;U1555)</f>
        <v>a163p000002zQguAAE</v>
      </c>
      <c r="B1555" s="674">
        <v>24</v>
      </c>
      <c r="C1555" s="666" t="str">
        <f>VLOOKUP(B1555,'Coverage Indicators - Section D'!$A$9:$AU$70,47,FALSE)</f>
        <v/>
      </c>
      <c r="D1555" s="676" t="str">
        <f t="shared" ref="D1555" si="6728">R1555</f>
        <v/>
      </c>
      <c r="E1555" s="676" t="str">
        <f t="shared" ref="E1555" si="6729">S1555</f>
        <v/>
      </c>
      <c r="F1555" s="194"/>
      <c r="G1555" s="668" t="str">
        <f t="shared" ref="G1555" ca="1" si="6730">IF(OR(INDIRECT("'update Helper'!E"&amp;U1555)=0,F1555&lt;&gt;0,F1556&lt;&gt;0),IF(IFERROR((F1555/F1556),"")="","",(F1555/F1556)),INDIRECT("'update Helper'!E"&amp;U1555)/100)</f>
        <v/>
      </c>
      <c r="H1555" s="670"/>
      <c r="I1555" s="672"/>
      <c r="J1555" s="651"/>
      <c r="K1555" s="666" t="str">
        <f t="shared" ref="K1555" si="6731">W1555</f>
        <v/>
      </c>
      <c r="L1555" s="666" t="str">
        <f t="shared" ref="L1555" si="6732">V1555</f>
        <v/>
      </c>
      <c r="M1555" s="651"/>
      <c r="N1555" s="651"/>
      <c r="P1555" s="189">
        <f t="shared" ref="P1555" si="6733">IF(AND(EXACT(C1555,C1553),C1553&lt;&gt;0),P1553+1,0)</f>
        <v>67</v>
      </c>
      <c r="Q1555" s="189" t="str">
        <f t="shared" ref="Q1555" si="6734">IF(C1555&lt;&gt;"",C1555&amp;"-"&amp;P1555,"")</f>
        <v/>
      </c>
      <c r="R1555" s="189" t="str">
        <f t="array" ref="R1555">IFERROR(IF(INDEX('Disaggregation Records'!$E$155:$E$385,MATCH(RIGHT(Q1555,255),RIGHT('Disaggregation Records'!$D$155:$D$385,255),0))=0,"",INDEX('Disaggregation Records'!$E$155:$E$385,MATCH(RIGHT(Q1555,255),RIGHT('Disaggregation Records'!$D$155:$D$385,255),0))),"")</f>
        <v/>
      </c>
      <c r="S1555" s="189" t="str">
        <f t="array" ref="S1555">IFERROR(IF(INDEX('Disaggregation Records'!$F$155:$F$385,MATCH(RIGHT(Q1555,255),RIGHT('Disaggregation Records'!$D$155:$D$385,255),0))=0,"",INDEX('Disaggregation Records'!$F$155:$F$385,MATCH(RIGHT(Q1555,255),RIGHT('Disaggregation Records'!$D$155:$D$385,255),0))),"")</f>
        <v/>
      </c>
      <c r="T1555" s="189" t="str">
        <f t="array" ref="T1555">IFERROR(IF(INDEX('Disaggregation Records'!$H$155:$H$385,MATCH(RIGHT(Q1555,255),RIGHT('Disaggregation Records'!$D$155:$D$385,255),0))=0,"",INDEX('Disaggregation Records'!$H$155:$H$385,MATCH(RIGHT(Q1555,255),RIGHT('Disaggregation Records'!$D$155:$D$385,255),0))),"")</f>
        <v/>
      </c>
      <c r="U1555" s="189">
        <f t="shared" ref="U1555" si="6735">U1553+1</f>
        <v>1879</v>
      </c>
      <c r="V1555" s="189" t="str">
        <f t="array" ref="V1555">IFERROR(IF(INDEX('Disaggregation Records'!$I$155:$I$385,MATCH(RIGHT(Q1555,255),RIGHT('Disaggregation Records'!$D$155:$D$385,255),0))=0,"",INDEX('Disaggregation Records'!$I$155:$I$385,MATCH(RIGHT(Q1555,255),RIGHT('Disaggregation Records'!$D$155:$D$385,255),0))),"")</f>
        <v/>
      </c>
      <c r="W1555" s="189" t="str">
        <f>IFERROR(INDEX('Reference Records'!L$59:L$121,MATCH(LEFT(C1555,255),'Reference Records'!E$59:E$121,0)),"")</f>
        <v/>
      </c>
    </row>
    <row r="1556" spans="1:23" s="189" customFormat="1" ht="40.200000000000003" customHeight="1" x14ac:dyDescent="0.3">
      <c r="A1556" s="678"/>
      <c r="B1556" s="675"/>
      <c r="C1556" s="667"/>
      <c r="D1556" s="677"/>
      <c r="E1556" s="677"/>
      <c r="F1556" s="202"/>
      <c r="G1556" s="669"/>
      <c r="H1556" s="671"/>
      <c r="I1556" s="673"/>
      <c r="J1556" s="652"/>
      <c r="K1556" s="667"/>
      <c r="L1556" s="667"/>
      <c r="M1556" s="652"/>
      <c r="N1556" s="652"/>
    </row>
    <row r="1557" spans="1:23" s="189" customFormat="1" ht="40.200000000000003" customHeight="1" x14ac:dyDescent="0.3">
      <c r="A1557" s="678" t="str">
        <f t="shared" ref="A1557" ca="1" si="6736">INDIRECT("'update Helper'!C"&amp;U1557)</f>
        <v>a163p000002zQgvAAE</v>
      </c>
      <c r="B1557" s="674">
        <v>24</v>
      </c>
      <c r="C1557" s="666" t="str">
        <f>VLOOKUP(B1557,'Coverage Indicators - Section D'!$A$9:$AU$70,47,FALSE)</f>
        <v/>
      </c>
      <c r="D1557" s="676" t="str">
        <f t="shared" ref="D1557" si="6737">R1557</f>
        <v/>
      </c>
      <c r="E1557" s="676" t="str">
        <f t="shared" ref="E1557" si="6738">S1557</f>
        <v/>
      </c>
      <c r="F1557" s="194"/>
      <c r="G1557" s="668" t="str">
        <f t="shared" ref="G1557" ca="1" si="6739">IF(OR(INDIRECT("'update Helper'!E"&amp;U1557)=0,F1557&lt;&gt;0,F1558&lt;&gt;0),IF(IFERROR((F1557/F1558),"")="","",(F1557/F1558)),INDIRECT("'update Helper'!E"&amp;U1557)/100)</f>
        <v/>
      </c>
      <c r="H1557" s="670"/>
      <c r="I1557" s="672"/>
      <c r="J1557" s="651"/>
      <c r="K1557" s="666" t="str">
        <f t="shared" ref="K1557" si="6740">W1557</f>
        <v/>
      </c>
      <c r="L1557" s="666" t="str">
        <f t="shared" ref="L1557" si="6741">V1557</f>
        <v/>
      </c>
      <c r="M1557" s="651"/>
      <c r="N1557" s="651"/>
      <c r="P1557" s="189">
        <f t="shared" ref="P1557" si="6742">IF(AND(EXACT(C1557,C1555),C1555&lt;&gt;0),P1555+1,0)</f>
        <v>68</v>
      </c>
      <c r="Q1557" s="189" t="str">
        <f t="shared" ref="Q1557" si="6743">IF(C1557&lt;&gt;"",C1557&amp;"-"&amp;P1557,"")</f>
        <v/>
      </c>
      <c r="R1557" s="189" t="str">
        <f t="array" ref="R1557">IFERROR(IF(INDEX('Disaggregation Records'!$E$155:$E$385,MATCH(RIGHT(Q1557,255),RIGHT('Disaggregation Records'!$D$155:$D$385,255),0))=0,"",INDEX('Disaggregation Records'!$E$155:$E$385,MATCH(RIGHT(Q1557,255),RIGHT('Disaggregation Records'!$D$155:$D$385,255),0))),"")</f>
        <v/>
      </c>
      <c r="S1557" s="189" t="str">
        <f t="array" ref="S1557">IFERROR(IF(INDEX('Disaggregation Records'!$F$155:$F$385,MATCH(RIGHT(Q1557,255),RIGHT('Disaggregation Records'!$D$155:$D$385,255),0))=0,"",INDEX('Disaggregation Records'!$F$155:$F$385,MATCH(RIGHT(Q1557,255),RIGHT('Disaggregation Records'!$D$155:$D$385,255),0))),"")</f>
        <v/>
      </c>
      <c r="T1557" s="189" t="str">
        <f t="array" ref="T1557">IFERROR(IF(INDEX('Disaggregation Records'!$H$155:$H$385,MATCH(RIGHT(Q1557,255),RIGHT('Disaggregation Records'!$D$155:$D$385,255),0))=0,"",INDEX('Disaggregation Records'!$H$155:$H$385,MATCH(RIGHT(Q1557,255),RIGHT('Disaggregation Records'!$D$155:$D$385,255),0))),"")</f>
        <v/>
      </c>
      <c r="U1557" s="189">
        <f t="shared" ref="U1557" si="6744">U1555+1</f>
        <v>1880</v>
      </c>
      <c r="V1557" s="189" t="str">
        <f t="array" ref="V1557">IFERROR(IF(INDEX('Disaggregation Records'!$I$155:$I$385,MATCH(RIGHT(Q1557,255),RIGHT('Disaggregation Records'!$D$155:$D$385,255),0))=0,"",INDEX('Disaggregation Records'!$I$155:$I$385,MATCH(RIGHT(Q1557,255),RIGHT('Disaggregation Records'!$D$155:$D$385,255),0))),"")</f>
        <v/>
      </c>
      <c r="W1557" s="189" t="str">
        <f>IFERROR(INDEX('Reference Records'!L$59:L$121,MATCH(LEFT(C1557,255),'Reference Records'!E$59:E$121,0)),"")</f>
        <v/>
      </c>
    </row>
    <row r="1558" spans="1:23" s="189" customFormat="1" ht="40.200000000000003" customHeight="1" x14ac:dyDescent="0.3">
      <c r="A1558" s="678"/>
      <c r="B1558" s="675"/>
      <c r="C1558" s="667"/>
      <c r="D1558" s="677"/>
      <c r="E1558" s="677"/>
      <c r="F1558" s="202"/>
      <c r="G1558" s="669"/>
      <c r="H1558" s="671"/>
      <c r="I1558" s="673"/>
      <c r="J1558" s="652"/>
      <c r="K1558" s="667"/>
      <c r="L1558" s="667"/>
      <c r="M1558" s="652"/>
      <c r="N1558" s="652"/>
    </row>
    <row r="1559" spans="1:23" s="189" customFormat="1" ht="40.200000000000003" customHeight="1" x14ac:dyDescent="0.3">
      <c r="A1559" s="678" t="str">
        <f t="shared" ref="A1559" ca="1" si="6745">INDIRECT("'update Helper'!C"&amp;U1559)</f>
        <v>a163p000002zQgwAAE</v>
      </c>
      <c r="B1559" s="674">
        <v>24</v>
      </c>
      <c r="C1559" s="666" t="str">
        <f>VLOOKUP(B1559,'Coverage Indicators - Section D'!$A$9:$AU$70,47,FALSE)</f>
        <v/>
      </c>
      <c r="D1559" s="676" t="str">
        <f t="shared" ref="D1559" si="6746">R1559</f>
        <v/>
      </c>
      <c r="E1559" s="676" t="str">
        <f t="shared" ref="E1559" si="6747">S1559</f>
        <v/>
      </c>
      <c r="F1559" s="194"/>
      <c r="G1559" s="668" t="str">
        <f t="shared" ref="G1559" ca="1" si="6748">IF(OR(INDIRECT("'update Helper'!E"&amp;U1559)=0,F1559&lt;&gt;0,F1560&lt;&gt;0),IF(IFERROR((F1559/F1560),"")="","",(F1559/F1560)),INDIRECT("'update Helper'!E"&amp;U1559)/100)</f>
        <v/>
      </c>
      <c r="H1559" s="670"/>
      <c r="I1559" s="672"/>
      <c r="J1559" s="651"/>
      <c r="K1559" s="666" t="str">
        <f t="shared" ref="K1559" si="6749">W1559</f>
        <v/>
      </c>
      <c r="L1559" s="666" t="str">
        <f t="shared" ref="L1559" si="6750">V1559</f>
        <v/>
      </c>
      <c r="M1559" s="651"/>
      <c r="N1559" s="651"/>
      <c r="P1559" s="189">
        <f t="shared" ref="P1559" si="6751">IF(AND(EXACT(C1559,C1557),C1557&lt;&gt;0),P1557+1,0)</f>
        <v>69</v>
      </c>
      <c r="Q1559" s="189" t="str">
        <f t="shared" ref="Q1559" si="6752">IF(C1559&lt;&gt;"",C1559&amp;"-"&amp;P1559,"")</f>
        <v/>
      </c>
      <c r="R1559" s="189" t="str">
        <f t="array" ref="R1559">IFERROR(IF(INDEX('Disaggregation Records'!$E$155:$E$385,MATCH(RIGHT(Q1559,255),RIGHT('Disaggregation Records'!$D$155:$D$385,255),0))=0,"",INDEX('Disaggregation Records'!$E$155:$E$385,MATCH(RIGHT(Q1559,255),RIGHT('Disaggregation Records'!$D$155:$D$385,255),0))),"")</f>
        <v/>
      </c>
      <c r="S1559" s="189" t="str">
        <f t="array" ref="S1559">IFERROR(IF(INDEX('Disaggregation Records'!$F$155:$F$385,MATCH(RIGHT(Q1559,255),RIGHT('Disaggregation Records'!$D$155:$D$385,255),0))=0,"",INDEX('Disaggregation Records'!$F$155:$F$385,MATCH(RIGHT(Q1559,255),RIGHT('Disaggregation Records'!$D$155:$D$385,255),0))),"")</f>
        <v/>
      </c>
      <c r="T1559" s="189" t="str">
        <f t="array" ref="T1559">IFERROR(IF(INDEX('Disaggregation Records'!$H$155:$H$385,MATCH(RIGHT(Q1559,255),RIGHT('Disaggregation Records'!$D$155:$D$385,255),0))=0,"",INDEX('Disaggregation Records'!$H$155:$H$385,MATCH(RIGHT(Q1559,255),RIGHT('Disaggregation Records'!$D$155:$D$385,255),0))),"")</f>
        <v/>
      </c>
      <c r="U1559" s="189">
        <f t="shared" ref="U1559" si="6753">U1557+1</f>
        <v>1881</v>
      </c>
      <c r="V1559" s="189" t="str">
        <f t="array" ref="V1559">IFERROR(IF(INDEX('Disaggregation Records'!$I$155:$I$385,MATCH(RIGHT(Q1559,255),RIGHT('Disaggregation Records'!$D$155:$D$385,255),0))=0,"",INDEX('Disaggregation Records'!$I$155:$I$385,MATCH(RIGHT(Q1559,255),RIGHT('Disaggregation Records'!$D$155:$D$385,255),0))),"")</f>
        <v/>
      </c>
      <c r="W1559" s="189" t="str">
        <f>IFERROR(INDEX('Reference Records'!L$59:L$121,MATCH(LEFT(C1559,255),'Reference Records'!E$59:E$121,0)),"")</f>
        <v/>
      </c>
    </row>
    <row r="1560" spans="1:23" s="189" customFormat="1" ht="40.200000000000003" customHeight="1" x14ac:dyDescent="0.3">
      <c r="A1560" s="678"/>
      <c r="B1560" s="675"/>
      <c r="C1560" s="667"/>
      <c r="D1560" s="677"/>
      <c r="E1560" s="677"/>
      <c r="F1560" s="202"/>
      <c r="G1560" s="669"/>
      <c r="H1560" s="671"/>
      <c r="I1560" s="673"/>
      <c r="J1560" s="652"/>
      <c r="K1560" s="667"/>
      <c r="L1560" s="667"/>
      <c r="M1560" s="652"/>
      <c r="N1560" s="652"/>
    </row>
    <row r="1561" spans="1:23" s="189" customFormat="1" ht="40.200000000000003" customHeight="1" x14ac:dyDescent="0.3">
      <c r="A1561" s="678" t="str">
        <f t="shared" ref="A1561" ca="1" si="6754">INDIRECT("'update Helper'!C"&amp;U1561)</f>
        <v>a163p000002zQgxAAE</v>
      </c>
      <c r="B1561" s="674">
        <v>24</v>
      </c>
      <c r="C1561" s="666" t="str">
        <f>VLOOKUP(B1561,'Coverage Indicators - Section D'!$A$9:$AU$70,47,FALSE)</f>
        <v/>
      </c>
      <c r="D1561" s="676" t="str">
        <f t="shared" ref="D1561" si="6755">R1561</f>
        <v/>
      </c>
      <c r="E1561" s="676" t="str">
        <f t="shared" ref="E1561" si="6756">S1561</f>
        <v/>
      </c>
      <c r="F1561" s="194"/>
      <c r="G1561" s="668" t="str">
        <f t="shared" ref="G1561" ca="1" si="6757">IF(OR(INDIRECT("'update Helper'!E"&amp;U1561)=0,F1561&lt;&gt;0,F1562&lt;&gt;0),IF(IFERROR((F1561/F1562),"")="","",(F1561/F1562)),INDIRECT("'update Helper'!E"&amp;U1561)/100)</f>
        <v/>
      </c>
      <c r="H1561" s="670"/>
      <c r="I1561" s="672"/>
      <c r="J1561" s="651"/>
      <c r="K1561" s="666" t="str">
        <f t="shared" ref="K1561" si="6758">W1561</f>
        <v/>
      </c>
      <c r="L1561" s="666" t="str">
        <f t="shared" ref="L1561" si="6759">V1561</f>
        <v/>
      </c>
      <c r="M1561" s="651"/>
      <c r="N1561" s="651"/>
      <c r="P1561" s="189">
        <f t="shared" ref="P1561" si="6760">IF(AND(EXACT(C1561,C1559),C1559&lt;&gt;0),P1559+1,0)</f>
        <v>70</v>
      </c>
      <c r="Q1561" s="189" t="str">
        <f t="shared" ref="Q1561" si="6761">IF(C1561&lt;&gt;"",C1561&amp;"-"&amp;P1561,"")</f>
        <v/>
      </c>
      <c r="R1561" s="189" t="str">
        <f t="array" ref="R1561">IFERROR(IF(INDEX('Disaggregation Records'!$E$155:$E$385,MATCH(RIGHT(Q1561,255),RIGHT('Disaggregation Records'!$D$155:$D$385,255),0))=0,"",INDEX('Disaggregation Records'!$E$155:$E$385,MATCH(RIGHT(Q1561,255),RIGHT('Disaggregation Records'!$D$155:$D$385,255),0))),"")</f>
        <v/>
      </c>
      <c r="S1561" s="189" t="str">
        <f t="array" ref="S1561">IFERROR(IF(INDEX('Disaggregation Records'!$F$155:$F$385,MATCH(RIGHT(Q1561,255),RIGHT('Disaggregation Records'!$D$155:$D$385,255),0))=0,"",INDEX('Disaggregation Records'!$F$155:$F$385,MATCH(RIGHT(Q1561,255),RIGHT('Disaggregation Records'!$D$155:$D$385,255),0))),"")</f>
        <v/>
      </c>
      <c r="T1561" s="189" t="str">
        <f t="array" ref="T1561">IFERROR(IF(INDEX('Disaggregation Records'!$H$155:$H$385,MATCH(RIGHT(Q1561,255),RIGHT('Disaggregation Records'!$D$155:$D$385,255),0))=0,"",INDEX('Disaggregation Records'!$H$155:$H$385,MATCH(RIGHT(Q1561,255),RIGHT('Disaggregation Records'!$D$155:$D$385,255),0))),"")</f>
        <v/>
      </c>
      <c r="U1561" s="189">
        <f t="shared" ref="U1561" si="6762">U1559+1</f>
        <v>1882</v>
      </c>
      <c r="V1561" s="189" t="str">
        <f t="array" ref="V1561">IFERROR(IF(INDEX('Disaggregation Records'!$I$155:$I$385,MATCH(RIGHT(Q1561,255),RIGHT('Disaggregation Records'!$D$155:$D$385,255),0))=0,"",INDEX('Disaggregation Records'!$I$155:$I$385,MATCH(RIGHT(Q1561,255),RIGHT('Disaggregation Records'!$D$155:$D$385,255),0))),"")</f>
        <v/>
      </c>
      <c r="W1561" s="189" t="str">
        <f>IFERROR(INDEX('Reference Records'!L$59:L$121,MATCH(LEFT(C1561,255),'Reference Records'!E$59:E$121,0)),"")</f>
        <v/>
      </c>
    </row>
    <row r="1562" spans="1:23" s="189" customFormat="1" ht="40.200000000000003" customHeight="1" x14ac:dyDescent="0.3">
      <c r="A1562" s="678"/>
      <c r="B1562" s="675"/>
      <c r="C1562" s="667"/>
      <c r="D1562" s="677"/>
      <c r="E1562" s="677"/>
      <c r="F1562" s="202"/>
      <c r="G1562" s="669"/>
      <c r="H1562" s="671"/>
      <c r="I1562" s="673"/>
      <c r="J1562" s="652"/>
      <c r="K1562" s="667"/>
      <c r="L1562" s="667"/>
      <c r="M1562" s="652"/>
      <c r="N1562" s="652"/>
    </row>
    <row r="1563" spans="1:23" s="189" customFormat="1" ht="40.200000000000003" customHeight="1" x14ac:dyDescent="0.3">
      <c r="A1563" s="678" t="str">
        <f t="shared" ref="A1563" ca="1" si="6763">INDIRECT("'update Helper'!C"&amp;U1563)</f>
        <v>a163p000002zQgyAAE</v>
      </c>
      <c r="B1563" s="674">
        <v>24</v>
      </c>
      <c r="C1563" s="666" t="str">
        <f>VLOOKUP(B1563,'Coverage Indicators - Section D'!$A$9:$AU$70,47,FALSE)</f>
        <v/>
      </c>
      <c r="D1563" s="676" t="str">
        <f t="shared" ref="D1563" si="6764">R1563</f>
        <v/>
      </c>
      <c r="E1563" s="676" t="str">
        <f t="shared" ref="E1563" si="6765">S1563</f>
        <v/>
      </c>
      <c r="F1563" s="194"/>
      <c r="G1563" s="668" t="str">
        <f t="shared" ref="G1563" ca="1" si="6766">IF(OR(INDIRECT("'update Helper'!E"&amp;U1563)=0,F1563&lt;&gt;0,F1564&lt;&gt;0),IF(IFERROR((F1563/F1564),"")="","",(F1563/F1564)),INDIRECT("'update Helper'!E"&amp;U1563)/100)</f>
        <v/>
      </c>
      <c r="H1563" s="670"/>
      <c r="I1563" s="672"/>
      <c r="J1563" s="651"/>
      <c r="K1563" s="666" t="str">
        <f t="shared" ref="K1563" si="6767">W1563</f>
        <v/>
      </c>
      <c r="L1563" s="666" t="str">
        <f t="shared" ref="L1563" si="6768">V1563</f>
        <v/>
      </c>
      <c r="M1563" s="651"/>
      <c r="N1563" s="651"/>
      <c r="P1563" s="189">
        <f t="shared" ref="P1563" si="6769">IF(AND(EXACT(C1563,C1561),C1561&lt;&gt;0),P1561+1,0)</f>
        <v>71</v>
      </c>
      <c r="Q1563" s="189" t="str">
        <f t="shared" ref="Q1563" si="6770">IF(C1563&lt;&gt;"",C1563&amp;"-"&amp;P1563,"")</f>
        <v/>
      </c>
      <c r="R1563" s="189" t="str">
        <f t="array" ref="R1563">IFERROR(IF(INDEX('Disaggregation Records'!$E$155:$E$385,MATCH(RIGHT(Q1563,255),RIGHT('Disaggregation Records'!$D$155:$D$385,255),0))=0,"",INDEX('Disaggregation Records'!$E$155:$E$385,MATCH(RIGHT(Q1563,255),RIGHT('Disaggregation Records'!$D$155:$D$385,255),0))),"")</f>
        <v/>
      </c>
      <c r="S1563" s="189" t="str">
        <f t="array" ref="S1563">IFERROR(IF(INDEX('Disaggregation Records'!$F$155:$F$385,MATCH(RIGHT(Q1563,255),RIGHT('Disaggregation Records'!$D$155:$D$385,255),0))=0,"",INDEX('Disaggregation Records'!$F$155:$F$385,MATCH(RIGHT(Q1563,255),RIGHT('Disaggregation Records'!$D$155:$D$385,255),0))),"")</f>
        <v/>
      </c>
      <c r="T1563" s="189" t="str">
        <f t="array" ref="T1563">IFERROR(IF(INDEX('Disaggregation Records'!$H$155:$H$385,MATCH(RIGHT(Q1563,255),RIGHT('Disaggregation Records'!$D$155:$D$385,255),0))=0,"",INDEX('Disaggregation Records'!$H$155:$H$385,MATCH(RIGHT(Q1563,255),RIGHT('Disaggregation Records'!$D$155:$D$385,255),0))),"")</f>
        <v/>
      </c>
      <c r="U1563" s="189">
        <f t="shared" ref="U1563" si="6771">U1561+1</f>
        <v>1883</v>
      </c>
      <c r="V1563" s="189" t="str">
        <f t="array" ref="V1563">IFERROR(IF(INDEX('Disaggregation Records'!$I$155:$I$385,MATCH(RIGHT(Q1563,255),RIGHT('Disaggregation Records'!$D$155:$D$385,255),0))=0,"",INDEX('Disaggregation Records'!$I$155:$I$385,MATCH(RIGHT(Q1563,255),RIGHT('Disaggregation Records'!$D$155:$D$385,255),0))),"")</f>
        <v/>
      </c>
      <c r="W1563" s="189" t="str">
        <f>IFERROR(INDEX('Reference Records'!L$59:L$121,MATCH(LEFT(C1563,255),'Reference Records'!E$59:E$121,0)),"")</f>
        <v/>
      </c>
    </row>
    <row r="1564" spans="1:23" s="189" customFormat="1" ht="40.200000000000003" customHeight="1" x14ac:dyDescent="0.3">
      <c r="A1564" s="678"/>
      <c r="B1564" s="675"/>
      <c r="C1564" s="667"/>
      <c r="D1564" s="677"/>
      <c r="E1564" s="677"/>
      <c r="F1564" s="202"/>
      <c r="G1564" s="669"/>
      <c r="H1564" s="671"/>
      <c r="I1564" s="673"/>
      <c r="J1564" s="652"/>
      <c r="K1564" s="667"/>
      <c r="L1564" s="667"/>
      <c r="M1564" s="652"/>
      <c r="N1564" s="652"/>
    </row>
    <row r="1565" spans="1:23" s="189" customFormat="1" ht="40.200000000000003" customHeight="1" x14ac:dyDescent="0.3">
      <c r="A1565" s="678" t="str">
        <f t="shared" ref="A1565" ca="1" si="6772">INDIRECT("'update Helper'!C"&amp;U1565)</f>
        <v>a163p000002zQgzAAE</v>
      </c>
      <c r="B1565" s="674">
        <v>24</v>
      </c>
      <c r="C1565" s="666" t="str">
        <f>VLOOKUP(B1565,'Coverage Indicators - Section D'!$A$9:$AU$70,47,FALSE)</f>
        <v/>
      </c>
      <c r="D1565" s="676" t="str">
        <f t="shared" ref="D1565" si="6773">R1565</f>
        <v/>
      </c>
      <c r="E1565" s="676" t="str">
        <f t="shared" ref="E1565" si="6774">S1565</f>
        <v/>
      </c>
      <c r="F1565" s="194"/>
      <c r="G1565" s="668" t="str">
        <f t="shared" ref="G1565" ca="1" si="6775">IF(OR(INDIRECT("'update Helper'!E"&amp;U1565)=0,F1565&lt;&gt;0,F1566&lt;&gt;0),IF(IFERROR((F1565/F1566),"")="","",(F1565/F1566)),INDIRECT("'update Helper'!E"&amp;U1565)/100)</f>
        <v/>
      </c>
      <c r="H1565" s="670"/>
      <c r="I1565" s="672"/>
      <c r="J1565" s="651"/>
      <c r="K1565" s="666" t="str">
        <f t="shared" ref="K1565" si="6776">W1565</f>
        <v/>
      </c>
      <c r="L1565" s="666" t="str">
        <f t="shared" ref="L1565" si="6777">V1565</f>
        <v/>
      </c>
      <c r="M1565" s="651"/>
      <c r="N1565" s="651"/>
      <c r="P1565" s="189">
        <f t="shared" ref="P1565" si="6778">IF(AND(EXACT(C1565,C1563),C1563&lt;&gt;0),P1563+1,0)</f>
        <v>72</v>
      </c>
      <c r="Q1565" s="189" t="str">
        <f t="shared" ref="Q1565" si="6779">IF(C1565&lt;&gt;"",C1565&amp;"-"&amp;P1565,"")</f>
        <v/>
      </c>
      <c r="R1565" s="189" t="str">
        <f t="array" ref="R1565">IFERROR(IF(INDEX('Disaggregation Records'!$E$155:$E$385,MATCH(RIGHT(Q1565,255),RIGHT('Disaggregation Records'!$D$155:$D$385,255),0))=0,"",INDEX('Disaggregation Records'!$E$155:$E$385,MATCH(RIGHT(Q1565,255),RIGHT('Disaggregation Records'!$D$155:$D$385,255),0))),"")</f>
        <v/>
      </c>
      <c r="S1565" s="189" t="str">
        <f t="array" ref="S1565">IFERROR(IF(INDEX('Disaggregation Records'!$F$155:$F$385,MATCH(RIGHT(Q1565,255),RIGHT('Disaggregation Records'!$D$155:$D$385,255),0))=0,"",INDEX('Disaggregation Records'!$F$155:$F$385,MATCH(RIGHT(Q1565,255),RIGHT('Disaggregation Records'!$D$155:$D$385,255),0))),"")</f>
        <v/>
      </c>
      <c r="T1565" s="189" t="str">
        <f t="array" ref="T1565">IFERROR(IF(INDEX('Disaggregation Records'!$H$155:$H$385,MATCH(RIGHT(Q1565,255),RIGHT('Disaggregation Records'!$D$155:$D$385,255),0))=0,"",INDEX('Disaggregation Records'!$H$155:$H$385,MATCH(RIGHT(Q1565,255),RIGHT('Disaggregation Records'!$D$155:$D$385,255),0))),"")</f>
        <v/>
      </c>
      <c r="U1565" s="189">
        <f t="shared" ref="U1565" si="6780">U1563+1</f>
        <v>1884</v>
      </c>
      <c r="V1565" s="189" t="str">
        <f t="array" ref="V1565">IFERROR(IF(INDEX('Disaggregation Records'!$I$155:$I$385,MATCH(RIGHT(Q1565,255),RIGHT('Disaggregation Records'!$D$155:$D$385,255),0))=0,"",INDEX('Disaggregation Records'!$I$155:$I$385,MATCH(RIGHT(Q1565,255),RIGHT('Disaggregation Records'!$D$155:$D$385,255),0))),"")</f>
        <v/>
      </c>
      <c r="W1565" s="189" t="str">
        <f>IFERROR(INDEX('Reference Records'!L$59:L$121,MATCH(LEFT(C1565,255),'Reference Records'!E$59:E$121,0)),"")</f>
        <v/>
      </c>
    </row>
    <row r="1566" spans="1:23" s="189" customFormat="1" ht="40.200000000000003" customHeight="1" x14ac:dyDescent="0.3">
      <c r="A1566" s="678"/>
      <c r="B1566" s="675"/>
      <c r="C1566" s="667"/>
      <c r="D1566" s="677"/>
      <c r="E1566" s="677"/>
      <c r="F1566" s="202"/>
      <c r="G1566" s="669"/>
      <c r="H1566" s="671"/>
      <c r="I1566" s="673"/>
      <c r="J1566" s="652"/>
      <c r="K1566" s="667"/>
      <c r="L1566" s="667"/>
      <c r="M1566" s="652"/>
      <c r="N1566" s="652"/>
    </row>
    <row r="1567" spans="1:23" s="189" customFormat="1" ht="40.200000000000003" customHeight="1" x14ac:dyDescent="0.3">
      <c r="A1567" s="678" t="str">
        <f t="shared" ref="A1567" ca="1" si="6781">INDIRECT("'update Helper'!C"&amp;U1567)</f>
        <v>a163p000002zQh0AAE</v>
      </c>
      <c r="B1567" s="674">
        <v>24</v>
      </c>
      <c r="C1567" s="666" t="str">
        <f>VLOOKUP(B1567,'Coverage Indicators - Section D'!$A$9:$AU$70,47,FALSE)</f>
        <v/>
      </c>
      <c r="D1567" s="676" t="str">
        <f t="shared" ref="D1567" si="6782">R1567</f>
        <v/>
      </c>
      <c r="E1567" s="676" t="str">
        <f t="shared" ref="E1567" si="6783">S1567</f>
        <v/>
      </c>
      <c r="F1567" s="194"/>
      <c r="G1567" s="668" t="str">
        <f t="shared" ref="G1567" ca="1" si="6784">IF(OR(INDIRECT("'update Helper'!E"&amp;U1567)=0,F1567&lt;&gt;0,F1568&lt;&gt;0),IF(IFERROR((F1567/F1568),"")="","",(F1567/F1568)),INDIRECT("'update Helper'!E"&amp;U1567)/100)</f>
        <v/>
      </c>
      <c r="H1567" s="670"/>
      <c r="I1567" s="672"/>
      <c r="J1567" s="651"/>
      <c r="K1567" s="666" t="str">
        <f t="shared" ref="K1567" si="6785">W1567</f>
        <v/>
      </c>
      <c r="L1567" s="666" t="str">
        <f t="shared" ref="L1567" si="6786">V1567</f>
        <v/>
      </c>
      <c r="M1567" s="651"/>
      <c r="N1567" s="651"/>
      <c r="P1567" s="189">
        <f t="shared" ref="P1567" si="6787">IF(AND(EXACT(C1567,C1565),C1565&lt;&gt;0),P1565+1,0)</f>
        <v>73</v>
      </c>
      <c r="Q1567" s="189" t="str">
        <f t="shared" ref="Q1567" si="6788">IF(C1567&lt;&gt;"",C1567&amp;"-"&amp;P1567,"")</f>
        <v/>
      </c>
      <c r="R1567" s="189" t="str">
        <f t="array" ref="R1567">IFERROR(IF(INDEX('Disaggregation Records'!$E$155:$E$385,MATCH(RIGHT(Q1567,255),RIGHT('Disaggregation Records'!$D$155:$D$385,255),0))=0,"",INDEX('Disaggregation Records'!$E$155:$E$385,MATCH(RIGHT(Q1567,255),RIGHT('Disaggregation Records'!$D$155:$D$385,255),0))),"")</f>
        <v/>
      </c>
      <c r="S1567" s="189" t="str">
        <f t="array" ref="S1567">IFERROR(IF(INDEX('Disaggregation Records'!$F$155:$F$385,MATCH(RIGHT(Q1567,255),RIGHT('Disaggregation Records'!$D$155:$D$385,255),0))=0,"",INDEX('Disaggregation Records'!$F$155:$F$385,MATCH(RIGHT(Q1567,255),RIGHT('Disaggregation Records'!$D$155:$D$385,255),0))),"")</f>
        <v/>
      </c>
      <c r="T1567" s="189" t="str">
        <f t="array" ref="T1567">IFERROR(IF(INDEX('Disaggregation Records'!$H$155:$H$385,MATCH(RIGHT(Q1567,255),RIGHT('Disaggregation Records'!$D$155:$D$385,255),0))=0,"",INDEX('Disaggregation Records'!$H$155:$H$385,MATCH(RIGHT(Q1567,255),RIGHT('Disaggregation Records'!$D$155:$D$385,255),0))),"")</f>
        <v/>
      </c>
      <c r="U1567" s="189">
        <f t="shared" ref="U1567" si="6789">U1565+1</f>
        <v>1885</v>
      </c>
      <c r="V1567" s="189" t="str">
        <f t="array" ref="V1567">IFERROR(IF(INDEX('Disaggregation Records'!$I$155:$I$385,MATCH(RIGHT(Q1567,255),RIGHT('Disaggregation Records'!$D$155:$D$385,255),0))=0,"",INDEX('Disaggregation Records'!$I$155:$I$385,MATCH(RIGHT(Q1567,255),RIGHT('Disaggregation Records'!$D$155:$D$385,255),0))),"")</f>
        <v/>
      </c>
      <c r="W1567" s="189" t="str">
        <f>IFERROR(INDEX('Reference Records'!L$59:L$121,MATCH(LEFT(C1567,255),'Reference Records'!E$59:E$121,0)),"")</f>
        <v/>
      </c>
    </row>
    <row r="1568" spans="1:23" s="189" customFormat="1" ht="40.200000000000003" customHeight="1" x14ac:dyDescent="0.3">
      <c r="A1568" s="678"/>
      <c r="B1568" s="675"/>
      <c r="C1568" s="667"/>
      <c r="D1568" s="677"/>
      <c r="E1568" s="677"/>
      <c r="F1568" s="202"/>
      <c r="G1568" s="669"/>
      <c r="H1568" s="671"/>
      <c r="I1568" s="673"/>
      <c r="J1568" s="652"/>
      <c r="K1568" s="667"/>
      <c r="L1568" s="667"/>
      <c r="M1568" s="652"/>
      <c r="N1568" s="652"/>
    </row>
    <row r="1569" spans="1:23" s="189" customFormat="1" ht="40.200000000000003" customHeight="1" x14ac:dyDescent="0.3">
      <c r="A1569" s="678" t="str">
        <f t="shared" ref="A1569" ca="1" si="6790">INDIRECT("'update Helper'!C"&amp;U1569)</f>
        <v>a163p000002zQh1AAE</v>
      </c>
      <c r="B1569" s="674">
        <v>24</v>
      </c>
      <c r="C1569" s="666" t="str">
        <f>VLOOKUP(B1569,'Coverage Indicators - Section D'!$A$9:$AU$70,47,FALSE)</f>
        <v/>
      </c>
      <c r="D1569" s="676" t="str">
        <f t="shared" ref="D1569" si="6791">R1569</f>
        <v/>
      </c>
      <c r="E1569" s="676" t="str">
        <f t="shared" ref="E1569" si="6792">S1569</f>
        <v/>
      </c>
      <c r="F1569" s="194"/>
      <c r="G1569" s="668" t="str">
        <f t="shared" ref="G1569" ca="1" si="6793">IF(OR(INDIRECT("'update Helper'!E"&amp;U1569)=0,F1569&lt;&gt;0,F1570&lt;&gt;0),IF(IFERROR((F1569/F1570),"")="","",(F1569/F1570)),INDIRECT("'update Helper'!E"&amp;U1569)/100)</f>
        <v/>
      </c>
      <c r="H1569" s="670"/>
      <c r="I1569" s="672"/>
      <c r="J1569" s="651"/>
      <c r="K1569" s="666" t="str">
        <f t="shared" ref="K1569" si="6794">W1569</f>
        <v/>
      </c>
      <c r="L1569" s="666" t="str">
        <f t="shared" ref="L1569" si="6795">V1569</f>
        <v/>
      </c>
      <c r="M1569" s="651"/>
      <c r="N1569" s="651"/>
      <c r="P1569" s="189">
        <f t="shared" ref="P1569" si="6796">IF(AND(EXACT(C1569,C1567),C1567&lt;&gt;0),P1567+1,0)</f>
        <v>74</v>
      </c>
      <c r="Q1569" s="189" t="str">
        <f t="shared" ref="Q1569" si="6797">IF(C1569&lt;&gt;"",C1569&amp;"-"&amp;P1569,"")</f>
        <v/>
      </c>
      <c r="R1569" s="189" t="str">
        <f t="array" ref="R1569">IFERROR(IF(INDEX('Disaggregation Records'!$E$155:$E$385,MATCH(RIGHT(Q1569,255),RIGHT('Disaggregation Records'!$D$155:$D$385,255),0))=0,"",INDEX('Disaggregation Records'!$E$155:$E$385,MATCH(RIGHT(Q1569,255),RIGHT('Disaggregation Records'!$D$155:$D$385,255),0))),"")</f>
        <v/>
      </c>
      <c r="S1569" s="189" t="str">
        <f t="array" ref="S1569">IFERROR(IF(INDEX('Disaggregation Records'!$F$155:$F$385,MATCH(RIGHT(Q1569,255),RIGHT('Disaggregation Records'!$D$155:$D$385,255),0))=0,"",INDEX('Disaggregation Records'!$F$155:$F$385,MATCH(RIGHT(Q1569,255),RIGHT('Disaggregation Records'!$D$155:$D$385,255),0))),"")</f>
        <v/>
      </c>
      <c r="T1569" s="189" t="str">
        <f t="array" ref="T1569">IFERROR(IF(INDEX('Disaggregation Records'!$H$155:$H$385,MATCH(RIGHT(Q1569,255),RIGHT('Disaggregation Records'!$D$155:$D$385,255),0))=0,"",INDEX('Disaggregation Records'!$H$155:$H$385,MATCH(RIGHT(Q1569,255),RIGHT('Disaggregation Records'!$D$155:$D$385,255),0))),"")</f>
        <v/>
      </c>
      <c r="U1569" s="189">
        <f t="shared" ref="U1569" si="6798">U1567+1</f>
        <v>1886</v>
      </c>
      <c r="V1569" s="189" t="str">
        <f t="array" ref="V1569">IFERROR(IF(INDEX('Disaggregation Records'!$I$155:$I$385,MATCH(RIGHT(Q1569,255),RIGHT('Disaggregation Records'!$D$155:$D$385,255),0))=0,"",INDEX('Disaggregation Records'!$I$155:$I$385,MATCH(RIGHT(Q1569,255),RIGHT('Disaggregation Records'!$D$155:$D$385,255),0))),"")</f>
        <v/>
      </c>
      <c r="W1569" s="189" t="str">
        <f>IFERROR(INDEX('Reference Records'!L$59:L$121,MATCH(LEFT(C1569,255),'Reference Records'!E$59:E$121,0)),"")</f>
        <v/>
      </c>
    </row>
    <row r="1570" spans="1:23" s="189" customFormat="1" ht="40.200000000000003" customHeight="1" x14ac:dyDescent="0.3">
      <c r="A1570" s="678"/>
      <c r="B1570" s="675"/>
      <c r="C1570" s="667"/>
      <c r="D1570" s="677"/>
      <c r="E1570" s="677"/>
      <c r="F1570" s="202"/>
      <c r="G1570" s="669"/>
      <c r="H1570" s="671"/>
      <c r="I1570" s="673"/>
      <c r="J1570" s="652"/>
      <c r="K1570" s="667"/>
      <c r="L1570" s="667"/>
      <c r="M1570" s="652"/>
      <c r="N1570" s="652"/>
    </row>
    <row r="1571" spans="1:23" s="189" customFormat="1" ht="40.200000000000003" customHeight="1" x14ac:dyDescent="0.3">
      <c r="A1571" s="678" t="str">
        <f t="shared" ref="A1571" ca="1" si="6799">INDIRECT("'update Helper'!C"&amp;U1571)</f>
        <v>a163p000002zQh2AAE</v>
      </c>
      <c r="B1571" s="674">
        <v>24</v>
      </c>
      <c r="C1571" s="666" t="str">
        <f>VLOOKUP(B1571,'Coverage Indicators - Section D'!$A$9:$AU$70,47,FALSE)</f>
        <v/>
      </c>
      <c r="D1571" s="676" t="str">
        <f t="shared" ref="D1571" si="6800">R1571</f>
        <v/>
      </c>
      <c r="E1571" s="676" t="str">
        <f t="shared" ref="E1571" si="6801">S1571</f>
        <v/>
      </c>
      <c r="F1571" s="194"/>
      <c r="G1571" s="668" t="str">
        <f t="shared" ref="G1571" ca="1" si="6802">IF(OR(INDIRECT("'update Helper'!E"&amp;U1571)=0,F1571&lt;&gt;0,F1572&lt;&gt;0),IF(IFERROR((F1571/F1572),"")="","",(F1571/F1572)),INDIRECT("'update Helper'!E"&amp;U1571)/100)</f>
        <v/>
      </c>
      <c r="H1571" s="670"/>
      <c r="I1571" s="672"/>
      <c r="J1571" s="651"/>
      <c r="K1571" s="666" t="str">
        <f t="shared" ref="K1571" si="6803">W1571</f>
        <v/>
      </c>
      <c r="L1571" s="666" t="str">
        <f t="shared" ref="L1571" si="6804">V1571</f>
        <v/>
      </c>
      <c r="M1571" s="651"/>
      <c r="N1571" s="651"/>
      <c r="P1571" s="189">
        <f t="shared" ref="P1571" si="6805">IF(AND(EXACT(C1571,C1569),C1569&lt;&gt;0),P1569+1,0)</f>
        <v>75</v>
      </c>
      <c r="Q1571" s="189" t="str">
        <f t="shared" ref="Q1571" si="6806">IF(C1571&lt;&gt;"",C1571&amp;"-"&amp;P1571,"")</f>
        <v/>
      </c>
      <c r="R1571" s="189" t="str">
        <f t="array" ref="R1571">IFERROR(IF(INDEX('Disaggregation Records'!$E$155:$E$385,MATCH(RIGHT(Q1571,255),RIGHT('Disaggregation Records'!$D$155:$D$385,255),0))=0,"",INDEX('Disaggregation Records'!$E$155:$E$385,MATCH(RIGHT(Q1571,255),RIGHT('Disaggregation Records'!$D$155:$D$385,255),0))),"")</f>
        <v/>
      </c>
      <c r="S1571" s="189" t="str">
        <f t="array" ref="S1571">IFERROR(IF(INDEX('Disaggregation Records'!$F$155:$F$385,MATCH(RIGHT(Q1571,255),RIGHT('Disaggregation Records'!$D$155:$D$385,255),0))=0,"",INDEX('Disaggregation Records'!$F$155:$F$385,MATCH(RIGHT(Q1571,255),RIGHT('Disaggregation Records'!$D$155:$D$385,255),0))),"")</f>
        <v/>
      </c>
      <c r="T1571" s="189" t="str">
        <f t="array" ref="T1571">IFERROR(IF(INDEX('Disaggregation Records'!$H$155:$H$385,MATCH(RIGHT(Q1571,255),RIGHT('Disaggregation Records'!$D$155:$D$385,255),0))=0,"",INDEX('Disaggregation Records'!$H$155:$H$385,MATCH(RIGHT(Q1571,255),RIGHT('Disaggregation Records'!$D$155:$D$385,255),0))),"")</f>
        <v/>
      </c>
      <c r="U1571" s="189">
        <f t="shared" ref="U1571" si="6807">U1569+1</f>
        <v>1887</v>
      </c>
      <c r="V1571" s="189" t="str">
        <f t="array" ref="V1571">IFERROR(IF(INDEX('Disaggregation Records'!$I$155:$I$385,MATCH(RIGHT(Q1571,255),RIGHT('Disaggregation Records'!$D$155:$D$385,255),0))=0,"",INDEX('Disaggregation Records'!$I$155:$I$385,MATCH(RIGHT(Q1571,255),RIGHT('Disaggregation Records'!$D$155:$D$385,255),0))),"")</f>
        <v/>
      </c>
      <c r="W1571" s="189" t="str">
        <f>IFERROR(INDEX('Reference Records'!L$59:L$121,MATCH(LEFT(C1571,255),'Reference Records'!E$59:E$121,0)),"")</f>
        <v/>
      </c>
    </row>
    <row r="1572" spans="1:23" s="189" customFormat="1" ht="40.200000000000003" customHeight="1" x14ac:dyDescent="0.3">
      <c r="A1572" s="678"/>
      <c r="B1572" s="675"/>
      <c r="C1572" s="667"/>
      <c r="D1572" s="677"/>
      <c r="E1572" s="677"/>
      <c r="F1572" s="202"/>
      <c r="G1572" s="669"/>
      <c r="H1572" s="671"/>
      <c r="I1572" s="673"/>
      <c r="J1572" s="652"/>
      <c r="K1572" s="667"/>
      <c r="L1572" s="667"/>
      <c r="M1572" s="652"/>
      <c r="N1572" s="652"/>
    </row>
    <row r="1573" spans="1:23" s="189" customFormat="1" ht="40.200000000000003" customHeight="1" x14ac:dyDescent="0.3">
      <c r="A1573" s="678" t="str">
        <f t="shared" ref="A1573" ca="1" si="6808">INDIRECT("'update Helper'!C"&amp;U1573)</f>
        <v>a163p000002zQh3AAE</v>
      </c>
      <c r="B1573" s="674">
        <v>24</v>
      </c>
      <c r="C1573" s="666" t="str">
        <f>VLOOKUP(B1573,'Coverage Indicators - Section D'!$A$9:$AU$70,47,FALSE)</f>
        <v/>
      </c>
      <c r="D1573" s="676" t="str">
        <f t="shared" ref="D1573" si="6809">R1573</f>
        <v/>
      </c>
      <c r="E1573" s="676" t="str">
        <f t="shared" ref="E1573" si="6810">S1573</f>
        <v/>
      </c>
      <c r="F1573" s="194"/>
      <c r="G1573" s="668" t="str">
        <f t="shared" ref="G1573" ca="1" si="6811">IF(OR(INDIRECT("'update Helper'!E"&amp;U1573)=0,F1573&lt;&gt;0,F1574&lt;&gt;0),IF(IFERROR((F1573/F1574),"")="","",(F1573/F1574)),INDIRECT("'update Helper'!E"&amp;U1573)/100)</f>
        <v/>
      </c>
      <c r="H1573" s="670"/>
      <c r="I1573" s="672"/>
      <c r="J1573" s="651"/>
      <c r="K1573" s="666" t="str">
        <f t="shared" ref="K1573" si="6812">W1573</f>
        <v/>
      </c>
      <c r="L1573" s="666" t="str">
        <f t="shared" ref="L1573" si="6813">V1573</f>
        <v/>
      </c>
      <c r="M1573" s="651"/>
      <c r="N1573" s="651"/>
      <c r="P1573" s="189">
        <f t="shared" ref="P1573" si="6814">IF(AND(EXACT(C1573,C1571),C1571&lt;&gt;0),P1571+1,0)</f>
        <v>76</v>
      </c>
      <c r="Q1573" s="189" t="str">
        <f t="shared" ref="Q1573" si="6815">IF(C1573&lt;&gt;"",C1573&amp;"-"&amp;P1573,"")</f>
        <v/>
      </c>
      <c r="R1573" s="189" t="str">
        <f t="array" ref="R1573">IFERROR(IF(INDEX('Disaggregation Records'!$E$155:$E$385,MATCH(RIGHT(Q1573,255),RIGHT('Disaggregation Records'!$D$155:$D$385,255),0))=0,"",INDEX('Disaggregation Records'!$E$155:$E$385,MATCH(RIGHT(Q1573,255),RIGHT('Disaggregation Records'!$D$155:$D$385,255),0))),"")</f>
        <v/>
      </c>
      <c r="S1573" s="189" t="str">
        <f t="array" ref="S1573">IFERROR(IF(INDEX('Disaggregation Records'!$F$155:$F$385,MATCH(RIGHT(Q1573,255),RIGHT('Disaggregation Records'!$D$155:$D$385,255),0))=0,"",INDEX('Disaggregation Records'!$F$155:$F$385,MATCH(RIGHT(Q1573,255),RIGHT('Disaggregation Records'!$D$155:$D$385,255),0))),"")</f>
        <v/>
      </c>
      <c r="T1573" s="189" t="str">
        <f t="array" ref="T1573">IFERROR(IF(INDEX('Disaggregation Records'!$H$155:$H$385,MATCH(RIGHT(Q1573,255),RIGHT('Disaggregation Records'!$D$155:$D$385,255),0))=0,"",INDEX('Disaggregation Records'!$H$155:$H$385,MATCH(RIGHT(Q1573,255),RIGHT('Disaggregation Records'!$D$155:$D$385,255),0))),"")</f>
        <v/>
      </c>
      <c r="U1573" s="189">
        <f t="shared" ref="U1573" si="6816">U1571+1</f>
        <v>1888</v>
      </c>
      <c r="V1573" s="189" t="str">
        <f t="array" ref="V1573">IFERROR(IF(INDEX('Disaggregation Records'!$I$155:$I$385,MATCH(RIGHT(Q1573,255),RIGHT('Disaggregation Records'!$D$155:$D$385,255),0))=0,"",INDEX('Disaggregation Records'!$I$155:$I$385,MATCH(RIGHT(Q1573,255),RIGHT('Disaggregation Records'!$D$155:$D$385,255),0))),"")</f>
        <v/>
      </c>
      <c r="W1573" s="189" t="str">
        <f>IFERROR(INDEX('Reference Records'!L$59:L$121,MATCH(LEFT(C1573,255),'Reference Records'!E$59:E$121,0)),"")</f>
        <v/>
      </c>
    </row>
    <row r="1574" spans="1:23" s="189" customFormat="1" ht="40.200000000000003" customHeight="1" x14ac:dyDescent="0.3">
      <c r="A1574" s="678"/>
      <c r="B1574" s="675"/>
      <c r="C1574" s="667"/>
      <c r="D1574" s="677"/>
      <c r="E1574" s="677"/>
      <c r="F1574" s="202"/>
      <c r="G1574" s="669"/>
      <c r="H1574" s="671"/>
      <c r="I1574" s="673"/>
      <c r="J1574" s="652"/>
      <c r="K1574" s="667"/>
      <c r="L1574" s="667"/>
      <c r="M1574" s="652"/>
      <c r="N1574" s="652"/>
    </row>
    <row r="1575" spans="1:23" s="189" customFormat="1" ht="40.200000000000003" customHeight="1" x14ac:dyDescent="0.3">
      <c r="A1575" s="678" t="str">
        <f t="shared" ref="A1575" ca="1" si="6817">INDIRECT("'update Helper'!C"&amp;U1575)</f>
        <v>a163p000002zQh4AAE</v>
      </c>
      <c r="B1575" s="674">
        <v>24</v>
      </c>
      <c r="C1575" s="666" t="str">
        <f>VLOOKUP(B1575,'Coverage Indicators - Section D'!$A$9:$AU$70,47,FALSE)</f>
        <v/>
      </c>
      <c r="D1575" s="676" t="str">
        <f t="shared" ref="D1575" si="6818">R1575</f>
        <v/>
      </c>
      <c r="E1575" s="676" t="str">
        <f t="shared" ref="E1575" si="6819">S1575</f>
        <v/>
      </c>
      <c r="F1575" s="194"/>
      <c r="G1575" s="668" t="str">
        <f t="shared" ref="G1575" ca="1" si="6820">IF(OR(INDIRECT("'update Helper'!E"&amp;U1575)=0,F1575&lt;&gt;0,F1576&lt;&gt;0),IF(IFERROR((F1575/F1576),"")="","",(F1575/F1576)),INDIRECT("'update Helper'!E"&amp;U1575)/100)</f>
        <v/>
      </c>
      <c r="H1575" s="670"/>
      <c r="I1575" s="672"/>
      <c r="J1575" s="651"/>
      <c r="K1575" s="666" t="str">
        <f t="shared" ref="K1575" si="6821">W1575</f>
        <v/>
      </c>
      <c r="L1575" s="666" t="str">
        <f t="shared" ref="L1575" si="6822">V1575</f>
        <v/>
      </c>
      <c r="M1575" s="651"/>
      <c r="N1575" s="651"/>
      <c r="P1575" s="189">
        <f t="shared" ref="P1575" si="6823">IF(AND(EXACT(C1575,C1573),C1573&lt;&gt;0),P1573+1,0)</f>
        <v>77</v>
      </c>
      <c r="Q1575" s="189" t="str">
        <f t="shared" ref="Q1575" si="6824">IF(C1575&lt;&gt;"",C1575&amp;"-"&amp;P1575,"")</f>
        <v/>
      </c>
      <c r="R1575" s="189" t="str">
        <f t="array" ref="R1575">IFERROR(IF(INDEX('Disaggregation Records'!$E$155:$E$385,MATCH(RIGHT(Q1575,255),RIGHT('Disaggregation Records'!$D$155:$D$385,255),0))=0,"",INDEX('Disaggregation Records'!$E$155:$E$385,MATCH(RIGHT(Q1575,255),RIGHT('Disaggregation Records'!$D$155:$D$385,255),0))),"")</f>
        <v/>
      </c>
      <c r="S1575" s="189" t="str">
        <f t="array" ref="S1575">IFERROR(IF(INDEX('Disaggregation Records'!$F$155:$F$385,MATCH(RIGHT(Q1575,255),RIGHT('Disaggregation Records'!$D$155:$D$385,255),0))=0,"",INDEX('Disaggregation Records'!$F$155:$F$385,MATCH(RIGHT(Q1575,255),RIGHT('Disaggregation Records'!$D$155:$D$385,255),0))),"")</f>
        <v/>
      </c>
      <c r="T1575" s="189" t="str">
        <f t="array" ref="T1575">IFERROR(IF(INDEX('Disaggregation Records'!$H$155:$H$385,MATCH(RIGHT(Q1575,255),RIGHT('Disaggregation Records'!$D$155:$D$385,255),0))=0,"",INDEX('Disaggregation Records'!$H$155:$H$385,MATCH(RIGHT(Q1575,255),RIGHT('Disaggregation Records'!$D$155:$D$385,255),0))),"")</f>
        <v/>
      </c>
      <c r="U1575" s="189">
        <f t="shared" ref="U1575" si="6825">U1573+1</f>
        <v>1889</v>
      </c>
      <c r="V1575" s="189" t="str">
        <f t="array" ref="V1575">IFERROR(IF(INDEX('Disaggregation Records'!$I$155:$I$385,MATCH(RIGHT(Q1575,255),RIGHT('Disaggregation Records'!$D$155:$D$385,255),0))=0,"",INDEX('Disaggregation Records'!$I$155:$I$385,MATCH(RIGHT(Q1575,255),RIGHT('Disaggregation Records'!$D$155:$D$385,255),0))),"")</f>
        <v/>
      </c>
      <c r="W1575" s="189" t="str">
        <f>IFERROR(INDEX('Reference Records'!L$59:L$121,MATCH(LEFT(C1575,255),'Reference Records'!E$59:E$121,0)),"")</f>
        <v/>
      </c>
    </row>
    <row r="1576" spans="1:23" s="189" customFormat="1" ht="40.200000000000003" customHeight="1" x14ac:dyDescent="0.3">
      <c r="A1576" s="678"/>
      <c r="B1576" s="675"/>
      <c r="C1576" s="667"/>
      <c r="D1576" s="677"/>
      <c r="E1576" s="677"/>
      <c r="F1576" s="202"/>
      <c r="G1576" s="669"/>
      <c r="H1576" s="671"/>
      <c r="I1576" s="673"/>
      <c r="J1576" s="652"/>
      <c r="K1576" s="667"/>
      <c r="L1576" s="667"/>
      <c r="M1576" s="652"/>
      <c r="N1576" s="652"/>
    </row>
    <row r="1577" spans="1:23" s="189" customFormat="1" ht="40.200000000000003" customHeight="1" x14ac:dyDescent="0.3">
      <c r="A1577" s="678" t="str">
        <f t="shared" ref="A1577" ca="1" si="6826">INDIRECT("'update Helper'!C"&amp;U1577)</f>
        <v>a163p000002zQh5AAE</v>
      </c>
      <c r="B1577" s="674">
        <v>24</v>
      </c>
      <c r="C1577" s="666" t="str">
        <f>VLOOKUP(B1577,'Coverage Indicators - Section D'!$A$9:$AU$70,47,FALSE)</f>
        <v/>
      </c>
      <c r="D1577" s="676" t="str">
        <f t="shared" ref="D1577" si="6827">R1577</f>
        <v/>
      </c>
      <c r="E1577" s="676" t="str">
        <f t="shared" ref="E1577" si="6828">S1577</f>
        <v/>
      </c>
      <c r="F1577" s="194"/>
      <c r="G1577" s="668" t="str">
        <f t="shared" ref="G1577" ca="1" si="6829">IF(OR(INDIRECT("'update Helper'!E"&amp;U1577)=0,F1577&lt;&gt;0,F1578&lt;&gt;0),IF(IFERROR((F1577/F1578),"")="","",(F1577/F1578)),INDIRECT("'update Helper'!E"&amp;U1577)/100)</f>
        <v/>
      </c>
      <c r="H1577" s="670"/>
      <c r="I1577" s="672"/>
      <c r="J1577" s="651"/>
      <c r="K1577" s="666" t="str">
        <f t="shared" ref="K1577" si="6830">W1577</f>
        <v/>
      </c>
      <c r="L1577" s="666" t="str">
        <f t="shared" ref="L1577" si="6831">V1577</f>
        <v/>
      </c>
      <c r="M1577" s="651"/>
      <c r="N1577" s="651"/>
      <c r="P1577" s="189">
        <f t="shared" ref="P1577" si="6832">IF(AND(EXACT(C1577,C1575),C1575&lt;&gt;0),P1575+1,0)</f>
        <v>78</v>
      </c>
      <c r="Q1577" s="189" t="str">
        <f t="shared" ref="Q1577" si="6833">IF(C1577&lt;&gt;"",C1577&amp;"-"&amp;P1577,"")</f>
        <v/>
      </c>
      <c r="R1577" s="189" t="str">
        <f t="array" ref="R1577">IFERROR(IF(INDEX('Disaggregation Records'!$E$155:$E$385,MATCH(RIGHT(Q1577,255),RIGHT('Disaggregation Records'!$D$155:$D$385,255),0))=0,"",INDEX('Disaggregation Records'!$E$155:$E$385,MATCH(RIGHT(Q1577,255),RIGHT('Disaggregation Records'!$D$155:$D$385,255),0))),"")</f>
        <v/>
      </c>
      <c r="S1577" s="189" t="str">
        <f t="array" ref="S1577">IFERROR(IF(INDEX('Disaggregation Records'!$F$155:$F$385,MATCH(RIGHT(Q1577,255),RIGHT('Disaggregation Records'!$D$155:$D$385,255),0))=0,"",INDEX('Disaggregation Records'!$F$155:$F$385,MATCH(RIGHT(Q1577,255),RIGHT('Disaggregation Records'!$D$155:$D$385,255),0))),"")</f>
        <v/>
      </c>
      <c r="T1577" s="189" t="str">
        <f t="array" ref="T1577">IFERROR(IF(INDEX('Disaggregation Records'!$H$155:$H$385,MATCH(RIGHT(Q1577,255),RIGHT('Disaggregation Records'!$D$155:$D$385,255),0))=0,"",INDEX('Disaggregation Records'!$H$155:$H$385,MATCH(RIGHT(Q1577,255),RIGHT('Disaggregation Records'!$D$155:$D$385,255),0))),"")</f>
        <v/>
      </c>
      <c r="U1577" s="189">
        <f t="shared" ref="U1577" si="6834">U1575+1</f>
        <v>1890</v>
      </c>
      <c r="V1577" s="189" t="str">
        <f t="array" ref="V1577">IFERROR(IF(INDEX('Disaggregation Records'!$I$155:$I$385,MATCH(RIGHT(Q1577,255),RIGHT('Disaggregation Records'!$D$155:$D$385,255),0))=0,"",INDEX('Disaggregation Records'!$I$155:$I$385,MATCH(RIGHT(Q1577,255),RIGHT('Disaggregation Records'!$D$155:$D$385,255),0))),"")</f>
        <v/>
      </c>
      <c r="W1577" s="189" t="str">
        <f>IFERROR(INDEX('Reference Records'!L$59:L$121,MATCH(LEFT(C1577,255),'Reference Records'!E$59:E$121,0)),"")</f>
        <v/>
      </c>
    </row>
    <row r="1578" spans="1:23" s="189" customFormat="1" ht="40.200000000000003" customHeight="1" x14ac:dyDescent="0.3">
      <c r="A1578" s="678"/>
      <c r="B1578" s="675"/>
      <c r="C1578" s="667"/>
      <c r="D1578" s="677"/>
      <c r="E1578" s="677"/>
      <c r="F1578" s="202"/>
      <c r="G1578" s="669"/>
      <c r="H1578" s="671"/>
      <c r="I1578" s="673"/>
      <c r="J1578" s="652"/>
      <c r="K1578" s="667"/>
      <c r="L1578" s="667"/>
      <c r="M1578" s="652"/>
      <c r="N1578" s="652"/>
    </row>
    <row r="1579" spans="1:23" s="189" customFormat="1" ht="40.200000000000003" customHeight="1" x14ac:dyDescent="0.3">
      <c r="A1579" s="678" t="str">
        <f t="shared" ref="A1579" ca="1" si="6835">INDIRECT("'update Helper'!C"&amp;U1579)</f>
        <v>a163p000002zQh6AAE</v>
      </c>
      <c r="B1579" s="674">
        <v>24</v>
      </c>
      <c r="C1579" s="666" t="str">
        <f>VLOOKUP(B1579,'Coverage Indicators - Section D'!$A$9:$AU$70,47,FALSE)</f>
        <v/>
      </c>
      <c r="D1579" s="676" t="str">
        <f t="shared" ref="D1579" si="6836">R1579</f>
        <v/>
      </c>
      <c r="E1579" s="676" t="str">
        <f t="shared" ref="E1579" si="6837">S1579</f>
        <v/>
      </c>
      <c r="F1579" s="194"/>
      <c r="G1579" s="668" t="str">
        <f t="shared" ref="G1579" ca="1" si="6838">IF(OR(INDIRECT("'update Helper'!E"&amp;U1579)=0,F1579&lt;&gt;0,F1580&lt;&gt;0),IF(IFERROR((F1579/F1580),"")="","",(F1579/F1580)),INDIRECT("'update Helper'!E"&amp;U1579)/100)</f>
        <v/>
      </c>
      <c r="H1579" s="670"/>
      <c r="I1579" s="672"/>
      <c r="J1579" s="651"/>
      <c r="K1579" s="666" t="str">
        <f t="shared" ref="K1579" si="6839">W1579</f>
        <v/>
      </c>
      <c r="L1579" s="666" t="str">
        <f t="shared" ref="L1579" si="6840">V1579</f>
        <v/>
      </c>
      <c r="M1579" s="651"/>
      <c r="N1579" s="651"/>
      <c r="P1579" s="189">
        <f t="shared" ref="P1579" si="6841">IF(AND(EXACT(C1579,C1577),C1577&lt;&gt;0),P1577+1,0)</f>
        <v>79</v>
      </c>
      <c r="Q1579" s="189" t="str">
        <f t="shared" ref="Q1579" si="6842">IF(C1579&lt;&gt;"",C1579&amp;"-"&amp;P1579,"")</f>
        <v/>
      </c>
      <c r="R1579" s="189" t="str">
        <f t="array" ref="R1579">IFERROR(IF(INDEX('Disaggregation Records'!$E$155:$E$385,MATCH(RIGHT(Q1579,255),RIGHT('Disaggregation Records'!$D$155:$D$385,255),0))=0,"",INDEX('Disaggregation Records'!$E$155:$E$385,MATCH(RIGHT(Q1579,255),RIGHT('Disaggregation Records'!$D$155:$D$385,255),0))),"")</f>
        <v/>
      </c>
      <c r="S1579" s="189" t="str">
        <f t="array" ref="S1579">IFERROR(IF(INDEX('Disaggregation Records'!$F$155:$F$385,MATCH(RIGHT(Q1579,255),RIGHT('Disaggregation Records'!$D$155:$D$385,255),0))=0,"",INDEX('Disaggregation Records'!$F$155:$F$385,MATCH(RIGHT(Q1579,255),RIGHT('Disaggregation Records'!$D$155:$D$385,255),0))),"")</f>
        <v/>
      </c>
      <c r="T1579" s="189" t="str">
        <f t="array" ref="T1579">IFERROR(IF(INDEX('Disaggregation Records'!$H$155:$H$385,MATCH(RIGHT(Q1579,255),RIGHT('Disaggregation Records'!$D$155:$D$385,255),0))=0,"",INDEX('Disaggregation Records'!$H$155:$H$385,MATCH(RIGHT(Q1579,255),RIGHT('Disaggregation Records'!$D$155:$D$385,255),0))),"")</f>
        <v/>
      </c>
      <c r="U1579" s="189">
        <f t="shared" ref="U1579" si="6843">U1577+1</f>
        <v>1891</v>
      </c>
      <c r="V1579" s="189" t="str">
        <f t="array" ref="V1579">IFERROR(IF(INDEX('Disaggregation Records'!$I$155:$I$385,MATCH(RIGHT(Q1579,255),RIGHT('Disaggregation Records'!$D$155:$D$385,255),0))=0,"",INDEX('Disaggregation Records'!$I$155:$I$385,MATCH(RIGHT(Q1579,255),RIGHT('Disaggregation Records'!$D$155:$D$385,255),0))),"")</f>
        <v/>
      </c>
      <c r="W1579" s="189" t="str">
        <f>IFERROR(INDEX('Reference Records'!L$59:L$121,MATCH(LEFT(C1579,255),'Reference Records'!E$59:E$121,0)),"")</f>
        <v/>
      </c>
    </row>
    <row r="1580" spans="1:23" s="189" customFormat="1" ht="40.200000000000003" customHeight="1" x14ac:dyDescent="0.3">
      <c r="A1580" s="678"/>
      <c r="B1580" s="675"/>
      <c r="C1580" s="667"/>
      <c r="D1580" s="677"/>
      <c r="E1580" s="677"/>
      <c r="F1580" s="202"/>
      <c r="G1580" s="669"/>
      <c r="H1580" s="671"/>
      <c r="I1580" s="673"/>
      <c r="J1580" s="652"/>
      <c r="K1580" s="667"/>
      <c r="L1580" s="667"/>
      <c r="M1580" s="652"/>
      <c r="N1580" s="652"/>
    </row>
    <row r="1581" spans="1:23" s="189" customFormat="1" ht="40.200000000000003" customHeight="1" x14ac:dyDescent="0.3">
      <c r="A1581" s="678" t="str">
        <f t="shared" ref="A1581" ca="1" si="6844">INDIRECT("'update Helper'!C"&amp;U1581)</f>
        <v>a163p000002zQh7AAE</v>
      </c>
      <c r="B1581" s="674">
        <v>25</v>
      </c>
      <c r="C1581" s="666" t="str">
        <f>VLOOKUP(B1581,'Coverage Indicators - Section D'!$A$9:$AU$70,47,FALSE)</f>
        <v/>
      </c>
      <c r="D1581" s="676" t="str">
        <f t="shared" ref="D1581" si="6845">R1581</f>
        <v/>
      </c>
      <c r="E1581" s="676" t="str">
        <f t="shared" ref="E1581" si="6846">S1581</f>
        <v/>
      </c>
      <c r="F1581" s="194"/>
      <c r="G1581" s="668" t="str">
        <f t="shared" ref="G1581" ca="1" si="6847">IF(OR(INDIRECT("'update Helper'!E"&amp;U1581)=0,F1581&lt;&gt;0,F1582&lt;&gt;0),IF(IFERROR((F1581/F1582),"")="","",(F1581/F1582)),INDIRECT("'update Helper'!E"&amp;U1581)/100)</f>
        <v/>
      </c>
      <c r="H1581" s="670"/>
      <c r="I1581" s="672"/>
      <c r="J1581" s="651"/>
      <c r="K1581" s="666" t="str">
        <f t="shared" ref="K1581" si="6848">W1581</f>
        <v/>
      </c>
      <c r="L1581" s="666" t="str">
        <f t="shared" ref="L1581" si="6849">V1581</f>
        <v/>
      </c>
      <c r="M1581" s="651"/>
      <c r="N1581" s="651"/>
      <c r="P1581" s="189">
        <f t="shared" ref="P1581" si="6850">IF(AND(EXACT(C1581,C1579),C1579&lt;&gt;0),P1579+1,0)</f>
        <v>80</v>
      </c>
      <c r="Q1581" s="189" t="str">
        <f t="shared" ref="Q1581" si="6851">IF(C1581&lt;&gt;"",C1581&amp;"-"&amp;P1581,"")</f>
        <v/>
      </c>
      <c r="R1581" s="189" t="str">
        <f t="array" ref="R1581">IFERROR(IF(INDEX('Disaggregation Records'!$E$155:$E$385,MATCH(RIGHT(Q1581,255),RIGHT('Disaggregation Records'!$D$155:$D$385,255),0))=0,"",INDEX('Disaggregation Records'!$E$155:$E$385,MATCH(RIGHT(Q1581,255),RIGHT('Disaggregation Records'!$D$155:$D$385,255),0))),"")</f>
        <v/>
      </c>
      <c r="S1581" s="189" t="str">
        <f t="array" ref="S1581">IFERROR(IF(INDEX('Disaggregation Records'!$F$155:$F$385,MATCH(RIGHT(Q1581,255),RIGHT('Disaggregation Records'!$D$155:$D$385,255),0))=0,"",INDEX('Disaggregation Records'!$F$155:$F$385,MATCH(RIGHT(Q1581,255),RIGHT('Disaggregation Records'!$D$155:$D$385,255),0))),"")</f>
        <v/>
      </c>
      <c r="T1581" s="189" t="str">
        <f t="array" ref="T1581">IFERROR(IF(INDEX('Disaggregation Records'!$H$155:$H$385,MATCH(RIGHT(Q1581,255),RIGHT('Disaggregation Records'!$D$155:$D$385,255),0))=0,"",INDEX('Disaggregation Records'!$H$155:$H$385,MATCH(RIGHT(Q1581,255),RIGHT('Disaggregation Records'!$D$155:$D$385,255),0))),"")</f>
        <v/>
      </c>
      <c r="U1581" s="189">
        <f t="shared" ref="U1581" si="6852">U1579+1</f>
        <v>1892</v>
      </c>
      <c r="V1581" s="189" t="str">
        <f t="array" ref="V1581">IFERROR(IF(INDEX('Disaggregation Records'!$I$155:$I$385,MATCH(RIGHT(Q1581,255),RIGHT('Disaggregation Records'!$D$155:$D$385,255),0))=0,"",INDEX('Disaggregation Records'!$I$155:$I$385,MATCH(RIGHT(Q1581,255),RIGHT('Disaggregation Records'!$D$155:$D$385,255),0))),"")</f>
        <v/>
      </c>
      <c r="W1581" s="189" t="str">
        <f>IFERROR(INDEX('Reference Records'!L$59:L$121,MATCH(LEFT(C1581,255),'Reference Records'!E$59:E$121,0)),"")</f>
        <v/>
      </c>
    </row>
    <row r="1582" spans="1:23" s="189" customFormat="1" ht="40.200000000000003" customHeight="1" x14ac:dyDescent="0.3">
      <c r="A1582" s="678"/>
      <c r="B1582" s="675"/>
      <c r="C1582" s="667"/>
      <c r="D1582" s="677"/>
      <c r="E1582" s="677"/>
      <c r="F1582" s="202"/>
      <c r="G1582" s="669"/>
      <c r="H1582" s="671"/>
      <c r="I1582" s="673"/>
      <c r="J1582" s="652"/>
      <c r="K1582" s="667"/>
      <c r="L1582" s="667"/>
      <c r="M1582" s="652"/>
      <c r="N1582" s="652"/>
    </row>
    <row r="1583" spans="1:23" s="189" customFormat="1" ht="40.200000000000003" customHeight="1" x14ac:dyDescent="0.3">
      <c r="A1583" s="678" t="str">
        <f t="shared" ref="A1583" ca="1" si="6853">INDIRECT("'update Helper'!C"&amp;U1583)</f>
        <v>a163p000002zQh8AAE</v>
      </c>
      <c r="B1583" s="674">
        <v>25</v>
      </c>
      <c r="C1583" s="666" t="str">
        <f>VLOOKUP(B1583,'Coverage Indicators - Section D'!$A$9:$AU$70,47,FALSE)</f>
        <v/>
      </c>
      <c r="D1583" s="676" t="str">
        <f t="shared" ref="D1583" si="6854">R1583</f>
        <v/>
      </c>
      <c r="E1583" s="676" t="str">
        <f t="shared" ref="E1583" si="6855">S1583</f>
        <v/>
      </c>
      <c r="F1583" s="194"/>
      <c r="G1583" s="668" t="str">
        <f t="shared" ref="G1583" ca="1" si="6856">IF(OR(INDIRECT("'update Helper'!E"&amp;U1583)=0,F1583&lt;&gt;0,F1584&lt;&gt;0),IF(IFERROR((F1583/F1584),"")="","",(F1583/F1584)),INDIRECT("'update Helper'!E"&amp;U1583)/100)</f>
        <v/>
      </c>
      <c r="H1583" s="670"/>
      <c r="I1583" s="672"/>
      <c r="J1583" s="651"/>
      <c r="K1583" s="666" t="str">
        <f t="shared" ref="K1583" si="6857">W1583</f>
        <v/>
      </c>
      <c r="L1583" s="666" t="str">
        <f t="shared" ref="L1583" si="6858">V1583</f>
        <v/>
      </c>
      <c r="M1583" s="651"/>
      <c r="N1583" s="651"/>
      <c r="P1583" s="189">
        <f t="shared" ref="P1583" si="6859">IF(AND(EXACT(C1583,C1581),C1581&lt;&gt;0),P1581+1,0)</f>
        <v>81</v>
      </c>
      <c r="Q1583" s="189" t="str">
        <f t="shared" ref="Q1583" si="6860">IF(C1583&lt;&gt;"",C1583&amp;"-"&amp;P1583,"")</f>
        <v/>
      </c>
      <c r="R1583" s="189" t="str">
        <f t="array" ref="R1583">IFERROR(IF(INDEX('Disaggregation Records'!$E$155:$E$385,MATCH(RIGHT(Q1583,255),RIGHT('Disaggregation Records'!$D$155:$D$385,255),0))=0,"",INDEX('Disaggregation Records'!$E$155:$E$385,MATCH(RIGHT(Q1583,255),RIGHT('Disaggregation Records'!$D$155:$D$385,255),0))),"")</f>
        <v/>
      </c>
      <c r="S1583" s="189" t="str">
        <f t="array" ref="S1583">IFERROR(IF(INDEX('Disaggregation Records'!$F$155:$F$385,MATCH(RIGHT(Q1583,255),RIGHT('Disaggregation Records'!$D$155:$D$385,255),0))=0,"",INDEX('Disaggregation Records'!$F$155:$F$385,MATCH(RIGHT(Q1583,255),RIGHT('Disaggregation Records'!$D$155:$D$385,255),0))),"")</f>
        <v/>
      </c>
      <c r="T1583" s="189" t="str">
        <f t="array" ref="T1583">IFERROR(IF(INDEX('Disaggregation Records'!$H$155:$H$385,MATCH(RIGHT(Q1583,255),RIGHT('Disaggregation Records'!$D$155:$D$385,255),0))=0,"",INDEX('Disaggregation Records'!$H$155:$H$385,MATCH(RIGHT(Q1583,255),RIGHT('Disaggregation Records'!$D$155:$D$385,255),0))),"")</f>
        <v/>
      </c>
      <c r="U1583" s="189">
        <f t="shared" ref="U1583" si="6861">U1581+1</f>
        <v>1893</v>
      </c>
      <c r="V1583" s="189" t="str">
        <f t="array" ref="V1583">IFERROR(IF(INDEX('Disaggregation Records'!$I$155:$I$385,MATCH(RIGHT(Q1583,255),RIGHT('Disaggregation Records'!$D$155:$D$385,255),0))=0,"",INDEX('Disaggregation Records'!$I$155:$I$385,MATCH(RIGHT(Q1583,255),RIGHT('Disaggregation Records'!$D$155:$D$385,255),0))),"")</f>
        <v/>
      </c>
      <c r="W1583" s="189" t="str">
        <f>IFERROR(INDEX('Reference Records'!L$59:L$121,MATCH(LEFT(C1583,255),'Reference Records'!E$59:E$121,0)),"")</f>
        <v/>
      </c>
    </row>
    <row r="1584" spans="1:23" s="189" customFormat="1" ht="40.200000000000003" customHeight="1" x14ac:dyDescent="0.3">
      <c r="A1584" s="678"/>
      <c r="B1584" s="675"/>
      <c r="C1584" s="667"/>
      <c r="D1584" s="677"/>
      <c r="E1584" s="677"/>
      <c r="F1584" s="202"/>
      <c r="G1584" s="669"/>
      <c r="H1584" s="671"/>
      <c r="I1584" s="673"/>
      <c r="J1584" s="652"/>
      <c r="K1584" s="667"/>
      <c r="L1584" s="667"/>
      <c r="M1584" s="652"/>
      <c r="N1584" s="652"/>
    </row>
    <row r="1585" spans="1:23" s="189" customFormat="1" ht="40.200000000000003" customHeight="1" x14ac:dyDescent="0.3">
      <c r="A1585" s="678" t="str">
        <f t="shared" ref="A1585" ca="1" si="6862">INDIRECT("'update Helper'!C"&amp;U1585)</f>
        <v>a163p000002zQh9AAE</v>
      </c>
      <c r="B1585" s="674">
        <v>25</v>
      </c>
      <c r="C1585" s="666" t="str">
        <f>VLOOKUP(B1585,'Coverage Indicators - Section D'!$A$9:$AU$70,47,FALSE)</f>
        <v/>
      </c>
      <c r="D1585" s="676" t="str">
        <f t="shared" ref="D1585" si="6863">R1585</f>
        <v/>
      </c>
      <c r="E1585" s="676" t="str">
        <f t="shared" ref="E1585" si="6864">S1585</f>
        <v/>
      </c>
      <c r="F1585" s="194"/>
      <c r="G1585" s="668" t="str">
        <f t="shared" ref="G1585" ca="1" si="6865">IF(OR(INDIRECT("'update Helper'!E"&amp;U1585)=0,F1585&lt;&gt;0,F1586&lt;&gt;0),IF(IFERROR((F1585/F1586),"")="","",(F1585/F1586)),INDIRECT("'update Helper'!E"&amp;U1585)/100)</f>
        <v/>
      </c>
      <c r="H1585" s="670"/>
      <c r="I1585" s="672"/>
      <c r="J1585" s="651"/>
      <c r="K1585" s="666" t="str">
        <f t="shared" ref="K1585" si="6866">W1585</f>
        <v/>
      </c>
      <c r="L1585" s="666" t="str">
        <f t="shared" ref="L1585" si="6867">V1585</f>
        <v/>
      </c>
      <c r="M1585" s="651"/>
      <c r="N1585" s="651"/>
      <c r="P1585" s="189">
        <f t="shared" ref="P1585" si="6868">IF(AND(EXACT(C1585,C1583),C1583&lt;&gt;0),P1583+1,0)</f>
        <v>82</v>
      </c>
      <c r="Q1585" s="189" t="str">
        <f t="shared" ref="Q1585" si="6869">IF(C1585&lt;&gt;"",C1585&amp;"-"&amp;P1585,"")</f>
        <v/>
      </c>
      <c r="R1585" s="189" t="str">
        <f t="array" ref="R1585">IFERROR(IF(INDEX('Disaggregation Records'!$E$155:$E$385,MATCH(RIGHT(Q1585,255),RIGHT('Disaggregation Records'!$D$155:$D$385,255),0))=0,"",INDEX('Disaggregation Records'!$E$155:$E$385,MATCH(RIGHT(Q1585,255),RIGHT('Disaggregation Records'!$D$155:$D$385,255),0))),"")</f>
        <v/>
      </c>
      <c r="S1585" s="189" t="str">
        <f t="array" ref="S1585">IFERROR(IF(INDEX('Disaggregation Records'!$F$155:$F$385,MATCH(RIGHT(Q1585,255),RIGHT('Disaggregation Records'!$D$155:$D$385,255),0))=0,"",INDEX('Disaggregation Records'!$F$155:$F$385,MATCH(RIGHT(Q1585,255),RIGHT('Disaggregation Records'!$D$155:$D$385,255),0))),"")</f>
        <v/>
      </c>
      <c r="T1585" s="189" t="str">
        <f t="array" ref="T1585">IFERROR(IF(INDEX('Disaggregation Records'!$H$155:$H$385,MATCH(RIGHT(Q1585,255),RIGHT('Disaggregation Records'!$D$155:$D$385,255),0))=0,"",INDEX('Disaggregation Records'!$H$155:$H$385,MATCH(RIGHT(Q1585,255),RIGHT('Disaggregation Records'!$D$155:$D$385,255),0))),"")</f>
        <v/>
      </c>
      <c r="U1585" s="189">
        <f t="shared" ref="U1585" si="6870">U1583+1</f>
        <v>1894</v>
      </c>
      <c r="V1585" s="189" t="str">
        <f t="array" ref="V1585">IFERROR(IF(INDEX('Disaggregation Records'!$I$155:$I$385,MATCH(RIGHT(Q1585,255),RIGHT('Disaggregation Records'!$D$155:$D$385,255),0))=0,"",INDEX('Disaggregation Records'!$I$155:$I$385,MATCH(RIGHT(Q1585,255),RIGHT('Disaggregation Records'!$D$155:$D$385,255),0))),"")</f>
        <v/>
      </c>
      <c r="W1585" s="189" t="str">
        <f>IFERROR(INDEX('Reference Records'!L$59:L$121,MATCH(LEFT(C1585,255),'Reference Records'!E$59:E$121,0)),"")</f>
        <v/>
      </c>
    </row>
    <row r="1586" spans="1:23" s="189" customFormat="1" ht="40.200000000000003" customHeight="1" x14ac:dyDescent="0.3">
      <c r="A1586" s="678"/>
      <c r="B1586" s="675"/>
      <c r="C1586" s="667"/>
      <c r="D1586" s="677"/>
      <c r="E1586" s="677"/>
      <c r="F1586" s="202"/>
      <c r="G1586" s="669"/>
      <c r="H1586" s="671"/>
      <c r="I1586" s="673"/>
      <c r="J1586" s="652"/>
      <c r="K1586" s="667"/>
      <c r="L1586" s="667"/>
      <c r="M1586" s="652"/>
      <c r="N1586" s="652"/>
    </row>
    <row r="1587" spans="1:23" s="189" customFormat="1" ht="40.200000000000003" customHeight="1" x14ac:dyDescent="0.3">
      <c r="A1587" s="678" t="str">
        <f t="shared" ref="A1587" ca="1" si="6871">INDIRECT("'update Helper'!C"&amp;U1587)</f>
        <v>a163p000002zQhAAAU</v>
      </c>
      <c r="B1587" s="674">
        <v>25</v>
      </c>
      <c r="C1587" s="666" t="str">
        <f>VLOOKUP(B1587,'Coverage Indicators - Section D'!$A$9:$AU$70,47,FALSE)</f>
        <v/>
      </c>
      <c r="D1587" s="676" t="str">
        <f t="shared" ref="D1587" si="6872">R1587</f>
        <v/>
      </c>
      <c r="E1587" s="676" t="str">
        <f t="shared" ref="E1587" si="6873">S1587</f>
        <v/>
      </c>
      <c r="F1587" s="194"/>
      <c r="G1587" s="668" t="str">
        <f t="shared" ref="G1587" ca="1" si="6874">IF(OR(INDIRECT("'update Helper'!E"&amp;U1587)=0,F1587&lt;&gt;0,F1588&lt;&gt;0),IF(IFERROR((F1587/F1588),"")="","",(F1587/F1588)),INDIRECT("'update Helper'!E"&amp;U1587)/100)</f>
        <v/>
      </c>
      <c r="H1587" s="670"/>
      <c r="I1587" s="672"/>
      <c r="J1587" s="651"/>
      <c r="K1587" s="666" t="str">
        <f t="shared" ref="K1587" si="6875">W1587</f>
        <v/>
      </c>
      <c r="L1587" s="666" t="str">
        <f t="shared" ref="L1587" si="6876">V1587</f>
        <v/>
      </c>
      <c r="M1587" s="651"/>
      <c r="N1587" s="651"/>
      <c r="P1587" s="189">
        <f t="shared" ref="P1587" si="6877">IF(AND(EXACT(C1587,C1585),C1585&lt;&gt;0),P1585+1,0)</f>
        <v>83</v>
      </c>
      <c r="Q1587" s="189" t="str">
        <f t="shared" ref="Q1587" si="6878">IF(C1587&lt;&gt;"",C1587&amp;"-"&amp;P1587,"")</f>
        <v/>
      </c>
      <c r="R1587" s="189" t="str">
        <f t="array" ref="R1587">IFERROR(IF(INDEX('Disaggregation Records'!$E$155:$E$385,MATCH(RIGHT(Q1587,255),RIGHT('Disaggregation Records'!$D$155:$D$385,255),0))=0,"",INDEX('Disaggregation Records'!$E$155:$E$385,MATCH(RIGHT(Q1587,255),RIGHT('Disaggregation Records'!$D$155:$D$385,255),0))),"")</f>
        <v/>
      </c>
      <c r="S1587" s="189" t="str">
        <f t="array" ref="S1587">IFERROR(IF(INDEX('Disaggregation Records'!$F$155:$F$385,MATCH(RIGHT(Q1587,255),RIGHT('Disaggregation Records'!$D$155:$D$385,255),0))=0,"",INDEX('Disaggregation Records'!$F$155:$F$385,MATCH(RIGHT(Q1587,255),RIGHT('Disaggregation Records'!$D$155:$D$385,255),0))),"")</f>
        <v/>
      </c>
      <c r="T1587" s="189" t="str">
        <f t="array" ref="T1587">IFERROR(IF(INDEX('Disaggregation Records'!$H$155:$H$385,MATCH(RIGHT(Q1587,255),RIGHT('Disaggregation Records'!$D$155:$D$385,255),0))=0,"",INDEX('Disaggregation Records'!$H$155:$H$385,MATCH(RIGHT(Q1587,255),RIGHT('Disaggregation Records'!$D$155:$D$385,255),0))),"")</f>
        <v/>
      </c>
      <c r="U1587" s="189">
        <f t="shared" ref="U1587" si="6879">U1585+1</f>
        <v>1895</v>
      </c>
      <c r="V1587" s="189" t="str">
        <f t="array" ref="V1587">IFERROR(IF(INDEX('Disaggregation Records'!$I$155:$I$385,MATCH(RIGHT(Q1587,255),RIGHT('Disaggregation Records'!$D$155:$D$385,255),0))=0,"",INDEX('Disaggregation Records'!$I$155:$I$385,MATCH(RIGHT(Q1587,255),RIGHT('Disaggregation Records'!$D$155:$D$385,255),0))),"")</f>
        <v/>
      </c>
      <c r="W1587" s="189" t="str">
        <f>IFERROR(INDEX('Reference Records'!L$59:L$121,MATCH(LEFT(C1587,255),'Reference Records'!E$59:E$121,0)),"")</f>
        <v/>
      </c>
    </row>
    <row r="1588" spans="1:23" s="189" customFormat="1" ht="40.200000000000003" customHeight="1" x14ac:dyDescent="0.3">
      <c r="A1588" s="678"/>
      <c r="B1588" s="675"/>
      <c r="C1588" s="667"/>
      <c r="D1588" s="677"/>
      <c r="E1588" s="677"/>
      <c r="F1588" s="202"/>
      <c r="G1588" s="669"/>
      <c r="H1588" s="671"/>
      <c r="I1588" s="673"/>
      <c r="J1588" s="652"/>
      <c r="K1588" s="667"/>
      <c r="L1588" s="667"/>
      <c r="M1588" s="652"/>
      <c r="N1588" s="652"/>
    </row>
    <row r="1589" spans="1:23" s="189" customFormat="1" ht="40.200000000000003" customHeight="1" x14ac:dyDescent="0.3">
      <c r="A1589" s="678" t="str">
        <f t="shared" ref="A1589" ca="1" si="6880">INDIRECT("'update Helper'!C"&amp;U1589)</f>
        <v>a163p000002zQhBAAU</v>
      </c>
      <c r="B1589" s="674">
        <v>25</v>
      </c>
      <c r="C1589" s="666" t="str">
        <f>VLOOKUP(B1589,'Coverage Indicators - Section D'!$A$9:$AU$70,47,FALSE)</f>
        <v/>
      </c>
      <c r="D1589" s="676" t="str">
        <f t="shared" ref="D1589" si="6881">R1589</f>
        <v/>
      </c>
      <c r="E1589" s="676" t="str">
        <f t="shared" ref="E1589" si="6882">S1589</f>
        <v/>
      </c>
      <c r="F1589" s="194"/>
      <c r="G1589" s="668" t="str">
        <f t="shared" ref="G1589" ca="1" si="6883">IF(OR(INDIRECT("'update Helper'!E"&amp;U1589)=0,F1589&lt;&gt;0,F1590&lt;&gt;0),IF(IFERROR((F1589/F1590),"")="","",(F1589/F1590)),INDIRECT("'update Helper'!E"&amp;U1589)/100)</f>
        <v/>
      </c>
      <c r="H1589" s="670"/>
      <c r="I1589" s="672"/>
      <c r="J1589" s="651"/>
      <c r="K1589" s="666" t="str">
        <f t="shared" ref="K1589" si="6884">W1589</f>
        <v/>
      </c>
      <c r="L1589" s="666" t="str">
        <f t="shared" ref="L1589" si="6885">V1589</f>
        <v/>
      </c>
      <c r="M1589" s="651"/>
      <c r="N1589" s="651"/>
      <c r="P1589" s="189">
        <f t="shared" ref="P1589" si="6886">IF(AND(EXACT(C1589,C1587),C1587&lt;&gt;0),P1587+1,0)</f>
        <v>84</v>
      </c>
      <c r="Q1589" s="189" t="str">
        <f t="shared" ref="Q1589" si="6887">IF(C1589&lt;&gt;"",C1589&amp;"-"&amp;P1589,"")</f>
        <v/>
      </c>
      <c r="R1589" s="189" t="str">
        <f t="array" ref="R1589">IFERROR(IF(INDEX('Disaggregation Records'!$E$155:$E$385,MATCH(RIGHT(Q1589,255),RIGHT('Disaggregation Records'!$D$155:$D$385,255),0))=0,"",INDEX('Disaggregation Records'!$E$155:$E$385,MATCH(RIGHT(Q1589,255),RIGHT('Disaggregation Records'!$D$155:$D$385,255),0))),"")</f>
        <v/>
      </c>
      <c r="S1589" s="189" t="str">
        <f t="array" ref="S1589">IFERROR(IF(INDEX('Disaggregation Records'!$F$155:$F$385,MATCH(RIGHT(Q1589,255),RIGHT('Disaggregation Records'!$D$155:$D$385,255),0))=0,"",INDEX('Disaggregation Records'!$F$155:$F$385,MATCH(RIGHT(Q1589,255),RIGHT('Disaggregation Records'!$D$155:$D$385,255),0))),"")</f>
        <v/>
      </c>
      <c r="T1589" s="189" t="str">
        <f t="array" ref="T1589">IFERROR(IF(INDEX('Disaggregation Records'!$H$155:$H$385,MATCH(RIGHT(Q1589,255),RIGHT('Disaggregation Records'!$D$155:$D$385,255),0))=0,"",INDEX('Disaggregation Records'!$H$155:$H$385,MATCH(RIGHT(Q1589,255),RIGHT('Disaggregation Records'!$D$155:$D$385,255),0))),"")</f>
        <v/>
      </c>
      <c r="U1589" s="189">
        <f t="shared" ref="U1589" si="6888">U1587+1</f>
        <v>1896</v>
      </c>
      <c r="V1589" s="189" t="str">
        <f t="array" ref="V1589">IFERROR(IF(INDEX('Disaggregation Records'!$I$155:$I$385,MATCH(RIGHT(Q1589,255),RIGHT('Disaggregation Records'!$D$155:$D$385,255),0))=0,"",INDEX('Disaggregation Records'!$I$155:$I$385,MATCH(RIGHT(Q1589,255),RIGHT('Disaggregation Records'!$D$155:$D$385,255),0))),"")</f>
        <v/>
      </c>
      <c r="W1589" s="189" t="str">
        <f>IFERROR(INDEX('Reference Records'!L$59:L$121,MATCH(LEFT(C1589,255),'Reference Records'!E$59:E$121,0)),"")</f>
        <v/>
      </c>
    </row>
    <row r="1590" spans="1:23" s="189" customFormat="1" ht="40.200000000000003" customHeight="1" x14ac:dyDescent="0.3">
      <c r="A1590" s="678"/>
      <c r="B1590" s="675"/>
      <c r="C1590" s="667"/>
      <c r="D1590" s="677"/>
      <c r="E1590" s="677"/>
      <c r="F1590" s="202"/>
      <c r="G1590" s="669"/>
      <c r="H1590" s="671"/>
      <c r="I1590" s="673"/>
      <c r="J1590" s="652"/>
      <c r="K1590" s="667"/>
      <c r="L1590" s="667"/>
      <c r="M1590" s="652"/>
      <c r="N1590" s="652"/>
    </row>
    <row r="1591" spans="1:23" s="189" customFormat="1" ht="40.200000000000003" customHeight="1" x14ac:dyDescent="0.3">
      <c r="A1591" s="678" t="str">
        <f t="shared" ref="A1591" ca="1" si="6889">INDIRECT("'update Helper'!C"&amp;U1591)</f>
        <v>a163p000002zQhCAAU</v>
      </c>
      <c r="B1591" s="674">
        <v>25</v>
      </c>
      <c r="C1591" s="666" t="str">
        <f>VLOOKUP(B1591,'Coverage Indicators - Section D'!$A$9:$AU$70,47,FALSE)</f>
        <v/>
      </c>
      <c r="D1591" s="676" t="str">
        <f t="shared" ref="D1591" si="6890">R1591</f>
        <v/>
      </c>
      <c r="E1591" s="676" t="str">
        <f t="shared" ref="E1591" si="6891">S1591</f>
        <v/>
      </c>
      <c r="F1591" s="194"/>
      <c r="G1591" s="668" t="str">
        <f t="shared" ref="G1591" ca="1" si="6892">IF(OR(INDIRECT("'update Helper'!E"&amp;U1591)=0,F1591&lt;&gt;0,F1592&lt;&gt;0),IF(IFERROR((F1591/F1592),"")="","",(F1591/F1592)),INDIRECT("'update Helper'!E"&amp;U1591)/100)</f>
        <v/>
      </c>
      <c r="H1591" s="670"/>
      <c r="I1591" s="672"/>
      <c r="J1591" s="651"/>
      <c r="K1591" s="666" t="str">
        <f t="shared" ref="K1591" si="6893">W1591</f>
        <v/>
      </c>
      <c r="L1591" s="666" t="str">
        <f t="shared" ref="L1591" si="6894">V1591</f>
        <v/>
      </c>
      <c r="M1591" s="651"/>
      <c r="N1591" s="651"/>
      <c r="P1591" s="189">
        <f t="shared" ref="P1591" si="6895">IF(AND(EXACT(C1591,C1589),C1589&lt;&gt;0),P1589+1,0)</f>
        <v>85</v>
      </c>
      <c r="Q1591" s="189" t="str">
        <f t="shared" ref="Q1591" si="6896">IF(C1591&lt;&gt;"",C1591&amp;"-"&amp;P1591,"")</f>
        <v/>
      </c>
      <c r="R1591" s="189" t="str">
        <f t="array" ref="R1591">IFERROR(IF(INDEX('Disaggregation Records'!$E$155:$E$385,MATCH(RIGHT(Q1591,255),RIGHT('Disaggregation Records'!$D$155:$D$385,255),0))=0,"",INDEX('Disaggregation Records'!$E$155:$E$385,MATCH(RIGHT(Q1591,255),RIGHT('Disaggregation Records'!$D$155:$D$385,255),0))),"")</f>
        <v/>
      </c>
      <c r="S1591" s="189" t="str">
        <f t="array" ref="S1591">IFERROR(IF(INDEX('Disaggregation Records'!$F$155:$F$385,MATCH(RIGHT(Q1591,255),RIGHT('Disaggregation Records'!$D$155:$D$385,255),0))=0,"",INDEX('Disaggregation Records'!$F$155:$F$385,MATCH(RIGHT(Q1591,255),RIGHT('Disaggregation Records'!$D$155:$D$385,255),0))),"")</f>
        <v/>
      </c>
      <c r="T1591" s="189" t="str">
        <f t="array" ref="T1591">IFERROR(IF(INDEX('Disaggregation Records'!$H$155:$H$385,MATCH(RIGHT(Q1591,255),RIGHT('Disaggregation Records'!$D$155:$D$385,255),0))=0,"",INDEX('Disaggregation Records'!$H$155:$H$385,MATCH(RIGHT(Q1591,255),RIGHT('Disaggregation Records'!$D$155:$D$385,255),0))),"")</f>
        <v/>
      </c>
      <c r="U1591" s="189">
        <f t="shared" ref="U1591" si="6897">U1589+1</f>
        <v>1897</v>
      </c>
      <c r="V1591" s="189" t="str">
        <f t="array" ref="V1591">IFERROR(IF(INDEX('Disaggregation Records'!$I$155:$I$385,MATCH(RIGHT(Q1591,255),RIGHT('Disaggregation Records'!$D$155:$D$385,255),0))=0,"",INDEX('Disaggregation Records'!$I$155:$I$385,MATCH(RIGHT(Q1591,255),RIGHT('Disaggregation Records'!$D$155:$D$385,255),0))),"")</f>
        <v/>
      </c>
      <c r="W1591" s="189" t="str">
        <f>IFERROR(INDEX('Reference Records'!L$59:L$121,MATCH(LEFT(C1591,255),'Reference Records'!E$59:E$121,0)),"")</f>
        <v/>
      </c>
    </row>
    <row r="1592" spans="1:23" s="189" customFormat="1" ht="40.200000000000003" customHeight="1" x14ac:dyDescent="0.3">
      <c r="A1592" s="678"/>
      <c r="B1592" s="675"/>
      <c r="C1592" s="667"/>
      <c r="D1592" s="677"/>
      <c r="E1592" s="677"/>
      <c r="F1592" s="202"/>
      <c r="G1592" s="669"/>
      <c r="H1592" s="671"/>
      <c r="I1592" s="673"/>
      <c r="J1592" s="652"/>
      <c r="K1592" s="667"/>
      <c r="L1592" s="667"/>
      <c r="M1592" s="652"/>
      <c r="N1592" s="652"/>
    </row>
    <row r="1593" spans="1:23" s="189" customFormat="1" ht="40.200000000000003" customHeight="1" x14ac:dyDescent="0.3">
      <c r="A1593" s="678" t="str">
        <f t="shared" ref="A1593" ca="1" si="6898">INDIRECT("'update Helper'!C"&amp;U1593)</f>
        <v>a163p000002zQhDAAU</v>
      </c>
      <c r="B1593" s="674">
        <v>25</v>
      </c>
      <c r="C1593" s="666" t="str">
        <f>VLOOKUP(B1593,'Coverage Indicators - Section D'!$A$9:$AU$70,47,FALSE)</f>
        <v/>
      </c>
      <c r="D1593" s="676" t="str">
        <f t="shared" ref="D1593" si="6899">R1593</f>
        <v/>
      </c>
      <c r="E1593" s="676" t="str">
        <f t="shared" ref="E1593" si="6900">S1593</f>
        <v/>
      </c>
      <c r="F1593" s="194"/>
      <c r="G1593" s="668" t="str">
        <f t="shared" ref="G1593" ca="1" si="6901">IF(OR(INDIRECT("'update Helper'!E"&amp;U1593)=0,F1593&lt;&gt;0,F1594&lt;&gt;0),IF(IFERROR((F1593/F1594),"")="","",(F1593/F1594)),INDIRECT("'update Helper'!E"&amp;U1593)/100)</f>
        <v/>
      </c>
      <c r="H1593" s="670"/>
      <c r="I1593" s="672"/>
      <c r="J1593" s="651"/>
      <c r="K1593" s="666" t="str">
        <f t="shared" ref="K1593" si="6902">W1593</f>
        <v/>
      </c>
      <c r="L1593" s="666" t="str">
        <f t="shared" ref="L1593" si="6903">V1593</f>
        <v/>
      </c>
      <c r="M1593" s="651"/>
      <c r="N1593" s="651"/>
      <c r="P1593" s="189">
        <f t="shared" ref="P1593" si="6904">IF(AND(EXACT(C1593,C1591),C1591&lt;&gt;0),P1591+1,0)</f>
        <v>86</v>
      </c>
      <c r="Q1593" s="189" t="str">
        <f t="shared" ref="Q1593" si="6905">IF(C1593&lt;&gt;"",C1593&amp;"-"&amp;P1593,"")</f>
        <v/>
      </c>
      <c r="R1593" s="189" t="str">
        <f t="array" ref="R1593">IFERROR(IF(INDEX('Disaggregation Records'!$E$155:$E$385,MATCH(RIGHT(Q1593,255),RIGHT('Disaggregation Records'!$D$155:$D$385,255),0))=0,"",INDEX('Disaggregation Records'!$E$155:$E$385,MATCH(RIGHT(Q1593,255),RIGHT('Disaggregation Records'!$D$155:$D$385,255),0))),"")</f>
        <v/>
      </c>
      <c r="S1593" s="189" t="str">
        <f t="array" ref="S1593">IFERROR(IF(INDEX('Disaggregation Records'!$F$155:$F$385,MATCH(RIGHT(Q1593,255),RIGHT('Disaggregation Records'!$D$155:$D$385,255),0))=0,"",INDEX('Disaggregation Records'!$F$155:$F$385,MATCH(RIGHT(Q1593,255),RIGHT('Disaggregation Records'!$D$155:$D$385,255),0))),"")</f>
        <v/>
      </c>
      <c r="T1593" s="189" t="str">
        <f t="array" ref="T1593">IFERROR(IF(INDEX('Disaggregation Records'!$H$155:$H$385,MATCH(RIGHT(Q1593,255),RIGHT('Disaggregation Records'!$D$155:$D$385,255),0))=0,"",INDEX('Disaggregation Records'!$H$155:$H$385,MATCH(RIGHT(Q1593,255),RIGHT('Disaggregation Records'!$D$155:$D$385,255),0))),"")</f>
        <v/>
      </c>
      <c r="U1593" s="189">
        <f t="shared" ref="U1593" si="6906">U1591+1</f>
        <v>1898</v>
      </c>
      <c r="V1593" s="189" t="str">
        <f t="array" ref="V1593">IFERROR(IF(INDEX('Disaggregation Records'!$I$155:$I$385,MATCH(RIGHT(Q1593,255),RIGHT('Disaggregation Records'!$D$155:$D$385,255),0))=0,"",INDEX('Disaggregation Records'!$I$155:$I$385,MATCH(RIGHT(Q1593,255),RIGHT('Disaggregation Records'!$D$155:$D$385,255),0))),"")</f>
        <v/>
      </c>
      <c r="W1593" s="189" t="str">
        <f>IFERROR(INDEX('Reference Records'!L$59:L$121,MATCH(LEFT(C1593,255),'Reference Records'!E$59:E$121,0)),"")</f>
        <v/>
      </c>
    </row>
    <row r="1594" spans="1:23" s="189" customFormat="1" ht="40.200000000000003" customHeight="1" x14ac:dyDescent="0.3">
      <c r="A1594" s="678"/>
      <c r="B1594" s="675"/>
      <c r="C1594" s="667"/>
      <c r="D1594" s="677"/>
      <c r="E1594" s="677"/>
      <c r="F1594" s="202"/>
      <c r="G1594" s="669"/>
      <c r="H1594" s="671"/>
      <c r="I1594" s="673"/>
      <c r="J1594" s="652"/>
      <c r="K1594" s="667"/>
      <c r="L1594" s="667"/>
      <c r="M1594" s="652"/>
      <c r="N1594" s="652"/>
    </row>
    <row r="1595" spans="1:23" s="189" customFormat="1" ht="40.200000000000003" customHeight="1" x14ac:dyDescent="0.3">
      <c r="A1595" s="678" t="str">
        <f t="shared" ref="A1595" ca="1" si="6907">INDIRECT("'update Helper'!C"&amp;U1595)</f>
        <v>a163p000002zQhEAAU</v>
      </c>
      <c r="B1595" s="674">
        <v>25</v>
      </c>
      <c r="C1595" s="666" t="str">
        <f>VLOOKUP(B1595,'Coverage Indicators - Section D'!$A$9:$AU$70,47,FALSE)</f>
        <v/>
      </c>
      <c r="D1595" s="676" t="str">
        <f t="shared" ref="D1595" si="6908">R1595</f>
        <v/>
      </c>
      <c r="E1595" s="676" t="str">
        <f t="shared" ref="E1595" si="6909">S1595</f>
        <v/>
      </c>
      <c r="F1595" s="194"/>
      <c r="G1595" s="668" t="str">
        <f t="shared" ref="G1595" ca="1" si="6910">IF(OR(INDIRECT("'update Helper'!E"&amp;U1595)=0,F1595&lt;&gt;0,F1596&lt;&gt;0),IF(IFERROR((F1595/F1596),"")="","",(F1595/F1596)),INDIRECT("'update Helper'!E"&amp;U1595)/100)</f>
        <v/>
      </c>
      <c r="H1595" s="670"/>
      <c r="I1595" s="672"/>
      <c r="J1595" s="651"/>
      <c r="K1595" s="666" t="str">
        <f t="shared" ref="K1595" si="6911">W1595</f>
        <v/>
      </c>
      <c r="L1595" s="666" t="str">
        <f t="shared" ref="L1595" si="6912">V1595</f>
        <v/>
      </c>
      <c r="M1595" s="651"/>
      <c r="N1595" s="651"/>
      <c r="P1595" s="189">
        <f t="shared" ref="P1595" si="6913">IF(AND(EXACT(C1595,C1593),C1593&lt;&gt;0),P1593+1,0)</f>
        <v>87</v>
      </c>
      <c r="Q1595" s="189" t="str">
        <f t="shared" ref="Q1595" si="6914">IF(C1595&lt;&gt;"",C1595&amp;"-"&amp;P1595,"")</f>
        <v/>
      </c>
      <c r="R1595" s="189" t="str">
        <f t="array" ref="R1595">IFERROR(IF(INDEX('Disaggregation Records'!$E$155:$E$385,MATCH(RIGHT(Q1595,255),RIGHT('Disaggregation Records'!$D$155:$D$385,255),0))=0,"",INDEX('Disaggregation Records'!$E$155:$E$385,MATCH(RIGHT(Q1595,255),RIGHT('Disaggregation Records'!$D$155:$D$385,255),0))),"")</f>
        <v/>
      </c>
      <c r="S1595" s="189" t="str">
        <f t="array" ref="S1595">IFERROR(IF(INDEX('Disaggregation Records'!$F$155:$F$385,MATCH(RIGHT(Q1595,255),RIGHT('Disaggregation Records'!$D$155:$D$385,255),0))=0,"",INDEX('Disaggregation Records'!$F$155:$F$385,MATCH(RIGHT(Q1595,255),RIGHT('Disaggregation Records'!$D$155:$D$385,255),0))),"")</f>
        <v/>
      </c>
      <c r="T1595" s="189" t="str">
        <f t="array" ref="T1595">IFERROR(IF(INDEX('Disaggregation Records'!$H$155:$H$385,MATCH(RIGHT(Q1595,255),RIGHT('Disaggregation Records'!$D$155:$D$385,255),0))=0,"",INDEX('Disaggregation Records'!$H$155:$H$385,MATCH(RIGHT(Q1595,255),RIGHT('Disaggregation Records'!$D$155:$D$385,255),0))),"")</f>
        <v/>
      </c>
      <c r="U1595" s="189">
        <f t="shared" ref="U1595" si="6915">U1593+1</f>
        <v>1899</v>
      </c>
      <c r="V1595" s="189" t="str">
        <f t="array" ref="V1595">IFERROR(IF(INDEX('Disaggregation Records'!$I$155:$I$385,MATCH(RIGHT(Q1595,255),RIGHT('Disaggregation Records'!$D$155:$D$385,255),0))=0,"",INDEX('Disaggregation Records'!$I$155:$I$385,MATCH(RIGHT(Q1595,255),RIGHT('Disaggregation Records'!$D$155:$D$385,255),0))),"")</f>
        <v/>
      </c>
      <c r="W1595" s="189" t="str">
        <f>IFERROR(INDEX('Reference Records'!L$59:L$121,MATCH(LEFT(C1595,255),'Reference Records'!E$59:E$121,0)),"")</f>
        <v/>
      </c>
    </row>
    <row r="1596" spans="1:23" s="189" customFormat="1" ht="40.200000000000003" customHeight="1" x14ac:dyDescent="0.3">
      <c r="A1596" s="678"/>
      <c r="B1596" s="675"/>
      <c r="C1596" s="667"/>
      <c r="D1596" s="677"/>
      <c r="E1596" s="677"/>
      <c r="F1596" s="202"/>
      <c r="G1596" s="669"/>
      <c r="H1596" s="671"/>
      <c r="I1596" s="673"/>
      <c r="J1596" s="652"/>
      <c r="K1596" s="667"/>
      <c r="L1596" s="667"/>
      <c r="M1596" s="652"/>
      <c r="N1596" s="652"/>
    </row>
    <row r="1597" spans="1:23" s="189" customFormat="1" ht="40.200000000000003" customHeight="1" x14ac:dyDescent="0.3">
      <c r="A1597" s="678" t="str">
        <f t="shared" ref="A1597" ca="1" si="6916">INDIRECT("'update Helper'!C"&amp;U1597)</f>
        <v>a163p000002zQhFAAU</v>
      </c>
      <c r="B1597" s="674">
        <v>25</v>
      </c>
      <c r="C1597" s="666" t="str">
        <f>VLOOKUP(B1597,'Coverage Indicators - Section D'!$A$9:$AU$70,47,FALSE)</f>
        <v/>
      </c>
      <c r="D1597" s="676" t="str">
        <f t="shared" ref="D1597" si="6917">R1597</f>
        <v/>
      </c>
      <c r="E1597" s="676" t="str">
        <f t="shared" ref="E1597" si="6918">S1597</f>
        <v/>
      </c>
      <c r="F1597" s="194"/>
      <c r="G1597" s="668" t="str">
        <f t="shared" ref="G1597" ca="1" si="6919">IF(OR(INDIRECT("'update Helper'!E"&amp;U1597)=0,F1597&lt;&gt;0,F1598&lt;&gt;0),IF(IFERROR((F1597/F1598),"")="","",(F1597/F1598)),INDIRECT("'update Helper'!E"&amp;U1597)/100)</f>
        <v/>
      </c>
      <c r="H1597" s="670"/>
      <c r="I1597" s="672"/>
      <c r="J1597" s="651"/>
      <c r="K1597" s="666" t="str">
        <f t="shared" ref="K1597" si="6920">W1597</f>
        <v/>
      </c>
      <c r="L1597" s="666" t="str">
        <f t="shared" ref="L1597" si="6921">V1597</f>
        <v/>
      </c>
      <c r="M1597" s="651"/>
      <c r="N1597" s="651"/>
      <c r="P1597" s="189">
        <f t="shared" ref="P1597" si="6922">IF(AND(EXACT(C1597,C1595),C1595&lt;&gt;0),P1595+1,0)</f>
        <v>88</v>
      </c>
      <c r="Q1597" s="189" t="str">
        <f t="shared" ref="Q1597" si="6923">IF(C1597&lt;&gt;"",C1597&amp;"-"&amp;P1597,"")</f>
        <v/>
      </c>
      <c r="R1597" s="189" t="str">
        <f t="array" ref="R1597">IFERROR(IF(INDEX('Disaggregation Records'!$E$155:$E$385,MATCH(RIGHT(Q1597,255),RIGHT('Disaggregation Records'!$D$155:$D$385,255),0))=0,"",INDEX('Disaggregation Records'!$E$155:$E$385,MATCH(RIGHT(Q1597,255),RIGHT('Disaggregation Records'!$D$155:$D$385,255),0))),"")</f>
        <v/>
      </c>
      <c r="S1597" s="189" t="str">
        <f t="array" ref="S1597">IFERROR(IF(INDEX('Disaggregation Records'!$F$155:$F$385,MATCH(RIGHT(Q1597,255),RIGHT('Disaggregation Records'!$D$155:$D$385,255),0))=0,"",INDEX('Disaggregation Records'!$F$155:$F$385,MATCH(RIGHT(Q1597,255),RIGHT('Disaggregation Records'!$D$155:$D$385,255),0))),"")</f>
        <v/>
      </c>
      <c r="T1597" s="189" t="str">
        <f t="array" ref="T1597">IFERROR(IF(INDEX('Disaggregation Records'!$H$155:$H$385,MATCH(RIGHT(Q1597,255),RIGHT('Disaggregation Records'!$D$155:$D$385,255),0))=0,"",INDEX('Disaggregation Records'!$H$155:$H$385,MATCH(RIGHT(Q1597,255),RIGHT('Disaggregation Records'!$D$155:$D$385,255),0))),"")</f>
        <v/>
      </c>
      <c r="U1597" s="189">
        <f t="shared" ref="U1597" si="6924">U1595+1</f>
        <v>1900</v>
      </c>
      <c r="V1597" s="189" t="str">
        <f t="array" ref="V1597">IFERROR(IF(INDEX('Disaggregation Records'!$I$155:$I$385,MATCH(RIGHT(Q1597,255),RIGHT('Disaggregation Records'!$D$155:$D$385,255),0))=0,"",INDEX('Disaggregation Records'!$I$155:$I$385,MATCH(RIGHT(Q1597,255),RIGHT('Disaggregation Records'!$D$155:$D$385,255),0))),"")</f>
        <v/>
      </c>
      <c r="W1597" s="189" t="str">
        <f>IFERROR(INDEX('Reference Records'!L$59:L$121,MATCH(LEFT(C1597,255),'Reference Records'!E$59:E$121,0)),"")</f>
        <v/>
      </c>
    </row>
    <row r="1598" spans="1:23" s="189" customFormat="1" ht="40.200000000000003" customHeight="1" x14ac:dyDescent="0.3">
      <c r="A1598" s="678"/>
      <c r="B1598" s="675"/>
      <c r="C1598" s="667"/>
      <c r="D1598" s="677"/>
      <c r="E1598" s="677"/>
      <c r="F1598" s="202"/>
      <c r="G1598" s="669"/>
      <c r="H1598" s="671"/>
      <c r="I1598" s="673"/>
      <c r="J1598" s="652"/>
      <c r="K1598" s="667"/>
      <c r="L1598" s="667"/>
      <c r="M1598" s="652"/>
      <c r="N1598" s="652"/>
    </row>
    <row r="1599" spans="1:23" s="189" customFormat="1" ht="40.200000000000003" customHeight="1" x14ac:dyDescent="0.3">
      <c r="A1599" s="678" t="str">
        <f t="shared" ref="A1599" ca="1" si="6925">INDIRECT("'update Helper'!C"&amp;U1599)</f>
        <v>a163p000002zQhGAAU</v>
      </c>
      <c r="B1599" s="674">
        <v>25</v>
      </c>
      <c r="C1599" s="666" t="str">
        <f>VLOOKUP(B1599,'Coverage Indicators - Section D'!$A$9:$AU$70,47,FALSE)</f>
        <v/>
      </c>
      <c r="D1599" s="676" t="str">
        <f t="shared" ref="D1599" si="6926">R1599</f>
        <v/>
      </c>
      <c r="E1599" s="676" t="str">
        <f t="shared" ref="E1599" si="6927">S1599</f>
        <v/>
      </c>
      <c r="F1599" s="194"/>
      <c r="G1599" s="668" t="str">
        <f t="shared" ref="G1599" ca="1" si="6928">IF(OR(INDIRECT("'update Helper'!E"&amp;U1599)=0,F1599&lt;&gt;0,F1600&lt;&gt;0),IF(IFERROR((F1599/F1600),"")="","",(F1599/F1600)),INDIRECT("'update Helper'!E"&amp;U1599)/100)</f>
        <v/>
      </c>
      <c r="H1599" s="670"/>
      <c r="I1599" s="672"/>
      <c r="J1599" s="651"/>
      <c r="K1599" s="666" t="str">
        <f t="shared" ref="K1599" si="6929">W1599</f>
        <v/>
      </c>
      <c r="L1599" s="666" t="str">
        <f t="shared" ref="L1599" si="6930">V1599</f>
        <v/>
      </c>
      <c r="M1599" s="651"/>
      <c r="N1599" s="651"/>
      <c r="P1599" s="189">
        <f t="shared" ref="P1599" si="6931">IF(AND(EXACT(C1599,C1597),C1597&lt;&gt;0),P1597+1,0)</f>
        <v>89</v>
      </c>
      <c r="Q1599" s="189" t="str">
        <f t="shared" ref="Q1599" si="6932">IF(C1599&lt;&gt;"",C1599&amp;"-"&amp;P1599,"")</f>
        <v/>
      </c>
      <c r="R1599" s="189" t="str">
        <f t="array" ref="R1599">IFERROR(IF(INDEX('Disaggregation Records'!$E$155:$E$385,MATCH(RIGHT(Q1599,255),RIGHT('Disaggregation Records'!$D$155:$D$385,255),0))=0,"",INDEX('Disaggregation Records'!$E$155:$E$385,MATCH(RIGHT(Q1599,255),RIGHT('Disaggregation Records'!$D$155:$D$385,255),0))),"")</f>
        <v/>
      </c>
      <c r="S1599" s="189" t="str">
        <f t="array" ref="S1599">IFERROR(IF(INDEX('Disaggregation Records'!$F$155:$F$385,MATCH(RIGHT(Q1599,255),RIGHT('Disaggregation Records'!$D$155:$D$385,255),0))=0,"",INDEX('Disaggregation Records'!$F$155:$F$385,MATCH(RIGHT(Q1599,255),RIGHT('Disaggregation Records'!$D$155:$D$385,255),0))),"")</f>
        <v/>
      </c>
      <c r="T1599" s="189" t="str">
        <f t="array" ref="T1599">IFERROR(IF(INDEX('Disaggregation Records'!$H$155:$H$385,MATCH(RIGHT(Q1599,255),RIGHT('Disaggregation Records'!$D$155:$D$385,255),0))=0,"",INDEX('Disaggregation Records'!$H$155:$H$385,MATCH(RIGHT(Q1599,255),RIGHT('Disaggregation Records'!$D$155:$D$385,255),0))),"")</f>
        <v/>
      </c>
      <c r="U1599" s="189">
        <f t="shared" ref="U1599" si="6933">U1597+1</f>
        <v>1901</v>
      </c>
      <c r="V1599" s="189" t="str">
        <f t="array" ref="V1599">IFERROR(IF(INDEX('Disaggregation Records'!$I$155:$I$385,MATCH(RIGHT(Q1599,255),RIGHT('Disaggregation Records'!$D$155:$D$385,255),0))=0,"",INDEX('Disaggregation Records'!$I$155:$I$385,MATCH(RIGHT(Q1599,255),RIGHT('Disaggregation Records'!$D$155:$D$385,255),0))),"")</f>
        <v/>
      </c>
      <c r="W1599" s="189" t="str">
        <f>IFERROR(INDEX('Reference Records'!L$59:L$121,MATCH(LEFT(C1599,255),'Reference Records'!E$59:E$121,0)),"")</f>
        <v/>
      </c>
    </row>
    <row r="1600" spans="1:23" s="189" customFormat="1" ht="40.200000000000003" customHeight="1" x14ac:dyDescent="0.3">
      <c r="A1600" s="678"/>
      <c r="B1600" s="675"/>
      <c r="C1600" s="667"/>
      <c r="D1600" s="677"/>
      <c r="E1600" s="677"/>
      <c r="F1600" s="202"/>
      <c r="G1600" s="669"/>
      <c r="H1600" s="671"/>
      <c r="I1600" s="673"/>
      <c r="J1600" s="652"/>
      <c r="K1600" s="667"/>
      <c r="L1600" s="667"/>
      <c r="M1600" s="652"/>
      <c r="N1600" s="652"/>
    </row>
    <row r="1601" spans="1:23" s="189" customFormat="1" ht="40.200000000000003" customHeight="1" x14ac:dyDescent="0.3">
      <c r="A1601" s="678" t="str">
        <f t="shared" ref="A1601" ca="1" si="6934">INDIRECT("'update Helper'!C"&amp;U1601)</f>
        <v>a163p000002zQhHAAU</v>
      </c>
      <c r="B1601" s="674">
        <v>25</v>
      </c>
      <c r="C1601" s="666" t="str">
        <f>VLOOKUP(B1601,'Coverage Indicators - Section D'!$A$9:$AU$70,47,FALSE)</f>
        <v/>
      </c>
      <c r="D1601" s="676" t="str">
        <f t="shared" ref="D1601" si="6935">R1601</f>
        <v/>
      </c>
      <c r="E1601" s="676" t="str">
        <f t="shared" ref="E1601" si="6936">S1601</f>
        <v/>
      </c>
      <c r="F1601" s="194"/>
      <c r="G1601" s="668" t="str">
        <f t="shared" ref="G1601" ca="1" si="6937">IF(OR(INDIRECT("'update Helper'!E"&amp;U1601)=0,F1601&lt;&gt;0,F1602&lt;&gt;0),IF(IFERROR((F1601/F1602),"")="","",(F1601/F1602)),INDIRECT("'update Helper'!E"&amp;U1601)/100)</f>
        <v/>
      </c>
      <c r="H1601" s="670"/>
      <c r="I1601" s="672"/>
      <c r="J1601" s="651"/>
      <c r="K1601" s="666" t="str">
        <f t="shared" ref="K1601" si="6938">W1601</f>
        <v/>
      </c>
      <c r="L1601" s="666" t="str">
        <f t="shared" ref="L1601" si="6939">V1601</f>
        <v/>
      </c>
      <c r="M1601" s="651"/>
      <c r="N1601" s="651"/>
      <c r="P1601" s="189">
        <f t="shared" ref="P1601" si="6940">IF(AND(EXACT(C1601,C1599),C1599&lt;&gt;0),P1599+1,0)</f>
        <v>90</v>
      </c>
      <c r="Q1601" s="189" t="str">
        <f t="shared" ref="Q1601" si="6941">IF(C1601&lt;&gt;"",C1601&amp;"-"&amp;P1601,"")</f>
        <v/>
      </c>
      <c r="R1601" s="189" t="str">
        <f t="array" ref="R1601">IFERROR(IF(INDEX('Disaggregation Records'!$E$155:$E$385,MATCH(RIGHT(Q1601,255),RIGHT('Disaggregation Records'!$D$155:$D$385,255),0))=0,"",INDEX('Disaggregation Records'!$E$155:$E$385,MATCH(RIGHT(Q1601,255),RIGHT('Disaggregation Records'!$D$155:$D$385,255),0))),"")</f>
        <v/>
      </c>
      <c r="S1601" s="189" t="str">
        <f t="array" ref="S1601">IFERROR(IF(INDEX('Disaggregation Records'!$F$155:$F$385,MATCH(RIGHT(Q1601,255),RIGHT('Disaggregation Records'!$D$155:$D$385,255),0))=0,"",INDEX('Disaggregation Records'!$F$155:$F$385,MATCH(RIGHT(Q1601,255),RIGHT('Disaggregation Records'!$D$155:$D$385,255),0))),"")</f>
        <v/>
      </c>
      <c r="T1601" s="189" t="str">
        <f t="array" ref="T1601">IFERROR(IF(INDEX('Disaggregation Records'!$H$155:$H$385,MATCH(RIGHT(Q1601,255),RIGHT('Disaggregation Records'!$D$155:$D$385,255),0))=0,"",INDEX('Disaggregation Records'!$H$155:$H$385,MATCH(RIGHT(Q1601,255),RIGHT('Disaggregation Records'!$D$155:$D$385,255),0))),"")</f>
        <v/>
      </c>
      <c r="U1601" s="189">
        <f t="shared" ref="U1601" si="6942">U1599+1</f>
        <v>1902</v>
      </c>
      <c r="V1601" s="189" t="str">
        <f t="array" ref="V1601">IFERROR(IF(INDEX('Disaggregation Records'!$I$155:$I$385,MATCH(RIGHT(Q1601,255),RIGHT('Disaggregation Records'!$D$155:$D$385,255),0))=0,"",INDEX('Disaggregation Records'!$I$155:$I$385,MATCH(RIGHT(Q1601,255),RIGHT('Disaggregation Records'!$D$155:$D$385,255),0))),"")</f>
        <v/>
      </c>
      <c r="W1601" s="189" t="str">
        <f>IFERROR(INDEX('Reference Records'!L$59:L$121,MATCH(LEFT(C1601,255),'Reference Records'!E$59:E$121,0)),"")</f>
        <v/>
      </c>
    </row>
    <row r="1602" spans="1:23" s="189" customFormat="1" ht="40.200000000000003" customHeight="1" x14ac:dyDescent="0.3">
      <c r="A1602" s="678"/>
      <c r="B1602" s="675"/>
      <c r="C1602" s="667"/>
      <c r="D1602" s="677"/>
      <c r="E1602" s="677"/>
      <c r="F1602" s="202"/>
      <c r="G1602" s="669"/>
      <c r="H1602" s="671"/>
      <c r="I1602" s="673"/>
      <c r="J1602" s="652"/>
      <c r="K1602" s="667"/>
      <c r="L1602" s="667"/>
      <c r="M1602" s="652"/>
      <c r="N1602" s="652"/>
    </row>
    <row r="1603" spans="1:23" s="189" customFormat="1" ht="40.200000000000003" customHeight="1" x14ac:dyDescent="0.3">
      <c r="A1603" s="678" t="str">
        <f t="shared" ref="A1603" ca="1" si="6943">INDIRECT("'update Helper'!C"&amp;U1603)</f>
        <v>a163p000002zQhIAAU</v>
      </c>
      <c r="B1603" s="674">
        <v>25</v>
      </c>
      <c r="C1603" s="666" t="str">
        <f>VLOOKUP(B1603,'Coverage Indicators - Section D'!$A$9:$AU$70,47,FALSE)</f>
        <v/>
      </c>
      <c r="D1603" s="676" t="str">
        <f t="shared" ref="D1603" si="6944">R1603</f>
        <v/>
      </c>
      <c r="E1603" s="676" t="str">
        <f t="shared" ref="E1603" si="6945">S1603</f>
        <v/>
      </c>
      <c r="F1603" s="194"/>
      <c r="G1603" s="668" t="str">
        <f t="shared" ref="G1603" ca="1" si="6946">IF(OR(INDIRECT("'update Helper'!E"&amp;U1603)=0,F1603&lt;&gt;0,F1604&lt;&gt;0),IF(IFERROR((F1603/F1604),"")="","",(F1603/F1604)),INDIRECT("'update Helper'!E"&amp;U1603)/100)</f>
        <v/>
      </c>
      <c r="H1603" s="670"/>
      <c r="I1603" s="672"/>
      <c r="J1603" s="651"/>
      <c r="K1603" s="666" t="str">
        <f t="shared" ref="K1603" si="6947">W1603</f>
        <v/>
      </c>
      <c r="L1603" s="666" t="str">
        <f t="shared" ref="L1603" si="6948">V1603</f>
        <v/>
      </c>
      <c r="M1603" s="651"/>
      <c r="N1603" s="651"/>
      <c r="P1603" s="189">
        <f t="shared" ref="P1603" si="6949">IF(AND(EXACT(C1603,C1601),C1601&lt;&gt;0),P1601+1,0)</f>
        <v>91</v>
      </c>
      <c r="Q1603" s="189" t="str">
        <f t="shared" ref="Q1603" si="6950">IF(C1603&lt;&gt;"",C1603&amp;"-"&amp;P1603,"")</f>
        <v/>
      </c>
      <c r="R1603" s="189" t="str">
        <f t="array" ref="R1603">IFERROR(IF(INDEX('Disaggregation Records'!$E$155:$E$385,MATCH(RIGHT(Q1603,255),RIGHT('Disaggregation Records'!$D$155:$D$385,255),0))=0,"",INDEX('Disaggregation Records'!$E$155:$E$385,MATCH(RIGHT(Q1603,255),RIGHT('Disaggregation Records'!$D$155:$D$385,255),0))),"")</f>
        <v/>
      </c>
      <c r="S1603" s="189" t="str">
        <f t="array" ref="S1603">IFERROR(IF(INDEX('Disaggregation Records'!$F$155:$F$385,MATCH(RIGHT(Q1603,255),RIGHT('Disaggregation Records'!$D$155:$D$385,255),0))=0,"",INDEX('Disaggregation Records'!$F$155:$F$385,MATCH(RIGHT(Q1603,255),RIGHT('Disaggregation Records'!$D$155:$D$385,255),0))),"")</f>
        <v/>
      </c>
      <c r="T1603" s="189" t="str">
        <f t="array" ref="T1603">IFERROR(IF(INDEX('Disaggregation Records'!$H$155:$H$385,MATCH(RIGHT(Q1603,255),RIGHT('Disaggregation Records'!$D$155:$D$385,255),0))=0,"",INDEX('Disaggregation Records'!$H$155:$H$385,MATCH(RIGHT(Q1603,255),RIGHT('Disaggregation Records'!$D$155:$D$385,255),0))),"")</f>
        <v/>
      </c>
      <c r="U1603" s="189">
        <f t="shared" ref="U1603" si="6951">U1601+1</f>
        <v>1903</v>
      </c>
      <c r="V1603" s="189" t="str">
        <f t="array" ref="V1603">IFERROR(IF(INDEX('Disaggregation Records'!$I$155:$I$385,MATCH(RIGHT(Q1603,255),RIGHT('Disaggregation Records'!$D$155:$D$385,255),0))=0,"",INDEX('Disaggregation Records'!$I$155:$I$385,MATCH(RIGHT(Q1603,255),RIGHT('Disaggregation Records'!$D$155:$D$385,255),0))),"")</f>
        <v/>
      </c>
      <c r="W1603" s="189" t="str">
        <f>IFERROR(INDEX('Reference Records'!L$59:L$121,MATCH(LEFT(C1603,255),'Reference Records'!E$59:E$121,0)),"")</f>
        <v/>
      </c>
    </row>
    <row r="1604" spans="1:23" s="189" customFormat="1" ht="40.200000000000003" customHeight="1" x14ac:dyDescent="0.3">
      <c r="A1604" s="678"/>
      <c r="B1604" s="675"/>
      <c r="C1604" s="667"/>
      <c r="D1604" s="677"/>
      <c r="E1604" s="677"/>
      <c r="F1604" s="202"/>
      <c r="G1604" s="669"/>
      <c r="H1604" s="671"/>
      <c r="I1604" s="673"/>
      <c r="J1604" s="652"/>
      <c r="K1604" s="667"/>
      <c r="L1604" s="667"/>
      <c r="M1604" s="652"/>
      <c r="N1604" s="652"/>
    </row>
    <row r="1605" spans="1:23" s="189" customFormat="1" ht="40.200000000000003" customHeight="1" x14ac:dyDescent="0.3">
      <c r="A1605" s="678" t="str">
        <f t="shared" ref="A1605" ca="1" si="6952">INDIRECT("'update Helper'!C"&amp;U1605)</f>
        <v>a163p000002zQhJAAU</v>
      </c>
      <c r="B1605" s="674">
        <v>25</v>
      </c>
      <c r="C1605" s="666" t="str">
        <f>VLOOKUP(B1605,'Coverage Indicators - Section D'!$A$9:$AU$70,47,FALSE)</f>
        <v/>
      </c>
      <c r="D1605" s="676" t="str">
        <f t="shared" ref="D1605" si="6953">R1605</f>
        <v/>
      </c>
      <c r="E1605" s="676" t="str">
        <f t="shared" ref="E1605" si="6954">S1605</f>
        <v/>
      </c>
      <c r="F1605" s="194"/>
      <c r="G1605" s="668" t="str">
        <f t="shared" ref="G1605" ca="1" si="6955">IF(OR(INDIRECT("'update Helper'!E"&amp;U1605)=0,F1605&lt;&gt;0,F1606&lt;&gt;0),IF(IFERROR((F1605/F1606),"")="","",(F1605/F1606)),INDIRECT("'update Helper'!E"&amp;U1605)/100)</f>
        <v/>
      </c>
      <c r="H1605" s="670"/>
      <c r="I1605" s="672"/>
      <c r="J1605" s="651"/>
      <c r="K1605" s="666" t="str">
        <f t="shared" ref="K1605" si="6956">W1605</f>
        <v/>
      </c>
      <c r="L1605" s="666" t="str">
        <f t="shared" ref="L1605" si="6957">V1605</f>
        <v/>
      </c>
      <c r="M1605" s="651"/>
      <c r="N1605" s="651"/>
      <c r="P1605" s="189">
        <f t="shared" ref="P1605" si="6958">IF(AND(EXACT(C1605,C1603),C1603&lt;&gt;0),P1603+1,0)</f>
        <v>92</v>
      </c>
      <c r="Q1605" s="189" t="str">
        <f t="shared" ref="Q1605" si="6959">IF(C1605&lt;&gt;"",C1605&amp;"-"&amp;P1605,"")</f>
        <v/>
      </c>
      <c r="R1605" s="189" t="str">
        <f t="array" ref="R1605">IFERROR(IF(INDEX('Disaggregation Records'!$E$155:$E$385,MATCH(RIGHT(Q1605,255),RIGHT('Disaggregation Records'!$D$155:$D$385,255),0))=0,"",INDEX('Disaggregation Records'!$E$155:$E$385,MATCH(RIGHT(Q1605,255),RIGHT('Disaggregation Records'!$D$155:$D$385,255),0))),"")</f>
        <v/>
      </c>
      <c r="S1605" s="189" t="str">
        <f t="array" ref="S1605">IFERROR(IF(INDEX('Disaggregation Records'!$F$155:$F$385,MATCH(RIGHT(Q1605,255),RIGHT('Disaggregation Records'!$D$155:$D$385,255),0))=0,"",INDEX('Disaggregation Records'!$F$155:$F$385,MATCH(RIGHT(Q1605,255),RIGHT('Disaggregation Records'!$D$155:$D$385,255),0))),"")</f>
        <v/>
      </c>
      <c r="T1605" s="189" t="str">
        <f t="array" ref="T1605">IFERROR(IF(INDEX('Disaggregation Records'!$H$155:$H$385,MATCH(RIGHT(Q1605,255),RIGHT('Disaggregation Records'!$D$155:$D$385,255),0))=0,"",INDEX('Disaggregation Records'!$H$155:$H$385,MATCH(RIGHT(Q1605,255),RIGHT('Disaggregation Records'!$D$155:$D$385,255),0))),"")</f>
        <v/>
      </c>
      <c r="U1605" s="189">
        <f t="shared" ref="U1605" si="6960">U1603+1</f>
        <v>1904</v>
      </c>
      <c r="V1605" s="189" t="str">
        <f t="array" ref="V1605">IFERROR(IF(INDEX('Disaggregation Records'!$I$155:$I$385,MATCH(RIGHT(Q1605,255),RIGHT('Disaggregation Records'!$D$155:$D$385,255),0))=0,"",INDEX('Disaggregation Records'!$I$155:$I$385,MATCH(RIGHT(Q1605,255),RIGHT('Disaggregation Records'!$D$155:$D$385,255),0))),"")</f>
        <v/>
      </c>
      <c r="W1605" s="189" t="str">
        <f>IFERROR(INDEX('Reference Records'!L$59:L$121,MATCH(LEFT(C1605,255),'Reference Records'!E$59:E$121,0)),"")</f>
        <v/>
      </c>
    </row>
    <row r="1606" spans="1:23" s="189" customFormat="1" ht="40.200000000000003" customHeight="1" x14ac:dyDescent="0.3">
      <c r="A1606" s="678"/>
      <c r="B1606" s="675"/>
      <c r="C1606" s="667"/>
      <c r="D1606" s="677"/>
      <c r="E1606" s="677"/>
      <c r="F1606" s="202"/>
      <c r="G1606" s="669"/>
      <c r="H1606" s="671"/>
      <c r="I1606" s="673"/>
      <c r="J1606" s="652"/>
      <c r="K1606" s="667"/>
      <c r="L1606" s="667"/>
      <c r="M1606" s="652"/>
      <c r="N1606" s="652"/>
    </row>
    <row r="1607" spans="1:23" s="189" customFormat="1" ht="40.200000000000003" customHeight="1" x14ac:dyDescent="0.3">
      <c r="A1607" s="678" t="str">
        <f t="shared" ref="A1607" ca="1" si="6961">INDIRECT("'update Helper'!C"&amp;U1607)</f>
        <v>a163p000002zQhKAAU</v>
      </c>
      <c r="B1607" s="674">
        <v>25</v>
      </c>
      <c r="C1607" s="666" t="str">
        <f>VLOOKUP(B1607,'Coverage Indicators - Section D'!$A$9:$AU$70,47,FALSE)</f>
        <v/>
      </c>
      <c r="D1607" s="676" t="str">
        <f t="shared" ref="D1607" si="6962">R1607</f>
        <v/>
      </c>
      <c r="E1607" s="676" t="str">
        <f t="shared" ref="E1607" si="6963">S1607</f>
        <v/>
      </c>
      <c r="F1607" s="194"/>
      <c r="G1607" s="668" t="str">
        <f t="shared" ref="G1607" ca="1" si="6964">IF(OR(INDIRECT("'update Helper'!E"&amp;U1607)=0,F1607&lt;&gt;0,F1608&lt;&gt;0),IF(IFERROR((F1607/F1608),"")="","",(F1607/F1608)),INDIRECT("'update Helper'!E"&amp;U1607)/100)</f>
        <v/>
      </c>
      <c r="H1607" s="670"/>
      <c r="I1607" s="672"/>
      <c r="J1607" s="651"/>
      <c r="K1607" s="666" t="str">
        <f t="shared" ref="K1607" si="6965">W1607</f>
        <v/>
      </c>
      <c r="L1607" s="666" t="str">
        <f t="shared" ref="L1607" si="6966">V1607</f>
        <v/>
      </c>
      <c r="M1607" s="651"/>
      <c r="N1607" s="651"/>
      <c r="P1607" s="189">
        <f t="shared" ref="P1607" si="6967">IF(AND(EXACT(C1607,C1605),C1605&lt;&gt;0),P1605+1,0)</f>
        <v>93</v>
      </c>
      <c r="Q1607" s="189" t="str">
        <f t="shared" ref="Q1607" si="6968">IF(C1607&lt;&gt;"",C1607&amp;"-"&amp;P1607,"")</f>
        <v/>
      </c>
      <c r="R1607" s="189" t="str">
        <f t="array" ref="R1607">IFERROR(IF(INDEX('Disaggregation Records'!$E$155:$E$385,MATCH(RIGHT(Q1607,255),RIGHT('Disaggregation Records'!$D$155:$D$385,255),0))=0,"",INDEX('Disaggregation Records'!$E$155:$E$385,MATCH(RIGHT(Q1607,255),RIGHT('Disaggregation Records'!$D$155:$D$385,255),0))),"")</f>
        <v/>
      </c>
      <c r="S1607" s="189" t="str">
        <f t="array" ref="S1607">IFERROR(IF(INDEX('Disaggregation Records'!$F$155:$F$385,MATCH(RIGHT(Q1607,255),RIGHT('Disaggregation Records'!$D$155:$D$385,255),0))=0,"",INDEX('Disaggregation Records'!$F$155:$F$385,MATCH(RIGHT(Q1607,255),RIGHT('Disaggregation Records'!$D$155:$D$385,255),0))),"")</f>
        <v/>
      </c>
      <c r="T1607" s="189" t="str">
        <f t="array" ref="T1607">IFERROR(IF(INDEX('Disaggregation Records'!$H$155:$H$385,MATCH(RIGHT(Q1607,255),RIGHT('Disaggregation Records'!$D$155:$D$385,255),0))=0,"",INDEX('Disaggregation Records'!$H$155:$H$385,MATCH(RIGHT(Q1607,255),RIGHT('Disaggregation Records'!$D$155:$D$385,255),0))),"")</f>
        <v/>
      </c>
      <c r="U1607" s="189">
        <f t="shared" ref="U1607" si="6969">U1605+1</f>
        <v>1905</v>
      </c>
      <c r="V1607" s="189" t="str">
        <f t="array" ref="V1607">IFERROR(IF(INDEX('Disaggregation Records'!$I$155:$I$385,MATCH(RIGHT(Q1607,255),RIGHT('Disaggregation Records'!$D$155:$D$385,255),0))=0,"",INDEX('Disaggregation Records'!$I$155:$I$385,MATCH(RIGHT(Q1607,255),RIGHT('Disaggregation Records'!$D$155:$D$385,255),0))),"")</f>
        <v/>
      </c>
      <c r="W1607" s="189" t="str">
        <f>IFERROR(INDEX('Reference Records'!L$59:L$121,MATCH(LEFT(C1607,255),'Reference Records'!E$59:E$121,0)),"")</f>
        <v/>
      </c>
    </row>
    <row r="1608" spans="1:23" s="189" customFormat="1" ht="40.200000000000003" customHeight="1" x14ac:dyDescent="0.3">
      <c r="A1608" s="678"/>
      <c r="B1608" s="675"/>
      <c r="C1608" s="667"/>
      <c r="D1608" s="677"/>
      <c r="E1608" s="677"/>
      <c r="F1608" s="202"/>
      <c r="G1608" s="669"/>
      <c r="H1608" s="671"/>
      <c r="I1608" s="673"/>
      <c r="J1608" s="652"/>
      <c r="K1608" s="667"/>
      <c r="L1608" s="667"/>
      <c r="M1608" s="652"/>
      <c r="N1608" s="652"/>
    </row>
    <row r="1609" spans="1:23" s="189" customFormat="1" ht="40.200000000000003" customHeight="1" x14ac:dyDescent="0.3">
      <c r="A1609" s="678" t="str">
        <f t="shared" ref="A1609" ca="1" si="6970">INDIRECT("'update Helper'!C"&amp;U1609)</f>
        <v>a163p000002zQhLAAU</v>
      </c>
      <c r="B1609" s="674">
        <v>25</v>
      </c>
      <c r="C1609" s="666" t="str">
        <f>VLOOKUP(B1609,'Coverage Indicators - Section D'!$A$9:$AU$70,47,FALSE)</f>
        <v/>
      </c>
      <c r="D1609" s="676" t="str">
        <f t="shared" ref="D1609" si="6971">R1609</f>
        <v/>
      </c>
      <c r="E1609" s="676" t="str">
        <f t="shared" ref="E1609" si="6972">S1609</f>
        <v/>
      </c>
      <c r="F1609" s="194"/>
      <c r="G1609" s="668" t="str">
        <f t="shared" ref="G1609" ca="1" si="6973">IF(OR(INDIRECT("'update Helper'!E"&amp;U1609)=0,F1609&lt;&gt;0,F1610&lt;&gt;0),IF(IFERROR((F1609/F1610),"")="","",(F1609/F1610)),INDIRECT("'update Helper'!E"&amp;U1609)/100)</f>
        <v/>
      </c>
      <c r="H1609" s="670"/>
      <c r="I1609" s="672"/>
      <c r="J1609" s="651"/>
      <c r="K1609" s="666" t="str">
        <f t="shared" ref="K1609" si="6974">W1609</f>
        <v/>
      </c>
      <c r="L1609" s="666" t="str">
        <f t="shared" ref="L1609" si="6975">V1609</f>
        <v/>
      </c>
      <c r="M1609" s="651"/>
      <c r="N1609" s="651"/>
      <c r="P1609" s="189">
        <f t="shared" ref="P1609" si="6976">IF(AND(EXACT(C1609,C1607),C1607&lt;&gt;0),P1607+1,0)</f>
        <v>94</v>
      </c>
      <c r="Q1609" s="189" t="str">
        <f t="shared" ref="Q1609" si="6977">IF(C1609&lt;&gt;"",C1609&amp;"-"&amp;P1609,"")</f>
        <v/>
      </c>
      <c r="R1609" s="189" t="str">
        <f t="array" ref="R1609">IFERROR(IF(INDEX('Disaggregation Records'!$E$155:$E$385,MATCH(RIGHT(Q1609,255),RIGHT('Disaggregation Records'!$D$155:$D$385,255),0))=0,"",INDEX('Disaggregation Records'!$E$155:$E$385,MATCH(RIGHT(Q1609,255),RIGHT('Disaggregation Records'!$D$155:$D$385,255),0))),"")</f>
        <v/>
      </c>
      <c r="S1609" s="189" t="str">
        <f t="array" ref="S1609">IFERROR(IF(INDEX('Disaggregation Records'!$F$155:$F$385,MATCH(RIGHT(Q1609,255),RIGHT('Disaggregation Records'!$D$155:$D$385,255),0))=0,"",INDEX('Disaggregation Records'!$F$155:$F$385,MATCH(RIGHT(Q1609,255),RIGHT('Disaggregation Records'!$D$155:$D$385,255),0))),"")</f>
        <v/>
      </c>
      <c r="T1609" s="189" t="str">
        <f t="array" ref="T1609">IFERROR(IF(INDEX('Disaggregation Records'!$H$155:$H$385,MATCH(RIGHT(Q1609,255),RIGHT('Disaggregation Records'!$D$155:$D$385,255),0))=0,"",INDEX('Disaggregation Records'!$H$155:$H$385,MATCH(RIGHT(Q1609,255),RIGHT('Disaggregation Records'!$D$155:$D$385,255),0))),"")</f>
        <v/>
      </c>
      <c r="U1609" s="189">
        <f t="shared" ref="U1609" si="6978">U1607+1</f>
        <v>1906</v>
      </c>
      <c r="V1609" s="189" t="str">
        <f t="array" ref="V1609">IFERROR(IF(INDEX('Disaggregation Records'!$I$155:$I$385,MATCH(RIGHT(Q1609,255),RIGHT('Disaggregation Records'!$D$155:$D$385,255),0))=0,"",INDEX('Disaggregation Records'!$I$155:$I$385,MATCH(RIGHT(Q1609,255),RIGHT('Disaggregation Records'!$D$155:$D$385,255),0))),"")</f>
        <v/>
      </c>
      <c r="W1609" s="189" t="str">
        <f>IFERROR(INDEX('Reference Records'!L$59:L$121,MATCH(LEFT(C1609,255),'Reference Records'!E$59:E$121,0)),"")</f>
        <v/>
      </c>
    </row>
    <row r="1610" spans="1:23" s="189" customFormat="1" ht="40.200000000000003" customHeight="1" x14ac:dyDescent="0.3">
      <c r="A1610" s="678"/>
      <c r="B1610" s="675"/>
      <c r="C1610" s="667"/>
      <c r="D1610" s="677"/>
      <c r="E1610" s="677"/>
      <c r="F1610" s="202"/>
      <c r="G1610" s="669"/>
      <c r="H1610" s="671"/>
      <c r="I1610" s="673"/>
      <c r="J1610" s="652"/>
      <c r="K1610" s="667"/>
      <c r="L1610" s="667"/>
      <c r="M1610" s="652"/>
      <c r="N1610" s="652"/>
    </row>
    <row r="1611" spans="1:23" s="189" customFormat="1" ht="40.200000000000003" customHeight="1" x14ac:dyDescent="0.3">
      <c r="A1611" s="678" t="str">
        <f t="shared" ref="A1611" ca="1" si="6979">INDIRECT("'update Helper'!C"&amp;U1611)</f>
        <v>a163p000002zQhMAAU</v>
      </c>
      <c r="B1611" s="674">
        <v>25</v>
      </c>
      <c r="C1611" s="666" t="str">
        <f>VLOOKUP(B1611,'Coverage Indicators - Section D'!$A$9:$AU$70,47,FALSE)</f>
        <v/>
      </c>
      <c r="D1611" s="676" t="str">
        <f t="shared" ref="D1611" si="6980">R1611</f>
        <v/>
      </c>
      <c r="E1611" s="676" t="str">
        <f t="shared" ref="E1611" si="6981">S1611</f>
        <v/>
      </c>
      <c r="F1611" s="194"/>
      <c r="G1611" s="668" t="str">
        <f t="shared" ref="G1611" ca="1" si="6982">IF(OR(INDIRECT("'update Helper'!E"&amp;U1611)=0,F1611&lt;&gt;0,F1612&lt;&gt;0),IF(IFERROR((F1611/F1612),"")="","",(F1611/F1612)),INDIRECT("'update Helper'!E"&amp;U1611)/100)</f>
        <v/>
      </c>
      <c r="H1611" s="670"/>
      <c r="I1611" s="672"/>
      <c r="J1611" s="651"/>
      <c r="K1611" s="666" t="str">
        <f t="shared" ref="K1611" si="6983">W1611</f>
        <v/>
      </c>
      <c r="L1611" s="666" t="str">
        <f t="shared" ref="L1611" si="6984">V1611</f>
        <v/>
      </c>
      <c r="M1611" s="651"/>
      <c r="N1611" s="651"/>
      <c r="P1611" s="189">
        <f t="shared" ref="P1611" si="6985">IF(AND(EXACT(C1611,C1609),C1609&lt;&gt;0),P1609+1,0)</f>
        <v>95</v>
      </c>
      <c r="Q1611" s="189" t="str">
        <f t="shared" ref="Q1611" si="6986">IF(C1611&lt;&gt;"",C1611&amp;"-"&amp;P1611,"")</f>
        <v/>
      </c>
      <c r="R1611" s="189" t="str">
        <f t="array" ref="R1611">IFERROR(IF(INDEX('Disaggregation Records'!$E$155:$E$385,MATCH(RIGHT(Q1611,255),RIGHT('Disaggregation Records'!$D$155:$D$385,255),0))=0,"",INDEX('Disaggregation Records'!$E$155:$E$385,MATCH(RIGHT(Q1611,255),RIGHT('Disaggregation Records'!$D$155:$D$385,255),0))),"")</f>
        <v/>
      </c>
      <c r="S1611" s="189" t="str">
        <f t="array" ref="S1611">IFERROR(IF(INDEX('Disaggregation Records'!$F$155:$F$385,MATCH(RIGHT(Q1611,255),RIGHT('Disaggregation Records'!$D$155:$D$385,255),0))=0,"",INDEX('Disaggregation Records'!$F$155:$F$385,MATCH(RIGHT(Q1611,255),RIGHT('Disaggregation Records'!$D$155:$D$385,255),0))),"")</f>
        <v/>
      </c>
      <c r="T1611" s="189" t="str">
        <f t="array" ref="T1611">IFERROR(IF(INDEX('Disaggregation Records'!$H$155:$H$385,MATCH(RIGHT(Q1611,255),RIGHT('Disaggregation Records'!$D$155:$D$385,255),0))=0,"",INDEX('Disaggregation Records'!$H$155:$H$385,MATCH(RIGHT(Q1611,255),RIGHT('Disaggregation Records'!$D$155:$D$385,255),0))),"")</f>
        <v/>
      </c>
      <c r="U1611" s="189">
        <f t="shared" ref="U1611" si="6987">U1609+1</f>
        <v>1907</v>
      </c>
      <c r="V1611" s="189" t="str">
        <f t="array" ref="V1611">IFERROR(IF(INDEX('Disaggregation Records'!$I$155:$I$385,MATCH(RIGHT(Q1611,255),RIGHT('Disaggregation Records'!$D$155:$D$385,255),0))=0,"",INDEX('Disaggregation Records'!$I$155:$I$385,MATCH(RIGHT(Q1611,255),RIGHT('Disaggregation Records'!$D$155:$D$385,255),0))),"")</f>
        <v/>
      </c>
      <c r="W1611" s="189" t="str">
        <f>IFERROR(INDEX('Reference Records'!L$59:L$121,MATCH(LEFT(C1611,255),'Reference Records'!E$59:E$121,0)),"")</f>
        <v/>
      </c>
    </row>
    <row r="1612" spans="1:23" s="189" customFormat="1" ht="40.200000000000003" customHeight="1" x14ac:dyDescent="0.3">
      <c r="A1612" s="678"/>
      <c r="B1612" s="675"/>
      <c r="C1612" s="667"/>
      <c r="D1612" s="677"/>
      <c r="E1612" s="677"/>
      <c r="F1612" s="202"/>
      <c r="G1612" s="669"/>
      <c r="H1612" s="671"/>
      <c r="I1612" s="673"/>
      <c r="J1612" s="652"/>
      <c r="K1612" s="667"/>
      <c r="L1612" s="667"/>
      <c r="M1612" s="652"/>
      <c r="N1612" s="652"/>
    </row>
    <row r="1613" spans="1:23" s="189" customFormat="1" ht="40.200000000000003" customHeight="1" x14ac:dyDescent="0.3">
      <c r="A1613" s="678" t="str">
        <f t="shared" ref="A1613" ca="1" si="6988">INDIRECT("'update Helper'!C"&amp;U1613)</f>
        <v>a163p000002zQhNAAU</v>
      </c>
      <c r="B1613" s="674">
        <v>25</v>
      </c>
      <c r="C1613" s="666" t="str">
        <f>VLOOKUP(B1613,'Coverage Indicators - Section D'!$A$9:$AU$70,47,FALSE)</f>
        <v/>
      </c>
      <c r="D1613" s="676" t="str">
        <f t="shared" ref="D1613" si="6989">R1613</f>
        <v/>
      </c>
      <c r="E1613" s="676" t="str">
        <f t="shared" ref="E1613" si="6990">S1613</f>
        <v/>
      </c>
      <c r="F1613" s="194"/>
      <c r="G1613" s="668" t="str">
        <f t="shared" ref="G1613" ca="1" si="6991">IF(OR(INDIRECT("'update Helper'!E"&amp;U1613)=0,F1613&lt;&gt;0,F1614&lt;&gt;0),IF(IFERROR((F1613/F1614),"")="","",(F1613/F1614)),INDIRECT("'update Helper'!E"&amp;U1613)/100)</f>
        <v/>
      </c>
      <c r="H1613" s="670"/>
      <c r="I1613" s="672"/>
      <c r="J1613" s="651"/>
      <c r="K1613" s="666" t="str">
        <f t="shared" ref="K1613" si="6992">W1613</f>
        <v/>
      </c>
      <c r="L1613" s="666" t="str">
        <f t="shared" ref="L1613" si="6993">V1613</f>
        <v/>
      </c>
      <c r="M1613" s="651"/>
      <c r="N1613" s="651"/>
      <c r="P1613" s="189">
        <f t="shared" ref="P1613" si="6994">IF(AND(EXACT(C1613,C1611),C1611&lt;&gt;0),P1611+1,0)</f>
        <v>96</v>
      </c>
      <c r="Q1613" s="189" t="str">
        <f t="shared" ref="Q1613" si="6995">IF(C1613&lt;&gt;"",C1613&amp;"-"&amp;P1613,"")</f>
        <v/>
      </c>
      <c r="R1613" s="189" t="str">
        <f t="array" ref="R1613">IFERROR(IF(INDEX('Disaggregation Records'!$E$155:$E$385,MATCH(RIGHT(Q1613,255),RIGHT('Disaggregation Records'!$D$155:$D$385,255),0))=0,"",INDEX('Disaggregation Records'!$E$155:$E$385,MATCH(RIGHT(Q1613,255),RIGHT('Disaggregation Records'!$D$155:$D$385,255),0))),"")</f>
        <v/>
      </c>
      <c r="S1613" s="189" t="str">
        <f t="array" ref="S1613">IFERROR(IF(INDEX('Disaggregation Records'!$F$155:$F$385,MATCH(RIGHT(Q1613,255),RIGHT('Disaggregation Records'!$D$155:$D$385,255),0))=0,"",INDEX('Disaggregation Records'!$F$155:$F$385,MATCH(RIGHT(Q1613,255),RIGHT('Disaggregation Records'!$D$155:$D$385,255),0))),"")</f>
        <v/>
      </c>
      <c r="T1613" s="189" t="str">
        <f t="array" ref="T1613">IFERROR(IF(INDEX('Disaggregation Records'!$H$155:$H$385,MATCH(RIGHT(Q1613,255),RIGHT('Disaggregation Records'!$D$155:$D$385,255),0))=0,"",INDEX('Disaggregation Records'!$H$155:$H$385,MATCH(RIGHT(Q1613,255),RIGHT('Disaggregation Records'!$D$155:$D$385,255),0))),"")</f>
        <v/>
      </c>
      <c r="U1613" s="189">
        <f t="shared" ref="U1613" si="6996">U1611+1</f>
        <v>1908</v>
      </c>
      <c r="V1613" s="189" t="str">
        <f t="array" ref="V1613">IFERROR(IF(INDEX('Disaggregation Records'!$I$155:$I$385,MATCH(RIGHT(Q1613,255),RIGHT('Disaggregation Records'!$D$155:$D$385,255),0))=0,"",INDEX('Disaggregation Records'!$I$155:$I$385,MATCH(RIGHT(Q1613,255),RIGHT('Disaggregation Records'!$D$155:$D$385,255),0))),"")</f>
        <v/>
      </c>
      <c r="W1613" s="189" t="str">
        <f>IFERROR(INDEX('Reference Records'!L$59:L$121,MATCH(LEFT(C1613,255),'Reference Records'!E$59:E$121,0)),"")</f>
        <v/>
      </c>
    </row>
    <row r="1614" spans="1:23" s="189" customFormat="1" ht="40.200000000000003" customHeight="1" x14ac:dyDescent="0.3">
      <c r="A1614" s="678"/>
      <c r="B1614" s="675"/>
      <c r="C1614" s="667"/>
      <c r="D1614" s="677"/>
      <c r="E1614" s="677"/>
      <c r="F1614" s="202"/>
      <c r="G1614" s="669"/>
      <c r="H1614" s="671"/>
      <c r="I1614" s="673"/>
      <c r="J1614" s="652"/>
      <c r="K1614" s="667"/>
      <c r="L1614" s="667"/>
      <c r="M1614" s="652"/>
      <c r="N1614" s="652"/>
    </row>
    <row r="1615" spans="1:23" s="189" customFormat="1" ht="40.200000000000003" customHeight="1" x14ac:dyDescent="0.3">
      <c r="A1615" s="678" t="str">
        <f t="shared" ref="A1615" ca="1" si="6997">INDIRECT("'update Helper'!C"&amp;U1615)</f>
        <v>a163p000002zQhOAAU</v>
      </c>
      <c r="B1615" s="674">
        <v>25</v>
      </c>
      <c r="C1615" s="666" t="str">
        <f>VLOOKUP(B1615,'Coverage Indicators - Section D'!$A$9:$AU$70,47,FALSE)</f>
        <v/>
      </c>
      <c r="D1615" s="676" t="str">
        <f t="shared" ref="D1615" si="6998">R1615</f>
        <v/>
      </c>
      <c r="E1615" s="676" t="str">
        <f t="shared" ref="E1615" si="6999">S1615</f>
        <v/>
      </c>
      <c r="F1615" s="194"/>
      <c r="G1615" s="668" t="str">
        <f t="shared" ref="G1615" ca="1" si="7000">IF(OR(INDIRECT("'update Helper'!E"&amp;U1615)=0,F1615&lt;&gt;0,F1616&lt;&gt;0),IF(IFERROR((F1615/F1616),"")="","",(F1615/F1616)),INDIRECT("'update Helper'!E"&amp;U1615)/100)</f>
        <v/>
      </c>
      <c r="H1615" s="670"/>
      <c r="I1615" s="672"/>
      <c r="J1615" s="651"/>
      <c r="K1615" s="666" t="str">
        <f t="shared" ref="K1615" si="7001">W1615</f>
        <v/>
      </c>
      <c r="L1615" s="666" t="str">
        <f t="shared" ref="L1615" si="7002">V1615</f>
        <v/>
      </c>
      <c r="M1615" s="651"/>
      <c r="N1615" s="651"/>
      <c r="P1615" s="189">
        <f t="shared" ref="P1615" si="7003">IF(AND(EXACT(C1615,C1613),C1613&lt;&gt;0),P1613+1,0)</f>
        <v>97</v>
      </c>
      <c r="Q1615" s="189" t="str">
        <f t="shared" ref="Q1615" si="7004">IF(C1615&lt;&gt;"",C1615&amp;"-"&amp;P1615,"")</f>
        <v/>
      </c>
      <c r="R1615" s="189" t="str">
        <f t="array" ref="R1615">IFERROR(IF(INDEX('Disaggregation Records'!$E$155:$E$385,MATCH(RIGHT(Q1615,255),RIGHT('Disaggregation Records'!$D$155:$D$385,255),0))=0,"",INDEX('Disaggregation Records'!$E$155:$E$385,MATCH(RIGHT(Q1615,255),RIGHT('Disaggregation Records'!$D$155:$D$385,255),0))),"")</f>
        <v/>
      </c>
      <c r="S1615" s="189" t="str">
        <f t="array" ref="S1615">IFERROR(IF(INDEX('Disaggregation Records'!$F$155:$F$385,MATCH(RIGHT(Q1615,255),RIGHT('Disaggregation Records'!$D$155:$D$385,255),0))=0,"",INDEX('Disaggregation Records'!$F$155:$F$385,MATCH(RIGHT(Q1615,255),RIGHT('Disaggregation Records'!$D$155:$D$385,255),0))),"")</f>
        <v/>
      </c>
      <c r="T1615" s="189" t="str">
        <f t="array" ref="T1615">IFERROR(IF(INDEX('Disaggregation Records'!$H$155:$H$385,MATCH(RIGHT(Q1615,255),RIGHT('Disaggregation Records'!$D$155:$D$385,255),0))=0,"",INDEX('Disaggregation Records'!$H$155:$H$385,MATCH(RIGHT(Q1615,255),RIGHT('Disaggregation Records'!$D$155:$D$385,255),0))),"")</f>
        <v/>
      </c>
      <c r="U1615" s="189">
        <f t="shared" ref="U1615" si="7005">U1613+1</f>
        <v>1909</v>
      </c>
      <c r="V1615" s="189" t="str">
        <f t="array" ref="V1615">IFERROR(IF(INDEX('Disaggregation Records'!$I$155:$I$385,MATCH(RIGHT(Q1615,255),RIGHT('Disaggregation Records'!$D$155:$D$385,255),0))=0,"",INDEX('Disaggregation Records'!$I$155:$I$385,MATCH(RIGHT(Q1615,255),RIGHT('Disaggregation Records'!$D$155:$D$385,255),0))),"")</f>
        <v/>
      </c>
      <c r="W1615" s="189" t="str">
        <f>IFERROR(INDEX('Reference Records'!L$59:L$121,MATCH(LEFT(C1615,255),'Reference Records'!E$59:E$121,0)),"")</f>
        <v/>
      </c>
    </row>
    <row r="1616" spans="1:23" s="189" customFormat="1" ht="40.200000000000003" customHeight="1" x14ac:dyDescent="0.3">
      <c r="A1616" s="678"/>
      <c r="B1616" s="675"/>
      <c r="C1616" s="667"/>
      <c r="D1616" s="677"/>
      <c r="E1616" s="677"/>
      <c r="F1616" s="202"/>
      <c r="G1616" s="669"/>
      <c r="H1616" s="671"/>
      <c r="I1616" s="673"/>
      <c r="J1616" s="652"/>
      <c r="K1616" s="667"/>
      <c r="L1616" s="667"/>
      <c r="M1616" s="652"/>
      <c r="N1616" s="652"/>
    </row>
    <row r="1617" spans="1:23" s="189" customFormat="1" ht="40.200000000000003" customHeight="1" x14ac:dyDescent="0.3">
      <c r="A1617" s="678" t="str">
        <f t="shared" ref="A1617" ca="1" si="7006">INDIRECT("'update Helper'!C"&amp;U1617)</f>
        <v>a163p000002zQhPAAU</v>
      </c>
      <c r="B1617" s="674">
        <v>25</v>
      </c>
      <c r="C1617" s="666" t="str">
        <f>VLOOKUP(B1617,'Coverage Indicators - Section D'!$A$9:$AU$70,47,FALSE)</f>
        <v/>
      </c>
      <c r="D1617" s="676" t="str">
        <f t="shared" ref="D1617" si="7007">R1617</f>
        <v/>
      </c>
      <c r="E1617" s="676" t="str">
        <f t="shared" ref="E1617" si="7008">S1617</f>
        <v/>
      </c>
      <c r="F1617" s="194"/>
      <c r="G1617" s="668" t="str">
        <f t="shared" ref="G1617" ca="1" si="7009">IF(OR(INDIRECT("'update Helper'!E"&amp;U1617)=0,F1617&lt;&gt;0,F1618&lt;&gt;0),IF(IFERROR((F1617/F1618),"")="","",(F1617/F1618)),INDIRECT("'update Helper'!E"&amp;U1617)/100)</f>
        <v/>
      </c>
      <c r="H1617" s="670"/>
      <c r="I1617" s="672"/>
      <c r="J1617" s="651"/>
      <c r="K1617" s="666" t="str">
        <f t="shared" ref="K1617" si="7010">W1617</f>
        <v/>
      </c>
      <c r="L1617" s="666" t="str">
        <f t="shared" ref="L1617" si="7011">V1617</f>
        <v/>
      </c>
      <c r="M1617" s="651"/>
      <c r="N1617" s="651"/>
      <c r="P1617" s="189">
        <f t="shared" ref="P1617" si="7012">IF(AND(EXACT(C1617,C1615),C1615&lt;&gt;0),P1615+1,0)</f>
        <v>98</v>
      </c>
      <c r="Q1617" s="189" t="str">
        <f t="shared" ref="Q1617" si="7013">IF(C1617&lt;&gt;"",C1617&amp;"-"&amp;P1617,"")</f>
        <v/>
      </c>
      <c r="R1617" s="189" t="str">
        <f t="array" ref="R1617">IFERROR(IF(INDEX('Disaggregation Records'!$E$155:$E$385,MATCH(RIGHT(Q1617,255),RIGHT('Disaggregation Records'!$D$155:$D$385,255),0))=0,"",INDEX('Disaggregation Records'!$E$155:$E$385,MATCH(RIGHT(Q1617,255),RIGHT('Disaggregation Records'!$D$155:$D$385,255),0))),"")</f>
        <v/>
      </c>
      <c r="S1617" s="189" t="str">
        <f t="array" ref="S1617">IFERROR(IF(INDEX('Disaggregation Records'!$F$155:$F$385,MATCH(RIGHT(Q1617,255),RIGHT('Disaggregation Records'!$D$155:$D$385,255),0))=0,"",INDEX('Disaggregation Records'!$F$155:$F$385,MATCH(RIGHT(Q1617,255),RIGHT('Disaggregation Records'!$D$155:$D$385,255),0))),"")</f>
        <v/>
      </c>
      <c r="T1617" s="189" t="str">
        <f t="array" ref="T1617">IFERROR(IF(INDEX('Disaggregation Records'!$H$155:$H$385,MATCH(RIGHT(Q1617,255),RIGHT('Disaggregation Records'!$D$155:$D$385,255),0))=0,"",INDEX('Disaggregation Records'!$H$155:$H$385,MATCH(RIGHT(Q1617,255),RIGHT('Disaggregation Records'!$D$155:$D$385,255),0))),"")</f>
        <v/>
      </c>
      <c r="U1617" s="189">
        <f t="shared" ref="U1617" si="7014">U1615+1</f>
        <v>1910</v>
      </c>
      <c r="V1617" s="189" t="str">
        <f t="array" ref="V1617">IFERROR(IF(INDEX('Disaggregation Records'!$I$155:$I$385,MATCH(RIGHT(Q1617,255),RIGHT('Disaggregation Records'!$D$155:$D$385,255),0))=0,"",INDEX('Disaggregation Records'!$I$155:$I$385,MATCH(RIGHT(Q1617,255),RIGHT('Disaggregation Records'!$D$155:$D$385,255),0))),"")</f>
        <v/>
      </c>
      <c r="W1617" s="189" t="str">
        <f>IFERROR(INDEX('Reference Records'!L$59:L$121,MATCH(LEFT(C1617,255),'Reference Records'!E$59:E$121,0)),"")</f>
        <v/>
      </c>
    </row>
    <row r="1618" spans="1:23" s="189" customFormat="1" ht="40.200000000000003" customHeight="1" x14ac:dyDescent="0.3">
      <c r="A1618" s="678"/>
      <c r="B1618" s="675"/>
      <c r="C1618" s="667"/>
      <c r="D1618" s="677"/>
      <c r="E1618" s="677"/>
      <c r="F1618" s="202"/>
      <c r="G1618" s="669"/>
      <c r="H1618" s="671"/>
      <c r="I1618" s="673"/>
      <c r="J1618" s="652"/>
      <c r="K1618" s="667"/>
      <c r="L1618" s="667"/>
      <c r="M1618" s="652"/>
      <c r="N1618" s="652"/>
    </row>
    <row r="1619" spans="1:23" s="189" customFormat="1" ht="40.200000000000003" customHeight="1" x14ac:dyDescent="0.3">
      <c r="A1619" s="678" t="str">
        <f t="shared" ref="A1619" ca="1" si="7015">INDIRECT("'update Helper'!C"&amp;U1619)</f>
        <v>a163p000002zQhQAAU</v>
      </c>
      <c r="B1619" s="674">
        <v>25</v>
      </c>
      <c r="C1619" s="666" t="str">
        <f>VLOOKUP(B1619,'Coverage Indicators - Section D'!$A$9:$AU$70,47,FALSE)</f>
        <v/>
      </c>
      <c r="D1619" s="676" t="str">
        <f t="shared" ref="D1619" si="7016">R1619</f>
        <v/>
      </c>
      <c r="E1619" s="676" t="str">
        <f t="shared" ref="E1619" si="7017">S1619</f>
        <v/>
      </c>
      <c r="F1619" s="194"/>
      <c r="G1619" s="668" t="str">
        <f t="shared" ref="G1619" ca="1" si="7018">IF(OR(INDIRECT("'update Helper'!E"&amp;U1619)=0,F1619&lt;&gt;0,F1620&lt;&gt;0),IF(IFERROR((F1619/F1620),"")="","",(F1619/F1620)),INDIRECT("'update Helper'!E"&amp;U1619)/100)</f>
        <v/>
      </c>
      <c r="H1619" s="670"/>
      <c r="I1619" s="672"/>
      <c r="J1619" s="651"/>
      <c r="K1619" s="666" t="str">
        <f t="shared" ref="K1619" si="7019">W1619</f>
        <v/>
      </c>
      <c r="L1619" s="666" t="str">
        <f t="shared" ref="L1619" si="7020">V1619</f>
        <v/>
      </c>
      <c r="M1619" s="651"/>
      <c r="N1619" s="651"/>
      <c r="P1619" s="189">
        <f t="shared" ref="P1619" si="7021">IF(AND(EXACT(C1619,C1617),C1617&lt;&gt;0),P1617+1,0)</f>
        <v>99</v>
      </c>
      <c r="Q1619" s="189" t="str">
        <f t="shared" ref="Q1619" si="7022">IF(C1619&lt;&gt;"",C1619&amp;"-"&amp;P1619,"")</f>
        <v/>
      </c>
      <c r="R1619" s="189" t="str">
        <f t="array" ref="R1619">IFERROR(IF(INDEX('Disaggregation Records'!$E$155:$E$385,MATCH(RIGHT(Q1619,255),RIGHT('Disaggregation Records'!$D$155:$D$385,255),0))=0,"",INDEX('Disaggregation Records'!$E$155:$E$385,MATCH(RIGHT(Q1619,255),RIGHT('Disaggregation Records'!$D$155:$D$385,255),0))),"")</f>
        <v/>
      </c>
      <c r="S1619" s="189" t="str">
        <f t="array" ref="S1619">IFERROR(IF(INDEX('Disaggregation Records'!$F$155:$F$385,MATCH(RIGHT(Q1619,255),RIGHT('Disaggregation Records'!$D$155:$D$385,255),0))=0,"",INDEX('Disaggregation Records'!$F$155:$F$385,MATCH(RIGHT(Q1619,255),RIGHT('Disaggregation Records'!$D$155:$D$385,255),0))),"")</f>
        <v/>
      </c>
      <c r="T1619" s="189" t="str">
        <f t="array" ref="T1619">IFERROR(IF(INDEX('Disaggregation Records'!$H$155:$H$385,MATCH(RIGHT(Q1619,255),RIGHT('Disaggregation Records'!$D$155:$D$385,255),0))=0,"",INDEX('Disaggregation Records'!$H$155:$H$385,MATCH(RIGHT(Q1619,255),RIGHT('Disaggregation Records'!$D$155:$D$385,255),0))),"")</f>
        <v/>
      </c>
      <c r="U1619" s="189">
        <f t="shared" ref="U1619" si="7023">U1617+1</f>
        <v>1911</v>
      </c>
      <c r="V1619" s="189" t="str">
        <f t="array" ref="V1619">IFERROR(IF(INDEX('Disaggregation Records'!$I$155:$I$385,MATCH(RIGHT(Q1619,255),RIGHT('Disaggregation Records'!$D$155:$D$385,255),0))=0,"",INDEX('Disaggregation Records'!$I$155:$I$385,MATCH(RIGHT(Q1619,255),RIGHT('Disaggregation Records'!$D$155:$D$385,255),0))),"")</f>
        <v/>
      </c>
      <c r="W1619" s="189" t="str">
        <f>IFERROR(INDEX('Reference Records'!L$59:L$121,MATCH(LEFT(C1619,255),'Reference Records'!E$59:E$121,0)),"")</f>
        <v/>
      </c>
    </row>
    <row r="1620" spans="1:23" s="189" customFormat="1" ht="40.200000000000003" customHeight="1" x14ac:dyDescent="0.3">
      <c r="A1620" s="678"/>
      <c r="B1620" s="675"/>
      <c r="C1620" s="667"/>
      <c r="D1620" s="677"/>
      <c r="E1620" s="677"/>
      <c r="F1620" s="202"/>
      <c r="G1620" s="669"/>
      <c r="H1620" s="671"/>
      <c r="I1620" s="673"/>
      <c r="J1620" s="652"/>
      <c r="K1620" s="667"/>
      <c r="L1620" s="667"/>
      <c r="M1620" s="652"/>
      <c r="N1620" s="652"/>
    </row>
    <row r="1621" spans="1:23" s="189" customFormat="1" ht="40.200000000000003" customHeight="1" x14ac:dyDescent="0.3">
      <c r="A1621" s="678" t="str">
        <f t="shared" ref="A1621" ca="1" si="7024">INDIRECT("'update Helper'!C"&amp;U1621)</f>
        <v>a163p000002zQhRAAU</v>
      </c>
      <c r="B1621" s="674">
        <v>26</v>
      </c>
      <c r="C1621" s="666" t="str">
        <f>VLOOKUP(B1621,'Coverage Indicators - Section D'!$A$9:$AU$70,47,FALSE)</f>
        <v/>
      </c>
      <c r="D1621" s="676" t="str">
        <f t="shared" ref="D1621" si="7025">R1621</f>
        <v/>
      </c>
      <c r="E1621" s="676" t="str">
        <f t="shared" ref="E1621" si="7026">S1621</f>
        <v/>
      </c>
      <c r="F1621" s="194"/>
      <c r="G1621" s="668" t="str">
        <f t="shared" ref="G1621" ca="1" si="7027">IF(OR(INDIRECT("'update Helper'!E"&amp;U1621)=0,F1621&lt;&gt;0,F1622&lt;&gt;0),IF(IFERROR((F1621/F1622),"")="","",(F1621/F1622)),INDIRECT("'update Helper'!E"&amp;U1621)/100)</f>
        <v/>
      </c>
      <c r="H1621" s="670"/>
      <c r="I1621" s="672"/>
      <c r="J1621" s="651"/>
      <c r="K1621" s="666" t="str">
        <f t="shared" ref="K1621" si="7028">W1621</f>
        <v/>
      </c>
      <c r="L1621" s="666" t="str">
        <f t="shared" ref="L1621" si="7029">V1621</f>
        <v/>
      </c>
      <c r="M1621" s="651"/>
      <c r="N1621" s="651"/>
      <c r="P1621" s="189">
        <f t="shared" ref="P1621" si="7030">IF(AND(EXACT(C1621,C1619),C1619&lt;&gt;0),P1619+1,0)</f>
        <v>100</v>
      </c>
      <c r="Q1621" s="189" t="str">
        <f t="shared" ref="Q1621" si="7031">IF(C1621&lt;&gt;"",C1621&amp;"-"&amp;P1621,"")</f>
        <v/>
      </c>
      <c r="R1621" s="189" t="str">
        <f t="array" ref="R1621">IFERROR(IF(INDEX('Disaggregation Records'!$E$155:$E$385,MATCH(RIGHT(Q1621,255),RIGHT('Disaggregation Records'!$D$155:$D$385,255),0))=0,"",INDEX('Disaggregation Records'!$E$155:$E$385,MATCH(RIGHT(Q1621,255),RIGHT('Disaggregation Records'!$D$155:$D$385,255),0))),"")</f>
        <v/>
      </c>
      <c r="S1621" s="189" t="str">
        <f t="array" ref="S1621">IFERROR(IF(INDEX('Disaggregation Records'!$F$155:$F$385,MATCH(RIGHT(Q1621,255),RIGHT('Disaggregation Records'!$D$155:$D$385,255),0))=0,"",INDEX('Disaggregation Records'!$F$155:$F$385,MATCH(RIGHT(Q1621,255),RIGHT('Disaggregation Records'!$D$155:$D$385,255),0))),"")</f>
        <v/>
      </c>
      <c r="T1621" s="189" t="str">
        <f t="array" ref="T1621">IFERROR(IF(INDEX('Disaggregation Records'!$H$155:$H$385,MATCH(RIGHT(Q1621,255),RIGHT('Disaggregation Records'!$D$155:$D$385,255),0))=0,"",INDEX('Disaggregation Records'!$H$155:$H$385,MATCH(RIGHT(Q1621,255),RIGHT('Disaggregation Records'!$D$155:$D$385,255),0))),"")</f>
        <v/>
      </c>
      <c r="U1621" s="189">
        <f t="shared" ref="U1621" si="7032">U1619+1</f>
        <v>1912</v>
      </c>
      <c r="V1621" s="189" t="str">
        <f t="array" ref="V1621">IFERROR(IF(INDEX('Disaggregation Records'!$I$155:$I$385,MATCH(RIGHT(Q1621,255),RIGHT('Disaggregation Records'!$D$155:$D$385,255),0))=0,"",INDEX('Disaggregation Records'!$I$155:$I$385,MATCH(RIGHT(Q1621,255),RIGHT('Disaggregation Records'!$D$155:$D$385,255),0))),"")</f>
        <v/>
      </c>
      <c r="W1621" s="189" t="str">
        <f>IFERROR(INDEX('Reference Records'!L$59:L$121,MATCH(LEFT(C1621,255),'Reference Records'!E$59:E$121,0)),"")</f>
        <v/>
      </c>
    </row>
    <row r="1622" spans="1:23" s="189" customFormat="1" ht="40.200000000000003" customHeight="1" x14ac:dyDescent="0.3">
      <c r="A1622" s="678"/>
      <c r="B1622" s="675"/>
      <c r="C1622" s="667"/>
      <c r="D1622" s="677"/>
      <c r="E1622" s="677"/>
      <c r="F1622" s="202"/>
      <c r="G1622" s="669"/>
      <c r="H1622" s="671"/>
      <c r="I1622" s="673"/>
      <c r="J1622" s="652"/>
      <c r="K1622" s="667"/>
      <c r="L1622" s="667"/>
      <c r="M1622" s="652"/>
      <c r="N1622" s="652"/>
    </row>
    <row r="1623" spans="1:23" s="189" customFormat="1" ht="40.200000000000003" customHeight="1" x14ac:dyDescent="0.3">
      <c r="A1623" s="678" t="str">
        <f t="shared" ref="A1623" ca="1" si="7033">INDIRECT("'update Helper'!C"&amp;U1623)</f>
        <v>a163p000002zQhSAAU</v>
      </c>
      <c r="B1623" s="674">
        <v>26</v>
      </c>
      <c r="C1623" s="666" t="str">
        <f>VLOOKUP(B1623,'Coverage Indicators - Section D'!$A$9:$AU$70,47,FALSE)</f>
        <v/>
      </c>
      <c r="D1623" s="676" t="str">
        <f t="shared" ref="D1623" si="7034">R1623</f>
        <v/>
      </c>
      <c r="E1623" s="676" t="str">
        <f t="shared" ref="E1623" si="7035">S1623</f>
        <v/>
      </c>
      <c r="F1623" s="194"/>
      <c r="G1623" s="668" t="str">
        <f t="shared" ref="G1623" ca="1" si="7036">IF(OR(INDIRECT("'update Helper'!E"&amp;U1623)=0,F1623&lt;&gt;0,F1624&lt;&gt;0),IF(IFERROR((F1623/F1624),"")="","",(F1623/F1624)),INDIRECT("'update Helper'!E"&amp;U1623)/100)</f>
        <v/>
      </c>
      <c r="H1623" s="670"/>
      <c r="I1623" s="672"/>
      <c r="J1623" s="651"/>
      <c r="K1623" s="666" t="str">
        <f t="shared" ref="K1623" si="7037">W1623</f>
        <v/>
      </c>
      <c r="L1623" s="666" t="str">
        <f t="shared" ref="L1623" si="7038">V1623</f>
        <v/>
      </c>
      <c r="M1623" s="651"/>
      <c r="N1623" s="651"/>
      <c r="P1623" s="189">
        <f t="shared" ref="P1623" si="7039">IF(AND(EXACT(C1623,C1621),C1621&lt;&gt;0),P1621+1,0)</f>
        <v>101</v>
      </c>
      <c r="Q1623" s="189" t="str">
        <f t="shared" ref="Q1623" si="7040">IF(C1623&lt;&gt;"",C1623&amp;"-"&amp;P1623,"")</f>
        <v/>
      </c>
      <c r="R1623" s="189" t="str">
        <f t="array" ref="R1623">IFERROR(IF(INDEX('Disaggregation Records'!$E$155:$E$385,MATCH(RIGHT(Q1623,255),RIGHT('Disaggregation Records'!$D$155:$D$385,255),0))=0,"",INDEX('Disaggregation Records'!$E$155:$E$385,MATCH(RIGHT(Q1623,255),RIGHT('Disaggregation Records'!$D$155:$D$385,255),0))),"")</f>
        <v/>
      </c>
      <c r="S1623" s="189" t="str">
        <f t="array" ref="S1623">IFERROR(IF(INDEX('Disaggregation Records'!$F$155:$F$385,MATCH(RIGHT(Q1623,255),RIGHT('Disaggregation Records'!$D$155:$D$385,255),0))=0,"",INDEX('Disaggregation Records'!$F$155:$F$385,MATCH(RIGHT(Q1623,255),RIGHT('Disaggregation Records'!$D$155:$D$385,255),0))),"")</f>
        <v/>
      </c>
      <c r="T1623" s="189" t="str">
        <f t="array" ref="T1623">IFERROR(IF(INDEX('Disaggregation Records'!$H$155:$H$385,MATCH(RIGHT(Q1623,255),RIGHT('Disaggregation Records'!$D$155:$D$385,255),0))=0,"",INDEX('Disaggregation Records'!$H$155:$H$385,MATCH(RIGHT(Q1623,255),RIGHT('Disaggregation Records'!$D$155:$D$385,255),0))),"")</f>
        <v/>
      </c>
      <c r="U1623" s="189">
        <f t="shared" ref="U1623" si="7041">U1621+1</f>
        <v>1913</v>
      </c>
      <c r="V1623" s="189" t="str">
        <f t="array" ref="V1623">IFERROR(IF(INDEX('Disaggregation Records'!$I$155:$I$385,MATCH(RIGHT(Q1623,255),RIGHT('Disaggregation Records'!$D$155:$D$385,255),0))=0,"",INDEX('Disaggregation Records'!$I$155:$I$385,MATCH(RIGHT(Q1623,255),RIGHT('Disaggregation Records'!$D$155:$D$385,255),0))),"")</f>
        <v/>
      </c>
      <c r="W1623" s="189" t="str">
        <f>IFERROR(INDEX('Reference Records'!L$59:L$121,MATCH(LEFT(C1623,255),'Reference Records'!E$59:E$121,0)),"")</f>
        <v/>
      </c>
    </row>
    <row r="1624" spans="1:23" s="189" customFormat="1" ht="40.200000000000003" customHeight="1" x14ac:dyDescent="0.3">
      <c r="A1624" s="678"/>
      <c r="B1624" s="675"/>
      <c r="C1624" s="667"/>
      <c r="D1624" s="677"/>
      <c r="E1624" s="677"/>
      <c r="F1624" s="202"/>
      <c r="G1624" s="669"/>
      <c r="H1624" s="671"/>
      <c r="I1624" s="673"/>
      <c r="J1624" s="652"/>
      <c r="K1624" s="667"/>
      <c r="L1624" s="667"/>
      <c r="M1624" s="652"/>
      <c r="N1624" s="652"/>
    </row>
    <row r="1625" spans="1:23" s="189" customFormat="1" ht="40.200000000000003" customHeight="1" x14ac:dyDescent="0.3">
      <c r="A1625" s="678" t="str">
        <f t="shared" ref="A1625" ca="1" si="7042">INDIRECT("'update Helper'!C"&amp;U1625)</f>
        <v>a163p000002zQhTAAU</v>
      </c>
      <c r="B1625" s="674">
        <v>26</v>
      </c>
      <c r="C1625" s="666" t="str">
        <f>VLOOKUP(B1625,'Coverage Indicators - Section D'!$A$9:$AU$70,47,FALSE)</f>
        <v/>
      </c>
      <c r="D1625" s="676" t="str">
        <f t="shared" ref="D1625" si="7043">R1625</f>
        <v/>
      </c>
      <c r="E1625" s="676" t="str">
        <f t="shared" ref="E1625" si="7044">S1625</f>
        <v/>
      </c>
      <c r="F1625" s="194"/>
      <c r="G1625" s="668" t="str">
        <f t="shared" ref="G1625" ca="1" si="7045">IF(OR(INDIRECT("'update Helper'!E"&amp;U1625)=0,F1625&lt;&gt;0,F1626&lt;&gt;0),IF(IFERROR((F1625/F1626),"")="","",(F1625/F1626)),INDIRECT("'update Helper'!E"&amp;U1625)/100)</f>
        <v/>
      </c>
      <c r="H1625" s="670"/>
      <c r="I1625" s="672"/>
      <c r="J1625" s="651"/>
      <c r="K1625" s="666" t="str">
        <f t="shared" ref="K1625" si="7046">W1625</f>
        <v/>
      </c>
      <c r="L1625" s="666" t="str">
        <f t="shared" ref="L1625" si="7047">V1625</f>
        <v/>
      </c>
      <c r="M1625" s="651"/>
      <c r="N1625" s="651"/>
      <c r="P1625" s="189">
        <f t="shared" ref="P1625" si="7048">IF(AND(EXACT(C1625,C1623),C1623&lt;&gt;0),P1623+1,0)</f>
        <v>102</v>
      </c>
      <c r="Q1625" s="189" t="str">
        <f t="shared" ref="Q1625" si="7049">IF(C1625&lt;&gt;"",C1625&amp;"-"&amp;P1625,"")</f>
        <v/>
      </c>
      <c r="R1625" s="189" t="str">
        <f t="array" ref="R1625">IFERROR(IF(INDEX('Disaggregation Records'!$E$155:$E$385,MATCH(RIGHT(Q1625,255),RIGHT('Disaggregation Records'!$D$155:$D$385,255),0))=0,"",INDEX('Disaggregation Records'!$E$155:$E$385,MATCH(RIGHT(Q1625,255),RIGHT('Disaggregation Records'!$D$155:$D$385,255),0))),"")</f>
        <v/>
      </c>
      <c r="S1625" s="189" t="str">
        <f t="array" ref="S1625">IFERROR(IF(INDEX('Disaggregation Records'!$F$155:$F$385,MATCH(RIGHT(Q1625,255),RIGHT('Disaggregation Records'!$D$155:$D$385,255),0))=0,"",INDEX('Disaggregation Records'!$F$155:$F$385,MATCH(RIGHT(Q1625,255),RIGHT('Disaggregation Records'!$D$155:$D$385,255),0))),"")</f>
        <v/>
      </c>
      <c r="T1625" s="189" t="str">
        <f t="array" ref="T1625">IFERROR(IF(INDEX('Disaggregation Records'!$H$155:$H$385,MATCH(RIGHT(Q1625,255),RIGHT('Disaggregation Records'!$D$155:$D$385,255),0))=0,"",INDEX('Disaggregation Records'!$H$155:$H$385,MATCH(RIGHT(Q1625,255),RIGHT('Disaggregation Records'!$D$155:$D$385,255),0))),"")</f>
        <v/>
      </c>
      <c r="U1625" s="189">
        <f t="shared" ref="U1625" si="7050">U1623+1</f>
        <v>1914</v>
      </c>
      <c r="V1625" s="189" t="str">
        <f t="array" ref="V1625">IFERROR(IF(INDEX('Disaggregation Records'!$I$155:$I$385,MATCH(RIGHT(Q1625,255),RIGHT('Disaggregation Records'!$D$155:$D$385,255),0))=0,"",INDEX('Disaggregation Records'!$I$155:$I$385,MATCH(RIGHT(Q1625,255),RIGHT('Disaggregation Records'!$D$155:$D$385,255),0))),"")</f>
        <v/>
      </c>
      <c r="W1625" s="189" t="str">
        <f>IFERROR(INDEX('Reference Records'!L$59:L$121,MATCH(LEFT(C1625,255),'Reference Records'!E$59:E$121,0)),"")</f>
        <v/>
      </c>
    </row>
    <row r="1626" spans="1:23" s="189" customFormat="1" ht="40.200000000000003" customHeight="1" x14ac:dyDescent="0.3">
      <c r="A1626" s="678"/>
      <c r="B1626" s="675"/>
      <c r="C1626" s="667"/>
      <c r="D1626" s="677"/>
      <c r="E1626" s="677"/>
      <c r="F1626" s="202"/>
      <c r="G1626" s="669"/>
      <c r="H1626" s="671"/>
      <c r="I1626" s="673"/>
      <c r="J1626" s="652"/>
      <c r="K1626" s="667"/>
      <c r="L1626" s="667"/>
      <c r="M1626" s="652"/>
      <c r="N1626" s="652"/>
    </row>
    <row r="1627" spans="1:23" s="189" customFormat="1" ht="40.200000000000003" customHeight="1" x14ac:dyDescent="0.3">
      <c r="A1627" s="678" t="str">
        <f t="shared" ref="A1627" ca="1" si="7051">INDIRECT("'update Helper'!C"&amp;U1627)</f>
        <v>a163p000002zQhUAAU</v>
      </c>
      <c r="B1627" s="674">
        <v>26</v>
      </c>
      <c r="C1627" s="666" t="str">
        <f>VLOOKUP(B1627,'Coverage Indicators - Section D'!$A$9:$AU$70,47,FALSE)</f>
        <v/>
      </c>
      <c r="D1627" s="676" t="str">
        <f t="shared" ref="D1627" si="7052">R1627</f>
        <v/>
      </c>
      <c r="E1627" s="676" t="str">
        <f t="shared" ref="E1627" si="7053">S1627</f>
        <v/>
      </c>
      <c r="F1627" s="194"/>
      <c r="G1627" s="668" t="str">
        <f t="shared" ref="G1627" ca="1" si="7054">IF(OR(INDIRECT("'update Helper'!E"&amp;U1627)=0,F1627&lt;&gt;0,F1628&lt;&gt;0),IF(IFERROR((F1627/F1628),"")="","",(F1627/F1628)),INDIRECT("'update Helper'!E"&amp;U1627)/100)</f>
        <v/>
      </c>
      <c r="H1627" s="670"/>
      <c r="I1627" s="672"/>
      <c r="J1627" s="651"/>
      <c r="K1627" s="666" t="str">
        <f t="shared" ref="K1627" si="7055">W1627</f>
        <v/>
      </c>
      <c r="L1627" s="666" t="str">
        <f t="shared" ref="L1627" si="7056">V1627</f>
        <v/>
      </c>
      <c r="M1627" s="651"/>
      <c r="N1627" s="651"/>
      <c r="P1627" s="189">
        <f t="shared" ref="P1627" si="7057">IF(AND(EXACT(C1627,C1625),C1625&lt;&gt;0),P1625+1,0)</f>
        <v>103</v>
      </c>
      <c r="Q1627" s="189" t="str">
        <f t="shared" ref="Q1627" si="7058">IF(C1627&lt;&gt;"",C1627&amp;"-"&amp;P1627,"")</f>
        <v/>
      </c>
      <c r="R1627" s="189" t="str">
        <f t="array" ref="R1627">IFERROR(IF(INDEX('Disaggregation Records'!$E$155:$E$385,MATCH(RIGHT(Q1627,255),RIGHT('Disaggregation Records'!$D$155:$D$385,255),0))=0,"",INDEX('Disaggregation Records'!$E$155:$E$385,MATCH(RIGHT(Q1627,255),RIGHT('Disaggregation Records'!$D$155:$D$385,255),0))),"")</f>
        <v/>
      </c>
      <c r="S1627" s="189" t="str">
        <f t="array" ref="S1627">IFERROR(IF(INDEX('Disaggregation Records'!$F$155:$F$385,MATCH(RIGHT(Q1627,255),RIGHT('Disaggregation Records'!$D$155:$D$385,255),0))=0,"",INDEX('Disaggregation Records'!$F$155:$F$385,MATCH(RIGHT(Q1627,255),RIGHT('Disaggregation Records'!$D$155:$D$385,255),0))),"")</f>
        <v/>
      </c>
      <c r="T1627" s="189" t="str">
        <f t="array" ref="T1627">IFERROR(IF(INDEX('Disaggregation Records'!$H$155:$H$385,MATCH(RIGHT(Q1627,255),RIGHT('Disaggregation Records'!$D$155:$D$385,255),0))=0,"",INDEX('Disaggregation Records'!$H$155:$H$385,MATCH(RIGHT(Q1627,255),RIGHT('Disaggregation Records'!$D$155:$D$385,255),0))),"")</f>
        <v/>
      </c>
      <c r="U1627" s="189">
        <f t="shared" ref="U1627" si="7059">U1625+1</f>
        <v>1915</v>
      </c>
      <c r="V1627" s="189" t="str">
        <f t="array" ref="V1627">IFERROR(IF(INDEX('Disaggregation Records'!$I$155:$I$385,MATCH(RIGHT(Q1627,255),RIGHT('Disaggregation Records'!$D$155:$D$385,255),0))=0,"",INDEX('Disaggregation Records'!$I$155:$I$385,MATCH(RIGHT(Q1627,255),RIGHT('Disaggregation Records'!$D$155:$D$385,255),0))),"")</f>
        <v/>
      </c>
      <c r="W1627" s="189" t="str">
        <f>IFERROR(INDEX('Reference Records'!L$59:L$121,MATCH(LEFT(C1627,255),'Reference Records'!E$59:E$121,0)),"")</f>
        <v/>
      </c>
    </row>
    <row r="1628" spans="1:23" s="189" customFormat="1" ht="40.200000000000003" customHeight="1" x14ac:dyDescent="0.3">
      <c r="A1628" s="678"/>
      <c r="B1628" s="675"/>
      <c r="C1628" s="667"/>
      <c r="D1628" s="677"/>
      <c r="E1628" s="677"/>
      <c r="F1628" s="202"/>
      <c r="G1628" s="669"/>
      <c r="H1628" s="671"/>
      <c r="I1628" s="673"/>
      <c r="J1628" s="652"/>
      <c r="K1628" s="667"/>
      <c r="L1628" s="667"/>
      <c r="M1628" s="652"/>
      <c r="N1628" s="652"/>
    </row>
    <row r="1629" spans="1:23" s="189" customFormat="1" ht="40.200000000000003" customHeight="1" x14ac:dyDescent="0.3">
      <c r="A1629" s="678" t="str">
        <f t="shared" ref="A1629" ca="1" si="7060">INDIRECT("'update Helper'!C"&amp;U1629)</f>
        <v>a163p000002zQhVAAU</v>
      </c>
      <c r="B1629" s="674">
        <v>26</v>
      </c>
      <c r="C1629" s="666" t="str">
        <f>VLOOKUP(B1629,'Coverage Indicators - Section D'!$A$9:$AU$70,47,FALSE)</f>
        <v/>
      </c>
      <c r="D1629" s="676" t="str">
        <f t="shared" ref="D1629" si="7061">R1629</f>
        <v/>
      </c>
      <c r="E1629" s="676" t="str">
        <f t="shared" ref="E1629" si="7062">S1629</f>
        <v/>
      </c>
      <c r="F1629" s="194"/>
      <c r="G1629" s="668" t="str">
        <f t="shared" ref="G1629" ca="1" si="7063">IF(OR(INDIRECT("'update Helper'!E"&amp;U1629)=0,F1629&lt;&gt;0,F1630&lt;&gt;0),IF(IFERROR((F1629/F1630),"")="","",(F1629/F1630)),INDIRECT("'update Helper'!E"&amp;U1629)/100)</f>
        <v/>
      </c>
      <c r="H1629" s="670"/>
      <c r="I1629" s="672"/>
      <c r="J1629" s="651"/>
      <c r="K1629" s="666" t="str">
        <f t="shared" ref="K1629" si="7064">W1629</f>
        <v/>
      </c>
      <c r="L1629" s="666" t="str">
        <f t="shared" ref="L1629" si="7065">V1629</f>
        <v/>
      </c>
      <c r="M1629" s="651"/>
      <c r="N1629" s="651"/>
      <c r="P1629" s="189">
        <f t="shared" ref="P1629" si="7066">IF(AND(EXACT(C1629,C1627),C1627&lt;&gt;0),P1627+1,0)</f>
        <v>104</v>
      </c>
      <c r="Q1629" s="189" t="str">
        <f t="shared" ref="Q1629" si="7067">IF(C1629&lt;&gt;"",C1629&amp;"-"&amp;P1629,"")</f>
        <v/>
      </c>
      <c r="R1629" s="189" t="str">
        <f t="array" ref="R1629">IFERROR(IF(INDEX('Disaggregation Records'!$E$155:$E$385,MATCH(RIGHT(Q1629,255),RIGHT('Disaggregation Records'!$D$155:$D$385,255),0))=0,"",INDEX('Disaggregation Records'!$E$155:$E$385,MATCH(RIGHT(Q1629,255),RIGHT('Disaggregation Records'!$D$155:$D$385,255),0))),"")</f>
        <v/>
      </c>
      <c r="S1629" s="189" t="str">
        <f t="array" ref="S1629">IFERROR(IF(INDEX('Disaggregation Records'!$F$155:$F$385,MATCH(RIGHT(Q1629,255),RIGHT('Disaggregation Records'!$D$155:$D$385,255),0))=0,"",INDEX('Disaggregation Records'!$F$155:$F$385,MATCH(RIGHT(Q1629,255),RIGHT('Disaggregation Records'!$D$155:$D$385,255),0))),"")</f>
        <v/>
      </c>
      <c r="T1629" s="189" t="str">
        <f t="array" ref="T1629">IFERROR(IF(INDEX('Disaggregation Records'!$H$155:$H$385,MATCH(RIGHT(Q1629,255),RIGHT('Disaggregation Records'!$D$155:$D$385,255),0))=0,"",INDEX('Disaggregation Records'!$H$155:$H$385,MATCH(RIGHT(Q1629,255),RIGHT('Disaggregation Records'!$D$155:$D$385,255),0))),"")</f>
        <v/>
      </c>
      <c r="U1629" s="189">
        <f t="shared" ref="U1629" si="7068">U1627+1</f>
        <v>1916</v>
      </c>
      <c r="V1629" s="189" t="str">
        <f t="array" ref="V1629">IFERROR(IF(INDEX('Disaggregation Records'!$I$155:$I$385,MATCH(RIGHT(Q1629,255),RIGHT('Disaggregation Records'!$D$155:$D$385,255),0))=0,"",INDEX('Disaggregation Records'!$I$155:$I$385,MATCH(RIGHT(Q1629,255),RIGHT('Disaggregation Records'!$D$155:$D$385,255),0))),"")</f>
        <v/>
      </c>
      <c r="W1629" s="189" t="str">
        <f>IFERROR(INDEX('Reference Records'!L$59:L$121,MATCH(LEFT(C1629,255),'Reference Records'!E$59:E$121,0)),"")</f>
        <v/>
      </c>
    </row>
    <row r="1630" spans="1:23" s="189" customFormat="1" ht="40.200000000000003" customHeight="1" x14ac:dyDescent="0.3">
      <c r="A1630" s="678"/>
      <c r="B1630" s="675"/>
      <c r="C1630" s="667"/>
      <c r="D1630" s="677"/>
      <c r="E1630" s="677"/>
      <c r="F1630" s="202"/>
      <c r="G1630" s="669"/>
      <c r="H1630" s="671"/>
      <c r="I1630" s="673"/>
      <c r="J1630" s="652"/>
      <c r="K1630" s="667"/>
      <c r="L1630" s="667"/>
      <c r="M1630" s="652"/>
      <c r="N1630" s="652"/>
    </row>
    <row r="1631" spans="1:23" s="189" customFormat="1" ht="40.200000000000003" customHeight="1" x14ac:dyDescent="0.3">
      <c r="A1631" s="678" t="str">
        <f t="shared" ref="A1631" ca="1" si="7069">INDIRECT("'update Helper'!C"&amp;U1631)</f>
        <v>a163p000002zQhWAAU</v>
      </c>
      <c r="B1631" s="674">
        <v>26</v>
      </c>
      <c r="C1631" s="666" t="str">
        <f>VLOOKUP(B1631,'Coverage Indicators - Section D'!$A$9:$AU$70,47,FALSE)</f>
        <v/>
      </c>
      <c r="D1631" s="676" t="str">
        <f t="shared" ref="D1631" si="7070">R1631</f>
        <v/>
      </c>
      <c r="E1631" s="676" t="str">
        <f t="shared" ref="E1631" si="7071">S1631</f>
        <v/>
      </c>
      <c r="F1631" s="194"/>
      <c r="G1631" s="668" t="str">
        <f t="shared" ref="G1631" ca="1" si="7072">IF(OR(INDIRECT("'update Helper'!E"&amp;U1631)=0,F1631&lt;&gt;0,F1632&lt;&gt;0),IF(IFERROR((F1631/F1632),"")="","",(F1631/F1632)),INDIRECT("'update Helper'!E"&amp;U1631)/100)</f>
        <v/>
      </c>
      <c r="H1631" s="670"/>
      <c r="I1631" s="672"/>
      <c r="J1631" s="651"/>
      <c r="K1631" s="666" t="str">
        <f t="shared" ref="K1631" si="7073">W1631</f>
        <v/>
      </c>
      <c r="L1631" s="666" t="str">
        <f t="shared" ref="L1631" si="7074">V1631</f>
        <v/>
      </c>
      <c r="M1631" s="651"/>
      <c r="N1631" s="651"/>
      <c r="P1631" s="189">
        <f t="shared" ref="P1631" si="7075">IF(AND(EXACT(C1631,C1629),C1629&lt;&gt;0),P1629+1,0)</f>
        <v>105</v>
      </c>
      <c r="Q1631" s="189" t="str">
        <f t="shared" ref="Q1631" si="7076">IF(C1631&lt;&gt;"",C1631&amp;"-"&amp;P1631,"")</f>
        <v/>
      </c>
      <c r="R1631" s="189" t="str">
        <f t="array" ref="R1631">IFERROR(IF(INDEX('Disaggregation Records'!$E$155:$E$385,MATCH(RIGHT(Q1631,255),RIGHT('Disaggregation Records'!$D$155:$D$385,255),0))=0,"",INDEX('Disaggregation Records'!$E$155:$E$385,MATCH(RIGHT(Q1631,255),RIGHT('Disaggregation Records'!$D$155:$D$385,255),0))),"")</f>
        <v/>
      </c>
      <c r="S1631" s="189" t="str">
        <f t="array" ref="S1631">IFERROR(IF(INDEX('Disaggregation Records'!$F$155:$F$385,MATCH(RIGHT(Q1631,255),RIGHT('Disaggregation Records'!$D$155:$D$385,255),0))=0,"",INDEX('Disaggregation Records'!$F$155:$F$385,MATCH(RIGHT(Q1631,255),RIGHT('Disaggregation Records'!$D$155:$D$385,255),0))),"")</f>
        <v/>
      </c>
      <c r="T1631" s="189" t="str">
        <f t="array" ref="T1631">IFERROR(IF(INDEX('Disaggregation Records'!$H$155:$H$385,MATCH(RIGHT(Q1631,255),RIGHT('Disaggregation Records'!$D$155:$D$385,255),0))=0,"",INDEX('Disaggregation Records'!$H$155:$H$385,MATCH(RIGHT(Q1631,255),RIGHT('Disaggregation Records'!$D$155:$D$385,255),0))),"")</f>
        <v/>
      </c>
      <c r="U1631" s="189">
        <f t="shared" ref="U1631" si="7077">U1629+1</f>
        <v>1917</v>
      </c>
      <c r="V1631" s="189" t="str">
        <f t="array" ref="V1631">IFERROR(IF(INDEX('Disaggregation Records'!$I$155:$I$385,MATCH(RIGHT(Q1631,255),RIGHT('Disaggregation Records'!$D$155:$D$385,255),0))=0,"",INDEX('Disaggregation Records'!$I$155:$I$385,MATCH(RIGHT(Q1631,255),RIGHT('Disaggregation Records'!$D$155:$D$385,255),0))),"")</f>
        <v/>
      </c>
      <c r="W1631" s="189" t="str">
        <f>IFERROR(INDEX('Reference Records'!L$59:L$121,MATCH(LEFT(C1631,255),'Reference Records'!E$59:E$121,0)),"")</f>
        <v/>
      </c>
    </row>
    <row r="1632" spans="1:23" s="189" customFormat="1" ht="40.200000000000003" customHeight="1" x14ac:dyDescent="0.3">
      <c r="A1632" s="678"/>
      <c r="B1632" s="675"/>
      <c r="C1632" s="667"/>
      <c r="D1632" s="677"/>
      <c r="E1632" s="677"/>
      <c r="F1632" s="202"/>
      <c r="G1632" s="669"/>
      <c r="H1632" s="671"/>
      <c r="I1632" s="673"/>
      <c r="J1632" s="652"/>
      <c r="K1632" s="667"/>
      <c r="L1632" s="667"/>
      <c r="M1632" s="652"/>
      <c r="N1632" s="652"/>
    </row>
    <row r="1633" spans="1:23" s="189" customFormat="1" ht="40.200000000000003" customHeight="1" x14ac:dyDescent="0.3">
      <c r="A1633" s="678" t="str">
        <f t="shared" ref="A1633" ca="1" si="7078">INDIRECT("'update Helper'!C"&amp;U1633)</f>
        <v>a163p000002zQhXAAU</v>
      </c>
      <c r="B1633" s="674">
        <v>26</v>
      </c>
      <c r="C1633" s="666" t="str">
        <f>VLOOKUP(B1633,'Coverage Indicators - Section D'!$A$9:$AU$70,47,FALSE)</f>
        <v/>
      </c>
      <c r="D1633" s="676" t="str">
        <f t="shared" ref="D1633" si="7079">R1633</f>
        <v/>
      </c>
      <c r="E1633" s="676" t="str">
        <f t="shared" ref="E1633" si="7080">S1633</f>
        <v/>
      </c>
      <c r="F1633" s="194"/>
      <c r="G1633" s="668" t="str">
        <f t="shared" ref="G1633" ca="1" si="7081">IF(OR(INDIRECT("'update Helper'!E"&amp;U1633)=0,F1633&lt;&gt;0,F1634&lt;&gt;0),IF(IFERROR((F1633/F1634),"")="","",(F1633/F1634)),INDIRECT("'update Helper'!E"&amp;U1633)/100)</f>
        <v/>
      </c>
      <c r="H1633" s="670"/>
      <c r="I1633" s="672"/>
      <c r="J1633" s="651"/>
      <c r="K1633" s="666" t="str">
        <f t="shared" ref="K1633" si="7082">W1633</f>
        <v/>
      </c>
      <c r="L1633" s="666" t="str">
        <f t="shared" ref="L1633" si="7083">V1633</f>
        <v/>
      </c>
      <c r="M1633" s="651"/>
      <c r="N1633" s="651"/>
      <c r="P1633" s="189">
        <f t="shared" ref="P1633" si="7084">IF(AND(EXACT(C1633,C1631),C1631&lt;&gt;0),P1631+1,0)</f>
        <v>106</v>
      </c>
      <c r="Q1633" s="189" t="str">
        <f t="shared" ref="Q1633" si="7085">IF(C1633&lt;&gt;"",C1633&amp;"-"&amp;P1633,"")</f>
        <v/>
      </c>
      <c r="R1633" s="189" t="str">
        <f t="array" ref="R1633">IFERROR(IF(INDEX('Disaggregation Records'!$E$155:$E$385,MATCH(RIGHT(Q1633,255),RIGHT('Disaggregation Records'!$D$155:$D$385,255),0))=0,"",INDEX('Disaggregation Records'!$E$155:$E$385,MATCH(RIGHT(Q1633,255),RIGHT('Disaggregation Records'!$D$155:$D$385,255),0))),"")</f>
        <v/>
      </c>
      <c r="S1633" s="189" t="str">
        <f t="array" ref="S1633">IFERROR(IF(INDEX('Disaggregation Records'!$F$155:$F$385,MATCH(RIGHT(Q1633,255),RIGHT('Disaggregation Records'!$D$155:$D$385,255),0))=0,"",INDEX('Disaggregation Records'!$F$155:$F$385,MATCH(RIGHT(Q1633,255),RIGHT('Disaggregation Records'!$D$155:$D$385,255),0))),"")</f>
        <v/>
      </c>
      <c r="T1633" s="189" t="str">
        <f t="array" ref="T1633">IFERROR(IF(INDEX('Disaggregation Records'!$H$155:$H$385,MATCH(RIGHT(Q1633,255),RIGHT('Disaggregation Records'!$D$155:$D$385,255),0))=0,"",INDEX('Disaggregation Records'!$H$155:$H$385,MATCH(RIGHT(Q1633,255),RIGHT('Disaggregation Records'!$D$155:$D$385,255),0))),"")</f>
        <v/>
      </c>
      <c r="U1633" s="189">
        <f t="shared" ref="U1633" si="7086">U1631+1</f>
        <v>1918</v>
      </c>
      <c r="V1633" s="189" t="str">
        <f t="array" ref="V1633">IFERROR(IF(INDEX('Disaggregation Records'!$I$155:$I$385,MATCH(RIGHT(Q1633,255),RIGHT('Disaggregation Records'!$D$155:$D$385,255),0))=0,"",INDEX('Disaggregation Records'!$I$155:$I$385,MATCH(RIGHT(Q1633,255),RIGHT('Disaggregation Records'!$D$155:$D$385,255),0))),"")</f>
        <v/>
      </c>
      <c r="W1633" s="189" t="str">
        <f>IFERROR(INDEX('Reference Records'!L$59:L$121,MATCH(LEFT(C1633,255),'Reference Records'!E$59:E$121,0)),"")</f>
        <v/>
      </c>
    </row>
    <row r="1634" spans="1:23" s="189" customFormat="1" ht="40.200000000000003" customHeight="1" x14ac:dyDescent="0.3">
      <c r="A1634" s="678"/>
      <c r="B1634" s="675"/>
      <c r="C1634" s="667"/>
      <c r="D1634" s="677"/>
      <c r="E1634" s="677"/>
      <c r="F1634" s="202"/>
      <c r="G1634" s="669"/>
      <c r="H1634" s="671"/>
      <c r="I1634" s="673"/>
      <c r="J1634" s="652"/>
      <c r="K1634" s="667"/>
      <c r="L1634" s="667"/>
      <c r="M1634" s="652"/>
      <c r="N1634" s="652"/>
    </row>
    <row r="1635" spans="1:23" s="189" customFormat="1" ht="40.200000000000003" customHeight="1" x14ac:dyDescent="0.3">
      <c r="A1635" s="678" t="str">
        <f t="shared" ref="A1635" ca="1" si="7087">INDIRECT("'update Helper'!C"&amp;U1635)</f>
        <v>a163p000002zQhYAAU</v>
      </c>
      <c r="B1635" s="674">
        <v>26</v>
      </c>
      <c r="C1635" s="666" t="str">
        <f>VLOOKUP(B1635,'Coverage Indicators - Section D'!$A$9:$AU$70,47,FALSE)</f>
        <v/>
      </c>
      <c r="D1635" s="676" t="str">
        <f t="shared" ref="D1635" si="7088">R1635</f>
        <v/>
      </c>
      <c r="E1635" s="676" t="str">
        <f t="shared" ref="E1635" si="7089">S1635</f>
        <v/>
      </c>
      <c r="F1635" s="194"/>
      <c r="G1635" s="668" t="str">
        <f t="shared" ref="G1635" ca="1" si="7090">IF(OR(INDIRECT("'update Helper'!E"&amp;U1635)=0,F1635&lt;&gt;0,F1636&lt;&gt;0),IF(IFERROR((F1635/F1636),"")="","",(F1635/F1636)),INDIRECT("'update Helper'!E"&amp;U1635)/100)</f>
        <v/>
      </c>
      <c r="H1635" s="670"/>
      <c r="I1635" s="672"/>
      <c r="J1635" s="651"/>
      <c r="K1635" s="666" t="str">
        <f t="shared" ref="K1635" si="7091">W1635</f>
        <v/>
      </c>
      <c r="L1635" s="666" t="str">
        <f t="shared" ref="L1635" si="7092">V1635</f>
        <v/>
      </c>
      <c r="M1635" s="651"/>
      <c r="N1635" s="651"/>
      <c r="P1635" s="189">
        <f t="shared" ref="P1635" si="7093">IF(AND(EXACT(C1635,C1633),C1633&lt;&gt;0),P1633+1,0)</f>
        <v>107</v>
      </c>
      <c r="Q1635" s="189" t="str">
        <f t="shared" ref="Q1635" si="7094">IF(C1635&lt;&gt;"",C1635&amp;"-"&amp;P1635,"")</f>
        <v/>
      </c>
      <c r="R1635" s="189" t="str">
        <f t="array" ref="R1635">IFERROR(IF(INDEX('Disaggregation Records'!$E$155:$E$385,MATCH(RIGHT(Q1635,255),RIGHT('Disaggregation Records'!$D$155:$D$385,255),0))=0,"",INDEX('Disaggregation Records'!$E$155:$E$385,MATCH(RIGHT(Q1635,255),RIGHT('Disaggregation Records'!$D$155:$D$385,255),0))),"")</f>
        <v/>
      </c>
      <c r="S1635" s="189" t="str">
        <f t="array" ref="S1635">IFERROR(IF(INDEX('Disaggregation Records'!$F$155:$F$385,MATCH(RIGHT(Q1635,255),RIGHT('Disaggregation Records'!$D$155:$D$385,255),0))=0,"",INDEX('Disaggregation Records'!$F$155:$F$385,MATCH(RIGHT(Q1635,255),RIGHT('Disaggregation Records'!$D$155:$D$385,255),0))),"")</f>
        <v/>
      </c>
      <c r="T1635" s="189" t="str">
        <f t="array" ref="T1635">IFERROR(IF(INDEX('Disaggregation Records'!$H$155:$H$385,MATCH(RIGHT(Q1635,255),RIGHT('Disaggregation Records'!$D$155:$D$385,255),0))=0,"",INDEX('Disaggregation Records'!$H$155:$H$385,MATCH(RIGHT(Q1635,255),RIGHT('Disaggregation Records'!$D$155:$D$385,255),0))),"")</f>
        <v/>
      </c>
      <c r="U1635" s="189">
        <f t="shared" ref="U1635" si="7095">U1633+1</f>
        <v>1919</v>
      </c>
      <c r="V1635" s="189" t="str">
        <f t="array" ref="V1635">IFERROR(IF(INDEX('Disaggregation Records'!$I$155:$I$385,MATCH(RIGHT(Q1635,255),RIGHT('Disaggregation Records'!$D$155:$D$385,255),0))=0,"",INDEX('Disaggregation Records'!$I$155:$I$385,MATCH(RIGHT(Q1635,255),RIGHT('Disaggregation Records'!$D$155:$D$385,255),0))),"")</f>
        <v/>
      </c>
      <c r="W1635" s="189" t="str">
        <f>IFERROR(INDEX('Reference Records'!L$59:L$121,MATCH(LEFT(C1635,255),'Reference Records'!E$59:E$121,0)),"")</f>
        <v/>
      </c>
    </row>
    <row r="1636" spans="1:23" s="189" customFormat="1" ht="40.200000000000003" customHeight="1" x14ac:dyDescent="0.3">
      <c r="A1636" s="678"/>
      <c r="B1636" s="675"/>
      <c r="C1636" s="667"/>
      <c r="D1636" s="677"/>
      <c r="E1636" s="677"/>
      <c r="F1636" s="202"/>
      <c r="G1636" s="669"/>
      <c r="H1636" s="671"/>
      <c r="I1636" s="673"/>
      <c r="J1636" s="652"/>
      <c r="K1636" s="667"/>
      <c r="L1636" s="667"/>
      <c r="M1636" s="652"/>
      <c r="N1636" s="652"/>
    </row>
    <row r="1637" spans="1:23" s="189" customFormat="1" ht="40.200000000000003" customHeight="1" x14ac:dyDescent="0.3">
      <c r="A1637" s="678" t="str">
        <f t="shared" ref="A1637" ca="1" si="7096">INDIRECT("'update Helper'!C"&amp;U1637)</f>
        <v>a163p000002zQhZAAU</v>
      </c>
      <c r="B1637" s="674">
        <v>26</v>
      </c>
      <c r="C1637" s="666" t="str">
        <f>VLOOKUP(B1637,'Coverage Indicators - Section D'!$A$9:$AU$70,47,FALSE)</f>
        <v/>
      </c>
      <c r="D1637" s="676" t="str">
        <f t="shared" ref="D1637" si="7097">R1637</f>
        <v/>
      </c>
      <c r="E1637" s="676" t="str">
        <f t="shared" ref="E1637" si="7098">S1637</f>
        <v/>
      </c>
      <c r="F1637" s="194"/>
      <c r="G1637" s="668" t="str">
        <f t="shared" ref="G1637" ca="1" si="7099">IF(OR(INDIRECT("'update Helper'!E"&amp;U1637)=0,F1637&lt;&gt;0,F1638&lt;&gt;0),IF(IFERROR((F1637/F1638),"")="","",(F1637/F1638)),INDIRECT("'update Helper'!E"&amp;U1637)/100)</f>
        <v/>
      </c>
      <c r="H1637" s="670"/>
      <c r="I1637" s="672"/>
      <c r="J1637" s="651"/>
      <c r="K1637" s="666" t="str">
        <f t="shared" ref="K1637" si="7100">W1637</f>
        <v/>
      </c>
      <c r="L1637" s="666" t="str">
        <f t="shared" ref="L1637" si="7101">V1637</f>
        <v/>
      </c>
      <c r="M1637" s="651"/>
      <c r="N1637" s="651"/>
      <c r="P1637" s="189">
        <f t="shared" ref="P1637" si="7102">IF(AND(EXACT(C1637,C1635),C1635&lt;&gt;0),P1635+1,0)</f>
        <v>108</v>
      </c>
      <c r="Q1637" s="189" t="str">
        <f t="shared" ref="Q1637" si="7103">IF(C1637&lt;&gt;"",C1637&amp;"-"&amp;P1637,"")</f>
        <v/>
      </c>
      <c r="R1637" s="189" t="str">
        <f t="array" ref="R1637">IFERROR(IF(INDEX('Disaggregation Records'!$E$155:$E$385,MATCH(RIGHT(Q1637,255),RIGHT('Disaggregation Records'!$D$155:$D$385,255),0))=0,"",INDEX('Disaggregation Records'!$E$155:$E$385,MATCH(RIGHT(Q1637,255),RIGHT('Disaggregation Records'!$D$155:$D$385,255),0))),"")</f>
        <v/>
      </c>
      <c r="S1637" s="189" t="str">
        <f t="array" ref="S1637">IFERROR(IF(INDEX('Disaggregation Records'!$F$155:$F$385,MATCH(RIGHT(Q1637,255),RIGHT('Disaggregation Records'!$D$155:$D$385,255),0))=0,"",INDEX('Disaggregation Records'!$F$155:$F$385,MATCH(RIGHT(Q1637,255),RIGHT('Disaggregation Records'!$D$155:$D$385,255),0))),"")</f>
        <v/>
      </c>
      <c r="T1637" s="189" t="str">
        <f t="array" ref="T1637">IFERROR(IF(INDEX('Disaggregation Records'!$H$155:$H$385,MATCH(RIGHT(Q1637,255),RIGHT('Disaggregation Records'!$D$155:$D$385,255),0))=0,"",INDEX('Disaggregation Records'!$H$155:$H$385,MATCH(RIGHT(Q1637,255),RIGHT('Disaggregation Records'!$D$155:$D$385,255),0))),"")</f>
        <v/>
      </c>
      <c r="U1637" s="189">
        <f t="shared" ref="U1637" si="7104">U1635+1</f>
        <v>1920</v>
      </c>
      <c r="V1637" s="189" t="str">
        <f t="array" ref="V1637">IFERROR(IF(INDEX('Disaggregation Records'!$I$155:$I$385,MATCH(RIGHT(Q1637,255),RIGHT('Disaggregation Records'!$D$155:$D$385,255),0))=0,"",INDEX('Disaggregation Records'!$I$155:$I$385,MATCH(RIGHT(Q1637,255),RIGHT('Disaggregation Records'!$D$155:$D$385,255),0))),"")</f>
        <v/>
      </c>
      <c r="W1637" s="189" t="str">
        <f>IFERROR(INDEX('Reference Records'!L$59:L$121,MATCH(LEFT(C1637,255),'Reference Records'!E$59:E$121,0)),"")</f>
        <v/>
      </c>
    </row>
    <row r="1638" spans="1:23" s="189" customFormat="1" ht="40.200000000000003" customHeight="1" x14ac:dyDescent="0.3">
      <c r="A1638" s="678"/>
      <c r="B1638" s="675"/>
      <c r="C1638" s="667"/>
      <c r="D1638" s="677"/>
      <c r="E1638" s="677"/>
      <c r="F1638" s="202"/>
      <c r="G1638" s="669"/>
      <c r="H1638" s="671"/>
      <c r="I1638" s="673"/>
      <c r="J1638" s="652"/>
      <c r="K1638" s="667"/>
      <c r="L1638" s="667"/>
      <c r="M1638" s="652"/>
      <c r="N1638" s="652"/>
    </row>
    <row r="1639" spans="1:23" s="189" customFormat="1" ht="40.200000000000003" customHeight="1" x14ac:dyDescent="0.3">
      <c r="A1639" s="678" t="str">
        <f t="shared" ref="A1639" ca="1" si="7105">INDIRECT("'update Helper'!C"&amp;U1639)</f>
        <v>a163p000002zQhaAAE</v>
      </c>
      <c r="B1639" s="674">
        <v>26</v>
      </c>
      <c r="C1639" s="666" t="str">
        <f>VLOOKUP(B1639,'Coverage Indicators - Section D'!$A$9:$AU$70,47,FALSE)</f>
        <v/>
      </c>
      <c r="D1639" s="676" t="str">
        <f t="shared" ref="D1639" si="7106">R1639</f>
        <v/>
      </c>
      <c r="E1639" s="676" t="str">
        <f t="shared" ref="E1639" si="7107">S1639</f>
        <v/>
      </c>
      <c r="F1639" s="194"/>
      <c r="G1639" s="668" t="str">
        <f t="shared" ref="G1639" ca="1" si="7108">IF(OR(INDIRECT("'update Helper'!E"&amp;U1639)=0,F1639&lt;&gt;0,F1640&lt;&gt;0),IF(IFERROR((F1639/F1640),"")="","",(F1639/F1640)),INDIRECT("'update Helper'!E"&amp;U1639)/100)</f>
        <v/>
      </c>
      <c r="H1639" s="670"/>
      <c r="I1639" s="672"/>
      <c r="J1639" s="651"/>
      <c r="K1639" s="666" t="str">
        <f t="shared" ref="K1639" si="7109">W1639</f>
        <v/>
      </c>
      <c r="L1639" s="666" t="str">
        <f t="shared" ref="L1639" si="7110">V1639</f>
        <v/>
      </c>
      <c r="M1639" s="651"/>
      <c r="N1639" s="651"/>
      <c r="P1639" s="189">
        <f t="shared" ref="P1639" si="7111">IF(AND(EXACT(C1639,C1637),C1637&lt;&gt;0),P1637+1,0)</f>
        <v>109</v>
      </c>
      <c r="Q1639" s="189" t="str">
        <f t="shared" ref="Q1639" si="7112">IF(C1639&lt;&gt;"",C1639&amp;"-"&amp;P1639,"")</f>
        <v/>
      </c>
      <c r="R1639" s="189" t="str">
        <f t="array" ref="R1639">IFERROR(IF(INDEX('Disaggregation Records'!$E$155:$E$385,MATCH(RIGHT(Q1639,255),RIGHT('Disaggregation Records'!$D$155:$D$385,255),0))=0,"",INDEX('Disaggregation Records'!$E$155:$E$385,MATCH(RIGHT(Q1639,255),RIGHT('Disaggregation Records'!$D$155:$D$385,255),0))),"")</f>
        <v/>
      </c>
      <c r="S1639" s="189" t="str">
        <f t="array" ref="S1639">IFERROR(IF(INDEX('Disaggregation Records'!$F$155:$F$385,MATCH(RIGHT(Q1639,255),RIGHT('Disaggregation Records'!$D$155:$D$385,255),0))=0,"",INDEX('Disaggregation Records'!$F$155:$F$385,MATCH(RIGHT(Q1639,255),RIGHT('Disaggregation Records'!$D$155:$D$385,255),0))),"")</f>
        <v/>
      </c>
      <c r="T1639" s="189" t="str">
        <f t="array" ref="T1639">IFERROR(IF(INDEX('Disaggregation Records'!$H$155:$H$385,MATCH(RIGHT(Q1639,255),RIGHT('Disaggregation Records'!$D$155:$D$385,255),0))=0,"",INDEX('Disaggregation Records'!$H$155:$H$385,MATCH(RIGHT(Q1639,255),RIGHT('Disaggregation Records'!$D$155:$D$385,255),0))),"")</f>
        <v/>
      </c>
      <c r="U1639" s="189">
        <f t="shared" ref="U1639" si="7113">U1637+1</f>
        <v>1921</v>
      </c>
      <c r="V1639" s="189" t="str">
        <f t="array" ref="V1639">IFERROR(IF(INDEX('Disaggregation Records'!$I$155:$I$385,MATCH(RIGHT(Q1639,255),RIGHT('Disaggregation Records'!$D$155:$D$385,255),0))=0,"",INDEX('Disaggregation Records'!$I$155:$I$385,MATCH(RIGHT(Q1639,255),RIGHT('Disaggregation Records'!$D$155:$D$385,255),0))),"")</f>
        <v/>
      </c>
      <c r="W1639" s="189" t="str">
        <f>IFERROR(INDEX('Reference Records'!L$59:L$121,MATCH(LEFT(C1639,255),'Reference Records'!E$59:E$121,0)),"")</f>
        <v/>
      </c>
    </row>
    <row r="1640" spans="1:23" s="189" customFormat="1" ht="40.200000000000003" customHeight="1" x14ac:dyDescent="0.3">
      <c r="A1640" s="678"/>
      <c r="B1640" s="675"/>
      <c r="C1640" s="667"/>
      <c r="D1640" s="677"/>
      <c r="E1640" s="677"/>
      <c r="F1640" s="202"/>
      <c r="G1640" s="669"/>
      <c r="H1640" s="671"/>
      <c r="I1640" s="673"/>
      <c r="J1640" s="652"/>
      <c r="K1640" s="667"/>
      <c r="L1640" s="667"/>
      <c r="M1640" s="652"/>
      <c r="N1640" s="652"/>
    </row>
    <row r="1641" spans="1:23" s="189" customFormat="1" ht="40.200000000000003" customHeight="1" x14ac:dyDescent="0.3">
      <c r="A1641" s="678" t="str">
        <f t="shared" ref="A1641" ca="1" si="7114">INDIRECT("'update Helper'!C"&amp;U1641)</f>
        <v>a163p000002zQhbAAE</v>
      </c>
      <c r="B1641" s="674">
        <v>26</v>
      </c>
      <c r="C1641" s="666" t="str">
        <f>VLOOKUP(B1641,'Coverage Indicators - Section D'!$A$9:$AU$70,47,FALSE)</f>
        <v/>
      </c>
      <c r="D1641" s="676" t="str">
        <f t="shared" ref="D1641" si="7115">R1641</f>
        <v/>
      </c>
      <c r="E1641" s="676" t="str">
        <f t="shared" ref="E1641" si="7116">S1641</f>
        <v/>
      </c>
      <c r="F1641" s="194"/>
      <c r="G1641" s="668" t="str">
        <f t="shared" ref="G1641" ca="1" si="7117">IF(OR(INDIRECT("'update Helper'!E"&amp;U1641)=0,F1641&lt;&gt;0,F1642&lt;&gt;0),IF(IFERROR((F1641/F1642),"")="","",(F1641/F1642)),INDIRECT("'update Helper'!E"&amp;U1641)/100)</f>
        <v/>
      </c>
      <c r="H1641" s="670"/>
      <c r="I1641" s="672"/>
      <c r="J1641" s="651"/>
      <c r="K1641" s="666" t="str">
        <f t="shared" ref="K1641" si="7118">W1641</f>
        <v/>
      </c>
      <c r="L1641" s="666" t="str">
        <f t="shared" ref="L1641" si="7119">V1641</f>
        <v/>
      </c>
      <c r="M1641" s="651"/>
      <c r="N1641" s="651"/>
      <c r="P1641" s="189">
        <f t="shared" ref="P1641" si="7120">IF(AND(EXACT(C1641,C1639),C1639&lt;&gt;0),P1639+1,0)</f>
        <v>110</v>
      </c>
      <c r="Q1641" s="189" t="str">
        <f t="shared" ref="Q1641" si="7121">IF(C1641&lt;&gt;"",C1641&amp;"-"&amp;P1641,"")</f>
        <v/>
      </c>
      <c r="R1641" s="189" t="str">
        <f t="array" ref="R1641">IFERROR(IF(INDEX('Disaggregation Records'!$E$155:$E$385,MATCH(RIGHT(Q1641,255),RIGHT('Disaggregation Records'!$D$155:$D$385,255),0))=0,"",INDEX('Disaggregation Records'!$E$155:$E$385,MATCH(RIGHT(Q1641,255),RIGHT('Disaggregation Records'!$D$155:$D$385,255),0))),"")</f>
        <v/>
      </c>
      <c r="S1641" s="189" t="str">
        <f t="array" ref="S1641">IFERROR(IF(INDEX('Disaggregation Records'!$F$155:$F$385,MATCH(RIGHT(Q1641,255),RIGHT('Disaggregation Records'!$D$155:$D$385,255),0))=0,"",INDEX('Disaggregation Records'!$F$155:$F$385,MATCH(RIGHT(Q1641,255),RIGHT('Disaggregation Records'!$D$155:$D$385,255),0))),"")</f>
        <v/>
      </c>
      <c r="T1641" s="189" t="str">
        <f t="array" ref="T1641">IFERROR(IF(INDEX('Disaggregation Records'!$H$155:$H$385,MATCH(RIGHT(Q1641,255),RIGHT('Disaggregation Records'!$D$155:$D$385,255),0))=0,"",INDEX('Disaggregation Records'!$H$155:$H$385,MATCH(RIGHT(Q1641,255),RIGHT('Disaggregation Records'!$D$155:$D$385,255),0))),"")</f>
        <v/>
      </c>
      <c r="U1641" s="189">
        <f t="shared" ref="U1641" si="7122">U1639+1</f>
        <v>1922</v>
      </c>
      <c r="V1641" s="189" t="str">
        <f t="array" ref="V1641">IFERROR(IF(INDEX('Disaggregation Records'!$I$155:$I$385,MATCH(RIGHT(Q1641,255),RIGHT('Disaggregation Records'!$D$155:$D$385,255),0))=0,"",INDEX('Disaggregation Records'!$I$155:$I$385,MATCH(RIGHT(Q1641,255),RIGHT('Disaggregation Records'!$D$155:$D$385,255),0))),"")</f>
        <v/>
      </c>
      <c r="W1641" s="189" t="str">
        <f>IFERROR(INDEX('Reference Records'!L$59:L$121,MATCH(LEFT(C1641,255),'Reference Records'!E$59:E$121,0)),"")</f>
        <v/>
      </c>
    </row>
    <row r="1642" spans="1:23" s="189" customFormat="1" ht="40.200000000000003" customHeight="1" x14ac:dyDescent="0.3">
      <c r="A1642" s="678"/>
      <c r="B1642" s="675"/>
      <c r="C1642" s="667"/>
      <c r="D1642" s="677"/>
      <c r="E1642" s="677"/>
      <c r="F1642" s="202"/>
      <c r="G1642" s="669"/>
      <c r="H1642" s="671"/>
      <c r="I1642" s="673"/>
      <c r="J1642" s="652"/>
      <c r="K1642" s="667"/>
      <c r="L1642" s="667"/>
      <c r="M1642" s="652"/>
      <c r="N1642" s="652"/>
    </row>
    <row r="1643" spans="1:23" s="189" customFormat="1" ht="40.200000000000003" customHeight="1" x14ac:dyDescent="0.3">
      <c r="A1643" s="678" t="str">
        <f t="shared" ref="A1643" ca="1" si="7123">INDIRECT("'update Helper'!C"&amp;U1643)</f>
        <v>a163p000002zQhcAAE</v>
      </c>
      <c r="B1643" s="674">
        <v>26</v>
      </c>
      <c r="C1643" s="666" t="str">
        <f>VLOOKUP(B1643,'Coverage Indicators - Section D'!$A$9:$AU$70,47,FALSE)</f>
        <v/>
      </c>
      <c r="D1643" s="676" t="str">
        <f t="shared" ref="D1643" si="7124">R1643</f>
        <v/>
      </c>
      <c r="E1643" s="676" t="str">
        <f t="shared" ref="E1643" si="7125">S1643</f>
        <v/>
      </c>
      <c r="F1643" s="194"/>
      <c r="G1643" s="668" t="str">
        <f t="shared" ref="G1643" ca="1" si="7126">IF(OR(INDIRECT("'update Helper'!E"&amp;U1643)=0,F1643&lt;&gt;0,F1644&lt;&gt;0),IF(IFERROR((F1643/F1644),"")="","",(F1643/F1644)),INDIRECT("'update Helper'!E"&amp;U1643)/100)</f>
        <v/>
      </c>
      <c r="H1643" s="670"/>
      <c r="I1643" s="672"/>
      <c r="J1643" s="651"/>
      <c r="K1643" s="666" t="str">
        <f t="shared" ref="K1643" si="7127">W1643</f>
        <v/>
      </c>
      <c r="L1643" s="666" t="str">
        <f t="shared" ref="L1643" si="7128">V1643</f>
        <v/>
      </c>
      <c r="M1643" s="651"/>
      <c r="N1643" s="651"/>
      <c r="P1643" s="189">
        <f t="shared" ref="P1643" si="7129">IF(AND(EXACT(C1643,C1641),C1641&lt;&gt;0),P1641+1,0)</f>
        <v>111</v>
      </c>
      <c r="Q1643" s="189" t="str">
        <f t="shared" ref="Q1643" si="7130">IF(C1643&lt;&gt;"",C1643&amp;"-"&amp;P1643,"")</f>
        <v/>
      </c>
      <c r="R1643" s="189" t="str">
        <f t="array" ref="R1643">IFERROR(IF(INDEX('Disaggregation Records'!$E$155:$E$385,MATCH(RIGHT(Q1643,255),RIGHT('Disaggregation Records'!$D$155:$D$385,255),0))=0,"",INDEX('Disaggregation Records'!$E$155:$E$385,MATCH(RIGHT(Q1643,255),RIGHT('Disaggregation Records'!$D$155:$D$385,255),0))),"")</f>
        <v/>
      </c>
      <c r="S1643" s="189" t="str">
        <f t="array" ref="S1643">IFERROR(IF(INDEX('Disaggregation Records'!$F$155:$F$385,MATCH(RIGHT(Q1643,255),RIGHT('Disaggregation Records'!$D$155:$D$385,255),0))=0,"",INDEX('Disaggregation Records'!$F$155:$F$385,MATCH(RIGHT(Q1643,255),RIGHT('Disaggregation Records'!$D$155:$D$385,255),0))),"")</f>
        <v/>
      </c>
      <c r="T1643" s="189" t="str">
        <f t="array" ref="T1643">IFERROR(IF(INDEX('Disaggregation Records'!$H$155:$H$385,MATCH(RIGHT(Q1643,255),RIGHT('Disaggregation Records'!$D$155:$D$385,255),0))=0,"",INDEX('Disaggregation Records'!$H$155:$H$385,MATCH(RIGHT(Q1643,255),RIGHT('Disaggregation Records'!$D$155:$D$385,255),0))),"")</f>
        <v/>
      </c>
      <c r="U1643" s="189">
        <f t="shared" ref="U1643" si="7131">U1641+1</f>
        <v>1923</v>
      </c>
      <c r="V1643" s="189" t="str">
        <f t="array" ref="V1643">IFERROR(IF(INDEX('Disaggregation Records'!$I$155:$I$385,MATCH(RIGHT(Q1643,255),RIGHT('Disaggregation Records'!$D$155:$D$385,255),0))=0,"",INDEX('Disaggregation Records'!$I$155:$I$385,MATCH(RIGHT(Q1643,255),RIGHT('Disaggregation Records'!$D$155:$D$385,255),0))),"")</f>
        <v/>
      </c>
      <c r="W1643" s="189" t="str">
        <f>IFERROR(INDEX('Reference Records'!L$59:L$121,MATCH(LEFT(C1643,255),'Reference Records'!E$59:E$121,0)),"")</f>
        <v/>
      </c>
    </row>
    <row r="1644" spans="1:23" s="189" customFormat="1" ht="40.200000000000003" customHeight="1" x14ac:dyDescent="0.3">
      <c r="A1644" s="678"/>
      <c r="B1644" s="675"/>
      <c r="C1644" s="667"/>
      <c r="D1644" s="677"/>
      <c r="E1644" s="677"/>
      <c r="F1644" s="202"/>
      <c r="G1644" s="669"/>
      <c r="H1644" s="671"/>
      <c r="I1644" s="673"/>
      <c r="J1644" s="652"/>
      <c r="K1644" s="667"/>
      <c r="L1644" s="667"/>
      <c r="M1644" s="652"/>
      <c r="N1644" s="652"/>
    </row>
    <row r="1645" spans="1:23" s="189" customFormat="1" ht="40.200000000000003" customHeight="1" x14ac:dyDescent="0.3">
      <c r="A1645" s="678" t="str">
        <f t="shared" ref="A1645" ca="1" si="7132">INDIRECT("'update Helper'!C"&amp;U1645)</f>
        <v>a163p000002zQhdAAE</v>
      </c>
      <c r="B1645" s="674">
        <v>26</v>
      </c>
      <c r="C1645" s="666" t="str">
        <f>VLOOKUP(B1645,'Coverage Indicators - Section D'!$A$9:$AU$70,47,FALSE)</f>
        <v/>
      </c>
      <c r="D1645" s="676" t="str">
        <f t="shared" ref="D1645" si="7133">R1645</f>
        <v/>
      </c>
      <c r="E1645" s="676" t="str">
        <f t="shared" ref="E1645" si="7134">S1645</f>
        <v/>
      </c>
      <c r="F1645" s="194"/>
      <c r="G1645" s="668" t="str">
        <f t="shared" ref="G1645" ca="1" si="7135">IF(OR(INDIRECT("'update Helper'!E"&amp;U1645)=0,F1645&lt;&gt;0,F1646&lt;&gt;0),IF(IFERROR((F1645/F1646),"")="","",(F1645/F1646)),INDIRECT("'update Helper'!E"&amp;U1645)/100)</f>
        <v/>
      </c>
      <c r="H1645" s="670"/>
      <c r="I1645" s="672"/>
      <c r="J1645" s="651"/>
      <c r="K1645" s="666" t="str">
        <f t="shared" ref="K1645" si="7136">W1645</f>
        <v/>
      </c>
      <c r="L1645" s="666" t="str">
        <f t="shared" ref="L1645" si="7137">V1645</f>
        <v/>
      </c>
      <c r="M1645" s="651"/>
      <c r="N1645" s="651"/>
      <c r="P1645" s="189">
        <f t="shared" ref="P1645" si="7138">IF(AND(EXACT(C1645,C1643),C1643&lt;&gt;0),P1643+1,0)</f>
        <v>112</v>
      </c>
      <c r="Q1645" s="189" t="str">
        <f t="shared" ref="Q1645" si="7139">IF(C1645&lt;&gt;"",C1645&amp;"-"&amp;P1645,"")</f>
        <v/>
      </c>
      <c r="R1645" s="189" t="str">
        <f t="array" ref="R1645">IFERROR(IF(INDEX('Disaggregation Records'!$E$155:$E$385,MATCH(RIGHT(Q1645,255),RIGHT('Disaggregation Records'!$D$155:$D$385,255),0))=0,"",INDEX('Disaggregation Records'!$E$155:$E$385,MATCH(RIGHT(Q1645,255),RIGHT('Disaggregation Records'!$D$155:$D$385,255),0))),"")</f>
        <v/>
      </c>
      <c r="S1645" s="189" t="str">
        <f t="array" ref="S1645">IFERROR(IF(INDEX('Disaggregation Records'!$F$155:$F$385,MATCH(RIGHT(Q1645,255),RIGHT('Disaggregation Records'!$D$155:$D$385,255),0))=0,"",INDEX('Disaggregation Records'!$F$155:$F$385,MATCH(RIGHT(Q1645,255),RIGHT('Disaggregation Records'!$D$155:$D$385,255),0))),"")</f>
        <v/>
      </c>
      <c r="T1645" s="189" t="str">
        <f t="array" ref="T1645">IFERROR(IF(INDEX('Disaggregation Records'!$H$155:$H$385,MATCH(RIGHT(Q1645,255),RIGHT('Disaggregation Records'!$D$155:$D$385,255),0))=0,"",INDEX('Disaggregation Records'!$H$155:$H$385,MATCH(RIGHT(Q1645,255),RIGHT('Disaggregation Records'!$D$155:$D$385,255),0))),"")</f>
        <v/>
      </c>
      <c r="U1645" s="189">
        <f t="shared" ref="U1645" si="7140">U1643+1</f>
        <v>1924</v>
      </c>
      <c r="V1645" s="189" t="str">
        <f t="array" ref="V1645">IFERROR(IF(INDEX('Disaggregation Records'!$I$155:$I$385,MATCH(RIGHT(Q1645,255),RIGHT('Disaggregation Records'!$D$155:$D$385,255),0))=0,"",INDEX('Disaggregation Records'!$I$155:$I$385,MATCH(RIGHT(Q1645,255),RIGHT('Disaggregation Records'!$D$155:$D$385,255),0))),"")</f>
        <v/>
      </c>
      <c r="W1645" s="189" t="str">
        <f>IFERROR(INDEX('Reference Records'!L$59:L$121,MATCH(LEFT(C1645,255),'Reference Records'!E$59:E$121,0)),"")</f>
        <v/>
      </c>
    </row>
    <row r="1646" spans="1:23" s="189" customFormat="1" ht="40.200000000000003" customHeight="1" x14ac:dyDescent="0.3">
      <c r="A1646" s="678"/>
      <c r="B1646" s="675"/>
      <c r="C1646" s="667"/>
      <c r="D1646" s="677"/>
      <c r="E1646" s="677"/>
      <c r="F1646" s="202"/>
      <c r="G1646" s="669"/>
      <c r="H1646" s="671"/>
      <c r="I1646" s="673"/>
      <c r="J1646" s="652"/>
      <c r="K1646" s="667"/>
      <c r="L1646" s="667"/>
      <c r="M1646" s="652"/>
      <c r="N1646" s="652"/>
    </row>
    <row r="1647" spans="1:23" s="189" customFormat="1" ht="40.200000000000003" customHeight="1" x14ac:dyDescent="0.3">
      <c r="A1647" s="678" t="str">
        <f t="shared" ref="A1647" ca="1" si="7141">INDIRECT("'update Helper'!C"&amp;U1647)</f>
        <v>a163p000002zQheAAE</v>
      </c>
      <c r="B1647" s="674">
        <v>26</v>
      </c>
      <c r="C1647" s="666" t="str">
        <f>VLOOKUP(B1647,'Coverage Indicators - Section D'!$A$9:$AU$70,47,FALSE)</f>
        <v/>
      </c>
      <c r="D1647" s="676" t="str">
        <f t="shared" ref="D1647" si="7142">R1647</f>
        <v/>
      </c>
      <c r="E1647" s="676" t="str">
        <f t="shared" ref="E1647" si="7143">S1647</f>
        <v/>
      </c>
      <c r="F1647" s="194"/>
      <c r="G1647" s="668" t="str">
        <f t="shared" ref="G1647" ca="1" si="7144">IF(OR(INDIRECT("'update Helper'!E"&amp;U1647)=0,F1647&lt;&gt;0,F1648&lt;&gt;0),IF(IFERROR((F1647/F1648),"")="","",(F1647/F1648)),INDIRECT("'update Helper'!E"&amp;U1647)/100)</f>
        <v/>
      </c>
      <c r="H1647" s="670"/>
      <c r="I1647" s="672"/>
      <c r="J1647" s="651"/>
      <c r="K1647" s="666" t="str">
        <f t="shared" ref="K1647" si="7145">W1647</f>
        <v/>
      </c>
      <c r="L1647" s="666" t="str">
        <f t="shared" ref="L1647" si="7146">V1647</f>
        <v/>
      </c>
      <c r="M1647" s="651"/>
      <c r="N1647" s="651"/>
      <c r="P1647" s="189">
        <f t="shared" ref="P1647" si="7147">IF(AND(EXACT(C1647,C1645),C1645&lt;&gt;0),P1645+1,0)</f>
        <v>113</v>
      </c>
      <c r="Q1647" s="189" t="str">
        <f t="shared" ref="Q1647" si="7148">IF(C1647&lt;&gt;"",C1647&amp;"-"&amp;P1647,"")</f>
        <v/>
      </c>
      <c r="R1647" s="189" t="str">
        <f t="array" ref="R1647">IFERROR(IF(INDEX('Disaggregation Records'!$E$155:$E$385,MATCH(RIGHT(Q1647,255),RIGHT('Disaggregation Records'!$D$155:$D$385,255),0))=0,"",INDEX('Disaggregation Records'!$E$155:$E$385,MATCH(RIGHT(Q1647,255),RIGHT('Disaggregation Records'!$D$155:$D$385,255),0))),"")</f>
        <v/>
      </c>
      <c r="S1647" s="189" t="str">
        <f t="array" ref="S1647">IFERROR(IF(INDEX('Disaggregation Records'!$F$155:$F$385,MATCH(RIGHT(Q1647,255),RIGHT('Disaggregation Records'!$D$155:$D$385,255),0))=0,"",INDEX('Disaggregation Records'!$F$155:$F$385,MATCH(RIGHT(Q1647,255),RIGHT('Disaggregation Records'!$D$155:$D$385,255),0))),"")</f>
        <v/>
      </c>
      <c r="T1647" s="189" t="str">
        <f t="array" ref="T1647">IFERROR(IF(INDEX('Disaggregation Records'!$H$155:$H$385,MATCH(RIGHT(Q1647,255),RIGHT('Disaggregation Records'!$D$155:$D$385,255),0))=0,"",INDEX('Disaggregation Records'!$H$155:$H$385,MATCH(RIGHT(Q1647,255),RIGHT('Disaggregation Records'!$D$155:$D$385,255),0))),"")</f>
        <v/>
      </c>
      <c r="U1647" s="189">
        <f t="shared" ref="U1647" si="7149">U1645+1</f>
        <v>1925</v>
      </c>
      <c r="V1647" s="189" t="str">
        <f t="array" ref="V1647">IFERROR(IF(INDEX('Disaggregation Records'!$I$155:$I$385,MATCH(RIGHT(Q1647,255),RIGHT('Disaggregation Records'!$D$155:$D$385,255),0))=0,"",INDEX('Disaggregation Records'!$I$155:$I$385,MATCH(RIGHT(Q1647,255),RIGHT('Disaggregation Records'!$D$155:$D$385,255),0))),"")</f>
        <v/>
      </c>
      <c r="W1647" s="189" t="str">
        <f>IFERROR(INDEX('Reference Records'!L$59:L$121,MATCH(LEFT(C1647,255),'Reference Records'!E$59:E$121,0)),"")</f>
        <v/>
      </c>
    </row>
    <row r="1648" spans="1:23" s="189" customFormat="1" ht="40.200000000000003" customHeight="1" x14ac:dyDescent="0.3">
      <c r="A1648" s="678"/>
      <c r="B1648" s="675"/>
      <c r="C1648" s="667"/>
      <c r="D1648" s="677"/>
      <c r="E1648" s="677"/>
      <c r="F1648" s="202"/>
      <c r="G1648" s="669"/>
      <c r="H1648" s="671"/>
      <c r="I1648" s="673"/>
      <c r="J1648" s="652"/>
      <c r="K1648" s="667"/>
      <c r="L1648" s="667"/>
      <c r="M1648" s="652"/>
      <c r="N1648" s="652"/>
    </row>
    <row r="1649" spans="1:23" s="189" customFormat="1" ht="40.200000000000003" customHeight="1" x14ac:dyDescent="0.3">
      <c r="A1649" s="678" t="str">
        <f t="shared" ref="A1649" ca="1" si="7150">INDIRECT("'update Helper'!C"&amp;U1649)</f>
        <v>a163p000002zQhfAAE</v>
      </c>
      <c r="B1649" s="674">
        <v>26</v>
      </c>
      <c r="C1649" s="666" t="str">
        <f>VLOOKUP(B1649,'Coverage Indicators - Section D'!$A$9:$AU$70,47,FALSE)</f>
        <v/>
      </c>
      <c r="D1649" s="676" t="str">
        <f t="shared" ref="D1649" si="7151">R1649</f>
        <v/>
      </c>
      <c r="E1649" s="676" t="str">
        <f t="shared" ref="E1649" si="7152">S1649</f>
        <v/>
      </c>
      <c r="F1649" s="194"/>
      <c r="G1649" s="668" t="str">
        <f t="shared" ref="G1649" ca="1" si="7153">IF(OR(INDIRECT("'update Helper'!E"&amp;U1649)=0,F1649&lt;&gt;0,F1650&lt;&gt;0),IF(IFERROR((F1649/F1650),"")="","",(F1649/F1650)),INDIRECT("'update Helper'!E"&amp;U1649)/100)</f>
        <v/>
      </c>
      <c r="H1649" s="670"/>
      <c r="I1649" s="672"/>
      <c r="J1649" s="651"/>
      <c r="K1649" s="666" t="str">
        <f t="shared" ref="K1649" si="7154">W1649</f>
        <v/>
      </c>
      <c r="L1649" s="666" t="str">
        <f t="shared" ref="L1649" si="7155">V1649</f>
        <v/>
      </c>
      <c r="M1649" s="651"/>
      <c r="N1649" s="651"/>
      <c r="P1649" s="189">
        <f t="shared" ref="P1649" si="7156">IF(AND(EXACT(C1649,C1647),C1647&lt;&gt;0),P1647+1,0)</f>
        <v>114</v>
      </c>
      <c r="Q1649" s="189" t="str">
        <f t="shared" ref="Q1649" si="7157">IF(C1649&lt;&gt;"",C1649&amp;"-"&amp;P1649,"")</f>
        <v/>
      </c>
      <c r="R1649" s="189" t="str">
        <f t="array" ref="R1649">IFERROR(IF(INDEX('Disaggregation Records'!$E$155:$E$385,MATCH(RIGHT(Q1649,255),RIGHT('Disaggregation Records'!$D$155:$D$385,255),0))=0,"",INDEX('Disaggregation Records'!$E$155:$E$385,MATCH(RIGHT(Q1649,255),RIGHT('Disaggregation Records'!$D$155:$D$385,255),0))),"")</f>
        <v/>
      </c>
      <c r="S1649" s="189" t="str">
        <f t="array" ref="S1649">IFERROR(IF(INDEX('Disaggregation Records'!$F$155:$F$385,MATCH(RIGHT(Q1649,255),RIGHT('Disaggregation Records'!$D$155:$D$385,255),0))=0,"",INDEX('Disaggregation Records'!$F$155:$F$385,MATCH(RIGHT(Q1649,255),RIGHT('Disaggregation Records'!$D$155:$D$385,255),0))),"")</f>
        <v/>
      </c>
      <c r="T1649" s="189" t="str">
        <f t="array" ref="T1649">IFERROR(IF(INDEX('Disaggregation Records'!$H$155:$H$385,MATCH(RIGHT(Q1649,255),RIGHT('Disaggregation Records'!$D$155:$D$385,255),0))=0,"",INDEX('Disaggregation Records'!$H$155:$H$385,MATCH(RIGHT(Q1649,255),RIGHT('Disaggregation Records'!$D$155:$D$385,255),0))),"")</f>
        <v/>
      </c>
      <c r="U1649" s="189">
        <f t="shared" ref="U1649" si="7158">U1647+1</f>
        <v>1926</v>
      </c>
      <c r="V1649" s="189" t="str">
        <f t="array" ref="V1649">IFERROR(IF(INDEX('Disaggregation Records'!$I$155:$I$385,MATCH(RIGHT(Q1649,255),RIGHT('Disaggregation Records'!$D$155:$D$385,255),0))=0,"",INDEX('Disaggregation Records'!$I$155:$I$385,MATCH(RIGHT(Q1649,255),RIGHT('Disaggregation Records'!$D$155:$D$385,255),0))),"")</f>
        <v/>
      </c>
      <c r="W1649" s="189" t="str">
        <f>IFERROR(INDEX('Reference Records'!L$59:L$121,MATCH(LEFT(C1649,255),'Reference Records'!E$59:E$121,0)),"")</f>
        <v/>
      </c>
    </row>
    <row r="1650" spans="1:23" s="189" customFormat="1" ht="40.200000000000003" customHeight="1" x14ac:dyDescent="0.3">
      <c r="A1650" s="678"/>
      <c r="B1650" s="675"/>
      <c r="C1650" s="667"/>
      <c r="D1650" s="677"/>
      <c r="E1650" s="677"/>
      <c r="F1650" s="202"/>
      <c r="G1650" s="669"/>
      <c r="H1650" s="671"/>
      <c r="I1650" s="673"/>
      <c r="J1650" s="652"/>
      <c r="K1650" s="667"/>
      <c r="L1650" s="667"/>
      <c r="M1650" s="652"/>
      <c r="N1650" s="652"/>
    </row>
    <row r="1651" spans="1:23" s="189" customFormat="1" ht="40.200000000000003" customHeight="1" x14ac:dyDescent="0.3">
      <c r="A1651" s="678" t="str">
        <f t="shared" ref="A1651" ca="1" si="7159">INDIRECT("'update Helper'!C"&amp;U1651)</f>
        <v>a163p000002zQhgAAE</v>
      </c>
      <c r="B1651" s="674">
        <v>26</v>
      </c>
      <c r="C1651" s="666" t="str">
        <f>VLOOKUP(B1651,'Coverage Indicators - Section D'!$A$9:$AU$70,47,FALSE)</f>
        <v/>
      </c>
      <c r="D1651" s="676" t="str">
        <f t="shared" ref="D1651" si="7160">R1651</f>
        <v/>
      </c>
      <c r="E1651" s="676" t="str">
        <f t="shared" ref="E1651" si="7161">S1651</f>
        <v/>
      </c>
      <c r="F1651" s="194"/>
      <c r="G1651" s="668" t="str">
        <f t="shared" ref="G1651" ca="1" si="7162">IF(OR(INDIRECT("'update Helper'!E"&amp;U1651)=0,F1651&lt;&gt;0,F1652&lt;&gt;0),IF(IFERROR((F1651/F1652),"")="","",(F1651/F1652)),INDIRECT("'update Helper'!E"&amp;U1651)/100)</f>
        <v/>
      </c>
      <c r="H1651" s="670"/>
      <c r="I1651" s="672"/>
      <c r="J1651" s="651"/>
      <c r="K1651" s="666" t="str">
        <f t="shared" ref="K1651" si="7163">W1651</f>
        <v/>
      </c>
      <c r="L1651" s="666" t="str">
        <f t="shared" ref="L1651" si="7164">V1651</f>
        <v/>
      </c>
      <c r="M1651" s="651"/>
      <c r="N1651" s="651"/>
      <c r="P1651" s="189">
        <f t="shared" ref="P1651" si="7165">IF(AND(EXACT(C1651,C1649),C1649&lt;&gt;0),P1649+1,0)</f>
        <v>115</v>
      </c>
      <c r="Q1651" s="189" t="str">
        <f t="shared" ref="Q1651" si="7166">IF(C1651&lt;&gt;"",C1651&amp;"-"&amp;P1651,"")</f>
        <v/>
      </c>
      <c r="R1651" s="189" t="str">
        <f t="array" ref="R1651">IFERROR(IF(INDEX('Disaggregation Records'!$E$155:$E$385,MATCH(RIGHT(Q1651,255),RIGHT('Disaggregation Records'!$D$155:$D$385,255),0))=0,"",INDEX('Disaggregation Records'!$E$155:$E$385,MATCH(RIGHT(Q1651,255),RIGHT('Disaggregation Records'!$D$155:$D$385,255),0))),"")</f>
        <v/>
      </c>
      <c r="S1651" s="189" t="str">
        <f t="array" ref="S1651">IFERROR(IF(INDEX('Disaggregation Records'!$F$155:$F$385,MATCH(RIGHT(Q1651,255),RIGHT('Disaggregation Records'!$D$155:$D$385,255),0))=0,"",INDEX('Disaggregation Records'!$F$155:$F$385,MATCH(RIGHT(Q1651,255),RIGHT('Disaggregation Records'!$D$155:$D$385,255),0))),"")</f>
        <v/>
      </c>
      <c r="T1651" s="189" t="str">
        <f t="array" ref="T1651">IFERROR(IF(INDEX('Disaggregation Records'!$H$155:$H$385,MATCH(RIGHT(Q1651,255),RIGHT('Disaggregation Records'!$D$155:$D$385,255),0))=0,"",INDEX('Disaggregation Records'!$H$155:$H$385,MATCH(RIGHT(Q1651,255),RIGHT('Disaggregation Records'!$D$155:$D$385,255),0))),"")</f>
        <v/>
      </c>
      <c r="U1651" s="189">
        <f t="shared" ref="U1651" si="7167">U1649+1</f>
        <v>1927</v>
      </c>
      <c r="V1651" s="189" t="str">
        <f t="array" ref="V1651">IFERROR(IF(INDEX('Disaggregation Records'!$I$155:$I$385,MATCH(RIGHT(Q1651,255),RIGHT('Disaggregation Records'!$D$155:$D$385,255),0))=0,"",INDEX('Disaggregation Records'!$I$155:$I$385,MATCH(RIGHT(Q1651,255),RIGHT('Disaggregation Records'!$D$155:$D$385,255),0))),"")</f>
        <v/>
      </c>
      <c r="W1651" s="189" t="str">
        <f>IFERROR(INDEX('Reference Records'!L$59:L$121,MATCH(LEFT(C1651,255),'Reference Records'!E$59:E$121,0)),"")</f>
        <v/>
      </c>
    </row>
    <row r="1652" spans="1:23" s="189" customFormat="1" ht="40.200000000000003" customHeight="1" x14ac:dyDescent="0.3">
      <c r="A1652" s="678"/>
      <c r="B1652" s="675"/>
      <c r="C1652" s="667"/>
      <c r="D1652" s="677"/>
      <c r="E1652" s="677"/>
      <c r="F1652" s="202"/>
      <c r="G1652" s="669"/>
      <c r="H1652" s="671"/>
      <c r="I1652" s="673"/>
      <c r="J1652" s="652"/>
      <c r="K1652" s="667"/>
      <c r="L1652" s="667"/>
      <c r="M1652" s="652"/>
      <c r="N1652" s="652"/>
    </row>
    <row r="1653" spans="1:23" s="189" customFormat="1" ht="40.200000000000003" customHeight="1" x14ac:dyDescent="0.3">
      <c r="A1653" s="678" t="str">
        <f t="shared" ref="A1653" ca="1" si="7168">INDIRECT("'update Helper'!C"&amp;U1653)</f>
        <v>a163p000002zQhhAAE</v>
      </c>
      <c r="B1653" s="674">
        <v>26</v>
      </c>
      <c r="C1653" s="666" t="str">
        <f>VLOOKUP(B1653,'Coverage Indicators - Section D'!$A$9:$AU$70,47,FALSE)</f>
        <v/>
      </c>
      <c r="D1653" s="676" t="str">
        <f t="shared" ref="D1653" si="7169">R1653</f>
        <v/>
      </c>
      <c r="E1653" s="676" t="str">
        <f t="shared" ref="E1653" si="7170">S1653</f>
        <v/>
      </c>
      <c r="F1653" s="194"/>
      <c r="G1653" s="668" t="str">
        <f t="shared" ref="G1653" ca="1" si="7171">IF(OR(INDIRECT("'update Helper'!E"&amp;U1653)=0,F1653&lt;&gt;0,F1654&lt;&gt;0),IF(IFERROR((F1653/F1654),"")="","",(F1653/F1654)),INDIRECT("'update Helper'!E"&amp;U1653)/100)</f>
        <v/>
      </c>
      <c r="H1653" s="670"/>
      <c r="I1653" s="672"/>
      <c r="J1653" s="651"/>
      <c r="K1653" s="666" t="str">
        <f t="shared" ref="K1653" si="7172">W1653</f>
        <v/>
      </c>
      <c r="L1653" s="666" t="str">
        <f t="shared" ref="L1653" si="7173">V1653</f>
        <v/>
      </c>
      <c r="M1653" s="651"/>
      <c r="N1653" s="651"/>
      <c r="P1653" s="189">
        <f t="shared" ref="P1653" si="7174">IF(AND(EXACT(C1653,C1651),C1651&lt;&gt;0),P1651+1,0)</f>
        <v>116</v>
      </c>
      <c r="Q1653" s="189" t="str">
        <f t="shared" ref="Q1653" si="7175">IF(C1653&lt;&gt;"",C1653&amp;"-"&amp;P1653,"")</f>
        <v/>
      </c>
      <c r="R1653" s="189" t="str">
        <f t="array" ref="R1653">IFERROR(IF(INDEX('Disaggregation Records'!$E$155:$E$385,MATCH(RIGHT(Q1653,255),RIGHT('Disaggregation Records'!$D$155:$D$385,255),0))=0,"",INDEX('Disaggregation Records'!$E$155:$E$385,MATCH(RIGHT(Q1653,255),RIGHT('Disaggregation Records'!$D$155:$D$385,255),0))),"")</f>
        <v/>
      </c>
      <c r="S1653" s="189" t="str">
        <f t="array" ref="S1653">IFERROR(IF(INDEX('Disaggregation Records'!$F$155:$F$385,MATCH(RIGHT(Q1653,255),RIGHT('Disaggregation Records'!$D$155:$D$385,255),0))=0,"",INDEX('Disaggregation Records'!$F$155:$F$385,MATCH(RIGHT(Q1653,255),RIGHT('Disaggregation Records'!$D$155:$D$385,255),0))),"")</f>
        <v/>
      </c>
      <c r="T1653" s="189" t="str">
        <f t="array" ref="T1653">IFERROR(IF(INDEX('Disaggregation Records'!$H$155:$H$385,MATCH(RIGHT(Q1653,255),RIGHT('Disaggregation Records'!$D$155:$D$385,255),0))=0,"",INDEX('Disaggregation Records'!$H$155:$H$385,MATCH(RIGHT(Q1653,255),RIGHT('Disaggregation Records'!$D$155:$D$385,255),0))),"")</f>
        <v/>
      </c>
      <c r="U1653" s="189">
        <f t="shared" ref="U1653" si="7176">U1651+1</f>
        <v>1928</v>
      </c>
      <c r="V1653" s="189" t="str">
        <f t="array" ref="V1653">IFERROR(IF(INDEX('Disaggregation Records'!$I$155:$I$385,MATCH(RIGHT(Q1653,255),RIGHT('Disaggregation Records'!$D$155:$D$385,255),0))=0,"",INDEX('Disaggregation Records'!$I$155:$I$385,MATCH(RIGHT(Q1653,255),RIGHT('Disaggregation Records'!$D$155:$D$385,255),0))),"")</f>
        <v/>
      </c>
      <c r="W1653" s="189" t="str">
        <f>IFERROR(INDEX('Reference Records'!L$59:L$121,MATCH(LEFT(C1653,255),'Reference Records'!E$59:E$121,0)),"")</f>
        <v/>
      </c>
    </row>
    <row r="1654" spans="1:23" s="189" customFormat="1" ht="40.200000000000003" customHeight="1" x14ac:dyDescent="0.3">
      <c r="A1654" s="678"/>
      <c r="B1654" s="675"/>
      <c r="C1654" s="667"/>
      <c r="D1654" s="677"/>
      <c r="E1654" s="677"/>
      <c r="F1654" s="202"/>
      <c r="G1654" s="669"/>
      <c r="H1654" s="671"/>
      <c r="I1654" s="673"/>
      <c r="J1654" s="652"/>
      <c r="K1654" s="667"/>
      <c r="L1654" s="667"/>
      <c r="M1654" s="652"/>
      <c r="N1654" s="652"/>
    </row>
    <row r="1655" spans="1:23" s="189" customFormat="1" ht="40.200000000000003" customHeight="1" x14ac:dyDescent="0.3">
      <c r="A1655" s="678" t="str">
        <f t="shared" ref="A1655" ca="1" si="7177">INDIRECT("'update Helper'!C"&amp;U1655)</f>
        <v>a163p000002zQhiAAE</v>
      </c>
      <c r="B1655" s="674">
        <v>26</v>
      </c>
      <c r="C1655" s="666" t="str">
        <f>VLOOKUP(B1655,'Coverage Indicators - Section D'!$A$9:$AU$70,47,FALSE)</f>
        <v/>
      </c>
      <c r="D1655" s="676" t="str">
        <f t="shared" ref="D1655" si="7178">R1655</f>
        <v/>
      </c>
      <c r="E1655" s="676" t="str">
        <f t="shared" ref="E1655" si="7179">S1655</f>
        <v/>
      </c>
      <c r="F1655" s="194"/>
      <c r="G1655" s="668" t="str">
        <f t="shared" ref="G1655" ca="1" si="7180">IF(OR(INDIRECT("'update Helper'!E"&amp;U1655)=0,F1655&lt;&gt;0,F1656&lt;&gt;0),IF(IFERROR((F1655/F1656),"")="","",(F1655/F1656)),INDIRECT("'update Helper'!E"&amp;U1655)/100)</f>
        <v/>
      </c>
      <c r="H1655" s="670"/>
      <c r="I1655" s="672"/>
      <c r="J1655" s="651"/>
      <c r="K1655" s="666" t="str">
        <f t="shared" ref="K1655" si="7181">W1655</f>
        <v/>
      </c>
      <c r="L1655" s="666" t="str">
        <f t="shared" ref="L1655" si="7182">V1655</f>
        <v/>
      </c>
      <c r="M1655" s="651"/>
      <c r="N1655" s="651"/>
      <c r="P1655" s="189">
        <f t="shared" ref="P1655" si="7183">IF(AND(EXACT(C1655,C1653),C1653&lt;&gt;0),P1653+1,0)</f>
        <v>117</v>
      </c>
      <c r="Q1655" s="189" t="str">
        <f t="shared" ref="Q1655" si="7184">IF(C1655&lt;&gt;"",C1655&amp;"-"&amp;P1655,"")</f>
        <v/>
      </c>
      <c r="R1655" s="189" t="str">
        <f t="array" ref="R1655">IFERROR(IF(INDEX('Disaggregation Records'!$E$155:$E$385,MATCH(RIGHT(Q1655,255),RIGHT('Disaggregation Records'!$D$155:$D$385,255),0))=0,"",INDEX('Disaggregation Records'!$E$155:$E$385,MATCH(RIGHT(Q1655,255),RIGHT('Disaggregation Records'!$D$155:$D$385,255),0))),"")</f>
        <v/>
      </c>
      <c r="S1655" s="189" t="str">
        <f t="array" ref="S1655">IFERROR(IF(INDEX('Disaggregation Records'!$F$155:$F$385,MATCH(RIGHT(Q1655,255),RIGHT('Disaggregation Records'!$D$155:$D$385,255),0))=0,"",INDEX('Disaggregation Records'!$F$155:$F$385,MATCH(RIGHT(Q1655,255),RIGHT('Disaggregation Records'!$D$155:$D$385,255),0))),"")</f>
        <v/>
      </c>
      <c r="T1655" s="189" t="str">
        <f t="array" ref="T1655">IFERROR(IF(INDEX('Disaggregation Records'!$H$155:$H$385,MATCH(RIGHT(Q1655,255),RIGHT('Disaggregation Records'!$D$155:$D$385,255),0))=0,"",INDEX('Disaggregation Records'!$H$155:$H$385,MATCH(RIGHT(Q1655,255),RIGHT('Disaggregation Records'!$D$155:$D$385,255),0))),"")</f>
        <v/>
      </c>
      <c r="U1655" s="189">
        <f t="shared" ref="U1655" si="7185">U1653+1</f>
        <v>1929</v>
      </c>
      <c r="V1655" s="189" t="str">
        <f t="array" ref="V1655">IFERROR(IF(INDEX('Disaggregation Records'!$I$155:$I$385,MATCH(RIGHT(Q1655,255),RIGHT('Disaggregation Records'!$D$155:$D$385,255),0))=0,"",INDEX('Disaggregation Records'!$I$155:$I$385,MATCH(RIGHT(Q1655,255),RIGHT('Disaggregation Records'!$D$155:$D$385,255),0))),"")</f>
        <v/>
      </c>
      <c r="W1655" s="189" t="str">
        <f>IFERROR(INDEX('Reference Records'!L$59:L$121,MATCH(LEFT(C1655,255),'Reference Records'!E$59:E$121,0)),"")</f>
        <v/>
      </c>
    </row>
    <row r="1656" spans="1:23" s="189" customFormat="1" ht="40.200000000000003" customHeight="1" x14ac:dyDescent="0.3">
      <c r="A1656" s="678"/>
      <c r="B1656" s="675"/>
      <c r="C1656" s="667"/>
      <c r="D1656" s="677"/>
      <c r="E1656" s="677"/>
      <c r="F1656" s="202"/>
      <c r="G1656" s="669"/>
      <c r="H1656" s="671"/>
      <c r="I1656" s="673"/>
      <c r="J1656" s="652"/>
      <c r="K1656" s="667"/>
      <c r="L1656" s="667"/>
      <c r="M1656" s="652"/>
      <c r="N1656" s="652"/>
    </row>
    <row r="1657" spans="1:23" s="189" customFormat="1" ht="40.200000000000003" customHeight="1" x14ac:dyDescent="0.3">
      <c r="A1657" s="678" t="str">
        <f t="shared" ref="A1657" ca="1" si="7186">INDIRECT("'update Helper'!C"&amp;U1657)</f>
        <v>a163p000002zQhjAAE</v>
      </c>
      <c r="B1657" s="674">
        <v>26</v>
      </c>
      <c r="C1657" s="666" t="str">
        <f>VLOOKUP(B1657,'Coverage Indicators - Section D'!$A$9:$AU$70,47,FALSE)</f>
        <v/>
      </c>
      <c r="D1657" s="676" t="str">
        <f t="shared" ref="D1657" si="7187">R1657</f>
        <v/>
      </c>
      <c r="E1657" s="676" t="str">
        <f t="shared" ref="E1657" si="7188">S1657</f>
        <v/>
      </c>
      <c r="F1657" s="194"/>
      <c r="G1657" s="668" t="str">
        <f t="shared" ref="G1657" ca="1" si="7189">IF(OR(INDIRECT("'update Helper'!E"&amp;U1657)=0,F1657&lt;&gt;0,F1658&lt;&gt;0),IF(IFERROR((F1657/F1658),"")="","",(F1657/F1658)),INDIRECT("'update Helper'!E"&amp;U1657)/100)</f>
        <v/>
      </c>
      <c r="H1657" s="670"/>
      <c r="I1657" s="672"/>
      <c r="J1657" s="651"/>
      <c r="K1657" s="666" t="str">
        <f t="shared" ref="K1657" si="7190">W1657</f>
        <v/>
      </c>
      <c r="L1657" s="666" t="str">
        <f t="shared" ref="L1657" si="7191">V1657</f>
        <v/>
      </c>
      <c r="M1657" s="651"/>
      <c r="N1657" s="651"/>
      <c r="P1657" s="189">
        <f t="shared" ref="P1657" si="7192">IF(AND(EXACT(C1657,C1655),C1655&lt;&gt;0),P1655+1,0)</f>
        <v>118</v>
      </c>
      <c r="Q1657" s="189" t="str">
        <f t="shared" ref="Q1657" si="7193">IF(C1657&lt;&gt;"",C1657&amp;"-"&amp;P1657,"")</f>
        <v/>
      </c>
      <c r="R1657" s="189" t="str">
        <f t="array" ref="R1657">IFERROR(IF(INDEX('Disaggregation Records'!$E$155:$E$385,MATCH(RIGHT(Q1657,255),RIGHT('Disaggregation Records'!$D$155:$D$385,255),0))=0,"",INDEX('Disaggregation Records'!$E$155:$E$385,MATCH(RIGHT(Q1657,255),RIGHT('Disaggregation Records'!$D$155:$D$385,255),0))),"")</f>
        <v/>
      </c>
      <c r="S1657" s="189" t="str">
        <f t="array" ref="S1657">IFERROR(IF(INDEX('Disaggregation Records'!$F$155:$F$385,MATCH(RIGHT(Q1657,255),RIGHT('Disaggregation Records'!$D$155:$D$385,255),0))=0,"",INDEX('Disaggregation Records'!$F$155:$F$385,MATCH(RIGHT(Q1657,255),RIGHT('Disaggregation Records'!$D$155:$D$385,255),0))),"")</f>
        <v/>
      </c>
      <c r="T1657" s="189" t="str">
        <f t="array" ref="T1657">IFERROR(IF(INDEX('Disaggregation Records'!$H$155:$H$385,MATCH(RIGHT(Q1657,255),RIGHT('Disaggregation Records'!$D$155:$D$385,255),0))=0,"",INDEX('Disaggregation Records'!$H$155:$H$385,MATCH(RIGHT(Q1657,255),RIGHT('Disaggregation Records'!$D$155:$D$385,255),0))),"")</f>
        <v/>
      </c>
      <c r="U1657" s="189">
        <f t="shared" ref="U1657" si="7194">U1655+1</f>
        <v>1930</v>
      </c>
      <c r="V1657" s="189" t="str">
        <f t="array" ref="V1657">IFERROR(IF(INDEX('Disaggregation Records'!$I$155:$I$385,MATCH(RIGHT(Q1657,255),RIGHT('Disaggregation Records'!$D$155:$D$385,255),0))=0,"",INDEX('Disaggregation Records'!$I$155:$I$385,MATCH(RIGHT(Q1657,255),RIGHT('Disaggregation Records'!$D$155:$D$385,255),0))),"")</f>
        <v/>
      </c>
      <c r="W1657" s="189" t="str">
        <f>IFERROR(INDEX('Reference Records'!L$59:L$121,MATCH(LEFT(C1657,255),'Reference Records'!E$59:E$121,0)),"")</f>
        <v/>
      </c>
    </row>
    <row r="1658" spans="1:23" s="189" customFormat="1" ht="40.200000000000003" customHeight="1" x14ac:dyDescent="0.3">
      <c r="A1658" s="678"/>
      <c r="B1658" s="675"/>
      <c r="C1658" s="667"/>
      <c r="D1658" s="677"/>
      <c r="E1658" s="677"/>
      <c r="F1658" s="202"/>
      <c r="G1658" s="669"/>
      <c r="H1658" s="671"/>
      <c r="I1658" s="673"/>
      <c r="J1658" s="652"/>
      <c r="K1658" s="667"/>
      <c r="L1658" s="667"/>
      <c r="M1658" s="652"/>
      <c r="N1658" s="652"/>
    </row>
    <row r="1659" spans="1:23" s="189" customFormat="1" ht="40.200000000000003" customHeight="1" x14ac:dyDescent="0.3">
      <c r="A1659" s="678" t="str">
        <f t="shared" ref="A1659" ca="1" si="7195">INDIRECT("'update Helper'!C"&amp;U1659)</f>
        <v>a163p000002zQhkAAE</v>
      </c>
      <c r="B1659" s="674">
        <v>26</v>
      </c>
      <c r="C1659" s="666" t="str">
        <f>VLOOKUP(B1659,'Coverage Indicators - Section D'!$A$9:$AU$70,47,FALSE)</f>
        <v/>
      </c>
      <c r="D1659" s="676" t="str">
        <f t="shared" ref="D1659" si="7196">R1659</f>
        <v/>
      </c>
      <c r="E1659" s="676" t="str">
        <f t="shared" ref="E1659" si="7197">S1659</f>
        <v/>
      </c>
      <c r="F1659" s="194"/>
      <c r="G1659" s="668" t="str">
        <f t="shared" ref="G1659" ca="1" si="7198">IF(OR(INDIRECT("'update Helper'!E"&amp;U1659)=0,F1659&lt;&gt;0,F1660&lt;&gt;0),IF(IFERROR((F1659/F1660),"")="","",(F1659/F1660)),INDIRECT("'update Helper'!E"&amp;U1659)/100)</f>
        <v/>
      </c>
      <c r="H1659" s="670"/>
      <c r="I1659" s="672"/>
      <c r="J1659" s="651"/>
      <c r="K1659" s="666" t="str">
        <f t="shared" ref="K1659" si="7199">W1659</f>
        <v/>
      </c>
      <c r="L1659" s="666" t="str">
        <f t="shared" ref="L1659" si="7200">V1659</f>
        <v/>
      </c>
      <c r="M1659" s="651"/>
      <c r="N1659" s="651"/>
      <c r="P1659" s="189">
        <f t="shared" ref="P1659" si="7201">IF(AND(EXACT(C1659,C1657),C1657&lt;&gt;0),P1657+1,0)</f>
        <v>119</v>
      </c>
      <c r="Q1659" s="189" t="str">
        <f t="shared" ref="Q1659" si="7202">IF(C1659&lt;&gt;"",C1659&amp;"-"&amp;P1659,"")</f>
        <v/>
      </c>
      <c r="R1659" s="189" t="str">
        <f t="array" ref="R1659">IFERROR(IF(INDEX('Disaggregation Records'!$E$155:$E$385,MATCH(RIGHT(Q1659,255),RIGHT('Disaggregation Records'!$D$155:$D$385,255),0))=0,"",INDEX('Disaggregation Records'!$E$155:$E$385,MATCH(RIGHT(Q1659,255),RIGHT('Disaggregation Records'!$D$155:$D$385,255),0))),"")</f>
        <v/>
      </c>
      <c r="S1659" s="189" t="str">
        <f t="array" ref="S1659">IFERROR(IF(INDEX('Disaggregation Records'!$F$155:$F$385,MATCH(RIGHT(Q1659,255),RIGHT('Disaggregation Records'!$D$155:$D$385,255),0))=0,"",INDEX('Disaggregation Records'!$F$155:$F$385,MATCH(RIGHT(Q1659,255),RIGHT('Disaggregation Records'!$D$155:$D$385,255),0))),"")</f>
        <v/>
      </c>
      <c r="T1659" s="189" t="str">
        <f t="array" ref="T1659">IFERROR(IF(INDEX('Disaggregation Records'!$H$155:$H$385,MATCH(RIGHT(Q1659,255),RIGHT('Disaggregation Records'!$D$155:$D$385,255),0))=0,"",INDEX('Disaggregation Records'!$H$155:$H$385,MATCH(RIGHT(Q1659,255),RIGHT('Disaggregation Records'!$D$155:$D$385,255),0))),"")</f>
        <v/>
      </c>
      <c r="U1659" s="189">
        <f t="shared" ref="U1659" si="7203">U1657+1</f>
        <v>1931</v>
      </c>
      <c r="V1659" s="189" t="str">
        <f t="array" ref="V1659">IFERROR(IF(INDEX('Disaggregation Records'!$I$155:$I$385,MATCH(RIGHT(Q1659,255),RIGHT('Disaggregation Records'!$D$155:$D$385,255),0))=0,"",INDEX('Disaggregation Records'!$I$155:$I$385,MATCH(RIGHT(Q1659,255),RIGHT('Disaggregation Records'!$D$155:$D$385,255),0))),"")</f>
        <v/>
      </c>
      <c r="W1659" s="189" t="str">
        <f>IFERROR(INDEX('Reference Records'!L$59:L$121,MATCH(LEFT(C1659,255),'Reference Records'!E$59:E$121,0)),"")</f>
        <v/>
      </c>
    </row>
    <row r="1660" spans="1:23" s="189" customFormat="1" ht="40.200000000000003" customHeight="1" x14ac:dyDescent="0.3">
      <c r="A1660" s="678"/>
      <c r="B1660" s="675"/>
      <c r="C1660" s="667"/>
      <c r="D1660" s="677"/>
      <c r="E1660" s="677"/>
      <c r="F1660" s="202"/>
      <c r="G1660" s="669"/>
      <c r="H1660" s="671"/>
      <c r="I1660" s="673"/>
      <c r="J1660" s="652"/>
      <c r="K1660" s="667"/>
      <c r="L1660" s="667"/>
      <c r="M1660" s="652"/>
      <c r="N1660" s="652"/>
    </row>
    <row r="1661" spans="1:23" s="189" customFormat="1" ht="40.200000000000003" customHeight="1" x14ac:dyDescent="0.3">
      <c r="A1661" s="678" t="str">
        <f t="shared" ref="A1661" ca="1" si="7204">INDIRECT("'update Helper'!C"&amp;U1661)</f>
        <v>a163p000002zQhlAAE</v>
      </c>
      <c r="B1661" s="674">
        <v>27</v>
      </c>
      <c r="C1661" s="666" t="str">
        <f>VLOOKUP(B1661,'Coverage Indicators - Section D'!$A$9:$AU$70,47,FALSE)</f>
        <v/>
      </c>
      <c r="D1661" s="676" t="str">
        <f t="shared" ref="D1661" si="7205">R1661</f>
        <v/>
      </c>
      <c r="E1661" s="676" t="str">
        <f t="shared" ref="E1661" si="7206">S1661</f>
        <v/>
      </c>
      <c r="F1661" s="194"/>
      <c r="G1661" s="668" t="str">
        <f t="shared" ref="G1661" ca="1" si="7207">IF(OR(INDIRECT("'update Helper'!E"&amp;U1661)=0,F1661&lt;&gt;0,F1662&lt;&gt;0),IF(IFERROR((F1661/F1662),"")="","",(F1661/F1662)),INDIRECT("'update Helper'!E"&amp;U1661)/100)</f>
        <v/>
      </c>
      <c r="H1661" s="670"/>
      <c r="I1661" s="672"/>
      <c r="J1661" s="651"/>
      <c r="K1661" s="666" t="str">
        <f t="shared" ref="K1661" si="7208">W1661</f>
        <v/>
      </c>
      <c r="L1661" s="666" t="str">
        <f t="shared" ref="L1661" si="7209">V1661</f>
        <v/>
      </c>
      <c r="M1661" s="651"/>
      <c r="N1661" s="651"/>
      <c r="P1661" s="189">
        <f t="shared" ref="P1661" si="7210">IF(AND(EXACT(C1661,C1659),C1659&lt;&gt;0),P1659+1,0)</f>
        <v>120</v>
      </c>
      <c r="Q1661" s="189" t="str">
        <f t="shared" ref="Q1661" si="7211">IF(C1661&lt;&gt;"",C1661&amp;"-"&amp;P1661,"")</f>
        <v/>
      </c>
      <c r="R1661" s="189" t="str">
        <f t="array" ref="R1661">IFERROR(IF(INDEX('Disaggregation Records'!$E$155:$E$385,MATCH(RIGHT(Q1661,255),RIGHT('Disaggregation Records'!$D$155:$D$385,255),0))=0,"",INDEX('Disaggregation Records'!$E$155:$E$385,MATCH(RIGHT(Q1661,255),RIGHT('Disaggregation Records'!$D$155:$D$385,255),0))),"")</f>
        <v/>
      </c>
      <c r="S1661" s="189" t="str">
        <f t="array" ref="S1661">IFERROR(IF(INDEX('Disaggregation Records'!$F$155:$F$385,MATCH(RIGHT(Q1661,255),RIGHT('Disaggregation Records'!$D$155:$D$385,255),0))=0,"",INDEX('Disaggregation Records'!$F$155:$F$385,MATCH(RIGHT(Q1661,255),RIGHT('Disaggregation Records'!$D$155:$D$385,255),0))),"")</f>
        <v/>
      </c>
      <c r="T1661" s="189" t="str">
        <f t="array" ref="T1661">IFERROR(IF(INDEX('Disaggregation Records'!$H$155:$H$385,MATCH(RIGHT(Q1661,255),RIGHT('Disaggregation Records'!$D$155:$D$385,255),0))=0,"",INDEX('Disaggregation Records'!$H$155:$H$385,MATCH(RIGHT(Q1661,255),RIGHT('Disaggregation Records'!$D$155:$D$385,255),0))),"")</f>
        <v/>
      </c>
      <c r="U1661" s="189">
        <f t="shared" ref="U1661" si="7212">U1659+1</f>
        <v>1932</v>
      </c>
      <c r="V1661" s="189" t="str">
        <f t="array" ref="V1661">IFERROR(IF(INDEX('Disaggregation Records'!$I$155:$I$385,MATCH(RIGHT(Q1661,255),RIGHT('Disaggregation Records'!$D$155:$D$385,255),0))=0,"",INDEX('Disaggregation Records'!$I$155:$I$385,MATCH(RIGHT(Q1661,255),RIGHT('Disaggregation Records'!$D$155:$D$385,255),0))),"")</f>
        <v/>
      </c>
      <c r="W1661" s="189" t="str">
        <f>IFERROR(INDEX('Reference Records'!L$59:L$121,MATCH(LEFT(C1661,255),'Reference Records'!E$59:E$121,0)),"")</f>
        <v/>
      </c>
    </row>
    <row r="1662" spans="1:23" s="189" customFormat="1" ht="40.200000000000003" customHeight="1" x14ac:dyDescent="0.3">
      <c r="A1662" s="678"/>
      <c r="B1662" s="675"/>
      <c r="C1662" s="667"/>
      <c r="D1662" s="677"/>
      <c r="E1662" s="677"/>
      <c r="F1662" s="202"/>
      <c r="G1662" s="669"/>
      <c r="H1662" s="671"/>
      <c r="I1662" s="673"/>
      <c r="J1662" s="652"/>
      <c r="K1662" s="667"/>
      <c r="L1662" s="667"/>
      <c r="M1662" s="652"/>
      <c r="N1662" s="652"/>
    </row>
    <row r="1663" spans="1:23" s="189" customFormat="1" ht="40.200000000000003" customHeight="1" x14ac:dyDescent="0.3">
      <c r="A1663" s="678" t="str">
        <f t="shared" ref="A1663" ca="1" si="7213">INDIRECT("'update Helper'!C"&amp;U1663)</f>
        <v>a163p000002zQhmAAE</v>
      </c>
      <c r="B1663" s="674">
        <v>27</v>
      </c>
      <c r="C1663" s="666" t="str">
        <f>VLOOKUP(B1663,'Coverage Indicators - Section D'!$A$9:$AU$70,47,FALSE)</f>
        <v/>
      </c>
      <c r="D1663" s="676" t="str">
        <f t="shared" ref="D1663" si="7214">R1663</f>
        <v/>
      </c>
      <c r="E1663" s="676" t="str">
        <f t="shared" ref="E1663" si="7215">S1663</f>
        <v/>
      </c>
      <c r="F1663" s="194"/>
      <c r="G1663" s="668" t="str">
        <f t="shared" ref="G1663" ca="1" si="7216">IF(OR(INDIRECT("'update Helper'!E"&amp;U1663)=0,F1663&lt;&gt;0,F1664&lt;&gt;0),IF(IFERROR((F1663/F1664),"")="","",(F1663/F1664)),INDIRECT("'update Helper'!E"&amp;U1663)/100)</f>
        <v/>
      </c>
      <c r="H1663" s="670"/>
      <c r="I1663" s="672"/>
      <c r="J1663" s="651"/>
      <c r="K1663" s="666" t="str">
        <f t="shared" ref="K1663" si="7217">W1663</f>
        <v/>
      </c>
      <c r="L1663" s="666" t="str">
        <f t="shared" ref="L1663" si="7218">V1663</f>
        <v/>
      </c>
      <c r="M1663" s="651"/>
      <c r="N1663" s="651"/>
      <c r="P1663" s="189">
        <f t="shared" ref="P1663" si="7219">IF(AND(EXACT(C1663,C1661),C1661&lt;&gt;0),P1661+1,0)</f>
        <v>121</v>
      </c>
      <c r="Q1663" s="189" t="str">
        <f t="shared" ref="Q1663" si="7220">IF(C1663&lt;&gt;"",C1663&amp;"-"&amp;P1663,"")</f>
        <v/>
      </c>
      <c r="R1663" s="189" t="str">
        <f t="array" ref="R1663">IFERROR(IF(INDEX('Disaggregation Records'!$E$155:$E$385,MATCH(RIGHT(Q1663,255),RIGHT('Disaggregation Records'!$D$155:$D$385,255),0))=0,"",INDEX('Disaggregation Records'!$E$155:$E$385,MATCH(RIGHT(Q1663,255),RIGHT('Disaggregation Records'!$D$155:$D$385,255),0))),"")</f>
        <v/>
      </c>
      <c r="S1663" s="189" t="str">
        <f t="array" ref="S1663">IFERROR(IF(INDEX('Disaggregation Records'!$F$155:$F$385,MATCH(RIGHT(Q1663,255),RIGHT('Disaggregation Records'!$D$155:$D$385,255),0))=0,"",INDEX('Disaggregation Records'!$F$155:$F$385,MATCH(RIGHT(Q1663,255),RIGHT('Disaggregation Records'!$D$155:$D$385,255),0))),"")</f>
        <v/>
      </c>
      <c r="T1663" s="189" t="str">
        <f t="array" ref="T1663">IFERROR(IF(INDEX('Disaggregation Records'!$H$155:$H$385,MATCH(RIGHT(Q1663,255),RIGHT('Disaggregation Records'!$D$155:$D$385,255),0))=0,"",INDEX('Disaggregation Records'!$H$155:$H$385,MATCH(RIGHT(Q1663,255),RIGHT('Disaggregation Records'!$D$155:$D$385,255),0))),"")</f>
        <v/>
      </c>
      <c r="U1663" s="189">
        <f t="shared" ref="U1663" si="7221">U1661+1</f>
        <v>1933</v>
      </c>
      <c r="V1663" s="189" t="str">
        <f t="array" ref="V1663">IFERROR(IF(INDEX('Disaggregation Records'!$I$155:$I$385,MATCH(RIGHT(Q1663,255),RIGHT('Disaggregation Records'!$D$155:$D$385,255),0))=0,"",INDEX('Disaggregation Records'!$I$155:$I$385,MATCH(RIGHT(Q1663,255),RIGHT('Disaggregation Records'!$D$155:$D$385,255),0))),"")</f>
        <v/>
      </c>
      <c r="W1663" s="189" t="str">
        <f>IFERROR(INDEX('Reference Records'!L$59:L$121,MATCH(LEFT(C1663,255),'Reference Records'!E$59:E$121,0)),"")</f>
        <v/>
      </c>
    </row>
    <row r="1664" spans="1:23" s="189" customFormat="1" ht="40.200000000000003" customHeight="1" x14ac:dyDescent="0.3">
      <c r="A1664" s="678"/>
      <c r="B1664" s="675"/>
      <c r="C1664" s="667"/>
      <c r="D1664" s="677"/>
      <c r="E1664" s="677"/>
      <c r="F1664" s="202"/>
      <c r="G1664" s="669"/>
      <c r="H1664" s="671"/>
      <c r="I1664" s="673"/>
      <c r="J1664" s="652"/>
      <c r="K1664" s="667"/>
      <c r="L1664" s="667"/>
      <c r="M1664" s="652"/>
      <c r="N1664" s="652"/>
    </row>
    <row r="1665" spans="1:23" s="189" customFormat="1" ht="40.200000000000003" customHeight="1" x14ac:dyDescent="0.3">
      <c r="A1665" s="678" t="str">
        <f t="shared" ref="A1665" ca="1" si="7222">INDIRECT("'update Helper'!C"&amp;U1665)</f>
        <v>a163p000002zQhnAAE</v>
      </c>
      <c r="B1665" s="674">
        <v>27</v>
      </c>
      <c r="C1665" s="666" t="str">
        <f>VLOOKUP(B1665,'Coverage Indicators - Section D'!$A$9:$AU$70,47,FALSE)</f>
        <v/>
      </c>
      <c r="D1665" s="676" t="str">
        <f t="shared" ref="D1665" si="7223">R1665</f>
        <v/>
      </c>
      <c r="E1665" s="676" t="str">
        <f t="shared" ref="E1665" si="7224">S1665</f>
        <v/>
      </c>
      <c r="F1665" s="194"/>
      <c r="G1665" s="668" t="str">
        <f t="shared" ref="G1665" ca="1" si="7225">IF(OR(INDIRECT("'update Helper'!E"&amp;U1665)=0,F1665&lt;&gt;0,F1666&lt;&gt;0),IF(IFERROR((F1665/F1666),"")="","",(F1665/F1666)),INDIRECT("'update Helper'!E"&amp;U1665)/100)</f>
        <v/>
      </c>
      <c r="H1665" s="670"/>
      <c r="I1665" s="672"/>
      <c r="J1665" s="651"/>
      <c r="K1665" s="666" t="str">
        <f t="shared" ref="K1665" si="7226">W1665</f>
        <v/>
      </c>
      <c r="L1665" s="666" t="str">
        <f t="shared" ref="L1665" si="7227">V1665</f>
        <v/>
      </c>
      <c r="M1665" s="651"/>
      <c r="N1665" s="651"/>
      <c r="P1665" s="189">
        <f t="shared" ref="P1665" si="7228">IF(AND(EXACT(C1665,C1663),C1663&lt;&gt;0),P1663+1,0)</f>
        <v>122</v>
      </c>
      <c r="Q1665" s="189" t="str">
        <f t="shared" ref="Q1665" si="7229">IF(C1665&lt;&gt;"",C1665&amp;"-"&amp;P1665,"")</f>
        <v/>
      </c>
      <c r="R1665" s="189" t="str">
        <f t="array" ref="R1665">IFERROR(IF(INDEX('Disaggregation Records'!$E$155:$E$385,MATCH(RIGHT(Q1665,255),RIGHT('Disaggregation Records'!$D$155:$D$385,255),0))=0,"",INDEX('Disaggregation Records'!$E$155:$E$385,MATCH(RIGHT(Q1665,255),RIGHT('Disaggregation Records'!$D$155:$D$385,255),0))),"")</f>
        <v/>
      </c>
      <c r="S1665" s="189" t="str">
        <f t="array" ref="S1665">IFERROR(IF(INDEX('Disaggregation Records'!$F$155:$F$385,MATCH(RIGHT(Q1665,255),RIGHT('Disaggregation Records'!$D$155:$D$385,255),0))=0,"",INDEX('Disaggregation Records'!$F$155:$F$385,MATCH(RIGHT(Q1665,255),RIGHT('Disaggregation Records'!$D$155:$D$385,255),0))),"")</f>
        <v/>
      </c>
      <c r="T1665" s="189" t="str">
        <f t="array" ref="T1665">IFERROR(IF(INDEX('Disaggregation Records'!$H$155:$H$385,MATCH(RIGHT(Q1665,255),RIGHT('Disaggregation Records'!$D$155:$D$385,255),0))=0,"",INDEX('Disaggregation Records'!$H$155:$H$385,MATCH(RIGHT(Q1665,255),RIGHT('Disaggregation Records'!$D$155:$D$385,255),0))),"")</f>
        <v/>
      </c>
      <c r="U1665" s="189">
        <f t="shared" ref="U1665" si="7230">U1663+1</f>
        <v>1934</v>
      </c>
      <c r="V1665" s="189" t="str">
        <f t="array" ref="V1665">IFERROR(IF(INDEX('Disaggregation Records'!$I$155:$I$385,MATCH(RIGHT(Q1665,255),RIGHT('Disaggregation Records'!$D$155:$D$385,255),0))=0,"",INDEX('Disaggregation Records'!$I$155:$I$385,MATCH(RIGHT(Q1665,255),RIGHT('Disaggregation Records'!$D$155:$D$385,255),0))),"")</f>
        <v/>
      </c>
      <c r="W1665" s="189" t="str">
        <f>IFERROR(INDEX('Reference Records'!L$59:L$121,MATCH(LEFT(C1665,255),'Reference Records'!E$59:E$121,0)),"")</f>
        <v/>
      </c>
    </row>
    <row r="1666" spans="1:23" s="189" customFormat="1" ht="40.200000000000003" customHeight="1" x14ac:dyDescent="0.3">
      <c r="A1666" s="678"/>
      <c r="B1666" s="675"/>
      <c r="C1666" s="667"/>
      <c r="D1666" s="677"/>
      <c r="E1666" s="677"/>
      <c r="F1666" s="202"/>
      <c r="G1666" s="669"/>
      <c r="H1666" s="671"/>
      <c r="I1666" s="673"/>
      <c r="J1666" s="652"/>
      <c r="K1666" s="667"/>
      <c r="L1666" s="667"/>
      <c r="M1666" s="652"/>
      <c r="N1666" s="652"/>
    </row>
    <row r="1667" spans="1:23" s="189" customFormat="1" ht="40.200000000000003" customHeight="1" x14ac:dyDescent="0.3">
      <c r="A1667" s="678" t="str">
        <f t="shared" ref="A1667" ca="1" si="7231">INDIRECT("'update Helper'!C"&amp;U1667)</f>
        <v>a163p000002zQhoAAE</v>
      </c>
      <c r="B1667" s="674">
        <v>27</v>
      </c>
      <c r="C1667" s="666" t="str">
        <f>VLOOKUP(B1667,'Coverage Indicators - Section D'!$A$9:$AU$70,47,FALSE)</f>
        <v/>
      </c>
      <c r="D1667" s="676" t="str">
        <f t="shared" ref="D1667" si="7232">R1667</f>
        <v/>
      </c>
      <c r="E1667" s="676" t="str">
        <f t="shared" ref="E1667" si="7233">S1667</f>
        <v/>
      </c>
      <c r="F1667" s="194"/>
      <c r="G1667" s="668" t="str">
        <f t="shared" ref="G1667" ca="1" si="7234">IF(OR(INDIRECT("'update Helper'!E"&amp;U1667)=0,F1667&lt;&gt;0,F1668&lt;&gt;0),IF(IFERROR((F1667/F1668),"")="","",(F1667/F1668)),INDIRECT("'update Helper'!E"&amp;U1667)/100)</f>
        <v/>
      </c>
      <c r="H1667" s="670"/>
      <c r="I1667" s="672"/>
      <c r="J1667" s="651"/>
      <c r="K1667" s="666" t="str">
        <f t="shared" ref="K1667" si="7235">W1667</f>
        <v/>
      </c>
      <c r="L1667" s="666" t="str">
        <f t="shared" ref="L1667" si="7236">V1667</f>
        <v/>
      </c>
      <c r="M1667" s="651"/>
      <c r="N1667" s="651"/>
      <c r="P1667" s="189">
        <f t="shared" ref="P1667" si="7237">IF(AND(EXACT(C1667,C1665),C1665&lt;&gt;0),P1665+1,0)</f>
        <v>123</v>
      </c>
      <c r="Q1667" s="189" t="str">
        <f t="shared" ref="Q1667" si="7238">IF(C1667&lt;&gt;"",C1667&amp;"-"&amp;P1667,"")</f>
        <v/>
      </c>
      <c r="R1667" s="189" t="str">
        <f t="array" ref="R1667">IFERROR(IF(INDEX('Disaggregation Records'!$E$155:$E$385,MATCH(RIGHT(Q1667,255),RIGHT('Disaggregation Records'!$D$155:$D$385,255),0))=0,"",INDEX('Disaggregation Records'!$E$155:$E$385,MATCH(RIGHT(Q1667,255),RIGHT('Disaggregation Records'!$D$155:$D$385,255),0))),"")</f>
        <v/>
      </c>
      <c r="S1667" s="189" t="str">
        <f t="array" ref="S1667">IFERROR(IF(INDEX('Disaggregation Records'!$F$155:$F$385,MATCH(RIGHT(Q1667,255),RIGHT('Disaggregation Records'!$D$155:$D$385,255),0))=0,"",INDEX('Disaggregation Records'!$F$155:$F$385,MATCH(RIGHT(Q1667,255),RIGHT('Disaggregation Records'!$D$155:$D$385,255),0))),"")</f>
        <v/>
      </c>
      <c r="T1667" s="189" t="str">
        <f t="array" ref="T1667">IFERROR(IF(INDEX('Disaggregation Records'!$H$155:$H$385,MATCH(RIGHT(Q1667,255),RIGHT('Disaggregation Records'!$D$155:$D$385,255),0))=0,"",INDEX('Disaggregation Records'!$H$155:$H$385,MATCH(RIGHT(Q1667,255),RIGHT('Disaggregation Records'!$D$155:$D$385,255),0))),"")</f>
        <v/>
      </c>
      <c r="U1667" s="189">
        <f t="shared" ref="U1667" si="7239">U1665+1</f>
        <v>1935</v>
      </c>
      <c r="V1667" s="189" t="str">
        <f t="array" ref="V1667">IFERROR(IF(INDEX('Disaggregation Records'!$I$155:$I$385,MATCH(RIGHT(Q1667,255),RIGHT('Disaggregation Records'!$D$155:$D$385,255),0))=0,"",INDEX('Disaggregation Records'!$I$155:$I$385,MATCH(RIGHT(Q1667,255),RIGHT('Disaggregation Records'!$D$155:$D$385,255),0))),"")</f>
        <v/>
      </c>
      <c r="W1667" s="189" t="str">
        <f>IFERROR(INDEX('Reference Records'!L$59:L$121,MATCH(LEFT(C1667,255),'Reference Records'!E$59:E$121,0)),"")</f>
        <v/>
      </c>
    </row>
    <row r="1668" spans="1:23" s="189" customFormat="1" ht="40.200000000000003" customHeight="1" x14ac:dyDescent="0.3">
      <c r="A1668" s="678"/>
      <c r="B1668" s="675"/>
      <c r="C1668" s="667"/>
      <c r="D1668" s="677"/>
      <c r="E1668" s="677"/>
      <c r="F1668" s="202"/>
      <c r="G1668" s="669"/>
      <c r="H1668" s="671"/>
      <c r="I1668" s="673"/>
      <c r="J1668" s="652"/>
      <c r="K1668" s="667"/>
      <c r="L1668" s="667"/>
      <c r="M1668" s="652"/>
      <c r="N1668" s="652"/>
    </row>
    <row r="1669" spans="1:23" s="189" customFormat="1" ht="40.200000000000003" customHeight="1" x14ac:dyDescent="0.3">
      <c r="A1669" s="678" t="str">
        <f t="shared" ref="A1669" ca="1" si="7240">INDIRECT("'update Helper'!C"&amp;U1669)</f>
        <v>a163p000002zQhpAAE</v>
      </c>
      <c r="B1669" s="674">
        <v>27</v>
      </c>
      <c r="C1669" s="666" t="str">
        <f>VLOOKUP(B1669,'Coverage Indicators - Section D'!$A$9:$AU$70,47,FALSE)</f>
        <v/>
      </c>
      <c r="D1669" s="676" t="str">
        <f t="shared" ref="D1669" si="7241">R1669</f>
        <v/>
      </c>
      <c r="E1669" s="676" t="str">
        <f t="shared" ref="E1669" si="7242">S1669</f>
        <v/>
      </c>
      <c r="F1669" s="194"/>
      <c r="G1669" s="668" t="str">
        <f t="shared" ref="G1669" ca="1" si="7243">IF(OR(INDIRECT("'update Helper'!E"&amp;U1669)=0,F1669&lt;&gt;0,F1670&lt;&gt;0),IF(IFERROR((F1669/F1670),"")="","",(F1669/F1670)),INDIRECT("'update Helper'!E"&amp;U1669)/100)</f>
        <v/>
      </c>
      <c r="H1669" s="670"/>
      <c r="I1669" s="672"/>
      <c r="J1669" s="651"/>
      <c r="K1669" s="666" t="str">
        <f t="shared" ref="K1669" si="7244">W1669</f>
        <v/>
      </c>
      <c r="L1669" s="666" t="str">
        <f t="shared" ref="L1669" si="7245">V1669</f>
        <v/>
      </c>
      <c r="M1669" s="651"/>
      <c r="N1669" s="651"/>
      <c r="P1669" s="189">
        <f t="shared" ref="P1669" si="7246">IF(AND(EXACT(C1669,C1667),C1667&lt;&gt;0),P1667+1,0)</f>
        <v>124</v>
      </c>
      <c r="Q1669" s="189" t="str">
        <f t="shared" ref="Q1669" si="7247">IF(C1669&lt;&gt;"",C1669&amp;"-"&amp;P1669,"")</f>
        <v/>
      </c>
      <c r="R1669" s="189" t="str">
        <f t="array" ref="R1669">IFERROR(IF(INDEX('Disaggregation Records'!$E$155:$E$385,MATCH(RIGHT(Q1669,255),RIGHT('Disaggregation Records'!$D$155:$D$385,255),0))=0,"",INDEX('Disaggregation Records'!$E$155:$E$385,MATCH(RIGHT(Q1669,255),RIGHT('Disaggregation Records'!$D$155:$D$385,255),0))),"")</f>
        <v/>
      </c>
      <c r="S1669" s="189" t="str">
        <f t="array" ref="S1669">IFERROR(IF(INDEX('Disaggregation Records'!$F$155:$F$385,MATCH(RIGHT(Q1669,255),RIGHT('Disaggregation Records'!$D$155:$D$385,255),0))=0,"",INDEX('Disaggregation Records'!$F$155:$F$385,MATCH(RIGHT(Q1669,255),RIGHT('Disaggregation Records'!$D$155:$D$385,255),0))),"")</f>
        <v/>
      </c>
      <c r="T1669" s="189" t="str">
        <f t="array" ref="T1669">IFERROR(IF(INDEX('Disaggregation Records'!$H$155:$H$385,MATCH(RIGHT(Q1669,255),RIGHT('Disaggregation Records'!$D$155:$D$385,255),0))=0,"",INDEX('Disaggregation Records'!$H$155:$H$385,MATCH(RIGHT(Q1669,255),RIGHT('Disaggregation Records'!$D$155:$D$385,255),0))),"")</f>
        <v/>
      </c>
      <c r="U1669" s="189">
        <f t="shared" ref="U1669" si="7248">U1667+1</f>
        <v>1936</v>
      </c>
      <c r="V1669" s="189" t="str">
        <f t="array" ref="V1669">IFERROR(IF(INDEX('Disaggregation Records'!$I$155:$I$385,MATCH(RIGHT(Q1669,255),RIGHT('Disaggregation Records'!$D$155:$D$385,255),0))=0,"",INDEX('Disaggregation Records'!$I$155:$I$385,MATCH(RIGHT(Q1669,255),RIGHT('Disaggregation Records'!$D$155:$D$385,255),0))),"")</f>
        <v/>
      </c>
      <c r="W1669" s="189" t="str">
        <f>IFERROR(INDEX('Reference Records'!L$59:L$121,MATCH(LEFT(C1669,255),'Reference Records'!E$59:E$121,0)),"")</f>
        <v/>
      </c>
    </row>
    <row r="1670" spans="1:23" s="189" customFormat="1" ht="40.200000000000003" customHeight="1" x14ac:dyDescent="0.3">
      <c r="A1670" s="678"/>
      <c r="B1670" s="675"/>
      <c r="C1670" s="667"/>
      <c r="D1670" s="677"/>
      <c r="E1670" s="677"/>
      <c r="F1670" s="202"/>
      <c r="G1670" s="669"/>
      <c r="H1670" s="671"/>
      <c r="I1670" s="673"/>
      <c r="J1670" s="652"/>
      <c r="K1670" s="667"/>
      <c r="L1670" s="667"/>
      <c r="M1670" s="652"/>
      <c r="N1670" s="652"/>
    </row>
    <row r="1671" spans="1:23" s="189" customFormat="1" ht="40.200000000000003" customHeight="1" x14ac:dyDescent="0.3">
      <c r="A1671" s="678" t="str">
        <f t="shared" ref="A1671" ca="1" si="7249">INDIRECT("'update Helper'!C"&amp;U1671)</f>
        <v>a163p000002zQhqAAE</v>
      </c>
      <c r="B1671" s="674">
        <v>27</v>
      </c>
      <c r="C1671" s="666" t="str">
        <f>VLOOKUP(B1671,'Coverage Indicators - Section D'!$A$9:$AU$70,47,FALSE)</f>
        <v/>
      </c>
      <c r="D1671" s="676" t="str">
        <f t="shared" ref="D1671" si="7250">R1671</f>
        <v/>
      </c>
      <c r="E1671" s="676" t="str">
        <f t="shared" ref="E1671" si="7251">S1671</f>
        <v/>
      </c>
      <c r="F1671" s="194"/>
      <c r="G1671" s="668" t="str">
        <f t="shared" ref="G1671" ca="1" si="7252">IF(OR(INDIRECT("'update Helper'!E"&amp;U1671)=0,F1671&lt;&gt;0,F1672&lt;&gt;0),IF(IFERROR((F1671/F1672),"")="","",(F1671/F1672)),INDIRECT("'update Helper'!E"&amp;U1671)/100)</f>
        <v/>
      </c>
      <c r="H1671" s="670"/>
      <c r="I1671" s="672"/>
      <c r="J1671" s="651"/>
      <c r="K1671" s="666" t="str">
        <f t="shared" ref="K1671" si="7253">W1671</f>
        <v/>
      </c>
      <c r="L1671" s="666" t="str">
        <f t="shared" ref="L1671" si="7254">V1671</f>
        <v/>
      </c>
      <c r="M1671" s="651"/>
      <c r="N1671" s="651"/>
      <c r="P1671" s="189">
        <f t="shared" ref="P1671" si="7255">IF(AND(EXACT(C1671,C1669),C1669&lt;&gt;0),P1669+1,0)</f>
        <v>125</v>
      </c>
      <c r="Q1671" s="189" t="str">
        <f t="shared" ref="Q1671" si="7256">IF(C1671&lt;&gt;"",C1671&amp;"-"&amp;P1671,"")</f>
        <v/>
      </c>
      <c r="R1671" s="189" t="str">
        <f t="array" ref="R1671">IFERROR(IF(INDEX('Disaggregation Records'!$E$155:$E$385,MATCH(RIGHT(Q1671,255),RIGHT('Disaggregation Records'!$D$155:$D$385,255),0))=0,"",INDEX('Disaggregation Records'!$E$155:$E$385,MATCH(RIGHT(Q1671,255),RIGHT('Disaggregation Records'!$D$155:$D$385,255),0))),"")</f>
        <v/>
      </c>
      <c r="S1671" s="189" t="str">
        <f t="array" ref="S1671">IFERROR(IF(INDEX('Disaggregation Records'!$F$155:$F$385,MATCH(RIGHT(Q1671,255),RIGHT('Disaggregation Records'!$D$155:$D$385,255),0))=0,"",INDEX('Disaggregation Records'!$F$155:$F$385,MATCH(RIGHT(Q1671,255),RIGHT('Disaggregation Records'!$D$155:$D$385,255),0))),"")</f>
        <v/>
      </c>
      <c r="T1671" s="189" t="str">
        <f t="array" ref="T1671">IFERROR(IF(INDEX('Disaggregation Records'!$H$155:$H$385,MATCH(RIGHT(Q1671,255),RIGHT('Disaggregation Records'!$D$155:$D$385,255),0))=0,"",INDEX('Disaggregation Records'!$H$155:$H$385,MATCH(RIGHT(Q1671,255),RIGHT('Disaggregation Records'!$D$155:$D$385,255),0))),"")</f>
        <v/>
      </c>
      <c r="U1671" s="189">
        <f t="shared" ref="U1671" si="7257">U1669+1</f>
        <v>1937</v>
      </c>
      <c r="V1671" s="189" t="str">
        <f t="array" ref="V1671">IFERROR(IF(INDEX('Disaggregation Records'!$I$155:$I$385,MATCH(RIGHT(Q1671,255),RIGHT('Disaggregation Records'!$D$155:$D$385,255),0))=0,"",INDEX('Disaggregation Records'!$I$155:$I$385,MATCH(RIGHT(Q1671,255),RIGHT('Disaggregation Records'!$D$155:$D$385,255),0))),"")</f>
        <v/>
      </c>
      <c r="W1671" s="189" t="str">
        <f>IFERROR(INDEX('Reference Records'!L$59:L$121,MATCH(LEFT(C1671,255),'Reference Records'!E$59:E$121,0)),"")</f>
        <v/>
      </c>
    </row>
    <row r="1672" spans="1:23" s="189" customFormat="1" ht="40.200000000000003" customHeight="1" x14ac:dyDescent="0.3">
      <c r="A1672" s="678"/>
      <c r="B1672" s="675"/>
      <c r="C1672" s="667"/>
      <c r="D1672" s="677"/>
      <c r="E1672" s="677"/>
      <c r="F1672" s="202"/>
      <c r="G1672" s="669"/>
      <c r="H1672" s="671"/>
      <c r="I1672" s="673"/>
      <c r="J1672" s="652"/>
      <c r="K1672" s="667"/>
      <c r="L1672" s="667"/>
      <c r="M1672" s="652"/>
      <c r="N1672" s="652"/>
    </row>
    <row r="1673" spans="1:23" s="189" customFormat="1" ht="40.200000000000003" customHeight="1" x14ac:dyDescent="0.3">
      <c r="A1673" s="678" t="str">
        <f t="shared" ref="A1673" ca="1" si="7258">INDIRECT("'update Helper'!C"&amp;U1673)</f>
        <v>a163p000002zQhrAAE</v>
      </c>
      <c r="B1673" s="674">
        <v>27</v>
      </c>
      <c r="C1673" s="666" t="str">
        <f>VLOOKUP(B1673,'Coverage Indicators - Section D'!$A$9:$AU$70,47,FALSE)</f>
        <v/>
      </c>
      <c r="D1673" s="676" t="str">
        <f t="shared" ref="D1673" si="7259">R1673</f>
        <v/>
      </c>
      <c r="E1673" s="676" t="str">
        <f t="shared" ref="E1673" si="7260">S1673</f>
        <v/>
      </c>
      <c r="F1673" s="194"/>
      <c r="G1673" s="668" t="str">
        <f t="shared" ref="G1673" ca="1" si="7261">IF(OR(INDIRECT("'update Helper'!E"&amp;U1673)=0,F1673&lt;&gt;0,F1674&lt;&gt;0),IF(IFERROR((F1673/F1674),"")="","",(F1673/F1674)),INDIRECT("'update Helper'!E"&amp;U1673)/100)</f>
        <v/>
      </c>
      <c r="H1673" s="670"/>
      <c r="I1673" s="672"/>
      <c r="J1673" s="651"/>
      <c r="K1673" s="666" t="str">
        <f t="shared" ref="K1673" si="7262">W1673</f>
        <v/>
      </c>
      <c r="L1673" s="666" t="str">
        <f t="shared" ref="L1673" si="7263">V1673</f>
        <v/>
      </c>
      <c r="M1673" s="651"/>
      <c r="N1673" s="651"/>
      <c r="P1673" s="189">
        <f t="shared" ref="P1673" si="7264">IF(AND(EXACT(C1673,C1671),C1671&lt;&gt;0),P1671+1,0)</f>
        <v>126</v>
      </c>
      <c r="Q1673" s="189" t="str">
        <f t="shared" ref="Q1673" si="7265">IF(C1673&lt;&gt;"",C1673&amp;"-"&amp;P1673,"")</f>
        <v/>
      </c>
      <c r="R1673" s="189" t="str">
        <f t="array" ref="R1673">IFERROR(IF(INDEX('Disaggregation Records'!$E$155:$E$385,MATCH(RIGHT(Q1673,255),RIGHT('Disaggregation Records'!$D$155:$D$385,255),0))=0,"",INDEX('Disaggregation Records'!$E$155:$E$385,MATCH(RIGHT(Q1673,255),RIGHT('Disaggregation Records'!$D$155:$D$385,255),0))),"")</f>
        <v/>
      </c>
      <c r="S1673" s="189" t="str">
        <f t="array" ref="S1673">IFERROR(IF(INDEX('Disaggregation Records'!$F$155:$F$385,MATCH(RIGHT(Q1673,255),RIGHT('Disaggregation Records'!$D$155:$D$385,255),0))=0,"",INDEX('Disaggregation Records'!$F$155:$F$385,MATCH(RIGHT(Q1673,255),RIGHT('Disaggregation Records'!$D$155:$D$385,255),0))),"")</f>
        <v/>
      </c>
      <c r="T1673" s="189" t="str">
        <f t="array" ref="T1673">IFERROR(IF(INDEX('Disaggregation Records'!$H$155:$H$385,MATCH(RIGHT(Q1673,255),RIGHT('Disaggregation Records'!$D$155:$D$385,255),0))=0,"",INDEX('Disaggregation Records'!$H$155:$H$385,MATCH(RIGHT(Q1673,255),RIGHT('Disaggregation Records'!$D$155:$D$385,255),0))),"")</f>
        <v/>
      </c>
      <c r="U1673" s="189">
        <f t="shared" ref="U1673" si="7266">U1671+1</f>
        <v>1938</v>
      </c>
      <c r="V1673" s="189" t="str">
        <f t="array" ref="V1673">IFERROR(IF(INDEX('Disaggregation Records'!$I$155:$I$385,MATCH(RIGHT(Q1673,255),RIGHT('Disaggregation Records'!$D$155:$D$385,255),0))=0,"",INDEX('Disaggregation Records'!$I$155:$I$385,MATCH(RIGHT(Q1673,255),RIGHT('Disaggregation Records'!$D$155:$D$385,255),0))),"")</f>
        <v/>
      </c>
      <c r="W1673" s="189" t="str">
        <f>IFERROR(INDEX('Reference Records'!L$59:L$121,MATCH(LEFT(C1673,255),'Reference Records'!E$59:E$121,0)),"")</f>
        <v/>
      </c>
    </row>
    <row r="1674" spans="1:23" s="189" customFormat="1" ht="40.200000000000003" customHeight="1" x14ac:dyDescent="0.3">
      <c r="A1674" s="678"/>
      <c r="B1674" s="675"/>
      <c r="C1674" s="667"/>
      <c r="D1674" s="677"/>
      <c r="E1674" s="677"/>
      <c r="F1674" s="202"/>
      <c r="G1674" s="669"/>
      <c r="H1674" s="671"/>
      <c r="I1674" s="673"/>
      <c r="J1674" s="652"/>
      <c r="K1674" s="667"/>
      <c r="L1674" s="667"/>
      <c r="M1674" s="652"/>
      <c r="N1674" s="652"/>
    </row>
    <row r="1675" spans="1:23" s="189" customFormat="1" ht="40.200000000000003" customHeight="1" x14ac:dyDescent="0.3">
      <c r="A1675" s="678" t="str">
        <f t="shared" ref="A1675" ca="1" si="7267">INDIRECT("'update Helper'!C"&amp;U1675)</f>
        <v>a163p000002zQhsAAE</v>
      </c>
      <c r="B1675" s="674">
        <v>27</v>
      </c>
      <c r="C1675" s="666" t="str">
        <f>VLOOKUP(B1675,'Coverage Indicators - Section D'!$A$9:$AU$70,47,FALSE)</f>
        <v/>
      </c>
      <c r="D1675" s="676" t="str">
        <f t="shared" ref="D1675" si="7268">R1675</f>
        <v/>
      </c>
      <c r="E1675" s="676" t="str">
        <f t="shared" ref="E1675" si="7269">S1675</f>
        <v/>
      </c>
      <c r="F1675" s="194"/>
      <c r="G1675" s="668" t="str">
        <f t="shared" ref="G1675" ca="1" si="7270">IF(OR(INDIRECT("'update Helper'!E"&amp;U1675)=0,F1675&lt;&gt;0,F1676&lt;&gt;0),IF(IFERROR((F1675/F1676),"")="","",(F1675/F1676)),INDIRECT("'update Helper'!E"&amp;U1675)/100)</f>
        <v/>
      </c>
      <c r="H1675" s="670"/>
      <c r="I1675" s="672"/>
      <c r="J1675" s="651"/>
      <c r="K1675" s="666" t="str">
        <f t="shared" ref="K1675" si="7271">W1675</f>
        <v/>
      </c>
      <c r="L1675" s="666" t="str">
        <f t="shared" ref="L1675" si="7272">V1675</f>
        <v/>
      </c>
      <c r="M1675" s="651"/>
      <c r="N1675" s="651"/>
      <c r="P1675" s="189">
        <f t="shared" ref="P1675" si="7273">IF(AND(EXACT(C1675,C1673),C1673&lt;&gt;0),P1673+1,0)</f>
        <v>127</v>
      </c>
      <c r="Q1675" s="189" t="str">
        <f t="shared" ref="Q1675" si="7274">IF(C1675&lt;&gt;"",C1675&amp;"-"&amp;P1675,"")</f>
        <v/>
      </c>
      <c r="R1675" s="189" t="str">
        <f t="array" ref="R1675">IFERROR(IF(INDEX('Disaggregation Records'!$E$155:$E$385,MATCH(RIGHT(Q1675,255),RIGHT('Disaggregation Records'!$D$155:$D$385,255),0))=0,"",INDEX('Disaggregation Records'!$E$155:$E$385,MATCH(RIGHT(Q1675,255),RIGHT('Disaggregation Records'!$D$155:$D$385,255),0))),"")</f>
        <v/>
      </c>
      <c r="S1675" s="189" t="str">
        <f t="array" ref="S1675">IFERROR(IF(INDEX('Disaggregation Records'!$F$155:$F$385,MATCH(RIGHT(Q1675,255),RIGHT('Disaggregation Records'!$D$155:$D$385,255),0))=0,"",INDEX('Disaggregation Records'!$F$155:$F$385,MATCH(RIGHT(Q1675,255),RIGHT('Disaggregation Records'!$D$155:$D$385,255),0))),"")</f>
        <v/>
      </c>
      <c r="T1675" s="189" t="str">
        <f t="array" ref="T1675">IFERROR(IF(INDEX('Disaggregation Records'!$H$155:$H$385,MATCH(RIGHT(Q1675,255),RIGHT('Disaggregation Records'!$D$155:$D$385,255),0))=0,"",INDEX('Disaggregation Records'!$H$155:$H$385,MATCH(RIGHT(Q1675,255),RIGHT('Disaggregation Records'!$D$155:$D$385,255),0))),"")</f>
        <v/>
      </c>
      <c r="U1675" s="189">
        <f t="shared" ref="U1675" si="7275">U1673+1</f>
        <v>1939</v>
      </c>
      <c r="V1675" s="189" t="str">
        <f t="array" ref="V1675">IFERROR(IF(INDEX('Disaggregation Records'!$I$155:$I$385,MATCH(RIGHT(Q1675,255),RIGHT('Disaggregation Records'!$D$155:$D$385,255),0))=0,"",INDEX('Disaggregation Records'!$I$155:$I$385,MATCH(RIGHT(Q1675,255),RIGHT('Disaggregation Records'!$D$155:$D$385,255),0))),"")</f>
        <v/>
      </c>
      <c r="W1675" s="189" t="str">
        <f>IFERROR(INDEX('Reference Records'!L$59:L$121,MATCH(LEFT(C1675,255),'Reference Records'!E$59:E$121,0)),"")</f>
        <v/>
      </c>
    </row>
    <row r="1676" spans="1:23" s="189" customFormat="1" ht="40.200000000000003" customHeight="1" x14ac:dyDescent="0.3">
      <c r="A1676" s="678"/>
      <c r="B1676" s="675"/>
      <c r="C1676" s="667"/>
      <c r="D1676" s="677"/>
      <c r="E1676" s="677"/>
      <c r="F1676" s="202"/>
      <c r="G1676" s="669"/>
      <c r="H1676" s="671"/>
      <c r="I1676" s="673"/>
      <c r="J1676" s="652"/>
      <c r="K1676" s="667"/>
      <c r="L1676" s="667"/>
      <c r="M1676" s="652"/>
      <c r="N1676" s="652"/>
    </row>
    <row r="1677" spans="1:23" s="189" customFormat="1" ht="40.200000000000003" customHeight="1" x14ac:dyDescent="0.3">
      <c r="A1677" s="678" t="str">
        <f t="shared" ref="A1677" ca="1" si="7276">INDIRECT("'update Helper'!C"&amp;U1677)</f>
        <v>a163p000002zQhtAAE</v>
      </c>
      <c r="B1677" s="674">
        <v>27</v>
      </c>
      <c r="C1677" s="666" t="str">
        <f>VLOOKUP(B1677,'Coverage Indicators - Section D'!$A$9:$AU$70,47,FALSE)</f>
        <v/>
      </c>
      <c r="D1677" s="676" t="str">
        <f t="shared" ref="D1677" si="7277">R1677</f>
        <v/>
      </c>
      <c r="E1677" s="676" t="str">
        <f t="shared" ref="E1677" si="7278">S1677</f>
        <v/>
      </c>
      <c r="F1677" s="194"/>
      <c r="G1677" s="668" t="str">
        <f t="shared" ref="G1677" ca="1" si="7279">IF(OR(INDIRECT("'update Helper'!E"&amp;U1677)=0,F1677&lt;&gt;0,F1678&lt;&gt;0),IF(IFERROR((F1677/F1678),"")="","",(F1677/F1678)),INDIRECT("'update Helper'!E"&amp;U1677)/100)</f>
        <v/>
      </c>
      <c r="H1677" s="670"/>
      <c r="I1677" s="672"/>
      <c r="J1677" s="651"/>
      <c r="K1677" s="666" t="str">
        <f t="shared" ref="K1677" si="7280">W1677</f>
        <v/>
      </c>
      <c r="L1677" s="666" t="str">
        <f t="shared" ref="L1677" si="7281">V1677</f>
        <v/>
      </c>
      <c r="M1677" s="651"/>
      <c r="N1677" s="651"/>
      <c r="P1677" s="189">
        <f t="shared" ref="P1677" si="7282">IF(AND(EXACT(C1677,C1675),C1675&lt;&gt;0),P1675+1,0)</f>
        <v>128</v>
      </c>
      <c r="Q1677" s="189" t="str">
        <f t="shared" ref="Q1677" si="7283">IF(C1677&lt;&gt;"",C1677&amp;"-"&amp;P1677,"")</f>
        <v/>
      </c>
      <c r="R1677" s="189" t="str">
        <f t="array" ref="R1677">IFERROR(IF(INDEX('Disaggregation Records'!$E$155:$E$385,MATCH(RIGHT(Q1677,255),RIGHT('Disaggregation Records'!$D$155:$D$385,255),0))=0,"",INDEX('Disaggregation Records'!$E$155:$E$385,MATCH(RIGHT(Q1677,255),RIGHT('Disaggregation Records'!$D$155:$D$385,255),0))),"")</f>
        <v/>
      </c>
      <c r="S1677" s="189" t="str">
        <f t="array" ref="S1677">IFERROR(IF(INDEX('Disaggregation Records'!$F$155:$F$385,MATCH(RIGHT(Q1677,255),RIGHT('Disaggregation Records'!$D$155:$D$385,255),0))=0,"",INDEX('Disaggregation Records'!$F$155:$F$385,MATCH(RIGHT(Q1677,255),RIGHT('Disaggregation Records'!$D$155:$D$385,255),0))),"")</f>
        <v/>
      </c>
      <c r="T1677" s="189" t="str">
        <f t="array" ref="T1677">IFERROR(IF(INDEX('Disaggregation Records'!$H$155:$H$385,MATCH(RIGHT(Q1677,255),RIGHT('Disaggregation Records'!$D$155:$D$385,255),0))=0,"",INDEX('Disaggregation Records'!$H$155:$H$385,MATCH(RIGHT(Q1677,255),RIGHT('Disaggregation Records'!$D$155:$D$385,255),0))),"")</f>
        <v/>
      </c>
      <c r="U1677" s="189">
        <f t="shared" ref="U1677" si="7284">U1675+1</f>
        <v>1940</v>
      </c>
      <c r="V1677" s="189" t="str">
        <f t="array" ref="V1677">IFERROR(IF(INDEX('Disaggregation Records'!$I$155:$I$385,MATCH(RIGHT(Q1677,255),RIGHT('Disaggregation Records'!$D$155:$D$385,255),0))=0,"",INDEX('Disaggregation Records'!$I$155:$I$385,MATCH(RIGHT(Q1677,255),RIGHT('Disaggregation Records'!$D$155:$D$385,255),0))),"")</f>
        <v/>
      </c>
      <c r="W1677" s="189" t="str">
        <f>IFERROR(INDEX('Reference Records'!L$59:L$121,MATCH(LEFT(C1677,255),'Reference Records'!E$59:E$121,0)),"")</f>
        <v/>
      </c>
    </row>
    <row r="1678" spans="1:23" s="189" customFormat="1" ht="40.200000000000003" customHeight="1" x14ac:dyDescent="0.3">
      <c r="A1678" s="678"/>
      <c r="B1678" s="675"/>
      <c r="C1678" s="667"/>
      <c r="D1678" s="677"/>
      <c r="E1678" s="677"/>
      <c r="F1678" s="202"/>
      <c r="G1678" s="669"/>
      <c r="H1678" s="671"/>
      <c r="I1678" s="673"/>
      <c r="J1678" s="652"/>
      <c r="K1678" s="667"/>
      <c r="L1678" s="667"/>
      <c r="M1678" s="652"/>
      <c r="N1678" s="652"/>
    </row>
    <row r="1679" spans="1:23" s="189" customFormat="1" ht="40.200000000000003" customHeight="1" x14ac:dyDescent="0.3">
      <c r="A1679" s="678" t="str">
        <f t="shared" ref="A1679" ca="1" si="7285">INDIRECT("'update Helper'!C"&amp;U1679)</f>
        <v>a163p000002zQhuAAE</v>
      </c>
      <c r="B1679" s="674">
        <v>27</v>
      </c>
      <c r="C1679" s="666" t="str">
        <f>VLOOKUP(B1679,'Coverage Indicators - Section D'!$A$9:$AU$70,47,FALSE)</f>
        <v/>
      </c>
      <c r="D1679" s="676" t="str">
        <f t="shared" ref="D1679" si="7286">R1679</f>
        <v/>
      </c>
      <c r="E1679" s="676" t="str">
        <f t="shared" ref="E1679" si="7287">S1679</f>
        <v/>
      </c>
      <c r="F1679" s="194"/>
      <c r="G1679" s="668" t="str">
        <f t="shared" ref="G1679" ca="1" si="7288">IF(OR(INDIRECT("'update Helper'!E"&amp;U1679)=0,F1679&lt;&gt;0,F1680&lt;&gt;0),IF(IFERROR((F1679/F1680),"")="","",(F1679/F1680)),INDIRECT("'update Helper'!E"&amp;U1679)/100)</f>
        <v/>
      </c>
      <c r="H1679" s="670"/>
      <c r="I1679" s="672"/>
      <c r="J1679" s="651"/>
      <c r="K1679" s="666" t="str">
        <f t="shared" ref="K1679" si="7289">W1679</f>
        <v/>
      </c>
      <c r="L1679" s="666" t="str">
        <f t="shared" ref="L1679" si="7290">V1679</f>
        <v/>
      </c>
      <c r="M1679" s="651"/>
      <c r="N1679" s="651"/>
      <c r="P1679" s="189">
        <f t="shared" ref="P1679" si="7291">IF(AND(EXACT(C1679,C1677),C1677&lt;&gt;0),P1677+1,0)</f>
        <v>129</v>
      </c>
      <c r="Q1679" s="189" t="str">
        <f t="shared" ref="Q1679" si="7292">IF(C1679&lt;&gt;"",C1679&amp;"-"&amp;P1679,"")</f>
        <v/>
      </c>
      <c r="R1679" s="189" t="str">
        <f t="array" ref="R1679">IFERROR(IF(INDEX('Disaggregation Records'!$E$155:$E$385,MATCH(RIGHT(Q1679,255),RIGHT('Disaggregation Records'!$D$155:$D$385,255),0))=0,"",INDEX('Disaggregation Records'!$E$155:$E$385,MATCH(RIGHT(Q1679,255),RIGHT('Disaggregation Records'!$D$155:$D$385,255),0))),"")</f>
        <v/>
      </c>
      <c r="S1679" s="189" t="str">
        <f t="array" ref="S1679">IFERROR(IF(INDEX('Disaggregation Records'!$F$155:$F$385,MATCH(RIGHT(Q1679,255),RIGHT('Disaggregation Records'!$D$155:$D$385,255),0))=0,"",INDEX('Disaggregation Records'!$F$155:$F$385,MATCH(RIGHT(Q1679,255),RIGHT('Disaggregation Records'!$D$155:$D$385,255),0))),"")</f>
        <v/>
      </c>
      <c r="T1679" s="189" t="str">
        <f t="array" ref="T1679">IFERROR(IF(INDEX('Disaggregation Records'!$H$155:$H$385,MATCH(RIGHT(Q1679,255),RIGHT('Disaggregation Records'!$D$155:$D$385,255),0))=0,"",INDEX('Disaggregation Records'!$H$155:$H$385,MATCH(RIGHT(Q1679,255),RIGHT('Disaggregation Records'!$D$155:$D$385,255),0))),"")</f>
        <v/>
      </c>
      <c r="U1679" s="189">
        <f t="shared" ref="U1679" si="7293">U1677+1</f>
        <v>1941</v>
      </c>
      <c r="V1679" s="189" t="str">
        <f t="array" ref="V1679">IFERROR(IF(INDEX('Disaggregation Records'!$I$155:$I$385,MATCH(RIGHT(Q1679,255),RIGHT('Disaggregation Records'!$D$155:$D$385,255),0))=0,"",INDEX('Disaggregation Records'!$I$155:$I$385,MATCH(RIGHT(Q1679,255),RIGHT('Disaggregation Records'!$D$155:$D$385,255),0))),"")</f>
        <v/>
      </c>
      <c r="W1679" s="189" t="str">
        <f>IFERROR(INDEX('Reference Records'!L$59:L$121,MATCH(LEFT(C1679,255),'Reference Records'!E$59:E$121,0)),"")</f>
        <v/>
      </c>
    </row>
    <row r="1680" spans="1:23" s="189" customFormat="1" ht="40.200000000000003" customHeight="1" x14ac:dyDescent="0.3">
      <c r="A1680" s="678"/>
      <c r="B1680" s="675"/>
      <c r="C1680" s="667"/>
      <c r="D1680" s="677"/>
      <c r="E1680" s="677"/>
      <c r="F1680" s="202"/>
      <c r="G1680" s="669"/>
      <c r="H1680" s="671"/>
      <c r="I1680" s="673"/>
      <c r="J1680" s="652"/>
      <c r="K1680" s="667"/>
      <c r="L1680" s="667"/>
      <c r="M1680" s="652"/>
      <c r="N1680" s="652"/>
    </row>
    <row r="1681" spans="1:23" s="189" customFormat="1" ht="40.200000000000003" customHeight="1" x14ac:dyDescent="0.3">
      <c r="A1681" s="678" t="str">
        <f t="shared" ref="A1681" ca="1" si="7294">INDIRECT("'update Helper'!C"&amp;U1681)</f>
        <v>a163p000002zQhvAAE</v>
      </c>
      <c r="B1681" s="674">
        <v>27</v>
      </c>
      <c r="C1681" s="666" t="str">
        <f>VLOOKUP(B1681,'Coverage Indicators - Section D'!$A$9:$AU$70,47,FALSE)</f>
        <v/>
      </c>
      <c r="D1681" s="676" t="str">
        <f t="shared" ref="D1681" si="7295">R1681</f>
        <v/>
      </c>
      <c r="E1681" s="676" t="str">
        <f t="shared" ref="E1681" si="7296">S1681</f>
        <v/>
      </c>
      <c r="F1681" s="194"/>
      <c r="G1681" s="668" t="str">
        <f t="shared" ref="G1681" ca="1" si="7297">IF(OR(INDIRECT("'update Helper'!E"&amp;U1681)=0,F1681&lt;&gt;0,F1682&lt;&gt;0),IF(IFERROR((F1681/F1682),"")="","",(F1681/F1682)),INDIRECT("'update Helper'!E"&amp;U1681)/100)</f>
        <v/>
      </c>
      <c r="H1681" s="670"/>
      <c r="I1681" s="672"/>
      <c r="J1681" s="651"/>
      <c r="K1681" s="666" t="str">
        <f t="shared" ref="K1681" si="7298">W1681</f>
        <v/>
      </c>
      <c r="L1681" s="666" t="str">
        <f t="shared" ref="L1681" si="7299">V1681</f>
        <v/>
      </c>
      <c r="M1681" s="651"/>
      <c r="N1681" s="651"/>
      <c r="P1681" s="189">
        <f t="shared" ref="P1681" si="7300">IF(AND(EXACT(C1681,C1679),C1679&lt;&gt;0),P1679+1,0)</f>
        <v>130</v>
      </c>
      <c r="Q1681" s="189" t="str">
        <f t="shared" ref="Q1681" si="7301">IF(C1681&lt;&gt;"",C1681&amp;"-"&amp;P1681,"")</f>
        <v/>
      </c>
      <c r="R1681" s="189" t="str">
        <f t="array" ref="R1681">IFERROR(IF(INDEX('Disaggregation Records'!$E$155:$E$385,MATCH(RIGHT(Q1681,255),RIGHT('Disaggregation Records'!$D$155:$D$385,255),0))=0,"",INDEX('Disaggregation Records'!$E$155:$E$385,MATCH(RIGHT(Q1681,255),RIGHT('Disaggregation Records'!$D$155:$D$385,255),0))),"")</f>
        <v/>
      </c>
      <c r="S1681" s="189" t="str">
        <f t="array" ref="S1681">IFERROR(IF(INDEX('Disaggregation Records'!$F$155:$F$385,MATCH(RIGHT(Q1681,255),RIGHT('Disaggregation Records'!$D$155:$D$385,255),0))=0,"",INDEX('Disaggregation Records'!$F$155:$F$385,MATCH(RIGHT(Q1681,255),RIGHT('Disaggregation Records'!$D$155:$D$385,255),0))),"")</f>
        <v/>
      </c>
      <c r="T1681" s="189" t="str">
        <f t="array" ref="T1681">IFERROR(IF(INDEX('Disaggregation Records'!$H$155:$H$385,MATCH(RIGHT(Q1681,255),RIGHT('Disaggregation Records'!$D$155:$D$385,255),0))=0,"",INDEX('Disaggregation Records'!$H$155:$H$385,MATCH(RIGHT(Q1681,255),RIGHT('Disaggregation Records'!$D$155:$D$385,255),0))),"")</f>
        <v/>
      </c>
      <c r="U1681" s="189">
        <f t="shared" ref="U1681" si="7302">U1679+1</f>
        <v>1942</v>
      </c>
      <c r="V1681" s="189" t="str">
        <f t="array" ref="V1681">IFERROR(IF(INDEX('Disaggregation Records'!$I$155:$I$385,MATCH(RIGHT(Q1681,255),RIGHT('Disaggregation Records'!$D$155:$D$385,255),0))=0,"",INDEX('Disaggregation Records'!$I$155:$I$385,MATCH(RIGHT(Q1681,255),RIGHT('Disaggregation Records'!$D$155:$D$385,255),0))),"")</f>
        <v/>
      </c>
      <c r="W1681" s="189" t="str">
        <f>IFERROR(INDEX('Reference Records'!L$59:L$121,MATCH(LEFT(C1681,255),'Reference Records'!E$59:E$121,0)),"")</f>
        <v/>
      </c>
    </row>
    <row r="1682" spans="1:23" s="189" customFormat="1" ht="40.200000000000003" customHeight="1" x14ac:dyDescent="0.3">
      <c r="A1682" s="678"/>
      <c r="B1682" s="675"/>
      <c r="C1682" s="667"/>
      <c r="D1682" s="677"/>
      <c r="E1682" s="677"/>
      <c r="F1682" s="202"/>
      <c r="G1682" s="669"/>
      <c r="H1682" s="671"/>
      <c r="I1682" s="673"/>
      <c r="J1682" s="652"/>
      <c r="K1682" s="667"/>
      <c r="L1682" s="667"/>
      <c r="M1682" s="652"/>
      <c r="N1682" s="652"/>
    </row>
    <row r="1683" spans="1:23" s="189" customFormat="1" ht="40.200000000000003" customHeight="1" x14ac:dyDescent="0.3">
      <c r="A1683" s="678" t="str">
        <f t="shared" ref="A1683" ca="1" si="7303">INDIRECT("'update Helper'!C"&amp;U1683)</f>
        <v>a163p000002zQhwAAE</v>
      </c>
      <c r="B1683" s="674">
        <v>27</v>
      </c>
      <c r="C1683" s="666" t="str">
        <f>VLOOKUP(B1683,'Coverage Indicators - Section D'!$A$9:$AU$70,47,FALSE)</f>
        <v/>
      </c>
      <c r="D1683" s="676" t="str">
        <f t="shared" ref="D1683" si="7304">R1683</f>
        <v/>
      </c>
      <c r="E1683" s="676" t="str">
        <f t="shared" ref="E1683" si="7305">S1683</f>
        <v/>
      </c>
      <c r="F1683" s="194"/>
      <c r="G1683" s="668" t="str">
        <f t="shared" ref="G1683" ca="1" si="7306">IF(OR(INDIRECT("'update Helper'!E"&amp;U1683)=0,F1683&lt;&gt;0,F1684&lt;&gt;0),IF(IFERROR((F1683/F1684),"")="","",(F1683/F1684)),INDIRECT("'update Helper'!E"&amp;U1683)/100)</f>
        <v/>
      </c>
      <c r="H1683" s="670"/>
      <c r="I1683" s="672"/>
      <c r="J1683" s="651"/>
      <c r="K1683" s="666" t="str">
        <f t="shared" ref="K1683" si="7307">W1683</f>
        <v/>
      </c>
      <c r="L1683" s="666" t="str">
        <f t="shared" ref="L1683" si="7308">V1683</f>
        <v/>
      </c>
      <c r="M1683" s="651"/>
      <c r="N1683" s="651"/>
      <c r="P1683" s="189">
        <f t="shared" ref="P1683" si="7309">IF(AND(EXACT(C1683,C1681),C1681&lt;&gt;0),P1681+1,0)</f>
        <v>131</v>
      </c>
      <c r="Q1683" s="189" t="str">
        <f t="shared" ref="Q1683" si="7310">IF(C1683&lt;&gt;"",C1683&amp;"-"&amp;P1683,"")</f>
        <v/>
      </c>
      <c r="R1683" s="189" t="str">
        <f t="array" ref="R1683">IFERROR(IF(INDEX('Disaggregation Records'!$E$155:$E$385,MATCH(RIGHT(Q1683,255),RIGHT('Disaggregation Records'!$D$155:$D$385,255),0))=0,"",INDEX('Disaggregation Records'!$E$155:$E$385,MATCH(RIGHT(Q1683,255),RIGHT('Disaggregation Records'!$D$155:$D$385,255),0))),"")</f>
        <v/>
      </c>
      <c r="S1683" s="189" t="str">
        <f t="array" ref="S1683">IFERROR(IF(INDEX('Disaggregation Records'!$F$155:$F$385,MATCH(RIGHT(Q1683,255),RIGHT('Disaggregation Records'!$D$155:$D$385,255),0))=0,"",INDEX('Disaggregation Records'!$F$155:$F$385,MATCH(RIGHT(Q1683,255),RIGHT('Disaggregation Records'!$D$155:$D$385,255),0))),"")</f>
        <v/>
      </c>
      <c r="T1683" s="189" t="str">
        <f t="array" ref="T1683">IFERROR(IF(INDEX('Disaggregation Records'!$H$155:$H$385,MATCH(RIGHT(Q1683,255),RIGHT('Disaggregation Records'!$D$155:$D$385,255),0))=0,"",INDEX('Disaggregation Records'!$H$155:$H$385,MATCH(RIGHT(Q1683,255),RIGHT('Disaggregation Records'!$D$155:$D$385,255),0))),"")</f>
        <v/>
      </c>
      <c r="U1683" s="189">
        <f t="shared" ref="U1683" si="7311">U1681+1</f>
        <v>1943</v>
      </c>
      <c r="V1683" s="189" t="str">
        <f t="array" ref="V1683">IFERROR(IF(INDEX('Disaggregation Records'!$I$155:$I$385,MATCH(RIGHT(Q1683,255),RIGHT('Disaggregation Records'!$D$155:$D$385,255),0))=0,"",INDEX('Disaggregation Records'!$I$155:$I$385,MATCH(RIGHT(Q1683,255),RIGHT('Disaggregation Records'!$D$155:$D$385,255),0))),"")</f>
        <v/>
      </c>
      <c r="W1683" s="189" t="str">
        <f>IFERROR(INDEX('Reference Records'!L$59:L$121,MATCH(LEFT(C1683,255),'Reference Records'!E$59:E$121,0)),"")</f>
        <v/>
      </c>
    </row>
    <row r="1684" spans="1:23" s="189" customFormat="1" ht="40.200000000000003" customHeight="1" x14ac:dyDescent="0.3">
      <c r="A1684" s="678"/>
      <c r="B1684" s="675"/>
      <c r="C1684" s="667"/>
      <c r="D1684" s="677"/>
      <c r="E1684" s="677"/>
      <c r="F1684" s="202"/>
      <c r="G1684" s="669"/>
      <c r="H1684" s="671"/>
      <c r="I1684" s="673"/>
      <c r="J1684" s="652"/>
      <c r="K1684" s="667"/>
      <c r="L1684" s="667"/>
      <c r="M1684" s="652"/>
      <c r="N1684" s="652"/>
    </row>
    <row r="1685" spans="1:23" s="189" customFormat="1" ht="40.200000000000003" customHeight="1" x14ac:dyDescent="0.3">
      <c r="A1685" s="678" t="str">
        <f t="shared" ref="A1685" ca="1" si="7312">INDIRECT("'update Helper'!C"&amp;U1685)</f>
        <v>a163p000002zQhxAAE</v>
      </c>
      <c r="B1685" s="674">
        <v>27</v>
      </c>
      <c r="C1685" s="666" t="str">
        <f>VLOOKUP(B1685,'Coverage Indicators - Section D'!$A$9:$AU$70,47,FALSE)</f>
        <v/>
      </c>
      <c r="D1685" s="676" t="str">
        <f t="shared" ref="D1685" si="7313">R1685</f>
        <v/>
      </c>
      <c r="E1685" s="676" t="str">
        <f t="shared" ref="E1685" si="7314">S1685</f>
        <v/>
      </c>
      <c r="F1685" s="194"/>
      <c r="G1685" s="668" t="str">
        <f t="shared" ref="G1685" ca="1" si="7315">IF(OR(INDIRECT("'update Helper'!E"&amp;U1685)=0,F1685&lt;&gt;0,F1686&lt;&gt;0),IF(IFERROR((F1685/F1686),"")="","",(F1685/F1686)),INDIRECT("'update Helper'!E"&amp;U1685)/100)</f>
        <v/>
      </c>
      <c r="H1685" s="670"/>
      <c r="I1685" s="672"/>
      <c r="J1685" s="651"/>
      <c r="K1685" s="666" t="str">
        <f t="shared" ref="K1685" si="7316">W1685</f>
        <v/>
      </c>
      <c r="L1685" s="666" t="str">
        <f t="shared" ref="L1685" si="7317">V1685</f>
        <v/>
      </c>
      <c r="M1685" s="651"/>
      <c r="N1685" s="651"/>
      <c r="P1685" s="189">
        <f t="shared" ref="P1685" si="7318">IF(AND(EXACT(C1685,C1683),C1683&lt;&gt;0),P1683+1,0)</f>
        <v>132</v>
      </c>
      <c r="Q1685" s="189" t="str">
        <f t="shared" ref="Q1685" si="7319">IF(C1685&lt;&gt;"",C1685&amp;"-"&amp;P1685,"")</f>
        <v/>
      </c>
      <c r="R1685" s="189" t="str">
        <f t="array" ref="R1685">IFERROR(IF(INDEX('Disaggregation Records'!$E$155:$E$385,MATCH(RIGHT(Q1685,255),RIGHT('Disaggregation Records'!$D$155:$D$385,255),0))=0,"",INDEX('Disaggregation Records'!$E$155:$E$385,MATCH(RIGHT(Q1685,255),RIGHT('Disaggregation Records'!$D$155:$D$385,255),0))),"")</f>
        <v/>
      </c>
      <c r="S1685" s="189" t="str">
        <f t="array" ref="S1685">IFERROR(IF(INDEX('Disaggregation Records'!$F$155:$F$385,MATCH(RIGHT(Q1685,255),RIGHT('Disaggregation Records'!$D$155:$D$385,255),0))=0,"",INDEX('Disaggregation Records'!$F$155:$F$385,MATCH(RIGHT(Q1685,255),RIGHT('Disaggregation Records'!$D$155:$D$385,255),0))),"")</f>
        <v/>
      </c>
      <c r="T1685" s="189" t="str">
        <f t="array" ref="T1685">IFERROR(IF(INDEX('Disaggregation Records'!$H$155:$H$385,MATCH(RIGHT(Q1685,255),RIGHT('Disaggregation Records'!$D$155:$D$385,255),0))=0,"",INDEX('Disaggregation Records'!$H$155:$H$385,MATCH(RIGHT(Q1685,255),RIGHT('Disaggregation Records'!$D$155:$D$385,255),0))),"")</f>
        <v/>
      </c>
      <c r="U1685" s="189">
        <f t="shared" ref="U1685" si="7320">U1683+1</f>
        <v>1944</v>
      </c>
      <c r="V1685" s="189" t="str">
        <f t="array" ref="V1685">IFERROR(IF(INDEX('Disaggregation Records'!$I$155:$I$385,MATCH(RIGHT(Q1685,255),RIGHT('Disaggregation Records'!$D$155:$D$385,255),0))=0,"",INDEX('Disaggregation Records'!$I$155:$I$385,MATCH(RIGHT(Q1685,255),RIGHT('Disaggregation Records'!$D$155:$D$385,255),0))),"")</f>
        <v/>
      </c>
      <c r="W1685" s="189" t="str">
        <f>IFERROR(INDEX('Reference Records'!L$59:L$121,MATCH(LEFT(C1685,255),'Reference Records'!E$59:E$121,0)),"")</f>
        <v/>
      </c>
    </row>
    <row r="1686" spans="1:23" s="189" customFormat="1" ht="40.200000000000003" customHeight="1" x14ac:dyDescent="0.3">
      <c r="A1686" s="678"/>
      <c r="B1686" s="675"/>
      <c r="C1686" s="667"/>
      <c r="D1686" s="677"/>
      <c r="E1686" s="677"/>
      <c r="F1686" s="202"/>
      <c r="G1686" s="669"/>
      <c r="H1686" s="671"/>
      <c r="I1686" s="673"/>
      <c r="J1686" s="652"/>
      <c r="K1686" s="667"/>
      <c r="L1686" s="667"/>
      <c r="M1686" s="652"/>
      <c r="N1686" s="652"/>
    </row>
    <row r="1687" spans="1:23" s="189" customFormat="1" ht="40.200000000000003" customHeight="1" x14ac:dyDescent="0.3">
      <c r="A1687" s="678" t="str">
        <f t="shared" ref="A1687" ca="1" si="7321">INDIRECT("'update Helper'!C"&amp;U1687)</f>
        <v>a163p000002zQhyAAE</v>
      </c>
      <c r="B1687" s="674">
        <v>27</v>
      </c>
      <c r="C1687" s="666" t="str">
        <f>VLOOKUP(B1687,'Coverage Indicators - Section D'!$A$9:$AU$70,47,FALSE)</f>
        <v/>
      </c>
      <c r="D1687" s="676" t="str">
        <f t="shared" ref="D1687" si="7322">R1687</f>
        <v/>
      </c>
      <c r="E1687" s="676" t="str">
        <f t="shared" ref="E1687" si="7323">S1687</f>
        <v/>
      </c>
      <c r="F1687" s="194"/>
      <c r="G1687" s="668" t="str">
        <f t="shared" ref="G1687" ca="1" si="7324">IF(OR(INDIRECT("'update Helper'!E"&amp;U1687)=0,F1687&lt;&gt;0,F1688&lt;&gt;0),IF(IFERROR((F1687/F1688),"")="","",(F1687/F1688)),INDIRECT("'update Helper'!E"&amp;U1687)/100)</f>
        <v/>
      </c>
      <c r="H1687" s="670"/>
      <c r="I1687" s="672"/>
      <c r="J1687" s="651"/>
      <c r="K1687" s="666" t="str">
        <f t="shared" ref="K1687" si="7325">W1687</f>
        <v/>
      </c>
      <c r="L1687" s="666" t="str">
        <f t="shared" ref="L1687" si="7326">V1687</f>
        <v/>
      </c>
      <c r="M1687" s="651"/>
      <c r="N1687" s="651"/>
      <c r="P1687" s="189">
        <f t="shared" ref="P1687" si="7327">IF(AND(EXACT(C1687,C1685),C1685&lt;&gt;0),P1685+1,0)</f>
        <v>133</v>
      </c>
      <c r="Q1687" s="189" t="str">
        <f t="shared" ref="Q1687" si="7328">IF(C1687&lt;&gt;"",C1687&amp;"-"&amp;P1687,"")</f>
        <v/>
      </c>
      <c r="R1687" s="189" t="str">
        <f t="array" ref="R1687">IFERROR(IF(INDEX('Disaggregation Records'!$E$155:$E$385,MATCH(RIGHT(Q1687,255),RIGHT('Disaggregation Records'!$D$155:$D$385,255),0))=0,"",INDEX('Disaggregation Records'!$E$155:$E$385,MATCH(RIGHT(Q1687,255),RIGHT('Disaggregation Records'!$D$155:$D$385,255),0))),"")</f>
        <v/>
      </c>
      <c r="S1687" s="189" t="str">
        <f t="array" ref="S1687">IFERROR(IF(INDEX('Disaggregation Records'!$F$155:$F$385,MATCH(RIGHT(Q1687,255),RIGHT('Disaggregation Records'!$D$155:$D$385,255),0))=0,"",INDEX('Disaggregation Records'!$F$155:$F$385,MATCH(RIGHT(Q1687,255),RIGHT('Disaggregation Records'!$D$155:$D$385,255),0))),"")</f>
        <v/>
      </c>
      <c r="T1687" s="189" t="str">
        <f t="array" ref="T1687">IFERROR(IF(INDEX('Disaggregation Records'!$H$155:$H$385,MATCH(RIGHT(Q1687,255),RIGHT('Disaggregation Records'!$D$155:$D$385,255),0))=0,"",INDEX('Disaggregation Records'!$H$155:$H$385,MATCH(RIGHT(Q1687,255),RIGHT('Disaggregation Records'!$D$155:$D$385,255),0))),"")</f>
        <v/>
      </c>
      <c r="U1687" s="189">
        <f t="shared" ref="U1687" si="7329">U1685+1</f>
        <v>1945</v>
      </c>
      <c r="V1687" s="189" t="str">
        <f t="array" ref="V1687">IFERROR(IF(INDEX('Disaggregation Records'!$I$155:$I$385,MATCH(RIGHT(Q1687,255),RIGHT('Disaggregation Records'!$D$155:$D$385,255),0))=0,"",INDEX('Disaggregation Records'!$I$155:$I$385,MATCH(RIGHT(Q1687,255),RIGHT('Disaggregation Records'!$D$155:$D$385,255),0))),"")</f>
        <v/>
      </c>
      <c r="W1687" s="189" t="str">
        <f>IFERROR(INDEX('Reference Records'!L$59:L$121,MATCH(LEFT(C1687,255),'Reference Records'!E$59:E$121,0)),"")</f>
        <v/>
      </c>
    </row>
    <row r="1688" spans="1:23" s="189" customFormat="1" ht="40.200000000000003" customHeight="1" x14ac:dyDescent="0.3">
      <c r="A1688" s="678"/>
      <c r="B1688" s="675"/>
      <c r="C1688" s="667"/>
      <c r="D1688" s="677"/>
      <c r="E1688" s="677"/>
      <c r="F1688" s="202"/>
      <c r="G1688" s="669"/>
      <c r="H1688" s="671"/>
      <c r="I1688" s="673"/>
      <c r="J1688" s="652"/>
      <c r="K1688" s="667"/>
      <c r="L1688" s="667"/>
      <c r="M1688" s="652"/>
      <c r="N1688" s="652"/>
    </row>
    <row r="1689" spans="1:23" s="189" customFormat="1" ht="40.200000000000003" customHeight="1" x14ac:dyDescent="0.3">
      <c r="A1689" s="678" t="str">
        <f t="shared" ref="A1689" ca="1" si="7330">INDIRECT("'update Helper'!C"&amp;U1689)</f>
        <v>a163p000002zQhzAAE</v>
      </c>
      <c r="B1689" s="674">
        <v>27</v>
      </c>
      <c r="C1689" s="666" t="str">
        <f>VLOOKUP(B1689,'Coverage Indicators - Section D'!$A$9:$AU$70,47,FALSE)</f>
        <v/>
      </c>
      <c r="D1689" s="676" t="str">
        <f t="shared" ref="D1689" si="7331">R1689</f>
        <v/>
      </c>
      <c r="E1689" s="676" t="str">
        <f t="shared" ref="E1689" si="7332">S1689</f>
        <v/>
      </c>
      <c r="F1689" s="194"/>
      <c r="G1689" s="668" t="str">
        <f t="shared" ref="G1689" ca="1" si="7333">IF(OR(INDIRECT("'update Helper'!E"&amp;U1689)=0,F1689&lt;&gt;0,F1690&lt;&gt;0),IF(IFERROR((F1689/F1690),"")="","",(F1689/F1690)),INDIRECT("'update Helper'!E"&amp;U1689)/100)</f>
        <v/>
      </c>
      <c r="H1689" s="670"/>
      <c r="I1689" s="672"/>
      <c r="J1689" s="651"/>
      <c r="K1689" s="666" t="str">
        <f t="shared" ref="K1689" si="7334">W1689</f>
        <v/>
      </c>
      <c r="L1689" s="666" t="str">
        <f t="shared" ref="L1689" si="7335">V1689</f>
        <v/>
      </c>
      <c r="M1689" s="651"/>
      <c r="N1689" s="651"/>
      <c r="P1689" s="189">
        <f t="shared" ref="P1689" si="7336">IF(AND(EXACT(C1689,C1687),C1687&lt;&gt;0),P1687+1,0)</f>
        <v>134</v>
      </c>
      <c r="Q1689" s="189" t="str">
        <f t="shared" ref="Q1689" si="7337">IF(C1689&lt;&gt;"",C1689&amp;"-"&amp;P1689,"")</f>
        <v/>
      </c>
      <c r="R1689" s="189" t="str">
        <f t="array" ref="R1689">IFERROR(IF(INDEX('Disaggregation Records'!$E$155:$E$385,MATCH(RIGHT(Q1689,255),RIGHT('Disaggregation Records'!$D$155:$D$385,255),0))=0,"",INDEX('Disaggregation Records'!$E$155:$E$385,MATCH(RIGHT(Q1689,255),RIGHT('Disaggregation Records'!$D$155:$D$385,255),0))),"")</f>
        <v/>
      </c>
      <c r="S1689" s="189" t="str">
        <f t="array" ref="S1689">IFERROR(IF(INDEX('Disaggregation Records'!$F$155:$F$385,MATCH(RIGHT(Q1689,255),RIGHT('Disaggregation Records'!$D$155:$D$385,255),0))=0,"",INDEX('Disaggregation Records'!$F$155:$F$385,MATCH(RIGHT(Q1689,255),RIGHT('Disaggregation Records'!$D$155:$D$385,255),0))),"")</f>
        <v/>
      </c>
      <c r="T1689" s="189" t="str">
        <f t="array" ref="T1689">IFERROR(IF(INDEX('Disaggregation Records'!$H$155:$H$385,MATCH(RIGHT(Q1689,255),RIGHT('Disaggregation Records'!$D$155:$D$385,255),0))=0,"",INDEX('Disaggregation Records'!$H$155:$H$385,MATCH(RIGHT(Q1689,255),RIGHT('Disaggregation Records'!$D$155:$D$385,255),0))),"")</f>
        <v/>
      </c>
      <c r="U1689" s="189">
        <f t="shared" ref="U1689" si="7338">U1687+1</f>
        <v>1946</v>
      </c>
      <c r="V1689" s="189" t="str">
        <f t="array" ref="V1689">IFERROR(IF(INDEX('Disaggregation Records'!$I$155:$I$385,MATCH(RIGHT(Q1689,255),RIGHT('Disaggregation Records'!$D$155:$D$385,255),0))=0,"",INDEX('Disaggregation Records'!$I$155:$I$385,MATCH(RIGHT(Q1689,255),RIGHT('Disaggregation Records'!$D$155:$D$385,255),0))),"")</f>
        <v/>
      </c>
      <c r="W1689" s="189" t="str">
        <f>IFERROR(INDEX('Reference Records'!L$59:L$121,MATCH(LEFT(C1689,255),'Reference Records'!E$59:E$121,0)),"")</f>
        <v/>
      </c>
    </row>
    <row r="1690" spans="1:23" s="189" customFormat="1" ht="40.200000000000003" customHeight="1" x14ac:dyDescent="0.3">
      <c r="A1690" s="678"/>
      <c r="B1690" s="675"/>
      <c r="C1690" s="667"/>
      <c r="D1690" s="677"/>
      <c r="E1690" s="677"/>
      <c r="F1690" s="202"/>
      <c r="G1690" s="669"/>
      <c r="H1690" s="671"/>
      <c r="I1690" s="673"/>
      <c r="J1690" s="652"/>
      <c r="K1690" s="667"/>
      <c r="L1690" s="667"/>
      <c r="M1690" s="652"/>
      <c r="N1690" s="652"/>
    </row>
    <row r="1691" spans="1:23" s="189" customFormat="1" ht="40.200000000000003" customHeight="1" x14ac:dyDescent="0.3">
      <c r="A1691" s="678" t="str">
        <f t="shared" ref="A1691" ca="1" si="7339">INDIRECT("'update Helper'!C"&amp;U1691)</f>
        <v>a163p000002zQi0AAE</v>
      </c>
      <c r="B1691" s="674">
        <v>27</v>
      </c>
      <c r="C1691" s="666" t="str">
        <f>VLOOKUP(B1691,'Coverage Indicators - Section D'!$A$9:$AU$70,47,FALSE)</f>
        <v/>
      </c>
      <c r="D1691" s="676" t="str">
        <f t="shared" ref="D1691" si="7340">R1691</f>
        <v/>
      </c>
      <c r="E1691" s="676" t="str">
        <f t="shared" ref="E1691" si="7341">S1691</f>
        <v/>
      </c>
      <c r="F1691" s="194"/>
      <c r="G1691" s="668" t="str">
        <f t="shared" ref="G1691" ca="1" si="7342">IF(OR(INDIRECT("'update Helper'!E"&amp;U1691)=0,F1691&lt;&gt;0,F1692&lt;&gt;0),IF(IFERROR((F1691/F1692),"")="","",(F1691/F1692)),INDIRECT("'update Helper'!E"&amp;U1691)/100)</f>
        <v/>
      </c>
      <c r="H1691" s="670"/>
      <c r="I1691" s="672"/>
      <c r="J1691" s="651"/>
      <c r="K1691" s="666" t="str">
        <f t="shared" ref="K1691" si="7343">W1691</f>
        <v/>
      </c>
      <c r="L1691" s="666" t="str">
        <f t="shared" ref="L1691" si="7344">V1691</f>
        <v/>
      </c>
      <c r="M1691" s="651"/>
      <c r="N1691" s="651"/>
      <c r="P1691" s="189">
        <f t="shared" ref="P1691" si="7345">IF(AND(EXACT(C1691,C1689),C1689&lt;&gt;0),P1689+1,0)</f>
        <v>135</v>
      </c>
      <c r="Q1691" s="189" t="str">
        <f t="shared" ref="Q1691" si="7346">IF(C1691&lt;&gt;"",C1691&amp;"-"&amp;P1691,"")</f>
        <v/>
      </c>
      <c r="R1691" s="189" t="str">
        <f t="array" ref="R1691">IFERROR(IF(INDEX('Disaggregation Records'!$E$155:$E$385,MATCH(RIGHT(Q1691,255),RIGHT('Disaggregation Records'!$D$155:$D$385,255),0))=0,"",INDEX('Disaggregation Records'!$E$155:$E$385,MATCH(RIGHT(Q1691,255),RIGHT('Disaggregation Records'!$D$155:$D$385,255),0))),"")</f>
        <v/>
      </c>
      <c r="S1691" s="189" t="str">
        <f t="array" ref="S1691">IFERROR(IF(INDEX('Disaggregation Records'!$F$155:$F$385,MATCH(RIGHT(Q1691,255),RIGHT('Disaggregation Records'!$D$155:$D$385,255),0))=0,"",INDEX('Disaggregation Records'!$F$155:$F$385,MATCH(RIGHT(Q1691,255),RIGHT('Disaggregation Records'!$D$155:$D$385,255),0))),"")</f>
        <v/>
      </c>
      <c r="T1691" s="189" t="str">
        <f t="array" ref="T1691">IFERROR(IF(INDEX('Disaggregation Records'!$H$155:$H$385,MATCH(RIGHT(Q1691,255),RIGHT('Disaggregation Records'!$D$155:$D$385,255),0))=0,"",INDEX('Disaggregation Records'!$H$155:$H$385,MATCH(RIGHT(Q1691,255),RIGHT('Disaggregation Records'!$D$155:$D$385,255),0))),"")</f>
        <v/>
      </c>
      <c r="U1691" s="189">
        <f t="shared" ref="U1691" si="7347">U1689+1</f>
        <v>1947</v>
      </c>
      <c r="V1691" s="189" t="str">
        <f t="array" ref="V1691">IFERROR(IF(INDEX('Disaggregation Records'!$I$155:$I$385,MATCH(RIGHT(Q1691,255),RIGHT('Disaggregation Records'!$D$155:$D$385,255),0))=0,"",INDEX('Disaggregation Records'!$I$155:$I$385,MATCH(RIGHT(Q1691,255),RIGHT('Disaggregation Records'!$D$155:$D$385,255),0))),"")</f>
        <v/>
      </c>
      <c r="W1691" s="189" t="str">
        <f>IFERROR(INDEX('Reference Records'!L$59:L$121,MATCH(LEFT(C1691,255),'Reference Records'!E$59:E$121,0)),"")</f>
        <v/>
      </c>
    </row>
    <row r="1692" spans="1:23" s="189" customFormat="1" ht="40.200000000000003" customHeight="1" x14ac:dyDescent="0.3">
      <c r="A1692" s="678"/>
      <c r="B1692" s="675"/>
      <c r="C1692" s="667"/>
      <c r="D1692" s="677"/>
      <c r="E1692" s="677"/>
      <c r="F1692" s="202"/>
      <c r="G1692" s="669"/>
      <c r="H1692" s="671"/>
      <c r="I1692" s="673"/>
      <c r="J1692" s="652"/>
      <c r="K1692" s="667"/>
      <c r="L1692" s="667"/>
      <c r="M1692" s="652"/>
      <c r="N1692" s="652"/>
    </row>
    <row r="1693" spans="1:23" s="189" customFormat="1" ht="40.200000000000003" customHeight="1" x14ac:dyDescent="0.3">
      <c r="A1693" s="678" t="str">
        <f t="shared" ref="A1693" ca="1" si="7348">INDIRECT("'update Helper'!C"&amp;U1693)</f>
        <v>a163p000002zQi1AAE</v>
      </c>
      <c r="B1693" s="674">
        <v>27</v>
      </c>
      <c r="C1693" s="666" t="str">
        <f>VLOOKUP(B1693,'Coverage Indicators - Section D'!$A$9:$AU$70,47,FALSE)</f>
        <v/>
      </c>
      <c r="D1693" s="676" t="str">
        <f t="shared" ref="D1693" si="7349">R1693</f>
        <v/>
      </c>
      <c r="E1693" s="676" t="str">
        <f t="shared" ref="E1693" si="7350">S1693</f>
        <v/>
      </c>
      <c r="F1693" s="194"/>
      <c r="G1693" s="668" t="str">
        <f t="shared" ref="G1693" ca="1" si="7351">IF(OR(INDIRECT("'update Helper'!E"&amp;U1693)=0,F1693&lt;&gt;0,F1694&lt;&gt;0),IF(IFERROR((F1693/F1694),"")="","",(F1693/F1694)),INDIRECT("'update Helper'!E"&amp;U1693)/100)</f>
        <v/>
      </c>
      <c r="H1693" s="670"/>
      <c r="I1693" s="672"/>
      <c r="J1693" s="651"/>
      <c r="K1693" s="666" t="str">
        <f t="shared" ref="K1693" si="7352">W1693</f>
        <v/>
      </c>
      <c r="L1693" s="666" t="str">
        <f t="shared" ref="L1693" si="7353">V1693</f>
        <v/>
      </c>
      <c r="M1693" s="651"/>
      <c r="N1693" s="651"/>
      <c r="P1693" s="189">
        <f t="shared" ref="P1693" si="7354">IF(AND(EXACT(C1693,C1691),C1691&lt;&gt;0),P1691+1,0)</f>
        <v>136</v>
      </c>
      <c r="Q1693" s="189" t="str">
        <f t="shared" ref="Q1693" si="7355">IF(C1693&lt;&gt;"",C1693&amp;"-"&amp;P1693,"")</f>
        <v/>
      </c>
      <c r="R1693" s="189" t="str">
        <f t="array" ref="R1693">IFERROR(IF(INDEX('Disaggregation Records'!$E$155:$E$385,MATCH(RIGHT(Q1693,255),RIGHT('Disaggregation Records'!$D$155:$D$385,255),0))=0,"",INDEX('Disaggregation Records'!$E$155:$E$385,MATCH(RIGHT(Q1693,255),RIGHT('Disaggregation Records'!$D$155:$D$385,255),0))),"")</f>
        <v/>
      </c>
      <c r="S1693" s="189" t="str">
        <f t="array" ref="S1693">IFERROR(IF(INDEX('Disaggregation Records'!$F$155:$F$385,MATCH(RIGHT(Q1693,255),RIGHT('Disaggregation Records'!$D$155:$D$385,255),0))=0,"",INDEX('Disaggregation Records'!$F$155:$F$385,MATCH(RIGHT(Q1693,255),RIGHT('Disaggregation Records'!$D$155:$D$385,255),0))),"")</f>
        <v/>
      </c>
      <c r="T1693" s="189" t="str">
        <f t="array" ref="T1693">IFERROR(IF(INDEX('Disaggregation Records'!$H$155:$H$385,MATCH(RIGHT(Q1693,255),RIGHT('Disaggregation Records'!$D$155:$D$385,255),0))=0,"",INDEX('Disaggregation Records'!$H$155:$H$385,MATCH(RIGHT(Q1693,255),RIGHT('Disaggregation Records'!$D$155:$D$385,255),0))),"")</f>
        <v/>
      </c>
      <c r="U1693" s="189">
        <f t="shared" ref="U1693" si="7356">U1691+1</f>
        <v>1948</v>
      </c>
      <c r="V1693" s="189" t="str">
        <f t="array" ref="V1693">IFERROR(IF(INDEX('Disaggregation Records'!$I$155:$I$385,MATCH(RIGHT(Q1693,255),RIGHT('Disaggregation Records'!$D$155:$D$385,255),0))=0,"",INDEX('Disaggregation Records'!$I$155:$I$385,MATCH(RIGHT(Q1693,255),RIGHT('Disaggregation Records'!$D$155:$D$385,255),0))),"")</f>
        <v/>
      </c>
      <c r="W1693" s="189" t="str">
        <f>IFERROR(INDEX('Reference Records'!L$59:L$121,MATCH(LEFT(C1693,255),'Reference Records'!E$59:E$121,0)),"")</f>
        <v/>
      </c>
    </row>
    <row r="1694" spans="1:23" s="189" customFormat="1" ht="40.200000000000003" customHeight="1" x14ac:dyDescent="0.3">
      <c r="A1694" s="678"/>
      <c r="B1694" s="675"/>
      <c r="C1694" s="667"/>
      <c r="D1694" s="677"/>
      <c r="E1694" s="677"/>
      <c r="F1694" s="202"/>
      <c r="G1694" s="669"/>
      <c r="H1694" s="671"/>
      <c r="I1694" s="673"/>
      <c r="J1694" s="652"/>
      <c r="K1694" s="667"/>
      <c r="L1694" s="667"/>
      <c r="M1694" s="652"/>
      <c r="N1694" s="652"/>
    </row>
    <row r="1695" spans="1:23" s="189" customFormat="1" ht="40.200000000000003" customHeight="1" x14ac:dyDescent="0.3">
      <c r="A1695" s="678" t="str">
        <f t="shared" ref="A1695" ca="1" si="7357">INDIRECT("'update Helper'!C"&amp;U1695)</f>
        <v>a163p000002zQi2AAE</v>
      </c>
      <c r="B1695" s="674">
        <v>27</v>
      </c>
      <c r="C1695" s="666" t="str">
        <f>VLOOKUP(B1695,'Coverage Indicators - Section D'!$A$9:$AU$70,47,FALSE)</f>
        <v/>
      </c>
      <c r="D1695" s="676" t="str">
        <f t="shared" ref="D1695" si="7358">R1695</f>
        <v/>
      </c>
      <c r="E1695" s="676" t="str">
        <f t="shared" ref="E1695" si="7359">S1695</f>
        <v/>
      </c>
      <c r="F1695" s="194"/>
      <c r="G1695" s="668" t="str">
        <f t="shared" ref="G1695" ca="1" si="7360">IF(OR(INDIRECT("'update Helper'!E"&amp;U1695)=0,F1695&lt;&gt;0,F1696&lt;&gt;0),IF(IFERROR((F1695/F1696),"")="","",(F1695/F1696)),INDIRECT("'update Helper'!E"&amp;U1695)/100)</f>
        <v/>
      </c>
      <c r="H1695" s="670"/>
      <c r="I1695" s="672"/>
      <c r="J1695" s="651"/>
      <c r="K1695" s="666" t="str">
        <f t="shared" ref="K1695" si="7361">W1695</f>
        <v/>
      </c>
      <c r="L1695" s="666" t="str">
        <f t="shared" ref="L1695" si="7362">V1695</f>
        <v/>
      </c>
      <c r="M1695" s="651"/>
      <c r="N1695" s="651"/>
      <c r="P1695" s="189">
        <f t="shared" ref="P1695" si="7363">IF(AND(EXACT(C1695,C1693),C1693&lt;&gt;0),P1693+1,0)</f>
        <v>137</v>
      </c>
      <c r="Q1695" s="189" t="str">
        <f t="shared" ref="Q1695" si="7364">IF(C1695&lt;&gt;"",C1695&amp;"-"&amp;P1695,"")</f>
        <v/>
      </c>
      <c r="R1695" s="189" t="str">
        <f t="array" ref="R1695">IFERROR(IF(INDEX('Disaggregation Records'!$E$155:$E$385,MATCH(RIGHT(Q1695,255),RIGHT('Disaggregation Records'!$D$155:$D$385,255),0))=0,"",INDEX('Disaggregation Records'!$E$155:$E$385,MATCH(RIGHT(Q1695,255),RIGHT('Disaggregation Records'!$D$155:$D$385,255),0))),"")</f>
        <v/>
      </c>
      <c r="S1695" s="189" t="str">
        <f t="array" ref="S1695">IFERROR(IF(INDEX('Disaggregation Records'!$F$155:$F$385,MATCH(RIGHT(Q1695,255),RIGHT('Disaggregation Records'!$D$155:$D$385,255),0))=0,"",INDEX('Disaggregation Records'!$F$155:$F$385,MATCH(RIGHT(Q1695,255),RIGHT('Disaggregation Records'!$D$155:$D$385,255),0))),"")</f>
        <v/>
      </c>
      <c r="T1695" s="189" t="str">
        <f t="array" ref="T1695">IFERROR(IF(INDEX('Disaggregation Records'!$H$155:$H$385,MATCH(RIGHT(Q1695,255),RIGHT('Disaggregation Records'!$D$155:$D$385,255),0))=0,"",INDEX('Disaggregation Records'!$H$155:$H$385,MATCH(RIGHT(Q1695,255),RIGHT('Disaggregation Records'!$D$155:$D$385,255),0))),"")</f>
        <v/>
      </c>
      <c r="U1695" s="189">
        <f t="shared" ref="U1695" si="7365">U1693+1</f>
        <v>1949</v>
      </c>
      <c r="V1695" s="189" t="str">
        <f t="array" ref="V1695">IFERROR(IF(INDEX('Disaggregation Records'!$I$155:$I$385,MATCH(RIGHT(Q1695,255),RIGHT('Disaggregation Records'!$D$155:$D$385,255),0))=0,"",INDEX('Disaggregation Records'!$I$155:$I$385,MATCH(RIGHT(Q1695,255),RIGHT('Disaggregation Records'!$D$155:$D$385,255),0))),"")</f>
        <v/>
      </c>
      <c r="W1695" s="189" t="str">
        <f>IFERROR(INDEX('Reference Records'!L$59:L$121,MATCH(LEFT(C1695,255),'Reference Records'!E$59:E$121,0)),"")</f>
        <v/>
      </c>
    </row>
    <row r="1696" spans="1:23" s="189" customFormat="1" ht="40.200000000000003" customHeight="1" x14ac:dyDescent="0.3">
      <c r="A1696" s="678"/>
      <c r="B1696" s="675"/>
      <c r="C1696" s="667"/>
      <c r="D1696" s="677"/>
      <c r="E1696" s="677"/>
      <c r="F1696" s="202"/>
      <c r="G1696" s="669"/>
      <c r="H1696" s="671"/>
      <c r="I1696" s="673"/>
      <c r="J1696" s="652"/>
      <c r="K1696" s="667"/>
      <c r="L1696" s="667"/>
      <c r="M1696" s="652"/>
      <c r="N1696" s="652"/>
    </row>
    <row r="1697" spans="1:23" s="189" customFormat="1" ht="40.200000000000003" customHeight="1" x14ac:dyDescent="0.3">
      <c r="A1697" s="678" t="str">
        <f t="shared" ref="A1697" ca="1" si="7366">INDIRECT("'update Helper'!C"&amp;U1697)</f>
        <v>a163p000002zQi3AAE</v>
      </c>
      <c r="B1697" s="674">
        <v>27</v>
      </c>
      <c r="C1697" s="666" t="str">
        <f>VLOOKUP(B1697,'Coverage Indicators - Section D'!$A$9:$AU$70,47,FALSE)</f>
        <v/>
      </c>
      <c r="D1697" s="676" t="str">
        <f t="shared" ref="D1697" si="7367">R1697</f>
        <v/>
      </c>
      <c r="E1697" s="676" t="str">
        <f t="shared" ref="E1697" si="7368">S1697</f>
        <v/>
      </c>
      <c r="F1697" s="194"/>
      <c r="G1697" s="668" t="str">
        <f t="shared" ref="G1697" ca="1" si="7369">IF(OR(INDIRECT("'update Helper'!E"&amp;U1697)=0,F1697&lt;&gt;0,F1698&lt;&gt;0),IF(IFERROR((F1697/F1698),"")="","",(F1697/F1698)),INDIRECT("'update Helper'!E"&amp;U1697)/100)</f>
        <v/>
      </c>
      <c r="H1697" s="670"/>
      <c r="I1697" s="672"/>
      <c r="J1697" s="651"/>
      <c r="K1697" s="666" t="str">
        <f t="shared" ref="K1697" si="7370">W1697</f>
        <v/>
      </c>
      <c r="L1697" s="666" t="str">
        <f t="shared" ref="L1697" si="7371">V1697</f>
        <v/>
      </c>
      <c r="M1697" s="651"/>
      <c r="N1697" s="651"/>
      <c r="P1697" s="189">
        <f t="shared" ref="P1697" si="7372">IF(AND(EXACT(C1697,C1695),C1695&lt;&gt;0),P1695+1,0)</f>
        <v>138</v>
      </c>
      <c r="Q1697" s="189" t="str">
        <f t="shared" ref="Q1697" si="7373">IF(C1697&lt;&gt;"",C1697&amp;"-"&amp;P1697,"")</f>
        <v/>
      </c>
      <c r="R1697" s="189" t="str">
        <f t="array" ref="R1697">IFERROR(IF(INDEX('Disaggregation Records'!$E$155:$E$385,MATCH(RIGHT(Q1697,255),RIGHT('Disaggregation Records'!$D$155:$D$385,255),0))=0,"",INDEX('Disaggregation Records'!$E$155:$E$385,MATCH(RIGHT(Q1697,255),RIGHT('Disaggregation Records'!$D$155:$D$385,255),0))),"")</f>
        <v/>
      </c>
      <c r="S1697" s="189" t="str">
        <f t="array" ref="S1697">IFERROR(IF(INDEX('Disaggregation Records'!$F$155:$F$385,MATCH(RIGHT(Q1697,255),RIGHT('Disaggregation Records'!$D$155:$D$385,255),0))=0,"",INDEX('Disaggregation Records'!$F$155:$F$385,MATCH(RIGHT(Q1697,255),RIGHT('Disaggregation Records'!$D$155:$D$385,255),0))),"")</f>
        <v/>
      </c>
      <c r="T1697" s="189" t="str">
        <f t="array" ref="T1697">IFERROR(IF(INDEX('Disaggregation Records'!$H$155:$H$385,MATCH(RIGHT(Q1697,255),RIGHT('Disaggregation Records'!$D$155:$D$385,255),0))=0,"",INDEX('Disaggregation Records'!$H$155:$H$385,MATCH(RIGHT(Q1697,255),RIGHT('Disaggregation Records'!$D$155:$D$385,255),0))),"")</f>
        <v/>
      </c>
      <c r="U1697" s="189">
        <f t="shared" ref="U1697" si="7374">U1695+1</f>
        <v>1950</v>
      </c>
      <c r="V1697" s="189" t="str">
        <f t="array" ref="V1697">IFERROR(IF(INDEX('Disaggregation Records'!$I$155:$I$385,MATCH(RIGHT(Q1697,255),RIGHT('Disaggregation Records'!$D$155:$D$385,255),0))=0,"",INDEX('Disaggregation Records'!$I$155:$I$385,MATCH(RIGHT(Q1697,255),RIGHT('Disaggregation Records'!$D$155:$D$385,255),0))),"")</f>
        <v/>
      </c>
      <c r="W1697" s="189" t="str">
        <f>IFERROR(INDEX('Reference Records'!L$59:L$121,MATCH(LEFT(C1697,255),'Reference Records'!E$59:E$121,0)),"")</f>
        <v/>
      </c>
    </row>
    <row r="1698" spans="1:23" s="189" customFormat="1" ht="40.200000000000003" customHeight="1" x14ac:dyDescent="0.3">
      <c r="A1698" s="678"/>
      <c r="B1698" s="675"/>
      <c r="C1698" s="667"/>
      <c r="D1698" s="677"/>
      <c r="E1698" s="677"/>
      <c r="F1698" s="202"/>
      <c r="G1698" s="669"/>
      <c r="H1698" s="671"/>
      <c r="I1698" s="673"/>
      <c r="J1698" s="652"/>
      <c r="K1698" s="667"/>
      <c r="L1698" s="667"/>
      <c r="M1698" s="652"/>
      <c r="N1698" s="652"/>
    </row>
    <row r="1699" spans="1:23" s="189" customFormat="1" ht="40.200000000000003" customHeight="1" x14ac:dyDescent="0.3">
      <c r="A1699" s="678" t="str">
        <f t="shared" ref="A1699" ca="1" si="7375">INDIRECT("'update Helper'!C"&amp;U1699)</f>
        <v>a163p000002zQi4AAE</v>
      </c>
      <c r="B1699" s="674">
        <v>27</v>
      </c>
      <c r="C1699" s="666" t="str">
        <f>VLOOKUP(B1699,'Coverage Indicators - Section D'!$A$9:$AU$70,47,FALSE)</f>
        <v/>
      </c>
      <c r="D1699" s="676" t="str">
        <f t="shared" ref="D1699" si="7376">R1699</f>
        <v/>
      </c>
      <c r="E1699" s="676" t="str">
        <f t="shared" ref="E1699" si="7377">S1699</f>
        <v/>
      </c>
      <c r="F1699" s="194"/>
      <c r="G1699" s="668" t="str">
        <f t="shared" ref="G1699" ca="1" si="7378">IF(OR(INDIRECT("'update Helper'!E"&amp;U1699)=0,F1699&lt;&gt;0,F1700&lt;&gt;0),IF(IFERROR((F1699/F1700),"")="","",(F1699/F1700)),INDIRECT("'update Helper'!E"&amp;U1699)/100)</f>
        <v/>
      </c>
      <c r="H1699" s="670"/>
      <c r="I1699" s="672"/>
      <c r="J1699" s="651"/>
      <c r="K1699" s="666" t="str">
        <f t="shared" ref="K1699" si="7379">W1699</f>
        <v/>
      </c>
      <c r="L1699" s="666" t="str">
        <f t="shared" ref="L1699" si="7380">V1699</f>
        <v/>
      </c>
      <c r="M1699" s="651"/>
      <c r="N1699" s="651"/>
      <c r="P1699" s="189">
        <f t="shared" ref="P1699" si="7381">IF(AND(EXACT(C1699,C1697),C1697&lt;&gt;0),P1697+1,0)</f>
        <v>139</v>
      </c>
      <c r="Q1699" s="189" t="str">
        <f t="shared" ref="Q1699" si="7382">IF(C1699&lt;&gt;"",C1699&amp;"-"&amp;P1699,"")</f>
        <v/>
      </c>
      <c r="R1699" s="189" t="str">
        <f t="array" ref="R1699">IFERROR(IF(INDEX('Disaggregation Records'!$E$155:$E$385,MATCH(RIGHT(Q1699,255),RIGHT('Disaggregation Records'!$D$155:$D$385,255),0))=0,"",INDEX('Disaggregation Records'!$E$155:$E$385,MATCH(RIGHT(Q1699,255),RIGHT('Disaggregation Records'!$D$155:$D$385,255),0))),"")</f>
        <v/>
      </c>
      <c r="S1699" s="189" t="str">
        <f t="array" ref="S1699">IFERROR(IF(INDEX('Disaggregation Records'!$F$155:$F$385,MATCH(RIGHT(Q1699,255),RIGHT('Disaggregation Records'!$D$155:$D$385,255),0))=0,"",INDEX('Disaggregation Records'!$F$155:$F$385,MATCH(RIGHT(Q1699,255),RIGHT('Disaggregation Records'!$D$155:$D$385,255),0))),"")</f>
        <v/>
      </c>
      <c r="T1699" s="189" t="str">
        <f t="array" ref="T1699">IFERROR(IF(INDEX('Disaggregation Records'!$H$155:$H$385,MATCH(RIGHT(Q1699,255),RIGHT('Disaggregation Records'!$D$155:$D$385,255),0))=0,"",INDEX('Disaggregation Records'!$H$155:$H$385,MATCH(RIGHT(Q1699,255),RIGHT('Disaggregation Records'!$D$155:$D$385,255),0))),"")</f>
        <v/>
      </c>
      <c r="U1699" s="189">
        <f t="shared" ref="U1699" si="7383">U1697+1</f>
        <v>1951</v>
      </c>
      <c r="V1699" s="189" t="str">
        <f t="array" ref="V1699">IFERROR(IF(INDEX('Disaggregation Records'!$I$155:$I$385,MATCH(RIGHT(Q1699,255),RIGHT('Disaggregation Records'!$D$155:$D$385,255),0))=0,"",INDEX('Disaggregation Records'!$I$155:$I$385,MATCH(RIGHT(Q1699,255),RIGHT('Disaggregation Records'!$D$155:$D$385,255),0))),"")</f>
        <v/>
      </c>
      <c r="W1699" s="189" t="str">
        <f>IFERROR(INDEX('Reference Records'!L$59:L$121,MATCH(LEFT(C1699,255),'Reference Records'!E$59:E$121,0)),"")</f>
        <v/>
      </c>
    </row>
    <row r="1700" spans="1:23" s="189" customFormat="1" ht="40.200000000000003" customHeight="1" x14ac:dyDescent="0.3">
      <c r="A1700" s="678"/>
      <c r="B1700" s="675"/>
      <c r="C1700" s="667"/>
      <c r="D1700" s="677"/>
      <c r="E1700" s="677"/>
      <c r="F1700" s="202"/>
      <c r="G1700" s="669"/>
      <c r="H1700" s="671"/>
      <c r="I1700" s="673"/>
      <c r="J1700" s="652"/>
      <c r="K1700" s="667"/>
      <c r="L1700" s="667"/>
      <c r="M1700" s="652"/>
      <c r="N1700" s="652"/>
    </row>
    <row r="1701" spans="1:23" s="189" customFormat="1" ht="40.200000000000003" customHeight="1" x14ac:dyDescent="0.3">
      <c r="A1701" s="678" t="str">
        <f t="shared" ref="A1701" ca="1" si="7384">INDIRECT("'update Helper'!C"&amp;U1701)</f>
        <v>a163p000002zQi5AAE</v>
      </c>
      <c r="B1701" s="674">
        <v>28</v>
      </c>
      <c r="C1701" s="666" t="str">
        <f>VLOOKUP(B1701,'Coverage Indicators - Section D'!$A$9:$AU$70,47,FALSE)</f>
        <v/>
      </c>
      <c r="D1701" s="676" t="str">
        <f t="shared" ref="D1701" si="7385">R1701</f>
        <v/>
      </c>
      <c r="E1701" s="676" t="str">
        <f t="shared" ref="E1701" si="7386">S1701</f>
        <v/>
      </c>
      <c r="F1701" s="194"/>
      <c r="G1701" s="668" t="str">
        <f t="shared" ref="G1701" ca="1" si="7387">IF(OR(INDIRECT("'update Helper'!E"&amp;U1701)=0,F1701&lt;&gt;0,F1702&lt;&gt;0),IF(IFERROR((F1701/F1702),"")="","",(F1701/F1702)),INDIRECT("'update Helper'!E"&amp;U1701)/100)</f>
        <v/>
      </c>
      <c r="H1701" s="670"/>
      <c r="I1701" s="672"/>
      <c r="J1701" s="651"/>
      <c r="K1701" s="666" t="str">
        <f t="shared" ref="K1701" si="7388">W1701</f>
        <v/>
      </c>
      <c r="L1701" s="666" t="str">
        <f t="shared" ref="L1701" si="7389">V1701</f>
        <v/>
      </c>
      <c r="M1701" s="651"/>
      <c r="N1701" s="651"/>
      <c r="P1701" s="189">
        <f t="shared" ref="P1701" si="7390">IF(AND(EXACT(C1701,C1699),C1699&lt;&gt;0),P1699+1,0)</f>
        <v>140</v>
      </c>
      <c r="Q1701" s="189" t="str">
        <f t="shared" ref="Q1701" si="7391">IF(C1701&lt;&gt;"",C1701&amp;"-"&amp;P1701,"")</f>
        <v/>
      </c>
      <c r="R1701" s="189" t="str">
        <f t="array" ref="R1701">IFERROR(IF(INDEX('Disaggregation Records'!$E$155:$E$385,MATCH(RIGHT(Q1701,255),RIGHT('Disaggregation Records'!$D$155:$D$385,255),0))=0,"",INDEX('Disaggregation Records'!$E$155:$E$385,MATCH(RIGHT(Q1701,255),RIGHT('Disaggregation Records'!$D$155:$D$385,255),0))),"")</f>
        <v/>
      </c>
      <c r="S1701" s="189" t="str">
        <f t="array" ref="S1701">IFERROR(IF(INDEX('Disaggregation Records'!$F$155:$F$385,MATCH(RIGHT(Q1701,255),RIGHT('Disaggregation Records'!$D$155:$D$385,255),0))=0,"",INDEX('Disaggregation Records'!$F$155:$F$385,MATCH(RIGHT(Q1701,255),RIGHT('Disaggregation Records'!$D$155:$D$385,255),0))),"")</f>
        <v/>
      </c>
      <c r="T1701" s="189" t="str">
        <f t="array" ref="T1701">IFERROR(IF(INDEX('Disaggregation Records'!$H$155:$H$385,MATCH(RIGHT(Q1701,255),RIGHT('Disaggregation Records'!$D$155:$D$385,255),0))=0,"",INDEX('Disaggregation Records'!$H$155:$H$385,MATCH(RIGHT(Q1701,255),RIGHT('Disaggregation Records'!$D$155:$D$385,255),0))),"")</f>
        <v/>
      </c>
      <c r="U1701" s="189">
        <f t="shared" ref="U1701" si="7392">U1699+1</f>
        <v>1952</v>
      </c>
      <c r="V1701" s="189" t="str">
        <f t="array" ref="V1701">IFERROR(IF(INDEX('Disaggregation Records'!$I$155:$I$385,MATCH(RIGHT(Q1701,255),RIGHT('Disaggregation Records'!$D$155:$D$385,255),0))=0,"",INDEX('Disaggregation Records'!$I$155:$I$385,MATCH(RIGHT(Q1701,255),RIGHT('Disaggregation Records'!$D$155:$D$385,255),0))),"")</f>
        <v/>
      </c>
      <c r="W1701" s="189" t="str">
        <f>IFERROR(INDEX('Reference Records'!L$59:L$121,MATCH(LEFT(C1701,255),'Reference Records'!E$59:E$121,0)),"")</f>
        <v/>
      </c>
    </row>
    <row r="1702" spans="1:23" s="189" customFormat="1" ht="40.200000000000003" customHeight="1" x14ac:dyDescent="0.3">
      <c r="A1702" s="678"/>
      <c r="B1702" s="675"/>
      <c r="C1702" s="667"/>
      <c r="D1702" s="677"/>
      <c r="E1702" s="677"/>
      <c r="F1702" s="202"/>
      <c r="G1702" s="669"/>
      <c r="H1702" s="671"/>
      <c r="I1702" s="673"/>
      <c r="J1702" s="652"/>
      <c r="K1702" s="667"/>
      <c r="L1702" s="667"/>
      <c r="M1702" s="652"/>
      <c r="N1702" s="652"/>
    </row>
    <row r="1703" spans="1:23" s="189" customFormat="1" ht="40.200000000000003" customHeight="1" x14ac:dyDescent="0.3">
      <c r="A1703" s="678" t="str">
        <f t="shared" ref="A1703" ca="1" si="7393">INDIRECT("'update Helper'!C"&amp;U1703)</f>
        <v>a163p000002zQi6AAE</v>
      </c>
      <c r="B1703" s="674">
        <v>28</v>
      </c>
      <c r="C1703" s="666" t="str">
        <f>VLOOKUP(B1703,'Coverage Indicators - Section D'!$A$9:$AU$70,47,FALSE)</f>
        <v/>
      </c>
      <c r="D1703" s="676" t="str">
        <f t="shared" ref="D1703" si="7394">R1703</f>
        <v/>
      </c>
      <c r="E1703" s="676" t="str">
        <f t="shared" ref="E1703" si="7395">S1703</f>
        <v/>
      </c>
      <c r="F1703" s="194"/>
      <c r="G1703" s="668" t="str">
        <f t="shared" ref="G1703" ca="1" si="7396">IF(OR(INDIRECT("'update Helper'!E"&amp;U1703)=0,F1703&lt;&gt;0,F1704&lt;&gt;0),IF(IFERROR((F1703/F1704),"")="","",(F1703/F1704)),INDIRECT("'update Helper'!E"&amp;U1703)/100)</f>
        <v/>
      </c>
      <c r="H1703" s="670"/>
      <c r="I1703" s="672"/>
      <c r="J1703" s="651"/>
      <c r="K1703" s="666" t="str">
        <f t="shared" ref="K1703" si="7397">W1703</f>
        <v/>
      </c>
      <c r="L1703" s="666" t="str">
        <f t="shared" ref="L1703" si="7398">V1703</f>
        <v/>
      </c>
      <c r="M1703" s="651"/>
      <c r="N1703" s="651"/>
      <c r="P1703" s="189">
        <f t="shared" ref="P1703" si="7399">IF(AND(EXACT(C1703,C1701),C1701&lt;&gt;0),P1701+1,0)</f>
        <v>141</v>
      </c>
      <c r="Q1703" s="189" t="str">
        <f t="shared" ref="Q1703" si="7400">IF(C1703&lt;&gt;"",C1703&amp;"-"&amp;P1703,"")</f>
        <v/>
      </c>
      <c r="R1703" s="189" t="str">
        <f t="array" ref="R1703">IFERROR(IF(INDEX('Disaggregation Records'!$E$155:$E$385,MATCH(RIGHT(Q1703,255),RIGHT('Disaggregation Records'!$D$155:$D$385,255),0))=0,"",INDEX('Disaggregation Records'!$E$155:$E$385,MATCH(RIGHT(Q1703,255),RIGHT('Disaggregation Records'!$D$155:$D$385,255),0))),"")</f>
        <v/>
      </c>
      <c r="S1703" s="189" t="str">
        <f t="array" ref="S1703">IFERROR(IF(INDEX('Disaggregation Records'!$F$155:$F$385,MATCH(RIGHT(Q1703,255),RIGHT('Disaggregation Records'!$D$155:$D$385,255),0))=0,"",INDEX('Disaggregation Records'!$F$155:$F$385,MATCH(RIGHT(Q1703,255),RIGHT('Disaggregation Records'!$D$155:$D$385,255),0))),"")</f>
        <v/>
      </c>
      <c r="T1703" s="189" t="str">
        <f t="array" ref="T1703">IFERROR(IF(INDEX('Disaggregation Records'!$H$155:$H$385,MATCH(RIGHT(Q1703,255),RIGHT('Disaggregation Records'!$D$155:$D$385,255),0))=0,"",INDEX('Disaggregation Records'!$H$155:$H$385,MATCH(RIGHT(Q1703,255),RIGHT('Disaggregation Records'!$D$155:$D$385,255),0))),"")</f>
        <v/>
      </c>
      <c r="U1703" s="189">
        <f t="shared" ref="U1703" si="7401">U1701+1</f>
        <v>1953</v>
      </c>
      <c r="V1703" s="189" t="str">
        <f t="array" ref="V1703">IFERROR(IF(INDEX('Disaggregation Records'!$I$155:$I$385,MATCH(RIGHT(Q1703,255),RIGHT('Disaggregation Records'!$D$155:$D$385,255),0))=0,"",INDEX('Disaggregation Records'!$I$155:$I$385,MATCH(RIGHT(Q1703,255),RIGHT('Disaggregation Records'!$D$155:$D$385,255),0))),"")</f>
        <v/>
      </c>
      <c r="W1703" s="189" t="str">
        <f>IFERROR(INDEX('Reference Records'!L$59:L$121,MATCH(LEFT(C1703,255),'Reference Records'!E$59:E$121,0)),"")</f>
        <v/>
      </c>
    </row>
    <row r="1704" spans="1:23" s="189" customFormat="1" ht="40.200000000000003" customHeight="1" x14ac:dyDescent="0.3">
      <c r="A1704" s="678"/>
      <c r="B1704" s="675"/>
      <c r="C1704" s="667"/>
      <c r="D1704" s="677"/>
      <c r="E1704" s="677"/>
      <c r="F1704" s="202"/>
      <c r="G1704" s="669"/>
      <c r="H1704" s="671"/>
      <c r="I1704" s="673"/>
      <c r="J1704" s="652"/>
      <c r="K1704" s="667"/>
      <c r="L1704" s="667"/>
      <c r="M1704" s="652"/>
      <c r="N1704" s="652"/>
    </row>
    <row r="1705" spans="1:23" s="189" customFormat="1" ht="40.200000000000003" customHeight="1" x14ac:dyDescent="0.3">
      <c r="A1705" s="678" t="str">
        <f t="shared" ref="A1705" ca="1" si="7402">INDIRECT("'update Helper'!C"&amp;U1705)</f>
        <v>a163p000002zQi7AAE</v>
      </c>
      <c r="B1705" s="674">
        <v>28</v>
      </c>
      <c r="C1705" s="666" t="str">
        <f>VLOOKUP(B1705,'Coverage Indicators - Section D'!$A$9:$AU$70,47,FALSE)</f>
        <v/>
      </c>
      <c r="D1705" s="676" t="str">
        <f t="shared" ref="D1705" si="7403">R1705</f>
        <v/>
      </c>
      <c r="E1705" s="676" t="str">
        <f t="shared" ref="E1705" si="7404">S1705</f>
        <v/>
      </c>
      <c r="F1705" s="194"/>
      <c r="G1705" s="668" t="str">
        <f t="shared" ref="G1705" ca="1" si="7405">IF(OR(INDIRECT("'update Helper'!E"&amp;U1705)=0,F1705&lt;&gt;0,F1706&lt;&gt;0),IF(IFERROR((F1705/F1706),"")="","",(F1705/F1706)),INDIRECT("'update Helper'!E"&amp;U1705)/100)</f>
        <v/>
      </c>
      <c r="H1705" s="670"/>
      <c r="I1705" s="672"/>
      <c r="J1705" s="651"/>
      <c r="K1705" s="666" t="str">
        <f t="shared" ref="K1705" si="7406">W1705</f>
        <v/>
      </c>
      <c r="L1705" s="666" t="str">
        <f t="shared" ref="L1705" si="7407">V1705</f>
        <v/>
      </c>
      <c r="M1705" s="651"/>
      <c r="N1705" s="651"/>
      <c r="P1705" s="189">
        <f t="shared" ref="P1705" si="7408">IF(AND(EXACT(C1705,C1703),C1703&lt;&gt;0),P1703+1,0)</f>
        <v>142</v>
      </c>
      <c r="Q1705" s="189" t="str">
        <f t="shared" ref="Q1705" si="7409">IF(C1705&lt;&gt;"",C1705&amp;"-"&amp;P1705,"")</f>
        <v/>
      </c>
      <c r="R1705" s="189" t="str">
        <f t="array" ref="R1705">IFERROR(IF(INDEX('Disaggregation Records'!$E$155:$E$385,MATCH(RIGHT(Q1705,255),RIGHT('Disaggregation Records'!$D$155:$D$385,255),0))=0,"",INDEX('Disaggregation Records'!$E$155:$E$385,MATCH(RIGHT(Q1705,255),RIGHT('Disaggregation Records'!$D$155:$D$385,255),0))),"")</f>
        <v/>
      </c>
      <c r="S1705" s="189" t="str">
        <f t="array" ref="S1705">IFERROR(IF(INDEX('Disaggregation Records'!$F$155:$F$385,MATCH(RIGHT(Q1705,255),RIGHT('Disaggregation Records'!$D$155:$D$385,255),0))=0,"",INDEX('Disaggregation Records'!$F$155:$F$385,MATCH(RIGHT(Q1705,255),RIGHT('Disaggregation Records'!$D$155:$D$385,255),0))),"")</f>
        <v/>
      </c>
      <c r="T1705" s="189" t="str">
        <f t="array" ref="T1705">IFERROR(IF(INDEX('Disaggregation Records'!$H$155:$H$385,MATCH(RIGHT(Q1705,255),RIGHT('Disaggregation Records'!$D$155:$D$385,255),0))=0,"",INDEX('Disaggregation Records'!$H$155:$H$385,MATCH(RIGHT(Q1705,255),RIGHT('Disaggregation Records'!$D$155:$D$385,255),0))),"")</f>
        <v/>
      </c>
      <c r="U1705" s="189">
        <f t="shared" ref="U1705" si="7410">U1703+1</f>
        <v>1954</v>
      </c>
      <c r="V1705" s="189" t="str">
        <f t="array" ref="V1705">IFERROR(IF(INDEX('Disaggregation Records'!$I$155:$I$385,MATCH(RIGHT(Q1705,255),RIGHT('Disaggregation Records'!$D$155:$D$385,255),0))=0,"",INDEX('Disaggregation Records'!$I$155:$I$385,MATCH(RIGHT(Q1705,255),RIGHT('Disaggregation Records'!$D$155:$D$385,255),0))),"")</f>
        <v/>
      </c>
      <c r="W1705" s="189" t="str">
        <f>IFERROR(INDEX('Reference Records'!L$59:L$121,MATCH(LEFT(C1705,255),'Reference Records'!E$59:E$121,0)),"")</f>
        <v/>
      </c>
    </row>
    <row r="1706" spans="1:23" s="189" customFormat="1" ht="40.200000000000003" customHeight="1" x14ac:dyDescent="0.3">
      <c r="A1706" s="678"/>
      <c r="B1706" s="675"/>
      <c r="C1706" s="667"/>
      <c r="D1706" s="677"/>
      <c r="E1706" s="677"/>
      <c r="F1706" s="202"/>
      <c r="G1706" s="669"/>
      <c r="H1706" s="671"/>
      <c r="I1706" s="673"/>
      <c r="J1706" s="652"/>
      <c r="K1706" s="667"/>
      <c r="L1706" s="667"/>
      <c r="M1706" s="652"/>
      <c r="N1706" s="652"/>
    </row>
    <row r="1707" spans="1:23" s="189" customFormat="1" ht="40.200000000000003" customHeight="1" x14ac:dyDescent="0.3">
      <c r="A1707" s="678" t="str">
        <f t="shared" ref="A1707" ca="1" si="7411">INDIRECT("'update Helper'!C"&amp;U1707)</f>
        <v>a163p000002zQi8AAE</v>
      </c>
      <c r="B1707" s="674">
        <v>28</v>
      </c>
      <c r="C1707" s="666" t="str">
        <f>VLOOKUP(B1707,'Coverage Indicators - Section D'!$A$9:$AU$70,47,FALSE)</f>
        <v/>
      </c>
      <c r="D1707" s="676" t="str">
        <f t="shared" ref="D1707" si="7412">R1707</f>
        <v/>
      </c>
      <c r="E1707" s="676" t="str">
        <f t="shared" ref="E1707" si="7413">S1707</f>
        <v/>
      </c>
      <c r="F1707" s="194"/>
      <c r="G1707" s="668" t="str">
        <f t="shared" ref="G1707" ca="1" si="7414">IF(OR(INDIRECT("'update Helper'!E"&amp;U1707)=0,F1707&lt;&gt;0,F1708&lt;&gt;0),IF(IFERROR((F1707/F1708),"")="","",(F1707/F1708)),INDIRECT("'update Helper'!E"&amp;U1707)/100)</f>
        <v/>
      </c>
      <c r="H1707" s="670"/>
      <c r="I1707" s="672"/>
      <c r="J1707" s="651"/>
      <c r="K1707" s="666" t="str">
        <f t="shared" ref="K1707" si="7415">W1707</f>
        <v/>
      </c>
      <c r="L1707" s="666" t="str">
        <f t="shared" ref="L1707" si="7416">V1707</f>
        <v/>
      </c>
      <c r="M1707" s="651"/>
      <c r="N1707" s="651"/>
      <c r="P1707" s="189">
        <f t="shared" ref="P1707" si="7417">IF(AND(EXACT(C1707,C1705),C1705&lt;&gt;0),P1705+1,0)</f>
        <v>143</v>
      </c>
      <c r="Q1707" s="189" t="str">
        <f t="shared" ref="Q1707" si="7418">IF(C1707&lt;&gt;"",C1707&amp;"-"&amp;P1707,"")</f>
        <v/>
      </c>
      <c r="R1707" s="189" t="str">
        <f t="array" ref="R1707">IFERROR(IF(INDEX('Disaggregation Records'!$E$155:$E$385,MATCH(RIGHT(Q1707,255),RIGHT('Disaggregation Records'!$D$155:$D$385,255),0))=0,"",INDEX('Disaggregation Records'!$E$155:$E$385,MATCH(RIGHT(Q1707,255),RIGHT('Disaggregation Records'!$D$155:$D$385,255),0))),"")</f>
        <v/>
      </c>
      <c r="S1707" s="189" t="str">
        <f t="array" ref="S1707">IFERROR(IF(INDEX('Disaggregation Records'!$F$155:$F$385,MATCH(RIGHT(Q1707,255),RIGHT('Disaggregation Records'!$D$155:$D$385,255),0))=0,"",INDEX('Disaggregation Records'!$F$155:$F$385,MATCH(RIGHT(Q1707,255),RIGHT('Disaggregation Records'!$D$155:$D$385,255),0))),"")</f>
        <v/>
      </c>
      <c r="T1707" s="189" t="str">
        <f t="array" ref="T1707">IFERROR(IF(INDEX('Disaggregation Records'!$H$155:$H$385,MATCH(RIGHT(Q1707,255),RIGHT('Disaggregation Records'!$D$155:$D$385,255),0))=0,"",INDEX('Disaggregation Records'!$H$155:$H$385,MATCH(RIGHT(Q1707,255),RIGHT('Disaggregation Records'!$D$155:$D$385,255),0))),"")</f>
        <v/>
      </c>
      <c r="U1707" s="189">
        <f t="shared" ref="U1707" si="7419">U1705+1</f>
        <v>1955</v>
      </c>
      <c r="V1707" s="189" t="str">
        <f t="array" ref="V1707">IFERROR(IF(INDEX('Disaggregation Records'!$I$155:$I$385,MATCH(RIGHT(Q1707,255),RIGHT('Disaggregation Records'!$D$155:$D$385,255),0))=0,"",INDEX('Disaggregation Records'!$I$155:$I$385,MATCH(RIGHT(Q1707,255),RIGHT('Disaggregation Records'!$D$155:$D$385,255),0))),"")</f>
        <v/>
      </c>
      <c r="W1707" s="189" t="str">
        <f>IFERROR(INDEX('Reference Records'!L$59:L$121,MATCH(LEFT(C1707,255),'Reference Records'!E$59:E$121,0)),"")</f>
        <v/>
      </c>
    </row>
    <row r="1708" spans="1:23" s="189" customFormat="1" ht="40.200000000000003" customHeight="1" x14ac:dyDescent="0.3">
      <c r="A1708" s="678"/>
      <c r="B1708" s="675"/>
      <c r="C1708" s="667"/>
      <c r="D1708" s="677"/>
      <c r="E1708" s="677"/>
      <c r="F1708" s="202"/>
      <c r="G1708" s="669"/>
      <c r="H1708" s="671"/>
      <c r="I1708" s="673"/>
      <c r="J1708" s="652"/>
      <c r="K1708" s="667"/>
      <c r="L1708" s="667"/>
      <c r="M1708" s="652"/>
      <c r="N1708" s="652"/>
    </row>
    <row r="1709" spans="1:23" s="189" customFormat="1" ht="40.200000000000003" customHeight="1" x14ac:dyDescent="0.3">
      <c r="A1709" s="678" t="str">
        <f t="shared" ref="A1709" ca="1" si="7420">INDIRECT("'update Helper'!C"&amp;U1709)</f>
        <v>a163p000002zQi9AAE</v>
      </c>
      <c r="B1709" s="674">
        <v>28</v>
      </c>
      <c r="C1709" s="666" t="str">
        <f>VLOOKUP(B1709,'Coverage Indicators - Section D'!$A$9:$AU$70,47,FALSE)</f>
        <v/>
      </c>
      <c r="D1709" s="676" t="str">
        <f t="shared" ref="D1709" si="7421">R1709</f>
        <v/>
      </c>
      <c r="E1709" s="676" t="str">
        <f t="shared" ref="E1709" si="7422">S1709</f>
        <v/>
      </c>
      <c r="F1709" s="194"/>
      <c r="G1709" s="668" t="str">
        <f t="shared" ref="G1709" ca="1" si="7423">IF(OR(INDIRECT("'update Helper'!E"&amp;U1709)=0,F1709&lt;&gt;0,F1710&lt;&gt;0),IF(IFERROR((F1709/F1710),"")="","",(F1709/F1710)),INDIRECT("'update Helper'!E"&amp;U1709)/100)</f>
        <v/>
      </c>
      <c r="H1709" s="670"/>
      <c r="I1709" s="672"/>
      <c r="J1709" s="651"/>
      <c r="K1709" s="666" t="str">
        <f t="shared" ref="K1709" si="7424">W1709</f>
        <v/>
      </c>
      <c r="L1709" s="666" t="str">
        <f t="shared" ref="L1709" si="7425">V1709</f>
        <v/>
      </c>
      <c r="M1709" s="651"/>
      <c r="N1709" s="651"/>
      <c r="P1709" s="189">
        <f t="shared" ref="P1709" si="7426">IF(AND(EXACT(C1709,C1707),C1707&lt;&gt;0),P1707+1,0)</f>
        <v>144</v>
      </c>
      <c r="Q1709" s="189" t="str">
        <f t="shared" ref="Q1709" si="7427">IF(C1709&lt;&gt;"",C1709&amp;"-"&amp;P1709,"")</f>
        <v/>
      </c>
      <c r="R1709" s="189" t="str">
        <f t="array" ref="R1709">IFERROR(IF(INDEX('Disaggregation Records'!$E$155:$E$385,MATCH(RIGHT(Q1709,255),RIGHT('Disaggregation Records'!$D$155:$D$385,255),0))=0,"",INDEX('Disaggregation Records'!$E$155:$E$385,MATCH(RIGHT(Q1709,255),RIGHT('Disaggregation Records'!$D$155:$D$385,255),0))),"")</f>
        <v/>
      </c>
      <c r="S1709" s="189" t="str">
        <f t="array" ref="S1709">IFERROR(IF(INDEX('Disaggregation Records'!$F$155:$F$385,MATCH(RIGHT(Q1709,255),RIGHT('Disaggregation Records'!$D$155:$D$385,255),0))=0,"",INDEX('Disaggregation Records'!$F$155:$F$385,MATCH(RIGHT(Q1709,255),RIGHT('Disaggregation Records'!$D$155:$D$385,255),0))),"")</f>
        <v/>
      </c>
      <c r="T1709" s="189" t="str">
        <f t="array" ref="T1709">IFERROR(IF(INDEX('Disaggregation Records'!$H$155:$H$385,MATCH(RIGHT(Q1709,255),RIGHT('Disaggregation Records'!$D$155:$D$385,255),0))=0,"",INDEX('Disaggregation Records'!$H$155:$H$385,MATCH(RIGHT(Q1709,255),RIGHT('Disaggregation Records'!$D$155:$D$385,255),0))),"")</f>
        <v/>
      </c>
      <c r="U1709" s="189">
        <f t="shared" ref="U1709" si="7428">U1707+1</f>
        <v>1956</v>
      </c>
      <c r="V1709" s="189" t="str">
        <f t="array" ref="V1709">IFERROR(IF(INDEX('Disaggregation Records'!$I$155:$I$385,MATCH(RIGHT(Q1709,255),RIGHT('Disaggregation Records'!$D$155:$D$385,255),0))=0,"",INDEX('Disaggregation Records'!$I$155:$I$385,MATCH(RIGHT(Q1709,255),RIGHT('Disaggregation Records'!$D$155:$D$385,255),0))),"")</f>
        <v/>
      </c>
      <c r="W1709" s="189" t="str">
        <f>IFERROR(INDEX('Reference Records'!L$59:L$121,MATCH(LEFT(C1709,255),'Reference Records'!E$59:E$121,0)),"")</f>
        <v/>
      </c>
    </row>
    <row r="1710" spans="1:23" s="189" customFormat="1" ht="40.200000000000003" customHeight="1" x14ac:dyDescent="0.3">
      <c r="A1710" s="678"/>
      <c r="B1710" s="675"/>
      <c r="C1710" s="667"/>
      <c r="D1710" s="677"/>
      <c r="E1710" s="677"/>
      <c r="F1710" s="202"/>
      <c r="G1710" s="669"/>
      <c r="H1710" s="671"/>
      <c r="I1710" s="673"/>
      <c r="J1710" s="652"/>
      <c r="K1710" s="667"/>
      <c r="L1710" s="667"/>
      <c r="M1710" s="652"/>
      <c r="N1710" s="652"/>
    </row>
    <row r="1711" spans="1:23" s="189" customFormat="1" ht="40.200000000000003" customHeight="1" x14ac:dyDescent="0.3">
      <c r="A1711" s="678" t="str">
        <f t="shared" ref="A1711" ca="1" si="7429">INDIRECT("'update Helper'!C"&amp;U1711)</f>
        <v>a163p000002zQiAAAU</v>
      </c>
      <c r="B1711" s="674">
        <v>28</v>
      </c>
      <c r="C1711" s="666" t="str">
        <f>VLOOKUP(B1711,'Coverage Indicators - Section D'!$A$9:$AU$70,47,FALSE)</f>
        <v/>
      </c>
      <c r="D1711" s="676" t="str">
        <f t="shared" ref="D1711" si="7430">R1711</f>
        <v/>
      </c>
      <c r="E1711" s="676" t="str">
        <f t="shared" ref="E1711" si="7431">S1711</f>
        <v/>
      </c>
      <c r="F1711" s="194"/>
      <c r="G1711" s="668" t="str">
        <f t="shared" ref="G1711" ca="1" si="7432">IF(OR(INDIRECT("'update Helper'!E"&amp;U1711)=0,F1711&lt;&gt;0,F1712&lt;&gt;0),IF(IFERROR((F1711/F1712),"")="","",(F1711/F1712)),INDIRECT("'update Helper'!E"&amp;U1711)/100)</f>
        <v/>
      </c>
      <c r="H1711" s="670"/>
      <c r="I1711" s="672"/>
      <c r="J1711" s="651"/>
      <c r="K1711" s="666" t="str">
        <f t="shared" ref="K1711" si="7433">W1711</f>
        <v/>
      </c>
      <c r="L1711" s="666" t="str">
        <f t="shared" ref="L1711" si="7434">V1711</f>
        <v/>
      </c>
      <c r="M1711" s="651"/>
      <c r="N1711" s="651"/>
      <c r="P1711" s="189">
        <f t="shared" ref="P1711" si="7435">IF(AND(EXACT(C1711,C1709),C1709&lt;&gt;0),P1709+1,0)</f>
        <v>145</v>
      </c>
      <c r="Q1711" s="189" t="str">
        <f t="shared" ref="Q1711" si="7436">IF(C1711&lt;&gt;"",C1711&amp;"-"&amp;P1711,"")</f>
        <v/>
      </c>
      <c r="R1711" s="189" t="str">
        <f t="array" ref="R1711">IFERROR(IF(INDEX('Disaggregation Records'!$E$155:$E$385,MATCH(RIGHT(Q1711,255),RIGHT('Disaggregation Records'!$D$155:$D$385,255),0))=0,"",INDEX('Disaggregation Records'!$E$155:$E$385,MATCH(RIGHT(Q1711,255),RIGHT('Disaggregation Records'!$D$155:$D$385,255),0))),"")</f>
        <v/>
      </c>
      <c r="S1711" s="189" t="str">
        <f t="array" ref="S1711">IFERROR(IF(INDEX('Disaggregation Records'!$F$155:$F$385,MATCH(RIGHT(Q1711,255),RIGHT('Disaggregation Records'!$D$155:$D$385,255),0))=0,"",INDEX('Disaggregation Records'!$F$155:$F$385,MATCH(RIGHT(Q1711,255),RIGHT('Disaggregation Records'!$D$155:$D$385,255),0))),"")</f>
        <v/>
      </c>
      <c r="T1711" s="189" t="str">
        <f t="array" ref="T1711">IFERROR(IF(INDEX('Disaggregation Records'!$H$155:$H$385,MATCH(RIGHT(Q1711,255),RIGHT('Disaggregation Records'!$D$155:$D$385,255),0))=0,"",INDEX('Disaggregation Records'!$H$155:$H$385,MATCH(RIGHT(Q1711,255),RIGHT('Disaggregation Records'!$D$155:$D$385,255),0))),"")</f>
        <v/>
      </c>
      <c r="U1711" s="189">
        <f t="shared" ref="U1711" si="7437">U1709+1</f>
        <v>1957</v>
      </c>
      <c r="V1711" s="189" t="str">
        <f t="array" ref="V1711">IFERROR(IF(INDEX('Disaggregation Records'!$I$155:$I$385,MATCH(RIGHT(Q1711,255),RIGHT('Disaggregation Records'!$D$155:$D$385,255),0))=0,"",INDEX('Disaggregation Records'!$I$155:$I$385,MATCH(RIGHT(Q1711,255),RIGHT('Disaggregation Records'!$D$155:$D$385,255),0))),"")</f>
        <v/>
      </c>
      <c r="W1711" s="189" t="str">
        <f>IFERROR(INDEX('Reference Records'!L$59:L$121,MATCH(LEFT(C1711,255),'Reference Records'!E$59:E$121,0)),"")</f>
        <v/>
      </c>
    </row>
    <row r="1712" spans="1:23" s="189" customFormat="1" ht="40.200000000000003" customHeight="1" x14ac:dyDescent="0.3">
      <c r="A1712" s="678"/>
      <c r="B1712" s="675"/>
      <c r="C1712" s="667"/>
      <c r="D1712" s="677"/>
      <c r="E1712" s="677"/>
      <c r="F1712" s="202"/>
      <c r="G1712" s="669"/>
      <c r="H1712" s="671"/>
      <c r="I1712" s="673"/>
      <c r="J1712" s="652"/>
      <c r="K1712" s="667"/>
      <c r="L1712" s="667"/>
      <c r="M1712" s="652"/>
      <c r="N1712" s="652"/>
    </row>
    <row r="1713" spans="1:23" s="189" customFormat="1" ht="40.200000000000003" customHeight="1" x14ac:dyDescent="0.3">
      <c r="A1713" s="678" t="str">
        <f t="shared" ref="A1713" ca="1" si="7438">INDIRECT("'update Helper'!C"&amp;U1713)</f>
        <v>a163p000002zQiBAAU</v>
      </c>
      <c r="B1713" s="674">
        <v>28</v>
      </c>
      <c r="C1713" s="666" t="str">
        <f>VLOOKUP(B1713,'Coverage Indicators - Section D'!$A$9:$AU$70,47,FALSE)</f>
        <v/>
      </c>
      <c r="D1713" s="676" t="str">
        <f t="shared" ref="D1713" si="7439">R1713</f>
        <v/>
      </c>
      <c r="E1713" s="676" t="str">
        <f t="shared" ref="E1713" si="7440">S1713</f>
        <v/>
      </c>
      <c r="F1713" s="194"/>
      <c r="G1713" s="668" t="str">
        <f t="shared" ref="G1713" ca="1" si="7441">IF(OR(INDIRECT("'update Helper'!E"&amp;U1713)=0,F1713&lt;&gt;0,F1714&lt;&gt;0),IF(IFERROR((F1713/F1714),"")="","",(F1713/F1714)),INDIRECT("'update Helper'!E"&amp;U1713)/100)</f>
        <v/>
      </c>
      <c r="H1713" s="670"/>
      <c r="I1713" s="672"/>
      <c r="J1713" s="651"/>
      <c r="K1713" s="666" t="str">
        <f t="shared" ref="K1713" si="7442">W1713</f>
        <v/>
      </c>
      <c r="L1713" s="666" t="str">
        <f t="shared" ref="L1713" si="7443">V1713</f>
        <v/>
      </c>
      <c r="M1713" s="651"/>
      <c r="N1713" s="651"/>
      <c r="P1713" s="189">
        <f t="shared" ref="P1713" si="7444">IF(AND(EXACT(C1713,C1711),C1711&lt;&gt;0),P1711+1,0)</f>
        <v>146</v>
      </c>
      <c r="Q1713" s="189" t="str">
        <f t="shared" ref="Q1713" si="7445">IF(C1713&lt;&gt;"",C1713&amp;"-"&amp;P1713,"")</f>
        <v/>
      </c>
      <c r="R1713" s="189" t="str">
        <f t="array" ref="R1713">IFERROR(IF(INDEX('Disaggregation Records'!$E$155:$E$385,MATCH(RIGHT(Q1713,255),RIGHT('Disaggregation Records'!$D$155:$D$385,255),0))=0,"",INDEX('Disaggregation Records'!$E$155:$E$385,MATCH(RIGHT(Q1713,255),RIGHT('Disaggregation Records'!$D$155:$D$385,255),0))),"")</f>
        <v/>
      </c>
      <c r="S1713" s="189" t="str">
        <f t="array" ref="S1713">IFERROR(IF(INDEX('Disaggregation Records'!$F$155:$F$385,MATCH(RIGHT(Q1713,255),RIGHT('Disaggregation Records'!$D$155:$D$385,255),0))=0,"",INDEX('Disaggregation Records'!$F$155:$F$385,MATCH(RIGHT(Q1713,255),RIGHT('Disaggregation Records'!$D$155:$D$385,255),0))),"")</f>
        <v/>
      </c>
      <c r="T1713" s="189" t="str">
        <f t="array" ref="T1713">IFERROR(IF(INDEX('Disaggregation Records'!$H$155:$H$385,MATCH(RIGHT(Q1713,255),RIGHT('Disaggregation Records'!$D$155:$D$385,255),0))=0,"",INDEX('Disaggregation Records'!$H$155:$H$385,MATCH(RIGHT(Q1713,255),RIGHT('Disaggregation Records'!$D$155:$D$385,255),0))),"")</f>
        <v/>
      </c>
      <c r="U1713" s="189">
        <f t="shared" ref="U1713" si="7446">U1711+1</f>
        <v>1958</v>
      </c>
      <c r="V1713" s="189" t="str">
        <f t="array" ref="V1713">IFERROR(IF(INDEX('Disaggregation Records'!$I$155:$I$385,MATCH(RIGHT(Q1713,255),RIGHT('Disaggregation Records'!$D$155:$D$385,255),0))=0,"",INDEX('Disaggregation Records'!$I$155:$I$385,MATCH(RIGHT(Q1713,255),RIGHT('Disaggregation Records'!$D$155:$D$385,255),0))),"")</f>
        <v/>
      </c>
      <c r="W1713" s="189" t="str">
        <f>IFERROR(INDEX('Reference Records'!L$59:L$121,MATCH(LEFT(C1713,255),'Reference Records'!E$59:E$121,0)),"")</f>
        <v/>
      </c>
    </row>
    <row r="1714" spans="1:23" s="189" customFormat="1" ht="40.200000000000003" customHeight="1" x14ac:dyDescent="0.3">
      <c r="A1714" s="678"/>
      <c r="B1714" s="675"/>
      <c r="C1714" s="667"/>
      <c r="D1714" s="677"/>
      <c r="E1714" s="677"/>
      <c r="F1714" s="202"/>
      <c r="G1714" s="669"/>
      <c r="H1714" s="671"/>
      <c r="I1714" s="673"/>
      <c r="J1714" s="652"/>
      <c r="K1714" s="667"/>
      <c r="L1714" s="667"/>
      <c r="M1714" s="652"/>
      <c r="N1714" s="652"/>
    </row>
    <row r="1715" spans="1:23" s="189" customFormat="1" ht="40.200000000000003" customHeight="1" x14ac:dyDescent="0.3">
      <c r="A1715" s="678" t="str">
        <f t="shared" ref="A1715" ca="1" si="7447">INDIRECT("'update Helper'!C"&amp;U1715)</f>
        <v>a163p000002zQiCAAU</v>
      </c>
      <c r="B1715" s="674">
        <v>28</v>
      </c>
      <c r="C1715" s="666" t="str">
        <f>VLOOKUP(B1715,'Coverage Indicators - Section D'!$A$9:$AU$70,47,FALSE)</f>
        <v/>
      </c>
      <c r="D1715" s="676" t="str">
        <f t="shared" ref="D1715" si="7448">R1715</f>
        <v/>
      </c>
      <c r="E1715" s="676" t="str">
        <f t="shared" ref="E1715" si="7449">S1715</f>
        <v/>
      </c>
      <c r="F1715" s="194"/>
      <c r="G1715" s="668" t="str">
        <f t="shared" ref="G1715" ca="1" si="7450">IF(OR(INDIRECT("'update Helper'!E"&amp;U1715)=0,F1715&lt;&gt;0,F1716&lt;&gt;0),IF(IFERROR((F1715/F1716),"")="","",(F1715/F1716)),INDIRECT("'update Helper'!E"&amp;U1715)/100)</f>
        <v/>
      </c>
      <c r="H1715" s="670"/>
      <c r="I1715" s="672"/>
      <c r="J1715" s="651"/>
      <c r="K1715" s="666" t="str">
        <f t="shared" ref="K1715" si="7451">W1715</f>
        <v/>
      </c>
      <c r="L1715" s="666" t="str">
        <f t="shared" ref="L1715" si="7452">V1715</f>
        <v/>
      </c>
      <c r="M1715" s="651"/>
      <c r="N1715" s="651"/>
      <c r="P1715" s="189">
        <f t="shared" ref="P1715" si="7453">IF(AND(EXACT(C1715,C1713),C1713&lt;&gt;0),P1713+1,0)</f>
        <v>147</v>
      </c>
      <c r="Q1715" s="189" t="str">
        <f t="shared" ref="Q1715" si="7454">IF(C1715&lt;&gt;"",C1715&amp;"-"&amp;P1715,"")</f>
        <v/>
      </c>
      <c r="R1715" s="189" t="str">
        <f t="array" ref="R1715">IFERROR(IF(INDEX('Disaggregation Records'!$E$155:$E$385,MATCH(RIGHT(Q1715,255),RIGHT('Disaggregation Records'!$D$155:$D$385,255),0))=0,"",INDEX('Disaggregation Records'!$E$155:$E$385,MATCH(RIGHT(Q1715,255),RIGHT('Disaggregation Records'!$D$155:$D$385,255),0))),"")</f>
        <v/>
      </c>
      <c r="S1715" s="189" t="str">
        <f t="array" ref="S1715">IFERROR(IF(INDEX('Disaggregation Records'!$F$155:$F$385,MATCH(RIGHT(Q1715,255),RIGHT('Disaggregation Records'!$D$155:$D$385,255),0))=0,"",INDEX('Disaggregation Records'!$F$155:$F$385,MATCH(RIGHT(Q1715,255),RIGHT('Disaggregation Records'!$D$155:$D$385,255),0))),"")</f>
        <v/>
      </c>
      <c r="T1715" s="189" t="str">
        <f t="array" ref="T1715">IFERROR(IF(INDEX('Disaggregation Records'!$H$155:$H$385,MATCH(RIGHT(Q1715,255),RIGHT('Disaggregation Records'!$D$155:$D$385,255),0))=0,"",INDEX('Disaggregation Records'!$H$155:$H$385,MATCH(RIGHT(Q1715,255),RIGHT('Disaggregation Records'!$D$155:$D$385,255),0))),"")</f>
        <v/>
      </c>
      <c r="U1715" s="189">
        <f t="shared" ref="U1715" si="7455">U1713+1</f>
        <v>1959</v>
      </c>
      <c r="V1715" s="189" t="str">
        <f t="array" ref="V1715">IFERROR(IF(INDEX('Disaggregation Records'!$I$155:$I$385,MATCH(RIGHT(Q1715,255),RIGHT('Disaggregation Records'!$D$155:$D$385,255),0))=0,"",INDEX('Disaggregation Records'!$I$155:$I$385,MATCH(RIGHT(Q1715,255),RIGHT('Disaggregation Records'!$D$155:$D$385,255),0))),"")</f>
        <v/>
      </c>
      <c r="W1715" s="189" t="str">
        <f>IFERROR(INDEX('Reference Records'!L$59:L$121,MATCH(LEFT(C1715,255),'Reference Records'!E$59:E$121,0)),"")</f>
        <v/>
      </c>
    </row>
    <row r="1716" spans="1:23" s="189" customFormat="1" ht="40.200000000000003" customHeight="1" x14ac:dyDescent="0.3">
      <c r="A1716" s="678"/>
      <c r="B1716" s="675"/>
      <c r="C1716" s="667"/>
      <c r="D1716" s="677"/>
      <c r="E1716" s="677"/>
      <c r="F1716" s="202"/>
      <c r="G1716" s="669"/>
      <c r="H1716" s="671"/>
      <c r="I1716" s="673"/>
      <c r="J1716" s="652"/>
      <c r="K1716" s="667"/>
      <c r="L1716" s="667"/>
      <c r="M1716" s="652"/>
      <c r="N1716" s="652"/>
    </row>
    <row r="1717" spans="1:23" s="189" customFormat="1" ht="40.200000000000003" customHeight="1" x14ac:dyDescent="0.3">
      <c r="A1717" s="678" t="str">
        <f t="shared" ref="A1717" ca="1" si="7456">INDIRECT("'update Helper'!C"&amp;U1717)</f>
        <v>a163p000002zQiDAAU</v>
      </c>
      <c r="B1717" s="674">
        <v>28</v>
      </c>
      <c r="C1717" s="666" t="str">
        <f>VLOOKUP(B1717,'Coverage Indicators - Section D'!$A$9:$AU$70,47,FALSE)</f>
        <v/>
      </c>
      <c r="D1717" s="676" t="str">
        <f t="shared" ref="D1717" si="7457">R1717</f>
        <v/>
      </c>
      <c r="E1717" s="676" t="str">
        <f t="shared" ref="E1717" si="7458">S1717</f>
        <v/>
      </c>
      <c r="F1717" s="194"/>
      <c r="G1717" s="668" t="str">
        <f t="shared" ref="G1717" ca="1" si="7459">IF(OR(INDIRECT("'update Helper'!E"&amp;U1717)=0,F1717&lt;&gt;0,F1718&lt;&gt;0),IF(IFERROR((F1717/F1718),"")="","",(F1717/F1718)),INDIRECT("'update Helper'!E"&amp;U1717)/100)</f>
        <v/>
      </c>
      <c r="H1717" s="670"/>
      <c r="I1717" s="672"/>
      <c r="J1717" s="651"/>
      <c r="K1717" s="666" t="str">
        <f t="shared" ref="K1717" si="7460">W1717</f>
        <v/>
      </c>
      <c r="L1717" s="666" t="str">
        <f t="shared" ref="L1717" si="7461">V1717</f>
        <v/>
      </c>
      <c r="M1717" s="651"/>
      <c r="N1717" s="651"/>
      <c r="P1717" s="189">
        <f t="shared" ref="P1717" si="7462">IF(AND(EXACT(C1717,C1715),C1715&lt;&gt;0),P1715+1,0)</f>
        <v>148</v>
      </c>
      <c r="Q1717" s="189" t="str">
        <f t="shared" ref="Q1717" si="7463">IF(C1717&lt;&gt;"",C1717&amp;"-"&amp;P1717,"")</f>
        <v/>
      </c>
      <c r="R1717" s="189" t="str">
        <f t="array" ref="R1717">IFERROR(IF(INDEX('Disaggregation Records'!$E$155:$E$385,MATCH(RIGHT(Q1717,255),RIGHT('Disaggregation Records'!$D$155:$D$385,255),0))=0,"",INDEX('Disaggregation Records'!$E$155:$E$385,MATCH(RIGHT(Q1717,255),RIGHT('Disaggregation Records'!$D$155:$D$385,255),0))),"")</f>
        <v/>
      </c>
      <c r="S1717" s="189" t="str">
        <f t="array" ref="S1717">IFERROR(IF(INDEX('Disaggregation Records'!$F$155:$F$385,MATCH(RIGHT(Q1717,255),RIGHT('Disaggregation Records'!$D$155:$D$385,255),0))=0,"",INDEX('Disaggregation Records'!$F$155:$F$385,MATCH(RIGHT(Q1717,255),RIGHT('Disaggregation Records'!$D$155:$D$385,255),0))),"")</f>
        <v/>
      </c>
      <c r="T1717" s="189" t="str">
        <f t="array" ref="T1717">IFERROR(IF(INDEX('Disaggregation Records'!$H$155:$H$385,MATCH(RIGHT(Q1717,255),RIGHT('Disaggregation Records'!$D$155:$D$385,255),0))=0,"",INDEX('Disaggregation Records'!$H$155:$H$385,MATCH(RIGHT(Q1717,255),RIGHT('Disaggregation Records'!$D$155:$D$385,255),0))),"")</f>
        <v/>
      </c>
      <c r="U1717" s="189">
        <f t="shared" ref="U1717" si="7464">U1715+1</f>
        <v>1960</v>
      </c>
      <c r="V1717" s="189" t="str">
        <f t="array" ref="V1717">IFERROR(IF(INDEX('Disaggregation Records'!$I$155:$I$385,MATCH(RIGHT(Q1717,255),RIGHT('Disaggregation Records'!$D$155:$D$385,255),0))=0,"",INDEX('Disaggregation Records'!$I$155:$I$385,MATCH(RIGHT(Q1717,255),RIGHT('Disaggregation Records'!$D$155:$D$385,255),0))),"")</f>
        <v/>
      </c>
      <c r="W1717" s="189" t="str">
        <f>IFERROR(INDEX('Reference Records'!L$59:L$121,MATCH(LEFT(C1717,255),'Reference Records'!E$59:E$121,0)),"")</f>
        <v/>
      </c>
    </row>
    <row r="1718" spans="1:23" s="189" customFormat="1" ht="40.200000000000003" customHeight="1" x14ac:dyDescent="0.3">
      <c r="A1718" s="678"/>
      <c r="B1718" s="675"/>
      <c r="C1718" s="667"/>
      <c r="D1718" s="677"/>
      <c r="E1718" s="677"/>
      <c r="F1718" s="202"/>
      <c r="G1718" s="669"/>
      <c r="H1718" s="671"/>
      <c r="I1718" s="673"/>
      <c r="J1718" s="652"/>
      <c r="K1718" s="667"/>
      <c r="L1718" s="667"/>
      <c r="M1718" s="652"/>
      <c r="N1718" s="652"/>
    </row>
    <row r="1719" spans="1:23" s="189" customFormat="1" ht="40.200000000000003" customHeight="1" x14ac:dyDescent="0.3">
      <c r="A1719" s="678" t="str">
        <f t="shared" ref="A1719" ca="1" si="7465">INDIRECT("'update Helper'!C"&amp;U1719)</f>
        <v>a163p000002zQiEAAU</v>
      </c>
      <c r="B1719" s="674">
        <v>28</v>
      </c>
      <c r="C1719" s="666" t="str">
        <f>VLOOKUP(B1719,'Coverage Indicators - Section D'!$A$9:$AU$70,47,FALSE)</f>
        <v/>
      </c>
      <c r="D1719" s="676" t="str">
        <f t="shared" ref="D1719" si="7466">R1719</f>
        <v/>
      </c>
      <c r="E1719" s="676" t="str">
        <f t="shared" ref="E1719" si="7467">S1719</f>
        <v/>
      </c>
      <c r="F1719" s="194"/>
      <c r="G1719" s="668" t="str">
        <f t="shared" ref="G1719" ca="1" si="7468">IF(OR(INDIRECT("'update Helper'!E"&amp;U1719)=0,F1719&lt;&gt;0,F1720&lt;&gt;0),IF(IFERROR((F1719/F1720),"")="","",(F1719/F1720)),INDIRECT("'update Helper'!E"&amp;U1719)/100)</f>
        <v/>
      </c>
      <c r="H1719" s="670"/>
      <c r="I1719" s="672"/>
      <c r="J1719" s="651"/>
      <c r="K1719" s="666" t="str">
        <f t="shared" ref="K1719" si="7469">W1719</f>
        <v/>
      </c>
      <c r="L1719" s="666" t="str">
        <f t="shared" ref="L1719" si="7470">V1719</f>
        <v/>
      </c>
      <c r="M1719" s="651"/>
      <c r="N1719" s="651"/>
      <c r="P1719" s="189">
        <f t="shared" ref="P1719" si="7471">IF(AND(EXACT(C1719,C1717),C1717&lt;&gt;0),P1717+1,0)</f>
        <v>149</v>
      </c>
      <c r="Q1719" s="189" t="str">
        <f t="shared" ref="Q1719" si="7472">IF(C1719&lt;&gt;"",C1719&amp;"-"&amp;P1719,"")</f>
        <v/>
      </c>
      <c r="R1719" s="189" t="str">
        <f t="array" ref="R1719">IFERROR(IF(INDEX('Disaggregation Records'!$E$155:$E$385,MATCH(RIGHT(Q1719,255),RIGHT('Disaggregation Records'!$D$155:$D$385,255),0))=0,"",INDEX('Disaggregation Records'!$E$155:$E$385,MATCH(RIGHT(Q1719,255),RIGHT('Disaggregation Records'!$D$155:$D$385,255),0))),"")</f>
        <v/>
      </c>
      <c r="S1719" s="189" t="str">
        <f t="array" ref="S1719">IFERROR(IF(INDEX('Disaggregation Records'!$F$155:$F$385,MATCH(RIGHT(Q1719,255),RIGHT('Disaggregation Records'!$D$155:$D$385,255),0))=0,"",INDEX('Disaggregation Records'!$F$155:$F$385,MATCH(RIGHT(Q1719,255),RIGHT('Disaggregation Records'!$D$155:$D$385,255),0))),"")</f>
        <v/>
      </c>
      <c r="T1719" s="189" t="str">
        <f t="array" ref="T1719">IFERROR(IF(INDEX('Disaggregation Records'!$H$155:$H$385,MATCH(RIGHT(Q1719,255),RIGHT('Disaggregation Records'!$D$155:$D$385,255),0))=0,"",INDEX('Disaggregation Records'!$H$155:$H$385,MATCH(RIGHT(Q1719,255),RIGHT('Disaggregation Records'!$D$155:$D$385,255),0))),"")</f>
        <v/>
      </c>
      <c r="U1719" s="189">
        <f t="shared" ref="U1719" si="7473">U1717+1</f>
        <v>1961</v>
      </c>
      <c r="V1719" s="189" t="str">
        <f t="array" ref="V1719">IFERROR(IF(INDEX('Disaggregation Records'!$I$155:$I$385,MATCH(RIGHT(Q1719,255),RIGHT('Disaggregation Records'!$D$155:$D$385,255),0))=0,"",INDEX('Disaggregation Records'!$I$155:$I$385,MATCH(RIGHT(Q1719,255),RIGHT('Disaggregation Records'!$D$155:$D$385,255),0))),"")</f>
        <v/>
      </c>
      <c r="W1719" s="189" t="str">
        <f>IFERROR(INDEX('Reference Records'!L$59:L$121,MATCH(LEFT(C1719,255),'Reference Records'!E$59:E$121,0)),"")</f>
        <v/>
      </c>
    </row>
    <row r="1720" spans="1:23" s="189" customFormat="1" ht="40.200000000000003" customHeight="1" x14ac:dyDescent="0.3">
      <c r="A1720" s="678"/>
      <c r="B1720" s="675"/>
      <c r="C1720" s="667"/>
      <c r="D1720" s="677"/>
      <c r="E1720" s="677"/>
      <c r="F1720" s="202"/>
      <c r="G1720" s="669"/>
      <c r="H1720" s="671"/>
      <c r="I1720" s="673"/>
      <c r="J1720" s="652"/>
      <c r="K1720" s="667"/>
      <c r="L1720" s="667"/>
      <c r="M1720" s="652"/>
      <c r="N1720" s="652"/>
    </row>
    <row r="1721" spans="1:23" s="189" customFormat="1" ht="40.200000000000003" customHeight="1" x14ac:dyDescent="0.3">
      <c r="A1721" s="678" t="str">
        <f t="shared" ref="A1721" ca="1" si="7474">INDIRECT("'update Helper'!C"&amp;U1721)</f>
        <v>a163p000002zQiFAAU</v>
      </c>
      <c r="B1721" s="674">
        <v>28</v>
      </c>
      <c r="C1721" s="666" t="str">
        <f>VLOOKUP(B1721,'Coverage Indicators - Section D'!$A$9:$AU$70,47,FALSE)</f>
        <v/>
      </c>
      <c r="D1721" s="676" t="str">
        <f t="shared" ref="D1721" si="7475">R1721</f>
        <v/>
      </c>
      <c r="E1721" s="676" t="str">
        <f t="shared" ref="E1721" si="7476">S1721</f>
        <v/>
      </c>
      <c r="F1721" s="194"/>
      <c r="G1721" s="668" t="str">
        <f t="shared" ref="G1721" ca="1" si="7477">IF(OR(INDIRECT("'update Helper'!E"&amp;U1721)=0,F1721&lt;&gt;0,F1722&lt;&gt;0),IF(IFERROR((F1721/F1722),"")="","",(F1721/F1722)),INDIRECT("'update Helper'!E"&amp;U1721)/100)</f>
        <v/>
      </c>
      <c r="H1721" s="670"/>
      <c r="I1721" s="672"/>
      <c r="J1721" s="651"/>
      <c r="K1721" s="666" t="str">
        <f t="shared" ref="K1721" si="7478">W1721</f>
        <v/>
      </c>
      <c r="L1721" s="666" t="str">
        <f t="shared" ref="L1721" si="7479">V1721</f>
        <v/>
      </c>
      <c r="M1721" s="651"/>
      <c r="N1721" s="651"/>
      <c r="P1721" s="189">
        <f t="shared" ref="P1721" si="7480">IF(AND(EXACT(C1721,C1719),C1719&lt;&gt;0),P1719+1,0)</f>
        <v>150</v>
      </c>
      <c r="Q1721" s="189" t="str">
        <f t="shared" ref="Q1721" si="7481">IF(C1721&lt;&gt;"",C1721&amp;"-"&amp;P1721,"")</f>
        <v/>
      </c>
      <c r="R1721" s="189" t="str">
        <f t="array" ref="R1721">IFERROR(IF(INDEX('Disaggregation Records'!$E$155:$E$385,MATCH(RIGHT(Q1721,255),RIGHT('Disaggregation Records'!$D$155:$D$385,255),0))=0,"",INDEX('Disaggregation Records'!$E$155:$E$385,MATCH(RIGHT(Q1721,255),RIGHT('Disaggregation Records'!$D$155:$D$385,255),0))),"")</f>
        <v/>
      </c>
      <c r="S1721" s="189" t="str">
        <f t="array" ref="S1721">IFERROR(IF(INDEX('Disaggregation Records'!$F$155:$F$385,MATCH(RIGHT(Q1721,255),RIGHT('Disaggregation Records'!$D$155:$D$385,255),0))=0,"",INDEX('Disaggregation Records'!$F$155:$F$385,MATCH(RIGHT(Q1721,255),RIGHT('Disaggregation Records'!$D$155:$D$385,255),0))),"")</f>
        <v/>
      </c>
      <c r="T1721" s="189" t="str">
        <f t="array" ref="T1721">IFERROR(IF(INDEX('Disaggregation Records'!$H$155:$H$385,MATCH(RIGHT(Q1721,255),RIGHT('Disaggregation Records'!$D$155:$D$385,255),0))=0,"",INDEX('Disaggregation Records'!$H$155:$H$385,MATCH(RIGHT(Q1721,255),RIGHT('Disaggregation Records'!$D$155:$D$385,255),0))),"")</f>
        <v/>
      </c>
      <c r="U1721" s="189">
        <f t="shared" ref="U1721" si="7482">U1719+1</f>
        <v>1962</v>
      </c>
      <c r="V1721" s="189" t="str">
        <f t="array" ref="V1721">IFERROR(IF(INDEX('Disaggregation Records'!$I$155:$I$385,MATCH(RIGHT(Q1721,255),RIGHT('Disaggregation Records'!$D$155:$D$385,255),0))=0,"",INDEX('Disaggregation Records'!$I$155:$I$385,MATCH(RIGHT(Q1721,255),RIGHT('Disaggregation Records'!$D$155:$D$385,255),0))),"")</f>
        <v/>
      </c>
      <c r="W1721" s="189" t="str">
        <f>IFERROR(INDEX('Reference Records'!L$59:L$121,MATCH(LEFT(C1721,255),'Reference Records'!E$59:E$121,0)),"")</f>
        <v/>
      </c>
    </row>
    <row r="1722" spans="1:23" s="189" customFormat="1" ht="40.200000000000003" customHeight="1" x14ac:dyDescent="0.3">
      <c r="A1722" s="678"/>
      <c r="B1722" s="675"/>
      <c r="C1722" s="667"/>
      <c r="D1722" s="677"/>
      <c r="E1722" s="677"/>
      <c r="F1722" s="202"/>
      <c r="G1722" s="669"/>
      <c r="H1722" s="671"/>
      <c r="I1722" s="673"/>
      <c r="J1722" s="652"/>
      <c r="K1722" s="667"/>
      <c r="L1722" s="667"/>
      <c r="M1722" s="652"/>
      <c r="N1722" s="652"/>
    </row>
    <row r="1723" spans="1:23" s="189" customFormat="1" ht="40.200000000000003" customHeight="1" x14ac:dyDescent="0.3">
      <c r="A1723" s="678" t="str">
        <f t="shared" ref="A1723" ca="1" si="7483">INDIRECT("'update Helper'!C"&amp;U1723)</f>
        <v>a163p000002zQiGAAU</v>
      </c>
      <c r="B1723" s="674">
        <v>28</v>
      </c>
      <c r="C1723" s="666" t="str">
        <f>VLOOKUP(B1723,'Coverage Indicators - Section D'!$A$9:$AU$70,47,FALSE)</f>
        <v/>
      </c>
      <c r="D1723" s="676" t="str">
        <f t="shared" ref="D1723" si="7484">R1723</f>
        <v/>
      </c>
      <c r="E1723" s="676" t="str">
        <f t="shared" ref="E1723" si="7485">S1723</f>
        <v/>
      </c>
      <c r="F1723" s="194"/>
      <c r="G1723" s="668" t="str">
        <f t="shared" ref="G1723" ca="1" si="7486">IF(OR(INDIRECT("'update Helper'!E"&amp;U1723)=0,F1723&lt;&gt;0,F1724&lt;&gt;0),IF(IFERROR((F1723/F1724),"")="","",(F1723/F1724)),INDIRECT("'update Helper'!E"&amp;U1723)/100)</f>
        <v/>
      </c>
      <c r="H1723" s="670"/>
      <c r="I1723" s="672"/>
      <c r="J1723" s="651"/>
      <c r="K1723" s="666" t="str">
        <f t="shared" ref="K1723" si="7487">W1723</f>
        <v/>
      </c>
      <c r="L1723" s="666" t="str">
        <f t="shared" ref="L1723" si="7488">V1723</f>
        <v/>
      </c>
      <c r="M1723" s="651"/>
      <c r="N1723" s="651"/>
      <c r="P1723" s="189">
        <f t="shared" ref="P1723" si="7489">IF(AND(EXACT(C1723,C1721),C1721&lt;&gt;0),P1721+1,0)</f>
        <v>151</v>
      </c>
      <c r="Q1723" s="189" t="str">
        <f t="shared" ref="Q1723" si="7490">IF(C1723&lt;&gt;"",C1723&amp;"-"&amp;P1723,"")</f>
        <v/>
      </c>
      <c r="R1723" s="189" t="str">
        <f t="array" ref="R1723">IFERROR(IF(INDEX('Disaggregation Records'!$E$155:$E$385,MATCH(RIGHT(Q1723,255),RIGHT('Disaggregation Records'!$D$155:$D$385,255),0))=0,"",INDEX('Disaggregation Records'!$E$155:$E$385,MATCH(RIGHT(Q1723,255),RIGHT('Disaggregation Records'!$D$155:$D$385,255),0))),"")</f>
        <v/>
      </c>
      <c r="S1723" s="189" t="str">
        <f t="array" ref="S1723">IFERROR(IF(INDEX('Disaggregation Records'!$F$155:$F$385,MATCH(RIGHT(Q1723,255),RIGHT('Disaggregation Records'!$D$155:$D$385,255),0))=0,"",INDEX('Disaggregation Records'!$F$155:$F$385,MATCH(RIGHT(Q1723,255),RIGHT('Disaggregation Records'!$D$155:$D$385,255),0))),"")</f>
        <v/>
      </c>
      <c r="T1723" s="189" t="str">
        <f t="array" ref="T1723">IFERROR(IF(INDEX('Disaggregation Records'!$H$155:$H$385,MATCH(RIGHT(Q1723,255),RIGHT('Disaggregation Records'!$D$155:$D$385,255),0))=0,"",INDEX('Disaggregation Records'!$H$155:$H$385,MATCH(RIGHT(Q1723,255),RIGHT('Disaggregation Records'!$D$155:$D$385,255),0))),"")</f>
        <v/>
      </c>
      <c r="U1723" s="189">
        <f t="shared" ref="U1723" si="7491">U1721+1</f>
        <v>1963</v>
      </c>
      <c r="V1723" s="189" t="str">
        <f t="array" ref="V1723">IFERROR(IF(INDEX('Disaggregation Records'!$I$155:$I$385,MATCH(RIGHT(Q1723,255),RIGHT('Disaggregation Records'!$D$155:$D$385,255),0))=0,"",INDEX('Disaggregation Records'!$I$155:$I$385,MATCH(RIGHT(Q1723,255),RIGHT('Disaggregation Records'!$D$155:$D$385,255),0))),"")</f>
        <v/>
      </c>
      <c r="W1723" s="189" t="str">
        <f>IFERROR(INDEX('Reference Records'!L$59:L$121,MATCH(LEFT(C1723,255),'Reference Records'!E$59:E$121,0)),"")</f>
        <v/>
      </c>
    </row>
    <row r="1724" spans="1:23" s="189" customFormat="1" ht="40.200000000000003" customHeight="1" x14ac:dyDescent="0.3">
      <c r="A1724" s="678"/>
      <c r="B1724" s="675"/>
      <c r="C1724" s="667"/>
      <c r="D1724" s="677"/>
      <c r="E1724" s="677"/>
      <c r="F1724" s="202"/>
      <c r="G1724" s="669"/>
      <c r="H1724" s="671"/>
      <c r="I1724" s="673"/>
      <c r="J1724" s="652"/>
      <c r="K1724" s="667"/>
      <c r="L1724" s="667"/>
      <c r="M1724" s="652"/>
      <c r="N1724" s="652"/>
    </row>
    <row r="1725" spans="1:23" s="189" customFormat="1" ht="40.200000000000003" customHeight="1" x14ac:dyDescent="0.3">
      <c r="A1725" s="678" t="str">
        <f t="shared" ref="A1725" ca="1" si="7492">INDIRECT("'update Helper'!C"&amp;U1725)</f>
        <v>a163p000002zQiHAAU</v>
      </c>
      <c r="B1725" s="674">
        <v>28</v>
      </c>
      <c r="C1725" s="666" t="str">
        <f>VLOOKUP(B1725,'Coverage Indicators - Section D'!$A$9:$AU$70,47,FALSE)</f>
        <v/>
      </c>
      <c r="D1725" s="676" t="str">
        <f t="shared" ref="D1725" si="7493">R1725</f>
        <v/>
      </c>
      <c r="E1725" s="676" t="str">
        <f t="shared" ref="E1725" si="7494">S1725</f>
        <v/>
      </c>
      <c r="F1725" s="194"/>
      <c r="G1725" s="668" t="str">
        <f t="shared" ref="G1725" ca="1" si="7495">IF(OR(INDIRECT("'update Helper'!E"&amp;U1725)=0,F1725&lt;&gt;0,F1726&lt;&gt;0),IF(IFERROR((F1725/F1726),"")="","",(F1725/F1726)),INDIRECT("'update Helper'!E"&amp;U1725)/100)</f>
        <v/>
      </c>
      <c r="H1725" s="670"/>
      <c r="I1725" s="672"/>
      <c r="J1725" s="651"/>
      <c r="K1725" s="666" t="str">
        <f t="shared" ref="K1725" si="7496">W1725</f>
        <v/>
      </c>
      <c r="L1725" s="666" t="str">
        <f t="shared" ref="L1725" si="7497">V1725</f>
        <v/>
      </c>
      <c r="M1725" s="651"/>
      <c r="N1725" s="651"/>
      <c r="P1725" s="189">
        <f t="shared" ref="P1725" si="7498">IF(AND(EXACT(C1725,C1723),C1723&lt;&gt;0),P1723+1,0)</f>
        <v>152</v>
      </c>
      <c r="Q1725" s="189" t="str">
        <f t="shared" ref="Q1725" si="7499">IF(C1725&lt;&gt;"",C1725&amp;"-"&amp;P1725,"")</f>
        <v/>
      </c>
      <c r="R1725" s="189" t="str">
        <f t="array" ref="R1725">IFERROR(IF(INDEX('Disaggregation Records'!$E$155:$E$385,MATCH(RIGHT(Q1725,255),RIGHT('Disaggregation Records'!$D$155:$D$385,255),0))=0,"",INDEX('Disaggregation Records'!$E$155:$E$385,MATCH(RIGHT(Q1725,255),RIGHT('Disaggregation Records'!$D$155:$D$385,255),0))),"")</f>
        <v/>
      </c>
      <c r="S1725" s="189" t="str">
        <f t="array" ref="S1725">IFERROR(IF(INDEX('Disaggregation Records'!$F$155:$F$385,MATCH(RIGHT(Q1725,255),RIGHT('Disaggregation Records'!$D$155:$D$385,255),0))=0,"",INDEX('Disaggregation Records'!$F$155:$F$385,MATCH(RIGHT(Q1725,255),RIGHT('Disaggregation Records'!$D$155:$D$385,255),0))),"")</f>
        <v/>
      </c>
      <c r="T1725" s="189" t="str">
        <f t="array" ref="T1725">IFERROR(IF(INDEX('Disaggregation Records'!$H$155:$H$385,MATCH(RIGHT(Q1725,255),RIGHT('Disaggregation Records'!$D$155:$D$385,255),0))=0,"",INDEX('Disaggregation Records'!$H$155:$H$385,MATCH(RIGHT(Q1725,255),RIGHT('Disaggregation Records'!$D$155:$D$385,255),0))),"")</f>
        <v/>
      </c>
      <c r="U1725" s="189">
        <f t="shared" ref="U1725" si="7500">U1723+1</f>
        <v>1964</v>
      </c>
      <c r="V1725" s="189" t="str">
        <f t="array" ref="V1725">IFERROR(IF(INDEX('Disaggregation Records'!$I$155:$I$385,MATCH(RIGHT(Q1725,255),RIGHT('Disaggregation Records'!$D$155:$D$385,255),0))=0,"",INDEX('Disaggregation Records'!$I$155:$I$385,MATCH(RIGHT(Q1725,255),RIGHT('Disaggregation Records'!$D$155:$D$385,255),0))),"")</f>
        <v/>
      </c>
      <c r="W1725" s="189" t="str">
        <f>IFERROR(INDEX('Reference Records'!L$59:L$121,MATCH(LEFT(C1725,255),'Reference Records'!E$59:E$121,0)),"")</f>
        <v/>
      </c>
    </row>
    <row r="1726" spans="1:23" s="189" customFormat="1" ht="40.200000000000003" customHeight="1" x14ac:dyDescent="0.3">
      <c r="A1726" s="678"/>
      <c r="B1726" s="675"/>
      <c r="C1726" s="667"/>
      <c r="D1726" s="677"/>
      <c r="E1726" s="677"/>
      <c r="F1726" s="202"/>
      <c r="G1726" s="669"/>
      <c r="H1726" s="671"/>
      <c r="I1726" s="673"/>
      <c r="J1726" s="652"/>
      <c r="K1726" s="667"/>
      <c r="L1726" s="667"/>
      <c r="M1726" s="652"/>
      <c r="N1726" s="652"/>
    </row>
    <row r="1727" spans="1:23" s="189" customFormat="1" ht="40.200000000000003" customHeight="1" x14ac:dyDescent="0.3">
      <c r="A1727" s="678" t="str">
        <f t="shared" ref="A1727" ca="1" si="7501">INDIRECT("'update Helper'!C"&amp;U1727)</f>
        <v>a163p000002zQiIAAU</v>
      </c>
      <c r="B1727" s="674">
        <v>28</v>
      </c>
      <c r="C1727" s="666" t="str">
        <f>VLOOKUP(B1727,'Coverage Indicators - Section D'!$A$9:$AU$70,47,FALSE)</f>
        <v/>
      </c>
      <c r="D1727" s="676" t="str">
        <f t="shared" ref="D1727" si="7502">R1727</f>
        <v/>
      </c>
      <c r="E1727" s="676" t="str">
        <f t="shared" ref="E1727" si="7503">S1727</f>
        <v/>
      </c>
      <c r="F1727" s="194"/>
      <c r="G1727" s="668" t="str">
        <f t="shared" ref="G1727" ca="1" si="7504">IF(OR(INDIRECT("'update Helper'!E"&amp;U1727)=0,F1727&lt;&gt;0,F1728&lt;&gt;0),IF(IFERROR((F1727/F1728),"")="","",(F1727/F1728)),INDIRECT("'update Helper'!E"&amp;U1727)/100)</f>
        <v/>
      </c>
      <c r="H1727" s="670"/>
      <c r="I1727" s="672"/>
      <c r="J1727" s="651"/>
      <c r="K1727" s="666" t="str">
        <f t="shared" ref="K1727" si="7505">W1727</f>
        <v/>
      </c>
      <c r="L1727" s="666" t="str">
        <f t="shared" ref="L1727" si="7506">V1727</f>
        <v/>
      </c>
      <c r="M1727" s="651"/>
      <c r="N1727" s="651"/>
      <c r="P1727" s="189">
        <f t="shared" ref="P1727" si="7507">IF(AND(EXACT(C1727,C1725),C1725&lt;&gt;0),P1725+1,0)</f>
        <v>153</v>
      </c>
      <c r="Q1727" s="189" t="str">
        <f t="shared" ref="Q1727" si="7508">IF(C1727&lt;&gt;"",C1727&amp;"-"&amp;P1727,"")</f>
        <v/>
      </c>
      <c r="R1727" s="189" t="str">
        <f t="array" ref="R1727">IFERROR(IF(INDEX('Disaggregation Records'!$E$155:$E$385,MATCH(RIGHT(Q1727,255),RIGHT('Disaggregation Records'!$D$155:$D$385,255),0))=0,"",INDEX('Disaggregation Records'!$E$155:$E$385,MATCH(RIGHT(Q1727,255),RIGHT('Disaggregation Records'!$D$155:$D$385,255),0))),"")</f>
        <v/>
      </c>
      <c r="S1727" s="189" t="str">
        <f t="array" ref="S1727">IFERROR(IF(INDEX('Disaggregation Records'!$F$155:$F$385,MATCH(RIGHT(Q1727,255),RIGHT('Disaggregation Records'!$D$155:$D$385,255),0))=0,"",INDEX('Disaggregation Records'!$F$155:$F$385,MATCH(RIGHT(Q1727,255),RIGHT('Disaggregation Records'!$D$155:$D$385,255),0))),"")</f>
        <v/>
      </c>
      <c r="T1727" s="189" t="str">
        <f t="array" ref="T1727">IFERROR(IF(INDEX('Disaggregation Records'!$H$155:$H$385,MATCH(RIGHT(Q1727,255),RIGHT('Disaggregation Records'!$D$155:$D$385,255),0))=0,"",INDEX('Disaggregation Records'!$H$155:$H$385,MATCH(RIGHT(Q1727,255),RIGHT('Disaggregation Records'!$D$155:$D$385,255),0))),"")</f>
        <v/>
      </c>
      <c r="U1727" s="189">
        <f t="shared" ref="U1727" si="7509">U1725+1</f>
        <v>1965</v>
      </c>
      <c r="V1727" s="189" t="str">
        <f t="array" ref="V1727">IFERROR(IF(INDEX('Disaggregation Records'!$I$155:$I$385,MATCH(RIGHT(Q1727,255),RIGHT('Disaggregation Records'!$D$155:$D$385,255),0))=0,"",INDEX('Disaggregation Records'!$I$155:$I$385,MATCH(RIGHT(Q1727,255),RIGHT('Disaggregation Records'!$D$155:$D$385,255),0))),"")</f>
        <v/>
      </c>
      <c r="W1727" s="189" t="str">
        <f>IFERROR(INDEX('Reference Records'!L$59:L$121,MATCH(LEFT(C1727,255),'Reference Records'!E$59:E$121,0)),"")</f>
        <v/>
      </c>
    </row>
    <row r="1728" spans="1:23" s="189" customFormat="1" ht="40.200000000000003" customHeight="1" x14ac:dyDescent="0.3">
      <c r="A1728" s="678"/>
      <c r="B1728" s="675"/>
      <c r="C1728" s="667"/>
      <c r="D1728" s="677"/>
      <c r="E1728" s="677"/>
      <c r="F1728" s="202"/>
      <c r="G1728" s="669"/>
      <c r="H1728" s="671"/>
      <c r="I1728" s="673"/>
      <c r="J1728" s="652"/>
      <c r="K1728" s="667"/>
      <c r="L1728" s="667"/>
      <c r="M1728" s="652"/>
      <c r="N1728" s="652"/>
    </row>
    <row r="1729" spans="1:23" s="189" customFormat="1" ht="40.200000000000003" customHeight="1" x14ac:dyDescent="0.3">
      <c r="A1729" s="678" t="str">
        <f t="shared" ref="A1729" ca="1" si="7510">INDIRECT("'update Helper'!C"&amp;U1729)</f>
        <v>a163p000002zQiJAAU</v>
      </c>
      <c r="B1729" s="674">
        <v>28</v>
      </c>
      <c r="C1729" s="666" t="str">
        <f>VLOOKUP(B1729,'Coverage Indicators - Section D'!$A$9:$AU$70,47,FALSE)</f>
        <v/>
      </c>
      <c r="D1729" s="676" t="str">
        <f t="shared" ref="D1729" si="7511">R1729</f>
        <v/>
      </c>
      <c r="E1729" s="676" t="str">
        <f t="shared" ref="E1729" si="7512">S1729</f>
        <v/>
      </c>
      <c r="F1729" s="194"/>
      <c r="G1729" s="668" t="str">
        <f t="shared" ref="G1729" ca="1" si="7513">IF(OR(INDIRECT("'update Helper'!E"&amp;U1729)=0,F1729&lt;&gt;0,F1730&lt;&gt;0),IF(IFERROR((F1729/F1730),"")="","",(F1729/F1730)),INDIRECT("'update Helper'!E"&amp;U1729)/100)</f>
        <v/>
      </c>
      <c r="H1729" s="670"/>
      <c r="I1729" s="672"/>
      <c r="J1729" s="651"/>
      <c r="K1729" s="666" t="str">
        <f t="shared" ref="K1729" si="7514">W1729</f>
        <v/>
      </c>
      <c r="L1729" s="666" t="str">
        <f t="shared" ref="L1729" si="7515">V1729</f>
        <v/>
      </c>
      <c r="M1729" s="651"/>
      <c r="N1729" s="651"/>
      <c r="P1729" s="189">
        <f t="shared" ref="P1729" si="7516">IF(AND(EXACT(C1729,C1727),C1727&lt;&gt;0),P1727+1,0)</f>
        <v>154</v>
      </c>
      <c r="Q1729" s="189" t="str">
        <f t="shared" ref="Q1729" si="7517">IF(C1729&lt;&gt;"",C1729&amp;"-"&amp;P1729,"")</f>
        <v/>
      </c>
      <c r="R1729" s="189" t="str">
        <f t="array" ref="R1729">IFERROR(IF(INDEX('Disaggregation Records'!$E$155:$E$385,MATCH(RIGHT(Q1729,255),RIGHT('Disaggregation Records'!$D$155:$D$385,255),0))=0,"",INDEX('Disaggregation Records'!$E$155:$E$385,MATCH(RIGHT(Q1729,255),RIGHT('Disaggregation Records'!$D$155:$D$385,255),0))),"")</f>
        <v/>
      </c>
      <c r="S1729" s="189" t="str">
        <f t="array" ref="S1729">IFERROR(IF(INDEX('Disaggregation Records'!$F$155:$F$385,MATCH(RIGHT(Q1729,255),RIGHT('Disaggregation Records'!$D$155:$D$385,255),0))=0,"",INDEX('Disaggregation Records'!$F$155:$F$385,MATCH(RIGHT(Q1729,255),RIGHT('Disaggregation Records'!$D$155:$D$385,255),0))),"")</f>
        <v/>
      </c>
      <c r="T1729" s="189" t="str">
        <f t="array" ref="T1729">IFERROR(IF(INDEX('Disaggregation Records'!$H$155:$H$385,MATCH(RIGHT(Q1729,255),RIGHT('Disaggregation Records'!$D$155:$D$385,255),0))=0,"",INDEX('Disaggregation Records'!$H$155:$H$385,MATCH(RIGHT(Q1729,255),RIGHT('Disaggregation Records'!$D$155:$D$385,255),0))),"")</f>
        <v/>
      </c>
      <c r="U1729" s="189">
        <f t="shared" ref="U1729" si="7518">U1727+1</f>
        <v>1966</v>
      </c>
      <c r="V1729" s="189" t="str">
        <f t="array" ref="V1729">IFERROR(IF(INDEX('Disaggregation Records'!$I$155:$I$385,MATCH(RIGHT(Q1729,255),RIGHT('Disaggregation Records'!$D$155:$D$385,255),0))=0,"",INDEX('Disaggregation Records'!$I$155:$I$385,MATCH(RIGHT(Q1729,255),RIGHT('Disaggregation Records'!$D$155:$D$385,255),0))),"")</f>
        <v/>
      </c>
      <c r="W1729" s="189" t="str">
        <f>IFERROR(INDEX('Reference Records'!L$59:L$121,MATCH(LEFT(C1729,255),'Reference Records'!E$59:E$121,0)),"")</f>
        <v/>
      </c>
    </row>
    <row r="1730" spans="1:23" s="189" customFormat="1" ht="40.200000000000003" customHeight="1" x14ac:dyDescent="0.3">
      <c r="A1730" s="678"/>
      <c r="B1730" s="675"/>
      <c r="C1730" s="667"/>
      <c r="D1730" s="677"/>
      <c r="E1730" s="677"/>
      <c r="F1730" s="202"/>
      <c r="G1730" s="669"/>
      <c r="H1730" s="671"/>
      <c r="I1730" s="673"/>
      <c r="J1730" s="652"/>
      <c r="K1730" s="667"/>
      <c r="L1730" s="667"/>
      <c r="M1730" s="652"/>
      <c r="N1730" s="652"/>
    </row>
    <row r="1731" spans="1:23" s="189" customFormat="1" ht="40.200000000000003" customHeight="1" x14ac:dyDescent="0.3">
      <c r="A1731" s="678" t="str">
        <f t="shared" ref="A1731" ca="1" si="7519">INDIRECT("'update Helper'!C"&amp;U1731)</f>
        <v>a163p000002zQiKAAU</v>
      </c>
      <c r="B1731" s="674">
        <v>28</v>
      </c>
      <c r="C1731" s="666" t="str">
        <f>VLOOKUP(B1731,'Coverage Indicators - Section D'!$A$9:$AU$70,47,FALSE)</f>
        <v/>
      </c>
      <c r="D1731" s="676" t="str">
        <f t="shared" ref="D1731" si="7520">R1731</f>
        <v/>
      </c>
      <c r="E1731" s="676" t="str">
        <f t="shared" ref="E1731" si="7521">S1731</f>
        <v/>
      </c>
      <c r="F1731" s="194"/>
      <c r="G1731" s="668" t="str">
        <f t="shared" ref="G1731" ca="1" si="7522">IF(OR(INDIRECT("'update Helper'!E"&amp;U1731)=0,F1731&lt;&gt;0,F1732&lt;&gt;0),IF(IFERROR((F1731/F1732),"")="","",(F1731/F1732)),INDIRECT("'update Helper'!E"&amp;U1731)/100)</f>
        <v/>
      </c>
      <c r="H1731" s="670"/>
      <c r="I1731" s="672"/>
      <c r="J1731" s="651"/>
      <c r="K1731" s="666" t="str">
        <f t="shared" ref="K1731" si="7523">W1731</f>
        <v/>
      </c>
      <c r="L1731" s="666" t="str">
        <f t="shared" ref="L1731" si="7524">V1731</f>
        <v/>
      </c>
      <c r="M1731" s="651"/>
      <c r="N1731" s="651"/>
      <c r="P1731" s="189">
        <f t="shared" ref="P1731" si="7525">IF(AND(EXACT(C1731,C1729),C1729&lt;&gt;0),P1729+1,0)</f>
        <v>155</v>
      </c>
      <c r="Q1731" s="189" t="str">
        <f t="shared" ref="Q1731" si="7526">IF(C1731&lt;&gt;"",C1731&amp;"-"&amp;P1731,"")</f>
        <v/>
      </c>
      <c r="R1731" s="189" t="str">
        <f t="array" ref="R1731">IFERROR(IF(INDEX('Disaggregation Records'!$E$155:$E$385,MATCH(RIGHT(Q1731,255),RIGHT('Disaggregation Records'!$D$155:$D$385,255),0))=0,"",INDEX('Disaggregation Records'!$E$155:$E$385,MATCH(RIGHT(Q1731,255),RIGHT('Disaggregation Records'!$D$155:$D$385,255),0))),"")</f>
        <v/>
      </c>
      <c r="S1731" s="189" t="str">
        <f t="array" ref="S1731">IFERROR(IF(INDEX('Disaggregation Records'!$F$155:$F$385,MATCH(RIGHT(Q1731,255),RIGHT('Disaggregation Records'!$D$155:$D$385,255),0))=0,"",INDEX('Disaggregation Records'!$F$155:$F$385,MATCH(RIGHT(Q1731,255),RIGHT('Disaggregation Records'!$D$155:$D$385,255),0))),"")</f>
        <v/>
      </c>
      <c r="T1731" s="189" t="str">
        <f t="array" ref="T1731">IFERROR(IF(INDEX('Disaggregation Records'!$H$155:$H$385,MATCH(RIGHT(Q1731,255),RIGHT('Disaggregation Records'!$D$155:$D$385,255),0))=0,"",INDEX('Disaggregation Records'!$H$155:$H$385,MATCH(RIGHT(Q1731,255),RIGHT('Disaggregation Records'!$D$155:$D$385,255),0))),"")</f>
        <v/>
      </c>
      <c r="U1731" s="189">
        <f t="shared" ref="U1731" si="7527">U1729+1</f>
        <v>1967</v>
      </c>
      <c r="V1731" s="189" t="str">
        <f t="array" ref="V1731">IFERROR(IF(INDEX('Disaggregation Records'!$I$155:$I$385,MATCH(RIGHT(Q1731,255),RIGHT('Disaggregation Records'!$D$155:$D$385,255),0))=0,"",INDEX('Disaggregation Records'!$I$155:$I$385,MATCH(RIGHT(Q1731,255),RIGHT('Disaggregation Records'!$D$155:$D$385,255),0))),"")</f>
        <v/>
      </c>
      <c r="W1731" s="189" t="str">
        <f>IFERROR(INDEX('Reference Records'!L$59:L$121,MATCH(LEFT(C1731,255),'Reference Records'!E$59:E$121,0)),"")</f>
        <v/>
      </c>
    </row>
    <row r="1732" spans="1:23" s="189" customFormat="1" ht="40.200000000000003" customHeight="1" x14ac:dyDescent="0.3">
      <c r="A1732" s="678"/>
      <c r="B1732" s="675"/>
      <c r="C1732" s="667"/>
      <c r="D1732" s="677"/>
      <c r="E1732" s="677"/>
      <c r="F1732" s="202"/>
      <c r="G1732" s="669"/>
      <c r="H1732" s="671"/>
      <c r="I1732" s="673"/>
      <c r="J1732" s="652"/>
      <c r="K1732" s="667"/>
      <c r="L1732" s="667"/>
      <c r="M1732" s="652"/>
      <c r="N1732" s="652"/>
    </row>
    <row r="1733" spans="1:23" s="189" customFormat="1" ht="40.200000000000003" customHeight="1" x14ac:dyDescent="0.3">
      <c r="A1733" s="678" t="str">
        <f t="shared" ref="A1733" ca="1" si="7528">INDIRECT("'update Helper'!C"&amp;U1733)</f>
        <v>a163p000002zQiLAAU</v>
      </c>
      <c r="B1733" s="674">
        <v>28</v>
      </c>
      <c r="C1733" s="666" t="str">
        <f>VLOOKUP(B1733,'Coverage Indicators - Section D'!$A$9:$AU$70,47,FALSE)</f>
        <v/>
      </c>
      <c r="D1733" s="676" t="str">
        <f t="shared" ref="D1733" si="7529">R1733</f>
        <v/>
      </c>
      <c r="E1733" s="676" t="str">
        <f t="shared" ref="E1733" si="7530">S1733</f>
        <v/>
      </c>
      <c r="F1733" s="194"/>
      <c r="G1733" s="668" t="str">
        <f t="shared" ref="G1733" ca="1" si="7531">IF(OR(INDIRECT("'update Helper'!E"&amp;U1733)=0,F1733&lt;&gt;0,F1734&lt;&gt;0),IF(IFERROR((F1733/F1734),"")="","",(F1733/F1734)),INDIRECT("'update Helper'!E"&amp;U1733)/100)</f>
        <v/>
      </c>
      <c r="H1733" s="670"/>
      <c r="I1733" s="672"/>
      <c r="J1733" s="651"/>
      <c r="K1733" s="666" t="str">
        <f t="shared" ref="K1733" si="7532">W1733</f>
        <v/>
      </c>
      <c r="L1733" s="666" t="str">
        <f t="shared" ref="L1733" si="7533">V1733</f>
        <v/>
      </c>
      <c r="M1733" s="651"/>
      <c r="N1733" s="651"/>
      <c r="P1733" s="189">
        <f t="shared" ref="P1733" si="7534">IF(AND(EXACT(C1733,C1731),C1731&lt;&gt;0),P1731+1,0)</f>
        <v>156</v>
      </c>
      <c r="Q1733" s="189" t="str">
        <f t="shared" ref="Q1733" si="7535">IF(C1733&lt;&gt;"",C1733&amp;"-"&amp;P1733,"")</f>
        <v/>
      </c>
      <c r="R1733" s="189" t="str">
        <f t="array" ref="R1733">IFERROR(IF(INDEX('Disaggregation Records'!$E$155:$E$385,MATCH(RIGHT(Q1733,255),RIGHT('Disaggregation Records'!$D$155:$D$385,255),0))=0,"",INDEX('Disaggregation Records'!$E$155:$E$385,MATCH(RIGHT(Q1733,255),RIGHT('Disaggregation Records'!$D$155:$D$385,255),0))),"")</f>
        <v/>
      </c>
      <c r="S1733" s="189" t="str">
        <f t="array" ref="S1733">IFERROR(IF(INDEX('Disaggregation Records'!$F$155:$F$385,MATCH(RIGHT(Q1733,255),RIGHT('Disaggregation Records'!$D$155:$D$385,255),0))=0,"",INDEX('Disaggregation Records'!$F$155:$F$385,MATCH(RIGHT(Q1733,255),RIGHT('Disaggregation Records'!$D$155:$D$385,255),0))),"")</f>
        <v/>
      </c>
      <c r="T1733" s="189" t="str">
        <f t="array" ref="T1733">IFERROR(IF(INDEX('Disaggregation Records'!$H$155:$H$385,MATCH(RIGHT(Q1733,255),RIGHT('Disaggregation Records'!$D$155:$D$385,255),0))=0,"",INDEX('Disaggregation Records'!$H$155:$H$385,MATCH(RIGHT(Q1733,255),RIGHT('Disaggregation Records'!$D$155:$D$385,255),0))),"")</f>
        <v/>
      </c>
      <c r="U1733" s="189">
        <f t="shared" ref="U1733" si="7536">U1731+1</f>
        <v>1968</v>
      </c>
      <c r="V1733" s="189" t="str">
        <f t="array" ref="V1733">IFERROR(IF(INDEX('Disaggregation Records'!$I$155:$I$385,MATCH(RIGHT(Q1733,255),RIGHT('Disaggregation Records'!$D$155:$D$385,255),0))=0,"",INDEX('Disaggregation Records'!$I$155:$I$385,MATCH(RIGHT(Q1733,255),RIGHT('Disaggregation Records'!$D$155:$D$385,255),0))),"")</f>
        <v/>
      </c>
      <c r="W1733" s="189" t="str">
        <f>IFERROR(INDEX('Reference Records'!L$59:L$121,MATCH(LEFT(C1733,255),'Reference Records'!E$59:E$121,0)),"")</f>
        <v/>
      </c>
    </row>
    <row r="1734" spans="1:23" s="189" customFormat="1" ht="40.200000000000003" customHeight="1" x14ac:dyDescent="0.3">
      <c r="A1734" s="678"/>
      <c r="B1734" s="675"/>
      <c r="C1734" s="667"/>
      <c r="D1734" s="677"/>
      <c r="E1734" s="677"/>
      <c r="F1734" s="202"/>
      <c r="G1734" s="669"/>
      <c r="H1734" s="671"/>
      <c r="I1734" s="673"/>
      <c r="J1734" s="652"/>
      <c r="K1734" s="667"/>
      <c r="L1734" s="667"/>
      <c r="M1734" s="652"/>
      <c r="N1734" s="652"/>
    </row>
    <row r="1735" spans="1:23" s="189" customFormat="1" ht="40.200000000000003" customHeight="1" x14ac:dyDescent="0.3">
      <c r="A1735" s="678" t="str">
        <f t="shared" ref="A1735" ca="1" si="7537">INDIRECT("'update Helper'!C"&amp;U1735)</f>
        <v>a163p000002zQiMAAU</v>
      </c>
      <c r="B1735" s="674">
        <v>28</v>
      </c>
      <c r="C1735" s="666" t="str">
        <f>VLOOKUP(B1735,'Coverage Indicators - Section D'!$A$9:$AU$70,47,FALSE)</f>
        <v/>
      </c>
      <c r="D1735" s="676" t="str">
        <f t="shared" ref="D1735" si="7538">R1735</f>
        <v/>
      </c>
      <c r="E1735" s="676" t="str">
        <f t="shared" ref="E1735" si="7539">S1735</f>
        <v/>
      </c>
      <c r="F1735" s="194"/>
      <c r="G1735" s="668" t="str">
        <f t="shared" ref="G1735" ca="1" si="7540">IF(OR(INDIRECT("'update Helper'!E"&amp;U1735)=0,F1735&lt;&gt;0,F1736&lt;&gt;0),IF(IFERROR((F1735/F1736),"")="","",(F1735/F1736)),INDIRECT("'update Helper'!E"&amp;U1735)/100)</f>
        <v/>
      </c>
      <c r="H1735" s="670"/>
      <c r="I1735" s="672"/>
      <c r="J1735" s="651"/>
      <c r="K1735" s="666" t="str">
        <f t="shared" ref="K1735" si="7541">W1735</f>
        <v/>
      </c>
      <c r="L1735" s="666" t="str">
        <f t="shared" ref="L1735" si="7542">V1735</f>
        <v/>
      </c>
      <c r="M1735" s="651"/>
      <c r="N1735" s="651"/>
      <c r="P1735" s="189">
        <f t="shared" ref="P1735" si="7543">IF(AND(EXACT(C1735,C1733),C1733&lt;&gt;0),P1733+1,0)</f>
        <v>157</v>
      </c>
      <c r="Q1735" s="189" t="str">
        <f t="shared" ref="Q1735" si="7544">IF(C1735&lt;&gt;"",C1735&amp;"-"&amp;P1735,"")</f>
        <v/>
      </c>
      <c r="R1735" s="189" t="str">
        <f t="array" ref="R1735">IFERROR(IF(INDEX('Disaggregation Records'!$E$155:$E$385,MATCH(RIGHT(Q1735,255),RIGHT('Disaggregation Records'!$D$155:$D$385,255),0))=0,"",INDEX('Disaggregation Records'!$E$155:$E$385,MATCH(RIGHT(Q1735,255),RIGHT('Disaggregation Records'!$D$155:$D$385,255),0))),"")</f>
        <v/>
      </c>
      <c r="S1735" s="189" t="str">
        <f t="array" ref="S1735">IFERROR(IF(INDEX('Disaggregation Records'!$F$155:$F$385,MATCH(RIGHT(Q1735,255),RIGHT('Disaggregation Records'!$D$155:$D$385,255),0))=0,"",INDEX('Disaggregation Records'!$F$155:$F$385,MATCH(RIGHT(Q1735,255),RIGHT('Disaggregation Records'!$D$155:$D$385,255),0))),"")</f>
        <v/>
      </c>
      <c r="T1735" s="189" t="str">
        <f t="array" ref="T1735">IFERROR(IF(INDEX('Disaggregation Records'!$H$155:$H$385,MATCH(RIGHT(Q1735,255),RIGHT('Disaggregation Records'!$D$155:$D$385,255),0))=0,"",INDEX('Disaggregation Records'!$H$155:$H$385,MATCH(RIGHT(Q1735,255),RIGHT('Disaggregation Records'!$D$155:$D$385,255),0))),"")</f>
        <v/>
      </c>
      <c r="U1735" s="189">
        <f t="shared" ref="U1735" si="7545">U1733+1</f>
        <v>1969</v>
      </c>
      <c r="V1735" s="189" t="str">
        <f t="array" ref="V1735">IFERROR(IF(INDEX('Disaggregation Records'!$I$155:$I$385,MATCH(RIGHT(Q1735,255),RIGHT('Disaggregation Records'!$D$155:$D$385,255),0))=0,"",INDEX('Disaggregation Records'!$I$155:$I$385,MATCH(RIGHT(Q1735,255),RIGHT('Disaggregation Records'!$D$155:$D$385,255),0))),"")</f>
        <v/>
      </c>
      <c r="W1735" s="189" t="str">
        <f>IFERROR(INDEX('Reference Records'!L$59:L$121,MATCH(LEFT(C1735,255),'Reference Records'!E$59:E$121,0)),"")</f>
        <v/>
      </c>
    </row>
    <row r="1736" spans="1:23" s="189" customFormat="1" ht="40.200000000000003" customHeight="1" x14ac:dyDescent="0.3">
      <c r="A1736" s="678"/>
      <c r="B1736" s="675"/>
      <c r="C1736" s="667"/>
      <c r="D1736" s="677"/>
      <c r="E1736" s="677"/>
      <c r="F1736" s="202"/>
      <c r="G1736" s="669"/>
      <c r="H1736" s="671"/>
      <c r="I1736" s="673"/>
      <c r="J1736" s="652"/>
      <c r="K1736" s="667"/>
      <c r="L1736" s="667"/>
      <c r="M1736" s="652"/>
      <c r="N1736" s="652"/>
    </row>
    <row r="1737" spans="1:23" s="189" customFormat="1" ht="40.200000000000003" customHeight="1" x14ac:dyDescent="0.3">
      <c r="A1737" s="678" t="str">
        <f t="shared" ref="A1737" ca="1" si="7546">INDIRECT("'update Helper'!C"&amp;U1737)</f>
        <v>a163p000002zQiNAAU</v>
      </c>
      <c r="B1737" s="674">
        <v>28</v>
      </c>
      <c r="C1737" s="666" t="str">
        <f>VLOOKUP(B1737,'Coverage Indicators - Section D'!$A$9:$AU$70,47,FALSE)</f>
        <v/>
      </c>
      <c r="D1737" s="676" t="str">
        <f t="shared" ref="D1737" si="7547">R1737</f>
        <v/>
      </c>
      <c r="E1737" s="676" t="str">
        <f t="shared" ref="E1737" si="7548">S1737</f>
        <v/>
      </c>
      <c r="F1737" s="194"/>
      <c r="G1737" s="668" t="str">
        <f t="shared" ref="G1737" ca="1" si="7549">IF(OR(INDIRECT("'update Helper'!E"&amp;U1737)=0,F1737&lt;&gt;0,F1738&lt;&gt;0),IF(IFERROR((F1737/F1738),"")="","",(F1737/F1738)),INDIRECT("'update Helper'!E"&amp;U1737)/100)</f>
        <v/>
      </c>
      <c r="H1737" s="670"/>
      <c r="I1737" s="672"/>
      <c r="J1737" s="651"/>
      <c r="K1737" s="666" t="str">
        <f t="shared" ref="K1737" si="7550">W1737</f>
        <v/>
      </c>
      <c r="L1737" s="666" t="str">
        <f t="shared" ref="L1737" si="7551">V1737</f>
        <v/>
      </c>
      <c r="M1737" s="651"/>
      <c r="N1737" s="651"/>
      <c r="P1737" s="189">
        <f t="shared" ref="P1737" si="7552">IF(AND(EXACT(C1737,C1735),C1735&lt;&gt;0),P1735+1,0)</f>
        <v>158</v>
      </c>
      <c r="Q1737" s="189" t="str">
        <f t="shared" ref="Q1737" si="7553">IF(C1737&lt;&gt;"",C1737&amp;"-"&amp;P1737,"")</f>
        <v/>
      </c>
      <c r="R1737" s="189" t="str">
        <f t="array" ref="R1737">IFERROR(IF(INDEX('Disaggregation Records'!$E$155:$E$385,MATCH(RIGHT(Q1737,255),RIGHT('Disaggregation Records'!$D$155:$D$385,255),0))=0,"",INDEX('Disaggregation Records'!$E$155:$E$385,MATCH(RIGHT(Q1737,255),RIGHT('Disaggregation Records'!$D$155:$D$385,255),0))),"")</f>
        <v/>
      </c>
      <c r="S1737" s="189" t="str">
        <f t="array" ref="S1737">IFERROR(IF(INDEX('Disaggregation Records'!$F$155:$F$385,MATCH(RIGHT(Q1737,255),RIGHT('Disaggregation Records'!$D$155:$D$385,255),0))=0,"",INDEX('Disaggregation Records'!$F$155:$F$385,MATCH(RIGHT(Q1737,255),RIGHT('Disaggregation Records'!$D$155:$D$385,255),0))),"")</f>
        <v/>
      </c>
      <c r="T1737" s="189" t="str">
        <f t="array" ref="T1737">IFERROR(IF(INDEX('Disaggregation Records'!$H$155:$H$385,MATCH(RIGHT(Q1737,255),RIGHT('Disaggregation Records'!$D$155:$D$385,255),0))=0,"",INDEX('Disaggregation Records'!$H$155:$H$385,MATCH(RIGHT(Q1737,255),RIGHT('Disaggregation Records'!$D$155:$D$385,255),0))),"")</f>
        <v/>
      </c>
      <c r="U1737" s="189">
        <f t="shared" ref="U1737" si="7554">U1735+1</f>
        <v>1970</v>
      </c>
      <c r="V1737" s="189" t="str">
        <f t="array" ref="V1737">IFERROR(IF(INDEX('Disaggregation Records'!$I$155:$I$385,MATCH(RIGHT(Q1737,255),RIGHT('Disaggregation Records'!$D$155:$D$385,255),0))=0,"",INDEX('Disaggregation Records'!$I$155:$I$385,MATCH(RIGHT(Q1737,255),RIGHT('Disaggregation Records'!$D$155:$D$385,255),0))),"")</f>
        <v/>
      </c>
      <c r="W1737" s="189" t="str">
        <f>IFERROR(INDEX('Reference Records'!L$59:L$121,MATCH(LEFT(C1737,255),'Reference Records'!E$59:E$121,0)),"")</f>
        <v/>
      </c>
    </row>
    <row r="1738" spans="1:23" s="189" customFormat="1" ht="40.200000000000003" customHeight="1" x14ac:dyDescent="0.3">
      <c r="A1738" s="678"/>
      <c r="B1738" s="675"/>
      <c r="C1738" s="667"/>
      <c r="D1738" s="677"/>
      <c r="E1738" s="677"/>
      <c r="F1738" s="202"/>
      <c r="G1738" s="669"/>
      <c r="H1738" s="671"/>
      <c r="I1738" s="673"/>
      <c r="J1738" s="652"/>
      <c r="K1738" s="667"/>
      <c r="L1738" s="667"/>
      <c r="M1738" s="652"/>
      <c r="N1738" s="652"/>
    </row>
    <row r="1739" spans="1:23" s="189" customFormat="1" ht="40.200000000000003" customHeight="1" x14ac:dyDescent="0.3">
      <c r="A1739" s="678" t="str">
        <f t="shared" ref="A1739" ca="1" si="7555">INDIRECT("'update Helper'!C"&amp;U1739)</f>
        <v>a163p000002zQiOAAU</v>
      </c>
      <c r="B1739" s="674">
        <v>28</v>
      </c>
      <c r="C1739" s="666" t="str">
        <f>VLOOKUP(B1739,'Coverage Indicators - Section D'!$A$9:$AU$70,47,FALSE)</f>
        <v/>
      </c>
      <c r="D1739" s="676" t="str">
        <f t="shared" ref="D1739" si="7556">R1739</f>
        <v/>
      </c>
      <c r="E1739" s="676" t="str">
        <f t="shared" ref="E1739" si="7557">S1739</f>
        <v/>
      </c>
      <c r="F1739" s="194"/>
      <c r="G1739" s="668" t="str">
        <f t="shared" ref="G1739" ca="1" si="7558">IF(OR(INDIRECT("'update Helper'!E"&amp;U1739)=0,F1739&lt;&gt;0,F1740&lt;&gt;0),IF(IFERROR((F1739/F1740),"")="","",(F1739/F1740)),INDIRECT("'update Helper'!E"&amp;U1739)/100)</f>
        <v/>
      </c>
      <c r="H1739" s="670"/>
      <c r="I1739" s="672"/>
      <c r="J1739" s="651"/>
      <c r="K1739" s="666" t="str">
        <f t="shared" ref="K1739" si="7559">W1739</f>
        <v/>
      </c>
      <c r="L1739" s="666" t="str">
        <f t="shared" ref="L1739" si="7560">V1739</f>
        <v/>
      </c>
      <c r="M1739" s="651"/>
      <c r="N1739" s="651"/>
      <c r="P1739" s="189">
        <f t="shared" ref="P1739" si="7561">IF(AND(EXACT(C1739,C1737),C1737&lt;&gt;0),P1737+1,0)</f>
        <v>159</v>
      </c>
      <c r="Q1739" s="189" t="str">
        <f t="shared" ref="Q1739" si="7562">IF(C1739&lt;&gt;"",C1739&amp;"-"&amp;P1739,"")</f>
        <v/>
      </c>
      <c r="R1739" s="189" t="str">
        <f t="array" ref="R1739">IFERROR(IF(INDEX('Disaggregation Records'!$E$155:$E$385,MATCH(RIGHT(Q1739,255),RIGHT('Disaggregation Records'!$D$155:$D$385,255),0))=0,"",INDEX('Disaggregation Records'!$E$155:$E$385,MATCH(RIGHT(Q1739,255),RIGHT('Disaggregation Records'!$D$155:$D$385,255),0))),"")</f>
        <v/>
      </c>
      <c r="S1739" s="189" t="str">
        <f t="array" ref="S1739">IFERROR(IF(INDEX('Disaggregation Records'!$F$155:$F$385,MATCH(RIGHT(Q1739,255),RIGHT('Disaggregation Records'!$D$155:$D$385,255),0))=0,"",INDEX('Disaggregation Records'!$F$155:$F$385,MATCH(RIGHT(Q1739,255),RIGHT('Disaggregation Records'!$D$155:$D$385,255),0))),"")</f>
        <v/>
      </c>
      <c r="T1739" s="189" t="str">
        <f t="array" ref="T1739">IFERROR(IF(INDEX('Disaggregation Records'!$H$155:$H$385,MATCH(RIGHT(Q1739,255),RIGHT('Disaggregation Records'!$D$155:$D$385,255),0))=0,"",INDEX('Disaggregation Records'!$H$155:$H$385,MATCH(RIGHT(Q1739,255),RIGHT('Disaggregation Records'!$D$155:$D$385,255),0))),"")</f>
        <v/>
      </c>
      <c r="U1739" s="189">
        <f t="shared" ref="U1739" si="7563">U1737+1</f>
        <v>1971</v>
      </c>
      <c r="V1739" s="189" t="str">
        <f t="array" ref="V1739">IFERROR(IF(INDEX('Disaggregation Records'!$I$155:$I$385,MATCH(RIGHT(Q1739,255),RIGHT('Disaggregation Records'!$D$155:$D$385,255),0))=0,"",INDEX('Disaggregation Records'!$I$155:$I$385,MATCH(RIGHT(Q1739,255),RIGHT('Disaggregation Records'!$D$155:$D$385,255),0))),"")</f>
        <v/>
      </c>
      <c r="W1739" s="189" t="str">
        <f>IFERROR(INDEX('Reference Records'!L$59:L$121,MATCH(LEFT(C1739,255),'Reference Records'!E$59:E$121,0)),"")</f>
        <v/>
      </c>
    </row>
    <row r="1740" spans="1:23" s="189" customFormat="1" ht="40.200000000000003" customHeight="1" x14ac:dyDescent="0.3">
      <c r="A1740" s="678"/>
      <c r="B1740" s="675"/>
      <c r="C1740" s="667"/>
      <c r="D1740" s="677"/>
      <c r="E1740" s="677"/>
      <c r="F1740" s="202"/>
      <c r="G1740" s="669"/>
      <c r="H1740" s="671"/>
      <c r="I1740" s="673"/>
      <c r="J1740" s="652"/>
      <c r="K1740" s="667"/>
      <c r="L1740" s="667"/>
      <c r="M1740" s="652"/>
      <c r="N1740" s="652"/>
    </row>
    <row r="1741" spans="1:23" s="189" customFormat="1" ht="40.200000000000003" customHeight="1" x14ac:dyDescent="0.3">
      <c r="A1741" s="678" t="str">
        <f t="shared" ref="A1741" ca="1" si="7564">INDIRECT("'update Helper'!C"&amp;U1741)</f>
        <v>a163p000002zQiPAAU</v>
      </c>
      <c r="B1741" s="674">
        <v>29</v>
      </c>
      <c r="C1741" s="666" t="str">
        <f>VLOOKUP(B1741,'Coverage Indicators - Section D'!$A$9:$AU$70,47,FALSE)</f>
        <v/>
      </c>
      <c r="D1741" s="676" t="str">
        <f t="shared" ref="D1741" si="7565">R1741</f>
        <v/>
      </c>
      <c r="E1741" s="676" t="str">
        <f t="shared" ref="E1741" si="7566">S1741</f>
        <v/>
      </c>
      <c r="F1741" s="194"/>
      <c r="G1741" s="668" t="str">
        <f t="shared" ref="G1741" ca="1" si="7567">IF(OR(INDIRECT("'update Helper'!E"&amp;U1741)=0,F1741&lt;&gt;0,F1742&lt;&gt;0),IF(IFERROR((F1741/F1742),"")="","",(F1741/F1742)),INDIRECT("'update Helper'!E"&amp;U1741)/100)</f>
        <v/>
      </c>
      <c r="H1741" s="670"/>
      <c r="I1741" s="672"/>
      <c r="J1741" s="651"/>
      <c r="K1741" s="666" t="str">
        <f t="shared" ref="K1741" si="7568">W1741</f>
        <v/>
      </c>
      <c r="L1741" s="666" t="str">
        <f t="shared" ref="L1741" si="7569">V1741</f>
        <v/>
      </c>
      <c r="M1741" s="651"/>
      <c r="N1741" s="651"/>
      <c r="P1741" s="189">
        <f t="shared" ref="P1741" si="7570">IF(AND(EXACT(C1741,C1739),C1739&lt;&gt;0),P1739+1,0)</f>
        <v>160</v>
      </c>
      <c r="Q1741" s="189" t="str">
        <f t="shared" ref="Q1741" si="7571">IF(C1741&lt;&gt;"",C1741&amp;"-"&amp;P1741,"")</f>
        <v/>
      </c>
      <c r="R1741" s="189" t="str">
        <f t="array" ref="R1741">IFERROR(IF(INDEX('Disaggregation Records'!$E$155:$E$385,MATCH(RIGHT(Q1741,255),RIGHT('Disaggregation Records'!$D$155:$D$385,255),0))=0,"",INDEX('Disaggregation Records'!$E$155:$E$385,MATCH(RIGHT(Q1741,255),RIGHT('Disaggregation Records'!$D$155:$D$385,255),0))),"")</f>
        <v/>
      </c>
      <c r="S1741" s="189" t="str">
        <f t="array" ref="S1741">IFERROR(IF(INDEX('Disaggregation Records'!$F$155:$F$385,MATCH(RIGHT(Q1741,255),RIGHT('Disaggregation Records'!$D$155:$D$385,255),0))=0,"",INDEX('Disaggregation Records'!$F$155:$F$385,MATCH(RIGHT(Q1741,255),RIGHT('Disaggregation Records'!$D$155:$D$385,255),0))),"")</f>
        <v/>
      </c>
      <c r="T1741" s="189" t="str">
        <f t="array" ref="T1741">IFERROR(IF(INDEX('Disaggregation Records'!$H$155:$H$385,MATCH(RIGHT(Q1741,255),RIGHT('Disaggregation Records'!$D$155:$D$385,255),0))=0,"",INDEX('Disaggregation Records'!$H$155:$H$385,MATCH(RIGHT(Q1741,255),RIGHT('Disaggregation Records'!$D$155:$D$385,255),0))),"")</f>
        <v/>
      </c>
      <c r="U1741" s="189">
        <f t="shared" ref="U1741" si="7572">U1739+1</f>
        <v>1972</v>
      </c>
      <c r="V1741" s="189" t="str">
        <f t="array" ref="V1741">IFERROR(IF(INDEX('Disaggregation Records'!$I$155:$I$385,MATCH(RIGHT(Q1741,255),RIGHT('Disaggregation Records'!$D$155:$D$385,255),0))=0,"",INDEX('Disaggregation Records'!$I$155:$I$385,MATCH(RIGHT(Q1741,255),RIGHT('Disaggregation Records'!$D$155:$D$385,255),0))),"")</f>
        <v/>
      </c>
      <c r="W1741" s="189" t="str">
        <f>IFERROR(INDEX('Reference Records'!L$59:L$121,MATCH(LEFT(C1741,255),'Reference Records'!E$59:E$121,0)),"")</f>
        <v/>
      </c>
    </row>
    <row r="1742" spans="1:23" s="189" customFormat="1" ht="40.200000000000003" customHeight="1" x14ac:dyDescent="0.3">
      <c r="A1742" s="678"/>
      <c r="B1742" s="675"/>
      <c r="C1742" s="667"/>
      <c r="D1742" s="677"/>
      <c r="E1742" s="677"/>
      <c r="F1742" s="202"/>
      <c r="G1742" s="669"/>
      <c r="H1742" s="671"/>
      <c r="I1742" s="673"/>
      <c r="J1742" s="652"/>
      <c r="K1742" s="667"/>
      <c r="L1742" s="667"/>
      <c r="M1742" s="652"/>
      <c r="N1742" s="652"/>
    </row>
    <row r="1743" spans="1:23" s="189" customFormat="1" ht="40.200000000000003" customHeight="1" x14ac:dyDescent="0.3">
      <c r="A1743" s="678" t="str">
        <f t="shared" ref="A1743" ca="1" si="7573">INDIRECT("'update Helper'!C"&amp;U1743)</f>
        <v>a163p000002zQiQAAU</v>
      </c>
      <c r="B1743" s="674">
        <v>29</v>
      </c>
      <c r="C1743" s="666" t="str">
        <f>VLOOKUP(B1743,'Coverage Indicators - Section D'!$A$9:$AU$70,47,FALSE)</f>
        <v/>
      </c>
      <c r="D1743" s="676" t="str">
        <f t="shared" ref="D1743" si="7574">R1743</f>
        <v/>
      </c>
      <c r="E1743" s="676" t="str">
        <f t="shared" ref="E1743" si="7575">S1743</f>
        <v/>
      </c>
      <c r="F1743" s="194"/>
      <c r="G1743" s="668" t="str">
        <f t="shared" ref="G1743" ca="1" si="7576">IF(OR(INDIRECT("'update Helper'!E"&amp;U1743)=0,F1743&lt;&gt;0,F1744&lt;&gt;0),IF(IFERROR((F1743/F1744),"")="","",(F1743/F1744)),INDIRECT("'update Helper'!E"&amp;U1743)/100)</f>
        <v/>
      </c>
      <c r="H1743" s="670"/>
      <c r="I1743" s="672"/>
      <c r="J1743" s="651"/>
      <c r="K1743" s="666" t="str">
        <f t="shared" ref="K1743" si="7577">W1743</f>
        <v/>
      </c>
      <c r="L1743" s="666" t="str">
        <f t="shared" ref="L1743" si="7578">V1743</f>
        <v/>
      </c>
      <c r="M1743" s="651"/>
      <c r="N1743" s="651"/>
      <c r="P1743" s="189">
        <f t="shared" ref="P1743" si="7579">IF(AND(EXACT(C1743,C1741),C1741&lt;&gt;0),P1741+1,0)</f>
        <v>161</v>
      </c>
      <c r="Q1743" s="189" t="str">
        <f t="shared" ref="Q1743" si="7580">IF(C1743&lt;&gt;"",C1743&amp;"-"&amp;P1743,"")</f>
        <v/>
      </c>
      <c r="R1743" s="189" t="str">
        <f t="array" ref="R1743">IFERROR(IF(INDEX('Disaggregation Records'!$E$155:$E$385,MATCH(RIGHT(Q1743,255),RIGHT('Disaggregation Records'!$D$155:$D$385,255),0))=0,"",INDEX('Disaggregation Records'!$E$155:$E$385,MATCH(RIGHT(Q1743,255),RIGHT('Disaggregation Records'!$D$155:$D$385,255),0))),"")</f>
        <v/>
      </c>
      <c r="S1743" s="189" t="str">
        <f t="array" ref="S1743">IFERROR(IF(INDEX('Disaggregation Records'!$F$155:$F$385,MATCH(RIGHT(Q1743,255),RIGHT('Disaggregation Records'!$D$155:$D$385,255),0))=0,"",INDEX('Disaggregation Records'!$F$155:$F$385,MATCH(RIGHT(Q1743,255),RIGHT('Disaggregation Records'!$D$155:$D$385,255),0))),"")</f>
        <v/>
      </c>
      <c r="T1743" s="189" t="str">
        <f t="array" ref="T1743">IFERROR(IF(INDEX('Disaggregation Records'!$H$155:$H$385,MATCH(RIGHT(Q1743,255),RIGHT('Disaggregation Records'!$D$155:$D$385,255),0))=0,"",INDEX('Disaggregation Records'!$H$155:$H$385,MATCH(RIGHT(Q1743,255),RIGHT('Disaggregation Records'!$D$155:$D$385,255),0))),"")</f>
        <v/>
      </c>
      <c r="U1743" s="189">
        <f t="shared" ref="U1743" si="7581">U1741+1</f>
        <v>1973</v>
      </c>
      <c r="V1743" s="189" t="str">
        <f t="array" ref="V1743">IFERROR(IF(INDEX('Disaggregation Records'!$I$155:$I$385,MATCH(RIGHT(Q1743,255),RIGHT('Disaggregation Records'!$D$155:$D$385,255),0))=0,"",INDEX('Disaggregation Records'!$I$155:$I$385,MATCH(RIGHT(Q1743,255),RIGHT('Disaggregation Records'!$D$155:$D$385,255),0))),"")</f>
        <v/>
      </c>
      <c r="W1743" s="189" t="str">
        <f>IFERROR(INDEX('Reference Records'!L$59:L$121,MATCH(LEFT(C1743,255),'Reference Records'!E$59:E$121,0)),"")</f>
        <v/>
      </c>
    </row>
    <row r="1744" spans="1:23" s="189" customFormat="1" ht="40.200000000000003" customHeight="1" x14ac:dyDescent="0.3">
      <c r="A1744" s="678"/>
      <c r="B1744" s="675"/>
      <c r="C1744" s="667"/>
      <c r="D1744" s="677"/>
      <c r="E1744" s="677"/>
      <c r="F1744" s="202"/>
      <c r="G1744" s="669"/>
      <c r="H1744" s="671"/>
      <c r="I1744" s="673"/>
      <c r="J1744" s="652"/>
      <c r="K1744" s="667"/>
      <c r="L1744" s="667"/>
      <c r="M1744" s="652"/>
      <c r="N1744" s="652"/>
    </row>
    <row r="1745" spans="1:23" s="189" customFormat="1" ht="40.200000000000003" customHeight="1" x14ac:dyDescent="0.3">
      <c r="A1745" s="678" t="str">
        <f t="shared" ref="A1745" ca="1" si="7582">INDIRECT("'update Helper'!C"&amp;U1745)</f>
        <v>a163p000002zQiRAAU</v>
      </c>
      <c r="B1745" s="674">
        <v>29</v>
      </c>
      <c r="C1745" s="666" t="str">
        <f>VLOOKUP(B1745,'Coverage Indicators - Section D'!$A$9:$AU$70,47,FALSE)</f>
        <v/>
      </c>
      <c r="D1745" s="676" t="str">
        <f t="shared" ref="D1745" si="7583">R1745</f>
        <v/>
      </c>
      <c r="E1745" s="676" t="str">
        <f t="shared" ref="E1745" si="7584">S1745</f>
        <v/>
      </c>
      <c r="F1745" s="194"/>
      <c r="G1745" s="668" t="str">
        <f t="shared" ref="G1745" ca="1" si="7585">IF(OR(INDIRECT("'update Helper'!E"&amp;U1745)=0,F1745&lt;&gt;0,F1746&lt;&gt;0),IF(IFERROR((F1745/F1746),"")="","",(F1745/F1746)),INDIRECT("'update Helper'!E"&amp;U1745)/100)</f>
        <v/>
      </c>
      <c r="H1745" s="670"/>
      <c r="I1745" s="672"/>
      <c r="J1745" s="651"/>
      <c r="K1745" s="666" t="str">
        <f t="shared" ref="K1745" si="7586">W1745</f>
        <v/>
      </c>
      <c r="L1745" s="666" t="str">
        <f t="shared" ref="L1745" si="7587">V1745</f>
        <v/>
      </c>
      <c r="M1745" s="651"/>
      <c r="N1745" s="651"/>
      <c r="P1745" s="189">
        <f t="shared" ref="P1745" si="7588">IF(AND(EXACT(C1745,C1743),C1743&lt;&gt;0),P1743+1,0)</f>
        <v>162</v>
      </c>
      <c r="Q1745" s="189" t="str">
        <f t="shared" ref="Q1745" si="7589">IF(C1745&lt;&gt;"",C1745&amp;"-"&amp;P1745,"")</f>
        <v/>
      </c>
      <c r="R1745" s="189" t="str">
        <f t="array" ref="R1745">IFERROR(IF(INDEX('Disaggregation Records'!$E$155:$E$385,MATCH(RIGHT(Q1745,255),RIGHT('Disaggregation Records'!$D$155:$D$385,255),0))=0,"",INDEX('Disaggregation Records'!$E$155:$E$385,MATCH(RIGHT(Q1745,255),RIGHT('Disaggregation Records'!$D$155:$D$385,255),0))),"")</f>
        <v/>
      </c>
      <c r="S1745" s="189" t="str">
        <f t="array" ref="S1745">IFERROR(IF(INDEX('Disaggregation Records'!$F$155:$F$385,MATCH(RIGHT(Q1745,255),RIGHT('Disaggregation Records'!$D$155:$D$385,255),0))=0,"",INDEX('Disaggregation Records'!$F$155:$F$385,MATCH(RIGHT(Q1745,255),RIGHT('Disaggregation Records'!$D$155:$D$385,255),0))),"")</f>
        <v/>
      </c>
      <c r="T1745" s="189" t="str">
        <f t="array" ref="T1745">IFERROR(IF(INDEX('Disaggregation Records'!$H$155:$H$385,MATCH(RIGHT(Q1745,255),RIGHT('Disaggregation Records'!$D$155:$D$385,255),0))=0,"",INDEX('Disaggregation Records'!$H$155:$H$385,MATCH(RIGHT(Q1745,255),RIGHT('Disaggregation Records'!$D$155:$D$385,255),0))),"")</f>
        <v/>
      </c>
      <c r="U1745" s="189">
        <f t="shared" ref="U1745" si="7590">U1743+1</f>
        <v>1974</v>
      </c>
      <c r="V1745" s="189" t="str">
        <f t="array" ref="V1745">IFERROR(IF(INDEX('Disaggregation Records'!$I$155:$I$385,MATCH(RIGHT(Q1745,255),RIGHT('Disaggregation Records'!$D$155:$D$385,255),0))=0,"",INDEX('Disaggregation Records'!$I$155:$I$385,MATCH(RIGHT(Q1745,255),RIGHT('Disaggregation Records'!$D$155:$D$385,255),0))),"")</f>
        <v/>
      </c>
      <c r="W1745" s="189" t="str">
        <f>IFERROR(INDEX('Reference Records'!L$59:L$121,MATCH(LEFT(C1745,255),'Reference Records'!E$59:E$121,0)),"")</f>
        <v/>
      </c>
    </row>
    <row r="1746" spans="1:23" s="189" customFormat="1" ht="40.200000000000003" customHeight="1" x14ac:dyDescent="0.3">
      <c r="A1746" s="678"/>
      <c r="B1746" s="675"/>
      <c r="C1746" s="667"/>
      <c r="D1746" s="677"/>
      <c r="E1746" s="677"/>
      <c r="F1746" s="202"/>
      <c r="G1746" s="669"/>
      <c r="H1746" s="671"/>
      <c r="I1746" s="673"/>
      <c r="J1746" s="652"/>
      <c r="K1746" s="667"/>
      <c r="L1746" s="667"/>
      <c r="M1746" s="652"/>
      <c r="N1746" s="652"/>
    </row>
    <row r="1747" spans="1:23" s="189" customFormat="1" ht="40.200000000000003" customHeight="1" x14ac:dyDescent="0.3">
      <c r="A1747" s="678" t="str">
        <f t="shared" ref="A1747" ca="1" si="7591">INDIRECT("'update Helper'!C"&amp;U1747)</f>
        <v>a163p000002zQiSAAU</v>
      </c>
      <c r="B1747" s="674">
        <v>29</v>
      </c>
      <c r="C1747" s="666" t="str">
        <f>VLOOKUP(B1747,'Coverage Indicators - Section D'!$A$9:$AU$70,47,FALSE)</f>
        <v/>
      </c>
      <c r="D1747" s="676" t="str">
        <f t="shared" ref="D1747" si="7592">R1747</f>
        <v/>
      </c>
      <c r="E1747" s="676" t="str">
        <f t="shared" ref="E1747" si="7593">S1747</f>
        <v/>
      </c>
      <c r="F1747" s="194"/>
      <c r="G1747" s="668" t="str">
        <f t="shared" ref="G1747" ca="1" si="7594">IF(OR(INDIRECT("'update Helper'!E"&amp;U1747)=0,F1747&lt;&gt;0,F1748&lt;&gt;0),IF(IFERROR((F1747/F1748),"")="","",(F1747/F1748)),INDIRECT("'update Helper'!E"&amp;U1747)/100)</f>
        <v/>
      </c>
      <c r="H1747" s="670"/>
      <c r="I1747" s="672"/>
      <c r="J1747" s="651"/>
      <c r="K1747" s="666" t="str">
        <f t="shared" ref="K1747" si="7595">W1747</f>
        <v/>
      </c>
      <c r="L1747" s="666" t="str">
        <f t="shared" ref="L1747" si="7596">V1747</f>
        <v/>
      </c>
      <c r="M1747" s="651"/>
      <c r="N1747" s="651"/>
      <c r="P1747" s="189">
        <f t="shared" ref="P1747" si="7597">IF(AND(EXACT(C1747,C1745),C1745&lt;&gt;0),P1745+1,0)</f>
        <v>163</v>
      </c>
      <c r="Q1747" s="189" t="str">
        <f t="shared" ref="Q1747" si="7598">IF(C1747&lt;&gt;"",C1747&amp;"-"&amp;P1747,"")</f>
        <v/>
      </c>
      <c r="R1747" s="189" t="str">
        <f t="array" ref="R1747">IFERROR(IF(INDEX('Disaggregation Records'!$E$155:$E$385,MATCH(RIGHT(Q1747,255),RIGHT('Disaggregation Records'!$D$155:$D$385,255),0))=0,"",INDEX('Disaggregation Records'!$E$155:$E$385,MATCH(RIGHT(Q1747,255),RIGHT('Disaggregation Records'!$D$155:$D$385,255),0))),"")</f>
        <v/>
      </c>
      <c r="S1747" s="189" t="str">
        <f t="array" ref="S1747">IFERROR(IF(INDEX('Disaggregation Records'!$F$155:$F$385,MATCH(RIGHT(Q1747,255),RIGHT('Disaggregation Records'!$D$155:$D$385,255),0))=0,"",INDEX('Disaggregation Records'!$F$155:$F$385,MATCH(RIGHT(Q1747,255),RIGHT('Disaggregation Records'!$D$155:$D$385,255),0))),"")</f>
        <v/>
      </c>
      <c r="T1747" s="189" t="str">
        <f t="array" ref="T1747">IFERROR(IF(INDEX('Disaggregation Records'!$H$155:$H$385,MATCH(RIGHT(Q1747,255),RIGHT('Disaggregation Records'!$D$155:$D$385,255),0))=0,"",INDEX('Disaggregation Records'!$H$155:$H$385,MATCH(RIGHT(Q1747,255),RIGHT('Disaggregation Records'!$D$155:$D$385,255),0))),"")</f>
        <v/>
      </c>
      <c r="U1747" s="189">
        <f t="shared" ref="U1747" si="7599">U1745+1</f>
        <v>1975</v>
      </c>
      <c r="V1747" s="189" t="str">
        <f t="array" ref="V1747">IFERROR(IF(INDEX('Disaggregation Records'!$I$155:$I$385,MATCH(RIGHT(Q1747,255),RIGHT('Disaggregation Records'!$D$155:$D$385,255),0))=0,"",INDEX('Disaggregation Records'!$I$155:$I$385,MATCH(RIGHT(Q1747,255),RIGHT('Disaggregation Records'!$D$155:$D$385,255),0))),"")</f>
        <v/>
      </c>
      <c r="W1747" s="189" t="str">
        <f>IFERROR(INDEX('Reference Records'!L$59:L$121,MATCH(LEFT(C1747,255),'Reference Records'!E$59:E$121,0)),"")</f>
        <v/>
      </c>
    </row>
    <row r="1748" spans="1:23" s="189" customFormat="1" ht="40.200000000000003" customHeight="1" x14ac:dyDescent="0.3">
      <c r="A1748" s="678"/>
      <c r="B1748" s="675"/>
      <c r="C1748" s="667"/>
      <c r="D1748" s="677"/>
      <c r="E1748" s="677"/>
      <c r="F1748" s="202"/>
      <c r="G1748" s="669"/>
      <c r="H1748" s="671"/>
      <c r="I1748" s="673"/>
      <c r="J1748" s="652"/>
      <c r="K1748" s="667"/>
      <c r="L1748" s="667"/>
      <c r="M1748" s="652"/>
      <c r="N1748" s="652"/>
    </row>
    <row r="1749" spans="1:23" s="189" customFormat="1" ht="40.200000000000003" customHeight="1" x14ac:dyDescent="0.3">
      <c r="A1749" s="678" t="str">
        <f t="shared" ref="A1749" ca="1" si="7600">INDIRECT("'update Helper'!C"&amp;U1749)</f>
        <v>a163p000002zQiTAAU</v>
      </c>
      <c r="B1749" s="674">
        <v>29</v>
      </c>
      <c r="C1749" s="666" t="str">
        <f>VLOOKUP(B1749,'Coverage Indicators - Section D'!$A$9:$AU$70,47,FALSE)</f>
        <v/>
      </c>
      <c r="D1749" s="676" t="str">
        <f t="shared" ref="D1749" si="7601">R1749</f>
        <v/>
      </c>
      <c r="E1749" s="676" t="str">
        <f t="shared" ref="E1749" si="7602">S1749</f>
        <v/>
      </c>
      <c r="F1749" s="194"/>
      <c r="G1749" s="668" t="str">
        <f t="shared" ref="G1749" ca="1" si="7603">IF(OR(INDIRECT("'update Helper'!E"&amp;U1749)=0,F1749&lt;&gt;0,F1750&lt;&gt;0),IF(IFERROR((F1749/F1750),"")="","",(F1749/F1750)),INDIRECT("'update Helper'!E"&amp;U1749)/100)</f>
        <v/>
      </c>
      <c r="H1749" s="670"/>
      <c r="I1749" s="672"/>
      <c r="J1749" s="651"/>
      <c r="K1749" s="666" t="str">
        <f t="shared" ref="K1749" si="7604">W1749</f>
        <v/>
      </c>
      <c r="L1749" s="666" t="str">
        <f t="shared" ref="L1749" si="7605">V1749</f>
        <v/>
      </c>
      <c r="M1749" s="651"/>
      <c r="N1749" s="651"/>
      <c r="P1749" s="189">
        <f t="shared" ref="P1749" si="7606">IF(AND(EXACT(C1749,C1747),C1747&lt;&gt;0),P1747+1,0)</f>
        <v>164</v>
      </c>
      <c r="Q1749" s="189" t="str">
        <f t="shared" ref="Q1749" si="7607">IF(C1749&lt;&gt;"",C1749&amp;"-"&amp;P1749,"")</f>
        <v/>
      </c>
      <c r="R1749" s="189" t="str">
        <f t="array" ref="R1749">IFERROR(IF(INDEX('Disaggregation Records'!$E$155:$E$385,MATCH(RIGHT(Q1749,255),RIGHT('Disaggregation Records'!$D$155:$D$385,255),0))=0,"",INDEX('Disaggregation Records'!$E$155:$E$385,MATCH(RIGHT(Q1749,255),RIGHT('Disaggregation Records'!$D$155:$D$385,255),0))),"")</f>
        <v/>
      </c>
      <c r="S1749" s="189" t="str">
        <f t="array" ref="S1749">IFERROR(IF(INDEX('Disaggregation Records'!$F$155:$F$385,MATCH(RIGHT(Q1749,255),RIGHT('Disaggregation Records'!$D$155:$D$385,255),0))=0,"",INDEX('Disaggregation Records'!$F$155:$F$385,MATCH(RIGHT(Q1749,255),RIGHT('Disaggregation Records'!$D$155:$D$385,255),0))),"")</f>
        <v/>
      </c>
      <c r="T1749" s="189" t="str">
        <f t="array" ref="T1749">IFERROR(IF(INDEX('Disaggregation Records'!$H$155:$H$385,MATCH(RIGHT(Q1749,255),RIGHT('Disaggregation Records'!$D$155:$D$385,255),0))=0,"",INDEX('Disaggregation Records'!$H$155:$H$385,MATCH(RIGHT(Q1749,255),RIGHT('Disaggregation Records'!$D$155:$D$385,255),0))),"")</f>
        <v/>
      </c>
      <c r="U1749" s="189">
        <f t="shared" ref="U1749" si="7608">U1747+1</f>
        <v>1976</v>
      </c>
      <c r="V1749" s="189" t="str">
        <f t="array" ref="V1749">IFERROR(IF(INDEX('Disaggregation Records'!$I$155:$I$385,MATCH(RIGHT(Q1749,255),RIGHT('Disaggregation Records'!$D$155:$D$385,255),0))=0,"",INDEX('Disaggregation Records'!$I$155:$I$385,MATCH(RIGHT(Q1749,255),RIGHT('Disaggregation Records'!$D$155:$D$385,255),0))),"")</f>
        <v/>
      </c>
      <c r="W1749" s="189" t="str">
        <f>IFERROR(INDEX('Reference Records'!L$59:L$121,MATCH(LEFT(C1749,255),'Reference Records'!E$59:E$121,0)),"")</f>
        <v/>
      </c>
    </row>
    <row r="1750" spans="1:23" s="189" customFormat="1" ht="40.200000000000003" customHeight="1" x14ac:dyDescent="0.3">
      <c r="A1750" s="678"/>
      <c r="B1750" s="675"/>
      <c r="C1750" s="667"/>
      <c r="D1750" s="677"/>
      <c r="E1750" s="677"/>
      <c r="F1750" s="202"/>
      <c r="G1750" s="669"/>
      <c r="H1750" s="671"/>
      <c r="I1750" s="673"/>
      <c r="J1750" s="652"/>
      <c r="K1750" s="667"/>
      <c r="L1750" s="667"/>
      <c r="M1750" s="652"/>
      <c r="N1750" s="652"/>
    </row>
    <row r="1751" spans="1:23" s="189" customFormat="1" ht="40.200000000000003" customHeight="1" x14ac:dyDescent="0.3">
      <c r="A1751" s="678" t="str">
        <f t="shared" ref="A1751" ca="1" si="7609">INDIRECT("'update Helper'!C"&amp;U1751)</f>
        <v>a163p000002zQiUAAU</v>
      </c>
      <c r="B1751" s="674">
        <v>29</v>
      </c>
      <c r="C1751" s="666" t="str">
        <f>VLOOKUP(B1751,'Coverage Indicators - Section D'!$A$9:$AU$70,47,FALSE)</f>
        <v/>
      </c>
      <c r="D1751" s="676" t="str">
        <f t="shared" ref="D1751" si="7610">R1751</f>
        <v/>
      </c>
      <c r="E1751" s="676" t="str">
        <f t="shared" ref="E1751" si="7611">S1751</f>
        <v/>
      </c>
      <c r="F1751" s="194"/>
      <c r="G1751" s="668" t="str">
        <f t="shared" ref="G1751" ca="1" si="7612">IF(OR(INDIRECT("'update Helper'!E"&amp;U1751)=0,F1751&lt;&gt;0,F1752&lt;&gt;0),IF(IFERROR((F1751/F1752),"")="","",(F1751/F1752)),INDIRECT("'update Helper'!E"&amp;U1751)/100)</f>
        <v/>
      </c>
      <c r="H1751" s="670"/>
      <c r="I1751" s="672"/>
      <c r="J1751" s="651"/>
      <c r="K1751" s="666" t="str">
        <f t="shared" ref="K1751" si="7613">W1751</f>
        <v/>
      </c>
      <c r="L1751" s="666" t="str">
        <f t="shared" ref="L1751" si="7614">V1751</f>
        <v/>
      </c>
      <c r="M1751" s="651"/>
      <c r="N1751" s="651"/>
      <c r="P1751" s="189">
        <f t="shared" ref="P1751" si="7615">IF(AND(EXACT(C1751,C1749),C1749&lt;&gt;0),P1749+1,0)</f>
        <v>165</v>
      </c>
      <c r="Q1751" s="189" t="str">
        <f t="shared" ref="Q1751" si="7616">IF(C1751&lt;&gt;"",C1751&amp;"-"&amp;P1751,"")</f>
        <v/>
      </c>
      <c r="R1751" s="189" t="str">
        <f t="array" ref="R1751">IFERROR(IF(INDEX('Disaggregation Records'!$E$155:$E$385,MATCH(RIGHT(Q1751,255),RIGHT('Disaggregation Records'!$D$155:$D$385,255),0))=0,"",INDEX('Disaggregation Records'!$E$155:$E$385,MATCH(RIGHT(Q1751,255),RIGHT('Disaggregation Records'!$D$155:$D$385,255),0))),"")</f>
        <v/>
      </c>
      <c r="S1751" s="189" t="str">
        <f t="array" ref="S1751">IFERROR(IF(INDEX('Disaggregation Records'!$F$155:$F$385,MATCH(RIGHT(Q1751,255),RIGHT('Disaggregation Records'!$D$155:$D$385,255),0))=0,"",INDEX('Disaggregation Records'!$F$155:$F$385,MATCH(RIGHT(Q1751,255),RIGHT('Disaggregation Records'!$D$155:$D$385,255),0))),"")</f>
        <v/>
      </c>
      <c r="T1751" s="189" t="str">
        <f t="array" ref="T1751">IFERROR(IF(INDEX('Disaggregation Records'!$H$155:$H$385,MATCH(RIGHT(Q1751,255),RIGHT('Disaggregation Records'!$D$155:$D$385,255),0))=0,"",INDEX('Disaggregation Records'!$H$155:$H$385,MATCH(RIGHT(Q1751,255),RIGHT('Disaggregation Records'!$D$155:$D$385,255),0))),"")</f>
        <v/>
      </c>
      <c r="U1751" s="189">
        <f t="shared" ref="U1751" si="7617">U1749+1</f>
        <v>1977</v>
      </c>
      <c r="V1751" s="189" t="str">
        <f t="array" ref="V1751">IFERROR(IF(INDEX('Disaggregation Records'!$I$155:$I$385,MATCH(RIGHT(Q1751,255),RIGHT('Disaggregation Records'!$D$155:$D$385,255),0))=0,"",INDEX('Disaggregation Records'!$I$155:$I$385,MATCH(RIGHT(Q1751,255),RIGHT('Disaggregation Records'!$D$155:$D$385,255),0))),"")</f>
        <v/>
      </c>
      <c r="W1751" s="189" t="str">
        <f>IFERROR(INDEX('Reference Records'!L$59:L$121,MATCH(LEFT(C1751,255),'Reference Records'!E$59:E$121,0)),"")</f>
        <v/>
      </c>
    </row>
    <row r="1752" spans="1:23" s="189" customFormat="1" ht="40.200000000000003" customHeight="1" x14ac:dyDescent="0.3">
      <c r="A1752" s="678"/>
      <c r="B1752" s="675"/>
      <c r="C1752" s="667"/>
      <c r="D1752" s="677"/>
      <c r="E1752" s="677"/>
      <c r="F1752" s="202"/>
      <c r="G1752" s="669"/>
      <c r="H1752" s="671"/>
      <c r="I1752" s="673"/>
      <c r="J1752" s="652"/>
      <c r="K1752" s="667"/>
      <c r="L1752" s="667"/>
      <c r="M1752" s="652"/>
      <c r="N1752" s="652"/>
    </row>
    <row r="1753" spans="1:23" s="189" customFormat="1" ht="40.200000000000003" customHeight="1" x14ac:dyDescent="0.3">
      <c r="A1753" s="678" t="str">
        <f t="shared" ref="A1753" ca="1" si="7618">INDIRECT("'update Helper'!C"&amp;U1753)</f>
        <v>a163p000002zQiVAAU</v>
      </c>
      <c r="B1753" s="674">
        <v>29</v>
      </c>
      <c r="C1753" s="666" t="str">
        <f>VLOOKUP(B1753,'Coverage Indicators - Section D'!$A$9:$AU$70,47,FALSE)</f>
        <v/>
      </c>
      <c r="D1753" s="676" t="str">
        <f t="shared" ref="D1753" si="7619">R1753</f>
        <v/>
      </c>
      <c r="E1753" s="676" t="str">
        <f t="shared" ref="E1753" si="7620">S1753</f>
        <v/>
      </c>
      <c r="F1753" s="194"/>
      <c r="G1753" s="668" t="str">
        <f t="shared" ref="G1753" ca="1" si="7621">IF(OR(INDIRECT("'update Helper'!E"&amp;U1753)=0,F1753&lt;&gt;0,F1754&lt;&gt;0),IF(IFERROR((F1753/F1754),"")="","",(F1753/F1754)),INDIRECT("'update Helper'!E"&amp;U1753)/100)</f>
        <v/>
      </c>
      <c r="H1753" s="670"/>
      <c r="I1753" s="672"/>
      <c r="J1753" s="651"/>
      <c r="K1753" s="666" t="str">
        <f t="shared" ref="K1753" si="7622">W1753</f>
        <v/>
      </c>
      <c r="L1753" s="666" t="str">
        <f t="shared" ref="L1753" si="7623">V1753</f>
        <v/>
      </c>
      <c r="M1753" s="651"/>
      <c r="N1753" s="651"/>
      <c r="P1753" s="189">
        <f t="shared" ref="P1753" si="7624">IF(AND(EXACT(C1753,C1751),C1751&lt;&gt;0),P1751+1,0)</f>
        <v>166</v>
      </c>
      <c r="Q1753" s="189" t="str">
        <f t="shared" ref="Q1753" si="7625">IF(C1753&lt;&gt;"",C1753&amp;"-"&amp;P1753,"")</f>
        <v/>
      </c>
      <c r="R1753" s="189" t="str">
        <f t="array" ref="R1753">IFERROR(IF(INDEX('Disaggregation Records'!$E$155:$E$385,MATCH(RIGHT(Q1753,255),RIGHT('Disaggregation Records'!$D$155:$D$385,255),0))=0,"",INDEX('Disaggregation Records'!$E$155:$E$385,MATCH(RIGHT(Q1753,255),RIGHT('Disaggregation Records'!$D$155:$D$385,255),0))),"")</f>
        <v/>
      </c>
      <c r="S1753" s="189" t="str">
        <f t="array" ref="S1753">IFERROR(IF(INDEX('Disaggregation Records'!$F$155:$F$385,MATCH(RIGHT(Q1753,255),RIGHT('Disaggregation Records'!$D$155:$D$385,255),0))=0,"",INDEX('Disaggregation Records'!$F$155:$F$385,MATCH(RIGHT(Q1753,255),RIGHT('Disaggregation Records'!$D$155:$D$385,255),0))),"")</f>
        <v/>
      </c>
      <c r="T1753" s="189" t="str">
        <f t="array" ref="T1753">IFERROR(IF(INDEX('Disaggregation Records'!$H$155:$H$385,MATCH(RIGHT(Q1753,255),RIGHT('Disaggregation Records'!$D$155:$D$385,255),0))=0,"",INDEX('Disaggregation Records'!$H$155:$H$385,MATCH(RIGHT(Q1753,255),RIGHT('Disaggregation Records'!$D$155:$D$385,255),0))),"")</f>
        <v/>
      </c>
      <c r="U1753" s="189">
        <f t="shared" ref="U1753" si="7626">U1751+1</f>
        <v>1978</v>
      </c>
      <c r="V1753" s="189" t="str">
        <f t="array" ref="V1753">IFERROR(IF(INDEX('Disaggregation Records'!$I$155:$I$385,MATCH(RIGHT(Q1753,255),RIGHT('Disaggregation Records'!$D$155:$D$385,255),0))=0,"",INDEX('Disaggregation Records'!$I$155:$I$385,MATCH(RIGHT(Q1753,255),RIGHT('Disaggregation Records'!$D$155:$D$385,255),0))),"")</f>
        <v/>
      </c>
      <c r="W1753" s="189" t="str">
        <f>IFERROR(INDEX('Reference Records'!L$59:L$121,MATCH(LEFT(C1753,255),'Reference Records'!E$59:E$121,0)),"")</f>
        <v/>
      </c>
    </row>
    <row r="1754" spans="1:23" s="189" customFormat="1" ht="40.200000000000003" customHeight="1" x14ac:dyDescent="0.3">
      <c r="A1754" s="678"/>
      <c r="B1754" s="675"/>
      <c r="C1754" s="667"/>
      <c r="D1754" s="677"/>
      <c r="E1754" s="677"/>
      <c r="F1754" s="202"/>
      <c r="G1754" s="669"/>
      <c r="H1754" s="671"/>
      <c r="I1754" s="673"/>
      <c r="J1754" s="652"/>
      <c r="K1754" s="667"/>
      <c r="L1754" s="667"/>
      <c r="M1754" s="652"/>
      <c r="N1754" s="652"/>
    </row>
    <row r="1755" spans="1:23" s="189" customFormat="1" ht="40.200000000000003" customHeight="1" x14ac:dyDescent="0.3">
      <c r="A1755" s="678" t="str">
        <f t="shared" ref="A1755" ca="1" si="7627">INDIRECT("'update Helper'!C"&amp;U1755)</f>
        <v>a163p000002zQiWAAU</v>
      </c>
      <c r="B1755" s="674">
        <v>29</v>
      </c>
      <c r="C1755" s="666" t="str">
        <f>VLOOKUP(B1755,'Coverage Indicators - Section D'!$A$9:$AU$70,47,FALSE)</f>
        <v/>
      </c>
      <c r="D1755" s="676" t="str">
        <f t="shared" ref="D1755" si="7628">R1755</f>
        <v/>
      </c>
      <c r="E1755" s="676" t="str">
        <f t="shared" ref="E1755" si="7629">S1755</f>
        <v/>
      </c>
      <c r="F1755" s="194"/>
      <c r="G1755" s="668" t="str">
        <f t="shared" ref="G1755" ca="1" si="7630">IF(OR(INDIRECT("'update Helper'!E"&amp;U1755)=0,F1755&lt;&gt;0,F1756&lt;&gt;0),IF(IFERROR((F1755/F1756),"")="","",(F1755/F1756)),INDIRECT("'update Helper'!E"&amp;U1755)/100)</f>
        <v/>
      </c>
      <c r="H1755" s="670"/>
      <c r="I1755" s="672"/>
      <c r="J1755" s="651"/>
      <c r="K1755" s="666" t="str">
        <f t="shared" ref="K1755" si="7631">W1755</f>
        <v/>
      </c>
      <c r="L1755" s="666" t="str">
        <f t="shared" ref="L1755" si="7632">V1755</f>
        <v/>
      </c>
      <c r="M1755" s="651"/>
      <c r="N1755" s="651"/>
      <c r="P1755" s="189">
        <f t="shared" ref="P1755" si="7633">IF(AND(EXACT(C1755,C1753),C1753&lt;&gt;0),P1753+1,0)</f>
        <v>167</v>
      </c>
      <c r="Q1755" s="189" t="str">
        <f t="shared" ref="Q1755" si="7634">IF(C1755&lt;&gt;"",C1755&amp;"-"&amp;P1755,"")</f>
        <v/>
      </c>
      <c r="R1755" s="189" t="str">
        <f t="array" ref="R1755">IFERROR(IF(INDEX('Disaggregation Records'!$E$155:$E$385,MATCH(RIGHT(Q1755,255),RIGHT('Disaggregation Records'!$D$155:$D$385,255),0))=0,"",INDEX('Disaggregation Records'!$E$155:$E$385,MATCH(RIGHT(Q1755,255),RIGHT('Disaggregation Records'!$D$155:$D$385,255),0))),"")</f>
        <v/>
      </c>
      <c r="S1755" s="189" t="str">
        <f t="array" ref="S1755">IFERROR(IF(INDEX('Disaggregation Records'!$F$155:$F$385,MATCH(RIGHT(Q1755,255),RIGHT('Disaggregation Records'!$D$155:$D$385,255),0))=0,"",INDEX('Disaggregation Records'!$F$155:$F$385,MATCH(RIGHT(Q1755,255),RIGHT('Disaggregation Records'!$D$155:$D$385,255),0))),"")</f>
        <v/>
      </c>
      <c r="T1755" s="189" t="str">
        <f t="array" ref="T1755">IFERROR(IF(INDEX('Disaggregation Records'!$H$155:$H$385,MATCH(RIGHT(Q1755,255),RIGHT('Disaggregation Records'!$D$155:$D$385,255),0))=0,"",INDEX('Disaggregation Records'!$H$155:$H$385,MATCH(RIGHT(Q1755,255),RIGHT('Disaggregation Records'!$D$155:$D$385,255),0))),"")</f>
        <v/>
      </c>
      <c r="U1755" s="189">
        <f t="shared" ref="U1755" si="7635">U1753+1</f>
        <v>1979</v>
      </c>
      <c r="V1755" s="189" t="str">
        <f t="array" ref="V1755">IFERROR(IF(INDEX('Disaggregation Records'!$I$155:$I$385,MATCH(RIGHT(Q1755,255),RIGHT('Disaggregation Records'!$D$155:$D$385,255),0))=0,"",INDEX('Disaggregation Records'!$I$155:$I$385,MATCH(RIGHT(Q1755,255),RIGHT('Disaggregation Records'!$D$155:$D$385,255),0))),"")</f>
        <v/>
      </c>
      <c r="W1755" s="189" t="str">
        <f>IFERROR(INDEX('Reference Records'!L$59:L$121,MATCH(LEFT(C1755,255),'Reference Records'!E$59:E$121,0)),"")</f>
        <v/>
      </c>
    </row>
    <row r="1756" spans="1:23" s="189" customFormat="1" ht="40.200000000000003" customHeight="1" x14ac:dyDescent="0.3">
      <c r="A1756" s="678"/>
      <c r="B1756" s="675"/>
      <c r="C1756" s="667"/>
      <c r="D1756" s="677"/>
      <c r="E1756" s="677"/>
      <c r="F1756" s="202"/>
      <c r="G1756" s="669"/>
      <c r="H1756" s="671"/>
      <c r="I1756" s="673"/>
      <c r="J1756" s="652"/>
      <c r="K1756" s="667"/>
      <c r="L1756" s="667"/>
      <c r="M1756" s="652"/>
      <c r="N1756" s="652"/>
    </row>
    <row r="1757" spans="1:23" s="189" customFormat="1" ht="40.200000000000003" customHeight="1" x14ac:dyDescent="0.3">
      <c r="A1757" s="678" t="str">
        <f t="shared" ref="A1757" ca="1" si="7636">INDIRECT("'update Helper'!C"&amp;U1757)</f>
        <v>a163p000002zQiXAAU</v>
      </c>
      <c r="B1757" s="674">
        <v>29</v>
      </c>
      <c r="C1757" s="666" t="str">
        <f>VLOOKUP(B1757,'Coverage Indicators - Section D'!$A$9:$AU$70,47,FALSE)</f>
        <v/>
      </c>
      <c r="D1757" s="676" t="str">
        <f t="shared" ref="D1757" si="7637">R1757</f>
        <v/>
      </c>
      <c r="E1757" s="676" t="str">
        <f t="shared" ref="E1757" si="7638">S1757</f>
        <v/>
      </c>
      <c r="F1757" s="194"/>
      <c r="G1757" s="668" t="str">
        <f t="shared" ref="G1757" ca="1" si="7639">IF(OR(INDIRECT("'update Helper'!E"&amp;U1757)=0,F1757&lt;&gt;0,F1758&lt;&gt;0),IF(IFERROR((F1757/F1758),"")="","",(F1757/F1758)),INDIRECT("'update Helper'!E"&amp;U1757)/100)</f>
        <v/>
      </c>
      <c r="H1757" s="670"/>
      <c r="I1757" s="672"/>
      <c r="J1757" s="651"/>
      <c r="K1757" s="666" t="str">
        <f t="shared" ref="K1757" si="7640">W1757</f>
        <v/>
      </c>
      <c r="L1757" s="666" t="str">
        <f t="shared" ref="L1757" si="7641">V1757</f>
        <v/>
      </c>
      <c r="M1757" s="651"/>
      <c r="N1757" s="651"/>
      <c r="P1757" s="189">
        <f t="shared" ref="P1757" si="7642">IF(AND(EXACT(C1757,C1755),C1755&lt;&gt;0),P1755+1,0)</f>
        <v>168</v>
      </c>
      <c r="Q1757" s="189" t="str">
        <f t="shared" ref="Q1757" si="7643">IF(C1757&lt;&gt;"",C1757&amp;"-"&amp;P1757,"")</f>
        <v/>
      </c>
      <c r="R1757" s="189" t="str">
        <f t="array" ref="R1757">IFERROR(IF(INDEX('Disaggregation Records'!$E$155:$E$385,MATCH(RIGHT(Q1757,255),RIGHT('Disaggregation Records'!$D$155:$D$385,255),0))=0,"",INDEX('Disaggregation Records'!$E$155:$E$385,MATCH(RIGHT(Q1757,255),RIGHT('Disaggregation Records'!$D$155:$D$385,255),0))),"")</f>
        <v/>
      </c>
      <c r="S1757" s="189" t="str">
        <f t="array" ref="S1757">IFERROR(IF(INDEX('Disaggregation Records'!$F$155:$F$385,MATCH(RIGHT(Q1757,255),RIGHT('Disaggregation Records'!$D$155:$D$385,255),0))=0,"",INDEX('Disaggregation Records'!$F$155:$F$385,MATCH(RIGHT(Q1757,255),RIGHT('Disaggregation Records'!$D$155:$D$385,255),0))),"")</f>
        <v/>
      </c>
      <c r="T1757" s="189" t="str">
        <f t="array" ref="T1757">IFERROR(IF(INDEX('Disaggregation Records'!$H$155:$H$385,MATCH(RIGHT(Q1757,255),RIGHT('Disaggregation Records'!$D$155:$D$385,255),0))=0,"",INDEX('Disaggregation Records'!$H$155:$H$385,MATCH(RIGHT(Q1757,255),RIGHT('Disaggregation Records'!$D$155:$D$385,255),0))),"")</f>
        <v/>
      </c>
      <c r="U1757" s="189">
        <f t="shared" ref="U1757" si="7644">U1755+1</f>
        <v>1980</v>
      </c>
      <c r="V1757" s="189" t="str">
        <f t="array" ref="V1757">IFERROR(IF(INDEX('Disaggregation Records'!$I$155:$I$385,MATCH(RIGHT(Q1757,255),RIGHT('Disaggregation Records'!$D$155:$D$385,255),0))=0,"",INDEX('Disaggregation Records'!$I$155:$I$385,MATCH(RIGHT(Q1757,255),RIGHT('Disaggregation Records'!$D$155:$D$385,255),0))),"")</f>
        <v/>
      </c>
      <c r="W1757" s="189" t="str">
        <f>IFERROR(INDEX('Reference Records'!L$59:L$121,MATCH(LEFT(C1757,255),'Reference Records'!E$59:E$121,0)),"")</f>
        <v/>
      </c>
    </row>
    <row r="1758" spans="1:23" s="189" customFormat="1" ht="40.200000000000003" customHeight="1" x14ac:dyDescent="0.3">
      <c r="A1758" s="678"/>
      <c r="B1758" s="675"/>
      <c r="C1758" s="667"/>
      <c r="D1758" s="677"/>
      <c r="E1758" s="677"/>
      <c r="F1758" s="202"/>
      <c r="G1758" s="669"/>
      <c r="H1758" s="671"/>
      <c r="I1758" s="673"/>
      <c r="J1758" s="652"/>
      <c r="K1758" s="667"/>
      <c r="L1758" s="667"/>
      <c r="M1758" s="652"/>
      <c r="N1758" s="652"/>
    </row>
    <row r="1759" spans="1:23" s="189" customFormat="1" ht="40.200000000000003" customHeight="1" x14ac:dyDescent="0.3">
      <c r="A1759" s="678" t="str">
        <f t="shared" ref="A1759" ca="1" si="7645">INDIRECT("'update Helper'!C"&amp;U1759)</f>
        <v>a163p000002zQiYAAU</v>
      </c>
      <c r="B1759" s="674">
        <v>29</v>
      </c>
      <c r="C1759" s="666" t="str">
        <f>VLOOKUP(B1759,'Coverage Indicators - Section D'!$A$9:$AU$70,47,FALSE)</f>
        <v/>
      </c>
      <c r="D1759" s="676" t="str">
        <f t="shared" ref="D1759" si="7646">R1759</f>
        <v/>
      </c>
      <c r="E1759" s="676" t="str">
        <f t="shared" ref="E1759" si="7647">S1759</f>
        <v/>
      </c>
      <c r="F1759" s="194"/>
      <c r="G1759" s="668" t="str">
        <f t="shared" ref="G1759" ca="1" si="7648">IF(OR(INDIRECT("'update Helper'!E"&amp;U1759)=0,F1759&lt;&gt;0,F1760&lt;&gt;0),IF(IFERROR((F1759/F1760),"")="","",(F1759/F1760)),INDIRECT("'update Helper'!E"&amp;U1759)/100)</f>
        <v/>
      </c>
      <c r="H1759" s="670"/>
      <c r="I1759" s="672"/>
      <c r="J1759" s="651"/>
      <c r="K1759" s="666" t="str">
        <f t="shared" ref="K1759" si="7649">W1759</f>
        <v/>
      </c>
      <c r="L1759" s="666" t="str">
        <f t="shared" ref="L1759" si="7650">V1759</f>
        <v/>
      </c>
      <c r="M1759" s="651"/>
      <c r="N1759" s="651"/>
      <c r="P1759" s="189">
        <f t="shared" ref="P1759" si="7651">IF(AND(EXACT(C1759,C1757),C1757&lt;&gt;0),P1757+1,0)</f>
        <v>169</v>
      </c>
      <c r="Q1759" s="189" t="str">
        <f t="shared" ref="Q1759" si="7652">IF(C1759&lt;&gt;"",C1759&amp;"-"&amp;P1759,"")</f>
        <v/>
      </c>
      <c r="R1759" s="189" t="str">
        <f t="array" ref="R1759">IFERROR(IF(INDEX('Disaggregation Records'!$E$155:$E$385,MATCH(RIGHT(Q1759,255),RIGHT('Disaggregation Records'!$D$155:$D$385,255),0))=0,"",INDEX('Disaggregation Records'!$E$155:$E$385,MATCH(RIGHT(Q1759,255),RIGHT('Disaggregation Records'!$D$155:$D$385,255),0))),"")</f>
        <v/>
      </c>
      <c r="S1759" s="189" t="str">
        <f t="array" ref="S1759">IFERROR(IF(INDEX('Disaggregation Records'!$F$155:$F$385,MATCH(RIGHT(Q1759,255),RIGHT('Disaggregation Records'!$D$155:$D$385,255),0))=0,"",INDEX('Disaggregation Records'!$F$155:$F$385,MATCH(RIGHT(Q1759,255),RIGHT('Disaggregation Records'!$D$155:$D$385,255),0))),"")</f>
        <v/>
      </c>
      <c r="T1759" s="189" t="str">
        <f t="array" ref="T1759">IFERROR(IF(INDEX('Disaggregation Records'!$H$155:$H$385,MATCH(RIGHT(Q1759,255),RIGHT('Disaggregation Records'!$D$155:$D$385,255),0))=0,"",INDEX('Disaggregation Records'!$H$155:$H$385,MATCH(RIGHT(Q1759,255),RIGHT('Disaggregation Records'!$D$155:$D$385,255),0))),"")</f>
        <v/>
      </c>
      <c r="U1759" s="189">
        <f t="shared" ref="U1759" si="7653">U1757+1</f>
        <v>1981</v>
      </c>
      <c r="V1759" s="189" t="str">
        <f t="array" ref="V1759">IFERROR(IF(INDEX('Disaggregation Records'!$I$155:$I$385,MATCH(RIGHT(Q1759,255),RIGHT('Disaggregation Records'!$D$155:$D$385,255),0))=0,"",INDEX('Disaggregation Records'!$I$155:$I$385,MATCH(RIGHT(Q1759,255),RIGHT('Disaggregation Records'!$D$155:$D$385,255),0))),"")</f>
        <v/>
      </c>
      <c r="W1759" s="189" t="str">
        <f>IFERROR(INDEX('Reference Records'!L$59:L$121,MATCH(LEFT(C1759,255),'Reference Records'!E$59:E$121,0)),"")</f>
        <v/>
      </c>
    </row>
    <row r="1760" spans="1:23" s="189" customFormat="1" ht="40.200000000000003" customHeight="1" x14ac:dyDescent="0.3">
      <c r="A1760" s="678"/>
      <c r="B1760" s="675"/>
      <c r="C1760" s="667"/>
      <c r="D1760" s="677"/>
      <c r="E1760" s="677"/>
      <c r="F1760" s="202"/>
      <c r="G1760" s="669"/>
      <c r="H1760" s="671"/>
      <c r="I1760" s="673"/>
      <c r="J1760" s="652"/>
      <c r="K1760" s="667"/>
      <c r="L1760" s="667"/>
      <c r="M1760" s="652"/>
      <c r="N1760" s="652"/>
    </row>
    <row r="1761" spans="1:23" s="189" customFormat="1" ht="40.200000000000003" customHeight="1" x14ac:dyDescent="0.3">
      <c r="A1761" s="678" t="str">
        <f t="shared" ref="A1761" ca="1" si="7654">INDIRECT("'update Helper'!C"&amp;U1761)</f>
        <v>a163p000002zQiZAAU</v>
      </c>
      <c r="B1761" s="674">
        <v>29</v>
      </c>
      <c r="C1761" s="666" t="str">
        <f>VLOOKUP(B1761,'Coverage Indicators - Section D'!$A$9:$AU$70,47,FALSE)</f>
        <v/>
      </c>
      <c r="D1761" s="676" t="str">
        <f t="shared" ref="D1761" si="7655">R1761</f>
        <v/>
      </c>
      <c r="E1761" s="676" t="str">
        <f t="shared" ref="E1761" si="7656">S1761</f>
        <v/>
      </c>
      <c r="F1761" s="194"/>
      <c r="G1761" s="668" t="str">
        <f t="shared" ref="G1761" ca="1" si="7657">IF(OR(INDIRECT("'update Helper'!E"&amp;U1761)=0,F1761&lt;&gt;0,F1762&lt;&gt;0),IF(IFERROR((F1761/F1762),"")="","",(F1761/F1762)),INDIRECT("'update Helper'!E"&amp;U1761)/100)</f>
        <v/>
      </c>
      <c r="H1761" s="670"/>
      <c r="I1761" s="672"/>
      <c r="J1761" s="651"/>
      <c r="K1761" s="666" t="str">
        <f t="shared" ref="K1761" si="7658">W1761</f>
        <v/>
      </c>
      <c r="L1761" s="666" t="str">
        <f t="shared" ref="L1761" si="7659">V1761</f>
        <v/>
      </c>
      <c r="M1761" s="651"/>
      <c r="N1761" s="651"/>
      <c r="P1761" s="189">
        <f t="shared" ref="P1761" si="7660">IF(AND(EXACT(C1761,C1759),C1759&lt;&gt;0),P1759+1,0)</f>
        <v>170</v>
      </c>
      <c r="Q1761" s="189" t="str">
        <f t="shared" ref="Q1761" si="7661">IF(C1761&lt;&gt;"",C1761&amp;"-"&amp;P1761,"")</f>
        <v/>
      </c>
      <c r="R1761" s="189" t="str">
        <f t="array" ref="R1761">IFERROR(IF(INDEX('Disaggregation Records'!$E$155:$E$385,MATCH(RIGHT(Q1761,255),RIGHT('Disaggregation Records'!$D$155:$D$385,255),0))=0,"",INDEX('Disaggregation Records'!$E$155:$E$385,MATCH(RIGHT(Q1761,255),RIGHT('Disaggregation Records'!$D$155:$D$385,255),0))),"")</f>
        <v/>
      </c>
      <c r="S1761" s="189" t="str">
        <f t="array" ref="S1761">IFERROR(IF(INDEX('Disaggregation Records'!$F$155:$F$385,MATCH(RIGHT(Q1761,255),RIGHT('Disaggregation Records'!$D$155:$D$385,255),0))=0,"",INDEX('Disaggregation Records'!$F$155:$F$385,MATCH(RIGHT(Q1761,255),RIGHT('Disaggregation Records'!$D$155:$D$385,255),0))),"")</f>
        <v/>
      </c>
      <c r="T1761" s="189" t="str">
        <f t="array" ref="T1761">IFERROR(IF(INDEX('Disaggregation Records'!$H$155:$H$385,MATCH(RIGHT(Q1761,255),RIGHT('Disaggregation Records'!$D$155:$D$385,255),0))=0,"",INDEX('Disaggregation Records'!$H$155:$H$385,MATCH(RIGHT(Q1761,255),RIGHT('Disaggregation Records'!$D$155:$D$385,255),0))),"")</f>
        <v/>
      </c>
      <c r="U1761" s="189">
        <f t="shared" ref="U1761" si="7662">U1759+1</f>
        <v>1982</v>
      </c>
      <c r="V1761" s="189" t="str">
        <f t="array" ref="V1761">IFERROR(IF(INDEX('Disaggregation Records'!$I$155:$I$385,MATCH(RIGHT(Q1761,255),RIGHT('Disaggregation Records'!$D$155:$D$385,255),0))=0,"",INDEX('Disaggregation Records'!$I$155:$I$385,MATCH(RIGHT(Q1761,255),RIGHT('Disaggregation Records'!$D$155:$D$385,255),0))),"")</f>
        <v/>
      </c>
      <c r="W1761" s="189" t="str">
        <f>IFERROR(INDEX('Reference Records'!L$59:L$121,MATCH(LEFT(C1761,255),'Reference Records'!E$59:E$121,0)),"")</f>
        <v/>
      </c>
    </row>
    <row r="1762" spans="1:23" s="189" customFormat="1" ht="40.200000000000003" customHeight="1" x14ac:dyDescent="0.3">
      <c r="A1762" s="678"/>
      <c r="B1762" s="675"/>
      <c r="C1762" s="667"/>
      <c r="D1762" s="677"/>
      <c r="E1762" s="677"/>
      <c r="F1762" s="202"/>
      <c r="G1762" s="669"/>
      <c r="H1762" s="671"/>
      <c r="I1762" s="673"/>
      <c r="J1762" s="652"/>
      <c r="K1762" s="667"/>
      <c r="L1762" s="667"/>
      <c r="M1762" s="652"/>
      <c r="N1762" s="652"/>
    </row>
    <row r="1763" spans="1:23" s="189" customFormat="1" ht="40.200000000000003" customHeight="1" x14ac:dyDescent="0.3">
      <c r="A1763" s="678" t="str">
        <f t="shared" ref="A1763" ca="1" si="7663">INDIRECT("'update Helper'!C"&amp;U1763)</f>
        <v>a163p000002zQiaAAE</v>
      </c>
      <c r="B1763" s="674">
        <v>29</v>
      </c>
      <c r="C1763" s="666" t="str">
        <f>VLOOKUP(B1763,'Coverage Indicators - Section D'!$A$9:$AU$70,47,FALSE)</f>
        <v/>
      </c>
      <c r="D1763" s="676" t="str">
        <f t="shared" ref="D1763" si="7664">R1763</f>
        <v/>
      </c>
      <c r="E1763" s="676" t="str">
        <f t="shared" ref="E1763" si="7665">S1763</f>
        <v/>
      </c>
      <c r="F1763" s="194"/>
      <c r="G1763" s="668" t="str">
        <f t="shared" ref="G1763" ca="1" si="7666">IF(OR(INDIRECT("'update Helper'!E"&amp;U1763)=0,F1763&lt;&gt;0,F1764&lt;&gt;0),IF(IFERROR((F1763/F1764),"")="","",(F1763/F1764)),INDIRECT("'update Helper'!E"&amp;U1763)/100)</f>
        <v/>
      </c>
      <c r="H1763" s="670"/>
      <c r="I1763" s="672"/>
      <c r="J1763" s="651"/>
      <c r="K1763" s="666" t="str">
        <f t="shared" ref="K1763" si="7667">W1763</f>
        <v/>
      </c>
      <c r="L1763" s="666" t="str">
        <f t="shared" ref="L1763" si="7668">V1763</f>
        <v/>
      </c>
      <c r="M1763" s="651"/>
      <c r="N1763" s="651"/>
      <c r="P1763" s="189">
        <f t="shared" ref="P1763" si="7669">IF(AND(EXACT(C1763,C1761),C1761&lt;&gt;0),P1761+1,0)</f>
        <v>171</v>
      </c>
      <c r="Q1763" s="189" t="str">
        <f t="shared" ref="Q1763" si="7670">IF(C1763&lt;&gt;"",C1763&amp;"-"&amp;P1763,"")</f>
        <v/>
      </c>
      <c r="R1763" s="189" t="str">
        <f t="array" ref="R1763">IFERROR(IF(INDEX('Disaggregation Records'!$E$155:$E$385,MATCH(RIGHT(Q1763,255),RIGHT('Disaggregation Records'!$D$155:$D$385,255),0))=0,"",INDEX('Disaggregation Records'!$E$155:$E$385,MATCH(RIGHT(Q1763,255),RIGHT('Disaggregation Records'!$D$155:$D$385,255),0))),"")</f>
        <v/>
      </c>
      <c r="S1763" s="189" t="str">
        <f t="array" ref="S1763">IFERROR(IF(INDEX('Disaggregation Records'!$F$155:$F$385,MATCH(RIGHT(Q1763,255),RIGHT('Disaggregation Records'!$D$155:$D$385,255),0))=0,"",INDEX('Disaggregation Records'!$F$155:$F$385,MATCH(RIGHT(Q1763,255),RIGHT('Disaggregation Records'!$D$155:$D$385,255),0))),"")</f>
        <v/>
      </c>
      <c r="T1763" s="189" t="str">
        <f t="array" ref="T1763">IFERROR(IF(INDEX('Disaggregation Records'!$H$155:$H$385,MATCH(RIGHT(Q1763,255),RIGHT('Disaggregation Records'!$D$155:$D$385,255),0))=0,"",INDEX('Disaggregation Records'!$H$155:$H$385,MATCH(RIGHT(Q1763,255),RIGHT('Disaggregation Records'!$D$155:$D$385,255),0))),"")</f>
        <v/>
      </c>
      <c r="U1763" s="189">
        <f t="shared" ref="U1763" si="7671">U1761+1</f>
        <v>1983</v>
      </c>
      <c r="V1763" s="189" t="str">
        <f t="array" ref="V1763">IFERROR(IF(INDEX('Disaggregation Records'!$I$155:$I$385,MATCH(RIGHT(Q1763,255),RIGHT('Disaggregation Records'!$D$155:$D$385,255),0))=0,"",INDEX('Disaggregation Records'!$I$155:$I$385,MATCH(RIGHT(Q1763,255),RIGHT('Disaggregation Records'!$D$155:$D$385,255),0))),"")</f>
        <v/>
      </c>
      <c r="W1763" s="189" t="str">
        <f>IFERROR(INDEX('Reference Records'!L$59:L$121,MATCH(LEFT(C1763,255),'Reference Records'!E$59:E$121,0)),"")</f>
        <v/>
      </c>
    </row>
    <row r="1764" spans="1:23" s="189" customFormat="1" ht="40.200000000000003" customHeight="1" x14ac:dyDescent="0.3">
      <c r="A1764" s="678"/>
      <c r="B1764" s="675"/>
      <c r="C1764" s="667"/>
      <c r="D1764" s="677"/>
      <c r="E1764" s="677"/>
      <c r="F1764" s="202"/>
      <c r="G1764" s="669"/>
      <c r="H1764" s="671"/>
      <c r="I1764" s="673"/>
      <c r="J1764" s="652"/>
      <c r="K1764" s="667"/>
      <c r="L1764" s="667"/>
      <c r="M1764" s="652"/>
      <c r="N1764" s="652"/>
    </row>
    <row r="1765" spans="1:23" s="189" customFormat="1" ht="40.200000000000003" customHeight="1" x14ac:dyDescent="0.3">
      <c r="A1765" s="678" t="str">
        <f t="shared" ref="A1765" ca="1" si="7672">INDIRECT("'update Helper'!C"&amp;U1765)</f>
        <v>a163p000002zQibAAE</v>
      </c>
      <c r="B1765" s="674">
        <v>29</v>
      </c>
      <c r="C1765" s="666" t="str">
        <f>VLOOKUP(B1765,'Coverage Indicators - Section D'!$A$9:$AU$70,47,FALSE)</f>
        <v/>
      </c>
      <c r="D1765" s="676" t="str">
        <f t="shared" ref="D1765" si="7673">R1765</f>
        <v/>
      </c>
      <c r="E1765" s="676" t="str">
        <f t="shared" ref="E1765" si="7674">S1765</f>
        <v/>
      </c>
      <c r="F1765" s="194"/>
      <c r="G1765" s="668" t="str">
        <f t="shared" ref="G1765" ca="1" si="7675">IF(OR(INDIRECT("'update Helper'!E"&amp;U1765)=0,F1765&lt;&gt;0,F1766&lt;&gt;0),IF(IFERROR((F1765/F1766),"")="","",(F1765/F1766)),INDIRECT("'update Helper'!E"&amp;U1765)/100)</f>
        <v/>
      </c>
      <c r="H1765" s="670"/>
      <c r="I1765" s="672"/>
      <c r="J1765" s="651"/>
      <c r="K1765" s="666" t="str">
        <f t="shared" ref="K1765" si="7676">W1765</f>
        <v/>
      </c>
      <c r="L1765" s="666" t="str">
        <f t="shared" ref="L1765" si="7677">V1765</f>
        <v/>
      </c>
      <c r="M1765" s="651"/>
      <c r="N1765" s="651"/>
      <c r="P1765" s="189">
        <f t="shared" ref="P1765" si="7678">IF(AND(EXACT(C1765,C1763),C1763&lt;&gt;0),P1763+1,0)</f>
        <v>172</v>
      </c>
      <c r="Q1765" s="189" t="str">
        <f t="shared" ref="Q1765" si="7679">IF(C1765&lt;&gt;"",C1765&amp;"-"&amp;P1765,"")</f>
        <v/>
      </c>
      <c r="R1765" s="189" t="str">
        <f t="array" ref="R1765">IFERROR(IF(INDEX('Disaggregation Records'!$E$155:$E$385,MATCH(RIGHT(Q1765,255),RIGHT('Disaggregation Records'!$D$155:$D$385,255),0))=0,"",INDEX('Disaggregation Records'!$E$155:$E$385,MATCH(RIGHT(Q1765,255),RIGHT('Disaggregation Records'!$D$155:$D$385,255),0))),"")</f>
        <v/>
      </c>
      <c r="S1765" s="189" t="str">
        <f t="array" ref="S1765">IFERROR(IF(INDEX('Disaggregation Records'!$F$155:$F$385,MATCH(RIGHT(Q1765,255),RIGHT('Disaggregation Records'!$D$155:$D$385,255),0))=0,"",INDEX('Disaggregation Records'!$F$155:$F$385,MATCH(RIGHT(Q1765,255),RIGHT('Disaggregation Records'!$D$155:$D$385,255),0))),"")</f>
        <v/>
      </c>
      <c r="T1765" s="189" t="str">
        <f t="array" ref="T1765">IFERROR(IF(INDEX('Disaggregation Records'!$H$155:$H$385,MATCH(RIGHT(Q1765,255),RIGHT('Disaggregation Records'!$D$155:$D$385,255),0))=0,"",INDEX('Disaggregation Records'!$H$155:$H$385,MATCH(RIGHT(Q1765,255),RIGHT('Disaggregation Records'!$D$155:$D$385,255),0))),"")</f>
        <v/>
      </c>
      <c r="U1765" s="189">
        <f t="shared" ref="U1765" si="7680">U1763+1</f>
        <v>1984</v>
      </c>
      <c r="V1765" s="189" t="str">
        <f t="array" ref="V1765">IFERROR(IF(INDEX('Disaggregation Records'!$I$155:$I$385,MATCH(RIGHT(Q1765,255),RIGHT('Disaggregation Records'!$D$155:$D$385,255),0))=0,"",INDEX('Disaggregation Records'!$I$155:$I$385,MATCH(RIGHT(Q1765,255),RIGHT('Disaggregation Records'!$D$155:$D$385,255),0))),"")</f>
        <v/>
      </c>
      <c r="W1765" s="189" t="str">
        <f>IFERROR(INDEX('Reference Records'!L$59:L$121,MATCH(LEFT(C1765,255),'Reference Records'!E$59:E$121,0)),"")</f>
        <v/>
      </c>
    </row>
    <row r="1766" spans="1:23" s="189" customFormat="1" ht="40.200000000000003" customHeight="1" x14ac:dyDescent="0.3">
      <c r="A1766" s="678"/>
      <c r="B1766" s="675"/>
      <c r="C1766" s="667"/>
      <c r="D1766" s="677"/>
      <c r="E1766" s="677"/>
      <c r="F1766" s="202"/>
      <c r="G1766" s="669"/>
      <c r="H1766" s="671"/>
      <c r="I1766" s="673"/>
      <c r="J1766" s="652"/>
      <c r="K1766" s="667"/>
      <c r="L1766" s="667"/>
      <c r="M1766" s="652"/>
      <c r="N1766" s="652"/>
    </row>
    <row r="1767" spans="1:23" s="189" customFormat="1" ht="40.200000000000003" customHeight="1" x14ac:dyDescent="0.3">
      <c r="A1767" s="678" t="str">
        <f t="shared" ref="A1767" ca="1" si="7681">INDIRECT("'update Helper'!C"&amp;U1767)</f>
        <v>a163p000002zQicAAE</v>
      </c>
      <c r="B1767" s="674">
        <v>29</v>
      </c>
      <c r="C1767" s="666" t="str">
        <f>VLOOKUP(B1767,'Coverage Indicators - Section D'!$A$9:$AU$70,47,FALSE)</f>
        <v/>
      </c>
      <c r="D1767" s="676" t="str">
        <f t="shared" ref="D1767" si="7682">R1767</f>
        <v/>
      </c>
      <c r="E1767" s="676" t="str">
        <f t="shared" ref="E1767" si="7683">S1767</f>
        <v/>
      </c>
      <c r="F1767" s="194"/>
      <c r="G1767" s="668" t="str">
        <f t="shared" ref="G1767" ca="1" si="7684">IF(OR(INDIRECT("'update Helper'!E"&amp;U1767)=0,F1767&lt;&gt;0,F1768&lt;&gt;0),IF(IFERROR((F1767/F1768),"")="","",(F1767/F1768)),INDIRECT("'update Helper'!E"&amp;U1767)/100)</f>
        <v/>
      </c>
      <c r="H1767" s="670"/>
      <c r="I1767" s="672"/>
      <c r="J1767" s="651"/>
      <c r="K1767" s="666" t="str">
        <f t="shared" ref="K1767" si="7685">W1767</f>
        <v/>
      </c>
      <c r="L1767" s="666" t="str">
        <f t="shared" ref="L1767" si="7686">V1767</f>
        <v/>
      </c>
      <c r="M1767" s="651"/>
      <c r="N1767" s="651"/>
      <c r="P1767" s="189">
        <f t="shared" ref="P1767" si="7687">IF(AND(EXACT(C1767,C1765),C1765&lt;&gt;0),P1765+1,0)</f>
        <v>173</v>
      </c>
      <c r="Q1767" s="189" t="str">
        <f t="shared" ref="Q1767" si="7688">IF(C1767&lt;&gt;"",C1767&amp;"-"&amp;P1767,"")</f>
        <v/>
      </c>
      <c r="R1767" s="189" t="str">
        <f t="array" ref="R1767">IFERROR(IF(INDEX('Disaggregation Records'!$E$155:$E$385,MATCH(RIGHT(Q1767,255),RIGHT('Disaggregation Records'!$D$155:$D$385,255),0))=0,"",INDEX('Disaggregation Records'!$E$155:$E$385,MATCH(RIGHT(Q1767,255),RIGHT('Disaggregation Records'!$D$155:$D$385,255),0))),"")</f>
        <v/>
      </c>
      <c r="S1767" s="189" t="str">
        <f t="array" ref="S1767">IFERROR(IF(INDEX('Disaggregation Records'!$F$155:$F$385,MATCH(RIGHT(Q1767,255),RIGHT('Disaggregation Records'!$D$155:$D$385,255),0))=0,"",INDEX('Disaggregation Records'!$F$155:$F$385,MATCH(RIGHT(Q1767,255),RIGHT('Disaggregation Records'!$D$155:$D$385,255),0))),"")</f>
        <v/>
      </c>
      <c r="T1767" s="189" t="str">
        <f t="array" ref="T1767">IFERROR(IF(INDEX('Disaggregation Records'!$H$155:$H$385,MATCH(RIGHT(Q1767,255),RIGHT('Disaggregation Records'!$D$155:$D$385,255),0))=0,"",INDEX('Disaggregation Records'!$H$155:$H$385,MATCH(RIGHT(Q1767,255),RIGHT('Disaggregation Records'!$D$155:$D$385,255),0))),"")</f>
        <v/>
      </c>
      <c r="U1767" s="189">
        <f t="shared" ref="U1767" si="7689">U1765+1</f>
        <v>1985</v>
      </c>
      <c r="V1767" s="189" t="str">
        <f t="array" ref="V1767">IFERROR(IF(INDEX('Disaggregation Records'!$I$155:$I$385,MATCH(RIGHT(Q1767,255),RIGHT('Disaggregation Records'!$D$155:$D$385,255),0))=0,"",INDEX('Disaggregation Records'!$I$155:$I$385,MATCH(RIGHT(Q1767,255),RIGHT('Disaggregation Records'!$D$155:$D$385,255),0))),"")</f>
        <v/>
      </c>
      <c r="W1767" s="189" t="str">
        <f>IFERROR(INDEX('Reference Records'!L$59:L$121,MATCH(LEFT(C1767,255),'Reference Records'!E$59:E$121,0)),"")</f>
        <v/>
      </c>
    </row>
    <row r="1768" spans="1:23" s="189" customFormat="1" ht="40.200000000000003" customHeight="1" x14ac:dyDescent="0.3">
      <c r="A1768" s="678"/>
      <c r="B1768" s="675"/>
      <c r="C1768" s="667"/>
      <c r="D1768" s="677"/>
      <c r="E1768" s="677"/>
      <c r="F1768" s="202"/>
      <c r="G1768" s="669"/>
      <c r="H1768" s="671"/>
      <c r="I1768" s="673"/>
      <c r="J1768" s="652"/>
      <c r="K1768" s="667"/>
      <c r="L1768" s="667"/>
      <c r="M1768" s="652"/>
      <c r="N1768" s="652"/>
    </row>
    <row r="1769" spans="1:23" s="189" customFormat="1" ht="40.200000000000003" customHeight="1" x14ac:dyDescent="0.3">
      <c r="A1769" s="678" t="str">
        <f t="shared" ref="A1769" ca="1" si="7690">INDIRECT("'update Helper'!C"&amp;U1769)</f>
        <v>a163p000002zQidAAE</v>
      </c>
      <c r="B1769" s="674">
        <v>29</v>
      </c>
      <c r="C1769" s="666" t="str">
        <f>VLOOKUP(B1769,'Coverage Indicators - Section D'!$A$9:$AU$70,47,FALSE)</f>
        <v/>
      </c>
      <c r="D1769" s="676" t="str">
        <f t="shared" ref="D1769" si="7691">R1769</f>
        <v/>
      </c>
      <c r="E1769" s="676" t="str">
        <f t="shared" ref="E1769" si="7692">S1769</f>
        <v/>
      </c>
      <c r="F1769" s="194"/>
      <c r="G1769" s="668" t="str">
        <f t="shared" ref="G1769" ca="1" si="7693">IF(OR(INDIRECT("'update Helper'!E"&amp;U1769)=0,F1769&lt;&gt;0,F1770&lt;&gt;0),IF(IFERROR((F1769/F1770),"")="","",(F1769/F1770)),INDIRECT("'update Helper'!E"&amp;U1769)/100)</f>
        <v/>
      </c>
      <c r="H1769" s="670"/>
      <c r="I1769" s="672"/>
      <c r="J1769" s="651"/>
      <c r="K1769" s="666" t="str">
        <f t="shared" ref="K1769" si="7694">W1769</f>
        <v/>
      </c>
      <c r="L1769" s="666" t="str">
        <f t="shared" ref="L1769" si="7695">V1769</f>
        <v/>
      </c>
      <c r="M1769" s="651"/>
      <c r="N1769" s="651"/>
      <c r="P1769" s="189">
        <f t="shared" ref="P1769" si="7696">IF(AND(EXACT(C1769,C1767),C1767&lt;&gt;0),P1767+1,0)</f>
        <v>174</v>
      </c>
      <c r="Q1769" s="189" t="str">
        <f t="shared" ref="Q1769" si="7697">IF(C1769&lt;&gt;"",C1769&amp;"-"&amp;P1769,"")</f>
        <v/>
      </c>
      <c r="R1769" s="189" t="str">
        <f t="array" ref="R1769">IFERROR(IF(INDEX('Disaggregation Records'!$E$155:$E$385,MATCH(RIGHT(Q1769,255),RIGHT('Disaggregation Records'!$D$155:$D$385,255),0))=0,"",INDEX('Disaggregation Records'!$E$155:$E$385,MATCH(RIGHT(Q1769,255),RIGHT('Disaggregation Records'!$D$155:$D$385,255),0))),"")</f>
        <v/>
      </c>
      <c r="S1769" s="189" t="str">
        <f t="array" ref="S1769">IFERROR(IF(INDEX('Disaggregation Records'!$F$155:$F$385,MATCH(RIGHT(Q1769,255),RIGHT('Disaggregation Records'!$D$155:$D$385,255),0))=0,"",INDEX('Disaggregation Records'!$F$155:$F$385,MATCH(RIGHT(Q1769,255),RIGHT('Disaggregation Records'!$D$155:$D$385,255),0))),"")</f>
        <v/>
      </c>
      <c r="T1769" s="189" t="str">
        <f t="array" ref="T1769">IFERROR(IF(INDEX('Disaggregation Records'!$H$155:$H$385,MATCH(RIGHT(Q1769,255),RIGHT('Disaggregation Records'!$D$155:$D$385,255),0))=0,"",INDEX('Disaggregation Records'!$H$155:$H$385,MATCH(RIGHT(Q1769,255),RIGHT('Disaggregation Records'!$D$155:$D$385,255),0))),"")</f>
        <v/>
      </c>
      <c r="U1769" s="189">
        <f t="shared" ref="U1769" si="7698">U1767+1</f>
        <v>1986</v>
      </c>
      <c r="V1769" s="189" t="str">
        <f t="array" ref="V1769">IFERROR(IF(INDEX('Disaggregation Records'!$I$155:$I$385,MATCH(RIGHT(Q1769,255),RIGHT('Disaggregation Records'!$D$155:$D$385,255),0))=0,"",INDEX('Disaggregation Records'!$I$155:$I$385,MATCH(RIGHT(Q1769,255),RIGHT('Disaggregation Records'!$D$155:$D$385,255),0))),"")</f>
        <v/>
      </c>
      <c r="W1769" s="189" t="str">
        <f>IFERROR(INDEX('Reference Records'!L$59:L$121,MATCH(LEFT(C1769,255),'Reference Records'!E$59:E$121,0)),"")</f>
        <v/>
      </c>
    </row>
    <row r="1770" spans="1:23" s="189" customFormat="1" ht="40.200000000000003" customHeight="1" x14ac:dyDescent="0.3">
      <c r="A1770" s="678"/>
      <c r="B1770" s="675"/>
      <c r="C1770" s="667"/>
      <c r="D1770" s="677"/>
      <c r="E1770" s="677"/>
      <c r="F1770" s="202"/>
      <c r="G1770" s="669"/>
      <c r="H1770" s="671"/>
      <c r="I1770" s="673"/>
      <c r="J1770" s="652"/>
      <c r="K1770" s="667"/>
      <c r="L1770" s="667"/>
      <c r="M1770" s="652"/>
      <c r="N1770" s="652"/>
    </row>
    <row r="1771" spans="1:23" s="189" customFormat="1" ht="40.200000000000003" customHeight="1" x14ac:dyDescent="0.3">
      <c r="A1771" s="678" t="str">
        <f t="shared" ref="A1771" ca="1" si="7699">INDIRECT("'update Helper'!C"&amp;U1771)</f>
        <v>a163p000002zQieAAE</v>
      </c>
      <c r="B1771" s="674">
        <v>29</v>
      </c>
      <c r="C1771" s="666" t="str">
        <f>VLOOKUP(B1771,'Coverage Indicators - Section D'!$A$9:$AU$70,47,FALSE)</f>
        <v/>
      </c>
      <c r="D1771" s="676" t="str">
        <f t="shared" ref="D1771" si="7700">R1771</f>
        <v/>
      </c>
      <c r="E1771" s="676" t="str">
        <f t="shared" ref="E1771" si="7701">S1771</f>
        <v/>
      </c>
      <c r="F1771" s="194"/>
      <c r="G1771" s="668" t="str">
        <f t="shared" ref="G1771" ca="1" si="7702">IF(OR(INDIRECT("'update Helper'!E"&amp;U1771)=0,F1771&lt;&gt;0,F1772&lt;&gt;0),IF(IFERROR((F1771/F1772),"")="","",(F1771/F1772)),INDIRECT("'update Helper'!E"&amp;U1771)/100)</f>
        <v/>
      </c>
      <c r="H1771" s="670"/>
      <c r="I1771" s="672"/>
      <c r="J1771" s="651"/>
      <c r="K1771" s="666" t="str">
        <f t="shared" ref="K1771" si="7703">W1771</f>
        <v/>
      </c>
      <c r="L1771" s="666" t="str">
        <f t="shared" ref="L1771" si="7704">V1771</f>
        <v/>
      </c>
      <c r="M1771" s="651"/>
      <c r="N1771" s="651"/>
      <c r="P1771" s="189">
        <f t="shared" ref="P1771" si="7705">IF(AND(EXACT(C1771,C1769),C1769&lt;&gt;0),P1769+1,0)</f>
        <v>175</v>
      </c>
      <c r="Q1771" s="189" t="str">
        <f t="shared" ref="Q1771" si="7706">IF(C1771&lt;&gt;"",C1771&amp;"-"&amp;P1771,"")</f>
        <v/>
      </c>
      <c r="R1771" s="189" t="str">
        <f t="array" ref="R1771">IFERROR(IF(INDEX('Disaggregation Records'!$E$155:$E$385,MATCH(RIGHT(Q1771,255),RIGHT('Disaggregation Records'!$D$155:$D$385,255),0))=0,"",INDEX('Disaggregation Records'!$E$155:$E$385,MATCH(RIGHT(Q1771,255),RIGHT('Disaggregation Records'!$D$155:$D$385,255),0))),"")</f>
        <v/>
      </c>
      <c r="S1771" s="189" t="str">
        <f t="array" ref="S1771">IFERROR(IF(INDEX('Disaggregation Records'!$F$155:$F$385,MATCH(RIGHT(Q1771,255),RIGHT('Disaggregation Records'!$D$155:$D$385,255),0))=0,"",INDEX('Disaggregation Records'!$F$155:$F$385,MATCH(RIGHT(Q1771,255),RIGHT('Disaggregation Records'!$D$155:$D$385,255),0))),"")</f>
        <v/>
      </c>
      <c r="T1771" s="189" t="str">
        <f t="array" ref="T1771">IFERROR(IF(INDEX('Disaggregation Records'!$H$155:$H$385,MATCH(RIGHT(Q1771,255),RIGHT('Disaggregation Records'!$D$155:$D$385,255),0))=0,"",INDEX('Disaggregation Records'!$H$155:$H$385,MATCH(RIGHT(Q1771,255),RIGHT('Disaggregation Records'!$D$155:$D$385,255),0))),"")</f>
        <v/>
      </c>
      <c r="U1771" s="189">
        <f t="shared" ref="U1771" si="7707">U1769+1</f>
        <v>1987</v>
      </c>
      <c r="V1771" s="189" t="str">
        <f t="array" ref="V1771">IFERROR(IF(INDEX('Disaggregation Records'!$I$155:$I$385,MATCH(RIGHT(Q1771,255),RIGHT('Disaggregation Records'!$D$155:$D$385,255),0))=0,"",INDEX('Disaggregation Records'!$I$155:$I$385,MATCH(RIGHT(Q1771,255),RIGHT('Disaggregation Records'!$D$155:$D$385,255),0))),"")</f>
        <v/>
      </c>
      <c r="W1771" s="189" t="str">
        <f>IFERROR(INDEX('Reference Records'!L$59:L$121,MATCH(LEFT(C1771,255),'Reference Records'!E$59:E$121,0)),"")</f>
        <v/>
      </c>
    </row>
    <row r="1772" spans="1:23" s="189" customFormat="1" ht="40.200000000000003" customHeight="1" x14ac:dyDescent="0.3">
      <c r="A1772" s="678"/>
      <c r="B1772" s="675"/>
      <c r="C1772" s="667"/>
      <c r="D1772" s="677"/>
      <c r="E1772" s="677"/>
      <c r="F1772" s="202"/>
      <c r="G1772" s="669"/>
      <c r="H1772" s="671"/>
      <c r="I1772" s="673"/>
      <c r="J1772" s="652"/>
      <c r="K1772" s="667"/>
      <c r="L1772" s="667"/>
      <c r="M1772" s="652"/>
      <c r="N1772" s="652"/>
    </row>
    <row r="1773" spans="1:23" s="189" customFormat="1" ht="40.200000000000003" customHeight="1" x14ac:dyDescent="0.3">
      <c r="A1773" s="678" t="str">
        <f t="shared" ref="A1773" ca="1" si="7708">INDIRECT("'update Helper'!C"&amp;U1773)</f>
        <v>a163p000002zQifAAE</v>
      </c>
      <c r="B1773" s="674">
        <v>29</v>
      </c>
      <c r="C1773" s="666" t="str">
        <f>VLOOKUP(B1773,'Coverage Indicators - Section D'!$A$9:$AU$70,47,FALSE)</f>
        <v/>
      </c>
      <c r="D1773" s="676" t="str">
        <f t="shared" ref="D1773" si="7709">R1773</f>
        <v/>
      </c>
      <c r="E1773" s="676" t="str">
        <f t="shared" ref="E1773" si="7710">S1773</f>
        <v/>
      </c>
      <c r="F1773" s="194"/>
      <c r="G1773" s="668" t="str">
        <f t="shared" ref="G1773" ca="1" si="7711">IF(OR(INDIRECT("'update Helper'!E"&amp;U1773)=0,F1773&lt;&gt;0,F1774&lt;&gt;0),IF(IFERROR((F1773/F1774),"")="","",(F1773/F1774)),INDIRECT("'update Helper'!E"&amp;U1773)/100)</f>
        <v/>
      </c>
      <c r="H1773" s="670"/>
      <c r="I1773" s="672"/>
      <c r="J1773" s="651"/>
      <c r="K1773" s="666" t="str">
        <f t="shared" ref="K1773" si="7712">W1773</f>
        <v/>
      </c>
      <c r="L1773" s="666" t="str">
        <f t="shared" ref="L1773" si="7713">V1773</f>
        <v/>
      </c>
      <c r="M1773" s="651"/>
      <c r="N1773" s="651"/>
      <c r="P1773" s="189">
        <f t="shared" ref="P1773" si="7714">IF(AND(EXACT(C1773,C1771),C1771&lt;&gt;0),P1771+1,0)</f>
        <v>176</v>
      </c>
      <c r="Q1773" s="189" t="str">
        <f t="shared" ref="Q1773" si="7715">IF(C1773&lt;&gt;"",C1773&amp;"-"&amp;P1773,"")</f>
        <v/>
      </c>
      <c r="R1773" s="189" t="str">
        <f t="array" ref="R1773">IFERROR(IF(INDEX('Disaggregation Records'!$E$155:$E$385,MATCH(RIGHT(Q1773,255),RIGHT('Disaggregation Records'!$D$155:$D$385,255),0))=0,"",INDEX('Disaggregation Records'!$E$155:$E$385,MATCH(RIGHT(Q1773,255),RIGHT('Disaggregation Records'!$D$155:$D$385,255),0))),"")</f>
        <v/>
      </c>
      <c r="S1773" s="189" t="str">
        <f t="array" ref="S1773">IFERROR(IF(INDEX('Disaggregation Records'!$F$155:$F$385,MATCH(RIGHT(Q1773,255),RIGHT('Disaggregation Records'!$D$155:$D$385,255),0))=0,"",INDEX('Disaggregation Records'!$F$155:$F$385,MATCH(RIGHT(Q1773,255),RIGHT('Disaggregation Records'!$D$155:$D$385,255),0))),"")</f>
        <v/>
      </c>
      <c r="T1773" s="189" t="str">
        <f t="array" ref="T1773">IFERROR(IF(INDEX('Disaggregation Records'!$H$155:$H$385,MATCH(RIGHT(Q1773,255),RIGHT('Disaggregation Records'!$D$155:$D$385,255),0))=0,"",INDEX('Disaggregation Records'!$H$155:$H$385,MATCH(RIGHT(Q1773,255),RIGHT('Disaggregation Records'!$D$155:$D$385,255),0))),"")</f>
        <v/>
      </c>
      <c r="U1773" s="189">
        <f t="shared" ref="U1773" si="7716">U1771+1</f>
        <v>1988</v>
      </c>
      <c r="V1773" s="189" t="str">
        <f t="array" ref="V1773">IFERROR(IF(INDEX('Disaggregation Records'!$I$155:$I$385,MATCH(RIGHT(Q1773,255),RIGHT('Disaggregation Records'!$D$155:$D$385,255),0))=0,"",INDEX('Disaggregation Records'!$I$155:$I$385,MATCH(RIGHT(Q1773,255),RIGHT('Disaggregation Records'!$D$155:$D$385,255),0))),"")</f>
        <v/>
      </c>
      <c r="W1773" s="189" t="str">
        <f>IFERROR(INDEX('Reference Records'!L$59:L$121,MATCH(LEFT(C1773,255),'Reference Records'!E$59:E$121,0)),"")</f>
        <v/>
      </c>
    </row>
    <row r="1774" spans="1:23" s="189" customFormat="1" ht="40.200000000000003" customHeight="1" x14ac:dyDescent="0.3">
      <c r="A1774" s="678"/>
      <c r="B1774" s="675"/>
      <c r="C1774" s="667"/>
      <c r="D1774" s="677"/>
      <c r="E1774" s="677"/>
      <c r="F1774" s="202"/>
      <c r="G1774" s="669"/>
      <c r="H1774" s="671"/>
      <c r="I1774" s="673"/>
      <c r="J1774" s="652"/>
      <c r="K1774" s="667"/>
      <c r="L1774" s="667"/>
      <c r="M1774" s="652"/>
      <c r="N1774" s="652"/>
    </row>
    <row r="1775" spans="1:23" s="189" customFormat="1" ht="40.200000000000003" customHeight="1" x14ac:dyDescent="0.3">
      <c r="A1775" s="678" t="str">
        <f t="shared" ref="A1775" ca="1" si="7717">INDIRECT("'update Helper'!C"&amp;U1775)</f>
        <v>a163p000002zQigAAE</v>
      </c>
      <c r="B1775" s="674">
        <v>29</v>
      </c>
      <c r="C1775" s="666" t="str">
        <f>VLOOKUP(B1775,'Coverage Indicators - Section D'!$A$9:$AU$70,47,FALSE)</f>
        <v/>
      </c>
      <c r="D1775" s="676" t="str">
        <f t="shared" ref="D1775" si="7718">R1775</f>
        <v/>
      </c>
      <c r="E1775" s="676" t="str">
        <f t="shared" ref="E1775" si="7719">S1775</f>
        <v/>
      </c>
      <c r="F1775" s="194"/>
      <c r="G1775" s="668" t="str">
        <f t="shared" ref="G1775" ca="1" si="7720">IF(OR(INDIRECT("'update Helper'!E"&amp;U1775)=0,F1775&lt;&gt;0,F1776&lt;&gt;0),IF(IFERROR((F1775/F1776),"")="","",(F1775/F1776)),INDIRECT("'update Helper'!E"&amp;U1775)/100)</f>
        <v/>
      </c>
      <c r="H1775" s="670"/>
      <c r="I1775" s="672"/>
      <c r="J1775" s="651"/>
      <c r="K1775" s="666" t="str">
        <f t="shared" ref="K1775" si="7721">W1775</f>
        <v/>
      </c>
      <c r="L1775" s="666" t="str">
        <f t="shared" ref="L1775" si="7722">V1775</f>
        <v/>
      </c>
      <c r="M1775" s="651"/>
      <c r="N1775" s="651"/>
      <c r="P1775" s="189">
        <f t="shared" ref="P1775" si="7723">IF(AND(EXACT(C1775,C1773),C1773&lt;&gt;0),P1773+1,0)</f>
        <v>177</v>
      </c>
      <c r="Q1775" s="189" t="str">
        <f t="shared" ref="Q1775" si="7724">IF(C1775&lt;&gt;"",C1775&amp;"-"&amp;P1775,"")</f>
        <v/>
      </c>
      <c r="R1775" s="189" t="str">
        <f t="array" ref="R1775">IFERROR(IF(INDEX('Disaggregation Records'!$E$155:$E$385,MATCH(RIGHT(Q1775,255),RIGHT('Disaggregation Records'!$D$155:$D$385,255),0))=0,"",INDEX('Disaggregation Records'!$E$155:$E$385,MATCH(RIGHT(Q1775,255),RIGHT('Disaggregation Records'!$D$155:$D$385,255),0))),"")</f>
        <v/>
      </c>
      <c r="S1775" s="189" t="str">
        <f t="array" ref="S1775">IFERROR(IF(INDEX('Disaggregation Records'!$F$155:$F$385,MATCH(RIGHT(Q1775,255),RIGHT('Disaggregation Records'!$D$155:$D$385,255),0))=0,"",INDEX('Disaggregation Records'!$F$155:$F$385,MATCH(RIGHT(Q1775,255),RIGHT('Disaggregation Records'!$D$155:$D$385,255),0))),"")</f>
        <v/>
      </c>
      <c r="T1775" s="189" t="str">
        <f t="array" ref="T1775">IFERROR(IF(INDEX('Disaggregation Records'!$H$155:$H$385,MATCH(RIGHT(Q1775,255),RIGHT('Disaggregation Records'!$D$155:$D$385,255),0))=0,"",INDEX('Disaggregation Records'!$H$155:$H$385,MATCH(RIGHT(Q1775,255),RIGHT('Disaggregation Records'!$D$155:$D$385,255),0))),"")</f>
        <v/>
      </c>
      <c r="U1775" s="189">
        <f t="shared" ref="U1775" si="7725">U1773+1</f>
        <v>1989</v>
      </c>
      <c r="V1775" s="189" t="str">
        <f t="array" ref="V1775">IFERROR(IF(INDEX('Disaggregation Records'!$I$155:$I$385,MATCH(RIGHT(Q1775,255),RIGHT('Disaggregation Records'!$D$155:$D$385,255),0))=0,"",INDEX('Disaggregation Records'!$I$155:$I$385,MATCH(RIGHT(Q1775,255),RIGHT('Disaggregation Records'!$D$155:$D$385,255),0))),"")</f>
        <v/>
      </c>
      <c r="W1775" s="189" t="str">
        <f>IFERROR(INDEX('Reference Records'!L$59:L$121,MATCH(LEFT(C1775,255),'Reference Records'!E$59:E$121,0)),"")</f>
        <v/>
      </c>
    </row>
    <row r="1776" spans="1:23" s="189" customFormat="1" ht="40.200000000000003" customHeight="1" x14ac:dyDescent="0.3">
      <c r="A1776" s="678"/>
      <c r="B1776" s="675"/>
      <c r="C1776" s="667"/>
      <c r="D1776" s="677"/>
      <c r="E1776" s="677"/>
      <c r="F1776" s="202"/>
      <c r="G1776" s="669"/>
      <c r="H1776" s="671"/>
      <c r="I1776" s="673"/>
      <c r="J1776" s="652"/>
      <c r="K1776" s="667"/>
      <c r="L1776" s="667"/>
      <c r="M1776" s="652"/>
      <c r="N1776" s="652"/>
    </row>
    <row r="1777" spans="1:23" s="189" customFormat="1" ht="40.200000000000003" customHeight="1" x14ac:dyDescent="0.3">
      <c r="A1777" s="678" t="str">
        <f t="shared" ref="A1777" ca="1" si="7726">INDIRECT("'update Helper'!C"&amp;U1777)</f>
        <v>a163p000002zQihAAE</v>
      </c>
      <c r="B1777" s="674">
        <v>29</v>
      </c>
      <c r="C1777" s="666" t="str">
        <f>VLOOKUP(B1777,'Coverage Indicators - Section D'!$A$9:$AU$70,47,FALSE)</f>
        <v/>
      </c>
      <c r="D1777" s="676" t="str">
        <f t="shared" ref="D1777" si="7727">R1777</f>
        <v/>
      </c>
      <c r="E1777" s="676" t="str">
        <f t="shared" ref="E1777" si="7728">S1777</f>
        <v/>
      </c>
      <c r="F1777" s="194"/>
      <c r="G1777" s="668" t="str">
        <f t="shared" ref="G1777" ca="1" si="7729">IF(OR(INDIRECT("'update Helper'!E"&amp;U1777)=0,F1777&lt;&gt;0,F1778&lt;&gt;0),IF(IFERROR((F1777/F1778),"")="","",(F1777/F1778)),INDIRECT("'update Helper'!E"&amp;U1777)/100)</f>
        <v/>
      </c>
      <c r="H1777" s="670"/>
      <c r="I1777" s="672"/>
      <c r="J1777" s="651"/>
      <c r="K1777" s="666" t="str">
        <f t="shared" ref="K1777" si="7730">W1777</f>
        <v/>
      </c>
      <c r="L1777" s="666" t="str">
        <f t="shared" ref="L1777" si="7731">V1777</f>
        <v/>
      </c>
      <c r="M1777" s="651"/>
      <c r="N1777" s="651"/>
      <c r="P1777" s="189">
        <f t="shared" ref="P1777" si="7732">IF(AND(EXACT(C1777,C1775),C1775&lt;&gt;0),P1775+1,0)</f>
        <v>178</v>
      </c>
      <c r="Q1777" s="189" t="str">
        <f t="shared" ref="Q1777" si="7733">IF(C1777&lt;&gt;"",C1777&amp;"-"&amp;P1777,"")</f>
        <v/>
      </c>
      <c r="R1777" s="189" t="str">
        <f t="array" ref="R1777">IFERROR(IF(INDEX('Disaggregation Records'!$E$155:$E$385,MATCH(RIGHT(Q1777,255),RIGHT('Disaggregation Records'!$D$155:$D$385,255),0))=0,"",INDEX('Disaggregation Records'!$E$155:$E$385,MATCH(RIGHT(Q1777,255),RIGHT('Disaggregation Records'!$D$155:$D$385,255),0))),"")</f>
        <v/>
      </c>
      <c r="S1777" s="189" t="str">
        <f t="array" ref="S1777">IFERROR(IF(INDEX('Disaggregation Records'!$F$155:$F$385,MATCH(RIGHT(Q1777,255),RIGHT('Disaggregation Records'!$D$155:$D$385,255),0))=0,"",INDEX('Disaggregation Records'!$F$155:$F$385,MATCH(RIGHT(Q1777,255),RIGHT('Disaggregation Records'!$D$155:$D$385,255),0))),"")</f>
        <v/>
      </c>
      <c r="T1777" s="189" t="str">
        <f t="array" ref="T1777">IFERROR(IF(INDEX('Disaggregation Records'!$H$155:$H$385,MATCH(RIGHT(Q1777,255),RIGHT('Disaggregation Records'!$D$155:$D$385,255),0))=0,"",INDEX('Disaggregation Records'!$H$155:$H$385,MATCH(RIGHT(Q1777,255),RIGHT('Disaggregation Records'!$D$155:$D$385,255),0))),"")</f>
        <v/>
      </c>
      <c r="U1777" s="189">
        <f t="shared" ref="U1777" si="7734">U1775+1</f>
        <v>1990</v>
      </c>
      <c r="V1777" s="189" t="str">
        <f t="array" ref="V1777">IFERROR(IF(INDEX('Disaggregation Records'!$I$155:$I$385,MATCH(RIGHT(Q1777,255),RIGHT('Disaggregation Records'!$D$155:$D$385,255),0))=0,"",INDEX('Disaggregation Records'!$I$155:$I$385,MATCH(RIGHT(Q1777,255),RIGHT('Disaggregation Records'!$D$155:$D$385,255),0))),"")</f>
        <v/>
      </c>
      <c r="W1777" s="189" t="str">
        <f>IFERROR(INDEX('Reference Records'!L$59:L$121,MATCH(LEFT(C1777,255),'Reference Records'!E$59:E$121,0)),"")</f>
        <v/>
      </c>
    </row>
    <row r="1778" spans="1:23" s="189" customFormat="1" ht="40.200000000000003" customHeight="1" x14ac:dyDescent="0.3">
      <c r="A1778" s="678"/>
      <c r="B1778" s="675"/>
      <c r="C1778" s="667"/>
      <c r="D1778" s="677"/>
      <c r="E1778" s="677"/>
      <c r="F1778" s="202"/>
      <c r="G1778" s="669"/>
      <c r="H1778" s="671"/>
      <c r="I1778" s="673"/>
      <c r="J1778" s="652"/>
      <c r="K1778" s="667"/>
      <c r="L1778" s="667"/>
      <c r="M1778" s="652"/>
      <c r="N1778" s="652"/>
    </row>
    <row r="1779" spans="1:23" s="189" customFormat="1" ht="40.200000000000003" customHeight="1" x14ac:dyDescent="0.3">
      <c r="A1779" s="678" t="str">
        <f t="shared" ref="A1779" ca="1" si="7735">INDIRECT("'update Helper'!C"&amp;U1779)</f>
        <v>a163p000002zQiiAAE</v>
      </c>
      <c r="B1779" s="674">
        <v>29</v>
      </c>
      <c r="C1779" s="666" t="str">
        <f>VLOOKUP(B1779,'Coverage Indicators - Section D'!$A$9:$AU$70,47,FALSE)</f>
        <v/>
      </c>
      <c r="D1779" s="676" t="str">
        <f t="shared" ref="D1779" si="7736">R1779</f>
        <v/>
      </c>
      <c r="E1779" s="676" t="str">
        <f t="shared" ref="E1779" si="7737">S1779</f>
        <v/>
      </c>
      <c r="F1779" s="194"/>
      <c r="G1779" s="668" t="str">
        <f t="shared" ref="G1779" ca="1" si="7738">IF(OR(INDIRECT("'update Helper'!E"&amp;U1779)=0,F1779&lt;&gt;0,F1780&lt;&gt;0),IF(IFERROR((F1779/F1780),"")="","",(F1779/F1780)),INDIRECT("'update Helper'!E"&amp;U1779)/100)</f>
        <v/>
      </c>
      <c r="H1779" s="670"/>
      <c r="I1779" s="672"/>
      <c r="J1779" s="651"/>
      <c r="K1779" s="666" t="str">
        <f t="shared" ref="K1779" si="7739">W1779</f>
        <v/>
      </c>
      <c r="L1779" s="666" t="str">
        <f t="shared" ref="L1779" si="7740">V1779</f>
        <v/>
      </c>
      <c r="M1779" s="651"/>
      <c r="N1779" s="651"/>
      <c r="P1779" s="189">
        <f t="shared" ref="P1779" si="7741">IF(AND(EXACT(C1779,C1777),C1777&lt;&gt;0),P1777+1,0)</f>
        <v>179</v>
      </c>
      <c r="Q1779" s="189" t="str">
        <f t="shared" ref="Q1779" si="7742">IF(C1779&lt;&gt;"",C1779&amp;"-"&amp;P1779,"")</f>
        <v/>
      </c>
      <c r="R1779" s="189" t="str">
        <f t="array" ref="R1779">IFERROR(IF(INDEX('Disaggregation Records'!$E$155:$E$385,MATCH(RIGHT(Q1779,255),RIGHT('Disaggregation Records'!$D$155:$D$385,255),0))=0,"",INDEX('Disaggregation Records'!$E$155:$E$385,MATCH(RIGHT(Q1779,255),RIGHT('Disaggregation Records'!$D$155:$D$385,255),0))),"")</f>
        <v/>
      </c>
      <c r="S1779" s="189" t="str">
        <f t="array" ref="S1779">IFERROR(IF(INDEX('Disaggregation Records'!$F$155:$F$385,MATCH(RIGHT(Q1779,255),RIGHT('Disaggregation Records'!$D$155:$D$385,255),0))=0,"",INDEX('Disaggregation Records'!$F$155:$F$385,MATCH(RIGHT(Q1779,255),RIGHT('Disaggregation Records'!$D$155:$D$385,255),0))),"")</f>
        <v/>
      </c>
      <c r="T1779" s="189" t="str">
        <f t="array" ref="T1779">IFERROR(IF(INDEX('Disaggregation Records'!$H$155:$H$385,MATCH(RIGHT(Q1779,255),RIGHT('Disaggregation Records'!$D$155:$D$385,255),0))=0,"",INDEX('Disaggregation Records'!$H$155:$H$385,MATCH(RIGHT(Q1779,255),RIGHT('Disaggregation Records'!$D$155:$D$385,255),0))),"")</f>
        <v/>
      </c>
      <c r="U1779" s="189">
        <f t="shared" ref="U1779" si="7743">U1777+1</f>
        <v>1991</v>
      </c>
      <c r="V1779" s="189" t="str">
        <f t="array" ref="V1779">IFERROR(IF(INDEX('Disaggregation Records'!$I$155:$I$385,MATCH(RIGHT(Q1779,255),RIGHT('Disaggregation Records'!$D$155:$D$385,255),0))=0,"",INDEX('Disaggregation Records'!$I$155:$I$385,MATCH(RIGHT(Q1779,255),RIGHT('Disaggregation Records'!$D$155:$D$385,255),0))),"")</f>
        <v/>
      </c>
      <c r="W1779" s="189" t="str">
        <f>IFERROR(INDEX('Reference Records'!L$59:L$121,MATCH(LEFT(C1779,255),'Reference Records'!E$59:E$121,0)),"")</f>
        <v/>
      </c>
    </row>
    <row r="1780" spans="1:23" s="189" customFormat="1" ht="40.200000000000003" customHeight="1" x14ac:dyDescent="0.3">
      <c r="A1780" s="678"/>
      <c r="B1780" s="675"/>
      <c r="C1780" s="667"/>
      <c r="D1780" s="677"/>
      <c r="E1780" s="677"/>
      <c r="F1780" s="202"/>
      <c r="G1780" s="669"/>
      <c r="H1780" s="671"/>
      <c r="I1780" s="673"/>
      <c r="J1780" s="652"/>
      <c r="K1780" s="667"/>
      <c r="L1780" s="667"/>
      <c r="M1780" s="652"/>
      <c r="N1780" s="652"/>
    </row>
    <row r="1781" spans="1:23" s="189" customFormat="1" ht="40.200000000000003" customHeight="1" x14ac:dyDescent="0.3">
      <c r="A1781" s="678" t="str">
        <f t="shared" ref="A1781" ca="1" si="7744">INDIRECT("'update Helper'!C"&amp;U1781)</f>
        <v>a163p000002zQijAAE</v>
      </c>
      <c r="B1781" s="674">
        <v>30</v>
      </c>
      <c r="C1781" s="666" t="str">
        <f ca="1">VLOOKUP(B1781,'Coverage Indicators - Section D'!$A$9:$AU$70,47,FALSE)</f>
        <v/>
      </c>
      <c r="D1781" s="676" t="str">
        <f t="shared" ref="D1781" ca="1" si="7745">R1781</f>
        <v/>
      </c>
      <c r="E1781" s="676" t="str">
        <f t="shared" ref="E1781" ca="1" si="7746">S1781</f>
        <v/>
      </c>
      <c r="F1781" s="194"/>
      <c r="G1781" s="668" t="str">
        <f t="shared" ref="G1781" ca="1" si="7747">IF(OR(INDIRECT("'update Helper'!E"&amp;U1781)=0,F1781&lt;&gt;0,F1782&lt;&gt;0),IF(IFERROR((F1781/F1782),"")="","",(F1781/F1782)),INDIRECT("'update Helper'!E"&amp;U1781)/100)</f>
        <v/>
      </c>
      <c r="H1781" s="670"/>
      <c r="I1781" s="672"/>
      <c r="J1781" s="651"/>
      <c r="K1781" s="666" t="str">
        <f t="shared" ref="K1781" ca="1" si="7748">W1781</f>
        <v/>
      </c>
      <c r="L1781" s="666" t="str">
        <f t="shared" ref="L1781" ca="1" si="7749">V1781</f>
        <v/>
      </c>
      <c r="M1781" s="651"/>
      <c r="N1781" s="651"/>
      <c r="P1781" s="189">
        <f t="shared" ref="P1781" ca="1" si="7750">IF(AND(EXACT(C1781,C1779),C1779&lt;&gt;0),P1779+1,0)</f>
        <v>180</v>
      </c>
      <c r="Q1781" s="189" t="str">
        <f t="shared" ref="Q1781" ca="1" si="7751">IF(C1781&lt;&gt;"",C1781&amp;"-"&amp;P1781,"")</f>
        <v/>
      </c>
      <c r="R1781" s="189" t="str">
        <f t="array" aca="1" ref="R1781" ca="1">IFERROR(IF(INDEX('Disaggregation Records'!$E$155:$E$385,MATCH(RIGHT(Q1781,255),RIGHT('Disaggregation Records'!$D$155:$D$385,255),0))=0,"",INDEX('Disaggregation Records'!$E$155:$E$385,MATCH(RIGHT(Q1781,255),RIGHT('Disaggregation Records'!$D$155:$D$385,255),0))),"")</f>
        <v/>
      </c>
      <c r="S1781" s="189" t="str">
        <f t="array" aca="1" ref="S1781" ca="1">IFERROR(IF(INDEX('Disaggregation Records'!$F$155:$F$385,MATCH(RIGHT(Q1781,255),RIGHT('Disaggregation Records'!$D$155:$D$385,255),0))=0,"",INDEX('Disaggregation Records'!$F$155:$F$385,MATCH(RIGHT(Q1781,255),RIGHT('Disaggregation Records'!$D$155:$D$385,255),0))),"")</f>
        <v/>
      </c>
      <c r="T1781" s="189" t="str">
        <f t="array" aca="1" ref="T1781" ca="1">IFERROR(IF(INDEX('Disaggregation Records'!$H$155:$H$385,MATCH(RIGHT(Q1781,255),RIGHT('Disaggregation Records'!$D$155:$D$385,255),0))=0,"",INDEX('Disaggregation Records'!$H$155:$H$385,MATCH(RIGHT(Q1781,255),RIGHT('Disaggregation Records'!$D$155:$D$385,255),0))),"")</f>
        <v/>
      </c>
      <c r="U1781" s="189">
        <f t="shared" ref="U1781" si="7752">U1779+1</f>
        <v>1992</v>
      </c>
      <c r="V1781" s="189" t="str">
        <f t="array" aca="1" ref="V1781" ca="1">IFERROR(IF(INDEX('Disaggregation Records'!$I$155:$I$385,MATCH(RIGHT(Q1781,255),RIGHT('Disaggregation Records'!$D$155:$D$385,255),0))=0,"",INDEX('Disaggregation Records'!$I$155:$I$385,MATCH(RIGHT(Q1781,255),RIGHT('Disaggregation Records'!$D$155:$D$385,255),0))),"")</f>
        <v/>
      </c>
      <c r="W1781" s="189" t="str">
        <f ca="1">IFERROR(INDEX('Reference Records'!L$59:L$121,MATCH(LEFT(C1781,255),'Reference Records'!E$59:E$121,0)),"")</f>
        <v/>
      </c>
    </row>
    <row r="1782" spans="1:23" s="189" customFormat="1" ht="40.200000000000003" customHeight="1" x14ac:dyDescent="0.3">
      <c r="A1782" s="678"/>
      <c r="B1782" s="675"/>
      <c r="C1782" s="667"/>
      <c r="D1782" s="677"/>
      <c r="E1782" s="677"/>
      <c r="F1782" s="202"/>
      <c r="G1782" s="669"/>
      <c r="H1782" s="671"/>
      <c r="I1782" s="673"/>
      <c r="J1782" s="652"/>
      <c r="K1782" s="667"/>
      <c r="L1782" s="667"/>
      <c r="M1782" s="652"/>
      <c r="N1782" s="652"/>
    </row>
    <row r="1783" spans="1:23" s="189" customFormat="1" ht="40.200000000000003" customHeight="1" x14ac:dyDescent="0.3">
      <c r="A1783" s="678" t="str">
        <f t="shared" ref="A1783" ca="1" si="7753">INDIRECT("'update Helper'!C"&amp;U1783)</f>
        <v>a163p000002zQikAAE</v>
      </c>
      <c r="B1783" s="674">
        <v>30</v>
      </c>
      <c r="C1783" s="666" t="str">
        <f ca="1">VLOOKUP(B1783,'Coverage Indicators - Section D'!$A$9:$AU$70,47,FALSE)</f>
        <v/>
      </c>
      <c r="D1783" s="676" t="str">
        <f t="shared" ref="D1783" ca="1" si="7754">R1783</f>
        <v/>
      </c>
      <c r="E1783" s="676" t="str">
        <f t="shared" ref="E1783" ca="1" si="7755">S1783</f>
        <v/>
      </c>
      <c r="F1783" s="194"/>
      <c r="G1783" s="668" t="str">
        <f t="shared" ref="G1783" ca="1" si="7756">IF(OR(INDIRECT("'update Helper'!E"&amp;U1783)=0,F1783&lt;&gt;0,F1784&lt;&gt;0),IF(IFERROR((F1783/F1784),"")="","",(F1783/F1784)),INDIRECT("'update Helper'!E"&amp;U1783)/100)</f>
        <v/>
      </c>
      <c r="H1783" s="670"/>
      <c r="I1783" s="672"/>
      <c r="J1783" s="651"/>
      <c r="K1783" s="666" t="str">
        <f t="shared" ref="K1783" ca="1" si="7757">W1783</f>
        <v/>
      </c>
      <c r="L1783" s="666" t="str">
        <f t="shared" ref="L1783" ca="1" si="7758">V1783</f>
        <v/>
      </c>
      <c r="M1783" s="651"/>
      <c r="N1783" s="651"/>
      <c r="P1783" s="189">
        <f t="shared" ref="P1783" ca="1" si="7759">IF(AND(EXACT(C1783,C1781),C1781&lt;&gt;0),P1781+1,0)</f>
        <v>181</v>
      </c>
      <c r="Q1783" s="189" t="str">
        <f t="shared" ref="Q1783" ca="1" si="7760">IF(C1783&lt;&gt;"",C1783&amp;"-"&amp;P1783,"")</f>
        <v/>
      </c>
      <c r="R1783" s="189" t="str">
        <f t="array" aca="1" ref="R1783" ca="1">IFERROR(IF(INDEX('Disaggregation Records'!$E$155:$E$385,MATCH(RIGHT(Q1783,255),RIGHT('Disaggregation Records'!$D$155:$D$385,255),0))=0,"",INDEX('Disaggregation Records'!$E$155:$E$385,MATCH(RIGHT(Q1783,255),RIGHT('Disaggregation Records'!$D$155:$D$385,255),0))),"")</f>
        <v/>
      </c>
      <c r="S1783" s="189" t="str">
        <f t="array" aca="1" ref="S1783" ca="1">IFERROR(IF(INDEX('Disaggregation Records'!$F$155:$F$385,MATCH(RIGHT(Q1783,255),RIGHT('Disaggregation Records'!$D$155:$D$385,255),0))=0,"",INDEX('Disaggregation Records'!$F$155:$F$385,MATCH(RIGHT(Q1783,255),RIGHT('Disaggregation Records'!$D$155:$D$385,255),0))),"")</f>
        <v/>
      </c>
      <c r="T1783" s="189" t="str">
        <f t="array" aca="1" ref="T1783" ca="1">IFERROR(IF(INDEX('Disaggregation Records'!$H$155:$H$385,MATCH(RIGHT(Q1783,255),RIGHT('Disaggregation Records'!$D$155:$D$385,255),0))=0,"",INDEX('Disaggregation Records'!$H$155:$H$385,MATCH(RIGHT(Q1783,255),RIGHT('Disaggregation Records'!$D$155:$D$385,255),0))),"")</f>
        <v/>
      </c>
      <c r="U1783" s="189">
        <f t="shared" ref="U1783" si="7761">U1781+1</f>
        <v>1993</v>
      </c>
      <c r="V1783" s="189" t="str">
        <f t="array" aca="1" ref="V1783" ca="1">IFERROR(IF(INDEX('Disaggregation Records'!$I$155:$I$385,MATCH(RIGHT(Q1783,255),RIGHT('Disaggregation Records'!$D$155:$D$385,255),0))=0,"",INDEX('Disaggregation Records'!$I$155:$I$385,MATCH(RIGHT(Q1783,255),RIGHT('Disaggregation Records'!$D$155:$D$385,255),0))),"")</f>
        <v/>
      </c>
      <c r="W1783" s="189" t="str">
        <f ca="1">IFERROR(INDEX('Reference Records'!L$59:L$121,MATCH(LEFT(C1783,255),'Reference Records'!E$59:E$121,0)),"")</f>
        <v/>
      </c>
    </row>
    <row r="1784" spans="1:23" s="189" customFormat="1" ht="40.200000000000003" customHeight="1" x14ac:dyDescent="0.3">
      <c r="A1784" s="678"/>
      <c r="B1784" s="675"/>
      <c r="C1784" s="667"/>
      <c r="D1784" s="677"/>
      <c r="E1784" s="677"/>
      <c r="F1784" s="202"/>
      <c r="G1784" s="669"/>
      <c r="H1784" s="671"/>
      <c r="I1784" s="673"/>
      <c r="J1784" s="652"/>
      <c r="K1784" s="667"/>
      <c r="L1784" s="667"/>
      <c r="M1784" s="652"/>
      <c r="N1784" s="652"/>
    </row>
    <row r="1785" spans="1:23" s="189" customFormat="1" ht="40.200000000000003" customHeight="1" x14ac:dyDescent="0.3">
      <c r="A1785" s="678" t="str">
        <f t="shared" ref="A1785" ca="1" si="7762">INDIRECT("'update Helper'!C"&amp;U1785)</f>
        <v>a163p000002zQilAAE</v>
      </c>
      <c r="B1785" s="674">
        <v>30</v>
      </c>
      <c r="C1785" s="666" t="str">
        <f ca="1">VLOOKUP(B1785,'Coverage Indicators - Section D'!$A$9:$AU$70,47,FALSE)</f>
        <v/>
      </c>
      <c r="D1785" s="676" t="str">
        <f t="shared" ref="D1785" ca="1" si="7763">R1785</f>
        <v/>
      </c>
      <c r="E1785" s="676" t="str">
        <f t="shared" ref="E1785" ca="1" si="7764">S1785</f>
        <v/>
      </c>
      <c r="F1785" s="194"/>
      <c r="G1785" s="668" t="str">
        <f t="shared" ref="G1785" ca="1" si="7765">IF(OR(INDIRECT("'update Helper'!E"&amp;U1785)=0,F1785&lt;&gt;0,F1786&lt;&gt;0),IF(IFERROR((F1785/F1786),"")="","",(F1785/F1786)),INDIRECT("'update Helper'!E"&amp;U1785)/100)</f>
        <v/>
      </c>
      <c r="H1785" s="670"/>
      <c r="I1785" s="672"/>
      <c r="J1785" s="651"/>
      <c r="K1785" s="666" t="str">
        <f t="shared" ref="K1785" ca="1" si="7766">W1785</f>
        <v/>
      </c>
      <c r="L1785" s="666" t="str">
        <f t="shared" ref="L1785" ca="1" si="7767">V1785</f>
        <v/>
      </c>
      <c r="M1785" s="651"/>
      <c r="N1785" s="651"/>
      <c r="P1785" s="189">
        <f t="shared" ref="P1785" ca="1" si="7768">IF(AND(EXACT(C1785,C1783),C1783&lt;&gt;0),P1783+1,0)</f>
        <v>182</v>
      </c>
      <c r="Q1785" s="189" t="str">
        <f t="shared" ref="Q1785" ca="1" si="7769">IF(C1785&lt;&gt;"",C1785&amp;"-"&amp;P1785,"")</f>
        <v/>
      </c>
      <c r="R1785" s="189" t="str">
        <f t="array" aca="1" ref="R1785" ca="1">IFERROR(IF(INDEX('Disaggregation Records'!$E$155:$E$385,MATCH(RIGHT(Q1785,255),RIGHT('Disaggregation Records'!$D$155:$D$385,255),0))=0,"",INDEX('Disaggregation Records'!$E$155:$E$385,MATCH(RIGHT(Q1785,255),RIGHT('Disaggregation Records'!$D$155:$D$385,255),0))),"")</f>
        <v/>
      </c>
      <c r="S1785" s="189" t="str">
        <f t="array" aca="1" ref="S1785" ca="1">IFERROR(IF(INDEX('Disaggregation Records'!$F$155:$F$385,MATCH(RIGHT(Q1785,255),RIGHT('Disaggregation Records'!$D$155:$D$385,255),0))=0,"",INDEX('Disaggregation Records'!$F$155:$F$385,MATCH(RIGHT(Q1785,255),RIGHT('Disaggregation Records'!$D$155:$D$385,255),0))),"")</f>
        <v/>
      </c>
      <c r="T1785" s="189" t="str">
        <f t="array" aca="1" ref="T1785" ca="1">IFERROR(IF(INDEX('Disaggregation Records'!$H$155:$H$385,MATCH(RIGHT(Q1785,255),RIGHT('Disaggregation Records'!$D$155:$D$385,255),0))=0,"",INDEX('Disaggregation Records'!$H$155:$H$385,MATCH(RIGHT(Q1785,255),RIGHT('Disaggregation Records'!$D$155:$D$385,255),0))),"")</f>
        <v/>
      </c>
      <c r="U1785" s="189">
        <f t="shared" ref="U1785" si="7770">U1783+1</f>
        <v>1994</v>
      </c>
      <c r="V1785" s="189" t="str">
        <f t="array" aca="1" ref="V1785" ca="1">IFERROR(IF(INDEX('Disaggregation Records'!$I$155:$I$385,MATCH(RIGHT(Q1785,255),RIGHT('Disaggregation Records'!$D$155:$D$385,255),0))=0,"",INDEX('Disaggregation Records'!$I$155:$I$385,MATCH(RIGHT(Q1785,255),RIGHT('Disaggregation Records'!$D$155:$D$385,255),0))),"")</f>
        <v/>
      </c>
      <c r="W1785" s="189" t="str">
        <f ca="1">IFERROR(INDEX('Reference Records'!L$59:L$121,MATCH(LEFT(C1785,255),'Reference Records'!E$59:E$121,0)),"")</f>
        <v/>
      </c>
    </row>
    <row r="1786" spans="1:23" s="189" customFormat="1" ht="40.200000000000003" customHeight="1" x14ac:dyDescent="0.3">
      <c r="A1786" s="678"/>
      <c r="B1786" s="675"/>
      <c r="C1786" s="667"/>
      <c r="D1786" s="677"/>
      <c r="E1786" s="677"/>
      <c r="F1786" s="202"/>
      <c r="G1786" s="669"/>
      <c r="H1786" s="671"/>
      <c r="I1786" s="673"/>
      <c r="J1786" s="652"/>
      <c r="K1786" s="667"/>
      <c r="L1786" s="667"/>
      <c r="M1786" s="652"/>
      <c r="N1786" s="652"/>
    </row>
    <row r="1787" spans="1:23" s="189" customFormat="1" ht="40.200000000000003" customHeight="1" x14ac:dyDescent="0.3">
      <c r="A1787" s="678" t="str">
        <f t="shared" ref="A1787" ca="1" si="7771">INDIRECT("'update Helper'!C"&amp;U1787)</f>
        <v>a163p000002zQimAAE</v>
      </c>
      <c r="B1787" s="674">
        <v>30</v>
      </c>
      <c r="C1787" s="666" t="str">
        <f ca="1">VLOOKUP(B1787,'Coverage Indicators - Section D'!$A$9:$AU$70,47,FALSE)</f>
        <v/>
      </c>
      <c r="D1787" s="676" t="str">
        <f t="shared" ref="D1787" ca="1" si="7772">R1787</f>
        <v/>
      </c>
      <c r="E1787" s="676" t="str">
        <f t="shared" ref="E1787" ca="1" si="7773">S1787</f>
        <v/>
      </c>
      <c r="F1787" s="194"/>
      <c r="G1787" s="668" t="str">
        <f t="shared" ref="G1787" ca="1" si="7774">IF(OR(INDIRECT("'update Helper'!E"&amp;U1787)=0,F1787&lt;&gt;0,F1788&lt;&gt;0),IF(IFERROR((F1787/F1788),"")="","",(F1787/F1788)),INDIRECT("'update Helper'!E"&amp;U1787)/100)</f>
        <v/>
      </c>
      <c r="H1787" s="670"/>
      <c r="I1787" s="672"/>
      <c r="J1787" s="651"/>
      <c r="K1787" s="666" t="str">
        <f t="shared" ref="K1787" ca="1" si="7775">W1787</f>
        <v/>
      </c>
      <c r="L1787" s="666" t="str">
        <f t="shared" ref="L1787" ca="1" si="7776">V1787</f>
        <v/>
      </c>
      <c r="M1787" s="651"/>
      <c r="N1787" s="651"/>
      <c r="P1787" s="189">
        <f t="shared" ref="P1787" ca="1" si="7777">IF(AND(EXACT(C1787,C1785),C1785&lt;&gt;0),P1785+1,0)</f>
        <v>183</v>
      </c>
      <c r="Q1787" s="189" t="str">
        <f t="shared" ref="Q1787" ca="1" si="7778">IF(C1787&lt;&gt;"",C1787&amp;"-"&amp;P1787,"")</f>
        <v/>
      </c>
      <c r="R1787" s="189" t="str">
        <f t="array" aca="1" ref="R1787" ca="1">IFERROR(IF(INDEX('Disaggregation Records'!$E$155:$E$385,MATCH(RIGHT(Q1787,255),RIGHT('Disaggregation Records'!$D$155:$D$385,255),0))=0,"",INDEX('Disaggregation Records'!$E$155:$E$385,MATCH(RIGHT(Q1787,255),RIGHT('Disaggregation Records'!$D$155:$D$385,255),0))),"")</f>
        <v/>
      </c>
      <c r="S1787" s="189" t="str">
        <f t="array" aca="1" ref="S1787" ca="1">IFERROR(IF(INDEX('Disaggregation Records'!$F$155:$F$385,MATCH(RIGHT(Q1787,255),RIGHT('Disaggregation Records'!$D$155:$D$385,255),0))=0,"",INDEX('Disaggregation Records'!$F$155:$F$385,MATCH(RIGHT(Q1787,255),RIGHT('Disaggregation Records'!$D$155:$D$385,255),0))),"")</f>
        <v/>
      </c>
      <c r="T1787" s="189" t="str">
        <f t="array" aca="1" ref="T1787" ca="1">IFERROR(IF(INDEX('Disaggregation Records'!$H$155:$H$385,MATCH(RIGHT(Q1787,255),RIGHT('Disaggregation Records'!$D$155:$D$385,255),0))=0,"",INDEX('Disaggregation Records'!$H$155:$H$385,MATCH(RIGHT(Q1787,255),RIGHT('Disaggregation Records'!$D$155:$D$385,255),0))),"")</f>
        <v/>
      </c>
      <c r="U1787" s="189">
        <f t="shared" ref="U1787" si="7779">U1785+1</f>
        <v>1995</v>
      </c>
      <c r="V1787" s="189" t="str">
        <f t="array" aca="1" ref="V1787" ca="1">IFERROR(IF(INDEX('Disaggregation Records'!$I$155:$I$385,MATCH(RIGHT(Q1787,255),RIGHT('Disaggregation Records'!$D$155:$D$385,255),0))=0,"",INDEX('Disaggregation Records'!$I$155:$I$385,MATCH(RIGHT(Q1787,255),RIGHT('Disaggregation Records'!$D$155:$D$385,255),0))),"")</f>
        <v/>
      </c>
      <c r="W1787" s="189" t="str">
        <f ca="1">IFERROR(INDEX('Reference Records'!L$59:L$121,MATCH(LEFT(C1787,255),'Reference Records'!E$59:E$121,0)),"")</f>
        <v/>
      </c>
    </row>
    <row r="1788" spans="1:23" s="189" customFormat="1" ht="40.200000000000003" customHeight="1" x14ac:dyDescent="0.3">
      <c r="A1788" s="678"/>
      <c r="B1788" s="675"/>
      <c r="C1788" s="667"/>
      <c r="D1788" s="677"/>
      <c r="E1788" s="677"/>
      <c r="F1788" s="202"/>
      <c r="G1788" s="669"/>
      <c r="H1788" s="671"/>
      <c r="I1788" s="673"/>
      <c r="J1788" s="652"/>
      <c r="K1788" s="667"/>
      <c r="L1788" s="667"/>
      <c r="M1788" s="652"/>
      <c r="N1788" s="652"/>
    </row>
    <row r="1789" spans="1:23" s="189" customFormat="1" ht="40.200000000000003" customHeight="1" x14ac:dyDescent="0.3">
      <c r="A1789" s="678" t="str">
        <f t="shared" ref="A1789" ca="1" si="7780">INDIRECT("'update Helper'!C"&amp;U1789)</f>
        <v>a163p000002zQinAAE</v>
      </c>
      <c r="B1789" s="674">
        <v>30</v>
      </c>
      <c r="C1789" s="666" t="str">
        <f ca="1">VLOOKUP(B1789,'Coverage Indicators - Section D'!$A$9:$AU$70,47,FALSE)</f>
        <v/>
      </c>
      <c r="D1789" s="676" t="str">
        <f t="shared" ref="D1789" ca="1" si="7781">R1789</f>
        <v/>
      </c>
      <c r="E1789" s="676" t="str">
        <f t="shared" ref="E1789" ca="1" si="7782">S1789</f>
        <v/>
      </c>
      <c r="F1789" s="194"/>
      <c r="G1789" s="668" t="str">
        <f t="shared" ref="G1789" ca="1" si="7783">IF(OR(INDIRECT("'update Helper'!E"&amp;U1789)=0,F1789&lt;&gt;0,F1790&lt;&gt;0),IF(IFERROR((F1789/F1790),"")="","",(F1789/F1790)),INDIRECT("'update Helper'!E"&amp;U1789)/100)</f>
        <v/>
      </c>
      <c r="H1789" s="670"/>
      <c r="I1789" s="672"/>
      <c r="J1789" s="651"/>
      <c r="K1789" s="666" t="str">
        <f t="shared" ref="K1789" ca="1" si="7784">W1789</f>
        <v/>
      </c>
      <c r="L1789" s="666" t="str">
        <f t="shared" ref="L1789" ca="1" si="7785">V1789</f>
        <v/>
      </c>
      <c r="M1789" s="651"/>
      <c r="N1789" s="651"/>
      <c r="P1789" s="189">
        <f t="shared" ref="P1789" ca="1" si="7786">IF(AND(EXACT(C1789,C1787),C1787&lt;&gt;0),P1787+1,0)</f>
        <v>184</v>
      </c>
      <c r="Q1789" s="189" t="str">
        <f t="shared" ref="Q1789" ca="1" si="7787">IF(C1789&lt;&gt;"",C1789&amp;"-"&amp;P1789,"")</f>
        <v/>
      </c>
      <c r="R1789" s="189" t="str">
        <f t="array" aca="1" ref="R1789" ca="1">IFERROR(IF(INDEX('Disaggregation Records'!$E$155:$E$385,MATCH(RIGHT(Q1789,255),RIGHT('Disaggregation Records'!$D$155:$D$385,255),0))=0,"",INDEX('Disaggregation Records'!$E$155:$E$385,MATCH(RIGHT(Q1789,255),RIGHT('Disaggregation Records'!$D$155:$D$385,255),0))),"")</f>
        <v/>
      </c>
      <c r="S1789" s="189" t="str">
        <f t="array" aca="1" ref="S1789" ca="1">IFERROR(IF(INDEX('Disaggregation Records'!$F$155:$F$385,MATCH(RIGHT(Q1789,255),RIGHT('Disaggregation Records'!$D$155:$D$385,255),0))=0,"",INDEX('Disaggregation Records'!$F$155:$F$385,MATCH(RIGHT(Q1789,255),RIGHT('Disaggregation Records'!$D$155:$D$385,255),0))),"")</f>
        <v/>
      </c>
      <c r="T1789" s="189" t="str">
        <f t="array" aca="1" ref="T1789" ca="1">IFERROR(IF(INDEX('Disaggregation Records'!$H$155:$H$385,MATCH(RIGHT(Q1789,255),RIGHT('Disaggregation Records'!$D$155:$D$385,255),0))=0,"",INDEX('Disaggregation Records'!$H$155:$H$385,MATCH(RIGHT(Q1789,255),RIGHT('Disaggregation Records'!$D$155:$D$385,255),0))),"")</f>
        <v/>
      </c>
      <c r="U1789" s="189">
        <f t="shared" ref="U1789" si="7788">U1787+1</f>
        <v>1996</v>
      </c>
      <c r="V1789" s="189" t="str">
        <f t="array" aca="1" ref="V1789" ca="1">IFERROR(IF(INDEX('Disaggregation Records'!$I$155:$I$385,MATCH(RIGHT(Q1789,255),RIGHT('Disaggregation Records'!$D$155:$D$385,255),0))=0,"",INDEX('Disaggregation Records'!$I$155:$I$385,MATCH(RIGHT(Q1789,255),RIGHT('Disaggregation Records'!$D$155:$D$385,255),0))),"")</f>
        <v/>
      </c>
      <c r="W1789" s="189" t="str">
        <f ca="1">IFERROR(INDEX('Reference Records'!L$59:L$121,MATCH(LEFT(C1789,255),'Reference Records'!E$59:E$121,0)),"")</f>
        <v/>
      </c>
    </row>
    <row r="1790" spans="1:23" s="189" customFormat="1" ht="40.200000000000003" customHeight="1" x14ac:dyDescent="0.3">
      <c r="A1790" s="678"/>
      <c r="B1790" s="675"/>
      <c r="C1790" s="667"/>
      <c r="D1790" s="677"/>
      <c r="E1790" s="677"/>
      <c r="F1790" s="202"/>
      <c r="G1790" s="669"/>
      <c r="H1790" s="671"/>
      <c r="I1790" s="673"/>
      <c r="J1790" s="652"/>
      <c r="K1790" s="667"/>
      <c r="L1790" s="667"/>
      <c r="M1790" s="652"/>
      <c r="N1790" s="652"/>
    </row>
    <row r="1791" spans="1:23" s="189" customFormat="1" ht="40.200000000000003" customHeight="1" x14ac:dyDescent="0.3">
      <c r="A1791" s="678" t="str">
        <f t="shared" ref="A1791" ca="1" si="7789">INDIRECT("'update Helper'!C"&amp;U1791)</f>
        <v>a163p000002zQioAAE</v>
      </c>
      <c r="B1791" s="674">
        <v>30</v>
      </c>
      <c r="C1791" s="666" t="str">
        <f ca="1">VLOOKUP(B1791,'Coverage Indicators - Section D'!$A$9:$AU$70,47,FALSE)</f>
        <v/>
      </c>
      <c r="D1791" s="676" t="str">
        <f t="shared" ref="D1791" ca="1" si="7790">R1791</f>
        <v/>
      </c>
      <c r="E1791" s="676" t="str">
        <f t="shared" ref="E1791" ca="1" si="7791">S1791</f>
        <v/>
      </c>
      <c r="F1791" s="194"/>
      <c r="G1791" s="668" t="str">
        <f t="shared" ref="G1791" ca="1" si="7792">IF(OR(INDIRECT("'update Helper'!E"&amp;U1791)=0,F1791&lt;&gt;0,F1792&lt;&gt;0),IF(IFERROR((F1791/F1792),"")="","",(F1791/F1792)),INDIRECT("'update Helper'!E"&amp;U1791)/100)</f>
        <v/>
      </c>
      <c r="H1791" s="670"/>
      <c r="I1791" s="672"/>
      <c r="J1791" s="651"/>
      <c r="K1791" s="666" t="str">
        <f t="shared" ref="K1791" ca="1" si="7793">W1791</f>
        <v/>
      </c>
      <c r="L1791" s="666" t="str">
        <f t="shared" ref="L1791" ca="1" si="7794">V1791</f>
        <v/>
      </c>
      <c r="M1791" s="651"/>
      <c r="N1791" s="651"/>
      <c r="P1791" s="189">
        <f t="shared" ref="P1791" ca="1" si="7795">IF(AND(EXACT(C1791,C1789),C1789&lt;&gt;0),P1789+1,0)</f>
        <v>185</v>
      </c>
      <c r="Q1791" s="189" t="str">
        <f t="shared" ref="Q1791" ca="1" si="7796">IF(C1791&lt;&gt;"",C1791&amp;"-"&amp;P1791,"")</f>
        <v/>
      </c>
      <c r="R1791" s="189" t="str">
        <f t="array" aca="1" ref="R1791" ca="1">IFERROR(IF(INDEX('Disaggregation Records'!$E$155:$E$385,MATCH(RIGHT(Q1791,255),RIGHT('Disaggregation Records'!$D$155:$D$385,255),0))=0,"",INDEX('Disaggregation Records'!$E$155:$E$385,MATCH(RIGHT(Q1791,255),RIGHT('Disaggregation Records'!$D$155:$D$385,255),0))),"")</f>
        <v/>
      </c>
      <c r="S1791" s="189" t="str">
        <f t="array" aca="1" ref="S1791" ca="1">IFERROR(IF(INDEX('Disaggregation Records'!$F$155:$F$385,MATCH(RIGHT(Q1791,255),RIGHT('Disaggregation Records'!$D$155:$D$385,255),0))=0,"",INDEX('Disaggregation Records'!$F$155:$F$385,MATCH(RIGHT(Q1791,255),RIGHT('Disaggregation Records'!$D$155:$D$385,255),0))),"")</f>
        <v/>
      </c>
      <c r="T1791" s="189" t="str">
        <f t="array" aca="1" ref="T1791" ca="1">IFERROR(IF(INDEX('Disaggregation Records'!$H$155:$H$385,MATCH(RIGHT(Q1791,255),RIGHT('Disaggregation Records'!$D$155:$D$385,255),0))=0,"",INDEX('Disaggregation Records'!$H$155:$H$385,MATCH(RIGHT(Q1791,255),RIGHT('Disaggregation Records'!$D$155:$D$385,255),0))),"")</f>
        <v/>
      </c>
      <c r="U1791" s="189">
        <f t="shared" ref="U1791" si="7797">U1789+1</f>
        <v>1997</v>
      </c>
      <c r="V1791" s="189" t="str">
        <f t="array" aca="1" ref="V1791" ca="1">IFERROR(IF(INDEX('Disaggregation Records'!$I$155:$I$385,MATCH(RIGHT(Q1791,255),RIGHT('Disaggregation Records'!$D$155:$D$385,255),0))=0,"",INDEX('Disaggregation Records'!$I$155:$I$385,MATCH(RIGHT(Q1791,255),RIGHT('Disaggregation Records'!$D$155:$D$385,255),0))),"")</f>
        <v/>
      </c>
      <c r="W1791" s="189" t="str">
        <f ca="1">IFERROR(INDEX('Reference Records'!L$59:L$121,MATCH(LEFT(C1791,255),'Reference Records'!E$59:E$121,0)),"")</f>
        <v/>
      </c>
    </row>
    <row r="1792" spans="1:23" s="189" customFormat="1" ht="40.200000000000003" customHeight="1" x14ac:dyDescent="0.3">
      <c r="A1792" s="678"/>
      <c r="B1792" s="675"/>
      <c r="C1792" s="667"/>
      <c r="D1792" s="677"/>
      <c r="E1792" s="677"/>
      <c r="F1792" s="202"/>
      <c r="G1792" s="669"/>
      <c r="H1792" s="671"/>
      <c r="I1792" s="673"/>
      <c r="J1792" s="652"/>
      <c r="K1792" s="667"/>
      <c r="L1792" s="667"/>
      <c r="M1792" s="652"/>
      <c r="N1792" s="652"/>
    </row>
    <row r="1793" spans="1:23" s="189" customFormat="1" ht="40.200000000000003" customHeight="1" x14ac:dyDescent="0.3">
      <c r="A1793" s="678" t="str">
        <f t="shared" ref="A1793" ca="1" si="7798">INDIRECT("'update Helper'!C"&amp;U1793)</f>
        <v>a163p000002zQipAAE</v>
      </c>
      <c r="B1793" s="674">
        <v>30</v>
      </c>
      <c r="C1793" s="666" t="str">
        <f ca="1">VLOOKUP(B1793,'Coverage Indicators - Section D'!$A$9:$AU$70,47,FALSE)</f>
        <v/>
      </c>
      <c r="D1793" s="676" t="str">
        <f t="shared" ref="D1793" ca="1" si="7799">R1793</f>
        <v/>
      </c>
      <c r="E1793" s="676" t="str">
        <f t="shared" ref="E1793" ca="1" si="7800">S1793</f>
        <v/>
      </c>
      <c r="F1793" s="194"/>
      <c r="G1793" s="668" t="str">
        <f t="shared" ref="G1793" ca="1" si="7801">IF(OR(INDIRECT("'update Helper'!E"&amp;U1793)=0,F1793&lt;&gt;0,F1794&lt;&gt;0),IF(IFERROR((F1793/F1794),"")="","",(F1793/F1794)),INDIRECT("'update Helper'!E"&amp;U1793)/100)</f>
        <v/>
      </c>
      <c r="H1793" s="670"/>
      <c r="I1793" s="672"/>
      <c r="J1793" s="651"/>
      <c r="K1793" s="666" t="str">
        <f t="shared" ref="K1793" ca="1" si="7802">W1793</f>
        <v/>
      </c>
      <c r="L1793" s="666" t="str">
        <f t="shared" ref="L1793" ca="1" si="7803">V1793</f>
        <v/>
      </c>
      <c r="M1793" s="651"/>
      <c r="N1793" s="651"/>
      <c r="P1793" s="189">
        <f t="shared" ref="P1793" ca="1" si="7804">IF(AND(EXACT(C1793,C1791),C1791&lt;&gt;0),P1791+1,0)</f>
        <v>186</v>
      </c>
      <c r="Q1793" s="189" t="str">
        <f t="shared" ref="Q1793" ca="1" si="7805">IF(C1793&lt;&gt;"",C1793&amp;"-"&amp;P1793,"")</f>
        <v/>
      </c>
      <c r="R1793" s="189" t="str">
        <f t="array" aca="1" ref="R1793" ca="1">IFERROR(IF(INDEX('Disaggregation Records'!$E$155:$E$385,MATCH(RIGHT(Q1793,255),RIGHT('Disaggregation Records'!$D$155:$D$385,255),0))=0,"",INDEX('Disaggregation Records'!$E$155:$E$385,MATCH(RIGHT(Q1793,255),RIGHT('Disaggregation Records'!$D$155:$D$385,255),0))),"")</f>
        <v/>
      </c>
      <c r="S1793" s="189" t="str">
        <f t="array" aca="1" ref="S1793" ca="1">IFERROR(IF(INDEX('Disaggregation Records'!$F$155:$F$385,MATCH(RIGHT(Q1793,255),RIGHT('Disaggregation Records'!$D$155:$D$385,255),0))=0,"",INDEX('Disaggregation Records'!$F$155:$F$385,MATCH(RIGHT(Q1793,255),RIGHT('Disaggregation Records'!$D$155:$D$385,255),0))),"")</f>
        <v/>
      </c>
      <c r="T1793" s="189" t="str">
        <f t="array" aca="1" ref="T1793" ca="1">IFERROR(IF(INDEX('Disaggregation Records'!$H$155:$H$385,MATCH(RIGHT(Q1793,255),RIGHT('Disaggregation Records'!$D$155:$D$385,255),0))=0,"",INDEX('Disaggregation Records'!$H$155:$H$385,MATCH(RIGHT(Q1793,255),RIGHT('Disaggregation Records'!$D$155:$D$385,255),0))),"")</f>
        <v/>
      </c>
      <c r="U1793" s="189">
        <f t="shared" ref="U1793" si="7806">U1791+1</f>
        <v>1998</v>
      </c>
      <c r="V1793" s="189" t="str">
        <f t="array" aca="1" ref="V1793" ca="1">IFERROR(IF(INDEX('Disaggregation Records'!$I$155:$I$385,MATCH(RIGHT(Q1793,255),RIGHT('Disaggregation Records'!$D$155:$D$385,255),0))=0,"",INDEX('Disaggregation Records'!$I$155:$I$385,MATCH(RIGHT(Q1793,255),RIGHT('Disaggregation Records'!$D$155:$D$385,255),0))),"")</f>
        <v/>
      </c>
      <c r="W1793" s="189" t="str">
        <f ca="1">IFERROR(INDEX('Reference Records'!L$59:L$121,MATCH(LEFT(C1793,255),'Reference Records'!E$59:E$121,0)),"")</f>
        <v/>
      </c>
    </row>
    <row r="1794" spans="1:23" s="189" customFormat="1" ht="40.200000000000003" customHeight="1" x14ac:dyDescent="0.3">
      <c r="A1794" s="678"/>
      <c r="B1794" s="675"/>
      <c r="C1794" s="667"/>
      <c r="D1794" s="677"/>
      <c r="E1794" s="677"/>
      <c r="F1794" s="202"/>
      <c r="G1794" s="669"/>
      <c r="H1794" s="671"/>
      <c r="I1794" s="673"/>
      <c r="J1794" s="652"/>
      <c r="K1794" s="667"/>
      <c r="L1794" s="667"/>
      <c r="M1794" s="652"/>
      <c r="N1794" s="652"/>
    </row>
    <row r="1795" spans="1:23" s="189" customFormat="1" ht="40.200000000000003" customHeight="1" x14ac:dyDescent="0.3">
      <c r="A1795" s="678" t="str">
        <f t="shared" ref="A1795" ca="1" si="7807">INDIRECT("'update Helper'!C"&amp;U1795)</f>
        <v>a163p000002zQiqAAE</v>
      </c>
      <c r="B1795" s="674">
        <v>30</v>
      </c>
      <c r="C1795" s="666" t="str">
        <f ca="1">VLOOKUP(B1795,'Coverage Indicators - Section D'!$A$9:$AU$70,47,FALSE)</f>
        <v/>
      </c>
      <c r="D1795" s="676" t="str">
        <f t="shared" ref="D1795" ca="1" si="7808">R1795</f>
        <v/>
      </c>
      <c r="E1795" s="676" t="str">
        <f t="shared" ref="E1795" ca="1" si="7809">S1795</f>
        <v/>
      </c>
      <c r="F1795" s="194"/>
      <c r="G1795" s="668" t="str">
        <f t="shared" ref="G1795" ca="1" si="7810">IF(OR(INDIRECT("'update Helper'!E"&amp;U1795)=0,F1795&lt;&gt;0,F1796&lt;&gt;0),IF(IFERROR((F1795/F1796),"")="","",(F1795/F1796)),INDIRECT("'update Helper'!E"&amp;U1795)/100)</f>
        <v/>
      </c>
      <c r="H1795" s="670"/>
      <c r="I1795" s="672"/>
      <c r="J1795" s="651"/>
      <c r="K1795" s="666" t="str">
        <f t="shared" ref="K1795" ca="1" si="7811">W1795</f>
        <v/>
      </c>
      <c r="L1795" s="666" t="str">
        <f t="shared" ref="L1795" ca="1" si="7812">V1795</f>
        <v/>
      </c>
      <c r="M1795" s="651"/>
      <c r="N1795" s="651"/>
      <c r="P1795" s="189">
        <f t="shared" ref="P1795" ca="1" si="7813">IF(AND(EXACT(C1795,C1793),C1793&lt;&gt;0),P1793+1,0)</f>
        <v>187</v>
      </c>
      <c r="Q1795" s="189" t="str">
        <f t="shared" ref="Q1795" ca="1" si="7814">IF(C1795&lt;&gt;"",C1795&amp;"-"&amp;P1795,"")</f>
        <v/>
      </c>
      <c r="R1795" s="189" t="str">
        <f t="array" aca="1" ref="R1795" ca="1">IFERROR(IF(INDEX('Disaggregation Records'!$E$155:$E$385,MATCH(RIGHT(Q1795,255),RIGHT('Disaggregation Records'!$D$155:$D$385,255),0))=0,"",INDEX('Disaggregation Records'!$E$155:$E$385,MATCH(RIGHT(Q1795,255),RIGHT('Disaggregation Records'!$D$155:$D$385,255),0))),"")</f>
        <v/>
      </c>
      <c r="S1795" s="189" t="str">
        <f t="array" aca="1" ref="S1795" ca="1">IFERROR(IF(INDEX('Disaggregation Records'!$F$155:$F$385,MATCH(RIGHT(Q1795,255),RIGHT('Disaggregation Records'!$D$155:$D$385,255),0))=0,"",INDEX('Disaggregation Records'!$F$155:$F$385,MATCH(RIGHT(Q1795,255),RIGHT('Disaggregation Records'!$D$155:$D$385,255),0))),"")</f>
        <v/>
      </c>
      <c r="T1795" s="189" t="str">
        <f t="array" aca="1" ref="T1795" ca="1">IFERROR(IF(INDEX('Disaggregation Records'!$H$155:$H$385,MATCH(RIGHT(Q1795,255),RIGHT('Disaggregation Records'!$D$155:$D$385,255),0))=0,"",INDEX('Disaggregation Records'!$H$155:$H$385,MATCH(RIGHT(Q1795,255),RIGHT('Disaggregation Records'!$D$155:$D$385,255),0))),"")</f>
        <v/>
      </c>
      <c r="U1795" s="189">
        <f t="shared" ref="U1795" si="7815">U1793+1</f>
        <v>1999</v>
      </c>
      <c r="V1795" s="189" t="str">
        <f t="array" aca="1" ref="V1795" ca="1">IFERROR(IF(INDEX('Disaggregation Records'!$I$155:$I$385,MATCH(RIGHT(Q1795,255),RIGHT('Disaggregation Records'!$D$155:$D$385,255),0))=0,"",INDEX('Disaggregation Records'!$I$155:$I$385,MATCH(RIGHT(Q1795,255),RIGHT('Disaggregation Records'!$D$155:$D$385,255),0))),"")</f>
        <v/>
      </c>
      <c r="W1795" s="189" t="str">
        <f ca="1">IFERROR(INDEX('Reference Records'!L$59:L$121,MATCH(LEFT(C1795,255),'Reference Records'!E$59:E$121,0)),"")</f>
        <v/>
      </c>
    </row>
    <row r="1796" spans="1:23" s="189" customFormat="1" ht="40.200000000000003" customHeight="1" x14ac:dyDescent="0.3">
      <c r="A1796" s="678"/>
      <c r="B1796" s="675"/>
      <c r="C1796" s="667"/>
      <c r="D1796" s="677"/>
      <c r="E1796" s="677"/>
      <c r="F1796" s="202"/>
      <c r="G1796" s="669"/>
      <c r="H1796" s="671"/>
      <c r="I1796" s="673"/>
      <c r="J1796" s="652"/>
      <c r="K1796" s="667"/>
      <c r="L1796" s="667"/>
      <c r="M1796" s="652"/>
      <c r="N1796" s="652"/>
    </row>
    <row r="1797" spans="1:23" s="189" customFormat="1" ht="40.200000000000003" customHeight="1" x14ac:dyDescent="0.3">
      <c r="A1797" s="678" t="str">
        <f t="shared" ref="A1797" ca="1" si="7816">INDIRECT("'update Helper'!C"&amp;U1797)</f>
        <v>a163p000002zQirAAE</v>
      </c>
      <c r="B1797" s="674">
        <v>30</v>
      </c>
      <c r="C1797" s="666" t="str">
        <f ca="1">VLOOKUP(B1797,'Coverage Indicators - Section D'!$A$9:$AU$70,47,FALSE)</f>
        <v/>
      </c>
      <c r="D1797" s="676" t="str">
        <f t="shared" ref="D1797" ca="1" si="7817">R1797</f>
        <v/>
      </c>
      <c r="E1797" s="676" t="str">
        <f t="shared" ref="E1797" ca="1" si="7818">S1797</f>
        <v/>
      </c>
      <c r="F1797" s="194"/>
      <c r="G1797" s="668" t="str">
        <f t="shared" ref="G1797" ca="1" si="7819">IF(OR(INDIRECT("'update Helper'!E"&amp;U1797)=0,F1797&lt;&gt;0,F1798&lt;&gt;0),IF(IFERROR((F1797/F1798),"")="","",(F1797/F1798)),INDIRECT("'update Helper'!E"&amp;U1797)/100)</f>
        <v/>
      </c>
      <c r="H1797" s="670"/>
      <c r="I1797" s="672"/>
      <c r="J1797" s="651"/>
      <c r="K1797" s="666" t="str">
        <f t="shared" ref="K1797" ca="1" si="7820">W1797</f>
        <v/>
      </c>
      <c r="L1797" s="666" t="str">
        <f t="shared" ref="L1797" ca="1" si="7821">V1797</f>
        <v/>
      </c>
      <c r="M1797" s="651"/>
      <c r="N1797" s="651"/>
      <c r="P1797" s="189">
        <f t="shared" ref="P1797" ca="1" si="7822">IF(AND(EXACT(C1797,C1795),C1795&lt;&gt;0),P1795+1,0)</f>
        <v>188</v>
      </c>
      <c r="Q1797" s="189" t="str">
        <f t="shared" ref="Q1797" ca="1" si="7823">IF(C1797&lt;&gt;"",C1797&amp;"-"&amp;P1797,"")</f>
        <v/>
      </c>
      <c r="R1797" s="189" t="str">
        <f t="array" aca="1" ref="R1797" ca="1">IFERROR(IF(INDEX('Disaggregation Records'!$E$155:$E$385,MATCH(RIGHT(Q1797,255),RIGHT('Disaggregation Records'!$D$155:$D$385,255),0))=0,"",INDEX('Disaggregation Records'!$E$155:$E$385,MATCH(RIGHT(Q1797,255),RIGHT('Disaggregation Records'!$D$155:$D$385,255),0))),"")</f>
        <v/>
      </c>
      <c r="S1797" s="189" t="str">
        <f t="array" aca="1" ref="S1797" ca="1">IFERROR(IF(INDEX('Disaggregation Records'!$F$155:$F$385,MATCH(RIGHT(Q1797,255),RIGHT('Disaggregation Records'!$D$155:$D$385,255),0))=0,"",INDEX('Disaggregation Records'!$F$155:$F$385,MATCH(RIGHT(Q1797,255),RIGHT('Disaggregation Records'!$D$155:$D$385,255),0))),"")</f>
        <v/>
      </c>
      <c r="T1797" s="189" t="str">
        <f t="array" aca="1" ref="T1797" ca="1">IFERROR(IF(INDEX('Disaggregation Records'!$H$155:$H$385,MATCH(RIGHT(Q1797,255),RIGHT('Disaggregation Records'!$D$155:$D$385,255),0))=0,"",INDEX('Disaggregation Records'!$H$155:$H$385,MATCH(RIGHT(Q1797,255),RIGHT('Disaggregation Records'!$D$155:$D$385,255),0))),"")</f>
        <v/>
      </c>
      <c r="U1797" s="189">
        <f t="shared" ref="U1797" si="7824">U1795+1</f>
        <v>2000</v>
      </c>
      <c r="V1797" s="189" t="str">
        <f t="array" aca="1" ref="V1797" ca="1">IFERROR(IF(INDEX('Disaggregation Records'!$I$155:$I$385,MATCH(RIGHT(Q1797,255),RIGHT('Disaggregation Records'!$D$155:$D$385,255),0))=0,"",INDEX('Disaggregation Records'!$I$155:$I$385,MATCH(RIGHT(Q1797,255),RIGHT('Disaggregation Records'!$D$155:$D$385,255),0))),"")</f>
        <v/>
      </c>
      <c r="W1797" s="189" t="str">
        <f ca="1">IFERROR(INDEX('Reference Records'!L$59:L$121,MATCH(LEFT(C1797,255),'Reference Records'!E$59:E$121,0)),"")</f>
        <v/>
      </c>
    </row>
    <row r="1798" spans="1:23" s="189" customFormat="1" ht="40.200000000000003" customHeight="1" x14ac:dyDescent="0.3">
      <c r="A1798" s="678"/>
      <c r="B1798" s="675"/>
      <c r="C1798" s="667"/>
      <c r="D1798" s="677"/>
      <c r="E1798" s="677"/>
      <c r="F1798" s="202"/>
      <c r="G1798" s="669"/>
      <c r="H1798" s="671"/>
      <c r="I1798" s="673"/>
      <c r="J1798" s="652"/>
      <c r="K1798" s="667"/>
      <c r="L1798" s="667"/>
      <c r="M1798" s="652"/>
      <c r="N1798" s="652"/>
    </row>
    <row r="1799" spans="1:23" s="189" customFormat="1" ht="40.200000000000003" customHeight="1" x14ac:dyDescent="0.3">
      <c r="A1799" s="678" t="str">
        <f t="shared" ref="A1799" ca="1" si="7825">INDIRECT("'update Helper'!C"&amp;U1799)</f>
        <v>a163p000002zQisAAE</v>
      </c>
      <c r="B1799" s="674">
        <v>30</v>
      </c>
      <c r="C1799" s="666" t="str">
        <f ca="1">VLOOKUP(B1799,'Coverage Indicators - Section D'!$A$9:$AU$70,47,FALSE)</f>
        <v/>
      </c>
      <c r="D1799" s="676" t="str">
        <f t="shared" ref="D1799" ca="1" si="7826">R1799</f>
        <v/>
      </c>
      <c r="E1799" s="676" t="str">
        <f t="shared" ref="E1799" ca="1" si="7827">S1799</f>
        <v/>
      </c>
      <c r="F1799" s="194"/>
      <c r="G1799" s="668" t="str">
        <f t="shared" ref="G1799" ca="1" si="7828">IF(OR(INDIRECT("'update Helper'!E"&amp;U1799)=0,F1799&lt;&gt;0,F1800&lt;&gt;0),IF(IFERROR((F1799/F1800),"")="","",(F1799/F1800)),INDIRECT("'update Helper'!E"&amp;U1799)/100)</f>
        <v/>
      </c>
      <c r="H1799" s="670"/>
      <c r="I1799" s="672"/>
      <c r="J1799" s="651"/>
      <c r="K1799" s="666" t="str">
        <f t="shared" ref="K1799" ca="1" si="7829">W1799</f>
        <v/>
      </c>
      <c r="L1799" s="666" t="str">
        <f t="shared" ref="L1799" ca="1" si="7830">V1799</f>
        <v/>
      </c>
      <c r="M1799" s="651"/>
      <c r="N1799" s="651"/>
      <c r="P1799" s="189">
        <f t="shared" ref="P1799" ca="1" si="7831">IF(AND(EXACT(C1799,C1797),C1797&lt;&gt;0),P1797+1,0)</f>
        <v>189</v>
      </c>
      <c r="Q1799" s="189" t="str">
        <f t="shared" ref="Q1799" ca="1" si="7832">IF(C1799&lt;&gt;"",C1799&amp;"-"&amp;P1799,"")</f>
        <v/>
      </c>
      <c r="R1799" s="189" t="str">
        <f t="array" aca="1" ref="R1799" ca="1">IFERROR(IF(INDEX('Disaggregation Records'!$E$155:$E$385,MATCH(RIGHT(Q1799,255),RIGHT('Disaggregation Records'!$D$155:$D$385,255),0))=0,"",INDEX('Disaggregation Records'!$E$155:$E$385,MATCH(RIGHT(Q1799,255),RIGHT('Disaggregation Records'!$D$155:$D$385,255),0))),"")</f>
        <v/>
      </c>
      <c r="S1799" s="189" t="str">
        <f t="array" aca="1" ref="S1799" ca="1">IFERROR(IF(INDEX('Disaggregation Records'!$F$155:$F$385,MATCH(RIGHT(Q1799,255),RIGHT('Disaggregation Records'!$D$155:$D$385,255),0))=0,"",INDEX('Disaggregation Records'!$F$155:$F$385,MATCH(RIGHT(Q1799,255),RIGHT('Disaggregation Records'!$D$155:$D$385,255),0))),"")</f>
        <v/>
      </c>
      <c r="T1799" s="189" t="str">
        <f t="array" aca="1" ref="T1799" ca="1">IFERROR(IF(INDEX('Disaggregation Records'!$H$155:$H$385,MATCH(RIGHT(Q1799,255),RIGHT('Disaggregation Records'!$D$155:$D$385,255),0))=0,"",INDEX('Disaggregation Records'!$H$155:$H$385,MATCH(RIGHT(Q1799,255),RIGHT('Disaggregation Records'!$D$155:$D$385,255),0))),"")</f>
        <v/>
      </c>
      <c r="U1799" s="189">
        <f t="shared" ref="U1799" si="7833">U1797+1</f>
        <v>2001</v>
      </c>
      <c r="V1799" s="189" t="str">
        <f t="array" aca="1" ref="V1799" ca="1">IFERROR(IF(INDEX('Disaggregation Records'!$I$155:$I$385,MATCH(RIGHT(Q1799,255),RIGHT('Disaggregation Records'!$D$155:$D$385,255),0))=0,"",INDEX('Disaggregation Records'!$I$155:$I$385,MATCH(RIGHT(Q1799,255),RIGHT('Disaggregation Records'!$D$155:$D$385,255),0))),"")</f>
        <v/>
      </c>
      <c r="W1799" s="189" t="str">
        <f ca="1">IFERROR(INDEX('Reference Records'!L$59:L$121,MATCH(LEFT(C1799,255),'Reference Records'!E$59:E$121,0)),"")</f>
        <v/>
      </c>
    </row>
    <row r="1800" spans="1:23" s="189" customFormat="1" ht="40.200000000000003" customHeight="1" x14ac:dyDescent="0.3">
      <c r="A1800" s="678"/>
      <c r="B1800" s="675"/>
      <c r="C1800" s="667"/>
      <c r="D1800" s="677"/>
      <c r="E1800" s="677"/>
      <c r="F1800" s="202"/>
      <c r="G1800" s="669"/>
      <c r="H1800" s="671"/>
      <c r="I1800" s="673"/>
      <c r="J1800" s="652"/>
      <c r="K1800" s="667"/>
      <c r="L1800" s="667"/>
      <c r="M1800" s="652"/>
      <c r="N1800" s="652"/>
    </row>
    <row r="1801" spans="1:23" s="189" customFormat="1" ht="40.200000000000003" customHeight="1" x14ac:dyDescent="0.3">
      <c r="A1801" s="678" t="str">
        <f t="shared" ref="A1801" ca="1" si="7834">INDIRECT("'update Helper'!C"&amp;U1801)</f>
        <v>a163p000002zQitAAE</v>
      </c>
      <c r="B1801" s="674">
        <v>30</v>
      </c>
      <c r="C1801" s="666" t="str">
        <f ca="1">VLOOKUP(B1801,'Coverage Indicators - Section D'!$A$9:$AU$70,47,FALSE)</f>
        <v/>
      </c>
      <c r="D1801" s="676" t="str">
        <f t="shared" ref="D1801" ca="1" si="7835">R1801</f>
        <v/>
      </c>
      <c r="E1801" s="676" t="str">
        <f t="shared" ref="E1801" ca="1" si="7836">S1801</f>
        <v/>
      </c>
      <c r="F1801" s="194"/>
      <c r="G1801" s="668" t="str">
        <f t="shared" ref="G1801" ca="1" si="7837">IF(OR(INDIRECT("'update Helper'!E"&amp;U1801)=0,F1801&lt;&gt;0,F1802&lt;&gt;0),IF(IFERROR((F1801/F1802),"")="","",(F1801/F1802)),INDIRECT("'update Helper'!E"&amp;U1801)/100)</f>
        <v/>
      </c>
      <c r="H1801" s="670"/>
      <c r="I1801" s="672"/>
      <c r="J1801" s="651"/>
      <c r="K1801" s="666" t="str">
        <f t="shared" ref="K1801" ca="1" si="7838">W1801</f>
        <v/>
      </c>
      <c r="L1801" s="666" t="str">
        <f t="shared" ref="L1801" ca="1" si="7839">V1801</f>
        <v/>
      </c>
      <c r="M1801" s="651"/>
      <c r="N1801" s="651"/>
      <c r="P1801" s="189">
        <f t="shared" ref="P1801" ca="1" si="7840">IF(AND(EXACT(C1801,C1799),C1799&lt;&gt;0),P1799+1,0)</f>
        <v>190</v>
      </c>
      <c r="Q1801" s="189" t="str">
        <f t="shared" ref="Q1801" ca="1" si="7841">IF(C1801&lt;&gt;"",C1801&amp;"-"&amp;P1801,"")</f>
        <v/>
      </c>
      <c r="R1801" s="189" t="str">
        <f t="array" aca="1" ref="R1801" ca="1">IFERROR(IF(INDEX('Disaggregation Records'!$E$155:$E$385,MATCH(RIGHT(Q1801,255),RIGHT('Disaggregation Records'!$D$155:$D$385,255),0))=0,"",INDEX('Disaggregation Records'!$E$155:$E$385,MATCH(RIGHT(Q1801,255),RIGHT('Disaggregation Records'!$D$155:$D$385,255),0))),"")</f>
        <v/>
      </c>
      <c r="S1801" s="189" t="str">
        <f t="array" aca="1" ref="S1801" ca="1">IFERROR(IF(INDEX('Disaggregation Records'!$F$155:$F$385,MATCH(RIGHT(Q1801,255),RIGHT('Disaggregation Records'!$D$155:$D$385,255),0))=0,"",INDEX('Disaggregation Records'!$F$155:$F$385,MATCH(RIGHT(Q1801,255),RIGHT('Disaggregation Records'!$D$155:$D$385,255),0))),"")</f>
        <v/>
      </c>
      <c r="T1801" s="189" t="str">
        <f t="array" aca="1" ref="T1801" ca="1">IFERROR(IF(INDEX('Disaggregation Records'!$H$155:$H$385,MATCH(RIGHT(Q1801,255),RIGHT('Disaggregation Records'!$D$155:$D$385,255),0))=0,"",INDEX('Disaggregation Records'!$H$155:$H$385,MATCH(RIGHT(Q1801,255),RIGHT('Disaggregation Records'!$D$155:$D$385,255),0))),"")</f>
        <v/>
      </c>
      <c r="U1801" s="189">
        <f t="shared" ref="U1801" si="7842">U1799+1</f>
        <v>2002</v>
      </c>
      <c r="V1801" s="189" t="str">
        <f t="array" aca="1" ref="V1801" ca="1">IFERROR(IF(INDEX('Disaggregation Records'!$I$155:$I$385,MATCH(RIGHT(Q1801,255),RIGHT('Disaggregation Records'!$D$155:$D$385,255),0))=0,"",INDEX('Disaggregation Records'!$I$155:$I$385,MATCH(RIGHT(Q1801,255),RIGHT('Disaggregation Records'!$D$155:$D$385,255),0))),"")</f>
        <v/>
      </c>
      <c r="W1801" s="189" t="str">
        <f ca="1">IFERROR(INDEX('Reference Records'!L$59:L$121,MATCH(LEFT(C1801,255),'Reference Records'!E$59:E$121,0)),"")</f>
        <v/>
      </c>
    </row>
    <row r="1802" spans="1:23" s="189" customFormat="1" ht="40.200000000000003" customHeight="1" x14ac:dyDescent="0.3">
      <c r="A1802" s="678"/>
      <c r="B1802" s="675"/>
      <c r="C1802" s="667"/>
      <c r="D1802" s="677"/>
      <c r="E1802" s="677"/>
      <c r="F1802" s="202"/>
      <c r="G1802" s="669"/>
      <c r="H1802" s="671"/>
      <c r="I1802" s="673"/>
      <c r="J1802" s="652"/>
      <c r="K1802" s="667"/>
      <c r="L1802" s="667"/>
      <c r="M1802" s="652"/>
      <c r="N1802" s="652"/>
    </row>
    <row r="1803" spans="1:23" s="189" customFormat="1" ht="40.200000000000003" customHeight="1" x14ac:dyDescent="0.3">
      <c r="A1803" s="678" t="str">
        <f t="shared" ref="A1803" ca="1" si="7843">INDIRECT("'update Helper'!C"&amp;U1803)</f>
        <v>a163p000002zQiuAAE</v>
      </c>
      <c r="B1803" s="674">
        <v>30</v>
      </c>
      <c r="C1803" s="666" t="str">
        <f ca="1">VLOOKUP(B1803,'Coverage Indicators - Section D'!$A$9:$AU$70,47,FALSE)</f>
        <v/>
      </c>
      <c r="D1803" s="676" t="str">
        <f t="shared" ref="D1803" ca="1" si="7844">R1803</f>
        <v/>
      </c>
      <c r="E1803" s="676" t="str">
        <f t="shared" ref="E1803" ca="1" si="7845">S1803</f>
        <v/>
      </c>
      <c r="F1803" s="194"/>
      <c r="G1803" s="668" t="str">
        <f t="shared" ref="G1803" ca="1" si="7846">IF(OR(INDIRECT("'update Helper'!E"&amp;U1803)=0,F1803&lt;&gt;0,F1804&lt;&gt;0),IF(IFERROR((F1803/F1804),"")="","",(F1803/F1804)),INDIRECT("'update Helper'!E"&amp;U1803)/100)</f>
        <v/>
      </c>
      <c r="H1803" s="670"/>
      <c r="I1803" s="672"/>
      <c r="J1803" s="651"/>
      <c r="K1803" s="666" t="str">
        <f t="shared" ref="K1803" ca="1" si="7847">W1803</f>
        <v/>
      </c>
      <c r="L1803" s="666" t="str">
        <f t="shared" ref="L1803" ca="1" si="7848">V1803</f>
        <v/>
      </c>
      <c r="M1803" s="651"/>
      <c r="N1803" s="651"/>
      <c r="P1803" s="189">
        <f t="shared" ref="P1803" ca="1" si="7849">IF(AND(EXACT(C1803,C1801),C1801&lt;&gt;0),P1801+1,0)</f>
        <v>191</v>
      </c>
      <c r="Q1803" s="189" t="str">
        <f t="shared" ref="Q1803" ca="1" si="7850">IF(C1803&lt;&gt;"",C1803&amp;"-"&amp;P1803,"")</f>
        <v/>
      </c>
      <c r="R1803" s="189" t="str">
        <f t="array" aca="1" ref="R1803" ca="1">IFERROR(IF(INDEX('Disaggregation Records'!$E$155:$E$385,MATCH(RIGHT(Q1803,255),RIGHT('Disaggregation Records'!$D$155:$D$385,255),0))=0,"",INDEX('Disaggregation Records'!$E$155:$E$385,MATCH(RIGHT(Q1803,255),RIGHT('Disaggregation Records'!$D$155:$D$385,255),0))),"")</f>
        <v/>
      </c>
      <c r="S1803" s="189" t="str">
        <f t="array" aca="1" ref="S1803" ca="1">IFERROR(IF(INDEX('Disaggregation Records'!$F$155:$F$385,MATCH(RIGHT(Q1803,255),RIGHT('Disaggregation Records'!$D$155:$D$385,255),0))=0,"",INDEX('Disaggregation Records'!$F$155:$F$385,MATCH(RIGHT(Q1803,255),RIGHT('Disaggregation Records'!$D$155:$D$385,255),0))),"")</f>
        <v/>
      </c>
      <c r="T1803" s="189" t="str">
        <f t="array" aca="1" ref="T1803" ca="1">IFERROR(IF(INDEX('Disaggregation Records'!$H$155:$H$385,MATCH(RIGHT(Q1803,255),RIGHT('Disaggregation Records'!$D$155:$D$385,255),0))=0,"",INDEX('Disaggregation Records'!$H$155:$H$385,MATCH(RIGHT(Q1803,255),RIGHT('Disaggregation Records'!$D$155:$D$385,255),0))),"")</f>
        <v/>
      </c>
      <c r="U1803" s="189">
        <f t="shared" ref="U1803" si="7851">U1801+1</f>
        <v>2003</v>
      </c>
      <c r="V1803" s="189" t="str">
        <f t="array" aca="1" ref="V1803" ca="1">IFERROR(IF(INDEX('Disaggregation Records'!$I$155:$I$385,MATCH(RIGHT(Q1803,255),RIGHT('Disaggregation Records'!$D$155:$D$385,255),0))=0,"",INDEX('Disaggregation Records'!$I$155:$I$385,MATCH(RIGHT(Q1803,255),RIGHT('Disaggregation Records'!$D$155:$D$385,255),0))),"")</f>
        <v/>
      </c>
      <c r="W1803" s="189" t="str">
        <f ca="1">IFERROR(INDEX('Reference Records'!L$59:L$121,MATCH(LEFT(C1803,255),'Reference Records'!E$59:E$121,0)),"")</f>
        <v/>
      </c>
    </row>
    <row r="1804" spans="1:23" s="189" customFormat="1" ht="40.200000000000003" customHeight="1" x14ac:dyDescent="0.3">
      <c r="A1804" s="678"/>
      <c r="B1804" s="675"/>
      <c r="C1804" s="667"/>
      <c r="D1804" s="677"/>
      <c r="E1804" s="677"/>
      <c r="F1804" s="202"/>
      <c r="G1804" s="669"/>
      <c r="H1804" s="671"/>
      <c r="I1804" s="673"/>
      <c r="J1804" s="652"/>
      <c r="K1804" s="667"/>
      <c r="L1804" s="667"/>
      <c r="M1804" s="652"/>
      <c r="N1804" s="652"/>
    </row>
    <row r="1805" spans="1:23" s="189" customFormat="1" ht="40.200000000000003" customHeight="1" x14ac:dyDescent="0.3">
      <c r="A1805" s="678" t="str">
        <f t="shared" ref="A1805" ca="1" si="7852">INDIRECT("'update Helper'!C"&amp;U1805)</f>
        <v>a163p000002zQivAAE</v>
      </c>
      <c r="B1805" s="674">
        <v>30</v>
      </c>
      <c r="C1805" s="666" t="str">
        <f ca="1">VLOOKUP(B1805,'Coverage Indicators - Section D'!$A$9:$AU$70,47,FALSE)</f>
        <v/>
      </c>
      <c r="D1805" s="676" t="str">
        <f t="shared" ref="D1805" ca="1" si="7853">R1805</f>
        <v/>
      </c>
      <c r="E1805" s="676" t="str">
        <f t="shared" ref="E1805" ca="1" si="7854">S1805</f>
        <v/>
      </c>
      <c r="F1805" s="194"/>
      <c r="G1805" s="668" t="str">
        <f t="shared" ref="G1805" ca="1" si="7855">IF(OR(INDIRECT("'update Helper'!E"&amp;U1805)=0,F1805&lt;&gt;0,F1806&lt;&gt;0),IF(IFERROR((F1805/F1806),"")="","",(F1805/F1806)),INDIRECT("'update Helper'!E"&amp;U1805)/100)</f>
        <v/>
      </c>
      <c r="H1805" s="670"/>
      <c r="I1805" s="672"/>
      <c r="J1805" s="651"/>
      <c r="K1805" s="666" t="str">
        <f t="shared" ref="K1805" ca="1" si="7856">W1805</f>
        <v/>
      </c>
      <c r="L1805" s="666" t="str">
        <f t="shared" ref="L1805" ca="1" si="7857">V1805</f>
        <v/>
      </c>
      <c r="M1805" s="651"/>
      <c r="N1805" s="651"/>
      <c r="P1805" s="189">
        <f t="shared" ref="P1805" ca="1" si="7858">IF(AND(EXACT(C1805,C1803),C1803&lt;&gt;0),P1803+1,0)</f>
        <v>192</v>
      </c>
      <c r="Q1805" s="189" t="str">
        <f t="shared" ref="Q1805" ca="1" si="7859">IF(C1805&lt;&gt;"",C1805&amp;"-"&amp;P1805,"")</f>
        <v/>
      </c>
      <c r="R1805" s="189" t="str">
        <f t="array" aca="1" ref="R1805" ca="1">IFERROR(IF(INDEX('Disaggregation Records'!$E$155:$E$385,MATCH(RIGHT(Q1805,255),RIGHT('Disaggregation Records'!$D$155:$D$385,255),0))=0,"",INDEX('Disaggregation Records'!$E$155:$E$385,MATCH(RIGHT(Q1805,255),RIGHT('Disaggregation Records'!$D$155:$D$385,255),0))),"")</f>
        <v/>
      </c>
      <c r="S1805" s="189" t="str">
        <f t="array" aca="1" ref="S1805" ca="1">IFERROR(IF(INDEX('Disaggregation Records'!$F$155:$F$385,MATCH(RIGHT(Q1805,255),RIGHT('Disaggregation Records'!$D$155:$D$385,255),0))=0,"",INDEX('Disaggregation Records'!$F$155:$F$385,MATCH(RIGHT(Q1805,255),RIGHT('Disaggregation Records'!$D$155:$D$385,255),0))),"")</f>
        <v/>
      </c>
      <c r="T1805" s="189" t="str">
        <f t="array" aca="1" ref="T1805" ca="1">IFERROR(IF(INDEX('Disaggregation Records'!$H$155:$H$385,MATCH(RIGHT(Q1805,255),RIGHT('Disaggregation Records'!$D$155:$D$385,255),0))=0,"",INDEX('Disaggregation Records'!$H$155:$H$385,MATCH(RIGHT(Q1805,255),RIGHT('Disaggregation Records'!$D$155:$D$385,255),0))),"")</f>
        <v/>
      </c>
      <c r="U1805" s="189">
        <f t="shared" ref="U1805" si="7860">U1803+1</f>
        <v>2004</v>
      </c>
      <c r="V1805" s="189" t="str">
        <f t="array" aca="1" ref="V1805" ca="1">IFERROR(IF(INDEX('Disaggregation Records'!$I$155:$I$385,MATCH(RIGHT(Q1805,255),RIGHT('Disaggregation Records'!$D$155:$D$385,255),0))=0,"",INDEX('Disaggregation Records'!$I$155:$I$385,MATCH(RIGHT(Q1805,255),RIGHT('Disaggregation Records'!$D$155:$D$385,255),0))),"")</f>
        <v/>
      </c>
      <c r="W1805" s="189" t="str">
        <f ca="1">IFERROR(INDEX('Reference Records'!L$59:L$121,MATCH(LEFT(C1805,255),'Reference Records'!E$59:E$121,0)),"")</f>
        <v/>
      </c>
    </row>
    <row r="1806" spans="1:23" s="189" customFormat="1" ht="40.200000000000003" customHeight="1" x14ac:dyDescent="0.3">
      <c r="A1806" s="678"/>
      <c r="B1806" s="675"/>
      <c r="C1806" s="667"/>
      <c r="D1806" s="677"/>
      <c r="E1806" s="677"/>
      <c r="F1806" s="202"/>
      <c r="G1806" s="669"/>
      <c r="H1806" s="671"/>
      <c r="I1806" s="673"/>
      <c r="J1806" s="652"/>
      <c r="K1806" s="667"/>
      <c r="L1806" s="667"/>
      <c r="M1806" s="652"/>
      <c r="N1806" s="652"/>
    </row>
    <row r="1807" spans="1:23" s="189" customFormat="1" ht="40.200000000000003" customHeight="1" x14ac:dyDescent="0.3">
      <c r="A1807" s="678" t="str">
        <f t="shared" ref="A1807" ca="1" si="7861">INDIRECT("'update Helper'!C"&amp;U1807)</f>
        <v>a163p000002zQiwAAE</v>
      </c>
      <c r="B1807" s="674">
        <v>30</v>
      </c>
      <c r="C1807" s="666" t="str">
        <f ca="1">VLOOKUP(B1807,'Coverage Indicators - Section D'!$A$9:$AU$70,47,FALSE)</f>
        <v/>
      </c>
      <c r="D1807" s="676" t="str">
        <f t="shared" ref="D1807" ca="1" si="7862">R1807</f>
        <v/>
      </c>
      <c r="E1807" s="676" t="str">
        <f t="shared" ref="E1807" ca="1" si="7863">S1807</f>
        <v/>
      </c>
      <c r="F1807" s="194"/>
      <c r="G1807" s="668" t="str">
        <f t="shared" ref="G1807" ca="1" si="7864">IF(OR(INDIRECT("'update Helper'!E"&amp;U1807)=0,F1807&lt;&gt;0,F1808&lt;&gt;0),IF(IFERROR((F1807/F1808),"")="","",(F1807/F1808)),INDIRECT("'update Helper'!E"&amp;U1807)/100)</f>
        <v/>
      </c>
      <c r="H1807" s="670"/>
      <c r="I1807" s="672"/>
      <c r="J1807" s="651"/>
      <c r="K1807" s="666" t="str">
        <f t="shared" ref="K1807" ca="1" si="7865">W1807</f>
        <v/>
      </c>
      <c r="L1807" s="666" t="str">
        <f t="shared" ref="L1807" ca="1" si="7866">V1807</f>
        <v/>
      </c>
      <c r="M1807" s="651"/>
      <c r="N1807" s="651"/>
      <c r="P1807" s="189">
        <f t="shared" ref="P1807" ca="1" si="7867">IF(AND(EXACT(C1807,C1805),C1805&lt;&gt;0),P1805+1,0)</f>
        <v>193</v>
      </c>
      <c r="Q1807" s="189" t="str">
        <f t="shared" ref="Q1807" ca="1" si="7868">IF(C1807&lt;&gt;"",C1807&amp;"-"&amp;P1807,"")</f>
        <v/>
      </c>
      <c r="R1807" s="189" t="str">
        <f t="array" aca="1" ref="R1807" ca="1">IFERROR(IF(INDEX('Disaggregation Records'!$E$155:$E$385,MATCH(RIGHT(Q1807,255),RIGHT('Disaggregation Records'!$D$155:$D$385,255),0))=0,"",INDEX('Disaggregation Records'!$E$155:$E$385,MATCH(RIGHT(Q1807,255),RIGHT('Disaggregation Records'!$D$155:$D$385,255),0))),"")</f>
        <v/>
      </c>
      <c r="S1807" s="189" t="str">
        <f t="array" aca="1" ref="S1807" ca="1">IFERROR(IF(INDEX('Disaggregation Records'!$F$155:$F$385,MATCH(RIGHT(Q1807,255),RIGHT('Disaggregation Records'!$D$155:$D$385,255),0))=0,"",INDEX('Disaggregation Records'!$F$155:$F$385,MATCH(RIGHT(Q1807,255),RIGHT('Disaggregation Records'!$D$155:$D$385,255),0))),"")</f>
        <v/>
      </c>
      <c r="T1807" s="189" t="str">
        <f t="array" aca="1" ref="T1807" ca="1">IFERROR(IF(INDEX('Disaggregation Records'!$H$155:$H$385,MATCH(RIGHT(Q1807,255),RIGHT('Disaggregation Records'!$D$155:$D$385,255),0))=0,"",INDEX('Disaggregation Records'!$H$155:$H$385,MATCH(RIGHT(Q1807,255),RIGHT('Disaggregation Records'!$D$155:$D$385,255),0))),"")</f>
        <v/>
      </c>
      <c r="U1807" s="189">
        <f t="shared" ref="U1807" si="7869">U1805+1</f>
        <v>2005</v>
      </c>
      <c r="V1807" s="189" t="str">
        <f t="array" aca="1" ref="V1807" ca="1">IFERROR(IF(INDEX('Disaggregation Records'!$I$155:$I$385,MATCH(RIGHT(Q1807,255),RIGHT('Disaggregation Records'!$D$155:$D$385,255),0))=0,"",INDEX('Disaggregation Records'!$I$155:$I$385,MATCH(RIGHT(Q1807,255),RIGHT('Disaggregation Records'!$D$155:$D$385,255),0))),"")</f>
        <v/>
      </c>
      <c r="W1807" s="189" t="str">
        <f ca="1">IFERROR(INDEX('Reference Records'!L$59:L$121,MATCH(LEFT(C1807,255),'Reference Records'!E$59:E$121,0)),"")</f>
        <v/>
      </c>
    </row>
    <row r="1808" spans="1:23" s="189" customFormat="1" ht="40.200000000000003" customHeight="1" x14ac:dyDescent="0.3">
      <c r="A1808" s="678"/>
      <c r="B1808" s="675"/>
      <c r="C1808" s="667"/>
      <c r="D1808" s="677"/>
      <c r="E1808" s="677"/>
      <c r="F1808" s="202"/>
      <c r="G1808" s="669"/>
      <c r="H1808" s="671"/>
      <c r="I1808" s="673"/>
      <c r="J1808" s="652"/>
      <c r="K1808" s="667"/>
      <c r="L1808" s="667"/>
      <c r="M1808" s="652"/>
      <c r="N1808" s="652"/>
    </row>
    <row r="1809" spans="1:23" s="189" customFormat="1" ht="40.200000000000003" customHeight="1" x14ac:dyDescent="0.3">
      <c r="A1809" s="678" t="str">
        <f t="shared" ref="A1809" ca="1" si="7870">INDIRECT("'update Helper'!C"&amp;U1809)</f>
        <v>a163p000002zQixAAE</v>
      </c>
      <c r="B1809" s="674">
        <v>30</v>
      </c>
      <c r="C1809" s="666" t="str">
        <f ca="1">VLOOKUP(B1809,'Coverage Indicators - Section D'!$A$9:$AU$70,47,FALSE)</f>
        <v/>
      </c>
      <c r="D1809" s="676" t="str">
        <f t="shared" ref="D1809" ca="1" si="7871">R1809</f>
        <v/>
      </c>
      <c r="E1809" s="676" t="str">
        <f t="shared" ref="E1809" ca="1" si="7872">S1809</f>
        <v/>
      </c>
      <c r="F1809" s="194"/>
      <c r="G1809" s="668" t="str">
        <f t="shared" ref="G1809" ca="1" si="7873">IF(OR(INDIRECT("'update Helper'!E"&amp;U1809)=0,F1809&lt;&gt;0,F1810&lt;&gt;0),IF(IFERROR((F1809/F1810),"")="","",(F1809/F1810)),INDIRECT("'update Helper'!E"&amp;U1809)/100)</f>
        <v/>
      </c>
      <c r="H1809" s="670"/>
      <c r="I1809" s="672"/>
      <c r="J1809" s="651"/>
      <c r="K1809" s="666" t="str">
        <f t="shared" ref="K1809" ca="1" si="7874">W1809</f>
        <v/>
      </c>
      <c r="L1809" s="666" t="str">
        <f t="shared" ref="L1809" ca="1" si="7875">V1809</f>
        <v/>
      </c>
      <c r="M1809" s="651"/>
      <c r="N1809" s="651"/>
      <c r="P1809" s="189">
        <f t="shared" ref="P1809" ca="1" si="7876">IF(AND(EXACT(C1809,C1807),C1807&lt;&gt;0),P1807+1,0)</f>
        <v>194</v>
      </c>
      <c r="Q1809" s="189" t="str">
        <f t="shared" ref="Q1809" ca="1" si="7877">IF(C1809&lt;&gt;"",C1809&amp;"-"&amp;P1809,"")</f>
        <v/>
      </c>
      <c r="R1809" s="189" t="str">
        <f t="array" aca="1" ref="R1809" ca="1">IFERROR(IF(INDEX('Disaggregation Records'!$E$155:$E$385,MATCH(RIGHT(Q1809,255),RIGHT('Disaggregation Records'!$D$155:$D$385,255),0))=0,"",INDEX('Disaggregation Records'!$E$155:$E$385,MATCH(RIGHT(Q1809,255),RIGHT('Disaggregation Records'!$D$155:$D$385,255),0))),"")</f>
        <v/>
      </c>
      <c r="S1809" s="189" t="str">
        <f t="array" aca="1" ref="S1809" ca="1">IFERROR(IF(INDEX('Disaggregation Records'!$F$155:$F$385,MATCH(RIGHT(Q1809,255),RIGHT('Disaggregation Records'!$D$155:$D$385,255),0))=0,"",INDEX('Disaggregation Records'!$F$155:$F$385,MATCH(RIGHT(Q1809,255),RIGHT('Disaggregation Records'!$D$155:$D$385,255),0))),"")</f>
        <v/>
      </c>
      <c r="T1809" s="189" t="str">
        <f t="array" aca="1" ref="T1809" ca="1">IFERROR(IF(INDEX('Disaggregation Records'!$H$155:$H$385,MATCH(RIGHT(Q1809,255),RIGHT('Disaggregation Records'!$D$155:$D$385,255),0))=0,"",INDEX('Disaggregation Records'!$H$155:$H$385,MATCH(RIGHT(Q1809,255),RIGHT('Disaggregation Records'!$D$155:$D$385,255),0))),"")</f>
        <v/>
      </c>
      <c r="U1809" s="189">
        <f t="shared" ref="U1809" si="7878">U1807+1</f>
        <v>2006</v>
      </c>
      <c r="V1809" s="189" t="str">
        <f t="array" aca="1" ref="V1809" ca="1">IFERROR(IF(INDEX('Disaggregation Records'!$I$155:$I$385,MATCH(RIGHT(Q1809,255),RIGHT('Disaggregation Records'!$D$155:$D$385,255),0))=0,"",INDEX('Disaggregation Records'!$I$155:$I$385,MATCH(RIGHT(Q1809,255),RIGHT('Disaggregation Records'!$D$155:$D$385,255),0))),"")</f>
        <v/>
      </c>
      <c r="W1809" s="189" t="str">
        <f ca="1">IFERROR(INDEX('Reference Records'!L$59:L$121,MATCH(LEFT(C1809,255),'Reference Records'!E$59:E$121,0)),"")</f>
        <v/>
      </c>
    </row>
    <row r="1810" spans="1:23" s="189" customFormat="1" ht="40.200000000000003" customHeight="1" x14ac:dyDescent="0.3">
      <c r="A1810" s="678"/>
      <c r="B1810" s="675"/>
      <c r="C1810" s="667"/>
      <c r="D1810" s="677"/>
      <c r="E1810" s="677"/>
      <c r="F1810" s="202"/>
      <c r="G1810" s="669"/>
      <c r="H1810" s="671"/>
      <c r="I1810" s="673"/>
      <c r="J1810" s="652"/>
      <c r="K1810" s="667"/>
      <c r="L1810" s="667"/>
      <c r="M1810" s="652"/>
      <c r="N1810" s="652"/>
    </row>
    <row r="1811" spans="1:23" s="189" customFormat="1" ht="40.200000000000003" customHeight="1" x14ac:dyDescent="0.3">
      <c r="A1811" s="678" t="str">
        <f t="shared" ref="A1811" ca="1" si="7879">INDIRECT("'update Helper'!C"&amp;U1811)</f>
        <v>a163p000002zQiyAAE</v>
      </c>
      <c r="B1811" s="674">
        <v>30</v>
      </c>
      <c r="C1811" s="666" t="str">
        <f ca="1">VLOOKUP(B1811,'Coverage Indicators - Section D'!$A$9:$AU$70,47,FALSE)</f>
        <v/>
      </c>
      <c r="D1811" s="676" t="str">
        <f t="shared" ref="D1811" ca="1" si="7880">R1811</f>
        <v/>
      </c>
      <c r="E1811" s="676" t="str">
        <f t="shared" ref="E1811" ca="1" si="7881">S1811</f>
        <v/>
      </c>
      <c r="F1811" s="194"/>
      <c r="G1811" s="668" t="str">
        <f t="shared" ref="G1811" ca="1" si="7882">IF(OR(INDIRECT("'update Helper'!E"&amp;U1811)=0,F1811&lt;&gt;0,F1812&lt;&gt;0),IF(IFERROR((F1811/F1812),"")="","",(F1811/F1812)),INDIRECT("'update Helper'!E"&amp;U1811)/100)</f>
        <v/>
      </c>
      <c r="H1811" s="670"/>
      <c r="I1811" s="672"/>
      <c r="J1811" s="651"/>
      <c r="K1811" s="666" t="str">
        <f t="shared" ref="K1811" ca="1" si="7883">W1811</f>
        <v/>
      </c>
      <c r="L1811" s="666" t="str">
        <f t="shared" ref="L1811" ca="1" si="7884">V1811</f>
        <v/>
      </c>
      <c r="M1811" s="651"/>
      <c r="N1811" s="651"/>
      <c r="P1811" s="189">
        <f t="shared" ref="P1811" ca="1" si="7885">IF(AND(EXACT(C1811,C1809),C1809&lt;&gt;0),P1809+1,0)</f>
        <v>195</v>
      </c>
      <c r="Q1811" s="189" t="str">
        <f t="shared" ref="Q1811" ca="1" si="7886">IF(C1811&lt;&gt;"",C1811&amp;"-"&amp;P1811,"")</f>
        <v/>
      </c>
      <c r="R1811" s="189" t="str">
        <f t="array" aca="1" ref="R1811" ca="1">IFERROR(IF(INDEX('Disaggregation Records'!$E$155:$E$385,MATCH(RIGHT(Q1811,255),RIGHT('Disaggregation Records'!$D$155:$D$385,255),0))=0,"",INDEX('Disaggregation Records'!$E$155:$E$385,MATCH(RIGHT(Q1811,255),RIGHT('Disaggregation Records'!$D$155:$D$385,255),0))),"")</f>
        <v/>
      </c>
      <c r="S1811" s="189" t="str">
        <f t="array" aca="1" ref="S1811" ca="1">IFERROR(IF(INDEX('Disaggregation Records'!$F$155:$F$385,MATCH(RIGHT(Q1811,255),RIGHT('Disaggregation Records'!$D$155:$D$385,255),0))=0,"",INDEX('Disaggregation Records'!$F$155:$F$385,MATCH(RIGHT(Q1811,255),RIGHT('Disaggregation Records'!$D$155:$D$385,255),0))),"")</f>
        <v/>
      </c>
      <c r="T1811" s="189" t="str">
        <f t="array" aca="1" ref="T1811" ca="1">IFERROR(IF(INDEX('Disaggregation Records'!$H$155:$H$385,MATCH(RIGHT(Q1811,255),RIGHT('Disaggregation Records'!$D$155:$D$385,255),0))=0,"",INDEX('Disaggregation Records'!$H$155:$H$385,MATCH(RIGHT(Q1811,255),RIGHT('Disaggregation Records'!$D$155:$D$385,255),0))),"")</f>
        <v/>
      </c>
      <c r="U1811" s="189">
        <f t="shared" ref="U1811" si="7887">U1809+1</f>
        <v>2007</v>
      </c>
      <c r="V1811" s="189" t="str">
        <f t="array" aca="1" ref="V1811" ca="1">IFERROR(IF(INDEX('Disaggregation Records'!$I$155:$I$385,MATCH(RIGHT(Q1811,255),RIGHT('Disaggregation Records'!$D$155:$D$385,255),0))=0,"",INDEX('Disaggregation Records'!$I$155:$I$385,MATCH(RIGHT(Q1811,255),RIGHT('Disaggregation Records'!$D$155:$D$385,255),0))),"")</f>
        <v/>
      </c>
      <c r="W1811" s="189" t="str">
        <f ca="1">IFERROR(INDEX('Reference Records'!L$59:L$121,MATCH(LEFT(C1811,255),'Reference Records'!E$59:E$121,0)),"")</f>
        <v/>
      </c>
    </row>
    <row r="1812" spans="1:23" s="189" customFormat="1" ht="40.200000000000003" customHeight="1" x14ac:dyDescent="0.3">
      <c r="A1812" s="678"/>
      <c r="B1812" s="675"/>
      <c r="C1812" s="667"/>
      <c r="D1812" s="677"/>
      <c r="E1812" s="677"/>
      <c r="F1812" s="202"/>
      <c r="G1812" s="669"/>
      <c r="H1812" s="671"/>
      <c r="I1812" s="673"/>
      <c r="J1812" s="652"/>
      <c r="K1812" s="667"/>
      <c r="L1812" s="667"/>
      <c r="M1812" s="652"/>
      <c r="N1812" s="652"/>
    </row>
    <row r="1813" spans="1:23" s="189" customFormat="1" ht="40.200000000000003" customHeight="1" x14ac:dyDescent="0.3">
      <c r="A1813" s="678" t="str">
        <f t="shared" ref="A1813" ca="1" si="7888">INDIRECT("'update Helper'!C"&amp;U1813)</f>
        <v>a163p000002zQizAAE</v>
      </c>
      <c r="B1813" s="674">
        <v>30</v>
      </c>
      <c r="C1813" s="666" t="str">
        <f ca="1">VLOOKUP(B1813,'Coverage Indicators - Section D'!$A$9:$AU$70,47,FALSE)</f>
        <v/>
      </c>
      <c r="D1813" s="676" t="str">
        <f t="shared" ref="D1813" ca="1" si="7889">R1813</f>
        <v/>
      </c>
      <c r="E1813" s="676" t="str">
        <f t="shared" ref="E1813" ca="1" si="7890">S1813</f>
        <v/>
      </c>
      <c r="F1813" s="194"/>
      <c r="G1813" s="668" t="str">
        <f t="shared" ref="G1813" ca="1" si="7891">IF(OR(INDIRECT("'update Helper'!E"&amp;U1813)=0,F1813&lt;&gt;0,F1814&lt;&gt;0),IF(IFERROR((F1813/F1814),"")="","",(F1813/F1814)),INDIRECT("'update Helper'!E"&amp;U1813)/100)</f>
        <v/>
      </c>
      <c r="H1813" s="670"/>
      <c r="I1813" s="672"/>
      <c r="J1813" s="651"/>
      <c r="K1813" s="666" t="str">
        <f t="shared" ref="K1813" ca="1" si="7892">W1813</f>
        <v/>
      </c>
      <c r="L1813" s="666" t="str">
        <f t="shared" ref="L1813" ca="1" si="7893">V1813</f>
        <v/>
      </c>
      <c r="M1813" s="651"/>
      <c r="N1813" s="651"/>
      <c r="P1813" s="189">
        <f t="shared" ref="P1813" ca="1" si="7894">IF(AND(EXACT(C1813,C1811),C1811&lt;&gt;0),P1811+1,0)</f>
        <v>196</v>
      </c>
      <c r="Q1813" s="189" t="str">
        <f t="shared" ref="Q1813" ca="1" si="7895">IF(C1813&lt;&gt;"",C1813&amp;"-"&amp;P1813,"")</f>
        <v/>
      </c>
      <c r="R1813" s="189" t="str">
        <f t="array" aca="1" ref="R1813" ca="1">IFERROR(IF(INDEX('Disaggregation Records'!$E$155:$E$385,MATCH(RIGHT(Q1813,255),RIGHT('Disaggregation Records'!$D$155:$D$385,255),0))=0,"",INDEX('Disaggregation Records'!$E$155:$E$385,MATCH(RIGHT(Q1813,255),RIGHT('Disaggregation Records'!$D$155:$D$385,255),0))),"")</f>
        <v/>
      </c>
      <c r="S1813" s="189" t="str">
        <f t="array" aca="1" ref="S1813" ca="1">IFERROR(IF(INDEX('Disaggregation Records'!$F$155:$F$385,MATCH(RIGHT(Q1813,255),RIGHT('Disaggregation Records'!$D$155:$D$385,255),0))=0,"",INDEX('Disaggregation Records'!$F$155:$F$385,MATCH(RIGHT(Q1813,255),RIGHT('Disaggregation Records'!$D$155:$D$385,255),0))),"")</f>
        <v/>
      </c>
      <c r="T1813" s="189" t="str">
        <f t="array" aca="1" ref="T1813" ca="1">IFERROR(IF(INDEX('Disaggregation Records'!$H$155:$H$385,MATCH(RIGHT(Q1813,255),RIGHT('Disaggregation Records'!$D$155:$D$385,255),0))=0,"",INDEX('Disaggregation Records'!$H$155:$H$385,MATCH(RIGHT(Q1813,255),RIGHT('Disaggregation Records'!$D$155:$D$385,255),0))),"")</f>
        <v/>
      </c>
      <c r="U1813" s="189">
        <f t="shared" ref="U1813" si="7896">U1811+1</f>
        <v>2008</v>
      </c>
      <c r="V1813" s="189" t="str">
        <f t="array" aca="1" ref="V1813" ca="1">IFERROR(IF(INDEX('Disaggregation Records'!$I$155:$I$385,MATCH(RIGHT(Q1813,255),RIGHT('Disaggregation Records'!$D$155:$D$385,255),0))=0,"",INDEX('Disaggregation Records'!$I$155:$I$385,MATCH(RIGHT(Q1813,255),RIGHT('Disaggregation Records'!$D$155:$D$385,255),0))),"")</f>
        <v/>
      </c>
      <c r="W1813" s="189" t="str">
        <f ca="1">IFERROR(INDEX('Reference Records'!L$59:L$121,MATCH(LEFT(C1813,255),'Reference Records'!E$59:E$121,0)),"")</f>
        <v/>
      </c>
    </row>
    <row r="1814" spans="1:23" s="189" customFormat="1" ht="40.200000000000003" customHeight="1" x14ac:dyDescent="0.3">
      <c r="A1814" s="678"/>
      <c r="B1814" s="675"/>
      <c r="C1814" s="667"/>
      <c r="D1814" s="677"/>
      <c r="E1814" s="677"/>
      <c r="F1814" s="202"/>
      <c r="G1814" s="669"/>
      <c r="H1814" s="671"/>
      <c r="I1814" s="673"/>
      <c r="J1814" s="652"/>
      <c r="K1814" s="667"/>
      <c r="L1814" s="667"/>
      <c r="M1814" s="652"/>
      <c r="N1814" s="652"/>
    </row>
    <row r="1815" spans="1:23" s="189" customFormat="1" ht="40.200000000000003" customHeight="1" x14ac:dyDescent="0.3">
      <c r="A1815" s="678" t="str">
        <f t="shared" ref="A1815" ca="1" si="7897">INDIRECT("'update Helper'!C"&amp;U1815)</f>
        <v>a163p000002zQj0AAE</v>
      </c>
      <c r="B1815" s="674">
        <v>30</v>
      </c>
      <c r="C1815" s="666" t="str">
        <f ca="1">VLOOKUP(B1815,'Coverage Indicators - Section D'!$A$9:$AU$70,47,FALSE)</f>
        <v/>
      </c>
      <c r="D1815" s="676" t="str">
        <f t="shared" ref="D1815" ca="1" si="7898">R1815</f>
        <v/>
      </c>
      <c r="E1815" s="676" t="str">
        <f t="shared" ref="E1815" ca="1" si="7899">S1815</f>
        <v/>
      </c>
      <c r="F1815" s="194"/>
      <c r="G1815" s="668" t="str">
        <f t="shared" ref="G1815" ca="1" si="7900">IF(OR(INDIRECT("'update Helper'!E"&amp;U1815)=0,F1815&lt;&gt;0,F1816&lt;&gt;0),IF(IFERROR((F1815/F1816),"")="","",(F1815/F1816)),INDIRECT("'update Helper'!E"&amp;U1815)/100)</f>
        <v/>
      </c>
      <c r="H1815" s="670"/>
      <c r="I1815" s="672"/>
      <c r="J1815" s="651"/>
      <c r="K1815" s="666" t="str">
        <f t="shared" ref="K1815" ca="1" si="7901">W1815</f>
        <v/>
      </c>
      <c r="L1815" s="666" t="str">
        <f t="shared" ref="L1815" ca="1" si="7902">V1815</f>
        <v/>
      </c>
      <c r="M1815" s="651"/>
      <c r="N1815" s="651"/>
      <c r="P1815" s="189">
        <f t="shared" ref="P1815" ca="1" si="7903">IF(AND(EXACT(C1815,C1813),C1813&lt;&gt;0),P1813+1,0)</f>
        <v>197</v>
      </c>
      <c r="Q1815" s="189" t="str">
        <f t="shared" ref="Q1815" ca="1" si="7904">IF(C1815&lt;&gt;"",C1815&amp;"-"&amp;P1815,"")</f>
        <v/>
      </c>
      <c r="R1815" s="189" t="str">
        <f t="array" aca="1" ref="R1815" ca="1">IFERROR(IF(INDEX('Disaggregation Records'!$E$155:$E$385,MATCH(RIGHT(Q1815,255),RIGHT('Disaggregation Records'!$D$155:$D$385,255),0))=0,"",INDEX('Disaggregation Records'!$E$155:$E$385,MATCH(RIGHT(Q1815,255),RIGHT('Disaggregation Records'!$D$155:$D$385,255),0))),"")</f>
        <v/>
      </c>
      <c r="S1815" s="189" t="str">
        <f t="array" aca="1" ref="S1815" ca="1">IFERROR(IF(INDEX('Disaggregation Records'!$F$155:$F$385,MATCH(RIGHT(Q1815,255),RIGHT('Disaggregation Records'!$D$155:$D$385,255),0))=0,"",INDEX('Disaggregation Records'!$F$155:$F$385,MATCH(RIGHT(Q1815,255),RIGHT('Disaggregation Records'!$D$155:$D$385,255),0))),"")</f>
        <v/>
      </c>
      <c r="T1815" s="189" t="str">
        <f t="array" aca="1" ref="T1815" ca="1">IFERROR(IF(INDEX('Disaggregation Records'!$H$155:$H$385,MATCH(RIGHT(Q1815,255),RIGHT('Disaggregation Records'!$D$155:$D$385,255),0))=0,"",INDEX('Disaggregation Records'!$H$155:$H$385,MATCH(RIGHT(Q1815,255),RIGHT('Disaggregation Records'!$D$155:$D$385,255),0))),"")</f>
        <v/>
      </c>
      <c r="U1815" s="189">
        <f t="shared" ref="U1815" si="7905">U1813+1</f>
        <v>2009</v>
      </c>
      <c r="V1815" s="189" t="str">
        <f t="array" aca="1" ref="V1815" ca="1">IFERROR(IF(INDEX('Disaggregation Records'!$I$155:$I$385,MATCH(RIGHT(Q1815,255),RIGHT('Disaggregation Records'!$D$155:$D$385,255),0))=0,"",INDEX('Disaggregation Records'!$I$155:$I$385,MATCH(RIGHT(Q1815,255),RIGHT('Disaggregation Records'!$D$155:$D$385,255),0))),"")</f>
        <v/>
      </c>
      <c r="W1815" s="189" t="str">
        <f ca="1">IFERROR(INDEX('Reference Records'!L$59:L$121,MATCH(LEFT(C1815,255),'Reference Records'!E$59:E$121,0)),"")</f>
        <v/>
      </c>
    </row>
    <row r="1816" spans="1:23" s="189" customFormat="1" ht="40.200000000000003" customHeight="1" x14ac:dyDescent="0.3">
      <c r="A1816" s="678"/>
      <c r="B1816" s="675"/>
      <c r="C1816" s="667"/>
      <c r="D1816" s="677"/>
      <c r="E1816" s="677"/>
      <c r="F1816" s="202"/>
      <c r="G1816" s="669"/>
      <c r="H1816" s="671"/>
      <c r="I1816" s="673"/>
      <c r="J1816" s="652"/>
      <c r="K1816" s="667"/>
      <c r="L1816" s="667"/>
      <c r="M1816" s="652"/>
      <c r="N1816" s="652"/>
    </row>
    <row r="1817" spans="1:23" s="189" customFormat="1" ht="40.200000000000003" customHeight="1" x14ac:dyDescent="0.3">
      <c r="A1817" s="678" t="str">
        <f t="shared" ref="A1817" ca="1" si="7906">INDIRECT("'update Helper'!C"&amp;U1817)</f>
        <v>a163p000002zQj1AAE</v>
      </c>
      <c r="B1817" s="674">
        <v>30</v>
      </c>
      <c r="C1817" s="666" t="str">
        <f ca="1">VLOOKUP(B1817,'Coverage Indicators - Section D'!$A$9:$AU$70,47,FALSE)</f>
        <v/>
      </c>
      <c r="D1817" s="676" t="str">
        <f t="shared" ref="D1817" ca="1" si="7907">R1817</f>
        <v/>
      </c>
      <c r="E1817" s="676" t="str">
        <f t="shared" ref="E1817" ca="1" si="7908">S1817</f>
        <v/>
      </c>
      <c r="F1817" s="194"/>
      <c r="G1817" s="668" t="str">
        <f t="shared" ref="G1817" ca="1" si="7909">IF(OR(INDIRECT("'update Helper'!E"&amp;U1817)=0,F1817&lt;&gt;0,F1818&lt;&gt;0),IF(IFERROR((F1817/F1818),"")="","",(F1817/F1818)),INDIRECT("'update Helper'!E"&amp;U1817)/100)</f>
        <v/>
      </c>
      <c r="H1817" s="670"/>
      <c r="I1817" s="672"/>
      <c r="J1817" s="651"/>
      <c r="K1817" s="666" t="str">
        <f t="shared" ref="K1817" ca="1" si="7910">W1817</f>
        <v/>
      </c>
      <c r="L1817" s="666" t="str">
        <f t="shared" ref="L1817" ca="1" si="7911">V1817</f>
        <v/>
      </c>
      <c r="M1817" s="651"/>
      <c r="N1817" s="651"/>
      <c r="P1817" s="189">
        <f t="shared" ref="P1817" ca="1" si="7912">IF(AND(EXACT(C1817,C1815),C1815&lt;&gt;0),P1815+1,0)</f>
        <v>198</v>
      </c>
      <c r="Q1817" s="189" t="str">
        <f t="shared" ref="Q1817" ca="1" si="7913">IF(C1817&lt;&gt;"",C1817&amp;"-"&amp;P1817,"")</f>
        <v/>
      </c>
      <c r="R1817" s="189" t="str">
        <f t="array" aca="1" ref="R1817" ca="1">IFERROR(IF(INDEX('Disaggregation Records'!$E$155:$E$385,MATCH(RIGHT(Q1817,255),RIGHT('Disaggregation Records'!$D$155:$D$385,255),0))=0,"",INDEX('Disaggregation Records'!$E$155:$E$385,MATCH(RIGHT(Q1817,255),RIGHT('Disaggregation Records'!$D$155:$D$385,255),0))),"")</f>
        <v/>
      </c>
      <c r="S1817" s="189" t="str">
        <f t="array" aca="1" ref="S1817" ca="1">IFERROR(IF(INDEX('Disaggregation Records'!$F$155:$F$385,MATCH(RIGHT(Q1817,255),RIGHT('Disaggregation Records'!$D$155:$D$385,255),0))=0,"",INDEX('Disaggregation Records'!$F$155:$F$385,MATCH(RIGHT(Q1817,255),RIGHT('Disaggregation Records'!$D$155:$D$385,255),0))),"")</f>
        <v/>
      </c>
      <c r="T1817" s="189" t="str">
        <f t="array" aca="1" ref="T1817" ca="1">IFERROR(IF(INDEX('Disaggregation Records'!$H$155:$H$385,MATCH(RIGHT(Q1817,255),RIGHT('Disaggregation Records'!$D$155:$D$385,255),0))=0,"",INDEX('Disaggregation Records'!$H$155:$H$385,MATCH(RIGHT(Q1817,255),RIGHT('Disaggregation Records'!$D$155:$D$385,255),0))),"")</f>
        <v/>
      </c>
      <c r="U1817" s="189">
        <f t="shared" ref="U1817" si="7914">U1815+1</f>
        <v>2010</v>
      </c>
      <c r="V1817" s="189" t="str">
        <f t="array" aca="1" ref="V1817" ca="1">IFERROR(IF(INDEX('Disaggregation Records'!$I$155:$I$385,MATCH(RIGHT(Q1817,255),RIGHT('Disaggregation Records'!$D$155:$D$385,255),0))=0,"",INDEX('Disaggregation Records'!$I$155:$I$385,MATCH(RIGHT(Q1817,255),RIGHT('Disaggregation Records'!$D$155:$D$385,255),0))),"")</f>
        <v/>
      </c>
      <c r="W1817" s="189" t="str">
        <f ca="1">IFERROR(INDEX('Reference Records'!L$59:L$121,MATCH(LEFT(C1817,255),'Reference Records'!E$59:E$121,0)),"")</f>
        <v/>
      </c>
    </row>
    <row r="1818" spans="1:23" s="189" customFormat="1" ht="40.200000000000003" customHeight="1" x14ac:dyDescent="0.3">
      <c r="A1818" s="678"/>
      <c r="B1818" s="675"/>
      <c r="C1818" s="667"/>
      <c r="D1818" s="677"/>
      <c r="E1818" s="677"/>
      <c r="F1818" s="202"/>
      <c r="G1818" s="669"/>
      <c r="H1818" s="671"/>
      <c r="I1818" s="673"/>
      <c r="J1818" s="652"/>
      <c r="K1818" s="667"/>
      <c r="L1818" s="667"/>
      <c r="M1818" s="652"/>
      <c r="N1818" s="652"/>
    </row>
    <row r="1819" spans="1:23" s="189" customFormat="1" ht="40.200000000000003" customHeight="1" x14ac:dyDescent="0.3">
      <c r="A1819" s="678" t="str">
        <f t="shared" ref="A1819" ca="1" si="7915">INDIRECT("'update Helper'!C"&amp;U1819)</f>
        <v>a163p000002zQj2AAE</v>
      </c>
      <c r="B1819" s="674">
        <v>30</v>
      </c>
      <c r="C1819" s="666" t="str">
        <f ca="1">VLOOKUP(B1819,'Coverage Indicators - Section D'!$A$9:$AU$70,47,FALSE)</f>
        <v/>
      </c>
      <c r="D1819" s="676" t="str">
        <f t="shared" ref="D1819" ca="1" si="7916">R1819</f>
        <v/>
      </c>
      <c r="E1819" s="676" t="str">
        <f t="shared" ref="E1819" ca="1" si="7917">S1819</f>
        <v/>
      </c>
      <c r="F1819" s="194"/>
      <c r="G1819" s="668" t="str">
        <f t="shared" ref="G1819" ca="1" si="7918">IF(OR(INDIRECT("'update Helper'!E"&amp;U1819)=0,F1819&lt;&gt;0,F1820&lt;&gt;0),IF(IFERROR((F1819/F1820),"")="","",(F1819/F1820)),INDIRECT("'update Helper'!E"&amp;U1819)/100)</f>
        <v/>
      </c>
      <c r="H1819" s="670"/>
      <c r="I1819" s="672"/>
      <c r="J1819" s="651"/>
      <c r="K1819" s="666" t="str">
        <f t="shared" ref="K1819" ca="1" si="7919">W1819</f>
        <v/>
      </c>
      <c r="L1819" s="666" t="str">
        <f t="shared" ref="L1819" ca="1" si="7920">V1819</f>
        <v/>
      </c>
      <c r="M1819" s="651"/>
      <c r="N1819" s="651"/>
      <c r="P1819" s="189">
        <f t="shared" ref="P1819" ca="1" si="7921">IF(AND(EXACT(C1819,C1817),C1817&lt;&gt;0),P1817+1,0)</f>
        <v>199</v>
      </c>
      <c r="Q1819" s="189" t="str">
        <f t="shared" ref="Q1819" ca="1" si="7922">IF(C1819&lt;&gt;"",C1819&amp;"-"&amp;P1819,"")</f>
        <v/>
      </c>
      <c r="R1819" s="189" t="str">
        <f t="array" aca="1" ref="R1819" ca="1">IFERROR(IF(INDEX('Disaggregation Records'!$E$155:$E$385,MATCH(RIGHT(Q1819,255),RIGHT('Disaggregation Records'!$D$155:$D$385,255),0))=0,"",INDEX('Disaggregation Records'!$E$155:$E$385,MATCH(RIGHT(Q1819,255),RIGHT('Disaggregation Records'!$D$155:$D$385,255),0))),"")</f>
        <v/>
      </c>
      <c r="S1819" s="189" t="str">
        <f t="array" aca="1" ref="S1819" ca="1">IFERROR(IF(INDEX('Disaggregation Records'!$F$155:$F$385,MATCH(RIGHT(Q1819,255),RIGHT('Disaggregation Records'!$D$155:$D$385,255),0))=0,"",INDEX('Disaggregation Records'!$F$155:$F$385,MATCH(RIGHT(Q1819,255),RIGHT('Disaggregation Records'!$D$155:$D$385,255),0))),"")</f>
        <v/>
      </c>
      <c r="T1819" s="189" t="str">
        <f t="array" aca="1" ref="T1819" ca="1">IFERROR(IF(INDEX('Disaggregation Records'!$H$155:$H$385,MATCH(RIGHT(Q1819,255),RIGHT('Disaggregation Records'!$D$155:$D$385,255),0))=0,"",INDEX('Disaggregation Records'!$H$155:$H$385,MATCH(RIGHT(Q1819,255),RIGHT('Disaggregation Records'!$D$155:$D$385,255),0))),"")</f>
        <v/>
      </c>
      <c r="U1819" s="189">
        <f t="shared" ref="U1819" si="7923">U1817+1</f>
        <v>2011</v>
      </c>
      <c r="V1819" s="189" t="str">
        <f t="array" aca="1" ref="V1819" ca="1">IFERROR(IF(INDEX('Disaggregation Records'!$I$155:$I$385,MATCH(RIGHT(Q1819,255),RIGHT('Disaggregation Records'!$D$155:$D$385,255),0))=0,"",INDEX('Disaggregation Records'!$I$155:$I$385,MATCH(RIGHT(Q1819,255),RIGHT('Disaggregation Records'!$D$155:$D$385,255),0))),"")</f>
        <v/>
      </c>
      <c r="W1819" s="189" t="str">
        <f ca="1">IFERROR(INDEX('Reference Records'!L$59:L$121,MATCH(LEFT(C1819,255),'Reference Records'!E$59:E$121,0)),"")</f>
        <v/>
      </c>
    </row>
    <row r="1820" spans="1:23" s="189" customFormat="1" ht="40.200000000000003" customHeight="1" x14ac:dyDescent="0.3">
      <c r="A1820" s="678"/>
      <c r="B1820" s="675"/>
      <c r="C1820" s="667"/>
      <c r="D1820" s="677"/>
      <c r="E1820" s="677"/>
      <c r="F1820" s="202"/>
      <c r="G1820" s="669"/>
      <c r="H1820" s="671"/>
      <c r="I1820" s="673"/>
      <c r="J1820" s="652"/>
      <c r="K1820" s="667"/>
      <c r="L1820" s="667"/>
      <c r="M1820" s="652"/>
      <c r="N1820" s="652"/>
    </row>
  </sheetData>
  <sheetProtection password="FB8C" sheet="1" objects="1" scenarios="1" formatCells="0" formatColumns="0" formatRows="0"/>
  <mergeCells count="11707">
    <mergeCell ref="A156:A157"/>
    <mergeCell ref="A154:A155"/>
    <mergeCell ref="A152:A153"/>
    <mergeCell ref="A150:A151"/>
    <mergeCell ref="A148:A149"/>
    <mergeCell ref="A146:A147"/>
    <mergeCell ref="A144:A145"/>
    <mergeCell ref="A142:A143"/>
    <mergeCell ref="A140:A141"/>
    <mergeCell ref="A138:A139"/>
    <mergeCell ref="A136:A137"/>
    <mergeCell ref="A134:A135"/>
    <mergeCell ref="A132:A133"/>
    <mergeCell ref="A130:A131"/>
    <mergeCell ref="A128:A129"/>
    <mergeCell ref="A126:A127"/>
    <mergeCell ref="A124:A125"/>
    <mergeCell ref="A122:A123"/>
    <mergeCell ref="A120:A121"/>
    <mergeCell ref="A118:A119"/>
    <mergeCell ref="A116:A117"/>
    <mergeCell ref="A114:A115"/>
    <mergeCell ref="A112:A113"/>
    <mergeCell ref="A110:A111"/>
    <mergeCell ref="A108:A109"/>
    <mergeCell ref="A106:A107"/>
    <mergeCell ref="A104:A105"/>
    <mergeCell ref="A102:A103"/>
    <mergeCell ref="A100:A101"/>
    <mergeCell ref="A98:A99"/>
    <mergeCell ref="A96:A97"/>
    <mergeCell ref="A222:A223"/>
    <mergeCell ref="A220:A221"/>
    <mergeCell ref="A218:A219"/>
    <mergeCell ref="A216:A217"/>
    <mergeCell ref="A214:A215"/>
    <mergeCell ref="A212:A213"/>
    <mergeCell ref="A210:A211"/>
    <mergeCell ref="A208:A209"/>
    <mergeCell ref="A206:A207"/>
    <mergeCell ref="A204:A205"/>
    <mergeCell ref="A202:A203"/>
    <mergeCell ref="A200:A201"/>
    <mergeCell ref="A198:A199"/>
    <mergeCell ref="A196:A197"/>
    <mergeCell ref="A194:A195"/>
    <mergeCell ref="A192:A193"/>
    <mergeCell ref="A190:A191"/>
    <mergeCell ref="A188:A189"/>
    <mergeCell ref="A186:A187"/>
    <mergeCell ref="A184:A185"/>
    <mergeCell ref="A182:A183"/>
    <mergeCell ref="A180:A181"/>
    <mergeCell ref="A178:A179"/>
    <mergeCell ref="A176:A177"/>
    <mergeCell ref="A174:A175"/>
    <mergeCell ref="A172:A173"/>
    <mergeCell ref="A170:A171"/>
    <mergeCell ref="A168:A169"/>
    <mergeCell ref="A166:A167"/>
    <mergeCell ref="A164:A165"/>
    <mergeCell ref="A162:A163"/>
    <mergeCell ref="A160:A161"/>
    <mergeCell ref="A158:A159"/>
    <mergeCell ref="A288:A289"/>
    <mergeCell ref="A286:A287"/>
    <mergeCell ref="A284:A285"/>
    <mergeCell ref="A282:A283"/>
    <mergeCell ref="A280:A281"/>
    <mergeCell ref="A278:A279"/>
    <mergeCell ref="A276:A277"/>
    <mergeCell ref="A274:A275"/>
    <mergeCell ref="A272:A273"/>
    <mergeCell ref="A270:A271"/>
    <mergeCell ref="A268:A269"/>
    <mergeCell ref="A266:A267"/>
    <mergeCell ref="A264:A265"/>
    <mergeCell ref="A262:A263"/>
    <mergeCell ref="A260:A261"/>
    <mergeCell ref="A258:A259"/>
    <mergeCell ref="A256:A257"/>
    <mergeCell ref="A254:A255"/>
    <mergeCell ref="A252:A253"/>
    <mergeCell ref="A250:A251"/>
    <mergeCell ref="A248:A249"/>
    <mergeCell ref="A246:A247"/>
    <mergeCell ref="A244:A245"/>
    <mergeCell ref="A242:A243"/>
    <mergeCell ref="A240:A241"/>
    <mergeCell ref="A238:A239"/>
    <mergeCell ref="A236:A237"/>
    <mergeCell ref="A234:A235"/>
    <mergeCell ref="A232:A233"/>
    <mergeCell ref="A230:A231"/>
    <mergeCell ref="A228:A229"/>
    <mergeCell ref="A226:A227"/>
    <mergeCell ref="A224:A225"/>
    <mergeCell ref="A360:A361"/>
    <mergeCell ref="A358:A359"/>
    <mergeCell ref="A356:A357"/>
    <mergeCell ref="A354:A355"/>
    <mergeCell ref="A352:A353"/>
    <mergeCell ref="A350:A351"/>
    <mergeCell ref="A348:A349"/>
    <mergeCell ref="A346:A347"/>
    <mergeCell ref="A344:A345"/>
    <mergeCell ref="A342:A343"/>
    <mergeCell ref="A340:A341"/>
    <mergeCell ref="A338:A339"/>
    <mergeCell ref="A336:A337"/>
    <mergeCell ref="A334:A335"/>
    <mergeCell ref="A332:A333"/>
    <mergeCell ref="A330:A331"/>
    <mergeCell ref="A328:A329"/>
    <mergeCell ref="A326:A327"/>
    <mergeCell ref="A324:A325"/>
    <mergeCell ref="A322:A323"/>
    <mergeCell ref="A320:A321"/>
    <mergeCell ref="A318:A319"/>
    <mergeCell ref="A316:A317"/>
    <mergeCell ref="A308:A309"/>
    <mergeCell ref="A306:A307"/>
    <mergeCell ref="A304:A305"/>
    <mergeCell ref="A302:A303"/>
    <mergeCell ref="A300:A301"/>
    <mergeCell ref="A298:A299"/>
    <mergeCell ref="A296:A297"/>
    <mergeCell ref="A294:A295"/>
    <mergeCell ref="A292:A293"/>
    <mergeCell ref="A290:A291"/>
    <mergeCell ref="A426:A427"/>
    <mergeCell ref="A424:A425"/>
    <mergeCell ref="A422:A423"/>
    <mergeCell ref="A420:A421"/>
    <mergeCell ref="A418:A419"/>
    <mergeCell ref="A416:A417"/>
    <mergeCell ref="A414:A415"/>
    <mergeCell ref="A412:A413"/>
    <mergeCell ref="A410:A411"/>
    <mergeCell ref="A408:A409"/>
    <mergeCell ref="A406:A407"/>
    <mergeCell ref="A404:A405"/>
    <mergeCell ref="A402:A403"/>
    <mergeCell ref="A400:A401"/>
    <mergeCell ref="A398:A399"/>
    <mergeCell ref="A396:A397"/>
    <mergeCell ref="A394:A395"/>
    <mergeCell ref="A392:A393"/>
    <mergeCell ref="A390:A391"/>
    <mergeCell ref="A388:A389"/>
    <mergeCell ref="A386:A387"/>
    <mergeCell ref="A384:A385"/>
    <mergeCell ref="A382:A383"/>
    <mergeCell ref="A380:A381"/>
    <mergeCell ref="A378:A379"/>
    <mergeCell ref="A376:A377"/>
    <mergeCell ref="A374:A375"/>
    <mergeCell ref="A372:A373"/>
    <mergeCell ref="A370:A371"/>
    <mergeCell ref="A368:A369"/>
    <mergeCell ref="A366:A367"/>
    <mergeCell ref="A364:A365"/>
    <mergeCell ref="A362:A363"/>
    <mergeCell ref="A492:A493"/>
    <mergeCell ref="A490:A491"/>
    <mergeCell ref="A488:A489"/>
    <mergeCell ref="A486:A487"/>
    <mergeCell ref="A484:A485"/>
    <mergeCell ref="A482:A483"/>
    <mergeCell ref="A480:A481"/>
    <mergeCell ref="A478:A479"/>
    <mergeCell ref="A476:A477"/>
    <mergeCell ref="A474:A475"/>
    <mergeCell ref="A472:A473"/>
    <mergeCell ref="A470:A471"/>
    <mergeCell ref="A468:A469"/>
    <mergeCell ref="A466:A467"/>
    <mergeCell ref="A464:A465"/>
    <mergeCell ref="A462:A463"/>
    <mergeCell ref="A460:A461"/>
    <mergeCell ref="A458:A459"/>
    <mergeCell ref="A456:A457"/>
    <mergeCell ref="A454:A455"/>
    <mergeCell ref="A452:A453"/>
    <mergeCell ref="A450:A451"/>
    <mergeCell ref="A448:A449"/>
    <mergeCell ref="A446:A447"/>
    <mergeCell ref="A444:A445"/>
    <mergeCell ref="A442:A443"/>
    <mergeCell ref="A440:A441"/>
    <mergeCell ref="A438:A439"/>
    <mergeCell ref="A436:A437"/>
    <mergeCell ref="A434:A435"/>
    <mergeCell ref="A432:A433"/>
    <mergeCell ref="A430:A431"/>
    <mergeCell ref="A428:A429"/>
    <mergeCell ref="A558:A559"/>
    <mergeCell ref="A556:A557"/>
    <mergeCell ref="A554:A555"/>
    <mergeCell ref="A552:A553"/>
    <mergeCell ref="A550:A551"/>
    <mergeCell ref="A548:A549"/>
    <mergeCell ref="A546:A547"/>
    <mergeCell ref="A544:A545"/>
    <mergeCell ref="A542:A543"/>
    <mergeCell ref="A540:A541"/>
    <mergeCell ref="A538:A539"/>
    <mergeCell ref="A536:A537"/>
    <mergeCell ref="A534:A535"/>
    <mergeCell ref="A532:A533"/>
    <mergeCell ref="A530:A531"/>
    <mergeCell ref="A528:A529"/>
    <mergeCell ref="A526:A527"/>
    <mergeCell ref="A524:A525"/>
    <mergeCell ref="A522:A523"/>
    <mergeCell ref="A520:A521"/>
    <mergeCell ref="A518:A519"/>
    <mergeCell ref="A516:A517"/>
    <mergeCell ref="A514:A515"/>
    <mergeCell ref="A512:A513"/>
    <mergeCell ref="A510:A511"/>
    <mergeCell ref="A508:A509"/>
    <mergeCell ref="A506:A507"/>
    <mergeCell ref="A504:A505"/>
    <mergeCell ref="A502:A503"/>
    <mergeCell ref="A500:A501"/>
    <mergeCell ref="A498:A499"/>
    <mergeCell ref="A496:A497"/>
    <mergeCell ref="A494:A495"/>
    <mergeCell ref="A631:A632"/>
    <mergeCell ref="A629:A630"/>
    <mergeCell ref="A627:A628"/>
    <mergeCell ref="A625:A626"/>
    <mergeCell ref="A623:A624"/>
    <mergeCell ref="A614:A615"/>
    <mergeCell ref="A612:A613"/>
    <mergeCell ref="A610:A611"/>
    <mergeCell ref="A608:A609"/>
    <mergeCell ref="A606:A607"/>
    <mergeCell ref="A604:A605"/>
    <mergeCell ref="A602:A603"/>
    <mergeCell ref="A600:A601"/>
    <mergeCell ref="A598:A599"/>
    <mergeCell ref="A596:A597"/>
    <mergeCell ref="A594:A595"/>
    <mergeCell ref="A592:A593"/>
    <mergeCell ref="A590:A591"/>
    <mergeCell ref="A588:A589"/>
    <mergeCell ref="A586:A587"/>
    <mergeCell ref="A584:A585"/>
    <mergeCell ref="A582:A583"/>
    <mergeCell ref="A580:A581"/>
    <mergeCell ref="A578:A579"/>
    <mergeCell ref="A576:A577"/>
    <mergeCell ref="A574:A575"/>
    <mergeCell ref="A572:A573"/>
    <mergeCell ref="A570:A571"/>
    <mergeCell ref="A568:A569"/>
    <mergeCell ref="A566:A567"/>
    <mergeCell ref="A564:A565"/>
    <mergeCell ref="A562:A563"/>
    <mergeCell ref="A560:A561"/>
    <mergeCell ref="A697:A698"/>
    <mergeCell ref="A695:A696"/>
    <mergeCell ref="A693:A694"/>
    <mergeCell ref="A691:A692"/>
    <mergeCell ref="A689:A690"/>
    <mergeCell ref="A687:A688"/>
    <mergeCell ref="A685:A686"/>
    <mergeCell ref="A683:A684"/>
    <mergeCell ref="A681:A682"/>
    <mergeCell ref="A679:A680"/>
    <mergeCell ref="A677:A678"/>
    <mergeCell ref="A675:A676"/>
    <mergeCell ref="A673:A674"/>
    <mergeCell ref="A671:A672"/>
    <mergeCell ref="A669:A670"/>
    <mergeCell ref="A667:A668"/>
    <mergeCell ref="A665:A666"/>
    <mergeCell ref="A663:A664"/>
    <mergeCell ref="A661:A662"/>
    <mergeCell ref="A659:A660"/>
    <mergeCell ref="A657:A658"/>
    <mergeCell ref="A655:A656"/>
    <mergeCell ref="A653:A654"/>
    <mergeCell ref="A651:A652"/>
    <mergeCell ref="A649:A650"/>
    <mergeCell ref="A647:A648"/>
    <mergeCell ref="A645:A646"/>
    <mergeCell ref="A643:A644"/>
    <mergeCell ref="A641:A642"/>
    <mergeCell ref="A639:A640"/>
    <mergeCell ref="A637:A638"/>
    <mergeCell ref="A635:A636"/>
    <mergeCell ref="A633:A634"/>
    <mergeCell ref="A763:A764"/>
    <mergeCell ref="A761:A762"/>
    <mergeCell ref="A759:A760"/>
    <mergeCell ref="A757:A758"/>
    <mergeCell ref="A755:A756"/>
    <mergeCell ref="A753:A754"/>
    <mergeCell ref="A751:A752"/>
    <mergeCell ref="A749:A750"/>
    <mergeCell ref="A747:A748"/>
    <mergeCell ref="A745:A746"/>
    <mergeCell ref="A743:A744"/>
    <mergeCell ref="A741:A742"/>
    <mergeCell ref="A739:A740"/>
    <mergeCell ref="A737:A738"/>
    <mergeCell ref="A735:A736"/>
    <mergeCell ref="A733:A734"/>
    <mergeCell ref="A731:A732"/>
    <mergeCell ref="A729:A730"/>
    <mergeCell ref="A727:A728"/>
    <mergeCell ref="A725:A726"/>
    <mergeCell ref="A723:A724"/>
    <mergeCell ref="A721:A722"/>
    <mergeCell ref="A719:A720"/>
    <mergeCell ref="A717:A718"/>
    <mergeCell ref="A715:A716"/>
    <mergeCell ref="A713:A714"/>
    <mergeCell ref="A711:A712"/>
    <mergeCell ref="A709:A710"/>
    <mergeCell ref="A707:A708"/>
    <mergeCell ref="A705:A706"/>
    <mergeCell ref="A703:A704"/>
    <mergeCell ref="A701:A702"/>
    <mergeCell ref="A699:A700"/>
    <mergeCell ref="A829:A830"/>
    <mergeCell ref="A827:A828"/>
    <mergeCell ref="A825:A826"/>
    <mergeCell ref="A823:A824"/>
    <mergeCell ref="A821:A822"/>
    <mergeCell ref="A819:A820"/>
    <mergeCell ref="A817:A818"/>
    <mergeCell ref="A815:A816"/>
    <mergeCell ref="A813:A814"/>
    <mergeCell ref="A811:A812"/>
    <mergeCell ref="A809:A810"/>
    <mergeCell ref="A807:A808"/>
    <mergeCell ref="A805:A806"/>
    <mergeCell ref="A803:A804"/>
    <mergeCell ref="A801:A802"/>
    <mergeCell ref="A799:A800"/>
    <mergeCell ref="A797:A798"/>
    <mergeCell ref="A795:A796"/>
    <mergeCell ref="A793:A794"/>
    <mergeCell ref="A791:A792"/>
    <mergeCell ref="A789:A790"/>
    <mergeCell ref="A787:A788"/>
    <mergeCell ref="A785:A786"/>
    <mergeCell ref="A783:A784"/>
    <mergeCell ref="A781:A782"/>
    <mergeCell ref="A779:A780"/>
    <mergeCell ref="A777:A778"/>
    <mergeCell ref="A775:A776"/>
    <mergeCell ref="A773:A774"/>
    <mergeCell ref="A771:A772"/>
    <mergeCell ref="A769:A770"/>
    <mergeCell ref="A767:A768"/>
    <mergeCell ref="A765:A766"/>
    <mergeCell ref="A895:A896"/>
    <mergeCell ref="A893:A894"/>
    <mergeCell ref="A891:A892"/>
    <mergeCell ref="A889:A890"/>
    <mergeCell ref="A887:A888"/>
    <mergeCell ref="A885:A886"/>
    <mergeCell ref="A883:A884"/>
    <mergeCell ref="A881:A882"/>
    <mergeCell ref="A879:A880"/>
    <mergeCell ref="A877:A878"/>
    <mergeCell ref="A875:A876"/>
    <mergeCell ref="A873:A874"/>
    <mergeCell ref="A871:A872"/>
    <mergeCell ref="A869:A870"/>
    <mergeCell ref="A867:A868"/>
    <mergeCell ref="A865:A866"/>
    <mergeCell ref="A863:A864"/>
    <mergeCell ref="A861:A862"/>
    <mergeCell ref="A859:A860"/>
    <mergeCell ref="A857:A858"/>
    <mergeCell ref="A855:A856"/>
    <mergeCell ref="A853:A854"/>
    <mergeCell ref="A851:A852"/>
    <mergeCell ref="A849:A850"/>
    <mergeCell ref="A847:A848"/>
    <mergeCell ref="A845:A846"/>
    <mergeCell ref="A843:A844"/>
    <mergeCell ref="A841:A842"/>
    <mergeCell ref="A839:A840"/>
    <mergeCell ref="A837:A838"/>
    <mergeCell ref="A835:A836"/>
    <mergeCell ref="A833:A834"/>
    <mergeCell ref="A831:A832"/>
    <mergeCell ref="A961:A962"/>
    <mergeCell ref="A959:A960"/>
    <mergeCell ref="A957:A958"/>
    <mergeCell ref="A955:A956"/>
    <mergeCell ref="A953:A954"/>
    <mergeCell ref="A951:A952"/>
    <mergeCell ref="A949:A950"/>
    <mergeCell ref="A947:A948"/>
    <mergeCell ref="A945:A946"/>
    <mergeCell ref="A943:A944"/>
    <mergeCell ref="A941:A942"/>
    <mergeCell ref="A939:A940"/>
    <mergeCell ref="A937:A938"/>
    <mergeCell ref="A935:A936"/>
    <mergeCell ref="A933:A934"/>
    <mergeCell ref="A931:A932"/>
    <mergeCell ref="A929:A930"/>
    <mergeCell ref="A927:A928"/>
    <mergeCell ref="A925:A926"/>
    <mergeCell ref="A923:A924"/>
    <mergeCell ref="A921:A922"/>
    <mergeCell ref="A919:A920"/>
    <mergeCell ref="A917:A918"/>
    <mergeCell ref="A915:A916"/>
    <mergeCell ref="A913:A914"/>
    <mergeCell ref="A911:A912"/>
    <mergeCell ref="A909:A910"/>
    <mergeCell ref="A907:A908"/>
    <mergeCell ref="A905:A906"/>
    <mergeCell ref="A903:A904"/>
    <mergeCell ref="A901:A902"/>
    <mergeCell ref="A899:A900"/>
    <mergeCell ref="A897:A898"/>
    <mergeCell ref="A1027:A1028"/>
    <mergeCell ref="A1025:A1026"/>
    <mergeCell ref="A1023:A1024"/>
    <mergeCell ref="A1021:A1022"/>
    <mergeCell ref="A1019:A1020"/>
    <mergeCell ref="A1017:A1018"/>
    <mergeCell ref="A1015:A1016"/>
    <mergeCell ref="A1013:A1014"/>
    <mergeCell ref="A1011:A1012"/>
    <mergeCell ref="A1009:A1010"/>
    <mergeCell ref="A1007:A1008"/>
    <mergeCell ref="A1005:A1006"/>
    <mergeCell ref="A1003:A1004"/>
    <mergeCell ref="A1001:A1002"/>
    <mergeCell ref="A999:A1000"/>
    <mergeCell ref="A997:A998"/>
    <mergeCell ref="A995:A996"/>
    <mergeCell ref="A993:A994"/>
    <mergeCell ref="A991:A992"/>
    <mergeCell ref="A989:A990"/>
    <mergeCell ref="A987:A988"/>
    <mergeCell ref="A985:A986"/>
    <mergeCell ref="A983:A984"/>
    <mergeCell ref="A981:A982"/>
    <mergeCell ref="A979:A980"/>
    <mergeCell ref="A977:A978"/>
    <mergeCell ref="A975:A976"/>
    <mergeCell ref="A973:A974"/>
    <mergeCell ref="A971:A972"/>
    <mergeCell ref="A969:A970"/>
    <mergeCell ref="A967:A968"/>
    <mergeCell ref="A965:A966"/>
    <mergeCell ref="A963:A964"/>
    <mergeCell ref="A1093:A1094"/>
    <mergeCell ref="A1091:A1092"/>
    <mergeCell ref="A1089:A1090"/>
    <mergeCell ref="A1087:A1088"/>
    <mergeCell ref="A1085:A1086"/>
    <mergeCell ref="A1083:A1084"/>
    <mergeCell ref="A1081:A1082"/>
    <mergeCell ref="A1079:A1080"/>
    <mergeCell ref="A1077:A1078"/>
    <mergeCell ref="A1075:A1076"/>
    <mergeCell ref="A1073:A1074"/>
    <mergeCell ref="A1071:A1072"/>
    <mergeCell ref="A1069:A1070"/>
    <mergeCell ref="A1067:A1068"/>
    <mergeCell ref="A1065:A1066"/>
    <mergeCell ref="A1063:A1064"/>
    <mergeCell ref="A1061:A1062"/>
    <mergeCell ref="A1059:A1060"/>
    <mergeCell ref="A1057:A1058"/>
    <mergeCell ref="A1055:A1056"/>
    <mergeCell ref="A1053:A1054"/>
    <mergeCell ref="A1051:A1052"/>
    <mergeCell ref="A1049:A1050"/>
    <mergeCell ref="A1047:A1048"/>
    <mergeCell ref="A1045:A1046"/>
    <mergeCell ref="A1043:A1044"/>
    <mergeCell ref="A1041:A1042"/>
    <mergeCell ref="A1039:A1040"/>
    <mergeCell ref="A1037:A1038"/>
    <mergeCell ref="A1035:A1036"/>
    <mergeCell ref="A1033:A1034"/>
    <mergeCell ref="A1031:A1032"/>
    <mergeCell ref="A1029:A1030"/>
    <mergeCell ref="A1159:A1160"/>
    <mergeCell ref="A1157:A1158"/>
    <mergeCell ref="A1155:A1156"/>
    <mergeCell ref="A1153:A1154"/>
    <mergeCell ref="A1151:A1152"/>
    <mergeCell ref="A1149:A1150"/>
    <mergeCell ref="A1147:A1148"/>
    <mergeCell ref="A1145:A1146"/>
    <mergeCell ref="A1143:A1144"/>
    <mergeCell ref="A1141:A1142"/>
    <mergeCell ref="A1139:A1140"/>
    <mergeCell ref="A1137:A1138"/>
    <mergeCell ref="A1135:A1136"/>
    <mergeCell ref="A1133:A1134"/>
    <mergeCell ref="A1131:A1132"/>
    <mergeCell ref="A1129:A1130"/>
    <mergeCell ref="A1127:A1128"/>
    <mergeCell ref="A1125:A1126"/>
    <mergeCell ref="A1123:A1124"/>
    <mergeCell ref="A1121:A1122"/>
    <mergeCell ref="A1119:A1120"/>
    <mergeCell ref="A1117:A1118"/>
    <mergeCell ref="A1115:A1116"/>
    <mergeCell ref="A1113:A1114"/>
    <mergeCell ref="A1111:A1112"/>
    <mergeCell ref="A1109:A1110"/>
    <mergeCell ref="A1107:A1108"/>
    <mergeCell ref="A1105:A1106"/>
    <mergeCell ref="A1103:A1104"/>
    <mergeCell ref="A1101:A1102"/>
    <mergeCell ref="A1099:A1100"/>
    <mergeCell ref="A1097:A1098"/>
    <mergeCell ref="A1095:A1096"/>
    <mergeCell ref="A1225:A1226"/>
    <mergeCell ref="A1223:A1224"/>
    <mergeCell ref="A1221:A1222"/>
    <mergeCell ref="A1219:A1220"/>
    <mergeCell ref="A1217:A1218"/>
    <mergeCell ref="A1215:A1216"/>
    <mergeCell ref="A1213:A1214"/>
    <mergeCell ref="A1211:A1212"/>
    <mergeCell ref="A1209:A1210"/>
    <mergeCell ref="A1207:A1208"/>
    <mergeCell ref="A1205:A1206"/>
    <mergeCell ref="A1203:A1204"/>
    <mergeCell ref="A1201:A1202"/>
    <mergeCell ref="A1199:A1200"/>
    <mergeCell ref="A1197:A1198"/>
    <mergeCell ref="A1195:A1196"/>
    <mergeCell ref="A1193:A1194"/>
    <mergeCell ref="A1191:A1192"/>
    <mergeCell ref="A1189:A1190"/>
    <mergeCell ref="A1187:A1188"/>
    <mergeCell ref="A1185:A1186"/>
    <mergeCell ref="A1183:A1184"/>
    <mergeCell ref="A1181:A1182"/>
    <mergeCell ref="A1179:A1180"/>
    <mergeCell ref="A1177:A1178"/>
    <mergeCell ref="A1175:A1176"/>
    <mergeCell ref="A1173:A1174"/>
    <mergeCell ref="A1171:A1172"/>
    <mergeCell ref="A1169:A1170"/>
    <mergeCell ref="A1167:A1168"/>
    <mergeCell ref="A1165:A1166"/>
    <mergeCell ref="A1163:A1164"/>
    <mergeCell ref="A1161:A1162"/>
    <mergeCell ref="A1291:A1292"/>
    <mergeCell ref="A1289:A1290"/>
    <mergeCell ref="A1287:A1288"/>
    <mergeCell ref="A1285:A1286"/>
    <mergeCell ref="A1283:A1284"/>
    <mergeCell ref="A1281:A1282"/>
    <mergeCell ref="A1279:A1280"/>
    <mergeCell ref="A1277:A1278"/>
    <mergeCell ref="A1275:A1276"/>
    <mergeCell ref="A1273:A1274"/>
    <mergeCell ref="A1271:A1272"/>
    <mergeCell ref="A1269:A1270"/>
    <mergeCell ref="A1267:A1268"/>
    <mergeCell ref="A1265:A1266"/>
    <mergeCell ref="A1263:A1264"/>
    <mergeCell ref="A1261:A1262"/>
    <mergeCell ref="A1259:A1260"/>
    <mergeCell ref="A1257:A1258"/>
    <mergeCell ref="A1255:A1256"/>
    <mergeCell ref="A1253:A1254"/>
    <mergeCell ref="A1251:A1252"/>
    <mergeCell ref="A1249:A1250"/>
    <mergeCell ref="A1247:A1248"/>
    <mergeCell ref="A1245:A1246"/>
    <mergeCell ref="A1243:A1244"/>
    <mergeCell ref="A1241:A1242"/>
    <mergeCell ref="A1239:A1240"/>
    <mergeCell ref="A1237:A1238"/>
    <mergeCell ref="A1235:A1236"/>
    <mergeCell ref="A1233:A1234"/>
    <mergeCell ref="A1231:A1232"/>
    <mergeCell ref="A1229:A1230"/>
    <mergeCell ref="A1227:A1228"/>
    <mergeCell ref="A1357:A1358"/>
    <mergeCell ref="A1355:A1356"/>
    <mergeCell ref="A1353:A1354"/>
    <mergeCell ref="A1351:A1352"/>
    <mergeCell ref="A1349:A1350"/>
    <mergeCell ref="A1347:A1348"/>
    <mergeCell ref="A1345:A1346"/>
    <mergeCell ref="A1343:A1344"/>
    <mergeCell ref="A1341:A1342"/>
    <mergeCell ref="A1339:A1340"/>
    <mergeCell ref="A1337:A1338"/>
    <mergeCell ref="A1335:A1336"/>
    <mergeCell ref="A1333:A1334"/>
    <mergeCell ref="A1331:A1332"/>
    <mergeCell ref="A1329:A1330"/>
    <mergeCell ref="A1327:A1328"/>
    <mergeCell ref="A1325:A1326"/>
    <mergeCell ref="A1323:A1324"/>
    <mergeCell ref="A1321:A1322"/>
    <mergeCell ref="A1319:A1320"/>
    <mergeCell ref="A1317:A1318"/>
    <mergeCell ref="A1315:A1316"/>
    <mergeCell ref="A1313:A1314"/>
    <mergeCell ref="A1311:A1312"/>
    <mergeCell ref="A1309:A1310"/>
    <mergeCell ref="A1307:A1308"/>
    <mergeCell ref="A1305:A1306"/>
    <mergeCell ref="A1303:A1304"/>
    <mergeCell ref="A1301:A1302"/>
    <mergeCell ref="A1299:A1300"/>
    <mergeCell ref="A1297:A1298"/>
    <mergeCell ref="A1295:A1296"/>
    <mergeCell ref="A1293:A1294"/>
    <mergeCell ref="A1423:A1424"/>
    <mergeCell ref="A1421:A1422"/>
    <mergeCell ref="A1419:A1420"/>
    <mergeCell ref="A1417:A1418"/>
    <mergeCell ref="A1415:A1416"/>
    <mergeCell ref="A1413:A1414"/>
    <mergeCell ref="A1411:A1412"/>
    <mergeCell ref="A1409:A1410"/>
    <mergeCell ref="A1407:A1408"/>
    <mergeCell ref="A1405:A1406"/>
    <mergeCell ref="A1403:A1404"/>
    <mergeCell ref="A1401:A1402"/>
    <mergeCell ref="A1399:A1400"/>
    <mergeCell ref="A1397:A1398"/>
    <mergeCell ref="A1395:A1396"/>
    <mergeCell ref="A1393:A1394"/>
    <mergeCell ref="A1391:A1392"/>
    <mergeCell ref="A1389:A1390"/>
    <mergeCell ref="A1387:A1388"/>
    <mergeCell ref="A1385:A1386"/>
    <mergeCell ref="A1383:A1384"/>
    <mergeCell ref="A1381:A1382"/>
    <mergeCell ref="A1379:A1380"/>
    <mergeCell ref="A1377:A1378"/>
    <mergeCell ref="A1375:A1376"/>
    <mergeCell ref="A1373:A1374"/>
    <mergeCell ref="A1371:A1372"/>
    <mergeCell ref="A1369:A1370"/>
    <mergeCell ref="A1367:A1368"/>
    <mergeCell ref="A1365:A1366"/>
    <mergeCell ref="A1363:A1364"/>
    <mergeCell ref="A1361:A1362"/>
    <mergeCell ref="A1359:A1360"/>
    <mergeCell ref="A1489:A1490"/>
    <mergeCell ref="A1487:A1488"/>
    <mergeCell ref="A1485:A1486"/>
    <mergeCell ref="A1483:A1484"/>
    <mergeCell ref="A1481:A1482"/>
    <mergeCell ref="A1479:A1480"/>
    <mergeCell ref="A1477:A1478"/>
    <mergeCell ref="A1475:A1476"/>
    <mergeCell ref="A1473:A1474"/>
    <mergeCell ref="A1471:A1472"/>
    <mergeCell ref="A1469:A1470"/>
    <mergeCell ref="A1467:A1468"/>
    <mergeCell ref="A1465:A1466"/>
    <mergeCell ref="A1463:A1464"/>
    <mergeCell ref="A1461:A1462"/>
    <mergeCell ref="A1459:A1460"/>
    <mergeCell ref="A1457:A1458"/>
    <mergeCell ref="A1455:A1456"/>
    <mergeCell ref="A1453:A1454"/>
    <mergeCell ref="A1451:A1452"/>
    <mergeCell ref="A1449:A1450"/>
    <mergeCell ref="A1447:A1448"/>
    <mergeCell ref="A1445:A1446"/>
    <mergeCell ref="A1443:A1444"/>
    <mergeCell ref="A1441:A1442"/>
    <mergeCell ref="A1439:A1440"/>
    <mergeCell ref="A1437:A1438"/>
    <mergeCell ref="A1435:A1436"/>
    <mergeCell ref="A1433:A1434"/>
    <mergeCell ref="A1431:A1432"/>
    <mergeCell ref="A1429:A1430"/>
    <mergeCell ref="A1427:A1428"/>
    <mergeCell ref="A1425:A1426"/>
    <mergeCell ref="A1555:A1556"/>
    <mergeCell ref="A1553:A1554"/>
    <mergeCell ref="A1551:A1552"/>
    <mergeCell ref="A1549:A1550"/>
    <mergeCell ref="A1547:A1548"/>
    <mergeCell ref="A1545:A1546"/>
    <mergeCell ref="A1543:A1544"/>
    <mergeCell ref="A1541:A1542"/>
    <mergeCell ref="A1539:A1540"/>
    <mergeCell ref="A1537:A1538"/>
    <mergeCell ref="A1535:A1536"/>
    <mergeCell ref="A1533:A1534"/>
    <mergeCell ref="A1531:A1532"/>
    <mergeCell ref="A1529:A1530"/>
    <mergeCell ref="A1527:A1528"/>
    <mergeCell ref="A1525:A1526"/>
    <mergeCell ref="A1523:A1524"/>
    <mergeCell ref="A1521:A1522"/>
    <mergeCell ref="A1519:A1520"/>
    <mergeCell ref="A1517:A1518"/>
    <mergeCell ref="A1515:A1516"/>
    <mergeCell ref="A1513:A1514"/>
    <mergeCell ref="A1511:A1512"/>
    <mergeCell ref="A1509:A1510"/>
    <mergeCell ref="A1507:A1508"/>
    <mergeCell ref="A1505:A1506"/>
    <mergeCell ref="A1503:A1504"/>
    <mergeCell ref="A1501:A1502"/>
    <mergeCell ref="A1499:A1500"/>
    <mergeCell ref="A1497:A1498"/>
    <mergeCell ref="A1495:A1496"/>
    <mergeCell ref="A1493:A1494"/>
    <mergeCell ref="A1491:A1492"/>
    <mergeCell ref="A1621:A1622"/>
    <mergeCell ref="A1619:A1620"/>
    <mergeCell ref="A1617:A1618"/>
    <mergeCell ref="A1615:A1616"/>
    <mergeCell ref="A1613:A1614"/>
    <mergeCell ref="A1611:A1612"/>
    <mergeCell ref="A1609:A1610"/>
    <mergeCell ref="A1607:A1608"/>
    <mergeCell ref="A1605:A1606"/>
    <mergeCell ref="A1603:A1604"/>
    <mergeCell ref="A1601:A1602"/>
    <mergeCell ref="A1599:A1600"/>
    <mergeCell ref="A1597:A1598"/>
    <mergeCell ref="A1595:A1596"/>
    <mergeCell ref="A1593:A1594"/>
    <mergeCell ref="A1591:A1592"/>
    <mergeCell ref="A1589:A1590"/>
    <mergeCell ref="A1587:A1588"/>
    <mergeCell ref="A1585:A1586"/>
    <mergeCell ref="A1583:A1584"/>
    <mergeCell ref="A1581:A1582"/>
    <mergeCell ref="A1579:A1580"/>
    <mergeCell ref="A1577:A1578"/>
    <mergeCell ref="A1575:A1576"/>
    <mergeCell ref="A1573:A1574"/>
    <mergeCell ref="A1571:A1572"/>
    <mergeCell ref="A1569:A1570"/>
    <mergeCell ref="A1567:A1568"/>
    <mergeCell ref="A1565:A1566"/>
    <mergeCell ref="A1563:A1564"/>
    <mergeCell ref="A1561:A1562"/>
    <mergeCell ref="A1559:A1560"/>
    <mergeCell ref="A1557:A1558"/>
    <mergeCell ref="A1687:A1688"/>
    <mergeCell ref="A1685:A1686"/>
    <mergeCell ref="A1683:A1684"/>
    <mergeCell ref="A1681:A1682"/>
    <mergeCell ref="A1679:A1680"/>
    <mergeCell ref="A1677:A1678"/>
    <mergeCell ref="A1675:A1676"/>
    <mergeCell ref="A1673:A1674"/>
    <mergeCell ref="A1671:A1672"/>
    <mergeCell ref="A1669:A1670"/>
    <mergeCell ref="A1667:A1668"/>
    <mergeCell ref="A1665:A1666"/>
    <mergeCell ref="A1663:A1664"/>
    <mergeCell ref="A1661:A1662"/>
    <mergeCell ref="A1659:A1660"/>
    <mergeCell ref="A1657:A1658"/>
    <mergeCell ref="A1655:A1656"/>
    <mergeCell ref="A1653:A1654"/>
    <mergeCell ref="A1651:A1652"/>
    <mergeCell ref="A1649:A1650"/>
    <mergeCell ref="A1647:A1648"/>
    <mergeCell ref="A1645:A1646"/>
    <mergeCell ref="A1643:A1644"/>
    <mergeCell ref="A1641:A1642"/>
    <mergeCell ref="A1639:A1640"/>
    <mergeCell ref="A1637:A1638"/>
    <mergeCell ref="A1635:A1636"/>
    <mergeCell ref="A1633:A1634"/>
    <mergeCell ref="A1631:A1632"/>
    <mergeCell ref="A1629:A1630"/>
    <mergeCell ref="A1627:A1628"/>
    <mergeCell ref="A1625:A1626"/>
    <mergeCell ref="A1623:A1624"/>
    <mergeCell ref="A1753:A1754"/>
    <mergeCell ref="A1751:A1752"/>
    <mergeCell ref="A1749:A1750"/>
    <mergeCell ref="A1747:A1748"/>
    <mergeCell ref="A1745:A1746"/>
    <mergeCell ref="A1743:A1744"/>
    <mergeCell ref="A1741:A1742"/>
    <mergeCell ref="A1739:A1740"/>
    <mergeCell ref="A1737:A1738"/>
    <mergeCell ref="A1735:A1736"/>
    <mergeCell ref="A1733:A1734"/>
    <mergeCell ref="A1731:A1732"/>
    <mergeCell ref="A1729:A1730"/>
    <mergeCell ref="A1727:A1728"/>
    <mergeCell ref="A1725:A1726"/>
    <mergeCell ref="A1723:A1724"/>
    <mergeCell ref="A1721:A1722"/>
    <mergeCell ref="A1719:A1720"/>
    <mergeCell ref="A1717:A1718"/>
    <mergeCell ref="A1715:A1716"/>
    <mergeCell ref="A1713:A1714"/>
    <mergeCell ref="A1711:A1712"/>
    <mergeCell ref="A1709:A1710"/>
    <mergeCell ref="A1707:A1708"/>
    <mergeCell ref="A1705:A1706"/>
    <mergeCell ref="A1703:A1704"/>
    <mergeCell ref="A1701:A1702"/>
    <mergeCell ref="A1699:A1700"/>
    <mergeCell ref="A1697:A1698"/>
    <mergeCell ref="A1695:A1696"/>
    <mergeCell ref="A1693:A1694"/>
    <mergeCell ref="A1691:A1692"/>
    <mergeCell ref="A1689:A1690"/>
    <mergeCell ref="A1819:A1820"/>
    <mergeCell ref="A1817:A1818"/>
    <mergeCell ref="A1815:A1816"/>
    <mergeCell ref="A1813:A1814"/>
    <mergeCell ref="A1811:A1812"/>
    <mergeCell ref="A1809:A1810"/>
    <mergeCell ref="A1807:A1808"/>
    <mergeCell ref="A1805:A1806"/>
    <mergeCell ref="A1803:A1804"/>
    <mergeCell ref="A1801:A1802"/>
    <mergeCell ref="A1799:A1800"/>
    <mergeCell ref="A1797:A1798"/>
    <mergeCell ref="A1795:A1796"/>
    <mergeCell ref="A1793:A1794"/>
    <mergeCell ref="A1791:A1792"/>
    <mergeCell ref="A1789:A1790"/>
    <mergeCell ref="A1787:A1788"/>
    <mergeCell ref="A1785:A1786"/>
    <mergeCell ref="A1783:A1784"/>
    <mergeCell ref="A1781:A1782"/>
    <mergeCell ref="A1779:A1780"/>
    <mergeCell ref="A1777:A1778"/>
    <mergeCell ref="A1775:A1776"/>
    <mergeCell ref="A1773:A1774"/>
    <mergeCell ref="A1771:A1772"/>
    <mergeCell ref="A1769:A1770"/>
    <mergeCell ref="A1767:A1768"/>
    <mergeCell ref="A1765:A1766"/>
    <mergeCell ref="A1763:A1764"/>
    <mergeCell ref="A1761:A1762"/>
    <mergeCell ref="A1759:A1760"/>
    <mergeCell ref="A1757:A1758"/>
    <mergeCell ref="A1755:A1756"/>
    <mergeCell ref="K10:K11"/>
    <mergeCell ref="L10:L11"/>
    <mergeCell ref="M10:M11"/>
    <mergeCell ref="N10:N11"/>
    <mergeCell ref="K314:N314"/>
    <mergeCell ref="K316:K317"/>
    <mergeCell ref="L316:L317"/>
    <mergeCell ref="M316:M317"/>
    <mergeCell ref="N316:N317"/>
    <mergeCell ref="K619:N619"/>
    <mergeCell ref="K621:K622"/>
    <mergeCell ref="L621:L622"/>
    <mergeCell ref="M621:M622"/>
    <mergeCell ref="N621:N622"/>
    <mergeCell ref="J621:J622"/>
    <mergeCell ref="G621:G622"/>
    <mergeCell ref="C621:C622"/>
    <mergeCell ref="D621:D622"/>
    <mergeCell ref="E621:E622"/>
    <mergeCell ref="H621:H622"/>
    <mergeCell ref="I621:I622"/>
    <mergeCell ref="H10:H11"/>
    <mergeCell ref="I10:I11"/>
    <mergeCell ref="J10:J11"/>
    <mergeCell ref="B619:J619"/>
    <mergeCell ref="D10:D11"/>
    <mergeCell ref="E10:E11"/>
    <mergeCell ref="G10:G11"/>
    <mergeCell ref="C10:C11"/>
    <mergeCell ref="G12:G13"/>
    <mergeCell ref="H12:H13"/>
    <mergeCell ref="I12:I13"/>
    <mergeCell ref="J12:J13"/>
    <mergeCell ref="G18:G19"/>
    <mergeCell ref="H18:H19"/>
    <mergeCell ref="I18:I19"/>
    <mergeCell ref="J18:J19"/>
    <mergeCell ref="N22:N23"/>
    <mergeCell ref="K18:K19"/>
    <mergeCell ref="L18:L19"/>
    <mergeCell ref="M18:M19"/>
    <mergeCell ref="N18:N19"/>
    <mergeCell ref="L44:L45"/>
    <mergeCell ref="M44:M45"/>
    <mergeCell ref="N44:N45"/>
    <mergeCell ref="L52:L53"/>
    <mergeCell ref="M52:M53"/>
    <mergeCell ref="N52:N53"/>
    <mergeCell ref="L60:L61"/>
    <mergeCell ref="M60:M61"/>
    <mergeCell ref="N60:N61"/>
    <mergeCell ref="L68:L69"/>
    <mergeCell ref="M68:M69"/>
    <mergeCell ref="N68:N69"/>
    <mergeCell ref="L76:L77"/>
    <mergeCell ref="M76:M77"/>
    <mergeCell ref="N76:N77"/>
    <mergeCell ref="L84:L85"/>
    <mergeCell ref="M84:M85"/>
    <mergeCell ref="N84:N85"/>
    <mergeCell ref="L92:L93"/>
    <mergeCell ref="M92:M93"/>
    <mergeCell ref="N92:N93"/>
    <mergeCell ref="L100:L101"/>
    <mergeCell ref="A10:A11"/>
    <mergeCell ref="A621:A622"/>
    <mergeCell ref="B1:J3"/>
    <mergeCell ref="B8:J8"/>
    <mergeCell ref="B314:J314"/>
    <mergeCell ref="B316:B317"/>
    <mergeCell ref="C316:C317"/>
    <mergeCell ref="D316:D317"/>
    <mergeCell ref="E316:E317"/>
    <mergeCell ref="G316:G317"/>
    <mergeCell ref="H316:H317"/>
    <mergeCell ref="I316:I317"/>
    <mergeCell ref="J316:J317"/>
    <mergeCell ref="B10:B11"/>
    <mergeCell ref="B621:B622"/>
    <mergeCell ref="N14:N15"/>
    <mergeCell ref="A16:A17"/>
    <mergeCell ref="B16:B17"/>
    <mergeCell ref="C16:C17"/>
    <mergeCell ref="D16:D17"/>
    <mergeCell ref="E16:E17"/>
    <mergeCell ref="G16:G17"/>
    <mergeCell ref="H16:H17"/>
    <mergeCell ref="I16:I17"/>
    <mergeCell ref="J16:J17"/>
    <mergeCell ref="K16:K17"/>
    <mergeCell ref="L16:L17"/>
    <mergeCell ref="M16:M17"/>
    <mergeCell ref="N16:N17"/>
    <mergeCell ref="K12:K13"/>
    <mergeCell ref="L12:L13"/>
    <mergeCell ref="M12:M13"/>
    <mergeCell ref="N12:N13"/>
    <mergeCell ref="A14:A15"/>
    <mergeCell ref="B14:B15"/>
    <mergeCell ref="C14:C15"/>
    <mergeCell ref="D14:D15"/>
    <mergeCell ref="E14:E15"/>
    <mergeCell ref="G14:G15"/>
    <mergeCell ref="H14:H15"/>
    <mergeCell ref="I14:I15"/>
    <mergeCell ref="J14:J15"/>
    <mergeCell ref="K14:K15"/>
    <mergeCell ref="L14:L15"/>
    <mergeCell ref="M14:M15"/>
    <mergeCell ref="A12:A13"/>
    <mergeCell ref="B12:B13"/>
    <mergeCell ref="C12:C13"/>
    <mergeCell ref="D12:D13"/>
    <mergeCell ref="E12:E13"/>
    <mergeCell ref="N20:N21"/>
    <mergeCell ref="A22:A23"/>
    <mergeCell ref="B22:B23"/>
    <mergeCell ref="C22:C23"/>
    <mergeCell ref="D22:D23"/>
    <mergeCell ref="E22:E23"/>
    <mergeCell ref="G22:G23"/>
    <mergeCell ref="H22:H23"/>
    <mergeCell ref="I22:I23"/>
    <mergeCell ref="J22:J23"/>
    <mergeCell ref="K22:K23"/>
    <mergeCell ref="L22:L23"/>
    <mergeCell ref="M22:M23"/>
    <mergeCell ref="K8:N8"/>
    <mergeCell ref="A20:A21"/>
    <mergeCell ref="B20:B21"/>
    <mergeCell ref="C20:C21"/>
    <mergeCell ref="D20:D21"/>
    <mergeCell ref="E20:E21"/>
    <mergeCell ref="G20:G21"/>
    <mergeCell ref="H20:H21"/>
    <mergeCell ref="I20:I21"/>
    <mergeCell ref="J20:J21"/>
    <mergeCell ref="K20:K21"/>
    <mergeCell ref="L20:L21"/>
    <mergeCell ref="M20:M21"/>
    <mergeCell ref="A18:A19"/>
    <mergeCell ref="B18:B19"/>
    <mergeCell ref="C18:C19"/>
    <mergeCell ref="D18:D19"/>
    <mergeCell ref="E18:E19"/>
    <mergeCell ref="L28:L29"/>
    <mergeCell ref="M28:M29"/>
    <mergeCell ref="N28:N29"/>
    <mergeCell ref="A30:A31"/>
    <mergeCell ref="B30:B31"/>
    <mergeCell ref="C30:C31"/>
    <mergeCell ref="D30:D31"/>
    <mergeCell ref="E30:E31"/>
    <mergeCell ref="G30:G31"/>
    <mergeCell ref="H30:H31"/>
    <mergeCell ref="I30:I31"/>
    <mergeCell ref="J30:J31"/>
    <mergeCell ref="K30:K31"/>
    <mergeCell ref="L30:L31"/>
    <mergeCell ref="M30:M31"/>
    <mergeCell ref="N30:N31"/>
    <mergeCell ref="G28:G29"/>
    <mergeCell ref="H28:H29"/>
    <mergeCell ref="I28:I29"/>
    <mergeCell ref="J28:J29"/>
    <mergeCell ref="K28:K29"/>
    <mergeCell ref="A28:A29"/>
    <mergeCell ref="B28:B29"/>
    <mergeCell ref="C28:C29"/>
    <mergeCell ref="D28:D29"/>
    <mergeCell ref="E28:E29"/>
    <mergeCell ref="L24:L25"/>
    <mergeCell ref="M24:M25"/>
    <mergeCell ref="N24:N25"/>
    <mergeCell ref="A26:A27"/>
    <mergeCell ref="B26:B27"/>
    <mergeCell ref="C26:C27"/>
    <mergeCell ref="D26:D27"/>
    <mergeCell ref="E26:E27"/>
    <mergeCell ref="G26:G27"/>
    <mergeCell ref="H26:H27"/>
    <mergeCell ref="I26:I27"/>
    <mergeCell ref="J26:J27"/>
    <mergeCell ref="K26:K27"/>
    <mergeCell ref="L26:L27"/>
    <mergeCell ref="M26:M27"/>
    <mergeCell ref="N26:N27"/>
    <mergeCell ref="G24:G25"/>
    <mergeCell ref="H24:H25"/>
    <mergeCell ref="I24:I25"/>
    <mergeCell ref="J24:J25"/>
    <mergeCell ref="K24:K25"/>
    <mergeCell ref="A24:A25"/>
    <mergeCell ref="B24:B25"/>
    <mergeCell ref="C24:C25"/>
    <mergeCell ref="D24:D25"/>
    <mergeCell ref="E24:E25"/>
    <mergeCell ref="L36:L37"/>
    <mergeCell ref="M36:M37"/>
    <mergeCell ref="N36:N37"/>
    <mergeCell ref="A38:A39"/>
    <mergeCell ref="B38:B39"/>
    <mergeCell ref="C38:C39"/>
    <mergeCell ref="D38:D39"/>
    <mergeCell ref="E38:E39"/>
    <mergeCell ref="G38:G39"/>
    <mergeCell ref="H38:H39"/>
    <mergeCell ref="I38:I39"/>
    <mergeCell ref="J38:J39"/>
    <mergeCell ref="K38:K39"/>
    <mergeCell ref="L38:L39"/>
    <mergeCell ref="M38:M39"/>
    <mergeCell ref="N38:N39"/>
    <mergeCell ref="G36:G37"/>
    <mergeCell ref="H36:H37"/>
    <mergeCell ref="I36:I37"/>
    <mergeCell ref="J36:J37"/>
    <mergeCell ref="K36:K37"/>
    <mergeCell ref="A36:A37"/>
    <mergeCell ref="B36:B37"/>
    <mergeCell ref="C36:C37"/>
    <mergeCell ref="D36:D37"/>
    <mergeCell ref="E36:E37"/>
    <mergeCell ref="L32:L33"/>
    <mergeCell ref="M32:M33"/>
    <mergeCell ref="N32:N33"/>
    <mergeCell ref="A34:A35"/>
    <mergeCell ref="B34:B35"/>
    <mergeCell ref="C34:C35"/>
    <mergeCell ref="D34:D35"/>
    <mergeCell ref="E34:E35"/>
    <mergeCell ref="G34:G35"/>
    <mergeCell ref="H34:H35"/>
    <mergeCell ref="I34:I35"/>
    <mergeCell ref="J34:J35"/>
    <mergeCell ref="K34:K35"/>
    <mergeCell ref="L34:L35"/>
    <mergeCell ref="M34:M35"/>
    <mergeCell ref="N34:N35"/>
    <mergeCell ref="G32:G33"/>
    <mergeCell ref="H32:H33"/>
    <mergeCell ref="I32:I33"/>
    <mergeCell ref="J32:J33"/>
    <mergeCell ref="K32:K33"/>
    <mergeCell ref="A32:A33"/>
    <mergeCell ref="B32:B33"/>
    <mergeCell ref="C32:C33"/>
    <mergeCell ref="D32:D33"/>
    <mergeCell ref="E32:E33"/>
    <mergeCell ref="A46:A47"/>
    <mergeCell ref="B46:B47"/>
    <mergeCell ref="C46:C47"/>
    <mergeCell ref="D46:D47"/>
    <mergeCell ref="E46:E47"/>
    <mergeCell ref="G46:G47"/>
    <mergeCell ref="H46:H47"/>
    <mergeCell ref="I46:I47"/>
    <mergeCell ref="J46:J47"/>
    <mergeCell ref="K46:K47"/>
    <mergeCell ref="L46:L47"/>
    <mergeCell ref="M46:M47"/>
    <mergeCell ref="N46:N47"/>
    <mergeCell ref="G44:G45"/>
    <mergeCell ref="H44:H45"/>
    <mergeCell ref="I44:I45"/>
    <mergeCell ref="J44:J45"/>
    <mergeCell ref="K44:K45"/>
    <mergeCell ref="A44:A45"/>
    <mergeCell ref="B44:B45"/>
    <mergeCell ref="C44:C45"/>
    <mergeCell ref="D44:D45"/>
    <mergeCell ref="E44:E45"/>
    <mergeCell ref="L40:L41"/>
    <mergeCell ref="M40:M41"/>
    <mergeCell ref="N40:N41"/>
    <mergeCell ref="A42:A43"/>
    <mergeCell ref="B42:B43"/>
    <mergeCell ref="C42:C43"/>
    <mergeCell ref="D42:D43"/>
    <mergeCell ref="E42:E43"/>
    <mergeCell ref="G42:G43"/>
    <mergeCell ref="H42:H43"/>
    <mergeCell ref="I42:I43"/>
    <mergeCell ref="J42:J43"/>
    <mergeCell ref="K42:K43"/>
    <mergeCell ref="L42:L43"/>
    <mergeCell ref="M42:M43"/>
    <mergeCell ref="N42:N43"/>
    <mergeCell ref="G40:G41"/>
    <mergeCell ref="H40:H41"/>
    <mergeCell ref="I40:I41"/>
    <mergeCell ref="J40:J41"/>
    <mergeCell ref="K40:K41"/>
    <mergeCell ref="A40:A41"/>
    <mergeCell ref="B40:B41"/>
    <mergeCell ref="C40:C41"/>
    <mergeCell ref="D40:D41"/>
    <mergeCell ref="E40:E41"/>
    <mergeCell ref="A54:A55"/>
    <mergeCell ref="B54:B55"/>
    <mergeCell ref="C54:C55"/>
    <mergeCell ref="D54:D55"/>
    <mergeCell ref="E54:E55"/>
    <mergeCell ref="G54:G55"/>
    <mergeCell ref="H54:H55"/>
    <mergeCell ref="I54:I55"/>
    <mergeCell ref="J54:J55"/>
    <mergeCell ref="K54:K55"/>
    <mergeCell ref="L54:L55"/>
    <mergeCell ref="M54:M55"/>
    <mergeCell ref="N54:N55"/>
    <mergeCell ref="G52:G53"/>
    <mergeCell ref="H52:H53"/>
    <mergeCell ref="I52:I53"/>
    <mergeCell ref="J52:J53"/>
    <mergeCell ref="K52:K53"/>
    <mergeCell ref="A52:A53"/>
    <mergeCell ref="B52:B53"/>
    <mergeCell ref="C52:C53"/>
    <mergeCell ref="D52:D53"/>
    <mergeCell ref="E52:E53"/>
    <mergeCell ref="L48:L49"/>
    <mergeCell ref="M48:M49"/>
    <mergeCell ref="N48:N49"/>
    <mergeCell ref="A50:A51"/>
    <mergeCell ref="B50:B51"/>
    <mergeCell ref="C50:C51"/>
    <mergeCell ref="D50:D51"/>
    <mergeCell ref="E50:E51"/>
    <mergeCell ref="G50:G51"/>
    <mergeCell ref="H50:H51"/>
    <mergeCell ref="I50:I51"/>
    <mergeCell ref="J50:J51"/>
    <mergeCell ref="K50:K51"/>
    <mergeCell ref="L50:L51"/>
    <mergeCell ref="M50:M51"/>
    <mergeCell ref="N50:N51"/>
    <mergeCell ref="G48:G49"/>
    <mergeCell ref="H48:H49"/>
    <mergeCell ref="I48:I49"/>
    <mergeCell ref="J48:J49"/>
    <mergeCell ref="K48:K49"/>
    <mergeCell ref="A48:A49"/>
    <mergeCell ref="B48:B49"/>
    <mergeCell ref="C48:C49"/>
    <mergeCell ref="D48:D49"/>
    <mergeCell ref="E48:E49"/>
    <mergeCell ref="A62:A63"/>
    <mergeCell ref="B62:B63"/>
    <mergeCell ref="C62:C63"/>
    <mergeCell ref="D62:D63"/>
    <mergeCell ref="E62:E63"/>
    <mergeCell ref="G62:G63"/>
    <mergeCell ref="H62:H63"/>
    <mergeCell ref="I62:I63"/>
    <mergeCell ref="J62:J63"/>
    <mergeCell ref="K62:K63"/>
    <mergeCell ref="L62:L63"/>
    <mergeCell ref="M62:M63"/>
    <mergeCell ref="N62:N63"/>
    <mergeCell ref="G60:G61"/>
    <mergeCell ref="H60:H61"/>
    <mergeCell ref="I60:I61"/>
    <mergeCell ref="J60:J61"/>
    <mergeCell ref="K60:K61"/>
    <mergeCell ref="A60:A61"/>
    <mergeCell ref="B60:B61"/>
    <mergeCell ref="C60:C61"/>
    <mergeCell ref="D60:D61"/>
    <mergeCell ref="E60:E61"/>
    <mergeCell ref="L56:L57"/>
    <mergeCell ref="M56:M57"/>
    <mergeCell ref="N56:N57"/>
    <mergeCell ref="A58:A59"/>
    <mergeCell ref="B58:B59"/>
    <mergeCell ref="C58:C59"/>
    <mergeCell ref="D58:D59"/>
    <mergeCell ref="E58:E59"/>
    <mergeCell ref="G58:G59"/>
    <mergeCell ref="H58:H59"/>
    <mergeCell ref="I58:I59"/>
    <mergeCell ref="J58:J59"/>
    <mergeCell ref="K58:K59"/>
    <mergeCell ref="L58:L59"/>
    <mergeCell ref="M58:M59"/>
    <mergeCell ref="N58:N59"/>
    <mergeCell ref="G56:G57"/>
    <mergeCell ref="H56:H57"/>
    <mergeCell ref="I56:I57"/>
    <mergeCell ref="J56:J57"/>
    <mergeCell ref="K56:K57"/>
    <mergeCell ref="A56:A57"/>
    <mergeCell ref="B56:B57"/>
    <mergeCell ref="C56:C57"/>
    <mergeCell ref="D56:D57"/>
    <mergeCell ref="E56:E57"/>
    <mergeCell ref="A70:A71"/>
    <mergeCell ref="B70:B71"/>
    <mergeCell ref="C70:C71"/>
    <mergeCell ref="D70:D71"/>
    <mergeCell ref="E70:E71"/>
    <mergeCell ref="G70:G71"/>
    <mergeCell ref="H70:H71"/>
    <mergeCell ref="I70:I71"/>
    <mergeCell ref="J70:J71"/>
    <mergeCell ref="K70:K71"/>
    <mergeCell ref="L70:L71"/>
    <mergeCell ref="M70:M71"/>
    <mergeCell ref="N70:N71"/>
    <mergeCell ref="G68:G69"/>
    <mergeCell ref="H68:H69"/>
    <mergeCell ref="I68:I69"/>
    <mergeCell ref="J68:J69"/>
    <mergeCell ref="K68:K69"/>
    <mergeCell ref="A68:A69"/>
    <mergeCell ref="B68:B69"/>
    <mergeCell ref="C68:C69"/>
    <mergeCell ref="D68:D69"/>
    <mergeCell ref="E68:E69"/>
    <mergeCell ref="L64:L65"/>
    <mergeCell ref="M64:M65"/>
    <mergeCell ref="N64:N65"/>
    <mergeCell ref="A66:A67"/>
    <mergeCell ref="B66:B67"/>
    <mergeCell ref="C66:C67"/>
    <mergeCell ref="D66:D67"/>
    <mergeCell ref="E66:E67"/>
    <mergeCell ref="G66:G67"/>
    <mergeCell ref="H66:H67"/>
    <mergeCell ref="I66:I67"/>
    <mergeCell ref="J66:J67"/>
    <mergeCell ref="K66:K67"/>
    <mergeCell ref="L66:L67"/>
    <mergeCell ref="M66:M67"/>
    <mergeCell ref="N66:N67"/>
    <mergeCell ref="G64:G65"/>
    <mergeCell ref="H64:H65"/>
    <mergeCell ref="I64:I65"/>
    <mergeCell ref="J64:J65"/>
    <mergeCell ref="K64:K65"/>
    <mergeCell ref="A64:A65"/>
    <mergeCell ref="B64:B65"/>
    <mergeCell ref="C64:C65"/>
    <mergeCell ref="D64:D65"/>
    <mergeCell ref="E64:E65"/>
    <mergeCell ref="A78:A79"/>
    <mergeCell ref="B78:B79"/>
    <mergeCell ref="C78:C79"/>
    <mergeCell ref="D78:D79"/>
    <mergeCell ref="E78:E79"/>
    <mergeCell ref="G78:G79"/>
    <mergeCell ref="H78:H79"/>
    <mergeCell ref="I78:I79"/>
    <mergeCell ref="J78:J79"/>
    <mergeCell ref="K78:K79"/>
    <mergeCell ref="L78:L79"/>
    <mergeCell ref="M78:M79"/>
    <mergeCell ref="N78:N79"/>
    <mergeCell ref="G76:G77"/>
    <mergeCell ref="H76:H77"/>
    <mergeCell ref="I76:I77"/>
    <mergeCell ref="J76:J77"/>
    <mergeCell ref="K76:K77"/>
    <mergeCell ref="A76:A77"/>
    <mergeCell ref="B76:B77"/>
    <mergeCell ref="C76:C77"/>
    <mergeCell ref="D76:D77"/>
    <mergeCell ref="E76:E77"/>
    <mergeCell ref="L72:L73"/>
    <mergeCell ref="M72:M73"/>
    <mergeCell ref="N72:N73"/>
    <mergeCell ref="A74:A75"/>
    <mergeCell ref="B74:B75"/>
    <mergeCell ref="C74:C75"/>
    <mergeCell ref="D74:D75"/>
    <mergeCell ref="E74:E75"/>
    <mergeCell ref="G74:G75"/>
    <mergeCell ref="H74:H75"/>
    <mergeCell ref="I74:I75"/>
    <mergeCell ref="J74:J75"/>
    <mergeCell ref="K74:K75"/>
    <mergeCell ref="L74:L75"/>
    <mergeCell ref="M74:M75"/>
    <mergeCell ref="N74:N75"/>
    <mergeCell ref="G72:G73"/>
    <mergeCell ref="H72:H73"/>
    <mergeCell ref="I72:I73"/>
    <mergeCell ref="J72:J73"/>
    <mergeCell ref="K72:K73"/>
    <mergeCell ref="A72:A73"/>
    <mergeCell ref="B72:B73"/>
    <mergeCell ref="C72:C73"/>
    <mergeCell ref="D72:D73"/>
    <mergeCell ref="E72:E73"/>
    <mergeCell ref="A86:A87"/>
    <mergeCell ref="B86:B87"/>
    <mergeCell ref="C86:C87"/>
    <mergeCell ref="D86:D87"/>
    <mergeCell ref="E86:E87"/>
    <mergeCell ref="G86:G87"/>
    <mergeCell ref="H86:H87"/>
    <mergeCell ref="I86:I87"/>
    <mergeCell ref="J86:J87"/>
    <mergeCell ref="K86:K87"/>
    <mergeCell ref="L86:L87"/>
    <mergeCell ref="M86:M87"/>
    <mergeCell ref="N86:N87"/>
    <mergeCell ref="G84:G85"/>
    <mergeCell ref="H84:H85"/>
    <mergeCell ref="I84:I85"/>
    <mergeCell ref="J84:J85"/>
    <mergeCell ref="K84:K85"/>
    <mergeCell ref="A84:A85"/>
    <mergeCell ref="B84:B85"/>
    <mergeCell ref="C84:C85"/>
    <mergeCell ref="D84:D85"/>
    <mergeCell ref="E84:E85"/>
    <mergeCell ref="L80:L81"/>
    <mergeCell ref="M80:M81"/>
    <mergeCell ref="N80:N81"/>
    <mergeCell ref="A82:A83"/>
    <mergeCell ref="B82:B83"/>
    <mergeCell ref="C82:C83"/>
    <mergeCell ref="D82:D83"/>
    <mergeCell ref="E82:E83"/>
    <mergeCell ref="G82:G83"/>
    <mergeCell ref="H82:H83"/>
    <mergeCell ref="I82:I83"/>
    <mergeCell ref="J82:J83"/>
    <mergeCell ref="K82:K83"/>
    <mergeCell ref="L82:L83"/>
    <mergeCell ref="M82:M83"/>
    <mergeCell ref="N82:N83"/>
    <mergeCell ref="G80:G81"/>
    <mergeCell ref="H80:H81"/>
    <mergeCell ref="I80:I81"/>
    <mergeCell ref="J80:J81"/>
    <mergeCell ref="K80:K81"/>
    <mergeCell ref="A80:A81"/>
    <mergeCell ref="B80:B81"/>
    <mergeCell ref="C80:C81"/>
    <mergeCell ref="D80:D81"/>
    <mergeCell ref="E80:E81"/>
    <mergeCell ref="A94:A95"/>
    <mergeCell ref="B94:B95"/>
    <mergeCell ref="C94:C95"/>
    <mergeCell ref="D94:D95"/>
    <mergeCell ref="E94:E95"/>
    <mergeCell ref="G94:G95"/>
    <mergeCell ref="H94:H95"/>
    <mergeCell ref="I94:I95"/>
    <mergeCell ref="J94:J95"/>
    <mergeCell ref="K94:K95"/>
    <mergeCell ref="L94:L95"/>
    <mergeCell ref="M94:M95"/>
    <mergeCell ref="N94:N95"/>
    <mergeCell ref="G92:G93"/>
    <mergeCell ref="H92:H93"/>
    <mergeCell ref="I92:I93"/>
    <mergeCell ref="J92:J93"/>
    <mergeCell ref="K92:K93"/>
    <mergeCell ref="A92:A93"/>
    <mergeCell ref="B92:B93"/>
    <mergeCell ref="C92:C93"/>
    <mergeCell ref="D92:D93"/>
    <mergeCell ref="E92:E93"/>
    <mergeCell ref="L88:L89"/>
    <mergeCell ref="M88:M89"/>
    <mergeCell ref="N88:N89"/>
    <mergeCell ref="A90:A91"/>
    <mergeCell ref="B90:B91"/>
    <mergeCell ref="C90:C91"/>
    <mergeCell ref="D90:D91"/>
    <mergeCell ref="E90:E91"/>
    <mergeCell ref="G90:G91"/>
    <mergeCell ref="H90:H91"/>
    <mergeCell ref="I90:I91"/>
    <mergeCell ref="J90:J91"/>
    <mergeCell ref="K90:K91"/>
    <mergeCell ref="L90:L91"/>
    <mergeCell ref="M90:M91"/>
    <mergeCell ref="N90:N91"/>
    <mergeCell ref="G88:G89"/>
    <mergeCell ref="H88:H89"/>
    <mergeCell ref="I88:I89"/>
    <mergeCell ref="J88:J89"/>
    <mergeCell ref="K88:K89"/>
    <mergeCell ref="A88:A89"/>
    <mergeCell ref="B88:B89"/>
    <mergeCell ref="C88:C89"/>
    <mergeCell ref="D88:D89"/>
    <mergeCell ref="E88:E89"/>
    <mergeCell ref="M100:M101"/>
    <mergeCell ref="N100:N101"/>
    <mergeCell ref="B102:B103"/>
    <mergeCell ref="C102:C103"/>
    <mergeCell ref="D102:D103"/>
    <mergeCell ref="E102:E103"/>
    <mergeCell ref="G102:G103"/>
    <mergeCell ref="H102:H103"/>
    <mergeCell ref="I102:I103"/>
    <mergeCell ref="J102:J103"/>
    <mergeCell ref="K102:K103"/>
    <mergeCell ref="L102:L103"/>
    <mergeCell ref="M102:M103"/>
    <mergeCell ref="N102:N103"/>
    <mergeCell ref="G100:G101"/>
    <mergeCell ref="H100:H101"/>
    <mergeCell ref="I100:I101"/>
    <mergeCell ref="J100:J101"/>
    <mergeCell ref="K100:K101"/>
    <mergeCell ref="B100:B101"/>
    <mergeCell ref="C100:C101"/>
    <mergeCell ref="D100:D101"/>
    <mergeCell ref="E100:E101"/>
    <mergeCell ref="L96:L97"/>
    <mergeCell ref="M96:M97"/>
    <mergeCell ref="N96:N97"/>
    <mergeCell ref="B98:B99"/>
    <mergeCell ref="C98:C99"/>
    <mergeCell ref="D98:D99"/>
    <mergeCell ref="E98:E99"/>
    <mergeCell ref="G98:G99"/>
    <mergeCell ref="H98:H99"/>
    <mergeCell ref="I98:I99"/>
    <mergeCell ref="J98:J99"/>
    <mergeCell ref="K98:K99"/>
    <mergeCell ref="L98:L99"/>
    <mergeCell ref="M98:M99"/>
    <mergeCell ref="N98:N99"/>
    <mergeCell ref="G96:G97"/>
    <mergeCell ref="H96:H97"/>
    <mergeCell ref="I96:I97"/>
    <mergeCell ref="J96:J97"/>
    <mergeCell ref="K96:K97"/>
    <mergeCell ref="B96:B97"/>
    <mergeCell ref="C96:C97"/>
    <mergeCell ref="D96:D97"/>
    <mergeCell ref="E96:E97"/>
    <mergeCell ref="L108:L109"/>
    <mergeCell ref="M108:M109"/>
    <mergeCell ref="N108:N109"/>
    <mergeCell ref="B110:B111"/>
    <mergeCell ref="C110:C111"/>
    <mergeCell ref="D110:D111"/>
    <mergeCell ref="E110:E111"/>
    <mergeCell ref="G110:G111"/>
    <mergeCell ref="H110:H111"/>
    <mergeCell ref="I110:I111"/>
    <mergeCell ref="J110:J111"/>
    <mergeCell ref="K110:K111"/>
    <mergeCell ref="L110:L111"/>
    <mergeCell ref="M110:M111"/>
    <mergeCell ref="N110:N111"/>
    <mergeCell ref="G108:G109"/>
    <mergeCell ref="H108:H109"/>
    <mergeCell ref="I108:I109"/>
    <mergeCell ref="J108:J109"/>
    <mergeCell ref="K108:K109"/>
    <mergeCell ref="B108:B109"/>
    <mergeCell ref="C108:C109"/>
    <mergeCell ref="D108:D109"/>
    <mergeCell ref="E108:E109"/>
    <mergeCell ref="L104:L105"/>
    <mergeCell ref="M104:M105"/>
    <mergeCell ref="N104:N105"/>
    <mergeCell ref="B106:B107"/>
    <mergeCell ref="C106:C107"/>
    <mergeCell ref="D106:D107"/>
    <mergeCell ref="E106:E107"/>
    <mergeCell ref="G106:G107"/>
    <mergeCell ref="H106:H107"/>
    <mergeCell ref="I106:I107"/>
    <mergeCell ref="J106:J107"/>
    <mergeCell ref="K106:K107"/>
    <mergeCell ref="L106:L107"/>
    <mergeCell ref="M106:M107"/>
    <mergeCell ref="N106:N107"/>
    <mergeCell ref="G104:G105"/>
    <mergeCell ref="H104:H105"/>
    <mergeCell ref="I104:I105"/>
    <mergeCell ref="J104:J105"/>
    <mergeCell ref="K104:K105"/>
    <mergeCell ref="B104:B105"/>
    <mergeCell ref="C104:C105"/>
    <mergeCell ref="D104:D105"/>
    <mergeCell ref="E104:E105"/>
    <mergeCell ref="L116:L117"/>
    <mergeCell ref="M116:M117"/>
    <mergeCell ref="N116:N117"/>
    <mergeCell ref="B118:B119"/>
    <mergeCell ref="C118:C119"/>
    <mergeCell ref="D118:D119"/>
    <mergeCell ref="E118:E119"/>
    <mergeCell ref="G118:G119"/>
    <mergeCell ref="H118:H119"/>
    <mergeCell ref="I118:I119"/>
    <mergeCell ref="J118:J119"/>
    <mergeCell ref="K118:K119"/>
    <mergeCell ref="L118:L119"/>
    <mergeCell ref="M118:M119"/>
    <mergeCell ref="N118:N119"/>
    <mergeCell ref="G116:G117"/>
    <mergeCell ref="H116:H117"/>
    <mergeCell ref="I116:I117"/>
    <mergeCell ref="J116:J117"/>
    <mergeCell ref="K116:K117"/>
    <mergeCell ref="B116:B117"/>
    <mergeCell ref="C116:C117"/>
    <mergeCell ref="D116:D117"/>
    <mergeCell ref="E116:E117"/>
    <mergeCell ref="L112:L113"/>
    <mergeCell ref="M112:M113"/>
    <mergeCell ref="N112:N113"/>
    <mergeCell ref="B114:B115"/>
    <mergeCell ref="C114:C115"/>
    <mergeCell ref="D114:D115"/>
    <mergeCell ref="E114:E115"/>
    <mergeCell ref="G114:G115"/>
    <mergeCell ref="H114:H115"/>
    <mergeCell ref="I114:I115"/>
    <mergeCell ref="J114:J115"/>
    <mergeCell ref="K114:K115"/>
    <mergeCell ref="L114:L115"/>
    <mergeCell ref="M114:M115"/>
    <mergeCell ref="N114:N115"/>
    <mergeCell ref="G112:G113"/>
    <mergeCell ref="H112:H113"/>
    <mergeCell ref="I112:I113"/>
    <mergeCell ref="J112:J113"/>
    <mergeCell ref="K112:K113"/>
    <mergeCell ref="B112:B113"/>
    <mergeCell ref="C112:C113"/>
    <mergeCell ref="D112:D113"/>
    <mergeCell ref="E112:E113"/>
    <mergeCell ref="L124:L125"/>
    <mergeCell ref="M124:M125"/>
    <mergeCell ref="N124:N125"/>
    <mergeCell ref="B126:B127"/>
    <mergeCell ref="C126:C127"/>
    <mergeCell ref="D126:D127"/>
    <mergeCell ref="E126:E127"/>
    <mergeCell ref="G126:G127"/>
    <mergeCell ref="H126:H127"/>
    <mergeCell ref="I126:I127"/>
    <mergeCell ref="J126:J127"/>
    <mergeCell ref="K126:K127"/>
    <mergeCell ref="L126:L127"/>
    <mergeCell ref="M126:M127"/>
    <mergeCell ref="N126:N127"/>
    <mergeCell ref="G124:G125"/>
    <mergeCell ref="H124:H125"/>
    <mergeCell ref="I124:I125"/>
    <mergeCell ref="J124:J125"/>
    <mergeCell ref="K124:K125"/>
    <mergeCell ref="B124:B125"/>
    <mergeCell ref="C124:C125"/>
    <mergeCell ref="D124:D125"/>
    <mergeCell ref="E124:E125"/>
    <mergeCell ref="L120:L121"/>
    <mergeCell ref="M120:M121"/>
    <mergeCell ref="N120:N121"/>
    <mergeCell ref="B122:B123"/>
    <mergeCell ref="C122:C123"/>
    <mergeCell ref="D122:D123"/>
    <mergeCell ref="E122:E123"/>
    <mergeCell ref="G122:G123"/>
    <mergeCell ref="H122:H123"/>
    <mergeCell ref="I122:I123"/>
    <mergeCell ref="J122:J123"/>
    <mergeCell ref="K122:K123"/>
    <mergeCell ref="L122:L123"/>
    <mergeCell ref="M122:M123"/>
    <mergeCell ref="N122:N123"/>
    <mergeCell ref="G120:G121"/>
    <mergeCell ref="H120:H121"/>
    <mergeCell ref="I120:I121"/>
    <mergeCell ref="J120:J121"/>
    <mergeCell ref="K120:K121"/>
    <mergeCell ref="B120:B121"/>
    <mergeCell ref="C120:C121"/>
    <mergeCell ref="D120:D121"/>
    <mergeCell ref="E120:E121"/>
    <mergeCell ref="L132:L133"/>
    <mergeCell ref="M132:M133"/>
    <mergeCell ref="N132:N133"/>
    <mergeCell ref="B134:B135"/>
    <mergeCell ref="C134:C135"/>
    <mergeCell ref="D134:D135"/>
    <mergeCell ref="E134:E135"/>
    <mergeCell ref="G134:G135"/>
    <mergeCell ref="H134:H135"/>
    <mergeCell ref="I134:I135"/>
    <mergeCell ref="J134:J135"/>
    <mergeCell ref="K134:K135"/>
    <mergeCell ref="L134:L135"/>
    <mergeCell ref="M134:M135"/>
    <mergeCell ref="N134:N135"/>
    <mergeCell ref="G132:G133"/>
    <mergeCell ref="H132:H133"/>
    <mergeCell ref="I132:I133"/>
    <mergeCell ref="J132:J133"/>
    <mergeCell ref="K132:K133"/>
    <mergeCell ref="B132:B133"/>
    <mergeCell ref="C132:C133"/>
    <mergeCell ref="D132:D133"/>
    <mergeCell ref="E132:E133"/>
    <mergeCell ref="L128:L129"/>
    <mergeCell ref="M128:M129"/>
    <mergeCell ref="N128:N129"/>
    <mergeCell ref="B130:B131"/>
    <mergeCell ref="C130:C131"/>
    <mergeCell ref="D130:D131"/>
    <mergeCell ref="E130:E131"/>
    <mergeCell ref="G130:G131"/>
    <mergeCell ref="H130:H131"/>
    <mergeCell ref="I130:I131"/>
    <mergeCell ref="J130:J131"/>
    <mergeCell ref="K130:K131"/>
    <mergeCell ref="L130:L131"/>
    <mergeCell ref="M130:M131"/>
    <mergeCell ref="N130:N131"/>
    <mergeCell ref="G128:G129"/>
    <mergeCell ref="H128:H129"/>
    <mergeCell ref="I128:I129"/>
    <mergeCell ref="J128:J129"/>
    <mergeCell ref="K128:K129"/>
    <mergeCell ref="B128:B129"/>
    <mergeCell ref="C128:C129"/>
    <mergeCell ref="D128:D129"/>
    <mergeCell ref="E128:E129"/>
    <mergeCell ref="L140:L141"/>
    <mergeCell ref="M140:M141"/>
    <mergeCell ref="N140:N141"/>
    <mergeCell ref="B142:B143"/>
    <mergeCell ref="C142:C143"/>
    <mergeCell ref="D142:D143"/>
    <mergeCell ref="E142:E143"/>
    <mergeCell ref="G142:G143"/>
    <mergeCell ref="H142:H143"/>
    <mergeCell ref="I142:I143"/>
    <mergeCell ref="J142:J143"/>
    <mergeCell ref="K142:K143"/>
    <mergeCell ref="L142:L143"/>
    <mergeCell ref="M142:M143"/>
    <mergeCell ref="N142:N143"/>
    <mergeCell ref="G140:G141"/>
    <mergeCell ref="H140:H141"/>
    <mergeCell ref="I140:I141"/>
    <mergeCell ref="J140:J141"/>
    <mergeCell ref="K140:K141"/>
    <mergeCell ref="B140:B141"/>
    <mergeCell ref="C140:C141"/>
    <mergeCell ref="D140:D141"/>
    <mergeCell ref="E140:E141"/>
    <mergeCell ref="L136:L137"/>
    <mergeCell ref="M136:M137"/>
    <mergeCell ref="N136:N137"/>
    <mergeCell ref="B138:B139"/>
    <mergeCell ref="C138:C139"/>
    <mergeCell ref="D138:D139"/>
    <mergeCell ref="E138:E139"/>
    <mergeCell ref="G138:G139"/>
    <mergeCell ref="H138:H139"/>
    <mergeCell ref="I138:I139"/>
    <mergeCell ref="J138:J139"/>
    <mergeCell ref="K138:K139"/>
    <mergeCell ref="L138:L139"/>
    <mergeCell ref="M138:M139"/>
    <mergeCell ref="N138:N139"/>
    <mergeCell ref="G136:G137"/>
    <mergeCell ref="H136:H137"/>
    <mergeCell ref="I136:I137"/>
    <mergeCell ref="J136:J137"/>
    <mergeCell ref="K136:K137"/>
    <mergeCell ref="B136:B137"/>
    <mergeCell ref="C136:C137"/>
    <mergeCell ref="D136:D137"/>
    <mergeCell ref="E136:E137"/>
    <mergeCell ref="L148:L149"/>
    <mergeCell ref="M148:M149"/>
    <mergeCell ref="N148:N149"/>
    <mergeCell ref="B150:B151"/>
    <mergeCell ref="C150:C151"/>
    <mergeCell ref="D150:D151"/>
    <mergeCell ref="E150:E151"/>
    <mergeCell ref="G150:G151"/>
    <mergeCell ref="H150:H151"/>
    <mergeCell ref="I150:I151"/>
    <mergeCell ref="J150:J151"/>
    <mergeCell ref="K150:K151"/>
    <mergeCell ref="L150:L151"/>
    <mergeCell ref="M150:M151"/>
    <mergeCell ref="N150:N151"/>
    <mergeCell ref="G148:G149"/>
    <mergeCell ref="H148:H149"/>
    <mergeCell ref="I148:I149"/>
    <mergeCell ref="J148:J149"/>
    <mergeCell ref="K148:K149"/>
    <mergeCell ref="B148:B149"/>
    <mergeCell ref="C148:C149"/>
    <mergeCell ref="D148:D149"/>
    <mergeCell ref="E148:E149"/>
    <mergeCell ref="L144:L145"/>
    <mergeCell ref="M144:M145"/>
    <mergeCell ref="N144:N145"/>
    <mergeCell ref="B146:B147"/>
    <mergeCell ref="C146:C147"/>
    <mergeCell ref="D146:D147"/>
    <mergeCell ref="E146:E147"/>
    <mergeCell ref="G146:G147"/>
    <mergeCell ref="H146:H147"/>
    <mergeCell ref="I146:I147"/>
    <mergeCell ref="J146:J147"/>
    <mergeCell ref="K146:K147"/>
    <mergeCell ref="L146:L147"/>
    <mergeCell ref="M146:M147"/>
    <mergeCell ref="N146:N147"/>
    <mergeCell ref="G144:G145"/>
    <mergeCell ref="H144:H145"/>
    <mergeCell ref="I144:I145"/>
    <mergeCell ref="J144:J145"/>
    <mergeCell ref="K144:K145"/>
    <mergeCell ref="B144:B145"/>
    <mergeCell ref="C144:C145"/>
    <mergeCell ref="D144:D145"/>
    <mergeCell ref="E144:E145"/>
    <mergeCell ref="L156:L157"/>
    <mergeCell ref="M156:M157"/>
    <mergeCell ref="N156:N157"/>
    <mergeCell ref="B158:B159"/>
    <mergeCell ref="C158:C159"/>
    <mergeCell ref="D158:D159"/>
    <mergeCell ref="E158:E159"/>
    <mergeCell ref="G158:G159"/>
    <mergeCell ref="H158:H159"/>
    <mergeCell ref="I158:I159"/>
    <mergeCell ref="J158:J159"/>
    <mergeCell ref="K158:K159"/>
    <mergeCell ref="L158:L159"/>
    <mergeCell ref="M158:M159"/>
    <mergeCell ref="N158:N159"/>
    <mergeCell ref="G156:G157"/>
    <mergeCell ref="H156:H157"/>
    <mergeCell ref="I156:I157"/>
    <mergeCell ref="J156:J157"/>
    <mergeCell ref="K156:K157"/>
    <mergeCell ref="B156:B157"/>
    <mergeCell ref="C156:C157"/>
    <mergeCell ref="D156:D157"/>
    <mergeCell ref="E156:E157"/>
    <mergeCell ref="L152:L153"/>
    <mergeCell ref="M152:M153"/>
    <mergeCell ref="N152:N153"/>
    <mergeCell ref="B154:B155"/>
    <mergeCell ref="C154:C155"/>
    <mergeCell ref="D154:D155"/>
    <mergeCell ref="E154:E155"/>
    <mergeCell ref="G154:G155"/>
    <mergeCell ref="H154:H155"/>
    <mergeCell ref="I154:I155"/>
    <mergeCell ref="J154:J155"/>
    <mergeCell ref="K154:K155"/>
    <mergeCell ref="L154:L155"/>
    <mergeCell ref="M154:M155"/>
    <mergeCell ref="N154:N155"/>
    <mergeCell ref="G152:G153"/>
    <mergeCell ref="H152:H153"/>
    <mergeCell ref="I152:I153"/>
    <mergeCell ref="J152:J153"/>
    <mergeCell ref="K152:K153"/>
    <mergeCell ref="B152:B153"/>
    <mergeCell ref="C152:C153"/>
    <mergeCell ref="D152:D153"/>
    <mergeCell ref="E152:E153"/>
    <mergeCell ref="L164:L165"/>
    <mergeCell ref="M164:M165"/>
    <mergeCell ref="N164:N165"/>
    <mergeCell ref="B166:B167"/>
    <mergeCell ref="C166:C167"/>
    <mergeCell ref="D166:D167"/>
    <mergeCell ref="E166:E167"/>
    <mergeCell ref="G166:G167"/>
    <mergeCell ref="H166:H167"/>
    <mergeCell ref="I166:I167"/>
    <mergeCell ref="J166:J167"/>
    <mergeCell ref="K166:K167"/>
    <mergeCell ref="L166:L167"/>
    <mergeCell ref="M166:M167"/>
    <mergeCell ref="N166:N167"/>
    <mergeCell ref="G164:G165"/>
    <mergeCell ref="H164:H165"/>
    <mergeCell ref="I164:I165"/>
    <mergeCell ref="J164:J165"/>
    <mergeCell ref="K164:K165"/>
    <mergeCell ref="B164:B165"/>
    <mergeCell ref="C164:C165"/>
    <mergeCell ref="D164:D165"/>
    <mergeCell ref="E164:E165"/>
    <mergeCell ref="L160:L161"/>
    <mergeCell ref="M160:M161"/>
    <mergeCell ref="N160:N161"/>
    <mergeCell ref="B162:B163"/>
    <mergeCell ref="C162:C163"/>
    <mergeCell ref="D162:D163"/>
    <mergeCell ref="E162:E163"/>
    <mergeCell ref="G162:G163"/>
    <mergeCell ref="H162:H163"/>
    <mergeCell ref="I162:I163"/>
    <mergeCell ref="J162:J163"/>
    <mergeCell ref="K162:K163"/>
    <mergeCell ref="L162:L163"/>
    <mergeCell ref="M162:M163"/>
    <mergeCell ref="N162:N163"/>
    <mergeCell ref="G160:G161"/>
    <mergeCell ref="H160:H161"/>
    <mergeCell ref="I160:I161"/>
    <mergeCell ref="J160:J161"/>
    <mergeCell ref="K160:K161"/>
    <mergeCell ref="B160:B161"/>
    <mergeCell ref="C160:C161"/>
    <mergeCell ref="D160:D161"/>
    <mergeCell ref="E160:E161"/>
    <mergeCell ref="L172:L173"/>
    <mergeCell ref="M172:M173"/>
    <mergeCell ref="N172:N173"/>
    <mergeCell ref="B174:B175"/>
    <mergeCell ref="C174:C175"/>
    <mergeCell ref="D174:D175"/>
    <mergeCell ref="E174:E175"/>
    <mergeCell ref="G174:G175"/>
    <mergeCell ref="H174:H175"/>
    <mergeCell ref="I174:I175"/>
    <mergeCell ref="J174:J175"/>
    <mergeCell ref="K174:K175"/>
    <mergeCell ref="L174:L175"/>
    <mergeCell ref="M174:M175"/>
    <mergeCell ref="N174:N175"/>
    <mergeCell ref="G172:G173"/>
    <mergeCell ref="H172:H173"/>
    <mergeCell ref="I172:I173"/>
    <mergeCell ref="J172:J173"/>
    <mergeCell ref="K172:K173"/>
    <mergeCell ref="B172:B173"/>
    <mergeCell ref="C172:C173"/>
    <mergeCell ref="D172:D173"/>
    <mergeCell ref="E172:E173"/>
    <mergeCell ref="L168:L169"/>
    <mergeCell ref="M168:M169"/>
    <mergeCell ref="N168:N169"/>
    <mergeCell ref="B170:B171"/>
    <mergeCell ref="C170:C171"/>
    <mergeCell ref="D170:D171"/>
    <mergeCell ref="E170:E171"/>
    <mergeCell ref="G170:G171"/>
    <mergeCell ref="H170:H171"/>
    <mergeCell ref="I170:I171"/>
    <mergeCell ref="J170:J171"/>
    <mergeCell ref="K170:K171"/>
    <mergeCell ref="L170:L171"/>
    <mergeCell ref="M170:M171"/>
    <mergeCell ref="N170:N171"/>
    <mergeCell ref="G168:G169"/>
    <mergeCell ref="H168:H169"/>
    <mergeCell ref="I168:I169"/>
    <mergeCell ref="J168:J169"/>
    <mergeCell ref="K168:K169"/>
    <mergeCell ref="B168:B169"/>
    <mergeCell ref="C168:C169"/>
    <mergeCell ref="D168:D169"/>
    <mergeCell ref="E168:E169"/>
    <mergeCell ref="L180:L181"/>
    <mergeCell ref="M180:M181"/>
    <mergeCell ref="N180:N181"/>
    <mergeCell ref="B182:B183"/>
    <mergeCell ref="C182:C183"/>
    <mergeCell ref="D182:D183"/>
    <mergeCell ref="E182:E183"/>
    <mergeCell ref="G182:G183"/>
    <mergeCell ref="H182:H183"/>
    <mergeCell ref="I182:I183"/>
    <mergeCell ref="J182:J183"/>
    <mergeCell ref="K182:K183"/>
    <mergeCell ref="L182:L183"/>
    <mergeCell ref="M182:M183"/>
    <mergeCell ref="N182:N183"/>
    <mergeCell ref="G180:G181"/>
    <mergeCell ref="H180:H181"/>
    <mergeCell ref="I180:I181"/>
    <mergeCell ref="J180:J181"/>
    <mergeCell ref="K180:K181"/>
    <mergeCell ref="B180:B181"/>
    <mergeCell ref="C180:C181"/>
    <mergeCell ref="D180:D181"/>
    <mergeCell ref="E180:E181"/>
    <mergeCell ref="L176:L177"/>
    <mergeCell ref="M176:M177"/>
    <mergeCell ref="N176:N177"/>
    <mergeCell ref="B178:B179"/>
    <mergeCell ref="C178:C179"/>
    <mergeCell ref="D178:D179"/>
    <mergeCell ref="E178:E179"/>
    <mergeCell ref="G178:G179"/>
    <mergeCell ref="H178:H179"/>
    <mergeCell ref="I178:I179"/>
    <mergeCell ref="J178:J179"/>
    <mergeCell ref="K178:K179"/>
    <mergeCell ref="L178:L179"/>
    <mergeCell ref="M178:M179"/>
    <mergeCell ref="N178:N179"/>
    <mergeCell ref="G176:G177"/>
    <mergeCell ref="H176:H177"/>
    <mergeCell ref="I176:I177"/>
    <mergeCell ref="J176:J177"/>
    <mergeCell ref="K176:K177"/>
    <mergeCell ref="B176:B177"/>
    <mergeCell ref="C176:C177"/>
    <mergeCell ref="D176:D177"/>
    <mergeCell ref="E176:E177"/>
    <mergeCell ref="L188:L189"/>
    <mergeCell ref="M188:M189"/>
    <mergeCell ref="N188:N189"/>
    <mergeCell ref="B190:B191"/>
    <mergeCell ref="C190:C191"/>
    <mergeCell ref="D190:D191"/>
    <mergeCell ref="E190:E191"/>
    <mergeCell ref="G190:G191"/>
    <mergeCell ref="H190:H191"/>
    <mergeCell ref="I190:I191"/>
    <mergeCell ref="J190:J191"/>
    <mergeCell ref="K190:K191"/>
    <mergeCell ref="L190:L191"/>
    <mergeCell ref="M190:M191"/>
    <mergeCell ref="N190:N191"/>
    <mergeCell ref="G188:G189"/>
    <mergeCell ref="H188:H189"/>
    <mergeCell ref="I188:I189"/>
    <mergeCell ref="J188:J189"/>
    <mergeCell ref="K188:K189"/>
    <mergeCell ref="B188:B189"/>
    <mergeCell ref="C188:C189"/>
    <mergeCell ref="D188:D189"/>
    <mergeCell ref="E188:E189"/>
    <mergeCell ref="L184:L185"/>
    <mergeCell ref="M184:M185"/>
    <mergeCell ref="N184:N185"/>
    <mergeCell ref="B186:B187"/>
    <mergeCell ref="C186:C187"/>
    <mergeCell ref="D186:D187"/>
    <mergeCell ref="E186:E187"/>
    <mergeCell ref="G186:G187"/>
    <mergeCell ref="H186:H187"/>
    <mergeCell ref="I186:I187"/>
    <mergeCell ref="J186:J187"/>
    <mergeCell ref="K186:K187"/>
    <mergeCell ref="L186:L187"/>
    <mergeCell ref="M186:M187"/>
    <mergeCell ref="N186:N187"/>
    <mergeCell ref="G184:G185"/>
    <mergeCell ref="H184:H185"/>
    <mergeCell ref="I184:I185"/>
    <mergeCell ref="J184:J185"/>
    <mergeCell ref="K184:K185"/>
    <mergeCell ref="B184:B185"/>
    <mergeCell ref="C184:C185"/>
    <mergeCell ref="D184:D185"/>
    <mergeCell ref="E184:E185"/>
    <mergeCell ref="L196:L197"/>
    <mergeCell ref="M196:M197"/>
    <mergeCell ref="N196:N197"/>
    <mergeCell ref="B198:B199"/>
    <mergeCell ref="C198:C199"/>
    <mergeCell ref="D198:D199"/>
    <mergeCell ref="E198:E199"/>
    <mergeCell ref="G198:G199"/>
    <mergeCell ref="H198:H199"/>
    <mergeCell ref="I198:I199"/>
    <mergeCell ref="J198:J199"/>
    <mergeCell ref="K198:K199"/>
    <mergeCell ref="L198:L199"/>
    <mergeCell ref="M198:M199"/>
    <mergeCell ref="N198:N199"/>
    <mergeCell ref="G196:G197"/>
    <mergeCell ref="H196:H197"/>
    <mergeCell ref="I196:I197"/>
    <mergeCell ref="J196:J197"/>
    <mergeCell ref="K196:K197"/>
    <mergeCell ref="B196:B197"/>
    <mergeCell ref="C196:C197"/>
    <mergeCell ref="D196:D197"/>
    <mergeCell ref="E196:E197"/>
    <mergeCell ref="L192:L193"/>
    <mergeCell ref="M192:M193"/>
    <mergeCell ref="N192:N193"/>
    <mergeCell ref="B194:B195"/>
    <mergeCell ref="C194:C195"/>
    <mergeCell ref="D194:D195"/>
    <mergeCell ref="E194:E195"/>
    <mergeCell ref="G194:G195"/>
    <mergeCell ref="H194:H195"/>
    <mergeCell ref="I194:I195"/>
    <mergeCell ref="J194:J195"/>
    <mergeCell ref="K194:K195"/>
    <mergeCell ref="L194:L195"/>
    <mergeCell ref="M194:M195"/>
    <mergeCell ref="N194:N195"/>
    <mergeCell ref="G192:G193"/>
    <mergeCell ref="H192:H193"/>
    <mergeCell ref="I192:I193"/>
    <mergeCell ref="J192:J193"/>
    <mergeCell ref="K192:K193"/>
    <mergeCell ref="B192:B193"/>
    <mergeCell ref="C192:C193"/>
    <mergeCell ref="D192:D193"/>
    <mergeCell ref="E192:E193"/>
    <mergeCell ref="L204:L205"/>
    <mergeCell ref="M204:M205"/>
    <mergeCell ref="N204:N205"/>
    <mergeCell ref="B206:B207"/>
    <mergeCell ref="C206:C207"/>
    <mergeCell ref="D206:D207"/>
    <mergeCell ref="E206:E207"/>
    <mergeCell ref="G206:G207"/>
    <mergeCell ref="H206:H207"/>
    <mergeCell ref="I206:I207"/>
    <mergeCell ref="J206:J207"/>
    <mergeCell ref="K206:K207"/>
    <mergeCell ref="L206:L207"/>
    <mergeCell ref="M206:M207"/>
    <mergeCell ref="N206:N207"/>
    <mergeCell ref="G204:G205"/>
    <mergeCell ref="H204:H205"/>
    <mergeCell ref="I204:I205"/>
    <mergeCell ref="J204:J205"/>
    <mergeCell ref="K204:K205"/>
    <mergeCell ref="B204:B205"/>
    <mergeCell ref="C204:C205"/>
    <mergeCell ref="D204:D205"/>
    <mergeCell ref="E204:E205"/>
    <mergeCell ref="L200:L201"/>
    <mergeCell ref="M200:M201"/>
    <mergeCell ref="N200:N201"/>
    <mergeCell ref="B202:B203"/>
    <mergeCell ref="C202:C203"/>
    <mergeCell ref="D202:D203"/>
    <mergeCell ref="E202:E203"/>
    <mergeCell ref="G202:G203"/>
    <mergeCell ref="H202:H203"/>
    <mergeCell ref="I202:I203"/>
    <mergeCell ref="J202:J203"/>
    <mergeCell ref="K202:K203"/>
    <mergeCell ref="L202:L203"/>
    <mergeCell ref="M202:M203"/>
    <mergeCell ref="N202:N203"/>
    <mergeCell ref="G200:G201"/>
    <mergeCell ref="H200:H201"/>
    <mergeCell ref="I200:I201"/>
    <mergeCell ref="J200:J201"/>
    <mergeCell ref="K200:K201"/>
    <mergeCell ref="B200:B201"/>
    <mergeCell ref="C200:C201"/>
    <mergeCell ref="D200:D201"/>
    <mergeCell ref="E200:E201"/>
    <mergeCell ref="L212:L213"/>
    <mergeCell ref="M212:M213"/>
    <mergeCell ref="N212:N213"/>
    <mergeCell ref="B214:B215"/>
    <mergeCell ref="C214:C215"/>
    <mergeCell ref="D214:D215"/>
    <mergeCell ref="E214:E215"/>
    <mergeCell ref="G214:G215"/>
    <mergeCell ref="H214:H215"/>
    <mergeCell ref="I214:I215"/>
    <mergeCell ref="J214:J215"/>
    <mergeCell ref="K214:K215"/>
    <mergeCell ref="L214:L215"/>
    <mergeCell ref="M214:M215"/>
    <mergeCell ref="N214:N215"/>
    <mergeCell ref="G212:G213"/>
    <mergeCell ref="H212:H213"/>
    <mergeCell ref="I212:I213"/>
    <mergeCell ref="J212:J213"/>
    <mergeCell ref="K212:K213"/>
    <mergeCell ref="B212:B213"/>
    <mergeCell ref="C212:C213"/>
    <mergeCell ref="D212:D213"/>
    <mergeCell ref="E212:E213"/>
    <mergeCell ref="L208:L209"/>
    <mergeCell ref="M208:M209"/>
    <mergeCell ref="N208:N209"/>
    <mergeCell ref="B210:B211"/>
    <mergeCell ref="C210:C211"/>
    <mergeCell ref="D210:D211"/>
    <mergeCell ref="E210:E211"/>
    <mergeCell ref="G210:G211"/>
    <mergeCell ref="H210:H211"/>
    <mergeCell ref="I210:I211"/>
    <mergeCell ref="J210:J211"/>
    <mergeCell ref="K210:K211"/>
    <mergeCell ref="L210:L211"/>
    <mergeCell ref="M210:M211"/>
    <mergeCell ref="N210:N211"/>
    <mergeCell ref="G208:G209"/>
    <mergeCell ref="H208:H209"/>
    <mergeCell ref="I208:I209"/>
    <mergeCell ref="J208:J209"/>
    <mergeCell ref="K208:K209"/>
    <mergeCell ref="B208:B209"/>
    <mergeCell ref="C208:C209"/>
    <mergeCell ref="D208:D209"/>
    <mergeCell ref="E208:E209"/>
    <mergeCell ref="L220:L221"/>
    <mergeCell ref="M220:M221"/>
    <mergeCell ref="N220:N221"/>
    <mergeCell ref="B222:B223"/>
    <mergeCell ref="C222:C223"/>
    <mergeCell ref="D222:D223"/>
    <mergeCell ref="E222:E223"/>
    <mergeCell ref="G222:G223"/>
    <mergeCell ref="H222:H223"/>
    <mergeCell ref="I222:I223"/>
    <mergeCell ref="J222:J223"/>
    <mergeCell ref="K222:K223"/>
    <mergeCell ref="L222:L223"/>
    <mergeCell ref="M222:M223"/>
    <mergeCell ref="N222:N223"/>
    <mergeCell ref="G220:G221"/>
    <mergeCell ref="H220:H221"/>
    <mergeCell ref="I220:I221"/>
    <mergeCell ref="J220:J221"/>
    <mergeCell ref="K220:K221"/>
    <mergeCell ref="B220:B221"/>
    <mergeCell ref="C220:C221"/>
    <mergeCell ref="D220:D221"/>
    <mergeCell ref="E220:E221"/>
    <mergeCell ref="L216:L217"/>
    <mergeCell ref="M216:M217"/>
    <mergeCell ref="N216:N217"/>
    <mergeCell ref="B218:B219"/>
    <mergeCell ref="C218:C219"/>
    <mergeCell ref="D218:D219"/>
    <mergeCell ref="E218:E219"/>
    <mergeCell ref="G218:G219"/>
    <mergeCell ref="H218:H219"/>
    <mergeCell ref="I218:I219"/>
    <mergeCell ref="J218:J219"/>
    <mergeCell ref="K218:K219"/>
    <mergeCell ref="L218:L219"/>
    <mergeCell ref="M218:M219"/>
    <mergeCell ref="N218:N219"/>
    <mergeCell ref="G216:G217"/>
    <mergeCell ref="H216:H217"/>
    <mergeCell ref="I216:I217"/>
    <mergeCell ref="J216:J217"/>
    <mergeCell ref="K216:K217"/>
    <mergeCell ref="B216:B217"/>
    <mergeCell ref="C216:C217"/>
    <mergeCell ref="D216:D217"/>
    <mergeCell ref="E216:E217"/>
    <mergeCell ref="L228:L229"/>
    <mergeCell ref="M228:M229"/>
    <mergeCell ref="N228:N229"/>
    <mergeCell ref="B230:B231"/>
    <mergeCell ref="C230:C231"/>
    <mergeCell ref="D230:D231"/>
    <mergeCell ref="E230:E231"/>
    <mergeCell ref="G230:G231"/>
    <mergeCell ref="H230:H231"/>
    <mergeCell ref="I230:I231"/>
    <mergeCell ref="J230:J231"/>
    <mergeCell ref="K230:K231"/>
    <mergeCell ref="L230:L231"/>
    <mergeCell ref="M230:M231"/>
    <mergeCell ref="N230:N231"/>
    <mergeCell ref="G228:G229"/>
    <mergeCell ref="H228:H229"/>
    <mergeCell ref="I228:I229"/>
    <mergeCell ref="J228:J229"/>
    <mergeCell ref="K228:K229"/>
    <mergeCell ref="B228:B229"/>
    <mergeCell ref="C228:C229"/>
    <mergeCell ref="D228:D229"/>
    <mergeCell ref="E228:E229"/>
    <mergeCell ref="L224:L225"/>
    <mergeCell ref="M224:M225"/>
    <mergeCell ref="N224:N225"/>
    <mergeCell ref="B226:B227"/>
    <mergeCell ref="C226:C227"/>
    <mergeCell ref="D226:D227"/>
    <mergeCell ref="E226:E227"/>
    <mergeCell ref="G226:G227"/>
    <mergeCell ref="H226:H227"/>
    <mergeCell ref="I226:I227"/>
    <mergeCell ref="J226:J227"/>
    <mergeCell ref="K226:K227"/>
    <mergeCell ref="L226:L227"/>
    <mergeCell ref="M226:M227"/>
    <mergeCell ref="N226:N227"/>
    <mergeCell ref="G224:G225"/>
    <mergeCell ref="H224:H225"/>
    <mergeCell ref="I224:I225"/>
    <mergeCell ref="J224:J225"/>
    <mergeCell ref="K224:K225"/>
    <mergeCell ref="B224:B225"/>
    <mergeCell ref="C224:C225"/>
    <mergeCell ref="D224:D225"/>
    <mergeCell ref="E224:E225"/>
    <mergeCell ref="L236:L237"/>
    <mergeCell ref="M236:M237"/>
    <mergeCell ref="N236:N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G236:G237"/>
    <mergeCell ref="H236:H237"/>
    <mergeCell ref="I236:I237"/>
    <mergeCell ref="J236:J237"/>
    <mergeCell ref="K236:K237"/>
    <mergeCell ref="B236:B237"/>
    <mergeCell ref="C236:C237"/>
    <mergeCell ref="D236:D237"/>
    <mergeCell ref="E236:E237"/>
    <mergeCell ref="L232:L233"/>
    <mergeCell ref="M232:M233"/>
    <mergeCell ref="N232:N233"/>
    <mergeCell ref="B234:B235"/>
    <mergeCell ref="C234:C235"/>
    <mergeCell ref="D234:D235"/>
    <mergeCell ref="E234:E235"/>
    <mergeCell ref="G234:G235"/>
    <mergeCell ref="H234:H235"/>
    <mergeCell ref="I234:I235"/>
    <mergeCell ref="J234:J235"/>
    <mergeCell ref="K234:K235"/>
    <mergeCell ref="L234:L235"/>
    <mergeCell ref="M234:M235"/>
    <mergeCell ref="N234:N235"/>
    <mergeCell ref="G232:G233"/>
    <mergeCell ref="H232:H233"/>
    <mergeCell ref="I232:I233"/>
    <mergeCell ref="J232:J233"/>
    <mergeCell ref="K232:K233"/>
    <mergeCell ref="B232:B233"/>
    <mergeCell ref="C232:C233"/>
    <mergeCell ref="D232:D233"/>
    <mergeCell ref="E232:E233"/>
    <mergeCell ref="L244:L245"/>
    <mergeCell ref="M244:M245"/>
    <mergeCell ref="N244:N245"/>
    <mergeCell ref="B246:B247"/>
    <mergeCell ref="C246:C247"/>
    <mergeCell ref="D246:D247"/>
    <mergeCell ref="E246:E247"/>
    <mergeCell ref="G246:G247"/>
    <mergeCell ref="H246:H247"/>
    <mergeCell ref="I246:I247"/>
    <mergeCell ref="J246:J247"/>
    <mergeCell ref="K246:K247"/>
    <mergeCell ref="L246:L247"/>
    <mergeCell ref="M246:M247"/>
    <mergeCell ref="N246:N247"/>
    <mergeCell ref="G244:G245"/>
    <mergeCell ref="H244:H245"/>
    <mergeCell ref="I244:I245"/>
    <mergeCell ref="J244:J245"/>
    <mergeCell ref="K244:K245"/>
    <mergeCell ref="B244:B245"/>
    <mergeCell ref="C244:C245"/>
    <mergeCell ref="D244:D245"/>
    <mergeCell ref="E244:E245"/>
    <mergeCell ref="L240:L241"/>
    <mergeCell ref="M240:M241"/>
    <mergeCell ref="N240:N241"/>
    <mergeCell ref="B242:B243"/>
    <mergeCell ref="C242:C243"/>
    <mergeCell ref="D242:D243"/>
    <mergeCell ref="E242:E243"/>
    <mergeCell ref="G242:G243"/>
    <mergeCell ref="H242:H243"/>
    <mergeCell ref="I242:I243"/>
    <mergeCell ref="J242:J243"/>
    <mergeCell ref="K242:K243"/>
    <mergeCell ref="L242:L243"/>
    <mergeCell ref="M242:M243"/>
    <mergeCell ref="N242:N243"/>
    <mergeCell ref="G240:G241"/>
    <mergeCell ref="H240:H241"/>
    <mergeCell ref="I240:I241"/>
    <mergeCell ref="J240:J241"/>
    <mergeCell ref="K240:K241"/>
    <mergeCell ref="B240:B241"/>
    <mergeCell ref="C240:C241"/>
    <mergeCell ref="D240:D241"/>
    <mergeCell ref="E240:E241"/>
    <mergeCell ref="L252:L253"/>
    <mergeCell ref="M252:M253"/>
    <mergeCell ref="N252:N253"/>
    <mergeCell ref="B254:B255"/>
    <mergeCell ref="C254:C255"/>
    <mergeCell ref="D254:D255"/>
    <mergeCell ref="E254:E255"/>
    <mergeCell ref="G254:G255"/>
    <mergeCell ref="H254:H255"/>
    <mergeCell ref="I254:I255"/>
    <mergeCell ref="J254:J255"/>
    <mergeCell ref="K254:K255"/>
    <mergeCell ref="L254:L255"/>
    <mergeCell ref="M254:M255"/>
    <mergeCell ref="N254:N255"/>
    <mergeCell ref="G252:G253"/>
    <mergeCell ref="H252:H253"/>
    <mergeCell ref="I252:I253"/>
    <mergeCell ref="J252:J253"/>
    <mergeCell ref="K252:K253"/>
    <mergeCell ref="B252:B253"/>
    <mergeCell ref="C252:C253"/>
    <mergeCell ref="D252:D253"/>
    <mergeCell ref="E252:E253"/>
    <mergeCell ref="L248:L249"/>
    <mergeCell ref="M248:M249"/>
    <mergeCell ref="N248:N249"/>
    <mergeCell ref="B250:B251"/>
    <mergeCell ref="C250:C251"/>
    <mergeCell ref="D250:D251"/>
    <mergeCell ref="E250:E251"/>
    <mergeCell ref="G250:G251"/>
    <mergeCell ref="H250:H251"/>
    <mergeCell ref="I250:I251"/>
    <mergeCell ref="J250:J251"/>
    <mergeCell ref="K250:K251"/>
    <mergeCell ref="L250:L251"/>
    <mergeCell ref="M250:M251"/>
    <mergeCell ref="N250:N251"/>
    <mergeCell ref="G248:G249"/>
    <mergeCell ref="H248:H249"/>
    <mergeCell ref="I248:I249"/>
    <mergeCell ref="J248:J249"/>
    <mergeCell ref="K248:K249"/>
    <mergeCell ref="B248:B249"/>
    <mergeCell ref="C248:C249"/>
    <mergeCell ref="D248:D249"/>
    <mergeCell ref="E248:E249"/>
    <mergeCell ref="L260:L261"/>
    <mergeCell ref="M260:M261"/>
    <mergeCell ref="N260:N261"/>
    <mergeCell ref="B262:B263"/>
    <mergeCell ref="C262:C263"/>
    <mergeCell ref="D262:D263"/>
    <mergeCell ref="E262:E263"/>
    <mergeCell ref="G262:G263"/>
    <mergeCell ref="H262:H263"/>
    <mergeCell ref="I262:I263"/>
    <mergeCell ref="J262:J263"/>
    <mergeCell ref="K262:K263"/>
    <mergeCell ref="L262:L263"/>
    <mergeCell ref="M262:M263"/>
    <mergeCell ref="N262:N263"/>
    <mergeCell ref="G260:G261"/>
    <mergeCell ref="H260:H261"/>
    <mergeCell ref="I260:I261"/>
    <mergeCell ref="J260:J261"/>
    <mergeCell ref="K260:K261"/>
    <mergeCell ref="B260:B261"/>
    <mergeCell ref="C260:C261"/>
    <mergeCell ref="D260:D261"/>
    <mergeCell ref="E260:E261"/>
    <mergeCell ref="L256:L257"/>
    <mergeCell ref="M256:M257"/>
    <mergeCell ref="N256:N257"/>
    <mergeCell ref="B258:B259"/>
    <mergeCell ref="C258:C259"/>
    <mergeCell ref="D258:D259"/>
    <mergeCell ref="E258:E259"/>
    <mergeCell ref="G258:G259"/>
    <mergeCell ref="H258:H259"/>
    <mergeCell ref="I258:I259"/>
    <mergeCell ref="J258:J259"/>
    <mergeCell ref="K258:K259"/>
    <mergeCell ref="L258:L259"/>
    <mergeCell ref="M258:M259"/>
    <mergeCell ref="N258:N259"/>
    <mergeCell ref="G256:G257"/>
    <mergeCell ref="H256:H257"/>
    <mergeCell ref="I256:I257"/>
    <mergeCell ref="J256:J257"/>
    <mergeCell ref="K256:K257"/>
    <mergeCell ref="B256:B257"/>
    <mergeCell ref="C256:C257"/>
    <mergeCell ref="D256:D257"/>
    <mergeCell ref="E256:E257"/>
    <mergeCell ref="L268:L269"/>
    <mergeCell ref="M268:M269"/>
    <mergeCell ref="N268:N269"/>
    <mergeCell ref="B270:B271"/>
    <mergeCell ref="C270:C271"/>
    <mergeCell ref="D270:D271"/>
    <mergeCell ref="E270:E271"/>
    <mergeCell ref="G270:G271"/>
    <mergeCell ref="H270:H271"/>
    <mergeCell ref="I270:I271"/>
    <mergeCell ref="J270:J271"/>
    <mergeCell ref="K270:K271"/>
    <mergeCell ref="L270:L271"/>
    <mergeCell ref="M270:M271"/>
    <mergeCell ref="N270:N271"/>
    <mergeCell ref="G268:G269"/>
    <mergeCell ref="H268:H269"/>
    <mergeCell ref="I268:I269"/>
    <mergeCell ref="J268:J269"/>
    <mergeCell ref="K268:K269"/>
    <mergeCell ref="B268:B269"/>
    <mergeCell ref="C268:C269"/>
    <mergeCell ref="D268:D269"/>
    <mergeCell ref="E268:E269"/>
    <mergeCell ref="L264:L265"/>
    <mergeCell ref="M264:M265"/>
    <mergeCell ref="N264:N265"/>
    <mergeCell ref="B266:B267"/>
    <mergeCell ref="C266:C267"/>
    <mergeCell ref="D266:D267"/>
    <mergeCell ref="E266:E267"/>
    <mergeCell ref="G266:G267"/>
    <mergeCell ref="H266:H267"/>
    <mergeCell ref="I266:I267"/>
    <mergeCell ref="J266:J267"/>
    <mergeCell ref="K266:K267"/>
    <mergeCell ref="L266:L267"/>
    <mergeCell ref="M266:M267"/>
    <mergeCell ref="N266:N267"/>
    <mergeCell ref="G264:G265"/>
    <mergeCell ref="H264:H265"/>
    <mergeCell ref="I264:I265"/>
    <mergeCell ref="J264:J265"/>
    <mergeCell ref="K264:K265"/>
    <mergeCell ref="B264:B265"/>
    <mergeCell ref="C264:C265"/>
    <mergeCell ref="D264:D265"/>
    <mergeCell ref="E264:E265"/>
    <mergeCell ref="L276:L277"/>
    <mergeCell ref="M276:M277"/>
    <mergeCell ref="N276:N277"/>
    <mergeCell ref="B278:B279"/>
    <mergeCell ref="C278:C279"/>
    <mergeCell ref="D278:D279"/>
    <mergeCell ref="E278:E279"/>
    <mergeCell ref="G278:G279"/>
    <mergeCell ref="H278:H279"/>
    <mergeCell ref="I278:I279"/>
    <mergeCell ref="J278:J279"/>
    <mergeCell ref="K278:K279"/>
    <mergeCell ref="L278:L279"/>
    <mergeCell ref="M278:M279"/>
    <mergeCell ref="N278:N279"/>
    <mergeCell ref="G276:G277"/>
    <mergeCell ref="H276:H277"/>
    <mergeCell ref="I276:I277"/>
    <mergeCell ref="J276:J277"/>
    <mergeCell ref="K276:K277"/>
    <mergeCell ref="B276:B277"/>
    <mergeCell ref="C276:C277"/>
    <mergeCell ref="D276:D277"/>
    <mergeCell ref="E276:E277"/>
    <mergeCell ref="L272:L273"/>
    <mergeCell ref="M272:M273"/>
    <mergeCell ref="N272:N273"/>
    <mergeCell ref="B274:B275"/>
    <mergeCell ref="C274:C275"/>
    <mergeCell ref="D274:D275"/>
    <mergeCell ref="E274:E275"/>
    <mergeCell ref="G274:G275"/>
    <mergeCell ref="H274:H275"/>
    <mergeCell ref="I274:I275"/>
    <mergeCell ref="J274:J275"/>
    <mergeCell ref="K274:K275"/>
    <mergeCell ref="L274:L275"/>
    <mergeCell ref="M274:M275"/>
    <mergeCell ref="N274:N275"/>
    <mergeCell ref="G272:G273"/>
    <mergeCell ref="H272:H273"/>
    <mergeCell ref="I272:I273"/>
    <mergeCell ref="J272:J273"/>
    <mergeCell ref="K272:K273"/>
    <mergeCell ref="B272:B273"/>
    <mergeCell ref="C272:C273"/>
    <mergeCell ref="D272:D273"/>
    <mergeCell ref="E272:E273"/>
    <mergeCell ref="L284:L285"/>
    <mergeCell ref="M284:M285"/>
    <mergeCell ref="N284:N285"/>
    <mergeCell ref="B286:B287"/>
    <mergeCell ref="C286:C287"/>
    <mergeCell ref="D286:D287"/>
    <mergeCell ref="E286:E287"/>
    <mergeCell ref="G286:G287"/>
    <mergeCell ref="H286:H287"/>
    <mergeCell ref="I286:I287"/>
    <mergeCell ref="J286:J287"/>
    <mergeCell ref="K286:K287"/>
    <mergeCell ref="L286:L287"/>
    <mergeCell ref="M286:M287"/>
    <mergeCell ref="N286:N287"/>
    <mergeCell ref="G284:G285"/>
    <mergeCell ref="H284:H285"/>
    <mergeCell ref="I284:I285"/>
    <mergeCell ref="J284:J285"/>
    <mergeCell ref="K284:K285"/>
    <mergeCell ref="B284:B285"/>
    <mergeCell ref="C284:C285"/>
    <mergeCell ref="D284:D285"/>
    <mergeCell ref="E284:E285"/>
    <mergeCell ref="L280:L281"/>
    <mergeCell ref="M280:M281"/>
    <mergeCell ref="N280:N281"/>
    <mergeCell ref="B282:B283"/>
    <mergeCell ref="C282:C283"/>
    <mergeCell ref="D282:D283"/>
    <mergeCell ref="E282:E283"/>
    <mergeCell ref="G282:G283"/>
    <mergeCell ref="H282:H283"/>
    <mergeCell ref="I282:I283"/>
    <mergeCell ref="J282:J283"/>
    <mergeCell ref="K282:K283"/>
    <mergeCell ref="L282:L283"/>
    <mergeCell ref="M282:M283"/>
    <mergeCell ref="N282:N283"/>
    <mergeCell ref="G280:G281"/>
    <mergeCell ref="H280:H281"/>
    <mergeCell ref="I280:I281"/>
    <mergeCell ref="J280:J281"/>
    <mergeCell ref="K280:K281"/>
    <mergeCell ref="B280:B281"/>
    <mergeCell ref="C280:C281"/>
    <mergeCell ref="D280:D281"/>
    <mergeCell ref="E280:E281"/>
    <mergeCell ref="L292:L293"/>
    <mergeCell ref="M292:M293"/>
    <mergeCell ref="N292:N293"/>
    <mergeCell ref="B294:B295"/>
    <mergeCell ref="C294:C295"/>
    <mergeCell ref="D294:D295"/>
    <mergeCell ref="E294:E295"/>
    <mergeCell ref="G294:G295"/>
    <mergeCell ref="H294:H295"/>
    <mergeCell ref="I294:I295"/>
    <mergeCell ref="J294:J295"/>
    <mergeCell ref="K294:K295"/>
    <mergeCell ref="L294:L295"/>
    <mergeCell ref="M294:M295"/>
    <mergeCell ref="N294:N295"/>
    <mergeCell ref="G292:G293"/>
    <mergeCell ref="H292:H293"/>
    <mergeCell ref="I292:I293"/>
    <mergeCell ref="J292:J293"/>
    <mergeCell ref="K292:K293"/>
    <mergeCell ref="B292:B293"/>
    <mergeCell ref="C292:C293"/>
    <mergeCell ref="D292:D293"/>
    <mergeCell ref="E292:E293"/>
    <mergeCell ref="L288:L289"/>
    <mergeCell ref="M288:M289"/>
    <mergeCell ref="N288:N289"/>
    <mergeCell ref="B290:B291"/>
    <mergeCell ref="C290:C291"/>
    <mergeCell ref="D290:D291"/>
    <mergeCell ref="E290:E291"/>
    <mergeCell ref="G290:G291"/>
    <mergeCell ref="H290:H291"/>
    <mergeCell ref="I290:I291"/>
    <mergeCell ref="J290:J291"/>
    <mergeCell ref="K290:K291"/>
    <mergeCell ref="L290:L291"/>
    <mergeCell ref="M290:M291"/>
    <mergeCell ref="N290:N291"/>
    <mergeCell ref="G288:G289"/>
    <mergeCell ref="H288:H289"/>
    <mergeCell ref="I288:I289"/>
    <mergeCell ref="J288:J289"/>
    <mergeCell ref="K288:K289"/>
    <mergeCell ref="B288:B289"/>
    <mergeCell ref="C288:C289"/>
    <mergeCell ref="D288:D289"/>
    <mergeCell ref="E288:E289"/>
    <mergeCell ref="L300:L301"/>
    <mergeCell ref="M300:M301"/>
    <mergeCell ref="N300:N301"/>
    <mergeCell ref="B302:B303"/>
    <mergeCell ref="C302:C303"/>
    <mergeCell ref="D302:D303"/>
    <mergeCell ref="E302:E303"/>
    <mergeCell ref="G302:G303"/>
    <mergeCell ref="H302:H303"/>
    <mergeCell ref="I302:I303"/>
    <mergeCell ref="J302:J303"/>
    <mergeCell ref="K302:K303"/>
    <mergeCell ref="L302:L303"/>
    <mergeCell ref="M302:M303"/>
    <mergeCell ref="N302:N303"/>
    <mergeCell ref="G300:G301"/>
    <mergeCell ref="H300:H301"/>
    <mergeCell ref="I300:I301"/>
    <mergeCell ref="J300:J301"/>
    <mergeCell ref="K300:K301"/>
    <mergeCell ref="B300:B301"/>
    <mergeCell ref="C300:C301"/>
    <mergeCell ref="D300:D301"/>
    <mergeCell ref="E300:E301"/>
    <mergeCell ref="L296:L297"/>
    <mergeCell ref="M296:M297"/>
    <mergeCell ref="N296:N297"/>
    <mergeCell ref="B298:B299"/>
    <mergeCell ref="C298:C299"/>
    <mergeCell ref="D298:D299"/>
    <mergeCell ref="E298:E299"/>
    <mergeCell ref="G298:G299"/>
    <mergeCell ref="H298:H299"/>
    <mergeCell ref="I298:I299"/>
    <mergeCell ref="J298:J299"/>
    <mergeCell ref="K298:K299"/>
    <mergeCell ref="L298:L299"/>
    <mergeCell ref="M298:M299"/>
    <mergeCell ref="N298:N299"/>
    <mergeCell ref="G296:G297"/>
    <mergeCell ref="H296:H297"/>
    <mergeCell ref="I296:I297"/>
    <mergeCell ref="J296:J297"/>
    <mergeCell ref="K296:K297"/>
    <mergeCell ref="B296:B297"/>
    <mergeCell ref="C296:C297"/>
    <mergeCell ref="D296:D297"/>
    <mergeCell ref="E296:E297"/>
    <mergeCell ref="L308:L309"/>
    <mergeCell ref="M308:M309"/>
    <mergeCell ref="N308:N309"/>
    <mergeCell ref="B318:B319"/>
    <mergeCell ref="C318:C319"/>
    <mergeCell ref="D318:D319"/>
    <mergeCell ref="E318:E319"/>
    <mergeCell ref="G318:G319"/>
    <mergeCell ref="H318:H319"/>
    <mergeCell ref="I318:I319"/>
    <mergeCell ref="J318:J319"/>
    <mergeCell ref="K318:K319"/>
    <mergeCell ref="L318:L319"/>
    <mergeCell ref="M318:M319"/>
    <mergeCell ref="N318:N319"/>
    <mergeCell ref="G308:G309"/>
    <mergeCell ref="H308:H309"/>
    <mergeCell ref="I308:I309"/>
    <mergeCell ref="J308:J309"/>
    <mergeCell ref="K308:K309"/>
    <mergeCell ref="B308:B309"/>
    <mergeCell ref="C308:C309"/>
    <mergeCell ref="D308:D309"/>
    <mergeCell ref="E308:E309"/>
    <mergeCell ref="L304:L305"/>
    <mergeCell ref="M304:M305"/>
    <mergeCell ref="N304:N305"/>
    <mergeCell ref="B306:B307"/>
    <mergeCell ref="C306:C307"/>
    <mergeCell ref="D306:D307"/>
    <mergeCell ref="E306:E307"/>
    <mergeCell ref="G306:G307"/>
    <mergeCell ref="H306:H307"/>
    <mergeCell ref="I306:I307"/>
    <mergeCell ref="J306:J307"/>
    <mergeCell ref="K306:K307"/>
    <mergeCell ref="L306:L307"/>
    <mergeCell ref="M306:M307"/>
    <mergeCell ref="N306:N307"/>
    <mergeCell ref="G304:G305"/>
    <mergeCell ref="H304:H305"/>
    <mergeCell ref="I304:I305"/>
    <mergeCell ref="J304:J305"/>
    <mergeCell ref="K304:K305"/>
    <mergeCell ref="B304:B305"/>
    <mergeCell ref="C304:C305"/>
    <mergeCell ref="D304:D305"/>
    <mergeCell ref="E304:E305"/>
    <mergeCell ref="L324:L325"/>
    <mergeCell ref="M324:M325"/>
    <mergeCell ref="N324:N325"/>
    <mergeCell ref="B326:B327"/>
    <mergeCell ref="C326:C327"/>
    <mergeCell ref="D326:D327"/>
    <mergeCell ref="E326:E327"/>
    <mergeCell ref="G326:G327"/>
    <mergeCell ref="H326:H327"/>
    <mergeCell ref="I326:I327"/>
    <mergeCell ref="J326:J327"/>
    <mergeCell ref="K326:K327"/>
    <mergeCell ref="L326:L327"/>
    <mergeCell ref="M326:M327"/>
    <mergeCell ref="N326:N327"/>
    <mergeCell ref="G324:G325"/>
    <mergeCell ref="H324:H325"/>
    <mergeCell ref="I324:I325"/>
    <mergeCell ref="J324:J325"/>
    <mergeCell ref="K324:K325"/>
    <mergeCell ref="B324:B325"/>
    <mergeCell ref="C324:C325"/>
    <mergeCell ref="D324:D325"/>
    <mergeCell ref="E324:E325"/>
    <mergeCell ref="L320:L321"/>
    <mergeCell ref="M320:M321"/>
    <mergeCell ref="N320:N321"/>
    <mergeCell ref="B322:B323"/>
    <mergeCell ref="C322:C323"/>
    <mergeCell ref="D322:D323"/>
    <mergeCell ref="E322:E323"/>
    <mergeCell ref="G322:G323"/>
    <mergeCell ref="H322:H323"/>
    <mergeCell ref="I322:I323"/>
    <mergeCell ref="J322:J323"/>
    <mergeCell ref="K322:K323"/>
    <mergeCell ref="L322:L323"/>
    <mergeCell ref="M322:M323"/>
    <mergeCell ref="N322:N323"/>
    <mergeCell ref="G320:G321"/>
    <mergeCell ref="H320:H321"/>
    <mergeCell ref="I320:I321"/>
    <mergeCell ref="J320:J321"/>
    <mergeCell ref="K320:K321"/>
    <mergeCell ref="B320:B321"/>
    <mergeCell ref="C320:C321"/>
    <mergeCell ref="D320:D321"/>
    <mergeCell ref="E320:E321"/>
    <mergeCell ref="L332:L333"/>
    <mergeCell ref="M332:M333"/>
    <mergeCell ref="N332:N333"/>
    <mergeCell ref="B334:B335"/>
    <mergeCell ref="C334:C335"/>
    <mergeCell ref="D334:D335"/>
    <mergeCell ref="E334:E335"/>
    <mergeCell ref="G334:G335"/>
    <mergeCell ref="H334:H335"/>
    <mergeCell ref="I334:I335"/>
    <mergeCell ref="J334:J335"/>
    <mergeCell ref="K334:K335"/>
    <mergeCell ref="L334:L335"/>
    <mergeCell ref="M334:M335"/>
    <mergeCell ref="N334:N335"/>
    <mergeCell ref="G332:G333"/>
    <mergeCell ref="H332:H333"/>
    <mergeCell ref="I332:I333"/>
    <mergeCell ref="J332:J333"/>
    <mergeCell ref="K332:K333"/>
    <mergeCell ref="B332:B333"/>
    <mergeCell ref="C332:C333"/>
    <mergeCell ref="D332:D333"/>
    <mergeCell ref="E332:E333"/>
    <mergeCell ref="L328:L329"/>
    <mergeCell ref="M328:M329"/>
    <mergeCell ref="N328:N329"/>
    <mergeCell ref="B330:B331"/>
    <mergeCell ref="C330:C331"/>
    <mergeCell ref="D330:D331"/>
    <mergeCell ref="E330:E331"/>
    <mergeCell ref="G330:G331"/>
    <mergeCell ref="H330:H331"/>
    <mergeCell ref="I330:I331"/>
    <mergeCell ref="J330:J331"/>
    <mergeCell ref="K330:K331"/>
    <mergeCell ref="L330:L331"/>
    <mergeCell ref="M330:M331"/>
    <mergeCell ref="N330:N331"/>
    <mergeCell ref="G328:G329"/>
    <mergeCell ref="H328:H329"/>
    <mergeCell ref="I328:I329"/>
    <mergeCell ref="J328:J329"/>
    <mergeCell ref="K328:K329"/>
    <mergeCell ref="B328:B329"/>
    <mergeCell ref="C328:C329"/>
    <mergeCell ref="D328:D329"/>
    <mergeCell ref="E328:E329"/>
    <mergeCell ref="L340:L341"/>
    <mergeCell ref="M340:M341"/>
    <mergeCell ref="N340:N341"/>
    <mergeCell ref="B342:B343"/>
    <mergeCell ref="C342:C343"/>
    <mergeCell ref="D342:D343"/>
    <mergeCell ref="E342:E343"/>
    <mergeCell ref="G342:G343"/>
    <mergeCell ref="H342:H343"/>
    <mergeCell ref="I342:I343"/>
    <mergeCell ref="J342:J343"/>
    <mergeCell ref="K342:K343"/>
    <mergeCell ref="L342:L343"/>
    <mergeCell ref="M342:M343"/>
    <mergeCell ref="N342:N343"/>
    <mergeCell ref="G340:G341"/>
    <mergeCell ref="H340:H341"/>
    <mergeCell ref="I340:I341"/>
    <mergeCell ref="J340:J341"/>
    <mergeCell ref="K340:K341"/>
    <mergeCell ref="B340:B341"/>
    <mergeCell ref="C340:C341"/>
    <mergeCell ref="D340:D341"/>
    <mergeCell ref="E340:E341"/>
    <mergeCell ref="L336:L337"/>
    <mergeCell ref="M336:M337"/>
    <mergeCell ref="N336:N337"/>
    <mergeCell ref="B338:B339"/>
    <mergeCell ref="C338:C339"/>
    <mergeCell ref="D338:D339"/>
    <mergeCell ref="E338:E339"/>
    <mergeCell ref="G338:G339"/>
    <mergeCell ref="H338:H339"/>
    <mergeCell ref="I338:I339"/>
    <mergeCell ref="J338:J339"/>
    <mergeCell ref="K338:K339"/>
    <mergeCell ref="L338:L339"/>
    <mergeCell ref="M338:M339"/>
    <mergeCell ref="N338:N339"/>
    <mergeCell ref="G336:G337"/>
    <mergeCell ref="H336:H337"/>
    <mergeCell ref="I336:I337"/>
    <mergeCell ref="J336:J337"/>
    <mergeCell ref="K336:K337"/>
    <mergeCell ref="B336:B337"/>
    <mergeCell ref="C336:C337"/>
    <mergeCell ref="D336:D337"/>
    <mergeCell ref="E336:E337"/>
    <mergeCell ref="L348:L349"/>
    <mergeCell ref="M348:M349"/>
    <mergeCell ref="N348:N349"/>
    <mergeCell ref="B350:B351"/>
    <mergeCell ref="C350:C351"/>
    <mergeCell ref="D350:D351"/>
    <mergeCell ref="E350:E351"/>
    <mergeCell ref="G350:G351"/>
    <mergeCell ref="H350:H351"/>
    <mergeCell ref="I350:I351"/>
    <mergeCell ref="J350:J351"/>
    <mergeCell ref="K350:K351"/>
    <mergeCell ref="L350:L351"/>
    <mergeCell ref="M350:M351"/>
    <mergeCell ref="N350:N351"/>
    <mergeCell ref="G348:G349"/>
    <mergeCell ref="H348:H349"/>
    <mergeCell ref="I348:I349"/>
    <mergeCell ref="J348:J349"/>
    <mergeCell ref="K348:K349"/>
    <mergeCell ref="B348:B349"/>
    <mergeCell ref="C348:C349"/>
    <mergeCell ref="D348:D349"/>
    <mergeCell ref="E348:E349"/>
    <mergeCell ref="L344:L345"/>
    <mergeCell ref="M344:M345"/>
    <mergeCell ref="N344:N345"/>
    <mergeCell ref="B346:B347"/>
    <mergeCell ref="C346:C347"/>
    <mergeCell ref="D346:D347"/>
    <mergeCell ref="E346:E347"/>
    <mergeCell ref="G346:G347"/>
    <mergeCell ref="H346:H347"/>
    <mergeCell ref="I346:I347"/>
    <mergeCell ref="J346:J347"/>
    <mergeCell ref="K346:K347"/>
    <mergeCell ref="L346:L347"/>
    <mergeCell ref="M346:M347"/>
    <mergeCell ref="N346:N347"/>
    <mergeCell ref="G344:G345"/>
    <mergeCell ref="H344:H345"/>
    <mergeCell ref="I344:I345"/>
    <mergeCell ref="J344:J345"/>
    <mergeCell ref="K344:K345"/>
    <mergeCell ref="B344:B345"/>
    <mergeCell ref="C344:C345"/>
    <mergeCell ref="D344:D345"/>
    <mergeCell ref="E344:E345"/>
    <mergeCell ref="L356:L357"/>
    <mergeCell ref="M356:M357"/>
    <mergeCell ref="N356:N357"/>
    <mergeCell ref="B358:B359"/>
    <mergeCell ref="C358:C359"/>
    <mergeCell ref="D358:D359"/>
    <mergeCell ref="E358:E359"/>
    <mergeCell ref="G358:G359"/>
    <mergeCell ref="H358:H359"/>
    <mergeCell ref="I358:I359"/>
    <mergeCell ref="J358:J359"/>
    <mergeCell ref="K358:K359"/>
    <mergeCell ref="L358:L359"/>
    <mergeCell ref="M358:M359"/>
    <mergeCell ref="N358:N359"/>
    <mergeCell ref="G356:G357"/>
    <mergeCell ref="H356:H357"/>
    <mergeCell ref="I356:I357"/>
    <mergeCell ref="J356:J357"/>
    <mergeCell ref="K356:K357"/>
    <mergeCell ref="B356:B357"/>
    <mergeCell ref="C356:C357"/>
    <mergeCell ref="D356:D357"/>
    <mergeCell ref="E356:E357"/>
    <mergeCell ref="L352:L353"/>
    <mergeCell ref="M352:M353"/>
    <mergeCell ref="N352:N353"/>
    <mergeCell ref="B354:B355"/>
    <mergeCell ref="C354:C355"/>
    <mergeCell ref="D354:D355"/>
    <mergeCell ref="E354:E355"/>
    <mergeCell ref="G354:G355"/>
    <mergeCell ref="H354:H355"/>
    <mergeCell ref="I354:I355"/>
    <mergeCell ref="J354:J355"/>
    <mergeCell ref="K354:K355"/>
    <mergeCell ref="L354:L355"/>
    <mergeCell ref="M354:M355"/>
    <mergeCell ref="N354:N355"/>
    <mergeCell ref="G352:G353"/>
    <mergeCell ref="H352:H353"/>
    <mergeCell ref="I352:I353"/>
    <mergeCell ref="J352:J353"/>
    <mergeCell ref="K352:K353"/>
    <mergeCell ref="B352:B353"/>
    <mergeCell ref="C352:C353"/>
    <mergeCell ref="D352:D353"/>
    <mergeCell ref="E352:E353"/>
    <mergeCell ref="L364:L365"/>
    <mergeCell ref="M364:M365"/>
    <mergeCell ref="N364:N365"/>
    <mergeCell ref="B366:B367"/>
    <mergeCell ref="C366:C367"/>
    <mergeCell ref="D366:D367"/>
    <mergeCell ref="E366:E367"/>
    <mergeCell ref="G366:G367"/>
    <mergeCell ref="H366:H367"/>
    <mergeCell ref="I366:I367"/>
    <mergeCell ref="J366:J367"/>
    <mergeCell ref="K366:K367"/>
    <mergeCell ref="L366:L367"/>
    <mergeCell ref="M366:M367"/>
    <mergeCell ref="N366:N367"/>
    <mergeCell ref="G364:G365"/>
    <mergeCell ref="H364:H365"/>
    <mergeCell ref="I364:I365"/>
    <mergeCell ref="J364:J365"/>
    <mergeCell ref="K364:K365"/>
    <mergeCell ref="B364:B365"/>
    <mergeCell ref="C364:C365"/>
    <mergeCell ref="D364:D365"/>
    <mergeCell ref="E364:E365"/>
    <mergeCell ref="L360:L361"/>
    <mergeCell ref="M360:M361"/>
    <mergeCell ref="N360:N361"/>
    <mergeCell ref="B362:B363"/>
    <mergeCell ref="C362:C363"/>
    <mergeCell ref="D362:D363"/>
    <mergeCell ref="E362:E363"/>
    <mergeCell ref="G362:G363"/>
    <mergeCell ref="H362:H363"/>
    <mergeCell ref="I362:I363"/>
    <mergeCell ref="J362:J363"/>
    <mergeCell ref="K362:K363"/>
    <mergeCell ref="L362:L363"/>
    <mergeCell ref="M362:M363"/>
    <mergeCell ref="N362:N363"/>
    <mergeCell ref="G360:G361"/>
    <mergeCell ref="H360:H361"/>
    <mergeCell ref="I360:I361"/>
    <mergeCell ref="J360:J361"/>
    <mergeCell ref="K360:K361"/>
    <mergeCell ref="B360:B361"/>
    <mergeCell ref="C360:C361"/>
    <mergeCell ref="D360:D361"/>
    <mergeCell ref="E360:E361"/>
    <mergeCell ref="L372:L373"/>
    <mergeCell ref="M372:M373"/>
    <mergeCell ref="N372:N373"/>
    <mergeCell ref="B374:B375"/>
    <mergeCell ref="C374:C375"/>
    <mergeCell ref="D374:D375"/>
    <mergeCell ref="E374:E375"/>
    <mergeCell ref="G374:G375"/>
    <mergeCell ref="H374:H375"/>
    <mergeCell ref="I374:I375"/>
    <mergeCell ref="J374:J375"/>
    <mergeCell ref="K374:K375"/>
    <mergeCell ref="L374:L375"/>
    <mergeCell ref="M374:M375"/>
    <mergeCell ref="N374:N375"/>
    <mergeCell ref="G372:G373"/>
    <mergeCell ref="H372:H373"/>
    <mergeCell ref="I372:I373"/>
    <mergeCell ref="J372:J373"/>
    <mergeCell ref="K372:K373"/>
    <mergeCell ref="B372:B373"/>
    <mergeCell ref="C372:C373"/>
    <mergeCell ref="D372:D373"/>
    <mergeCell ref="E372:E373"/>
    <mergeCell ref="L368:L369"/>
    <mergeCell ref="M368:M369"/>
    <mergeCell ref="N368:N369"/>
    <mergeCell ref="B370:B371"/>
    <mergeCell ref="C370:C371"/>
    <mergeCell ref="D370:D371"/>
    <mergeCell ref="E370:E371"/>
    <mergeCell ref="G370:G371"/>
    <mergeCell ref="H370:H371"/>
    <mergeCell ref="I370:I371"/>
    <mergeCell ref="J370:J371"/>
    <mergeCell ref="K370:K371"/>
    <mergeCell ref="L370:L371"/>
    <mergeCell ref="M370:M371"/>
    <mergeCell ref="N370:N371"/>
    <mergeCell ref="G368:G369"/>
    <mergeCell ref="H368:H369"/>
    <mergeCell ref="I368:I369"/>
    <mergeCell ref="J368:J369"/>
    <mergeCell ref="K368:K369"/>
    <mergeCell ref="B368:B369"/>
    <mergeCell ref="C368:C369"/>
    <mergeCell ref="D368:D369"/>
    <mergeCell ref="E368:E369"/>
    <mergeCell ref="L380:L381"/>
    <mergeCell ref="M380:M381"/>
    <mergeCell ref="N380:N381"/>
    <mergeCell ref="B382:B383"/>
    <mergeCell ref="C382:C383"/>
    <mergeCell ref="D382:D383"/>
    <mergeCell ref="E382:E383"/>
    <mergeCell ref="G382:G383"/>
    <mergeCell ref="H382:H383"/>
    <mergeCell ref="I382:I383"/>
    <mergeCell ref="J382:J383"/>
    <mergeCell ref="K382:K383"/>
    <mergeCell ref="L382:L383"/>
    <mergeCell ref="M382:M383"/>
    <mergeCell ref="N382:N383"/>
    <mergeCell ref="G380:G381"/>
    <mergeCell ref="H380:H381"/>
    <mergeCell ref="I380:I381"/>
    <mergeCell ref="J380:J381"/>
    <mergeCell ref="K380:K381"/>
    <mergeCell ref="B380:B381"/>
    <mergeCell ref="C380:C381"/>
    <mergeCell ref="D380:D381"/>
    <mergeCell ref="E380:E381"/>
    <mergeCell ref="L376:L377"/>
    <mergeCell ref="M376:M377"/>
    <mergeCell ref="N376:N377"/>
    <mergeCell ref="B378:B379"/>
    <mergeCell ref="C378:C379"/>
    <mergeCell ref="D378:D379"/>
    <mergeCell ref="E378:E379"/>
    <mergeCell ref="G378:G379"/>
    <mergeCell ref="H378:H379"/>
    <mergeCell ref="I378:I379"/>
    <mergeCell ref="J378:J379"/>
    <mergeCell ref="K378:K379"/>
    <mergeCell ref="L378:L379"/>
    <mergeCell ref="M378:M379"/>
    <mergeCell ref="N378:N379"/>
    <mergeCell ref="G376:G377"/>
    <mergeCell ref="H376:H377"/>
    <mergeCell ref="I376:I377"/>
    <mergeCell ref="J376:J377"/>
    <mergeCell ref="K376:K377"/>
    <mergeCell ref="B376:B377"/>
    <mergeCell ref="C376:C377"/>
    <mergeCell ref="D376:D377"/>
    <mergeCell ref="E376:E377"/>
    <mergeCell ref="L388:L389"/>
    <mergeCell ref="M388:M389"/>
    <mergeCell ref="N388:N389"/>
    <mergeCell ref="B390:B391"/>
    <mergeCell ref="C390:C391"/>
    <mergeCell ref="D390:D391"/>
    <mergeCell ref="E390:E391"/>
    <mergeCell ref="G390:G391"/>
    <mergeCell ref="H390:H391"/>
    <mergeCell ref="I390:I391"/>
    <mergeCell ref="J390:J391"/>
    <mergeCell ref="K390:K391"/>
    <mergeCell ref="L390:L391"/>
    <mergeCell ref="M390:M391"/>
    <mergeCell ref="N390:N391"/>
    <mergeCell ref="G388:G389"/>
    <mergeCell ref="H388:H389"/>
    <mergeCell ref="I388:I389"/>
    <mergeCell ref="J388:J389"/>
    <mergeCell ref="K388:K389"/>
    <mergeCell ref="B388:B389"/>
    <mergeCell ref="C388:C389"/>
    <mergeCell ref="D388:D389"/>
    <mergeCell ref="E388:E389"/>
    <mergeCell ref="L384:L385"/>
    <mergeCell ref="M384:M385"/>
    <mergeCell ref="N384:N385"/>
    <mergeCell ref="B386:B387"/>
    <mergeCell ref="C386:C387"/>
    <mergeCell ref="D386:D387"/>
    <mergeCell ref="E386:E387"/>
    <mergeCell ref="G386:G387"/>
    <mergeCell ref="H386:H387"/>
    <mergeCell ref="I386:I387"/>
    <mergeCell ref="J386:J387"/>
    <mergeCell ref="K386:K387"/>
    <mergeCell ref="L386:L387"/>
    <mergeCell ref="M386:M387"/>
    <mergeCell ref="N386:N387"/>
    <mergeCell ref="G384:G385"/>
    <mergeCell ref="H384:H385"/>
    <mergeCell ref="I384:I385"/>
    <mergeCell ref="J384:J385"/>
    <mergeCell ref="K384:K385"/>
    <mergeCell ref="B384:B385"/>
    <mergeCell ref="C384:C385"/>
    <mergeCell ref="D384:D385"/>
    <mergeCell ref="E384:E385"/>
    <mergeCell ref="L396:L397"/>
    <mergeCell ref="M396:M397"/>
    <mergeCell ref="N396:N397"/>
    <mergeCell ref="B398:B399"/>
    <mergeCell ref="C398:C399"/>
    <mergeCell ref="D398:D399"/>
    <mergeCell ref="E398:E399"/>
    <mergeCell ref="G398:G399"/>
    <mergeCell ref="H398:H399"/>
    <mergeCell ref="I398:I399"/>
    <mergeCell ref="J398:J399"/>
    <mergeCell ref="K398:K399"/>
    <mergeCell ref="L398:L399"/>
    <mergeCell ref="M398:M399"/>
    <mergeCell ref="N398:N399"/>
    <mergeCell ref="G396:G397"/>
    <mergeCell ref="H396:H397"/>
    <mergeCell ref="I396:I397"/>
    <mergeCell ref="J396:J397"/>
    <mergeCell ref="K396:K397"/>
    <mergeCell ref="B396:B397"/>
    <mergeCell ref="C396:C397"/>
    <mergeCell ref="D396:D397"/>
    <mergeCell ref="E396:E397"/>
    <mergeCell ref="L392:L393"/>
    <mergeCell ref="M392:M393"/>
    <mergeCell ref="N392:N393"/>
    <mergeCell ref="B394:B395"/>
    <mergeCell ref="C394:C395"/>
    <mergeCell ref="D394:D395"/>
    <mergeCell ref="E394:E395"/>
    <mergeCell ref="G394:G395"/>
    <mergeCell ref="H394:H395"/>
    <mergeCell ref="I394:I395"/>
    <mergeCell ref="J394:J395"/>
    <mergeCell ref="K394:K395"/>
    <mergeCell ref="L394:L395"/>
    <mergeCell ref="M394:M395"/>
    <mergeCell ref="N394:N395"/>
    <mergeCell ref="G392:G393"/>
    <mergeCell ref="H392:H393"/>
    <mergeCell ref="I392:I393"/>
    <mergeCell ref="J392:J393"/>
    <mergeCell ref="K392:K393"/>
    <mergeCell ref="B392:B393"/>
    <mergeCell ref="C392:C393"/>
    <mergeCell ref="D392:D393"/>
    <mergeCell ref="E392:E393"/>
    <mergeCell ref="L404:L405"/>
    <mergeCell ref="M404:M405"/>
    <mergeCell ref="N404:N405"/>
    <mergeCell ref="B406:B407"/>
    <mergeCell ref="C406:C407"/>
    <mergeCell ref="D406:D407"/>
    <mergeCell ref="E406:E407"/>
    <mergeCell ref="G406:G407"/>
    <mergeCell ref="H406:H407"/>
    <mergeCell ref="I406:I407"/>
    <mergeCell ref="J406:J407"/>
    <mergeCell ref="K406:K407"/>
    <mergeCell ref="L406:L407"/>
    <mergeCell ref="M406:M407"/>
    <mergeCell ref="N406:N407"/>
    <mergeCell ref="G404:G405"/>
    <mergeCell ref="H404:H405"/>
    <mergeCell ref="I404:I405"/>
    <mergeCell ref="J404:J405"/>
    <mergeCell ref="K404:K405"/>
    <mergeCell ref="B404:B405"/>
    <mergeCell ref="C404:C405"/>
    <mergeCell ref="D404:D405"/>
    <mergeCell ref="E404:E405"/>
    <mergeCell ref="L400:L401"/>
    <mergeCell ref="M400:M401"/>
    <mergeCell ref="N400:N401"/>
    <mergeCell ref="B402:B403"/>
    <mergeCell ref="C402:C403"/>
    <mergeCell ref="D402:D403"/>
    <mergeCell ref="E402:E403"/>
    <mergeCell ref="G402:G403"/>
    <mergeCell ref="H402:H403"/>
    <mergeCell ref="I402:I403"/>
    <mergeCell ref="J402:J403"/>
    <mergeCell ref="K402:K403"/>
    <mergeCell ref="L402:L403"/>
    <mergeCell ref="M402:M403"/>
    <mergeCell ref="N402:N403"/>
    <mergeCell ref="G400:G401"/>
    <mergeCell ref="H400:H401"/>
    <mergeCell ref="I400:I401"/>
    <mergeCell ref="J400:J401"/>
    <mergeCell ref="K400:K401"/>
    <mergeCell ref="B400:B401"/>
    <mergeCell ref="C400:C401"/>
    <mergeCell ref="D400:D401"/>
    <mergeCell ref="E400:E401"/>
    <mergeCell ref="L412:L413"/>
    <mergeCell ref="M412:M413"/>
    <mergeCell ref="N412:N413"/>
    <mergeCell ref="B414:B415"/>
    <mergeCell ref="C414:C415"/>
    <mergeCell ref="D414:D415"/>
    <mergeCell ref="E414:E415"/>
    <mergeCell ref="G414:G415"/>
    <mergeCell ref="H414:H415"/>
    <mergeCell ref="I414:I415"/>
    <mergeCell ref="J414:J415"/>
    <mergeCell ref="K414:K415"/>
    <mergeCell ref="L414:L415"/>
    <mergeCell ref="M414:M415"/>
    <mergeCell ref="N414:N415"/>
    <mergeCell ref="G412:G413"/>
    <mergeCell ref="H412:H413"/>
    <mergeCell ref="I412:I413"/>
    <mergeCell ref="J412:J413"/>
    <mergeCell ref="K412:K413"/>
    <mergeCell ref="B412:B413"/>
    <mergeCell ref="C412:C413"/>
    <mergeCell ref="D412:D413"/>
    <mergeCell ref="E412:E413"/>
    <mergeCell ref="L408:L409"/>
    <mergeCell ref="M408:M409"/>
    <mergeCell ref="N408:N409"/>
    <mergeCell ref="B410:B411"/>
    <mergeCell ref="C410:C411"/>
    <mergeCell ref="D410:D411"/>
    <mergeCell ref="E410:E411"/>
    <mergeCell ref="G410:G411"/>
    <mergeCell ref="H410:H411"/>
    <mergeCell ref="I410:I411"/>
    <mergeCell ref="J410:J411"/>
    <mergeCell ref="K410:K411"/>
    <mergeCell ref="L410:L411"/>
    <mergeCell ref="M410:M411"/>
    <mergeCell ref="N410:N411"/>
    <mergeCell ref="G408:G409"/>
    <mergeCell ref="H408:H409"/>
    <mergeCell ref="I408:I409"/>
    <mergeCell ref="J408:J409"/>
    <mergeCell ref="K408:K409"/>
    <mergeCell ref="B408:B409"/>
    <mergeCell ref="C408:C409"/>
    <mergeCell ref="D408:D409"/>
    <mergeCell ref="E408:E409"/>
    <mergeCell ref="L420:L421"/>
    <mergeCell ref="M420:M421"/>
    <mergeCell ref="N420:N421"/>
    <mergeCell ref="B422:B423"/>
    <mergeCell ref="C422:C423"/>
    <mergeCell ref="D422:D423"/>
    <mergeCell ref="E422:E423"/>
    <mergeCell ref="G422:G423"/>
    <mergeCell ref="H422:H423"/>
    <mergeCell ref="I422:I423"/>
    <mergeCell ref="J422:J423"/>
    <mergeCell ref="K422:K423"/>
    <mergeCell ref="L422:L423"/>
    <mergeCell ref="M422:M423"/>
    <mergeCell ref="N422:N423"/>
    <mergeCell ref="G420:G421"/>
    <mergeCell ref="H420:H421"/>
    <mergeCell ref="I420:I421"/>
    <mergeCell ref="J420:J421"/>
    <mergeCell ref="K420:K421"/>
    <mergeCell ref="B420:B421"/>
    <mergeCell ref="C420:C421"/>
    <mergeCell ref="D420:D421"/>
    <mergeCell ref="E420:E421"/>
    <mergeCell ref="L416:L417"/>
    <mergeCell ref="M416:M417"/>
    <mergeCell ref="N416:N417"/>
    <mergeCell ref="B418:B419"/>
    <mergeCell ref="C418:C419"/>
    <mergeCell ref="D418:D419"/>
    <mergeCell ref="E418:E419"/>
    <mergeCell ref="G418:G419"/>
    <mergeCell ref="H418:H419"/>
    <mergeCell ref="I418:I419"/>
    <mergeCell ref="J418:J419"/>
    <mergeCell ref="K418:K419"/>
    <mergeCell ref="L418:L419"/>
    <mergeCell ref="M418:M419"/>
    <mergeCell ref="N418:N419"/>
    <mergeCell ref="G416:G417"/>
    <mergeCell ref="H416:H417"/>
    <mergeCell ref="I416:I417"/>
    <mergeCell ref="J416:J417"/>
    <mergeCell ref="K416:K417"/>
    <mergeCell ref="B416:B417"/>
    <mergeCell ref="C416:C417"/>
    <mergeCell ref="D416:D417"/>
    <mergeCell ref="E416:E417"/>
    <mergeCell ref="L428:L429"/>
    <mergeCell ref="M428:M429"/>
    <mergeCell ref="N428:N429"/>
    <mergeCell ref="B430:B431"/>
    <mergeCell ref="C430:C431"/>
    <mergeCell ref="D430:D431"/>
    <mergeCell ref="E430:E431"/>
    <mergeCell ref="G430:G431"/>
    <mergeCell ref="H430:H431"/>
    <mergeCell ref="I430:I431"/>
    <mergeCell ref="J430:J431"/>
    <mergeCell ref="K430:K431"/>
    <mergeCell ref="L430:L431"/>
    <mergeCell ref="M430:M431"/>
    <mergeCell ref="N430:N431"/>
    <mergeCell ref="G428:G429"/>
    <mergeCell ref="H428:H429"/>
    <mergeCell ref="I428:I429"/>
    <mergeCell ref="J428:J429"/>
    <mergeCell ref="K428:K429"/>
    <mergeCell ref="B428:B429"/>
    <mergeCell ref="C428:C429"/>
    <mergeCell ref="D428:D429"/>
    <mergeCell ref="E428:E429"/>
    <mergeCell ref="L424:L425"/>
    <mergeCell ref="M424:M425"/>
    <mergeCell ref="N424:N425"/>
    <mergeCell ref="B426:B427"/>
    <mergeCell ref="C426:C427"/>
    <mergeCell ref="D426:D427"/>
    <mergeCell ref="E426:E427"/>
    <mergeCell ref="G426:G427"/>
    <mergeCell ref="H426:H427"/>
    <mergeCell ref="I426:I427"/>
    <mergeCell ref="J426:J427"/>
    <mergeCell ref="K426:K427"/>
    <mergeCell ref="L426:L427"/>
    <mergeCell ref="M426:M427"/>
    <mergeCell ref="N426:N427"/>
    <mergeCell ref="G424:G425"/>
    <mergeCell ref="H424:H425"/>
    <mergeCell ref="I424:I425"/>
    <mergeCell ref="J424:J425"/>
    <mergeCell ref="K424:K425"/>
    <mergeCell ref="B424:B425"/>
    <mergeCell ref="C424:C425"/>
    <mergeCell ref="D424:D425"/>
    <mergeCell ref="E424:E425"/>
    <mergeCell ref="L436:L437"/>
    <mergeCell ref="M436:M437"/>
    <mergeCell ref="N436:N437"/>
    <mergeCell ref="B438:B439"/>
    <mergeCell ref="C438:C439"/>
    <mergeCell ref="D438:D439"/>
    <mergeCell ref="E438:E439"/>
    <mergeCell ref="G438:G439"/>
    <mergeCell ref="H438:H439"/>
    <mergeCell ref="I438:I439"/>
    <mergeCell ref="J438:J439"/>
    <mergeCell ref="K438:K439"/>
    <mergeCell ref="L438:L439"/>
    <mergeCell ref="M438:M439"/>
    <mergeCell ref="N438:N439"/>
    <mergeCell ref="G436:G437"/>
    <mergeCell ref="H436:H437"/>
    <mergeCell ref="I436:I437"/>
    <mergeCell ref="J436:J437"/>
    <mergeCell ref="K436:K437"/>
    <mergeCell ref="B436:B437"/>
    <mergeCell ref="C436:C437"/>
    <mergeCell ref="D436:D437"/>
    <mergeCell ref="E436:E437"/>
    <mergeCell ref="L432:L433"/>
    <mergeCell ref="M432:M433"/>
    <mergeCell ref="N432:N433"/>
    <mergeCell ref="B434:B435"/>
    <mergeCell ref="C434:C435"/>
    <mergeCell ref="D434:D435"/>
    <mergeCell ref="E434:E435"/>
    <mergeCell ref="G434:G435"/>
    <mergeCell ref="H434:H435"/>
    <mergeCell ref="I434:I435"/>
    <mergeCell ref="J434:J435"/>
    <mergeCell ref="K434:K435"/>
    <mergeCell ref="L434:L435"/>
    <mergeCell ref="M434:M435"/>
    <mergeCell ref="N434:N435"/>
    <mergeCell ref="G432:G433"/>
    <mergeCell ref="H432:H433"/>
    <mergeCell ref="I432:I433"/>
    <mergeCell ref="J432:J433"/>
    <mergeCell ref="K432:K433"/>
    <mergeCell ref="B432:B433"/>
    <mergeCell ref="C432:C433"/>
    <mergeCell ref="D432:D433"/>
    <mergeCell ref="E432:E433"/>
    <mergeCell ref="L444:L445"/>
    <mergeCell ref="M444:M445"/>
    <mergeCell ref="N444:N445"/>
    <mergeCell ref="B446:B447"/>
    <mergeCell ref="C446:C447"/>
    <mergeCell ref="D446:D447"/>
    <mergeCell ref="E446:E447"/>
    <mergeCell ref="G446:G447"/>
    <mergeCell ref="H446:H447"/>
    <mergeCell ref="I446:I447"/>
    <mergeCell ref="J446:J447"/>
    <mergeCell ref="K446:K447"/>
    <mergeCell ref="L446:L447"/>
    <mergeCell ref="M446:M447"/>
    <mergeCell ref="N446:N447"/>
    <mergeCell ref="G444:G445"/>
    <mergeCell ref="H444:H445"/>
    <mergeCell ref="I444:I445"/>
    <mergeCell ref="J444:J445"/>
    <mergeCell ref="K444:K445"/>
    <mergeCell ref="B444:B445"/>
    <mergeCell ref="C444:C445"/>
    <mergeCell ref="D444:D445"/>
    <mergeCell ref="E444:E445"/>
    <mergeCell ref="L440:L441"/>
    <mergeCell ref="M440:M441"/>
    <mergeCell ref="N440:N441"/>
    <mergeCell ref="B442:B443"/>
    <mergeCell ref="C442:C443"/>
    <mergeCell ref="D442:D443"/>
    <mergeCell ref="E442:E443"/>
    <mergeCell ref="G442:G443"/>
    <mergeCell ref="H442:H443"/>
    <mergeCell ref="I442:I443"/>
    <mergeCell ref="J442:J443"/>
    <mergeCell ref="K442:K443"/>
    <mergeCell ref="L442:L443"/>
    <mergeCell ref="M442:M443"/>
    <mergeCell ref="N442:N443"/>
    <mergeCell ref="G440:G441"/>
    <mergeCell ref="H440:H441"/>
    <mergeCell ref="I440:I441"/>
    <mergeCell ref="J440:J441"/>
    <mergeCell ref="K440:K441"/>
    <mergeCell ref="B440:B441"/>
    <mergeCell ref="C440:C441"/>
    <mergeCell ref="D440:D441"/>
    <mergeCell ref="E440:E441"/>
    <mergeCell ref="L452:L453"/>
    <mergeCell ref="M452:M453"/>
    <mergeCell ref="N452:N453"/>
    <mergeCell ref="B454:B455"/>
    <mergeCell ref="C454:C455"/>
    <mergeCell ref="D454:D455"/>
    <mergeCell ref="E454:E455"/>
    <mergeCell ref="G454:G455"/>
    <mergeCell ref="H454:H455"/>
    <mergeCell ref="I454:I455"/>
    <mergeCell ref="J454:J455"/>
    <mergeCell ref="K454:K455"/>
    <mergeCell ref="L454:L455"/>
    <mergeCell ref="M454:M455"/>
    <mergeCell ref="N454:N455"/>
    <mergeCell ref="G452:G453"/>
    <mergeCell ref="H452:H453"/>
    <mergeCell ref="I452:I453"/>
    <mergeCell ref="J452:J453"/>
    <mergeCell ref="K452:K453"/>
    <mergeCell ref="B452:B453"/>
    <mergeCell ref="C452:C453"/>
    <mergeCell ref="D452:D453"/>
    <mergeCell ref="E452:E453"/>
    <mergeCell ref="L448:L449"/>
    <mergeCell ref="M448:M449"/>
    <mergeCell ref="N448:N449"/>
    <mergeCell ref="B450:B451"/>
    <mergeCell ref="C450:C451"/>
    <mergeCell ref="D450:D451"/>
    <mergeCell ref="E450:E451"/>
    <mergeCell ref="G450:G451"/>
    <mergeCell ref="H450:H451"/>
    <mergeCell ref="I450:I451"/>
    <mergeCell ref="J450:J451"/>
    <mergeCell ref="K450:K451"/>
    <mergeCell ref="L450:L451"/>
    <mergeCell ref="M450:M451"/>
    <mergeCell ref="N450:N451"/>
    <mergeCell ref="G448:G449"/>
    <mergeCell ref="H448:H449"/>
    <mergeCell ref="I448:I449"/>
    <mergeCell ref="J448:J449"/>
    <mergeCell ref="K448:K449"/>
    <mergeCell ref="B448:B449"/>
    <mergeCell ref="C448:C449"/>
    <mergeCell ref="D448:D449"/>
    <mergeCell ref="E448:E449"/>
    <mergeCell ref="L460:L461"/>
    <mergeCell ref="M460:M461"/>
    <mergeCell ref="N460:N461"/>
    <mergeCell ref="B462:B463"/>
    <mergeCell ref="C462:C463"/>
    <mergeCell ref="D462:D463"/>
    <mergeCell ref="E462:E463"/>
    <mergeCell ref="G462:G463"/>
    <mergeCell ref="H462:H463"/>
    <mergeCell ref="I462:I463"/>
    <mergeCell ref="J462:J463"/>
    <mergeCell ref="K462:K463"/>
    <mergeCell ref="L462:L463"/>
    <mergeCell ref="M462:M463"/>
    <mergeCell ref="N462:N463"/>
    <mergeCell ref="G460:G461"/>
    <mergeCell ref="H460:H461"/>
    <mergeCell ref="I460:I461"/>
    <mergeCell ref="J460:J461"/>
    <mergeCell ref="K460:K461"/>
    <mergeCell ref="B460:B461"/>
    <mergeCell ref="C460:C461"/>
    <mergeCell ref="D460:D461"/>
    <mergeCell ref="E460:E461"/>
    <mergeCell ref="L456:L457"/>
    <mergeCell ref="M456:M457"/>
    <mergeCell ref="N456:N457"/>
    <mergeCell ref="B458:B459"/>
    <mergeCell ref="C458:C459"/>
    <mergeCell ref="D458:D459"/>
    <mergeCell ref="E458:E459"/>
    <mergeCell ref="G458:G459"/>
    <mergeCell ref="H458:H459"/>
    <mergeCell ref="I458:I459"/>
    <mergeCell ref="J458:J459"/>
    <mergeCell ref="K458:K459"/>
    <mergeCell ref="L458:L459"/>
    <mergeCell ref="M458:M459"/>
    <mergeCell ref="N458:N459"/>
    <mergeCell ref="G456:G457"/>
    <mergeCell ref="H456:H457"/>
    <mergeCell ref="I456:I457"/>
    <mergeCell ref="J456:J457"/>
    <mergeCell ref="K456:K457"/>
    <mergeCell ref="B456:B457"/>
    <mergeCell ref="C456:C457"/>
    <mergeCell ref="D456:D457"/>
    <mergeCell ref="E456:E457"/>
    <mergeCell ref="L468:L469"/>
    <mergeCell ref="M468:M469"/>
    <mergeCell ref="N468:N469"/>
    <mergeCell ref="B470:B471"/>
    <mergeCell ref="C470:C471"/>
    <mergeCell ref="D470:D471"/>
    <mergeCell ref="E470:E471"/>
    <mergeCell ref="G470:G471"/>
    <mergeCell ref="H470:H471"/>
    <mergeCell ref="I470:I471"/>
    <mergeCell ref="J470:J471"/>
    <mergeCell ref="K470:K471"/>
    <mergeCell ref="L470:L471"/>
    <mergeCell ref="M470:M471"/>
    <mergeCell ref="N470:N471"/>
    <mergeCell ref="G468:G469"/>
    <mergeCell ref="H468:H469"/>
    <mergeCell ref="I468:I469"/>
    <mergeCell ref="J468:J469"/>
    <mergeCell ref="K468:K469"/>
    <mergeCell ref="B468:B469"/>
    <mergeCell ref="C468:C469"/>
    <mergeCell ref="D468:D469"/>
    <mergeCell ref="E468:E469"/>
    <mergeCell ref="L464:L465"/>
    <mergeCell ref="M464:M465"/>
    <mergeCell ref="N464:N465"/>
    <mergeCell ref="B466:B467"/>
    <mergeCell ref="C466:C467"/>
    <mergeCell ref="D466:D467"/>
    <mergeCell ref="E466:E467"/>
    <mergeCell ref="G466:G467"/>
    <mergeCell ref="H466:H467"/>
    <mergeCell ref="I466:I467"/>
    <mergeCell ref="J466:J467"/>
    <mergeCell ref="K466:K467"/>
    <mergeCell ref="L466:L467"/>
    <mergeCell ref="M466:M467"/>
    <mergeCell ref="N466:N467"/>
    <mergeCell ref="G464:G465"/>
    <mergeCell ref="H464:H465"/>
    <mergeCell ref="I464:I465"/>
    <mergeCell ref="J464:J465"/>
    <mergeCell ref="K464:K465"/>
    <mergeCell ref="B464:B465"/>
    <mergeCell ref="C464:C465"/>
    <mergeCell ref="D464:D465"/>
    <mergeCell ref="E464:E465"/>
    <mergeCell ref="L476:L477"/>
    <mergeCell ref="M476:M477"/>
    <mergeCell ref="N476:N477"/>
    <mergeCell ref="B478:B479"/>
    <mergeCell ref="C478:C479"/>
    <mergeCell ref="D478:D479"/>
    <mergeCell ref="E478:E479"/>
    <mergeCell ref="G478:G479"/>
    <mergeCell ref="H478:H479"/>
    <mergeCell ref="I478:I479"/>
    <mergeCell ref="J478:J479"/>
    <mergeCell ref="K478:K479"/>
    <mergeCell ref="L478:L479"/>
    <mergeCell ref="M478:M479"/>
    <mergeCell ref="N478:N479"/>
    <mergeCell ref="G476:G477"/>
    <mergeCell ref="H476:H477"/>
    <mergeCell ref="I476:I477"/>
    <mergeCell ref="J476:J477"/>
    <mergeCell ref="K476:K477"/>
    <mergeCell ref="B476:B477"/>
    <mergeCell ref="C476:C477"/>
    <mergeCell ref="D476:D477"/>
    <mergeCell ref="E476:E477"/>
    <mergeCell ref="L472:L473"/>
    <mergeCell ref="M472:M473"/>
    <mergeCell ref="N472:N473"/>
    <mergeCell ref="B474:B475"/>
    <mergeCell ref="C474:C475"/>
    <mergeCell ref="D474:D475"/>
    <mergeCell ref="E474:E475"/>
    <mergeCell ref="G474:G475"/>
    <mergeCell ref="H474:H475"/>
    <mergeCell ref="I474:I475"/>
    <mergeCell ref="J474:J475"/>
    <mergeCell ref="K474:K475"/>
    <mergeCell ref="L474:L475"/>
    <mergeCell ref="M474:M475"/>
    <mergeCell ref="N474:N475"/>
    <mergeCell ref="G472:G473"/>
    <mergeCell ref="H472:H473"/>
    <mergeCell ref="I472:I473"/>
    <mergeCell ref="J472:J473"/>
    <mergeCell ref="K472:K473"/>
    <mergeCell ref="B472:B473"/>
    <mergeCell ref="C472:C473"/>
    <mergeCell ref="D472:D473"/>
    <mergeCell ref="E472:E473"/>
    <mergeCell ref="L484:L485"/>
    <mergeCell ref="M484:M485"/>
    <mergeCell ref="N484:N485"/>
    <mergeCell ref="B486:B487"/>
    <mergeCell ref="C486:C487"/>
    <mergeCell ref="D486:D487"/>
    <mergeCell ref="E486:E487"/>
    <mergeCell ref="G486:G487"/>
    <mergeCell ref="H486:H487"/>
    <mergeCell ref="I486:I487"/>
    <mergeCell ref="J486:J487"/>
    <mergeCell ref="K486:K487"/>
    <mergeCell ref="L486:L487"/>
    <mergeCell ref="M486:M487"/>
    <mergeCell ref="N486:N487"/>
    <mergeCell ref="G484:G485"/>
    <mergeCell ref="H484:H485"/>
    <mergeCell ref="I484:I485"/>
    <mergeCell ref="J484:J485"/>
    <mergeCell ref="K484:K485"/>
    <mergeCell ref="B484:B485"/>
    <mergeCell ref="C484:C485"/>
    <mergeCell ref="D484:D485"/>
    <mergeCell ref="E484:E485"/>
    <mergeCell ref="L480:L481"/>
    <mergeCell ref="M480:M481"/>
    <mergeCell ref="N480:N481"/>
    <mergeCell ref="B482:B483"/>
    <mergeCell ref="C482:C483"/>
    <mergeCell ref="D482:D483"/>
    <mergeCell ref="E482:E483"/>
    <mergeCell ref="G482:G483"/>
    <mergeCell ref="H482:H483"/>
    <mergeCell ref="I482:I483"/>
    <mergeCell ref="J482:J483"/>
    <mergeCell ref="K482:K483"/>
    <mergeCell ref="L482:L483"/>
    <mergeCell ref="M482:M483"/>
    <mergeCell ref="N482:N483"/>
    <mergeCell ref="G480:G481"/>
    <mergeCell ref="H480:H481"/>
    <mergeCell ref="I480:I481"/>
    <mergeCell ref="J480:J481"/>
    <mergeCell ref="K480:K481"/>
    <mergeCell ref="B480:B481"/>
    <mergeCell ref="C480:C481"/>
    <mergeCell ref="D480:D481"/>
    <mergeCell ref="E480:E481"/>
    <mergeCell ref="L492:L493"/>
    <mergeCell ref="M492:M493"/>
    <mergeCell ref="N492:N493"/>
    <mergeCell ref="B494:B495"/>
    <mergeCell ref="C494:C495"/>
    <mergeCell ref="D494:D495"/>
    <mergeCell ref="E494:E495"/>
    <mergeCell ref="G494:G495"/>
    <mergeCell ref="H494:H495"/>
    <mergeCell ref="I494:I495"/>
    <mergeCell ref="J494:J495"/>
    <mergeCell ref="K494:K495"/>
    <mergeCell ref="L494:L495"/>
    <mergeCell ref="M494:M495"/>
    <mergeCell ref="N494:N495"/>
    <mergeCell ref="G492:G493"/>
    <mergeCell ref="H492:H493"/>
    <mergeCell ref="I492:I493"/>
    <mergeCell ref="J492:J493"/>
    <mergeCell ref="K492:K493"/>
    <mergeCell ref="B492:B493"/>
    <mergeCell ref="C492:C493"/>
    <mergeCell ref="D492:D493"/>
    <mergeCell ref="E492:E493"/>
    <mergeCell ref="L488:L489"/>
    <mergeCell ref="M488:M489"/>
    <mergeCell ref="N488:N489"/>
    <mergeCell ref="B490:B491"/>
    <mergeCell ref="C490:C491"/>
    <mergeCell ref="D490:D491"/>
    <mergeCell ref="E490:E491"/>
    <mergeCell ref="G490:G491"/>
    <mergeCell ref="H490:H491"/>
    <mergeCell ref="I490:I491"/>
    <mergeCell ref="J490:J491"/>
    <mergeCell ref="K490:K491"/>
    <mergeCell ref="L490:L491"/>
    <mergeCell ref="M490:M491"/>
    <mergeCell ref="N490:N491"/>
    <mergeCell ref="G488:G489"/>
    <mergeCell ref="H488:H489"/>
    <mergeCell ref="I488:I489"/>
    <mergeCell ref="J488:J489"/>
    <mergeCell ref="K488:K489"/>
    <mergeCell ref="B488:B489"/>
    <mergeCell ref="C488:C489"/>
    <mergeCell ref="D488:D489"/>
    <mergeCell ref="E488:E489"/>
    <mergeCell ref="L500:L501"/>
    <mergeCell ref="M500:M501"/>
    <mergeCell ref="N500:N501"/>
    <mergeCell ref="B502:B503"/>
    <mergeCell ref="C502:C503"/>
    <mergeCell ref="D502:D503"/>
    <mergeCell ref="E502:E503"/>
    <mergeCell ref="G502:G503"/>
    <mergeCell ref="H502:H503"/>
    <mergeCell ref="I502:I503"/>
    <mergeCell ref="J502:J503"/>
    <mergeCell ref="K502:K503"/>
    <mergeCell ref="L502:L503"/>
    <mergeCell ref="M502:M503"/>
    <mergeCell ref="N502:N503"/>
    <mergeCell ref="G500:G501"/>
    <mergeCell ref="H500:H501"/>
    <mergeCell ref="I500:I501"/>
    <mergeCell ref="J500:J501"/>
    <mergeCell ref="K500:K501"/>
    <mergeCell ref="B500:B501"/>
    <mergeCell ref="C500:C501"/>
    <mergeCell ref="D500:D501"/>
    <mergeCell ref="E500:E501"/>
    <mergeCell ref="L496:L497"/>
    <mergeCell ref="M496:M497"/>
    <mergeCell ref="N496:N497"/>
    <mergeCell ref="B498:B499"/>
    <mergeCell ref="C498:C499"/>
    <mergeCell ref="D498:D499"/>
    <mergeCell ref="E498:E499"/>
    <mergeCell ref="G498:G499"/>
    <mergeCell ref="H498:H499"/>
    <mergeCell ref="I498:I499"/>
    <mergeCell ref="J498:J499"/>
    <mergeCell ref="K498:K499"/>
    <mergeCell ref="L498:L499"/>
    <mergeCell ref="M498:M499"/>
    <mergeCell ref="N498:N499"/>
    <mergeCell ref="G496:G497"/>
    <mergeCell ref="H496:H497"/>
    <mergeCell ref="I496:I497"/>
    <mergeCell ref="J496:J497"/>
    <mergeCell ref="K496:K497"/>
    <mergeCell ref="B496:B497"/>
    <mergeCell ref="C496:C497"/>
    <mergeCell ref="D496:D497"/>
    <mergeCell ref="E496:E497"/>
    <mergeCell ref="L508:L509"/>
    <mergeCell ref="M508:M509"/>
    <mergeCell ref="N508:N509"/>
    <mergeCell ref="B510:B511"/>
    <mergeCell ref="C510:C511"/>
    <mergeCell ref="D510:D511"/>
    <mergeCell ref="E510:E511"/>
    <mergeCell ref="G510:G511"/>
    <mergeCell ref="H510:H511"/>
    <mergeCell ref="I510:I511"/>
    <mergeCell ref="J510:J511"/>
    <mergeCell ref="K510:K511"/>
    <mergeCell ref="L510:L511"/>
    <mergeCell ref="M510:M511"/>
    <mergeCell ref="N510:N511"/>
    <mergeCell ref="G508:G509"/>
    <mergeCell ref="H508:H509"/>
    <mergeCell ref="I508:I509"/>
    <mergeCell ref="J508:J509"/>
    <mergeCell ref="K508:K509"/>
    <mergeCell ref="B508:B509"/>
    <mergeCell ref="C508:C509"/>
    <mergeCell ref="D508:D509"/>
    <mergeCell ref="E508:E509"/>
    <mergeCell ref="L504:L505"/>
    <mergeCell ref="M504:M505"/>
    <mergeCell ref="N504:N505"/>
    <mergeCell ref="B506:B507"/>
    <mergeCell ref="C506:C507"/>
    <mergeCell ref="D506:D507"/>
    <mergeCell ref="E506:E507"/>
    <mergeCell ref="G506:G507"/>
    <mergeCell ref="H506:H507"/>
    <mergeCell ref="I506:I507"/>
    <mergeCell ref="J506:J507"/>
    <mergeCell ref="K506:K507"/>
    <mergeCell ref="L506:L507"/>
    <mergeCell ref="M506:M507"/>
    <mergeCell ref="N506:N507"/>
    <mergeCell ref="G504:G505"/>
    <mergeCell ref="H504:H505"/>
    <mergeCell ref="I504:I505"/>
    <mergeCell ref="J504:J505"/>
    <mergeCell ref="K504:K505"/>
    <mergeCell ref="B504:B505"/>
    <mergeCell ref="C504:C505"/>
    <mergeCell ref="D504:D505"/>
    <mergeCell ref="E504:E505"/>
    <mergeCell ref="L516:L517"/>
    <mergeCell ref="M516:M517"/>
    <mergeCell ref="N516:N517"/>
    <mergeCell ref="B518:B519"/>
    <mergeCell ref="C518:C519"/>
    <mergeCell ref="D518:D519"/>
    <mergeCell ref="E518:E519"/>
    <mergeCell ref="G518:G519"/>
    <mergeCell ref="H518:H519"/>
    <mergeCell ref="I518:I519"/>
    <mergeCell ref="J518:J519"/>
    <mergeCell ref="K518:K519"/>
    <mergeCell ref="L518:L519"/>
    <mergeCell ref="M518:M519"/>
    <mergeCell ref="N518:N519"/>
    <mergeCell ref="G516:G517"/>
    <mergeCell ref="H516:H517"/>
    <mergeCell ref="I516:I517"/>
    <mergeCell ref="J516:J517"/>
    <mergeCell ref="K516:K517"/>
    <mergeCell ref="B516:B517"/>
    <mergeCell ref="C516:C517"/>
    <mergeCell ref="D516:D517"/>
    <mergeCell ref="E516:E517"/>
    <mergeCell ref="L512:L513"/>
    <mergeCell ref="M512:M513"/>
    <mergeCell ref="N512:N513"/>
    <mergeCell ref="B514:B515"/>
    <mergeCell ref="C514:C515"/>
    <mergeCell ref="D514:D515"/>
    <mergeCell ref="E514:E515"/>
    <mergeCell ref="G514:G515"/>
    <mergeCell ref="H514:H515"/>
    <mergeCell ref="I514:I515"/>
    <mergeCell ref="J514:J515"/>
    <mergeCell ref="K514:K515"/>
    <mergeCell ref="L514:L515"/>
    <mergeCell ref="M514:M515"/>
    <mergeCell ref="N514:N515"/>
    <mergeCell ref="G512:G513"/>
    <mergeCell ref="H512:H513"/>
    <mergeCell ref="I512:I513"/>
    <mergeCell ref="J512:J513"/>
    <mergeCell ref="K512:K513"/>
    <mergeCell ref="B512:B513"/>
    <mergeCell ref="C512:C513"/>
    <mergeCell ref="D512:D513"/>
    <mergeCell ref="E512:E513"/>
    <mergeCell ref="L524:L525"/>
    <mergeCell ref="M524:M525"/>
    <mergeCell ref="N524:N525"/>
    <mergeCell ref="B526:B527"/>
    <mergeCell ref="C526:C527"/>
    <mergeCell ref="D526:D527"/>
    <mergeCell ref="E526:E527"/>
    <mergeCell ref="G526:G527"/>
    <mergeCell ref="H526:H527"/>
    <mergeCell ref="I526:I527"/>
    <mergeCell ref="J526:J527"/>
    <mergeCell ref="K526:K527"/>
    <mergeCell ref="L526:L527"/>
    <mergeCell ref="M526:M527"/>
    <mergeCell ref="N526:N527"/>
    <mergeCell ref="G524:G525"/>
    <mergeCell ref="H524:H525"/>
    <mergeCell ref="I524:I525"/>
    <mergeCell ref="J524:J525"/>
    <mergeCell ref="K524:K525"/>
    <mergeCell ref="B524:B525"/>
    <mergeCell ref="C524:C525"/>
    <mergeCell ref="D524:D525"/>
    <mergeCell ref="E524:E525"/>
    <mergeCell ref="L520:L521"/>
    <mergeCell ref="M520:M521"/>
    <mergeCell ref="N520:N521"/>
    <mergeCell ref="B522:B523"/>
    <mergeCell ref="C522:C523"/>
    <mergeCell ref="D522:D523"/>
    <mergeCell ref="E522:E523"/>
    <mergeCell ref="G522:G523"/>
    <mergeCell ref="H522:H523"/>
    <mergeCell ref="I522:I523"/>
    <mergeCell ref="J522:J523"/>
    <mergeCell ref="K522:K523"/>
    <mergeCell ref="L522:L523"/>
    <mergeCell ref="M522:M523"/>
    <mergeCell ref="N522:N523"/>
    <mergeCell ref="G520:G521"/>
    <mergeCell ref="H520:H521"/>
    <mergeCell ref="I520:I521"/>
    <mergeCell ref="J520:J521"/>
    <mergeCell ref="K520:K521"/>
    <mergeCell ref="B520:B521"/>
    <mergeCell ref="C520:C521"/>
    <mergeCell ref="D520:D521"/>
    <mergeCell ref="E520:E521"/>
    <mergeCell ref="L532:L533"/>
    <mergeCell ref="M532:M533"/>
    <mergeCell ref="N532:N533"/>
    <mergeCell ref="B534:B535"/>
    <mergeCell ref="C534:C535"/>
    <mergeCell ref="D534:D535"/>
    <mergeCell ref="E534:E535"/>
    <mergeCell ref="G534:G535"/>
    <mergeCell ref="H534:H535"/>
    <mergeCell ref="I534:I535"/>
    <mergeCell ref="J534:J535"/>
    <mergeCell ref="K534:K535"/>
    <mergeCell ref="L534:L535"/>
    <mergeCell ref="M534:M535"/>
    <mergeCell ref="N534:N535"/>
    <mergeCell ref="G532:G533"/>
    <mergeCell ref="H532:H533"/>
    <mergeCell ref="I532:I533"/>
    <mergeCell ref="J532:J533"/>
    <mergeCell ref="K532:K533"/>
    <mergeCell ref="B532:B533"/>
    <mergeCell ref="C532:C533"/>
    <mergeCell ref="D532:D533"/>
    <mergeCell ref="E532:E533"/>
    <mergeCell ref="L528:L529"/>
    <mergeCell ref="M528:M529"/>
    <mergeCell ref="N528:N529"/>
    <mergeCell ref="B530:B531"/>
    <mergeCell ref="C530:C531"/>
    <mergeCell ref="D530:D531"/>
    <mergeCell ref="E530:E531"/>
    <mergeCell ref="G530:G531"/>
    <mergeCell ref="H530:H531"/>
    <mergeCell ref="I530:I531"/>
    <mergeCell ref="J530:J531"/>
    <mergeCell ref="K530:K531"/>
    <mergeCell ref="L530:L531"/>
    <mergeCell ref="M530:M531"/>
    <mergeCell ref="N530:N531"/>
    <mergeCell ref="G528:G529"/>
    <mergeCell ref="H528:H529"/>
    <mergeCell ref="I528:I529"/>
    <mergeCell ref="J528:J529"/>
    <mergeCell ref="K528:K529"/>
    <mergeCell ref="B528:B529"/>
    <mergeCell ref="C528:C529"/>
    <mergeCell ref="D528:D529"/>
    <mergeCell ref="E528:E529"/>
    <mergeCell ref="L540:L541"/>
    <mergeCell ref="M540:M541"/>
    <mergeCell ref="N540:N541"/>
    <mergeCell ref="B542:B543"/>
    <mergeCell ref="C542:C543"/>
    <mergeCell ref="D542:D543"/>
    <mergeCell ref="E542:E543"/>
    <mergeCell ref="G542:G543"/>
    <mergeCell ref="H542:H543"/>
    <mergeCell ref="I542:I543"/>
    <mergeCell ref="J542:J543"/>
    <mergeCell ref="K542:K543"/>
    <mergeCell ref="L542:L543"/>
    <mergeCell ref="M542:M543"/>
    <mergeCell ref="N542:N543"/>
    <mergeCell ref="G540:G541"/>
    <mergeCell ref="H540:H541"/>
    <mergeCell ref="I540:I541"/>
    <mergeCell ref="J540:J541"/>
    <mergeCell ref="K540:K541"/>
    <mergeCell ref="B540:B541"/>
    <mergeCell ref="C540:C541"/>
    <mergeCell ref="D540:D541"/>
    <mergeCell ref="E540:E541"/>
    <mergeCell ref="L536:L537"/>
    <mergeCell ref="M536:M537"/>
    <mergeCell ref="N536:N537"/>
    <mergeCell ref="B538:B539"/>
    <mergeCell ref="C538:C539"/>
    <mergeCell ref="D538:D539"/>
    <mergeCell ref="E538:E539"/>
    <mergeCell ref="G538:G539"/>
    <mergeCell ref="H538:H539"/>
    <mergeCell ref="I538:I539"/>
    <mergeCell ref="J538:J539"/>
    <mergeCell ref="K538:K539"/>
    <mergeCell ref="L538:L539"/>
    <mergeCell ref="M538:M539"/>
    <mergeCell ref="N538:N539"/>
    <mergeCell ref="G536:G537"/>
    <mergeCell ref="H536:H537"/>
    <mergeCell ref="I536:I537"/>
    <mergeCell ref="J536:J537"/>
    <mergeCell ref="K536:K537"/>
    <mergeCell ref="B536:B537"/>
    <mergeCell ref="C536:C537"/>
    <mergeCell ref="D536:D537"/>
    <mergeCell ref="E536:E537"/>
    <mergeCell ref="L548:L549"/>
    <mergeCell ref="M548:M549"/>
    <mergeCell ref="N548:N549"/>
    <mergeCell ref="B550:B551"/>
    <mergeCell ref="C550:C551"/>
    <mergeCell ref="D550:D551"/>
    <mergeCell ref="E550:E551"/>
    <mergeCell ref="G550:G551"/>
    <mergeCell ref="H550:H551"/>
    <mergeCell ref="I550:I551"/>
    <mergeCell ref="J550:J551"/>
    <mergeCell ref="K550:K551"/>
    <mergeCell ref="L550:L551"/>
    <mergeCell ref="M550:M551"/>
    <mergeCell ref="N550:N551"/>
    <mergeCell ref="G548:G549"/>
    <mergeCell ref="H548:H549"/>
    <mergeCell ref="I548:I549"/>
    <mergeCell ref="J548:J549"/>
    <mergeCell ref="K548:K549"/>
    <mergeCell ref="B548:B549"/>
    <mergeCell ref="C548:C549"/>
    <mergeCell ref="D548:D549"/>
    <mergeCell ref="E548:E549"/>
    <mergeCell ref="L544:L545"/>
    <mergeCell ref="M544:M545"/>
    <mergeCell ref="N544:N545"/>
    <mergeCell ref="B546:B547"/>
    <mergeCell ref="C546:C547"/>
    <mergeCell ref="D546:D547"/>
    <mergeCell ref="E546:E547"/>
    <mergeCell ref="G546:G547"/>
    <mergeCell ref="H546:H547"/>
    <mergeCell ref="I546:I547"/>
    <mergeCell ref="J546:J547"/>
    <mergeCell ref="K546:K547"/>
    <mergeCell ref="L546:L547"/>
    <mergeCell ref="M546:M547"/>
    <mergeCell ref="N546:N547"/>
    <mergeCell ref="G544:G545"/>
    <mergeCell ref="H544:H545"/>
    <mergeCell ref="I544:I545"/>
    <mergeCell ref="J544:J545"/>
    <mergeCell ref="K544:K545"/>
    <mergeCell ref="B544:B545"/>
    <mergeCell ref="C544:C545"/>
    <mergeCell ref="D544:D545"/>
    <mergeCell ref="E544:E545"/>
    <mergeCell ref="L556:L557"/>
    <mergeCell ref="M556:M557"/>
    <mergeCell ref="N556:N557"/>
    <mergeCell ref="B558:B559"/>
    <mergeCell ref="C558:C559"/>
    <mergeCell ref="D558:D559"/>
    <mergeCell ref="E558:E559"/>
    <mergeCell ref="G558:G559"/>
    <mergeCell ref="H558:H559"/>
    <mergeCell ref="I558:I559"/>
    <mergeCell ref="J558:J559"/>
    <mergeCell ref="K558:K559"/>
    <mergeCell ref="L558:L559"/>
    <mergeCell ref="M558:M559"/>
    <mergeCell ref="N558:N559"/>
    <mergeCell ref="G556:G557"/>
    <mergeCell ref="H556:H557"/>
    <mergeCell ref="I556:I557"/>
    <mergeCell ref="J556:J557"/>
    <mergeCell ref="K556:K557"/>
    <mergeCell ref="B556:B557"/>
    <mergeCell ref="C556:C557"/>
    <mergeCell ref="D556:D557"/>
    <mergeCell ref="E556:E557"/>
    <mergeCell ref="L552:L553"/>
    <mergeCell ref="M552:M553"/>
    <mergeCell ref="N552:N553"/>
    <mergeCell ref="B554:B555"/>
    <mergeCell ref="C554:C555"/>
    <mergeCell ref="D554:D555"/>
    <mergeCell ref="E554:E555"/>
    <mergeCell ref="G554:G555"/>
    <mergeCell ref="H554:H555"/>
    <mergeCell ref="I554:I555"/>
    <mergeCell ref="J554:J555"/>
    <mergeCell ref="K554:K555"/>
    <mergeCell ref="L554:L555"/>
    <mergeCell ref="M554:M555"/>
    <mergeCell ref="N554:N555"/>
    <mergeCell ref="G552:G553"/>
    <mergeCell ref="H552:H553"/>
    <mergeCell ref="I552:I553"/>
    <mergeCell ref="J552:J553"/>
    <mergeCell ref="K552:K553"/>
    <mergeCell ref="B552:B553"/>
    <mergeCell ref="C552:C553"/>
    <mergeCell ref="D552:D553"/>
    <mergeCell ref="E552:E553"/>
    <mergeCell ref="L564:L565"/>
    <mergeCell ref="M564:M565"/>
    <mergeCell ref="N564:N565"/>
    <mergeCell ref="B566:B567"/>
    <mergeCell ref="C566:C567"/>
    <mergeCell ref="D566:D567"/>
    <mergeCell ref="E566:E567"/>
    <mergeCell ref="G566:G567"/>
    <mergeCell ref="H566:H567"/>
    <mergeCell ref="I566:I567"/>
    <mergeCell ref="J566:J567"/>
    <mergeCell ref="K566:K567"/>
    <mergeCell ref="L566:L567"/>
    <mergeCell ref="M566:M567"/>
    <mergeCell ref="N566:N567"/>
    <mergeCell ref="G564:G565"/>
    <mergeCell ref="H564:H565"/>
    <mergeCell ref="I564:I565"/>
    <mergeCell ref="J564:J565"/>
    <mergeCell ref="K564:K565"/>
    <mergeCell ref="B564:B565"/>
    <mergeCell ref="C564:C565"/>
    <mergeCell ref="D564:D565"/>
    <mergeCell ref="E564:E565"/>
    <mergeCell ref="L560:L561"/>
    <mergeCell ref="M560:M561"/>
    <mergeCell ref="N560:N561"/>
    <mergeCell ref="B562:B563"/>
    <mergeCell ref="C562:C563"/>
    <mergeCell ref="D562:D563"/>
    <mergeCell ref="E562:E563"/>
    <mergeCell ref="G562:G563"/>
    <mergeCell ref="H562:H563"/>
    <mergeCell ref="I562:I563"/>
    <mergeCell ref="J562:J563"/>
    <mergeCell ref="K562:K563"/>
    <mergeCell ref="L562:L563"/>
    <mergeCell ref="M562:M563"/>
    <mergeCell ref="N562:N563"/>
    <mergeCell ref="G560:G561"/>
    <mergeCell ref="H560:H561"/>
    <mergeCell ref="I560:I561"/>
    <mergeCell ref="J560:J561"/>
    <mergeCell ref="K560:K561"/>
    <mergeCell ref="B560:B561"/>
    <mergeCell ref="C560:C561"/>
    <mergeCell ref="D560:D561"/>
    <mergeCell ref="E560:E561"/>
    <mergeCell ref="L572:L573"/>
    <mergeCell ref="M572:M573"/>
    <mergeCell ref="N572:N573"/>
    <mergeCell ref="B574:B575"/>
    <mergeCell ref="C574:C575"/>
    <mergeCell ref="D574:D575"/>
    <mergeCell ref="E574:E575"/>
    <mergeCell ref="G574:G575"/>
    <mergeCell ref="H574:H575"/>
    <mergeCell ref="I574:I575"/>
    <mergeCell ref="J574:J575"/>
    <mergeCell ref="K574:K575"/>
    <mergeCell ref="L574:L575"/>
    <mergeCell ref="M574:M575"/>
    <mergeCell ref="N574:N575"/>
    <mergeCell ref="G572:G573"/>
    <mergeCell ref="H572:H573"/>
    <mergeCell ref="I572:I573"/>
    <mergeCell ref="J572:J573"/>
    <mergeCell ref="K572:K573"/>
    <mergeCell ref="B572:B573"/>
    <mergeCell ref="C572:C573"/>
    <mergeCell ref="D572:D573"/>
    <mergeCell ref="E572:E573"/>
    <mergeCell ref="L568:L569"/>
    <mergeCell ref="M568:M569"/>
    <mergeCell ref="N568:N569"/>
    <mergeCell ref="B570:B571"/>
    <mergeCell ref="C570:C571"/>
    <mergeCell ref="D570:D571"/>
    <mergeCell ref="E570:E571"/>
    <mergeCell ref="G570:G571"/>
    <mergeCell ref="H570:H571"/>
    <mergeCell ref="I570:I571"/>
    <mergeCell ref="J570:J571"/>
    <mergeCell ref="K570:K571"/>
    <mergeCell ref="L570:L571"/>
    <mergeCell ref="M570:M571"/>
    <mergeCell ref="N570:N571"/>
    <mergeCell ref="G568:G569"/>
    <mergeCell ref="H568:H569"/>
    <mergeCell ref="I568:I569"/>
    <mergeCell ref="J568:J569"/>
    <mergeCell ref="K568:K569"/>
    <mergeCell ref="B568:B569"/>
    <mergeCell ref="C568:C569"/>
    <mergeCell ref="D568:D569"/>
    <mergeCell ref="E568:E569"/>
    <mergeCell ref="L580:L581"/>
    <mergeCell ref="M580:M581"/>
    <mergeCell ref="N580:N581"/>
    <mergeCell ref="B582:B583"/>
    <mergeCell ref="C582:C583"/>
    <mergeCell ref="D582:D583"/>
    <mergeCell ref="E582:E583"/>
    <mergeCell ref="G582:G583"/>
    <mergeCell ref="H582:H583"/>
    <mergeCell ref="I582:I583"/>
    <mergeCell ref="J582:J583"/>
    <mergeCell ref="K582:K583"/>
    <mergeCell ref="L582:L583"/>
    <mergeCell ref="M582:M583"/>
    <mergeCell ref="N582:N583"/>
    <mergeCell ref="G580:G581"/>
    <mergeCell ref="H580:H581"/>
    <mergeCell ref="I580:I581"/>
    <mergeCell ref="J580:J581"/>
    <mergeCell ref="K580:K581"/>
    <mergeCell ref="B580:B581"/>
    <mergeCell ref="C580:C581"/>
    <mergeCell ref="D580:D581"/>
    <mergeCell ref="E580:E581"/>
    <mergeCell ref="L576:L577"/>
    <mergeCell ref="M576:M577"/>
    <mergeCell ref="N576:N577"/>
    <mergeCell ref="B578:B579"/>
    <mergeCell ref="C578:C579"/>
    <mergeCell ref="D578:D579"/>
    <mergeCell ref="E578:E579"/>
    <mergeCell ref="G578:G579"/>
    <mergeCell ref="H578:H579"/>
    <mergeCell ref="I578:I579"/>
    <mergeCell ref="J578:J579"/>
    <mergeCell ref="K578:K579"/>
    <mergeCell ref="L578:L579"/>
    <mergeCell ref="M578:M579"/>
    <mergeCell ref="N578:N579"/>
    <mergeCell ref="G576:G577"/>
    <mergeCell ref="H576:H577"/>
    <mergeCell ref="I576:I577"/>
    <mergeCell ref="J576:J577"/>
    <mergeCell ref="K576:K577"/>
    <mergeCell ref="B576:B577"/>
    <mergeCell ref="C576:C577"/>
    <mergeCell ref="D576:D577"/>
    <mergeCell ref="E576:E577"/>
    <mergeCell ref="L588:L589"/>
    <mergeCell ref="M588:M589"/>
    <mergeCell ref="N588:N589"/>
    <mergeCell ref="B590:B591"/>
    <mergeCell ref="C590:C591"/>
    <mergeCell ref="D590:D591"/>
    <mergeCell ref="E590:E591"/>
    <mergeCell ref="G590:G591"/>
    <mergeCell ref="H590:H591"/>
    <mergeCell ref="I590:I591"/>
    <mergeCell ref="J590:J591"/>
    <mergeCell ref="K590:K591"/>
    <mergeCell ref="L590:L591"/>
    <mergeCell ref="M590:M591"/>
    <mergeCell ref="N590:N591"/>
    <mergeCell ref="G588:G589"/>
    <mergeCell ref="H588:H589"/>
    <mergeCell ref="I588:I589"/>
    <mergeCell ref="J588:J589"/>
    <mergeCell ref="K588:K589"/>
    <mergeCell ref="B588:B589"/>
    <mergeCell ref="C588:C589"/>
    <mergeCell ref="D588:D589"/>
    <mergeCell ref="E588:E589"/>
    <mergeCell ref="L584:L585"/>
    <mergeCell ref="M584:M585"/>
    <mergeCell ref="N584:N585"/>
    <mergeCell ref="B586:B587"/>
    <mergeCell ref="C586:C587"/>
    <mergeCell ref="D586:D587"/>
    <mergeCell ref="E586:E587"/>
    <mergeCell ref="G586:G587"/>
    <mergeCell ref="H586:H587"/>
    <mergeCell ref="I586:I587"/>
    <mergeCell ref="J586:J587"/>
    <mergeCell ref="K586:K587"/>
    <mergeCell ref="L586:L587"/>
    <mergeCell ref="M586:M587"/>
    <mergeCell ref="N586:N587"/>
    <mergeCell ref="G584:G585"/>
    <mergeCell ref="H584:H585"/>
    <mergeCell ref="I584:I585"/>
    <mergeCell ref="J584:J585"/>
    <mergeCell ref="K584:K585"/>
    <mergeCell ref="B584:B585"/>
    <mergeCell ref="C584:C585"/>
    <mergeCell ref="D584:D585"/>
    <mergeCell ref="E584:E585"/>
    <mergeCell ref="L596:L597"/>
    <mergeCell ref="M596:M597"/>
    <mergeCell ref="N596:N597"/>
    <mergeCell ref="B598:B599"/>
    <mergeCell ref="C598:C599"/>
    <mergeCell ref="D598:D599"/>
    <mergeCell ref="E598:E599"/>
    <mergeCell ref="G598:G599"/>
    <mergeCell ref="H598:H599"/>
    <mergeCell ref="I598:I599"/>
    <mergeCell ref="J598:J599"/>
    <mergeCell ref="K598:K599"/>
    <mergeCell ref="L598:L599"/>
    <mergeCell ref="M598:M599"/>
    <mergeCell ref="N598:N599"/>
    <mergeCell ref="G596:G597"/>
    <mergeCell ref="H596:H597"/>
    <mergeCell ref="I596:I597"/>
    <mergeCell ref="J596:J597"/>
    <mergeCell ref="K596:K597"/>
    <mergeCell ref="B596:B597"/>
    <mergeCell ref="C596:C597"/>
    <mergeCell ref="D596:D597"/>
    <mergeCell ref="E596:E597"/>
    <mergeCell ref="L592:L593"/>
    <mergeCell ref="M592:M593"/>
    <mergeCell ref="N592:N593"/>
    <mergeCell ref="B594:B595"/>
    <mergeCell ref="C594:C595"/>
    <mergeCell ref="D594:D595"/>
    <mergeCell ref="E594:E595"/>
    <mergeCell ref="G594:G595"/>
    <mergeCell ref="H594:H595"/>
    <mergeCell ref="I594:I595"/>
    <mergeCell ref="J594:J595"/>
    <mergeCell ref="K594:K595"/>
    <mergeCell ref="L594:L595"/>
    <mergeCell ref="M594:M595"/>
    <mergeCell ref="N594:N595"/>
    <mergeCell ref="G592:G593"/>
    <mergeCell ref="H592:H593"/>
    <mergeCell ref="I592:I593"/>
    <mergeCell ref="J592:J593"/>
    <mergeCell ref="K592:K593"/>
    <mergeCell ref="B592:B593"/>
    <mergeCell ref="C592:C593"/>
    <mergeCell ref="D592:D593"/>
    <mergeCell ref="E592:E593"/>
    <mergeCell ref="L604:L605"/>
    <mergeCell ref="M604:M605"/>
    <mergeCell ref="N604:N605"/>
    <mergeCell ref="B606:B607"/>
    <mergeCell ref="C606:C607"/>
    <mergeCell ref="D606:D607"/>
    <mergeCell ref="E606:E607"/>
    <mergeCell ref="G606:G607"/>
    <mergeCell ref="H606:H607"/>
    <mergeCell ref="I606:I607"/>
    <mergeCell ref="J606:J607"/>
    <mergeCell ref="K606:K607"/>
    <mergeCell ref="L606:L607"/>
    <mergeCell ref="M606:M607"/>
    <mergeCell ref="N606:N607"/>
    <mergeCell ref="G604:G605"/>
    <mergeCell ref="H604:H605"/>
    <mergeCell ref="I604:I605"/>
    <mergeCell ref="J604:J605"/>
    <mergeCell ref="K604:K605"/>
    <mergeCell ref="B604:B605"/>
    <mergeCell ref="C604:C605"/>
    <mergeCell ref="D604:D605"/>
    <mergeCell ref="E604:E605"/>
    <mergeCell ref="L600:L601"/>
    <mergeCell ref="M600:M601"/>
    <mergeCell ref="N600:N601"/>
    <mergeCell ref="B602:B603"/>
    <mergeCell ref="C602:C603"/>
    <mergeCell ref="D602:D603"/>
    <mergeCell ref="E602:E603"/>
    <mergeCell ref="G602:G603"/>
    <mergeCell ref="H602:H603"/>
    <mergeCell ref="I602:I603"/>
    <mergeCell ref="J602:J603"/>
    <mergeCell ref="K602:K603"/>
    <mergeCell ref="L602:L603"/>
    <mergeCell ref="M602:M603"/>
    <mergeCell ref="N602:N603"/>
    <mergeCell ref="G600:G601"/>
    <mergeCell ref="H600:H601"/>
    <mergeCell ref="I600:I601"/>
    <mergeCell ref="J600:J601"/>
    <mergeCell ref="K600:K601"/>
    <mergeCell ref="B600:B601"/>
    <mergeCell ref="C600:C601"/>
    <mergeCell ref="D600:D601"/>
    <mergeCell ref="E600:E601"/>
    <mergeCell ref="L612:L613"/>
    <mergeCell ref="M612:M613"/>
    <mergeCell ref="N612:N613"/>
    <mergeCell ref="B614:B615"/>
    <mergeCell ref="C614:C615"/>
    <mergeCell ref="D614:D615"/>
    <mergeCell ref="E614:E615"/>
    <mergeCell ref="G614:G615"/>
    <mergeCell ref="H614:H615"/>
    <mergeCell ref="I614:I615"/>
    <mergeCell ref="J614:J615"/>
    <mergeCell ref="K614:K615"/>
    <mergeCell ref="L614:L615"/>
    <mergeCell ref="M614:M615"/>
    <mergeCell ref="N614:N615"/>
    <mergeCell ref="G612:G613"/>
    <mergeCell ref="H612:H613"/>
    <mergeCell ref="I612:I613"/>
    <mergeCell ref="J612:J613"/>
    <mergeCell ref="K612:K613"/>
    <mergeCell ref="B612:B613"/>
    <mergeCell ref="C612:C613"/>
    <mergeCell ref="D612:D613"/>
    <mergeCell ref="E612:E613"/>
    <mergeCell ref="L608:L609"/>
    <mergeCell ref="M608:M609"/>
    <mergeCell ref="N608:N609"/>
    <mergeCell ref="B610:B611"/>
    <mergeCell ref="C610:C611"/>
    <mergeCell ref="D610:D611"/>
    <mergeCell ref="E610:E611"/>
    <mergeCell ref="G610:G611"/>
    <mergeCell ref="H610:H611"/>
    <mergeCell ref="I610:I611"/>
    <mergeCell ref="J610:J611"/>
    <mergeCell ref="K610:K611"/>
    <mergeCell ref="L610:L611"/>
    <mergeCell ref="M610:M611"/>
    <mergeCell ref="N610:N611"/>
    <mergeCell ref="G608:G609"/>
    <mergeCell ref="H608:H609"/>
    <mergeCell ref="I608:I609"/>
    <mergeCell ref="J608:J609"/>
    <mergeCell ref="K608:K609"/>
    <mergeCell ref="B608:B609"/>
    <mergeCell ref="C608:C609"/>
    <mergeCell ref="D608:D609"/>
    <mergeCell ref="E608:E609"/>
    <mergeCell ref="L627:L628"/>
    <mergeCell ref="M627:M628"/>
    <mergeCell ref="N627:N628"/>
    <mergeCell ref="B629:B630"/>
    <mergeCell ref="C629:C630"/>
    <mergeCell ref="D629:D630"/>
    <mergeCell ref="E629:E630"/>
    <mergeCell ref="G629:G630"/>
    <mergeCell ref="H629:H630"/>
    <mergeCell ref="I629:I630"/>
    <mergeCell ref="J629:J630"/>
    <mergeCell ref="K629:K630"/>
    <mergeCell ref="L629:L630"/>
    <mergeCell ref="M629:M630"/>
    <mergeCell ref="N629:N630"/>
    <mergeCell ref="G627:G628"/>
    <mergeCell ref="H627:H628"/>
    <mergeCell ref="I627:I628"/>
    <mergeCell ref="J627:J628"/>
    <mergeCell ref="K627:K628"/>
    <mergeCell ref="B627:B628"/>
    <mergeCell ref="C627:C628"/>
    <mergeCell ref="D627:D628"/>
    <mergeCell ref="E627:E628"/>
    <mergeCell ref="L623:L624"/>
    <mergeCell ref="M623:M624"/>
    <mergeCell ref="N623:N624"/>
    <mergeCell ref="B625:B626"/>
    <mergeCell ref="C625:C626"/>
    <mergeCell ref="D625:D626"/>
    <mergeCell ref="E625:E626"/>
    <mergeCell ref="G625:G626"/>
    <mergeCell ref="H625:H626"/>
    <mergeCell ref="I625:I626"/>
    <mergeCell ref="J625:J626"/>
    <mergeCell ref="K625:K626"/>
    <mergeCell ref="L625:L626"/>
    <mergeCell ref="M625:M626"/>
    <mergeCell ref="N625:N626"/>
    <mergeCell ref="G623:G624"/>
    <mergeCell ref="H623:H624"/>
    <mergeCell ref="I623:I624"/>
    <mergeCell ref="J623:J624"/>
    <mergeCell ref="K623:K624"/>
    <mergeCell ref="B623:B624"/>
    <mergeCell ref="C623:C624"/>
    <mergeCell ref="D623:D624"/>
    <mergeCell ref="E623:E624"/>
    <mergeCell ref="L635:L636"/>
    <mergeCell ref="M635:M636"/>
    <mergeCell ref="N635:N636"/>
    <mergeCell ref="B637:B638"/>
    <mergeCell ref="C637:C638"/>
    <mergeCell ref="D637:D638"/>
    <mergeCell ref="E637:E638"/>
    <mergeCell ref="G637:G638"/>
    <mergeCell ref="H637:H638"/>
    <mergeCell ref="I637:I638"/>
    <mergeCell ref="J637:J638"/>
    <mergeCell ref="K637:K638"/>
    <mergeCell ref="L637:L638"/>
    <mergeCell ref="M637:M638"/>
    <mergeCell ref="N637:N638"/>
    <mergeCell ref="G635:G636"/>
    <mergeCell ref="H635:H636"/>
    <mergeCell ref="I635:I636"/>
    <mergeCell ref="J635:J636"/>
    <mergeCell ref="K635:K636"/>
    <mergeCell ref="B635:B636"/>
    <mergeCell ref="C635:C636"/>
    <mergeCell ref="D635:D636"/>
    <mergeCell ref="E635:E636"/>
    <mergeCell ref="L631:L632"/>
    <mergeCell ref="M631:M632"/>
    <mergeCell ref="N631:N632"/>
    <mergeCell ref="B633:B634"/>
    <mergeCell ref="C633:C634"/>
    <mergeCell ref="D633:D634"/>
    <mergeCell ref="E633:E634"/>
    <mergeCell ref="G633:G634"/>
    <mergeCell ref="H633:H634"/>
    <mergeCell ref="I633:I634"/>
    <mergeCell ref="J633:J634"/>
    <mergeCell ref="K633:K634"/>
    <mergeCell ref="L633:L634"/>
    <mergeCell ref="M633:M634"/>
    <mergeCell ref="N633:N634"/>
    <mergeCell ref="G631:G632"/>
    <mergeCell ref="H631:H632"/>
    <mergeCell ref="I631:I632"/>
    <mergeCell ref="J631:J632"/>
    <mergeCell ref="K631:K632"/>
    <mergeCell ref="B631:B632"/>
    <mergeCell ref="C631:C632"/>
    <mergeCell ref="D631:D632"/>
    <mergeCell ref="E631:E632"/>
    <mergeCell ref="L643:L644"/>
    <mergeCell ref="M643:M644"/>
    <mergeCell ref="N643:N644"/>
    <mergeCell ref="B645:B646"/>
    <mergeCell ref="C645:C646"/>
    <mergeCell ref="D645:D646"/>
    <mergeCell ref="E645:E646"/>
    <mergeCell ref="G645:G646"/>
    <mergeCell ref="H645:H646"/>
    <mergeCell ref="I645:I646"/>
    <mergeCell ref="J645:J646"/>
    <mergeCell ref="K645:K646"/>
    <mergeCell ref="L645:L646"/>
    <mergeCell ref="M645:M646"/>
    <mergeCell ref="N645:N646"/>
    <mergeCell ref="G643:G644"/>
    <mergeCell ref="H643:H644"/>
    <mergeCell ref="I643:I644"/>
    <mergeCell ref="J643:J644"/>
    <mergeCell ref="K643:K644"/>
    <mergeCell ref="B643:B644"/>
    <mergeCell ref="C643:C644"/>
    <mergeCell ref="D643:D644"/>
    <mergeCell ref="E643:E644"/>
    <mergeCell ref="L639:L640"/>
    <mergeCell ref="M639:M640"/>
    <mergeCell ref="N639:N640"/>
    <mergeCell ref="B641:B642"/>
    <mergeCell ref="C641:C642"/>
    <mergeCell ref="D641:D642"/>
    <mergeCell ref="E641:E642"/>
    <mergeCell ref="G641:G642"/>
    <mergeCell ref="H641:H642"/>
    <mergeCell ref="I641:I642"/>
    <mergeCell ref="J641:J642"/>
    <mergeCell ref="K641:K642"/>
    <mergeCell ref="L641:L642"/>
    <mergeCell ref="M641:M642"/>
    <mergeCell ref="N641:N642"/>
    <mergeCell ref="G639:G640"/>
    <mergeCell ref="H639:H640"/>
    <mergeCell ref="I639:I640"/>
    <mergeCell ref="J639:J640"/>
    <mergeCell ref="K639:K640"/>
    <mergeCell ref="B639:B640"/>
    <mergeCell ref="C639:C640"/>
    <mergeCell ref="D639:D640"/>
    <mergeCell ref="E639:E640"/>
    <mergeCell ref="L651:L652"/>
    <mergeCell ref="M651:M652"/>
    <mergeCell ref="N651:N652"/>
    <mergeCell ref="B653:B654"/>
    <mergeCell ref="C653:C654"/>
    <mergeCell ref="D653:D654"/>
    <mergeCell ref="E653:E654"/>
    <mergeCell ref="G653:G654"/>
    <mergeCell ref="H653:H654"/>
    <mergeCell ref="I653:I654"/>
    <mergeCell ref="J653:J654"/>
    <mergeCell ref="K653:K654"/>
    <mergeCell ref="L653:L654"/>
    <mergeCell ref="M653:M654"/>
    <mergeCell ref="N653:N654"/>
    <mergeCell ref="G651:G652"/>
    <mergeCell ref="H651:H652"/>
    <mergeCell ref="I651:I652"/>
    <mergeCell ref="J651:J652"/>
    <mergeCell ref="K651:K652"/>
    <mergeCell ref="B651:B652"/>
    <mergeCell ref="C651:C652"/>
    <mergeCell ref="D651:D652"/>
    <mergeCell ref="E651:E652"/>
    <mergeCell ref="L647:L648"/>
    <mergeCell ref="M647:M648"/>
    <mergeCell ref="N647:N648"/>
    <mergeCell ref="B649:B650"/>
    <mergeCell ref="C649:C650"/>
    <mergeCell ref="D649:D650"/>
    <mergeCell ref="E649:E650"/>
    <mergeCell ref="G649:G650"/>
    <mergeCell ref="H649:H650"/>
    <mergeCell ref="I649:I650"/>
    <mergeCell ref="J649:J650"/>
    <mergeCell ref="K649:K650"/>
    <mergeCell ref="L649:L650"/>
    <mergeCell ref="M649:M650"/>
    <mergeCell ref="N649:N650"/>
    <mergeCell ref="G647:G648"/>
    <mergeCell ref="H647:H648"/>
    <mergeCell ref="I647:I648"/>
    <mergeCell ref="J647:J648"/>
    <mergeCell ref="K647:K648"/>
    <mergeCell ref="B647:B648"/>
    <mergeCell ref="C647:C648"/>
    <mergeCell ref="D647:D648"/>
    <mergeCell ref="E647:E648"/>
    <mergeCell ref="L659:L660"/>
    <mergeCell ref="M659:M660"/>
    <mergeCell ref="N659:N660"/>
    <mergeCell ref="B661:B662"/>
    <mergeCell ref="C661:C662"/>
    <mergeCell ref="D661:D662"/>
    <mergeCell ref="E661:E662"/>
    <mergeCell ref="G661:G662"/>
    <mergeCell ref="H661:H662"/>
    <mergeCell ref="I661:I662"/>
    <mergeCell ref="J661:J662"/>
    <mergeCell ref="K661:K662"/>
    <mergeCell ref="L661:L662"/>
    <mergeCell ref="M661:M662"/>
    <mergeCell ref="N661:N662"/>
    <mergeCell ref="G659:G660"/>
    <mergeCell ref="H659:H660"/>
    <mergeCell ref="I659:I660"/>
    <mergeCell ref="J659:J660"/>
    <mergeCell ref="K659:K660"/>
    <mergeCell ref="B659:B660"/>
    <mergeCell ref="C659:C660"/>
    <mergeCell ref="D659:D660"/>
    <mergeCell ref="E659:E660"/>
    <mergeCell ref="L655:L656"/>
    <mergeCell ref="M655:M656"/>
    <mergeCell ref="N655:N656"/>
    <mergeCell ref="B657:B658"/>
    <mergeCell ref="C657:C658"/>
    <mergeCell ref="D657:D658"/>
    <mergeCell ref="E657:E658"/>
    <mergeCell ref="G657:G658"/>
    <mergeCell ref="H657:H658"/>
    <mergeCell ref="I657:I658"/>
    <mergeCell ref="J657:J658"/>
    <mergeCell ref="K657:K658"/>
    <mergeCell ref="L657:L658"/>
    <mergeCell ref="M657:M658"/>
    <mergeCell ref="N657:N658"/>
    <mergeCell ref="G655:G656"/>
    <mergeCell ref="H655:H656"/>
    <mergeCell ref="I655:I656"/>
    <mergeCell ref="J655:J656"/>
    <mergeCell ref="K655:K656"/>
    <mergeCell ref="B655:B656"/>
    <mergeCell ref="C655:C656"/>
    <mergeCell ref="D655:D656"/>
    <mergeCell ref="E655:E656"/>
    <mergeCell ref="L667:L668"/>
    <mergeCell ref="M667:M668"/>
    <mergeCell ref="N667:N668"/>
    <mergeCell ref="B669:B670"/>
    <mergeCell ref="C669:C670"/>
    <mergeCell ref="D669:D670"/>
    <mergeCell ref="E669:E670"/>
    <mergeCell ref="G669:G670"/>
    <mergeCell ref="H669:H670"/>
    <mergeCell ref="I669:I670"/>
    <mergeCell ref="J669:J670"/>
    <mergeCell ref="K669:K670"/>
    <mergeCell ref="L669:L670"/>
    <mergeCell ref="M669:M670"/>
    <mergeCell ref="N669:N670"/>
    <mergeCell ref="G667:G668"/>
    <mergeCell ref="H667:H668"/>
    <mergeCell ref="I667:I668"/>
    <mergeCell ref="J667:J668"/>
    <mergeCell ref="K667:K668"/>
    <mergeCell ref="B667:B668"/>
    <mergeCell ref="C667:C668"/>
    <mergeCell ref="D667:D668"/>
    <mergeCell ref="E667:E668"/>
    <mergeCell ref="L663:L664"/>
    <mergeCell ref="M663:M664"/>
    <mergeCell ref="N663:N664"/>
    <mergeCell ref="B665:B666"/>
    <mergeCell ref="C665:C666"/>
    <mergeCell ref="D665:D666"/>
    <mergeCell ref="E665:E666"/>
    <mergeCell ref="G665:G666"/>
    <mergeCell ref="H665:H666"/>
    <mergeCell ref="I665:I666"/>
    <mergeCell ref="J665:J666"/>
    <mergeCell ref="K665:K666"/>
    <mergeCell ref="L665:L666"/>
    <mergeCell ref="M665:M666"/>
    <mergeCell ref="N665:N666"/>
    <mergeCell ref="G663:G664"/>
    <mergeCell ref="H663:H664"/>
    <mergeCell ref="I663:I664"/>
    <mergeCell ref="J663:J664"/>
    <mergeCell ref="K663:K664"/>
    <mergeCell ref="B663:B664"/>
    <mergeCell ref="C663:C664"/>
    <mergeCell ref="D663:D664"/>
    <mergeCell ref="E663:E664"/>
    <mergeCell ref="L675:L676"/>
    <mergeCell ref="M675:M676"/>
    <mergeCell ref="N675:N676"/>
    <mergeCell ref="B677:B678"/>
    <mergeCell ref="C677:C678"/>
    <mergeCell ref="D677:D678"/>
    <mergeCell ref="E677:E678"/>
    <mergeCell ref="G677:G678"/>
    <mergeCell ref="H677:H678"/>
    <mergeCell ref="I677:I678"/>
    <mergeCell ref="J677:J678"/>
    <mergeCell ref="K677:K678"/>
    <mergeCell ref="L677:L678"/>
    <mergeCell ref="M677:M678"/>
    <mergeCell ref="N677:N678"/>
    <mergeCell ref="G675:G676"/>
    <mergeCell ref="H675:H676"/>
    <mergeCell ref="I675:I676"/>
    <mergeCell ref="J675:J676"/>
    <mergeCell ref="K675:K676"/>
    <mergeCell ref="B675:B676"/>
    <mergeCell ref="C675:C676"/>
    <mergeCell ref="D675:D676"/>
    <mergeCell ref="E675:E676"/>
    <mergeCell ref="L671:L672"/>
    <mergeCell ref="M671:M672"/>
    <mergeCell ref="N671:N672"/>
    <mergeCell ref="B673:B674"/>
    <mergeCell ref="C673:C674"/>
    <mergeCell ref="D673:D674"/>
    <mergeCell ref="E673:E674"/>
    <mergeCell ref="G673:G674"/>
    <mergeCell ref="H673:H674"/>
    <mergeCell ref="I673:I674"/>
    <mergeCell ref="J673:J674"/>
    <mergeCell ref="K673:K674"/>
    <mergeCell ref="L673:L674"/>
    <mergeCell ref="M673:M674"/>
    <mergeCell ref="N673:N674"/>
    <mergeCell ref="G671:G672"/>
    <mergeCell ref="H671:H672"/>
    <mergeCell ref="I671:I672"/>
    <mergeCell ref="J671:J672"/>
    <mergeCell ref="K671:K672"/>
    <mergeCell ref="B671:B672"/>
    <mergeCell ref="C671:C672"/>
    <mergeCell ref="D671:D672"/>
    <mergeCell ref="E671:E672"/>
    <mergeCell ref="L683:L684"/>
    <mergeCell ref="M683:M684"/>
    <mergeCell ref="N683:N684"/>
    <mergeCell ref="B685:B686"/>
    <mergeCell ref="C685:C686"/>
    <mergeCell ref="D685:D686"/>
    <mergeCell ref="E685:E686"/>
    <mergeCell ref="G685:G686"/>
    <mergeCell ref="H685:H686"/>
    <mergeCell ref="I685:I686"/>
    <mergeCell ref="J685:J686"/>
    <mergeCell ref="K685:K686"/>
    <mergeCell ref="L685:L686"/>
    <mergeCell ref="M685:M686"/>
    <mergeCell ref="N685:N686"/>
    <mergeCell ref="G683:G684"/>
    <mergeCell ref="H683:H684"/>
    <mergeCell ref="I683:I684"/>
    <mergeCell ref="J683:J684"/>
    <mergeCell ref="K683:K684"/>
    <mergeCell ref="B683:B684"/>
    <mergeCell ref="C683:C684"/>
    <mergeCell ref="D683:D684"/>
    <mergeCell ref="E683:E684"/>
    <mergeCell ref="L679:L680"/>
    <mergeCell ref="M679:M680"/>
    <mergeCell ref="N679:N680"/>
    <mergeCell ref="B681:B682"/>
    <mergeCell ref="C681:C682"/>
    <mergeCell ref="D681:D682"/>
    <mergeCell ref="E681:E682"/>
    <mergeCell ref="G681:G682"/>
    <mergeCell ref="H681:H682"/>
    <mergeCell ref="I681:I682"/>
    <mergeCell ref="J681:J682"/>
    <mergeCell ref="K681:K682"/>
    <mergeCell ref="L681:L682"/>
    <mergeCell ref="M681:M682"/>
    <mergeCell ref="N681:N682"/>
    <mergeCell ref="G679:G680"/>
    <mergeCell ref="H679:H680"/>
    <mergeCell ref="I679:I680"/>
    <mergeCell ref="J679:J680"/>
    <mergeCell ref="K679:K680"/>
    <mergeCell ref="B679:B680"/>
    <mergeCell ref="C679:C680"/>
    <mergeCell ref="D679:D680"/>
    <mergeCell ref="E679:E680"/>
    <mergeCell ref="L691:L692"/>
    <mergeCell ref="M691:M692"/>
    <mergeCell ref="N691:N692"/>
    <mergeCell ref="B693:B694"/>
    <mergeCell ref="C693:C694"/>
    <mergeCell ref="D693:D694"/>
    <mergeCell ref="E693:E694"/>
    <mergeCell ref="G693:G694"/>
    <mergeCell ref="H693:H694"/>
    <mergeCell ref="I693:I694"/>
    <mergeCell ref="J693:J694"/>
    <mergeCell ref="K693:K694"/>
    <mergeCell ref="L693:L694"/>
    <mergeCell ref="M693:M694"/>
    <mergeCell ref="N693:N694"/>
    <mergeCell ref="G691:G692"/>
    <mergeCell ref="H691:H692"/>
    <mergeCell ref="I691:I692"/>
    <mergeCell ref="J691:J692"/>
    <mergeCell ref="K691:K692"/>
    <mergeCell ref="B691:B692"/>
    <mergeCell ref="C691:C692"/>
    <mergeCell ref="D691:D692"/>
    <mergeCell ref="E691:E692"/>
    <mergeCell ref="L687:L688"/>
    <mergeCell ref="M687:M688"/>
    <mergeCell ref="N687:N688"/>
    <mergeCell ref="B689:B690"/>
    <mergeCell ref="C689:C690"/>
    <mergeCell ref="D689:D690"/>
    <mergeCell ref="E689:E690"/>
    <mergeCell ref="G689:G690"/>
    <mergeCell ref="H689:H690"/>
    <mergeCell ref="I689:I690"/>
    <mergeCell ref="J689:J690"/>
    <mergeCell ref="K689:K690"/>
    <mergeCell ref="L689:L690"/>
    <mergeCell ref="M689:M690"/>
    <mergeCell ref="N689:N690"/>
    <mergeCell ref="G687:G688"/>
    <mergeCell ref="H687:H688"/>
    <mergeCell ref="I687:I688"/>
    <mergeCell ref="J687:J688"/>
    <mergeCell ref="K687:K688"/>
    <mergeCell ref="B687:B688"/>
    <mergeCell ref="C687:C688"/>
    <mergeCell ref="D687:D688"/>
    <mergeCell ref="E687:E688"/>
    <mergeCell ref="L699:L700"/>
    <mergeCell ref="M699:M700"/>
    <mergeCell ref="N699:N700"/>
    <mergeCell ref="B701:B702"/>
    <mergeCell ref="C701:C702"/>
    <mergeCell ref="D701:D702"/>
    <mergeCell ref="E701:E702"/>
    <mergeCell ref="G701:G702"/>
    <mergeCell ref="H701:H702"/>
    <mergeCell ref="I701:I702"/>
    <mergeCell ref="J701:J702"/>
    <mergeCell ref="K701:K702"/>
    <mergeCell ref="L701:L702"/>
    <mergeCell ref="M701:M702"/>
    <mergeCell ref="N701:N702"/>
    <mergeCell ref="G699:G700"/>
    <mergeCell ref="H699:H700"/>
    <mergeCell ref="I699:I700"/>
    <mergeCell ref="J699:J700"/>
    <mergeCell ref="K699:K700"/>
    <mergeCell ref="B699:B700"/>
    <mergeCell ref="C699:C700"/>
    <mergeCell ref="D699:D700"/>
    <mergeCell ref="E699:E700"/>
    <mergeCell ref="L695:L696"/>
    <mergeCell ref="M695:M696"/>
    <mergeCell ref="N695:N696"/>
    <mergeCell ref="B697:B698"/>
    <mergeCell ref="C697:C698"/>
    <mergeCell ref="D697:D698"/>
    <mergeCell ref="E697:E698"/>
    <mergeCell ref="G697:G698"/>
    <mergeCell ref="H697:H698"/>
    <mergeCell ref="I697:I698"/>
    <mergeCell ref="J697:J698"/>
    <mergeCell ref="K697:K698"/>
    <mergeCell ref="L697:L698"/>
    <mergeCell ref="M697:M698"/>
    <mergeCell ref="N697:N698"/>
    <mergeCell ref="G695:G696"/>
    <mergeCell ref="H695:H696"/>
    <mergeCell ref="I695:I696"/>
    <mergeCell ref="J695:J696"/>
    <mergeCell ref="K695:K696"/>
    <mergeCell ref="B695:B696"/>
    <mergeCell ref="C695:C696"/>
    <mergeCell ref="D695:D696"/>
    <mergeCell ref="E695:E696"/>
    <mergeCell ref="L707:L708"/>
    <mergeCell ref="M707:M708"/>
    <mergeCell ref="N707:N708"/>
    <mergeCell ref="B709:B710"/>
    <mergeCell ref="C709:C710"/>
    <mergeCell ref="D709:D710"/>
    <mergeCell ref="E709:E710"/>
    <mergeCell ref="G709:G710"/>
    <mergeCell ref="H709:H710"/>
    <mergeCell ref="I709:I710"/>
    <mergeCell ref="J709:J710"/>
    <mergeCell ref="K709:K710"/>
    <mergeCell ref="L709:L710"/>
    <mergeCell ref="M709:M710"/>
    <mergeCell ref="N709:N710"/>
    <mergeCell ref="G707:G708"/>
    <mergeCell ref="H707:H708"/>
    <mergeCell ref="I707:I708"/>
    <mergeCell ref="J707:J708"/>
    <mergeCell ref="K707:K708"/>
    <mergeCell ref="B707:B708"/>
    <mergeCell ref="C707:C708"/>
    <mergeCell ref="D707:D708"/>
    <mergeCell ref="E707:E708"/>
    <mergeCell ref="L703:L704"/>
    <mergeCell ref="M703:M704"/>
    <mergeCell ref="N703:N704"/>
    <mergeCell ref="B705:B706"/>
    <mergeCell ref="C705:C706"/>
    <mergeCell ref="D705:D706"/>
    <mergeCell ref="E705:E706"/>
    <mergeCell ref="G705:G706"/>
    <mergeCell ref="H705:H706"/>
    <mergeCell ref="I705:I706"/>
    <mergeCell ref="J705:J706"/>
    <mergeCell ref="K705:K706"/>
    <mergeCell ref="L705:L706"/>
    <mergeCell ref="M705:M706"/>
    <mergeCell ref="N705:N706"/>
    <mergeCell ref="G703:G704"/>
    <mergeCell ref="H703:H704"/>
    <mergeCell ref="I703:I704"/>
    <mergeCell ref="J703:J704"/>
    <mergeCell ref="K703:K704"/>
    <mergeCell ref="B703:B704"/>
    <mergeCell ref="C703:C704"/>
    <mergeCell ref="D703:D704"/>
    <mergeCell ref="E703:E704"/>
    <mergeCell ref="L715:L716"/>
    <mergeCell ref="M715:M716"/>
    <mergeCell ref="N715:N716"/>
    <mergeCell ref="B717:B718"/>
    <mergeCell ref="C717:C718"/>
    <mergeCell ref="D717:D718"/>
    <mergeCell ref="E717:E718"/>
    <mergeCell ref="G717:G718"/>
    <mergeCell ref="H717:H718"/>
    <mergeCell ref="I717:I718"/>
    <mergeCell ref="J717:J718"/>
    <mergeCell ref="K717:K718"/>
    <mergeCell ref="L717:L718"/>
    <mergeCell ref="M717:M718"/>
    <mergeCell ref="N717:N718"/>
    <mergeCell ref="G715:G716"/>
    <mergeCell ref="H715:H716"/>
    <mergeCell ref="I715:I716"/>
    <mergeCell ref="J715:J716"/>
    <mergeCell ref="K715:K716"/>
    <mergeCell ref="B715:B716"/>
    <mergeCell ref="C715:C716"/>
    <mergeCell ref="D715:D716"/>
    <mergeCell ref="E715:E716"/>
    <mergeCell ref="L711:L712"/>
    <mergeCell ref="M711:M712"/>
    <mergeCell ref="N711:N712"/>
    <mergeCell ref="B713:B714"/>
    <mergeCell ref="C713:C714"/>
    <mergeCell ref="D713:D714"/>
    <mergeCell ref="E713:E714"/>
    <mergeCell ref="G713:G714"/>
    <mergeCell ref="H713:H714"/>
    <mergeCell ref="I713:I714"/>
    <mergeCell ref="J713:J714"/>
    <mergeCell ref="K713:K714"/>
    <mergeCell ref="L713:L714"/>
    <mergeCell ref="M713:M714"/>
    <mergeCell ref="N713:N714"/>
    <mergeCell ref="G711:G712"/>
    <mergeCell ref="H711:H712"/>
    <mergeCell ref="I711:I712"/>
    <mergeCell ref="J711:J712"/>
    <mergeCell ref="K711:K712"/>
    <mergeCell ref="B711:B712"/>
    <mergeCell ref="C711:C712"/>
    <mergeCell ref="D711:D712"/>
    <mergeCell ref="E711:E712"/>
    <mergeCell ref="L723:L724"/>
    <mergeCell ref="M723:M724"/>
    <mergeCell ref="N723:N724"/>
    <mergeCell ref="B725:B726"/>
    <mergeCell ref="C725:C726"/>
    <mergeCell ref="D725:D726"/>
    <mergeCell ref="E725:E726"/>
    <mergeCell ref="G725:G726"/>
    <mergeCell ref="H725:H726"/>
    <mergeCell ref="I725:I726"/>
    <mergeCell ref="J725:J726"/>
    <mergeCell ref="K725:K726"/>
    <mergeCell ref="L725:L726"/>
    <mergeCell ref="M725:M726"/>
    <mergeCell ref="N725:N726"/>
    <mergeCell ref="G723:G724"/>
    <mergeCell ref="H723:H724"/>
    <mergeCell ref="I723:I724"/>
    <mergeCell ref="J723:J724"/>
    <mergeCell ref="K723:K724"/>
    <mergeCell ref="B723:B724"/>
    <mergeCell ref="C723:C724"/>
    <mergeCell ref="D723:D724"/>
    <mergeCell ref="E723:E724"/>
    <mergeCell ref="L719:L720"/>
    <mergeCell ref="M719:M720"/>
    <mergeCell ref="N719:N720"/>
    <mergeCell ref="B721:B722"/>
    <mergeCell ref="C721:C722"/>
    <mergeCell ref="D721:D722"/>
    <mergeCell ref="E721:E722"/>
    <mergeCell ref="G721:G722"/>
    <mergeCell ref="H721:H722"/>
    <mergeCell ref="I721:I722"/>
    <mergeCell ref="J721:J722"/>
    <mergeCell ref="K721:K722"/>
    <mergeCell ref="L721:L722"/>
    <mergeCell ref="M721:M722"/>
    <mergeCell ref="N721:N722"/>
    <mergeCell ref="G719:G720"/>
    <mergeCell ref="H719:H720"/>
    <mergeCell ref="I719:I720"/>
    <mergeCell ref="J719:J720"/>
    <mergeCell ref="K719:K720"/>
    <mergeCell ref="B719:B720"/>
    <mergeCell ref="C719:C720"/>
    <mergeCell ref="D719:D720"/>
    <mergeCell ref="E719:E720"/>
    <mergeCell ref="L731:L732"/>
    <mergeCell ref="M731:M732"/>
    <mergeCell ref="N731:N732"/>
    <mergeCell ref="B733:B734"/>
    <mergeCell ref="C733:C734"/>
    <mergeCell ref="D733:D734"/>
    <mergeCell ref="E733:E734"/>
    <mergeCell ref="G733:G734"/>
    <mergeCell ref="H733:H734"/>
    <mergeCell ref="I733:I734"/>
    <mergeCell ref="J733:J734"/>
    <mergeCell ref="K733:K734"/>
    <mergeCell ref="L733:L734"/>
    <mergeCell ref="M733:M734"/>
    <mergeCell ref="N733:N734"/>
    <mergeCell ref="G731:G732"/>
    <mergeCell ref="H731:H732"/>
    <mergeCell ref="I731:I732"/>
    <mergeCell ref="J731:J732"/>
    <mergeCell ref="K731:K732"/>
    <mergeCell ref="B731:B732"/>
    <mergeCell ref="C731:C732"/>
    <mergeCell ref="D731:D732"/>
    <mergeCell ref="E731:E732"/>
    <mergeCell ref="L727:L728"/>
    <mergeCell ref="M727:M728"/>
    <mergeCell ref="N727:N728"/>
    <mergeCell ref="B729:B730"/>
    <mergeCell ref="C729:C730"/>
    <mergeCell ref="D729:D730"/>
    <mergeCell ref="E729:E730"/>
    <mergeCell ref="G729:G730"/>
    <mergeCell ref="H729:H730"/>
    <mergeCell ref="I729:I730"/>
    <mergeCell ref="J729:J730"/>
    <mergeCell ref="K729:K730"/>
    <mergeCell ref="L729:L730"/>
    <mergeCell ref="M729:M730"/>
    <mergeCell ref="N729:N730"/>
    <mergeCell ref="G727:G728"/>
    <mergeCell ref="H727:H728"/>
    <mergeCell ref="I727:I728"/>
    <mergeCell ref="J727:J728"/>
    <mergeCell ref="K727:K728"/>
    <mergeCell ref="B727:B728"/>
    <mergeCell ref="C727:C728"/>
    <mergeCell ref="D727:D728"/>
    <mergeCell ref="E727:E728"/>
    <mergeCell ref="L739:L740"/>
    <mergeCell ref="M739:M740"/>
    <mergeCell ref="N739:N740"/>
    <mergeCell ref="B741:B742"/>
    <mergeCell ref="C741:C742"/>
    <mergeCell ref="D741:D742"/>
    <mergeCell ref="E741:E742"/>
    <mergeCell ref="G741:G742"/>
    <mergeCell ref="H741:H742"/>
    <mergeCell ref="I741:I742"/>
    <mergeCell ref="J741:J742"/>
    <mergeCell ref="K741:K742"/>
    <mergeCell ref="L741:L742"/>
    <mergeCell ref="M741:M742"/>
    <mergeCell ref="N741:N742"/>
    <mergeCell ref="G739:G740"/>
    <mergeCell ref="H739:H740"/>
    <mergeCell ref="I739:I740"/>
    <mergeCell ref="J739:J740"/>
    <mergeCell ref="K739:K740"/>
    <mergeCell ref="B739:B740"/>
    <mergeCell ref="C739:C740"/>
    <mergeCell ref="D739:D740"/>
    <mergeCell ref="E739:E740"/>
    <mergeCell ref="L735:L736"/>
    <mergeCell ref="M735:M736"/>
    <mergeCell ref="N735:N736"/>
    <mergeCell ref="B737:B738"/>
    <mergeCell ref="C737:C738"/>
    <mergeCell ref="D737:D738"/>
    <mergeCell ref="E737:E738"/>
    <mergeCell ref="G737:G738"/>
    <mergeCell ref="H737:H738"/>
    <mergeCell ref="I737:I738"/>
    <mergeCell ref="J737:J738"/>
    <mergeCell ref="K737:K738"/>
    <mergeCell ref="L737:L738"/>
    <mergeCell ref="M737:M738"/>
    <mergeCell ref="N737:N738"/>
    <mergeCell ref="G735:G736"/>
    <mergeCell ref="H735:H736"/>
    <mergeCell ref="I735:I736"/>
    <mergeCell ref="J735:J736"/>
    <mergeCell ref="K735:K736"/>
    <mergeCell ref="B735:B736"/>
    <mergeCell ref="C735:C736"/>
    <mergeCell ref="D735:D736"/>
    <mergeCell ref="E735:E736"/>
    <mergeCell ref="L747:L748"/>
    <mergeCell ref="M747:M748"/>
    <mergeCell ref="N747:N748"/>
    <mergeCell ref="B749:B750"/>
    <mergeCell ref="C749:C750"/>
    <mergeCell ref="D749:D750"/>
    <mergeCell ref="E749:E750"/>
    <mergeCell ref="G749:G750"/>
    <mergeCell ref="H749:H750"/>
    <mergeCell ref="I749:I750"/>
    <mergeCell ref="J749:J750"/>
    <mergeCell ref="K749:K750"/>
    <mergeCell ref="L749:L750"/>
    <mergeCell ref="M749:M750"/>
    <mergeCell ref="N749:N750"/>
    <mergeCell ref="G747:G748"/>
    <mergeCell ref="H747:H748"/>
    <mergeCell ref="I747:I748"/>
    <mergeCell ref="J747:J748"/>
    <mergeCell ref="K747:K748"/>
    <mergeCell ref="B747:B748"/>
    <mergeCell ref="C747:C748"/>
    <mergeCell ref="D747:D748"/>
    <mergeCell ref="E747:E748"/>
    <mergeCell ref="L743:L744"/>
    <mergeCell ref="M743:M744"/>
    <mergeCell ref="N743:N744"/>
    <mergeCell ref="B745:B746"/>
    <mergeCell ref="C745:C746"/>
    <mergeCell ref="D745:D746"/>
    <mergeCell ref="E745:E746"/>
    <mergeCell ref="G745:G746"/>
    <mergeCell ref="H745:H746"/>
    <mergeCell ref="I745:I746"/>
    <mergeCell ref="J745:J746"/>
    <mergeCell ref="K745:K746"/>
    <mergeCell ref="L745:L746"/>
    <mergeCell ref="M745:M746"/>
    <mergeCell ref="N745:N746"/>
    <mergeCell ref="G743:G744"/>
    <mergeCell ref="H743:H744"/>
    <mergeCell ref="I743:I744"/>
    <mergeCell ref="J743:J744"/>
    <mergeCell ref="K743:K744"/>
    <mergeCell ref="B743:B744"/>
    <mergeCell ref="C743:C744"/>
    <mergeCell ref="D743:D744"/>
    <mergeCell ref="E743:E744"/>
    <mergeCell ref="L755:L756"/>
    <mergeCell ref="M755:M756"/>
    <mergeCell ref="N755:N756"/>
    <mergeCell ref="B757:B758"/>
    <mergeCell ref="C757:C758"/>
    <mergeCell ref="D757:D758"/>
    <mergeCell ref="E757:E758"/>
    <mergeCell ref="G757:G758"/>
    <mergeCell ref="H757:H758"/>
    <mergeCell ref="I757:I758"/>
    <mergeCell ref="J757:J758"/>
    <mergeCell ref="K757:K758"/>
    <mergeCell ref="L757:L758"/>
    <mergeCell ref="M757:M758"/>
    <mergeCell ref="N757:N758"/>
    <mergeCell ref="G755:G756"/>
    <mergeCell ref="H755:H756"/>
    <mergeCell ref="I755:I756"/>
    <mergeCell ref="J755:J756"/>
    <mergeCell ref="K755:K756"/>
    <mergeCell ref="B755:B756"/>
    <mergeCell ref="C755:C756"/>
    <mergeCell ref="D755:D756"/>
    <mergeCell ref="E755:E756"/>
    <mergeCell ref="L751:L752"/>
    <mergeCell ref="M751:M752"/>
    <mergeCell ref="N751:N752"/>
    <mergeCell ref="B753:B754"/>
    <mergeCell ref="C753:C754"/>
    <mergeCell ref="D753:D754"/>
    <mergeCell ref="E753:E754"/>
    <mergeCell ref="G753:G754"/>
    <mergeCell ref="H753:H754"/>
    <mergeCell ref="I753:I754"/>
    <mergeCell ref="J753:J754"/>
    <mergeCell ref="K753:K754"/>
    <mergeCell ref="L753:L754"/>
    <mergeCell ref="M753:M754"/>
    <mergeCell ref="N753:N754"/>
    <mergeCell ref="G751:G752"/>
    <mergeCell ref="H751:H752"/>
    <mergeCell ref="I751:I752"/>
    <mergeCell ref="J751:J752"/>
    <mergeCell ref="K751:K752"/>
    <mergeCell ref="B751:B752"/>
    <mergeCell ref="C751:C752"/>
    <mergeCell ref="D751:D752"/>
    <mergeCell ref="E751:E752"/>
    <mergeCell ref="L763:L764"/>
    <mergeCell ref="M763:M764"/>
    <mergeCell ref="N763:N764"/>
    <mergeCell ref="B765:B766"/>
    <mergeCell ref="C765:C766"/>
    <mergeCell ref="D765:D766"/>
    <mergeCell ref="E765:E766"/>
    <mergeCell ref="G765:G766"/>
    <mergeCell ref="H765:H766"/>
    <mergeCell ref="I765:I766"/>
    <mergeCell ref="J765:J766"/>
    <mergeCell ref="K765:K766"/>
    <mergeCell ref="L765:L766"/>
    <mergeCell ref="M765:M766"/>
    <mergeCell ref="N765:N766"/>
    <mergeCell ref="G763:G764"/>
    <mergeCell ref="H763:H764"/>
    <mergeCell ref="I763:I764"/>
    <mergeCell ref="J763:J764"/>
    <mergeCell ref="K763:K764"/>
    <mergeCell ref="B763:B764"/>
    <mergeCell ref="C763:C764"/>
    <mergeCell ref="D763:D764"/>
    <mergeCell ref="E763:E764"/>
    <mergeCell ref="L759:L760"/>
    <mergeCell ref="M759:M760"/>
    <mergeCell ref="N759:N760"/>
    <mergeCell ref="B761:B762"/>
    <mergeCell ref="C761:C762"/>
    <mergeCell ref="D761:D762"/>
    <mergeCell ref="E761:E762"/>
    <mergeCell ref="G761:G762"/>
    <mergeCell ref="H761:H762"/>
    <mergeCell ref="I761:I762"/>
    <mergeCell ref="J761:J762"/>
    <mergeCell ref="K761:K762"/>
    <mergeCell ref="L761:L762"/>
    <mergeCell ref="M761:M762"/>
    <mergeCell ref="N761:N762"/>
    <mergeCell ref="G759:G760"/>
    <mergeCell ref="H759:H760"/>
    <mergeCell ref="I759:I760"/>
    <mergeCell ref="J759:J760"/>
    <mergeCell ref="K759:K760"/>
    <mergeCell ref="B759:B760"/>
    <mergeCell ref="C759:C760"/>
    <mergeCell ref="D759:D760"/>
    <mergeCell ref="E759:E760"/>
    <mergeCell ref="L771:L772"/>
    <mergeCell ref="M771:M772"/>
    <mergeCell ref="N771:N772"/>
    <mergeCell ref="B773:B774"/>
    <mergeCell ref="C773:C774"/>
    <mergeCell ref="D773:D774"/>
    <mergeCell ref="E773:E774"/>
    <mergeCell ref="G773:G774"/>
    <mergeCell ref="H773:H774"/>
    <mergeCell ref="I773:I774"/>
    <mergeCell ref="J773:J774"/>
    <mergeCell ref="K773:K774"/>
    <mergeCell ref="L773:L774"/>
    <mergeCell ref="M773:M774"/>
    <mergeCell ref="N773:N774"/>
    <mergeCell ref="G771:G772"/>
    <mergeCell ref="H771:H772"/>
    <mergeCell ref="I771:I772"/>
    <mergeCell ref="J771:J772"/>
    <mergeCell ref="K771:K772"/>
    <mergeCell ref="B771:B772"/>
    <mergeCell ref="C771:C772"/>
    <mergeCell ref="D771:D772"/>
    <mergeCell ref="E771:E772"/>
    <mergeCell ref="L767:L768"/>
    <mergeCell ref="M767:M768"/>
    <mergeCell ref="N767:N768"/>
    <mergeCell ref="B769:B770"/>
    <mergeCell ref="C769:C770"/>
    <mergeCell ref="D769:D770"/>
    <mergeCell ref="E769:E770"/>
    <mergeCell ref="G769:G770"/>
    <mergeCell ref="H769:H770"/>
    <mergeCell ref="I769:I770"/>
    <mergeCell ref="J769:J770"/>
    <mergeCell ref="K769:K770"/>
    <mergeCell ref="L769:L770"/>
    <mergeCell ref="M769:M770"/>
    <mergeCell ref="N769:N770"/>
    <mergeCell ref="G767:G768"/>
    <mergeCell ref="H767:H768"/>
    <mergeCell ref="I767:I768"/>
    <mergeCell ref="J767:J768"/>
    <mergeCell ref="K767:K768"/>
    <mergeCell ref="B767:B768"/>
    <mergeCell ref="C767:C768"/>
    <mergeCell ref="D767:D768"/>
    <mergeCell ref="E767:E768"/>
    <mergeCell ref="L779:L780"/>
    <mergeCell ref="M779:M780"/>
    <mergeCell ref="N779:N780"/>
    <mergeCell ref="B781:B782"/>
    <mergeCell ref="C781:C782"/>
    <mergeCell ref="D781:D782"/>
    <mergeCell ref="E781:E782"/>
    <mergeCell ref="G781:G782"/>
    <mergeCell ref="H781:H782"/>
    <mergeCell ref="I781:I782"/>
    <mergeCell ref="J781:J782"/>
    <mergeCell ref="K781:K782"/>
    <mergeCell ref="L781:L782"/>
    <mergeCell ref="M781:M782"/>
    <mergeCell ref="N781:N782"/>
    <mergeCell ref="G779:G780"/>
    <mergeCell ref="H779:H780"/>
    <mergeCell ref="I779:I780"/>
    <mergeCell ref="J779:J780"/>
    <mergeCell ref="K779:K780"/>
    <mergeCell ref="B779:B780"/>
    <mergeCell ref="C779:C780"/>
    <mergeCell ref="D779:D780"/>
    <mergeCell ref="E779:E780"/>
    <mergeCell ref="L775:L776"/>
    <mergeCell ref="M775:M776"/>
    <mergeCell ref="N775:N776"/>
    <mergeCell ref="B777:B778"/>
    <mergeCell ref="C777:C778"/>
    <mergeCell ref="D777:D778"/>
    <mergeCell ref="E777:E778"/>
    <mergeCell ref="G777:G778"/>
    <mergeCell ref="H777:H778"/>
    <mergeCell ref="I777:I778"/>
    <mergeCell ref="J777:J778"/>
    <mergeCell ref="K777:K778"/>
    <mergeCell ref="L777:L778"/>
    <mergeCell ref="M777:M778"/>
    <mergeCell ref="N777:N778"/>
    <mergeCell ref="G775:G776"/>
    <mergeCell ref="H775:H776"/>
    <mergeCell ref="I775:I776"/>
    <mergeCell ref="J775:J776"/>
    <mergeCell ref="K775:K776"/>
    <mergeCell ref="B775:B776"/>
    <mergeCell ref="C775:C776"/>
    <mergeCell ref="D775:D776"/>
    <mergeCell ref="E775:E776"/>
    <mergeCell ref="L787:L788"/>
    <mergeCell ref="M787:M788"/>
    <mergeCell ref="N787:N788"/>
    <mergeCell ref="B789:B790"/>
    <mergeCell ref="C789:C790"/>
    <mergeCell ref="D789:D790"/>
    <mergeCell ref="E789:E790"/>
    <mergeCell ref="G789:G790"/>
    <mergeCell ref="H789:H790"/>
    <mergeCell ref="I789:I790"/>
    <mergeCell ref="J789:J790"/>
    <mergeCell ref="K789:K790"/>
    <mergeCell ref="L789:L790"/>
    <mergeCell ref="M789:M790"/>
    <mergeCell ref="N789:N790"/>
    <mergeCell ref="G787:G788"/>
    <mergeCell ref="H787:H788"/>
    <mergeCell ref="I787:I788"/>
    <mergeCell ref="J787:J788"/>
    <mergeCell ref="K787:K788"/>
    <mergeCell ref="B787:B788"/>
    <mergeCell ref="C787:C788"/>
    <mergeCell ref="D787:D788"/>
    <mergeCell ref="E787:E788"/>
    <mergeCell ref="L783:L784"/>
    <mergeCell ref="M783:M784"/>
    <mergeCell ref="N783:N784"/>
    <mergeCell ref="B785:B786"/>
    <mergeCell ref="C785:C786"/>
    <mergeCell ref="D785:D786"/>
    <mergeCell ref="E785:E786"/>
    <mergeCell ref="G785:G786"/>
    <mergeCell ref="H785:H786"/>
    <mergeCell ref="I785:I786"/>
    <mergeCell ref="J785:J786"/>
    <mergeCell ref="K785:K786"/>
    <mergeCell ref="L785:L786"/>
    <mergeCell ref="M785:M786"/>
    <mergeCell ref="N785:N786"/>
    <mergeCell ref="G783:G784"/>
    <mergeCell ref="H783:H784"/>
    <mergeCell ref="I783:I784"/>
    <mergeCell ref="J783:J784"/>
    <mergeCell ref="K783:K784"/>
    <mergeCell ref="B783:B784"/>
    <mergeCell ref="C783:C784"/>
    <mergeCell ref="D783:D784"/>
    <mergeCell ref="E783:E784"/>
    <mergeCell ref="L795:L796"/>
    <mergeCell ref="M795:M796"/>
    <mergeCell ref="N795:N796"/>
    <mergeCell ref="B797:B798"/>
    <mergeCell ref="C797:C798"/>
    <mergeCell ref="D797:D798"/>
    <mergeCell ref="E797:E798"/>
    <mergeCell ref="G797:G798"/>
    <mergeCell ref="H797:H798"/>
    <mergeCell ref="I797:I798"/>
    <mergeCell ref="J797:J798"/>
    <mergeCell ref="K797:K798"/>
    <mergeCell ref="L797:L798"/>
    <mergeCell ref="M797:M798"/>
    <mergeCell ref="N797:N798"/>
    <mergeCell ref="G795:G796"/>
    <mergeCell ref="H795:H796"/>
    <mergeCell ref="I795:I796"/>
    <mergeCell ref="J795:J796"/>
    <mergeCell ref="K795:K796"/>
    <mergeCell ref="B795:B796"/>
    <mergeCell ref="C795:C796"/>
    <mergeCell ref="D795:D796"/>
    <mergeCell ref="E795:E796"/>
    <mergeCell ref="L791:L792"/>
    <mergeCell ref="M791:M792"/>
    <mergeCell ref="N791:N792"/>
    <mergeCell ref="B793:B794"/>
    <mergeCell ref="C793:C794"/>
    <mergeCell ref="D793:D794"/>
    <mergeCell ref="E793:E794"/>
    <mergeCell ref="G793:G794"/>
    <mergeCell ref="H793:H794"/>
    <mergeCell ref="I793:I794"/>
    <mergeCell ref="J793:J794"/>
    <mergeCell ref="K793:K794"/>
    <mergeCell ref="L793:L794"/>
    <mergeCell ref="M793:M794"/>
    <mergeCell ref="N793:N794"/>
    <mergeCell ref="G791:G792"/>
    <mergeCell ref="H791:H792"/>
    <mergeCell ref="I791:I792"/>
    <mergeCell ref="J791:J792"/>
    <mergeCell ref="K791:K792"/>
    <mergeCell ref="B791:B792"/>
    <mergeCell ref="C791:C792"/>
    <mergeCell ref="D791:D792"/>
    <mergeCell ref="E791:E792"/>
    <mergeCell ref="L803:L804"/>
    <mergeCell ref="M803:M804"/>
    <mergeCell ref="N803:N804"/>
    <mergeCell ref="B805:B806"/>
    <mergeCell ref="C805:C806"/>
    <mergeCell ref="D805:D806"/>
    <mergeCell ref="E805:E806"/>
    <mergeCell ref="G805:G806"/>
    <mergeCell ref="H805:H806"/>
    <mergeCell ref="I805:I806"/>
    <mergeCell ref="J805:J806"/>
    <mergeCell ref="K805:K806"/>
    <mergeCell ref="L805:L806"/>
    <mergeCell ref="M805:M806"/>
    <mergeCell ref="N805:N806"/>
    <mergeCell ref="G803:G804"/>
    <mergeCell ref="H803:H804"/>
    <mergeCell ref="I803:I804"/>
    <mergeCell ref="J803:J804"/>
    <mergeCell ref="K803:K804"/>
    <mergeCell ref="B803:B804"/>
    <mergeCell ref="C803:C804"/>
    <mergeCell ref="D803:D804"/>
    <mergeCell ref="E803:E804"/>
    <mergeCell ref="L799:L800"/>
    <mergeCell ref="M799:M800"/>
    <mergeCell ref="N799:N800"/>
    <mergeCell ref="B801:B802"/>
    <mergeCell ref="C801:C802"/>
    <mergeCell ref="D801:D802"/>
    <mergeCell ref="E801:E802"/>
    <mergeCell ref="G801:G802"/>
    <mergeCell ref="H801:H802"/>
    <mergeCell ref="I801:I802"/>
    <mergeCell ref="J801:J802"/>
    <mergeCell ref="K801:K802"/>
    <mergeCell ref="L801:L802"/>
    <mergeCell ref="M801:M802"/>
    <mergeCell ref="N801:N802"/>
    <mergeCell ref="G799:G800"/>
    <mergeCell ref="H799:H800"/>
    <mergeCell ref="I799:I800"/>
    <mergeCell ref="J799:J800"/>
    <mergeCell ref="K799:K800"/>
    <mergeCell ref="B799:B800"/>
    <mergeCell ref="C799:C800"/>
    <mergeCell ref="D799:D800"/>
    <mergeCell ref="E799:E800"/>
    <mergeCell ref="L811:L812"/>
    <mergeCell ref="M811:M812"/>
    <mergeCell ref="N811:N812"/>
    <mergeCell ref="B813:B814"/>
    <mergeCell ref="C813:C814"/>
    <mergeCell ref="D813:D814"/>
    <mergeCell ref="E813:E814"/>
    <mergeCell ref="G813:G814"/>
    <mergeCell ref="H813:H814"/>
    <mergeCell ref="I813:I814"/>
    <mergeCell ref="J813:J814"/>
    <mergeCell ref="K813:K814"/>
    <mergeCell ref="L813:L814"/>
    <mergeCell ref="M813:M814"/>
    <mergeCell ref="N813:N814"/>
    <mergeCell ref="G811:G812"/>
    <mergeCell ref="H811:H812"/>
    <mergeCell ref="I811:I812"/>
    <mergeCell ref="J811:J812"/>
    <mergeCell ref="K811:K812"/>
    <mergeCell ref="B811:B812"/>
    <mergeCell ref="C811:C812"/>
    <mergeCell ref="D811:D812"/>
    <mergeCell ref="E811:E812"/>
    <mergeCell ref="L807:L808"/>
    <mergeCell ref="M807:M808"/>
    <mergeCell ref="N807:N808"/>
    <mergeCell ref="B809:B810"/>
    <mergeCell ref="C809:C810"/>
    <mergeCell ref="D809:D810"/>
    <mergeCell ref="E809:E810"/>
    <mergeCell ref="G809:G810"/>
    <mergeCell ref="H809:H810"/>
    <mergeCell ref="I809:I810"/>
    <mergeCell ref="J809:J810"/>
    <mergeCell ref="K809:K810"/>
    <mergeCell ref="L809:L810"/>
    <mergeCell ref="M809:M810"/>
    <mergeCell ref="N809:N810"/>
    <mergeCell ref="G807:G808"/>
    <mergeCell ref="H807:H808"/>
    <mergeCell ref="I807:I808"/>
    <mergeCell ref="J807:J808"/>
    <mergeCell ref="K807:K808"/>
    <mergeCell ref="B807:B808"/>
    <mergeCell ref="C807:C808"/>
    <mergeCell ref="D807:D808"/>
    <mergeCell ref="E807:E808"/>
    <mergeCell ref="L819:L820"/>
    <mergeCell ref="M819:M820"/>
    <mergeCell ref="N819:N820"/>
    <mergeCell ref="B821:B822"/>
    <mergeCell ref="C821:C822"/>
    <mergeCell ref="D821:D822"/>
    <mergeCell ref="E821:E822"/>
    <mergeCell ref="G821:G822"/>
    <mergeCell ref="H821:H822"/>
    <mergeCell ref="I821:I822"/>
    <mergeCell ref="J821:J822"/>
    <mergeCell ref="K821:K822"/>
    <mergeCell ref="L821:L822"/>
    <mergeCell ref="M821:M822"/>
    <mergeCell ref="N821:N822"/>
    <mergeCell ref="G819:G820"/>
    <mergeCell ref="H819:H820"/>
    <mergeCell ref="I819:I820"/>
    <mergeCell ref="J819:J820"/>
    <mergeCell ref="K819:K820"/>
    <mergeCell ref="B819:B820"/>
    <mergeCell ref="C819:C820"/>
    <mergeCell ref="D819:D820"/>
    <mergeCell ref="E819:E820"/>
    <mergeCell ref="L815:L816"/>
    <mergeCell ref="M815:M816"/>
    <mergeCell ref="N815:N816"/>
    <mergeCell ref="B817:B818"/>
    <mergeCell ref="C817:C818"/>
    <mergeCell ref="D817:D818"/>
    <mergeCell ref="E817:E818"/>
    <mergeCell ref="G817:G818"/>
    <mergeCell ref="H817:H818"/>
    <mergeCell ref="I817:I818"/>
    <mergeCell ref="J817:J818"/>
    <mergeCell ref="K817:K818"/>
    <mergeCell ref="L817:L818"/>
    <mergeCell ref="M817:M818"/>
    <mergeCell ref="N817:N818"/>
    <mergeCell ref="G815:G816"/>
    <mergeCell ref="H815:H816"/>
    <mergeCell ref="I815:I816"/>
    <mergeCell ref="J815:J816"/>
    <mergeCell ref="K815:K816"/>
    <mergeCell ref="B815:B816"/>
    <mergeCell ref="C815:C816"/>
    <mergeCell ref="D815:D816"/>
    <mergeCell ref="E815:E816"/>
    <mergeCell ref="L827:L828"/>
    <mergeCell ref="M827:M828"/>
    <mergeCell ref="N827:N828"/>
    <mergeCell ref="B829:B830"/>
    <mergeCell ref="C829:C830"/>
    <mergeCell ref="D829:D830"/>
    <mergeCell ref="E829:E830"/>
    <mergeCell ref="G829:G830"/>
    <mergeCell ref="H829:H830"/>
    <mergeCell ref="I829:I830"/>
    <mergeCell ref="J829:J830"/>
    <mergeCell ref="K829:K830"/>
    <mergeCell ref="L829:L830"/>
    <mergeCell ref="M829:M830"/>
    <mergeCell ref="N829:N830"/>
    <mergeCell ref="G827:G828"/>
    <mergeCell ref="H827:H828"/>
    <mergeCell ref="I827:I828"/>
    <mergeCell ref="J827:J828"/>
    <mergeCell ref="K827:K828"/>
    <mergeCell ref="B827:B828"/>
    <mergeCell ref="C827:C828"/>
    <mergeCell ref="D827:D828"/>
    <mergeCell ref="E827:E828"/>
    <mergeCell ref="L823:L824"/>
    <mergeCell ref="M823:M824"/>
    <mergeCell ref="N823:N824"/>
    <mergeCell ref="B825:B826"/>
    <mergeCell ref="C825:C826"/>
    <mergeCell ref="D825:D826"/>
    <mergeCell ref="E825:E826"/>
    <mergeCell ref="G825:G826"/>
    <mergeCell ref="H825:H826"/>
    <mergeCell ref="I825:I826"/>
    <mergeCell ref="J825:J826"/>
    <mergeCell ref="K825:K826"/>
    <mergeCell ref="L825:L826"/>
    <mergeCell ref="M825:M826"/>
    <mergeCell ref="N825:N826"/>
    <mergeCell ref="G823:G824"/>
    <mergeCell ref="H823:H824"/>
    <mergeCell ref="I823:I824"/>
    <mergeCell ref="J823:J824"/>
    <mergeCell ref="K823:K824"/>
    <mergeCell ref="B823:B824"/>
    <mergeCell ref="C823:C824"/>
    <mergeCell ref="D823:D824"/>
    <mergeCell ref="E823:E824"/>
    <mergeCell ref="L835:L836"/>
    <mergeCell ref="M835:M836"/>
    <mergeCell ref="N835:N836"/>
    <mergeCell ref="B837:B838"/>
    <mergeCell ref="C837:C838"/>
    <mergeCell ref="D837:D838"/>
    <mergeCell ref="E837:E838"/>
    <mergeCell ref="G837:G838"/>
    <mergeCell ref="H837:H838"/>
    <mergeCell ref="I837:I838"/>
    <mergeCell ref="J837:J838"/>
    <mergeCell ref="K837:K838"/>
    <mergeCell ref="L837:L838"/>
    <mergeCell ref="M837:M838"/>
    <mergeCell ref="N837:N838"/>
    <mergeCell ref="G835:G836"/>
    <mergeCell ref="H835:H836"/>
    <mergeCell ref="I835:I836"/>
    <mergeCell ref="J835:J836"/>
    <mergeCell ref="K835:K836"/>
    <mergeCell ref="B835:B836"/>
    <mergeCell ref="C835:C836"/>
    <mergeCell ref="D835:D836"/>
    <mergeCell ref="E835:E836"/>
    <mergeCell ref="L831:L832"/>
    <mergeCell ref="M831:M832"/>
    <mergeCell ref="N831:N832"/>
    <mergeCell ref="B833:B834"/>
    <mergeCell ref="C833:C834"/>
    <mergeCell ref="D833:D834"/>
    <mergeCell ref="E833:E834"/>
    <mergeCell ref="G833:G834"/>
    <mergeCell ref="H833:H834"/>
    <mergeCell ref="I833:I834"/>
    <mergeCell ref="J833:J834"/>
    <mergeCell ref="K833:K834"/>
    <mergeCell ref="L833:L834"/>
    <mergeCell ref="M833:M834"/>
    <mergeCell ref="N833:N834"/>
    <mergeCell ref="G831:G832"/>
    <mergeCell ref="H831:H832"/>
    <mergeCell ref="I831:I832"/>
    <mergeCell ref="J831:J832"/>
    <mergeCell ref="K831:K832"/>
    <mergeCell ref="B831:B832"/>
    <mergeCell ref="C831:C832"/>
    <mergeCell ref="D831:D832"/>
    <mergeCell ref="E831:E832"/>
    <mergeCell ref="L843:L844"/>
    <mergeCell ref="M843:M844"/>
    <mergeCell ref="N843:N844"/>
    <mergeCell ref="B845:B846"/>
    <mergeCell ref="C845:C846"/>
    <mergeCell ref="D845:D846"/>
    <mergeCell ref="E845:E846"/>
    <mergeCell ref="G845:G846"/>
    <mergeCell ref="H845:H846"/>
    <mergeCell ref="I845:I846"/>
    <mergeCell ref="J845:J846"/>
    <mergeCell ref="K845:K846"/>
    <mergeCell ref="L845:L846"/>
    <mergeCell ref="M845:M846"/>
    <mergeCell ref="N845:N846"/>
    <mergeCell ref="G843:G844"/>
    <mergeCell ref="H843:H844"/>
    <mergeCell ref="I843:I844"/>
    <mergeCell ref="J843:J844"/>
    <mergeCell ref="K843:K844"/>
    <mergeCell ref="B843:B844"/>
    <mergeCell ref="C843:C844"/>
    <mergeCell ref="D843:D844"/>
    <mergeCell ref="E843:E844"/>
    <mergeCell ref="L839:L840"/>
    <mergeCell ref="M839:M840"/>
    <mergeCell ref="N839:N840"/>
    <mergeCell ref="B841:B842"/>
    <mergeCell ref="C841:C842"/>
    <mergeCell ref="D841:D842"/>
    <mergeCell ref="E841:E842"/>
    <mergeCell ref="G841:G842"/>
    <mergeCell ref="H841:H842"/>
    <mergeCell ref="I841:I842"/>
    <mergeCell ref="J841:J842"/>
    <mergeCell ref="K841:K842"/>
    <mergeCell ref="L841:L842"/>
    <mergeCell ref="M841:M842"/>
    <mergeCell ref="N841:N842"/>
    <mergeCell ref="G839:G840"/>
    <mergeCell ref="H839:H840"/>
    <mergeCell ref="I839:I840"/>
    <mergeCell ref="J839:J840"/>
    <mergeCell ref="K839:K840"/>
    <mergeCell ref="B839:B840"/>
    <mergeCell ref="C839:C840"/>
    <mergeCell ref="D839:D840"/>
    <mergeCell ref="E839:E840"/>
    <mergeCell ref="L851:L852"/>
    <mergeCell ref="M851:M852"/>
    <mergeCell ref="N851:N852"/>
    <mergeCell ref="B853:B854"/>
    <mergeCell ref="C853:C854"/>
    <mergeCell ref="D853:D854"/>
    <mergeCell ref="E853:E854"/>
    <mergeCell ref="G853:G854"/>
    <mergeCell ref="H853:H854"/>
    <mergeCell ref="I853:I854"/>
    <mergeCell ref="J853:J854"/>
    <mergeCell ref="K853:K854"/>
    <mergeCell ref="L853:L854"/>
    <mergeCell ref="M853:M854"/>
    <mergeCell ref="N853:N854"/>
    <mergeCell ref="G851:G852"/>
    <mergeCell ref="H851:H852"/>
    <mergeCell ref="I851:I852"/>
    <mergeCell ref="J851:J852"/>
    <mergeCell ref="K851:K852"/>
    <mergeCell ref="B851:B852"/>
    <mergeCell ref="C851:C852"/>
    <mergeCell ref="D851:D852"/>
    <mergeCell ref="E851:E852"/>
    <mergeCell ref="L847:L848"/>
    <mergeCell ref="M847:M848"/>
    <mergeCell ref="N847:N848"/>
    <mergeCell ref="B849:B850"/>
    <mergeCell ref="C849:C850"/>
    <mergeCell ref="D849:D850"/>
    <mergeCell ref="E849:E850"/>
    <mergeCell ref="G849:G850"/>
    <mergeCell ref="H849:H850"/>
    <mergeCell ref="I849:I850"/>
    <mergeCell ref="J849:J850"/>
    <mergeCell ref="K849:K850"/>
    <mergeCell ref="L849:L850"/>
    <mergeCell ref="M849:M850"/>
    <mergeCell ref="N849:N850"/>
    <mergeCell ref="G847:G848"/>
    <mergeCell ref="H847:H848"/>
    <mergeCell ref="I847:I848"/>
    <mergeCell ref="J847:J848"/>
    <mergeCell ref="K847:K848"/>
    <mergeCell ref="B847:B848"/>
    <mergeCell ref="C847:C848"/>
    <mergeCell ref="D847:D848"/>
    <mergeCell ref="E847:E848"/>
    <mergeCell ref="L859:L860"/>
    <mergeCell ref="M859:M860"/>
    <mergeCell ref="N859:N860"/>
    <mergeCell ref="B861:B862"/>
    <mergeCell ref="C861:C862"/>
    <mergeCell ref="D861:D862"/>
    <mergeCell ref="E861:E862"/>
    <mergeCell ref="G861:G862"/>
    <mergeCell ref="H861:H862"/>
    <mergeCell ref="I861:I862"/>
    <mergeCell ref="J861:J862"/>
    <mergeCell ref="K861:K862"/>
    <mergeCell ref="L861:L862"/>
    <mergeCell ref="M861:M862"/>
    <mergeCell ref="N861:N862"/>
    <mergeCell ref="G859:G860"/>
    <mergeCell ref="H859:H860"/>
    <mergeCell ref="I859:I860"/>
    <mergeCell ref="J859:J860"/>
    <mergeCell ref="K859:K860"/>
    <mergeCell ref="B859:B860"/>
    <mergeCell ref="C859:C860"/>
    <mergeCell ref="D859:D860"/>
    <mergeCell ref="E859:E860"/>
    <mergeCell ref="L855:L856"/>
    <mergeCell ref="M855:M856"/>
    <mergeCell ref="N855:N856"/>
    <mergeCell ref="B857:B858"/>
    <mergeCell ref="C857:C858"/>
    <mergeCell ref="D857:D858"/>
    <mergeCell ref="E857:E858"/>
    <mergeCell ref="G857:G858"/>
    <mergeCell ref="H857:H858"/>
    <mergeCell ref="I857:I858"/>
    <mergeCell ref="J857:J858"/>
    <mergeCell ref="K857:K858"/>
    <mergeCell ref="L857:L858"/>
    <mergeCell ref="M857:M858"/>
    <mergeCell ref="N857:N858"/>
    <mergeCell ref="G855:G856"/>
    <mergeCell ref="H855:H856"/>
    <mergeCell ref="I855:I856"/>
    <mergeCell ref="J855:J856"/>
    <mergeCell ref="K855:K856"/>
    <mergeCell ref="B855:B856"/>
    <mergeCell ref="C855:C856"/>
    <mergeCell ref="D855:D856"/>
    <mergeCell ref="E855:E856"/>
    <mergeCell ref="L867:L868"/>
    <mergeCell ref="M867:M868"/>
    <mergeCell ref="N867:N868"/>
    <mergeCell ref="B869:B870"/>
    <mergeCell ref="C869:C870"/>
    <mergeCell ref="D869:D870"/>
    <mergeCell ref="E869:E870"/>
    <mergeCell ref="G869:G870"/>
    <mergeCell ref="H869:H870"/>
    <mergeCell ref="I869:I870"/>
    <mergeCell ref="J869:J870"/>
    <mergeCell ref="K869:K870"/>
    <mergeCell ref="L869:L870"/>
    <mergeCell ref="M869:M870"/>
    <mergeCell ref="N869:N870"/>
    <mergeCell ref="G867:G868"/>
    <mergeCell ref="H867:H868"/>
    <mergeCell ref="I867:I868"/>
    <mergeCell ref="J867:J868"/>
    <mergeCell ref="K867:K868"/>
    <mergeCell ref="B867:B868"/>
    <mergeCell ref="C867:C868"/>
    <mergeCell ref="D867:D868"/>
    <mergeCell ref="E867:E868"/>
    <mergeCell ref="L863:L864"/>
    <mergeCell ref="M863:M864"/>
    <mergeCell ref="N863:N864"/>
    <mergeCell ref="B865:B866"/>
    <mergeCell ref="C865:C866"/>
    <mergeCell ref="D865:D866"/>
    <mergeCell ref="E865:E866"/>
    <mergeCell ref="G865:G866"/>
    <mergeCell ref="H865:H866"/>
    <mergeCell ref="I865:I866"/>
    <mergeCell ref="J865:J866"/>
    <mergeCell ref="K865:K866"/>
    <mergeCell ref="L865:L866"/>
    <mergeCell ref="M865:M866"/>
    <mergeCell ref="N865:N866"/>
    <mergeCell ref="G863:G864"/>
    <mergeCell ref="H863:H864"/>
    <mergeCell ref="I863:I864"/>
    <mergeCell ref="J863:J864"/>
    <mergeCell ref="K863:K864"/>
    <mergeCell ref="B863:B864"/>
    <mergeCell ref="C863:C864"/>
    <mergeCell ref="D863:D864"/>
    <mergeCell ref="E863:E864"/>
    <mergeCell ref="L875:L876"/>
    <mergeCell ref="M875:M876"/>
    <mergeCell ref="N875:N876"/>
    <mergeCell ref="B877:B878"/>
    <mergeCell ref="C877:C878"/>
    <mergeCell ref="D877:D878"/>
    <mergeCell ref="E877:E878"/>
    <mergeCell ref="G877:G878"/>
    <mergeCell ref="H877:H878"/>
    <mergeCell ref="I877:I878"/>
    <mergeCell ref="J877:J878"/>
    <mergeCell ref="K877:K878"/>
    <mergeCell ref="L877:L878"/>
    <mergeCell ref="M877:M878"/>
    <mergeCell ref="N877:N878"/>
    <mergeCell ref="G875:G876"/>
    <mergeCell ref="H875:H876"/>
    <mergeCell ref="I875:I876"/>
    <mergeCell ref="J875:J876"/>
    <mergeCell ref="K875:K876"/>
    <mergeCell ref="B875:B876"/>
    <mergeCell ref="C875:C876"/>
    <mergeCell ref="D875:D876"/>
    <mergeCell ref="E875:E876"/>
    <mergeCell ref="L871:L872"/>
    <mergeCell ref="M871:M872"/>
    <mergeCell ref="N871:N872"/>
    <mergeCell ref="B873:B874"/>
    <mergeCell ref="C873:C874"/>
    <mergeCell ref="D873:D874"/>
    <mergeCell ref="E873:E874"/>
    <mergeCell ref="G873:G874"/>
    <mergeCell ref="H873:H874"/>
    <mergeCell ref="I873:I874"/>
    <mergeCell ref="J873:J874"/>
    <mergeCell ref="K873:K874"/>
    <mergeCell ref="L873:L874"/>
    <mergeCell ref="M873:M874"/>
    <mergeCell ref="N873:N874"/>
    <mergeCell ref="G871:G872"/>
    <mergeCell ref="H871:H872"/>
    <mergeCell ref="I871:I872"/>
    <mergeCell ref="J871:J872"/>
    <mergeCell ref="K871:K872"/>
    <mergeCell ref="B871:B872"/>
    <mergeCell ref="C871:C872"/>
    <mergeCell ref="D871:D872"/>
    <mergeCell ref="E871:E872"/>
    <mergeCell ref="L883:L884"/>
    <mergeCell ref="M883:M884"/>
    <mergeCell ref="N883:N884"/>
    <mergeCell ref="B885:B886"/>
    <mergeCell ref="C885:C886"/>
    <mergeCell ref="D885:D886"/>
    <mergeCell ref="E885:E886"/>
    <mergeCell ref="G885:G886"/>
    <mergeCell ref="H885:H886"/>
    <mergeCell ref="I885:I886"/>
    <mergeCell ref="J885:J886"/>
    <mergeCell ref="K885:K886"/>
    <mergeCell ref="L885:L886"/>
    <mergeCell ref="M885:M886"/>
    <mergeCell ref="N885:N886"/>
    <mergeCell ref="G883:G884"/>
    <mergeCell ref="H883:H884"/>
    <mergeCell ref="I883:I884"/>
    <mergeCell ref="J883:J884"/>
    <mergeCell ref="K883:K884"/>
    <mergeCell ref="B883:B884"/>
    <mergeCell ref="C883:C884"/>
    <mergeCell ref="D883:D884"/>
    <mergeCell ref="E883:E884"/>
    <mergeCell ref="L879:L880"/>
    <mergeCell ref="M879:M880"/>
    <mergeCell ref="N879:N880"/>
    <mergeCell ref="B881:B882"/>
    <mergeCell ref="C881:C882"/>
    <mergeCell ref="D881:D882"/>
    <mergeCell ref="E881:E882"/>
    <mergeCell ref="G881:G882"/>
    <mergeCell ref="H881:H882"/>
    <mergeCell ref="I881:I882"/>
    <mergeCell ref="J881:J882"/>
    <mergeCell ref="K881:K882"/>
    <mergeCell ref="L881:L882"/>
    <mergeCell ref="M881:M882"/>
    <mergeCell ref="N881:N882"/>
    <mergeCell ref="G879:G880"/>
    <mergeCell ref="H879:H880"/>
    <mergeCell ref="I879:I880"/>
    <mergeCell ref="J879:J880"/>
    <mergeCell ref="K879:K880"/>
    <mergeCell ref="B879:B880"/>
    <mergeCell ref="C879:C880"/>
    <mergeCell ref="D879:D880"/>
    <mergeCell ref="E879:E880"/>
    <mergeCell ref="L891:L892"/>
    <mergeCell ref="M891:M892"/>
    <mergeCell ref="N891:N892"/>
    <mergeCell ref="B893:B894"/>
    <mergeCell ref="C893:C894"/>
    <mergeCell ref="D893:D894"/>
    <mergeCell ref="E893:E894"/>
    <mergeCell ref="G893:G894"/>
    <mergeCell ref="H893:H894"/>
    <mergeCell ref="I893:I894"/>
    <mergeCell ref="J893:J894"/>
    <mergeCell ref="K893:K894"/>
    <mergeCell ref="L893:L894"/>
    <mergeCell ref="M893:M894"/>
    <mergeCell ref="N893:N894"/>
    <mergeCell ref="G891:G892"/>
    <mergeCell ref="H891:H892"/>
    <mergeCell ref="I891:I892"/>
    <mergeCell ref="J891:J892"/>
    <mergeCell ref="K891:K892"/>
    <mergeCell ref="B891:B892"/>
    <mergeCell ref="C891:C892"/>
    <mergeCell ref="D891:D892"/>
    <mergeCell ref="E891:E892"/>
    <mergeCell ref="L887:L888"/>
    <mergeCell ref="M887:M888"/>
    <mergeCell ref="N887:N888"/>
    <mergeCell ref="B889:B890"/>
    <mergeCell ref="C889:C890"/>
    <mergeCell ref="D889:D890"/>
    <mergeCell ref="E889:E890"/>
    <mergeCell ref="G889:G890"/>
    <mergeCell ref="H889:H890"/>
    <mergeCell ref="I889:I890"/>
    <mergeCell ref="J889:J890"/>
    <mergeCell ref="K889:K890"/>
    <mergeCell ref="L889:L890"/>
    <mergeCell ref="M889:M890"/>
    <mergeCell ref="N889:N890"/>
    <mergeCell ref="G887:G888"/>
    <mergeCell ref="H887:H888"/>
    <mergeCell ref="I887:I888"/>
    <mergeCell ref="J887:J888"/>
    <mergeCell ref="K887:K888"/>
    <mergeCell ref="B887:B888"/>
    <mergeCell ref="C887:C888"/>
    <mergeCell ref="D887:D888"/>
    <mergeCell ref="E887:E888"/>
    <mergeCell ref="L899:L900"/>
    <mergeCell ref="M899:M900"/>
    <mergeCell ref="N899:N900"/>
    <mergeCell ref="B901:B902"/>
    <mergeCell ref="C901:C902"/>
    <mergeCell ref="D901:D902"/>
    <mergeCell ref="E901:E902"/>
    <mergeCell ref="G901:G902"/>
    <mergeCell ref="H901:H902"/>
    <mergeCell ref="I901:I902"/>
    <mergeCell ref="J901:J902"/>
    <mergeCell ref="K901:K902"/>
    <mergeCell ref="L901:L902"/>
    <mergeCell ref="M901:M902"/>
    <mergeCell ref="N901:N902"/>
    <mergeCell ref="G899:G900"/>
    <mergeCell ref="H899:H900"/>
    <mergeCell ref="I899:I900"/>
    <mergeCell ref="J899:J900"/>
    <mergeCell ref="K899:K900"/>
    <mergeCell ref="B899:B900"/>
    <mergeCell ref="C899:C900"/>
    <mergeCell ref="D899:D900"/>
    <mergeCell ref="E899:E900"/>
    <mergeCell ref="L895:L896"/>
    <mergeCell ref="M895:M896"/>
    <mergeCell ref="N895:N896"/>
    <mergeCell ref="B897:B898"/>
    <mergeCell ref="C897:C898"/>
    <mergeCell ref="D897:D898"/>
    <mergeCell ref="E897:E898"/>
    <mergeCell ref="G897:G898"/>
    <mergeCell ref="H897:H898"/>
    <mergeCell ref="I897:I898"/>
    <mergeCell ref="J897:J898"/>
    <mergeCell ref="K897:K898"/>
    <mergeCell ref="L897:L898"/>
    <mergeCell ref="M897:M898"/>
    <mergeCell ref="N897:N898"/>
    <mergeCell ref="G895:G896"/>
    <mergeCell ref="H895:H896"/>
    <mergeCell ref="I895:I896"/>
    <mergeCell ref="J895:J896"/>
    <mergeCell ref="K895:K896"/>
    <mergeCell ref="B895:B896"/>
    <mergeCell ref="C895:C896"/>
    <mergeCell ref="D895:D896"/>
    <mergeCell ref="E895:E896"/>
    <mergeCell ref="L907:L908"/>
    <mergeCell ref="M907:M908"/>
    <mergeCell ref="N907:N908"/>
    <mergeCell ref="B909:B910"/>
    <mergeCell ref="C909:C910"/>
    <mergeCell ref="D909:D910"/>
    <mergeCell ref="E909:E910"/>
    <mergeCell ref="G909:G910"/>
    <mergeCell ref="H909:H910"/>
    <mergeCell ref="I909:I910"/>
    <mergeCell ref="J909:J910"/>
    <mergeCell ref="K909:K910"/>
    <mergeCell ref="L909:L910"/>
    <mergeCell ref="M909:M910"/>
    <mergeCell ref="N909:N910"/>
    <mergeCell ref="G907:G908"/>
    <mergeCell ref="H907:H908"/>
    <mergeCell ref="I907:I908"/>
    <mergeCell ref="J907:J908"/>
    <mergeCell ref="K907:K908"/>
    <mergeCell ref="B907:B908"/>
    <mergeCell ref="C907:C908"/>
    <mergeCell ref="D907:D908"/>
    <mergeCell ref="E907:E908"/>
    <mergeCell ref="L903:L904"/>
    <mergeCell ref="M903:M904"/>
    <mergeCell ref="N903:N904"/>
    <mergeCell ref="B905:B906"/>
    <mergeCell ref="C905:C906"/>
    <mergeCell ref="D905:D906"/>
    <mergeCell ref="E905:E906"/>
    <mergeCell ref="G905:G906"/>
    <mergeCell ref="H905:H906"/>
    <mergeCell ref="I905:I906"/>
    <mergeCell ref="J905:J906"/>
    <mergeCell ref="K905:K906"/>
    <mergeCell ref="L905:L906"/>
    <mergeCell ref="M905:M906"/>
    <mergeCell ref="N905:N906"/>
    <mergeCell ref="G903:G904"/>
    <mergeCell ref="H903:H904"/>
    <mergeCell ref="I903:I904"/>
    <mergeCell ref="J903:J904"/>
    <mergeCell ref="K903:K904"/>
    <mergeCell ref="B903:B904"/>
    <mergeCell ref="C903:C904"/>
    <mergeCell ref="D903:D904"/>
    <mergeCell ref="E903:E904"/>
    <mergeCell ref="L915:L916"/>
    <mergeCell ref="M915:M916"/>
    <mergeCell ref="N915:N916"/>
    <mergeCell ref="B917:B918"/>
    <mergeCell ref="C917:C918"/>
    <mergeCell ref="D917:D918"/>
    <mergeCell ref="E917:E918"/>
    <mergeCell ref="G917:G918"/>
    <mergeCell ref="H917:H918"/>
    <mergeCell ref="I917:I918"/>
    <mergeCell ref="J917:J918"/>
    <mergeCell ref="K917:K918"/>
    <mergeCell ref="L917:L918"/>
    <mergeCell ref="M917:M918"/>
    <mergeCell ref="N917:N918"/>
    <mergeCell ref="G915:G916"/>
    <mergeCell ref="H915:H916"/>
    <mergeCell ref="I915:I916"/>
    <mergeCell ref="J915:J916"/>
    <mergeCell ref="K915:K916"/>
    <mergeCell ref="B915:B916"/>
    <mergeCell ref="C915:C916"/>
    <mergeCell ref="D915:D916"/>
    <mergeCell ref="E915:E916"/>
    <mergeCell ref="L911:L912"/>
    <mergeCell ref="M911:M912"/>
    <mergeCell ref="N911:N912"/>
    <mergeCell ref="B913:B914"/>
    <mergeCell ref="C913:C914"/>
    <mergeCell ref="D913:D914"/>
    <mergeCell ref="E913:E914"/>
    <mergeCell ref="G913:G914"/>
    <mergeCell ref="H913:H914"/>
    <mergeCell ref="I913:I914"/>
    <mergeCell ref="J913:J914"/>
    <mergeCell ref="K913:K914"/>
    <mergeCell ref="L913:L914"/>
    <mergeCell ref="M913:M914"/>
    <mergeCell ref="N913:N914"/>
    <mergeCell ref="G911:G912"/>
    <mergeCell ref="H911:H912"/>
    <mergeCell ref="I911:I912"/>
    <mergeCell ref="J911:J912"/>
    <mergeCell ref="K911:K912"/>
    <mergeCell ref="B911:B912"/>
    <mergeCell ref="C911:C912"/>
    <mergeCell ref="D911:D912"/>
    <mergeCell ref="E911:E912"/>
    <mergeCell ref="L923:L924"/>
    <mergeCell ref="M923:M924"/>
    <mergeCell ref="N923:N924"/>
    <mergeCell ref="B925:B926"/>
    <mergeCell ref="C925:C926"/>
    <mergeCell ref="D925:D926"/>
    <mergeCell ref="E925:E926"/>
    <mergeCell ref="G925:G926"/>
    <mergeCell ref="H925:H926"/>
    <mergeCell ref="I925:I926"/>
    <mergeCell ref="J925:J926"/>
    <mergeCell ref="K925:K926"/>
    <mergeCell ref="L925:L926"/>
    <mergeCell ref="M925:M926"/>
    <mergeCell ref="N925:N926"/>
    <mergeCell ref="G923:G924"/>
    <mergeCell ref="H923:H924"/>
    <mergeCell ref="I923:I924"/>
    <mergeCell ref="J923:J924"/>
    <mergeCell ref="K923:K924"/>
    <mergeCell ref="B923:B924"/>
    <mergeCell ref="C923:C924"/>
    <mergeCell ref="D923:D924"/>
    <mergeCell ref="E923:E924"/>
    <mergeCell ref="L919:L920"/>
    <mergeCell ref="M919:M920"/>
    <mergeCell ref="N919:N920"/>
    <mergeCell ref="B921:B922"/>
    <mergeCell ref="C921:C922"/>
    <mergeCell ref="D921:D922"/>
    <mergeCell ref="E921:E922"/>
    <mergeCell ref="G921:G922"/>
    <mergeCell ref="H921:H922"/>
    <mergeCell ref="I921:I922"/>
    <mergeCell ref="J921:J922"/>
    <mergeCell ref="K921:K922"/>
    <mergeCell ref="L921:L922"/>
    <mergeCell ref="M921:M922"/>
    <mergeCell ref="N921:N922"/>
    <mergeCell ref="G919:G920"/>
    <mergeCell ref="H919:H920"/>
    <mergeCell ref="I919:I920"/>
    <mergeCell ref="J919:J920"/>
    <mergeCell ref="K919:K920"/>
    <mergeCell ref="B919:B920"/>
    <mergeCell ref="C919:C920"/>
    <mergeCell ref="D919:D920"/>
    <mergeCell ref="E919:E920"/>
    <mergeCell ref="L931:L932"/>
    <mergeCell ref="M931:M932"/>
    <mergeCell ref="N931:N932"/>
    <mergeCell ref="B933:B934"/>
    <mergeCell ref="C933:C934"/>
    <mergeCell ref="D933:D934"/>
    <mergeCell ref="E933:E934"/>
    <mergeCell ref="G933:G934"/>
    <mergeCell ref="H933:H934"/>
    <mergeCell ref="I933:I934"/>
    <mergeCell ref="J933:J934"/>
    <mergeCell ref="K933:K934"/>
    <mergeCell ref="L933:L934"/>
    <mergeCell ref="M933:M934"/>
    <mergeCell ref="N933:N934"/>
    <mergeCell ref="G931:G932"/>
    <mergeCell ref="H931:H932"/>
    <mergeCell ref="I931:I932"/>
    <mergeCell ref="J931:J932"/>
    <mergeCell ref="K931:K932"/>
    <mergeCell ref="B931:B932"/>
    <mergeCell ref="C931:C932"/>
    <mergeCell ref="D931:D932"/>
    <mergeCell ref="E931:E932"/>
    <mergeCell ref="L927:L928"/>
    <mergeCell ref="M927:M928"/>
    <mergeCell ref="N927:N928"/>
    <mergeCell ref="B929:B930"/>
    <mergeCell ref="C929:C930"/>
    <mergeCell ref="D929:D930"/>
    <mergeCell ref="E929:E930"/>
    <mergeCell ref="G929:G930"/>
    <mergeCell ref="H929:H930"/>
    <mergeCell ref="I929:I930"/>
    <mergeCell ref="J929:J930"/>
    <mergeCell ref="K929:K930"/>
    <mergeCell ref="L929:L930"/>
    <mergeCell ref="M929:M930"/>
    <mergeCell ref="N929:N930"/>
    <mergeCell ref="G927:G928"/>
    <mergeCell ref="H927:H928"/>
    <mergeCell ref="I927:I928"/>
    <mergeCell ref="J927:J928"/>
    <mergeCell ref="K927:K928"/>
    <mergeCell ref="B927:B928"/>
    <mergeCell ref="C927:C928"/>
    <mergeCell ref="D927:D928"/>
    <mergeCell ref="E927:E928"/>
    <mergeCell ref="L939:L940"/>
    <mergeCell ref="M939:M940"/>
    <mergeCell ref="N939:N940"/>
    <mergeCell ref="B941:B942"/>
    <mergeCell ref="C941:C942"/>
    <mergeCell ref="D941:D942"/>
    <mergeCell ref="E941:E942"/>
    <mergeCell ref="G941:G942"/>
    <mergeCell ref="H941:H942"/>
    <mergeCell ref="I941:I942"/>
    <mergeCell ref="J941:J942"/>
    <mergeCell ref="K941:K942"/>
    <mergeCell ref="L941:L942"/>
    <mergeCell ref="M941:M942"/>
    <mergeCell ref="N941:N942"/>
    <mergeCell ref="G939:G940"/>
    <mergeCell ref="H939:H940"/>
    <mergeCell ref="I939:I940"/>
    <mergeCell ref="J939:J940"/>
    <mergeCell ref="K939:K940"/>
    <mergeCell ref="B939:B940"/>
    <mergeCell ref="C939:C940"/>
    <mergeCell ref="D939:D940"/>
    <mergeCell ref="E939:E940"/>
    <mergeCell ref="L935:L936"/>
    <mergeCell ref="M935:M936"/>
    <mergeCell ref="N935:N936"/>
    <mergeCell ref="B937:B938"/>
    <mergeCell ref="C937:C938"/>
    <mergeCell ref="D937:D938"/>
    <mergeCell ref="E937:E938"/>
    <mergeCell ref="G937:G938"/>
    <mergeCell ref="H937:H938"/>
    <mergeCell ref="I937:I938"/>
    <mergeCell ref="J937:J938"/>
    <mergeCell ref="K937:K938"/>
    <mergeCell ref="L937:L938"/>
    <mergeCell ref="M937:M938"/>
    <mergeCell ref="N937:N938"/>
    <mergeCell ref="G935:G936"/>
    <mergeCell ref="H935:H936"/>
    <mergeCell ref="I935:I936"/>
    <mergeCell ref="J935:J936"/>
    <mergeCell ref="K935:K936"/>
    <mergeCell ref="B935:B936"/>
    <mergeCell ref="C935:C936"/>
    <mergeCell ref="D935:D936"/>
    <mergeCell ref="E935:E936"/>
    <mergeCell ref="L947:L948"/>
    <mergeCell ref="M947:M948"/>
    <mergeCell ref="N947:N948"/>
    <mergeCell ref="B949:B950"/>
    <mergeCell ref="C949:C950"/>
    <mergeCell ref="D949:D950"/>
    <mergeCell ref="E949:E950"/>
    <mergeCell ref="G949:G950"/>
    <mergeCell ref="H949:H950"/>
    <mergeCell ref="I949:I950"/>
    <mergeCell ref="J949:J950"/>
    <mergeCell ref="K949:K950"/>
    <mergeCell ref="L949:L950"/>
    <mergeCell ref="M949:M950"/>
    <mergeCell ref="N949:N950"/>
    <mergeCell ref="G947:G948"/>
    <mergeCell ref="H947:H948"/>
    <mergeCell ref="I947:I948"/>
    <mergeCell ref="J947:J948"/>
    <mergeCell ref="K947:K948"/>
    <mergeCell ref="B947:B948"/>
    <mergeCell ref="C947:C948"/>
    <mergeCell ref="D947:D948"/>
    <mergeCell ref="E947:E948"/>
    <mergeCell ref="L943:L944"/>
    <mergeCell ref="M943:M944"/>
    <mergeCell ref="N943:N944"/>
    <mergeCell ref="B945:B946"/>
    <mergeCell ref="C945:C946"/>
    <mergeCell ref="D945:D946"/>
    <mergeCell ref="E945:E946"/>
    <mergeCell ref="G945:G946"/>
    <mergeCell ref="H945:H946"/>
    <mergeCell ref="I945:I946"/>
    <mergeCell ref="J945:J946"/>
    <mergeCell ref="K945:K946"/>
    <mergeCell ref="L945:L946"/>
    <mergeCell ref="M945:M946"/>
    <mergeCell ref="N945:N946"/>
    <mergeCell ref="G943:G944"/>
    <mergeCell ref="H943:H944"/>
    <mergeCell ref="I943:I944"/>
    <mergeCell ref="J943:J944"/>
    <mergeCell ref="K943:K944"/>
    <mergeCell ref="B943:B944"/>
    <mergeCell ref="C943:C944"/>
    <mergeCell ref="D943:D944"/>
    <mergeCell ref="E943:E944"/>
    <mergeCell ref="L955:L956"/>
    <mergeCell ref="M955:M956"/>
    <mergeCell ref="N955:N956"/>
    <mergeCell ref="B957:B958"/>
    <mergeCell ref="C957:C958"/>
    <mergeCell ref="D957:D958"/>
    <mergeCell ref="E957:E958"/>
    <mergeCell ref="G957:G958"/>
    <mergeCell ref="H957:H958"/>
    <mergeCell ref="I957:I958"/>
    <mergeCell ref="J957:J958"/>
    <mergeCell ref="K957:K958"/>
    <mergeCell ref="L957:L958"/>
    <mergeCell ref="M957:M958"/>
    <mergeCell ref="N957:N958"/>
    <mergeCell ref="G955:G956"/>
    <mergeCell ref="H955:H956"/>
    <mergeCell ref="I955:I956"/>
    <mergeCell ref="J955:J956"/>
    <mergeCell ref="K955:K956"/>
    <mergeCell ref="B955:B956"/>
    <mergeCell ref="C955:C956"/>
    <mergeCell ref="D955:D956"/>
    <mergeCell ref="E955:E956"/>
    <mergeCell ref="L951:L952"/>
    <mergeCell ref="M951:M952"/>
    <mergeCell ref="N951:N952"/>
    <mergeCell ref="B953:B954"/>
    <mergeCell ref="C953:C954"/>
    <mergeCell ref="D953:D954"/>
    <mergeCell ref="E953:E954"/>
    <mergeCell ref="G953:G954"/>
    <mergeCell ref="H953:H954"/>
    <mergeCell ref="I953:I954"/>
    <mergeCell ref="J953:J954"/>
    <mergeCell ref="K953:K954"/>
    <mergeCell ref="L953:L954"/>
    <mergeCell ref="M953:M954"/>
    <mergeCell ref="N953:N954"/>
    <mergeCell ref="G951:G952"/>
    <mergeCell ref="H951:H952"/>
    <mergeCell ref="I951:I952"/>
    <mergeCell ref="J951:J952"/>
    <mergeCell ref="K951:K952"/>
    <mergeCell ref="B951:B952"/>
    <mergeCell ref="C951:C952"/>
    <mergeCell ref="D951:D952"/>
    <mergeCell ref="E951:E952"/>
    <mergeCell ref="L963:L964"/>
    <mergeCell ref="M963:M964"/>
    <mergeCell ref="N963:N964"/>
    <mergeCell ref="B965:B966"/>
    <mergeCell ref="C965:C966"/>
    <mergeCell ref="D965:D966"/>
    <mergeCell ref="E965:E966"/>
    <mergeCell ref="G965:G966"/>
    <mergeCell ref="H965:H966"/>
    <mergeCell ref="I965:I966"/>
    <mergeCell ref="J965:J966"/>
    <mergeCell ref="K965:K966"/>
    <mergeCell ref="L965:L966"/>
    <mergeCell ref="M965:M966"/>
    <mergeCell ref="N965:N966"/>
    <mergeCell ref="G963:G964"/>
    <mergeCell ref="H963:H964"/>
    <mergeCell ref="I963:I964"/>
    <mergeCell ref="J963:J964"/>
    <mergeCell ref="K963:K964"/>
    <mergeCell ref="B963:B964"/>
    <mergeCell ref="C963:C964"/>
    <mergeCell ref="D963:D964"/>
    <mergeCell ref="E963:E964"/>
    <mergeCell ref="L959:L960"/>
    <mergeCell ref="M959:M960"/>
    <mergeCell ref="N959:N960"/>
    <mergeCell ref="B961:B962"/>
    <mergeCell ref="C961:C962"/>
    <mergeCell ref="D961:D962"/>
    <mergeCell ref="E961:E962"/>
    <mergeCell ref="G961:G962"/>
    <mergeCell ref="H961:H962"/>
    <mergeCell ref="I961:I962"/>
    <mergeCell ref="J961:J962"/>
    <mergeCell ref="K961:K962"/>
    <mergeCell ref="L961:L962"/>
    <mergeCell ref="M961:M962"/>
    <mergeCell ref="N961:N962"/>
    <mergeCell ref="G959:G960"/>
    <mergeCell ref="H959:H960"/>
    <mergeCell ref="I959:I960"/>
    <mergeCell ref="J959:J960"/>
    <mergeCell ref="K959:K960"/>
    <mergeCell ref="B959:B960"/>
    <mergeCell ref="C959:C960"/>
    <mergeCell ref="D959:D960"/>
    <mergeCell ref="E959:E960"/>
    <mergeCell ref="L971:L972"/>
    <mergeCell ref="M971:M972"/>
    <mergeCell ref="N971:N972"/>
    <mergeCell ref="B973:B974"/>
    <mergeCell ref="C973:C974"/>
    <mergeCell ref="D973:D974"/>
    <mergeCell ref="E973:E974"/>
    <mergeCell ref="G973:G974"/>
    <mergeCell ref="H973:H974"/>
    <mergeCell ref="I973:I974"/>
    <mergeCell ref="J973:J974"/>
    <mergeCell ref="K973:K974"/>
    <mergeCell ref="L973:L974"/>
    <mergeCell ref="M973:M974"/>
    <mergeCell ref="N973:N974"/>
    <mergeCell ref="G971:G972"/>
    <mergeCell ref="H971:H972"/>
    <mergeCell ref="I971:I972"/>
    <mergeCell ref="J971:J972"/>
    <mergeCell ref="K971:K972"/>
    <mergeCell ref="B971:B972"/>
    <mergeCell ref="C971:C972"/>
    <mergeCell ref="D971:D972"/>
    <mergeCell ref="E971:E972"/>
    <mergeCell ref="L967:L968"/>
    <mergeCell ref="M967:M968"/>
    <mergeCell ref="N967:N968"/>
    <mergeCell ref="B969:B970"/>
    <mergeCell ref="C969:C970"/>
    <mergeCell ref="D969:D970"/>
    <mergeCell ref="E969:E970"/>
    <mergeCell ref="G969:G970"/>
    <mergeCell ref="H969:H970"/>
    <mergeCell ref="I969:I970"/>
    <mergeCell ref="J969:J970"/>
    <mergeCell ref="K969:K970"/>
    <mergeCell ref="L969:L970"/>
    <mergeCell ref="M969:M970"/>
    <mergeCell ref="N969:N970"/>
    <mergeCell ref="G967:G968"/>
    <mergeCell ref="H967:H968"/>
    <mergeCell ref="I967:I968"/>
    <mergeCell ref="J967:J968"/>
    <mergeCell ref="K967:K968"/>
    <mergeCell ref="B967:B968"/>
    <mergeCell ref="C967:C968"/>
    <mergeCell ref="D967:D968"/>
    <mergeCell ref="E967:E968"/>
    <mergeCell ref="L979:L980"/>
    <mergeCell ref="M979:M980"/>
    <mergeCell ref="N979:N980"/>
    <mergeCell ref="B981:B982"/>
    <mergeCell ref="C981:C982"/>
    <mergeCell ref="D981:D982"/>
    <mergeCell ref="E981:E982"/>
    <mergeCell ref="G981:G982"/>
    <mergeCell ref="H981:H982"/>
    <mergeCell ref="I981:I982"/>
    <mergeCell ref="J981:J982"/>
    <mergeCell ref="K981:K982"/>
    <mergeCell ref="L981:L982"/>
    <mergeCell ref="M981:M982"/>
    <mergeCell ref="N981:N982"/>
    <mergeCell ref="G979:G980"/>
    <mergeCell ref="H979:H980"/>
    <mergeCell ref="I979:I980"/>
    <mergeCell ref="J979:J980"/>
    <mergeCell ref="K979:K980"/>
    <mergeCell ref="B979:B980"/>
    <mergeCell ref="C979:C980"/>
    <mergeCell ref="D979:D980"/>
    <mergeCell ref="E979:E980"/>
    <mergeCell ref="L975:L976"/>
    <mergeCell ref="M975:M976"/>
    <mergeCell ref="N975:N976"/>
    <mergeCell ref="B977:B978"/>
    <mergeCell ref="C977:C978"/>
    <mergeCell ref="D977:D978"/>
    <mergeCell ref="E977:E978"/>
    <mergeCell ref="G977:G978"/>
    <mergeCell ref="H977:H978"/>
    <mergeCell ref="I977:I978"/>
    <mergeCell ref="J977:J978"/>
    <mergeCell ref="K977:K978"/>
    <mergeCell ref="L977:L978"/>
    <mergeCell ref="M977:M978"/>
    <mergeCell ref="N977:N978"/>
    <mergeCell ref="G975:G976"/>
    <mergeCell ref="H975:H976"/>
    <mergeCell ref="I975:I976"/>
    <mergeCell ref="J975:J976"/>
    <mergeCell ref="K975:K976"/>
    <mergeCell ref="B975:B976"/>
    <mergeCell ref="C975:C976"/>
    <mergeCell ref="D975:D976"/>
    <mergeCell ref="E975:E976"/>
    <mergeCell ref="L987:L988"/>
    <mergeCell ref="M987:M988"/>
    <mergeCell ref="N987:N988"/>
    <mergeCell ref="B989:B990"/>
    <mergeCell ref="C989:C990"/>
    <mergeCell ref="D989:D990"/>
    <mergeCell ref="E989:E990"/>
    <mergeCell ref="G989:G990"/>
    <mergeCell ref="H989:H990"/>
    <mergeCell ref="I989:I990"/>
    <mergeCell ref="J989:J990"/>
    <mergeCell ref="K989:K990"/>
    <mergeCell ref="L989:L990"/>
    <mergeCell ref="M989:M990"/>
    <mergeCell ref="N989:N990"/>
    <mergeCell ref="G987:G988"/>
    <mergeCell ref="H987:H988"/>
    <mergeCell ref="I987:I988"/>
    <mergeCell ref="J987:J988"/>
    <mergeCell ref="K987:K988"/>
    <mergeCell ref="B987:B988"/>
    <mergeCell ref="C987:C988"/>
    <mergeCell ref="D987:D988"/>
    <mergeCell ref="E987:E988"/>
    <mergeCell ref="L983:L984"/>
    <mergeCell ref="M983:M984"/>
    <mergeCell ref="N983:N984"/>
    <mergeCell ref="B985:B986"/>
    <mergeCell ref="C985:C986"/>
    <mergeCell ref="D985:D986"/>
    <mergeCell ref="E985:E986"/>
    <mergeCell ref="G985:G986"/>
    <mergeCell ref="H985:H986"/>
    <mergeCell ref="I985:I986"/>
    <mergeCell ref="J985:J986"/>
    <mergeCell ref="K985:K986"/>
    <mergeCell ref="L985:L986"/>
    <mergeCell ref="M985:M986"/>
    <mergeCell ref="N985:N986"/>
    <mergeCell ref="G983:G984"/>
    <mergeCell ref="H983:H984"/>
    <mergeCell ref="I983:I984"/>
    <mergeCell ref="J983:J984"/>
    <mergeCell ref="K983:K984"/>
    <mergeCell ref="B983:B984"/>
    <mergeCell ref="C983:C984"/>
    <mergeCell ref="D983:D984"/>
    <mergeCell ref="E983:E984"/>
    <mergeCell ref="L995:L996"/>
    <mergeCell ref="M995:M996"/>
    <mergeCell ref="N995:N996"/>
    <mergeCell ref="B997:B998"/>
    <mergeCell ref="C997:C998"/>
    <mergeCell ref="D997:D998"/>
    <mergeCell ref="E997:E998"/>
    <mergeCell ref="G997:G998"/>
    <mergeCell ref="H997:H998"/>
    <mergeCell ref="I997:I998"/>
    <mergeCell ref="J997:J998"/>
    <mergeCell ref="K997:K998"/>
    <mergeCell ref="L997:L998"/>
    <mergeCell ref="M997:M998"/>
    <mergeCell ref="N997:N998"/>
    <mergeCell ref="G995:G996"/>
    <mergeCell ref="H995:H996"/>
    <mergeCell ref="I995:I996"/>
    <mergeCell ref="J995:J996"/>
    <mergeCell ref="K995:K996"/>
    <mergeCell ref="B995:B996"/>
    <mergeCell ref="C995:C996"/>
    <mergeCell ref="D995:D996"/>
    <mergeCell ref="E995:E996"/>
    <mergeCell ref="L991:L992"/>
    <mergeCell ref="M991:M992"/>
    <mergeCell ref="N991:N992"/>
    <mergeCell ref="B993:B994"/>
    <mergeCell ref="C993:C994"/>
    <mergeCell ref="D993:D994"/>
    <mergeCell ref="E993:E994"/>
    <mergeCell ref="G993:G994"/>
    <mergeCell ref="H993:H994"/>
    <mergeCell ref="I993:I994"/>
    <mergeCell ref="J993:J994"/>
    <mergeCell ref="K993:K994"/>
    <mergeCell ref="L993:L994"/>
    <mergeCell ref="M993:M994"/>
    <mergeCell ref="N993:N994"/>
    <mergeCell ref="G991:G992"/>
    <mergeCell ref="H991:H992"/>
    <mergeCell ref="I991:I992"/>
    <mergeCell ref="J991:J992"/>
    <mergeCell ref="K991:K992"/>
    <mergeCell ref="B991:B992"/>
    <mergeCell ref="C991:C992"/>
    <mergeCell ref="D991:D992"/>
    <mergeCell ref="E991:E992"/>
    <mergeCell ref="L1003:L1004"/>
    <mergeCell ref="M1003:M1004"/>
    <mergeCell ref="N1003:N1004"/>
    <mergeCell ref="B1005:B1006"/>
    <mergeCell ref="C1005:C1006"/>
    <mergeCell ref="D1005:D1006"/>
    <mergeCell ref="E1005:E1006"/>
    <mergeCell ref="G1005:G1006"/>
    <mergeCell ref="H1005:H1006"/>
    <mergeCell ref="I1005:I1006"/>
    <mergeCell ref="J1005:J1006"/>
    <mergeCell ref="K1005:K1006"/>
    <mergeCell ref="L1005:L1006"/>
    <mergeCell ref="M1005:M1006"/>
    <mergeCell ref="N1005:N1006"/>
    <mergeCell ref="G1003:G1004"/>
    <mergeCell ref="H1003:H1004"/>
    <mergeCell ref="I1003:I1004"/>
    <mergeCell ref="J1003:J1004"/>
    <mergeCell ref="K1003:K1004"/>
    <mergeCell ref="B1003:B1004"/>
    <mergeCell ref="C1003:C1004"/>
    <mergeCell ref="D1003:D1004"/>
    <mergeCell ref="E1003:E1004"/>
    <mergeCell ref="L999:L1000"/>
    <mergeCell ref="M999:M1000"/>
    <mergeCell ref="N999:N1000"/>
    <mergeCell ref="B1001:B1002"/>
    <mergeCell ref="C1001:C1002"/>
    <mergeCell ref="D1001:D1002"/>
    <mergeCell ref="E1001:E1002"/>
    <mergeCell ref="G1001:G1002"/>
    <mergeCell ref="H1001:H1002"/>
    <mergeCell ref="I1001:I1002"/>
    <mergeCell ref="J1001:J1002"/>
    <mergeCell ref="K1001:K1002"/>
    <mergeCell ref="L1001:L1002"/>
    <mergeCell ref="M1001:M1002"/>
    <mergeCell ref="N1001:N1002"/>
    <mergeCell ref="G999:G1000"/>
    <mergeCell ref="H999:H1000"/>
    <mergeCell ref="I999:I1000"/>
    <mergeCell ref="J999:J1000"/>
    <mergeCell ref="K999:K1000"/>
    <mergeCell ref="B999:B1000"/>
    <mergeCell ref="C999:C1000"/>
    <mergeCell ref="D999:D1000"/>
    <mergeCell ref="E999:E1000"/>
    <mergeCell ref="L1011:L1012"/>
    <mergeCell ref="M1011:M1012"/>
    <mergeCell ref="N1011:N1012"/>
    <mergeCell ref="B1013:B1014"/>
    <mergeCell ref="C1013:C1014"/>
    <mergeCell ref="D1013:D1014"/>
    <mergeCell ref="E1013:E1014"/>
    <mergeCell ref="G1013:G1014"/>
    <mergeCell ref="H1013:H1014"/>
    <mergeCell ref="I1013:I1014"/>
    <mergeCell ref="J1013:J1014"/>
    <mergeCell ref="K1013:K1014"/>
    <mergeCell ref="L1013:L1014"/>
    <mergeCell ref="M1013:M1014"/>
    <mergeCell ref="N1013:N1014"/>
    <mergeCell ref="G1011:G1012"/>
    <mergeCell ref="H1011:H1012"/>
    <mergeCell ref="I1011:I1012"/>
    <mergeCell ref="J1011:J1012"/>
    <mergeCell ref="K1011:K1012"/>
    <mergeCell ref="B1011:B1012"/>
    <mergeCell ref="C1011:C1012"/>
    <mergeCell ref="D1011:D1012"/>
    <mergeCell ref="E1011:E1012"/>
    <mergeCell ref="L1007:L1008"/>
    <mergeCell ref="M1007:M1008"/>
    <mergeCell ref="N1007:N1008"/>
    <mergeCell ref="B1009:B1010"/>
    <mergeCell ref="C1009:C1010"/>
    <mergeCell ref="D1009:D1010"/>
    <mergeCell ref="E1009:E1010"/>
    <mergeCell ref="G1009:G1010"/>
    <mergeCell ref="H1009:H1010"/>
    <mergeCell ref="I1009:I1010"/>
    <mergeCell ref="J1009:J1010"/>
    <mergeCell ref="K1009:K1010"/>
    <mergeCell ref="L1009:L1010"/>
    <mergeCell ref="M1009:M1010"/>
    <mergeCell ref="N1009:N1010"/>
    <mergeCell ref="G1007:G1008"/>
    <mergeCell ref="H1007:H1008"/>
    <mergeCell ref="I1007:I1008"/>
    <mergeCell ref="J1007:J1008"/>
    <mergeCell ref="K1007:K1008"/>
    <mergeCell ref="B1007:B1008"/>
    <mergeCell ref="C1007:C1008"/>
    <mergeCell ref="D1007:D1008"/>
    <mergeCell ref="E1007:E1008"/>
    <mergeCell ref="L1019:L1020"/>
    <mergeCell ref="M1019:M1020"/>
    <mergeCell ref="N1019:N1020"/>
    <mergeCell ref="B1021:B1022"/>
    <mergeCell ref="C1021:C1022"/>
    <mergeCell ref="D1021:D1022"/>
    <mergeCell ref="E1021:E1022"/>
    <mergeCell ref="G1021:G1022"/>
    <mergeCell ref="H1021:H1022"/>
    <mergeCell ref="I1021:I1022"/>
    <mergeCell ref="J1021:J1022"/>
    <mergeCell ref="K1021:K1022"/>
    <mergeCell ref="L1021:L1022"/>
    <mergeCell ref="M1021:M1022"/>
    <mergeCell ref="N1021:N1022"/>
    <mergeCell ref="G1019:G1020"/>
    <mergeCell ref="H1019:H1020"/>
    <mergeCell ref="I1019:I1020"/>
    <mergeCell ref="J1019:J1020"/>
    <mergeCell ref="K1019:K1020"/>
    <mergeCell ref="B1019:B1020"/>
    <mergeCell ref="C1019:C1020"/>
    <mergeCell ref="D1019:D1020"/>
    <mergeCell ref="E1019:E1020"/>
    <mergeCell ref="L1015:L1016"/>
    <mergeCell ref="M1015:M1016"/>
    <mergeCell ref="N1015:N1016"/>
    <mergeCell ref="B1017:B1018"/>
    <mergeCell ref="C1017:C1018"/>
    <mergeCell ref="D1017:D1018"/>
    <mergeCell ref="E1017:E1018"/>
    <mergeCell ref="G1017:G1018"/>
    <mergeCell ref="H1017:H1018"/>
    <mergeCell ref="I1017:I1018"/>
    <mergeCell ref="J1017:J1018"/>
    <mergeCell ref="K1017:K1018"/>
    <mergeCell ref="L1017:L1018"/>
    <mergeCell ref="M1017:M1018"/>
    <mergeCell ref="N1017:N1018"/>
    <mergeCell ref="G1015:G1016"/>
    <mergeCell ref="H1015:H1016"/>
    <mergeCell ref="I1015:I1016"/>
    <mergeCell ref="J1015:J1016"/>
    <mergeCell ref="K1015:K1016"/>
    <mergeCell ref="B1015:B1016"/>
    <mergeCell ref="C1015:C1016"/>
    <mergeCell ref="D1015:D1016"/>
    <mergeCell ref="E1015:E1016"/>
    <mergeCell ref="L1027:L1028"/>
    <mergeCell ref="M1027:M1028"/>
    <mergeCell ref="N1027:N1028"/>
    <mergeCell ref="B1029:B1030"/>
    <mergeCell ref="C1029:C1030"/>
    <mergeCell ref="D1029:D1030"/>
    <mergeCell ref="E1029:E1030"/>
    <mergeCell ref="G1029:G1030"/>
    <mergeCell ref="H1029:H1030"/>
    <mergeCell ref="I1029:I1030"/>
    <mergeCell ref="J1029:J1030"/>
    <mergeCell ref="K1029:K1030"/>
    <mergeCell ref="L1029:L1030"/>
    <mergeCell ref="M1029:M1030"/>
    <mergeCell ref="N1029:N1030"/>
    <mergeCell ref="G1027:G1028"/>
    <mergeCell ref="H1027:H1028"/>
    <mergeCell ref="I1027:I1028"/>
    <mergeCell ref="J1027:J1028"/>
    <mergeCell ref="K1027:K1028"/>
    <mergeCell ref="B1027:B1028"/>
    <mergeCell ref="C1027:C1028"/>
    <mergeCell ref="D1027:D1028"/>
    <mergeCell ref="E1027:E1028"/>
    <mergeCell ref="L1023:L1024"/>
    <mergeCell ref="M1023:M1024"/>
    <mergeCell ref="N1023:N1024"/>
    <mergeCell ref="B1025:B1026"/>
    <mergeCell ref="C1025:C1026"/>
    <mergeCell ref="D1025:D1026"/>
    <mergeCell ref="E1025:E1026"/>
    <mergeCell ref="G1025:G1026"/>
    <mergeCell ref="H1025:H1026"/>
    <mergeCell ref="I1025:I1026"/>
    <mergeCell ref="J1025:J1026"/>
    <mergeCell ref="K1025:K1026"/>
    <mergeCell ref="L1025:L1026"/>
    <mergeCell ref="M1025:M1026"/>
    <mergeCell ref="N1025:N1026"/>
    <mergeCell ref="G1023:G1024"/>
    <mergeCell ref="H1023:H1024"/>
    <mergeCell ref="I1023:I1024"/>
    <mergeCell ref="J1023:J1024"/>
    <mergeCell ref="K1023:K1024"/>
    <mergeCell ref="B1023:B1024"/>
    <mergeCell ref="C1023:C1024"/>
    <mergeCell ref="D1023:D1024"/>
    <mergeCell ref="E1023:E1024"/>
    <mergeCell ref="L1035:L1036"/>
    <mergeCell ref="M1035:M1036"/>
    <mergeCell ref="N1035:N1036"/>
    <mergeCell ref="B1037:B1038"/>
    <mergeCell ref="C1037:C1038"/>
    <mergeCell ref="D1037:D1038"/>
    <mergeCell ref="E1037:E1038"/>
    <mergeCell ref="G1037:G1038"/>
    <mergeCell ref="H1037:H1038"/>
    <mergeCell ref="I1037:I1038"/>
    <mergeCell ref="J1037:J1038"/>
    <mergeCell ref="K1037:K1038"/>
    <mergeCell ref="L1037:L1038"/>
    <mergeCell ref="M1037:M1038"/>
    <mergeCell ref="N1037:N1038"/>
    <mergeCell ref="G1035:G1036"/>
    <mergeCell ref="H1035:H1036"/>
    <mergeCell ref="I1035:I1036"/>
    <mergeCell ref="J1035:J1036"/>
    <mergeCell ref="K1035:K1036"/>
    <mergeCell ref="B1035:B1036"/>
    <mergeCell ref="C1035:C1036"/>
    <mergeCell ref="D1035:D1036"/>
    <mergeCell ref="E1035:E1036"/>
    <mergeCell ref="L1031:L1032"/>
    <mergeCell ref="M1031:M1032"/>
    <mergeCell ref="N1031:N1032"/>
    <mergeCell ref="B1033:B1034"/>
    <mergeCell ref="C1033:C1034"/>
    <mergeCell ref="D1033:D1034"/>
    <mergeCell ref="E1033:E1034"/>
    <mergeCell ref="G1033:G1034"/>
    <mergeCell ref="H1033:H1034"/>
    <mergeCell ref="I1033:I1034"/>
    <mergeCell ref="J1033:J1034"/>
    <mergeCell ref="K1033:K1034"/>
    <mergeCell ref="L1033:L1034"/>
    <mergeCell ref="M1033:M1034"/>
    <mergeCell ref="N1033:N1034"/>
    <mergeCell ref="G1031:G1032"/>
    <mergeCell ref="H1031:H1032"/>
    <mergeCell ref="I1031:I1032"/>
    <mergeCell ref="J1031:J1032"/>
    <mergeCell ref="K1031:K1032"/>
    <mergeCell ref="B1031:B1032"/>
    <mergeCell ref="C1031:C1032"/>
    <mergeCell ref="D1031:D1032"/>
    <mergeCell ref="E1031:E1032"/>
    <mergeCell ref="L1043:L1044"/>
    <mergeCell ref="M1043:M1044"/>
    <mergeCell ref="N1043:N1044"/>
    <mergeCell ref="B1045:B1046"/>
    <mergeCell ref="C1045:C1046"/>
    <mergeCell ref="D1045:D1046"/>
    <mergeCell ref="E1045:E1046"/>
    <mergeCell ref="G1045:G1046"/>
    <mergeCell ref="H1045:H1046"/>
    <mergeCell ref="I1045:I1046"/>
    <mergeCell ref="J1045:J1046"/>
    <mergeCell ref="K1045:K1046"/>
    <mergeCell ref="L1045:L1046"/>
    <mergeCell ref="M1045:M1046"/>
    <mergeCell ref="N1045:N1046"/>
    <mergeCell ref="G1043:G1044"/>
    <mergeCell ref="H1043:H1044"/>
    <mergeCell ref="I1043:I1044"/>
    <mergeCell ref="J1043:J1044"/>
    <mergeCell ref="K1043:K1044"/>
    <mergeCell ref="B1043:B1044"/>
    <mergeCell ref="C1043:C1044"/>
    <mergeCell ref="D1043:D1044"/>
    <mergeCell ref="E1043:E1044"/>
    <mergeCell ref="L1039:L1040"/>
    <mergeCell ref="M1039:M1040"/>
    <mergeCell ref="N1039:N1040"/>
    <mergeCell ref="B1041:B1042"/>
    <mergeCell ref="C1041:C1042"/>
    <mergeCell ref="D1041:D1042"/>
    <mergeCell ref="E1041:E1042"/>
    <mergeCell ref="G1041:G1042"/>
    <mergeCell ref="H1041:H1042"/>
    <mergeCell ref="I1041:I1042"/>
    <mergeCell ref="J1041:J1042"/>
    <mergeCell ref="K1041:K1042"/>
    <mergeCell ref="L1041:L1042"/>
    <mergeCell ref="M1041:M1042"/>
    <mergeCell ref="N1041:N1042"/>
    <mergeCell ref="G1039:G1040"/>
    <mergeCell ref="H1039:H1040"/>
    <mergeCell ref="I1039:I1040"/>
    <mergeCell ref="J1039:J1040"/>
    <mergeCell ref="K1039:K1040"/>
    <mergeCell ref="B1039:B1040"/>
    <mergeCell ref="C1039:C1040"/>
    <mergeCell ref="D1039:D1040"/>
    <mergeCell ref="E1039:E1040"/>
    <mergeCell ref="L1051:L1052"/>
    <mergeCell ref="M1051:M1052"/>
    <mergeCell ref="N1051:N1052"/>
    <mergeCell ref="B1053:B1054"/>
    <mergeCell ref="C1053:C1054"/>
    <mergeCell ref="D1053:D1054"/>
    <mergeCell ref="E1053:E1054"/>
    <mergeCell ref="G1053:G1054"/>
    <mergeCell ref="H1053:H1054"/>
    <mergeCell ref="I1053:I1054"/>
    <mergeCell ref="J1053:J1054"/>
    <mergeCell ref="K1053:K1054"/>
    <mergeCell ref="L1053:L1054"/>
    <mergeCell ref="M1053:M1054"/>
    <mergeCell ref="N1053:N1054"/>
    <mergeCell ref="G1051:G1052"/>
    <mergeCell ref="H1051:H1052"/>
    <mergeCell ref="I1051:I1052"/>
    <mergeCell ref="J1051:J1052"/>
    <mergeCell ref="K1051:K1052"/>
    <mergeCell ref="B1051:B1052"/>
    <mergeCell ref="C1051:C1052"/>
    <mergeCell ref="D1051:D1052"/>
    <mergeCell ref="E1051:E1052"/>
    <mergeCell ref="L1047:L1048"/>
    <mergeCell ref="M1047:M1048"/>
    <mergeCell ref="N1047:N1048"/>
    <mergeCell ref="B1049:B1050"/>
    <mergeCell ref="C1049:C1050"/>
    <mergeCell ref="D1049:D1050"/>
    <mergeCell ref="E1049:E1050"/>
    <mergeCell ref="G1049:G1050"/>
    <mergeCell ref="H1049:H1050"/>
    <mergeCell ref="I1049:I1050"/>
    <mergeCell ref="J1049:J1050"/>
    <mergeCell ref="K1049:K1050"/>
    <mergeCell ref="L1049:L1050"/>
    <mergeCell ref="M1049:M1050"/>
    <mergeCell ref="N1049:N1050"/>
    <mergeCell ref="G1047:G1048"/>
    <mergeCell ref="H1047:H1048"/>
    <mergeCell ref="I1047:I1048"/>
    <mergeCell ref="J1047:J1048"/>
    <mergeCell ref="K1047:K1048"/>
    <mergeCell ref="B1047:B1048"/>
    <mergeCell ref="C1047:C1048"/>
    <mergeCell ref="D1047:D1048"/>
    <mergeCell ref="E1047:E1048"/>
    <mergeCell ref="L1059:L1060"/>
    <mergeCell ref="M1059:M1060"/>
    <mergeCell ref="N1059:N1060"/>
    <mergeCell ref="B1061:B1062"/>
    <mergeCell ref="C1061:C1062"/>
    <mergeCell ref="D1061:D1062"/>
    <mergeCell ref="E1061:E1062"/>
    <mergeCell ref="G1061:G1062"/>
    <mergeCell ref="H1061:H1062"/>
    <mergeCell ref="I1061:I1062"/>
    <mergeCell ref="J1061:J1062"/>
    <mergeCell ref="K1061:K1062"/>
    <mergeCell ref="L1061:L1062"/>
    <mergeCell ref="M1061:M1062"/>
    <mergeCell ref="N1061:N1062"/>
    <mergeCell ref="G1059:G1060"/>
    <mergeCell ref="H1059:H1060"/>
    <mergeCell ref="I1059:I1060"/>
    <mergeCell ref="J1059:J1060"/>
    <mergeCell ref="K1059:K1060"/>
    <mergeCell ref="B1059:B1060"/>
    <mergeCell ref="C1059:C1060"/>
    <mergeCell ref="D1059:D1060"/>
    <mergeCell ref="E1059:E1060"/>
    <mergeCell ref="L1055:L1056"/>
    <mergeCell ref="M1055:M1056"/>
    <mergeCell ref="N1055:N1056"/>
    <mergeCell ref="B1057:B1058"/>
    <mergeCell ref="C1057:C1058"/>
    <mergeCell ref="D1057:D1058"/>
    <mergeCell ref="E1057:E1058"/>
    <mergeCell ref="G1057:G1058"/>
    <mergeCell ref="H1057:H1058"/>
    <mergeCell ref="I1057:I1058"/>
    <mergeCell ref="J1057:J1058"/>
    <mergeCell ref="K1057:K1058"/>
    <mergeCell ref="L1057:L1058"/>
    <mergeCell ref="M1057:M1058"/>
    <mergeCell ref="N1057:N1058"/>
    <mergeCell ref="G1055:G1056"/>
    <mergeCell ref="H1055:H1056"/>
    <mergeCell ref="I1055:I1056"/>
    <mergeCell ref="J1055:J1056"/>
    <mergeCell ref="K1055:K1056"/>
    <mergeCell ref="B1055:B1056"/>
    <mergeCell ref="C1055:C1056"/>
    <mergeCell ref="D1055:D1056"/>
    <mergeCell ref="E1055:E1056"/>
    <mergeCell ref="L1067:L1068"/>
    <mergeCell ref="M1067:M1068"/>
    <mergeCell ref="N1067:N1068"/>
    <mergeCell ref="B1069:B1070"/>
    <mergeCell ref="C1069:C1070"/>
    <mergeCell ref="D1069:D1070"/>
    <mergeCell ref="E1069:E1070"/>
    <mergeCell ref="G1069:G1070"/>
    <mergeCell ref="H1069:H1070"/>
    <mergeCell ref="I1069:I1070"/>
    <mergeCell ref="J1069:J1070"/>
    <mergeCell ref="K1069:K1070"/>
    <mergeCell ref="L1069:L1070"/>
    <mergeCell ref="M1069:M1070"/>
    <mergeCell ref="N1069:N1070"/>
    <mergeCell ref="G1067:G1068"/>
    <mergeCell ref="H1067:H1068"/>
    <mergeCell ref="I1067:I1068"/>
    <mergeCell ref="J1067:J1068"/>
    <mergeCell ref="K1067:K1068"/>
    <mergeCell ref="B1067:B1068"/>
    <mergeCell ref="C1067:C1068"/>
    <mergeCell ref="D1067:D1068"/>
    <mergeCell ref="E1067:E1068"/>
    <mergeCell ref="L1063:L1064"/>
    <mergeCell ref="M1063:M1064"/>
    <mergeCell ref="N1063:N1064"/>
    <mergeCell ref="B1065:B1066"/>
    <mergeCell ref="C1065:C1066"/>
    <mergeCell ref="D1065:D1066"/>
    <mergeCell ref="E1065:E1066"/>
    <mergeCell ref="G1065:G1066"/>
    <mergeCell ref="H1065:H1066"/>
    <mergeCell ref="I1065:I1066"/>
    <mergeCell ref="J1065:J1066"/>
    <mergeCell ref="K1065:K1066"/>
    <mergeCell ref="L1065:L1066"/>
    <mergeCell ref="M1065:M1066"/>
    <mergeCell ref="N1065:N1066"/>
    <mergeCell ref="G1063:G1064"/>
    <mergeCell ref="H1063:H1064"/>
    <mergeCell ref="I1063:I1064"/>
    <mergeCell ref="J1063:J1064"/>
    <mergeCell ref="K1063:K1064"/>
    <mergeCell ref="B1063:B1064"/>
    <mergeCell ref="C1063:C1064"/>
    <mergeCell ref="D1063:D1064"/>
    <mergeCell ref="E1063:E1064"/>
    <mergeCell ref="L1075:L1076"/>
    <mergeCell ref="M1075:M1076"/>
    <mergeCell ref="N1075:N1076"/>
    <mergeCell ref="B1077:B1078"/>
    <mergeCell ref="C1077:C1078"/>
    <mergeCell ref="D1077:D1078"/>
    <mergeCell ref="E1077:E1078"/>
    <mergeCell ref="G1077:G1078"/>
    <mergeCell ref="H1077:H1078"/>
    <mergeCell ref="I1077:I1078"/>
    <mergeCell ref="J1077:J1078"/>
    <mergeCell ref="K1077:K1078"/>
    <mergeCell ref="L1077:L1078"/>
    <mergeCell ref="M1077:M1078"/>
    <mergeCell ref="N1077:N1078"/>
    <mergeCell ref="G1075:G1076"/>
    <mergeCell ref="H1075:H1076"/>
    <mergeCell ref="I1075:I1076"/>
    <mergeCell ref="J1075:J1076"/>
    <mergeCell ref="K1075:K1076"/>
    <mergeCell ref="B1075:B1076"/>
    <mergeCell ref="C1075:C1076"/>
    <mergeCell ref="D1075:D1076"/>
    <mergeCell ref="E1075:E1076"/>
    <mergeCell ref="L1071:L1072"/>
    <mergeCell ref="M1071:M1072"/>
    <mergeCell ref="N1071:N1072"/>
    <mergeCell ref="B1073:B1074"/>
    <mergeCell ref="C1073:C1074"/>
    <mergeCell ref="D1073:D1074"/>
    <mergeCell ref="E1073:E1074"/>
    <mergeCell ref="G1073:G1074"/>
    <mergeCell ref="H1073:H1074"/>
    <mergeCell ref="I1073:I1074"/>
    <mergeCell ref="J1073:J1074"/>
    <mergeCell ref="K1073:K1074"/>
    <mergeCell ref="L1073:L1074"/>
    <mergeCell ref="M1073:M1074"/>
    <mergeCell ref="N1073:N1074"/>
    <mergeCell ref="G1071:G1072"/>
    <mergeCell ref="H1071:H1072"/>
    <mergeCell ref="I1071:I1072"/>
    <mergeCell ref="J1071:J1072"/>
    <mergeCell ref="K1071:K1072"/>
    <mergeCell ref="B1071:B1072"/>
    <mergeCell ref="C1071:C1072"/>
    <mergeCell ref="D1071:D1072"/>
    <mergeCell ref="E1071:E1072"/>
    <mergeCell ref="L1083:L1084"/>
    <mergeCell ref="M1083:M1084"/>
    <mergeCell ref="N1083:N1084"/>
    <mergeCell ref="B1085:B1086"/>
    <mergeCell ref="C1085:C1086"/>
    <mergeCell ref="D1085:D1086"/>
    <mergeCell ref="E1085:E1086"/>
    <mergeCell ref="G1085:G1086"/>
    <mergeCell ref="H1085:H1086"/>
    <mergeCell ref="I1085:I1086"/>
    <mergeCell ref="J1085:J1086"/>
    <mergeCell ref="K1085:K1086"/>
    <mergeCell ref="L1085:L1086"/>
    <mergeCell ref="M1085:M1086"/>
    <mergeCell ref="N1085:N1086"/>
    <mergeCell ref="G1083:G1084"/>
    <mergeCell ref="H1083:H1084"/>
    <mergeCell ref="I1083:I1084"/>
    <mergeCell ref="J1083:J1084"/>
    <mergeCell ref="K1083:K1084"/>
    <mergeCell ref="B1083:B1084"/>
    <mergeCell ref="C1083:C1084"/>
    <mergeCell ref="D1083:D1084"/>
    <mergeCell ref="E1083:E1084"/>
    <mergeCell ref="L1079:L1080"/>
    <mergeCell ref="M1079:M1080"/>
    <mergeCell ref="N1079:N1080"/>
    <mergeCell ref="B1081:B1082"/>
    <mergeCell ref="C1081:C1082"/>
    <mergeCell ref="D1081:D1082"/>
    <mergeCell ref="E1081:E1082"/>
    <mergeCell ref="G1081:G1082"/>
    <mergeCell ref="H1081:H1082"/>
    <mergeCell ref="I1081:I1082"/>
    <mergeCell ref="J1081:J1082"/>
    <mergeCell ref="K1081:K1082"/>
    <mergeCell ref="L1081:L1082"/>
    <mergeCell ref="M1081:M1082"/>
    <mergeCell ref="N1081:N1082"/>
    <mergeCell ref="G1079:G1080"/>
    <mergeCell ref="H1079:H1080"/>
    <mergeCell ref="I1079:I1080"/>
    <mergeCell ref="J1079:J1080"/>
    <mergeCell ref="K1079:K1080"/>
    <mergeCell ref="B1079:B1080"/>
    <mergeCell ref="C1079:C1080"/>
    <mergeCell ref="D1079:D1080"/>
    <mergeCell ref="E1079:E1080"/>
    <mergeCell ref="L1091:L1092"/>
    <mergeCell ref="M1091:M1092"/>
    <mergeCell ref="N1091:N1092"/>
    <mergeCell ref="B1093:B1094"/>
    <mergeCell ref="C1093:C1094"/>
    <mergeCell ref="D1093:D1094"/>
    <mergeCell ref="E1093:E1094"/>
    <mergeCell ref="G1093:G1094"/>
    <mergeCell ref="H1093:H1094"/>
    <mergeCell ref="I1093:I1094"/>
    <mergeCell ref="J1093:J1094"/>
    <mergeCell ref="K1093:K1094"/>
    <mergeCell ref="L1093:L1094"/>
    <mergeCell ref="M1093:M1094"/>
    <mergeCell ref="N1093:N1094"/>
    <mergeCell ref="G1091:G1092"/>
    <mergeCell ref="H1091:H1092"/>
    <mergeCell ref="I1091:I1092"/>
    <mergeCell ref="J1091:J1092"/>
    <mergeCell ref="K1091:K1092"/>
    <mergeCell ref="B1091:B1092"/>
    <mergeCell ref="C1091:C1092"/>
    <mergeCell ref="D1091:D1092"/>
    <mergeCell ref="E1091:E1092"/>
    <mergeCell ref="L1087:L1088"/>
    <mergeCell ref="M1087:M1088"/>
    <mergeCell ref="N1087:N1088"/>
    <mergeCell ref="B1089:B1090"/>
    <mergeCell ref="C1089:C1090"/>
    <mergeCell ref="D1089:D1090"/>
    <mergeCell ref="E1089:E1090"/>
    <mergeCell ref="G1089:G1090"/>
    <mergeCell ref="H1089:H1090"/>
    <mergeCell ref="I1089:I1090"/>
    <mergeCell ref="J1089:J1090"/>
    <mergeCell ref="K1089:K1090"/>
    <mergeCell ref="L1089:L1090"/>
    <mergeCell ref="M1089:M1090"/>
    <mergeCell ref="N1089:N1090"/>
    <mergeCell ref="G1087:G1088"/>
    <mergeCell ref="H1087:H1088"/>
    <mergeCell ref="I1087:I1088"/>
    <mergeCell ref="J1087:J1088"/>
    <mergeCell ref="K1087:K1088"/>
    <mergeCell ref="B1087:B1088"/>
    <mergeCell ref="C1087:C1088"/>
    <mergeCell ref="D1087:D1088"/>
    <mergeCell ref="E1087:E1088"/>
    <mergeCell ref="L1099:L1100"/>
    <mergeCell ref="M1099:M1100"/>
    <mergeCell ref="N1099:N1100"/>
    <mergeCell ref="B1101:B1102"/>
    <mergeCell ref="C1101:C1102"/>
    <mergeCell ref="D1101:D1102"/>
    <mergeCell ref="E1101:E1102"/>
    <mergeCell ref="G1101:G1102"/>
    <mergeCell ref="H1101:H1102"/>
    <mergeCell ref="I1101:I1102"/>
    <mergeCell ref="J1101:J1102"/>
    <mergeCell ref="K1101:K1102"/>
    <mergeCell ref="L1101:L1102"/>
    <mergeCell ref="M1101:M1102"/>
    <mergeCell ref="N1101:N1102"/>
    <mergeCell ref="G1099:G1100"/>
    <mergeCell ref="H1099:H1100"/>
    <mergeCell ref="I1099:I1100"/>
    <mergeCell ref="J1099:J1100"/>
    <mergeCell ref="K1099:K1100"/>
    <mergeCell ref="B1099:B1100"/>
    <mergeCell ref="C1099:C1100"/>
    <mergeCell ref="D1099:D1100"/>
    <mergeCell ref="E1099:E1100"/>
    <mergeCell ref="L1095:L1096"/>
    <mergeCell ref="M1095:M1096"/>
    <mergeCell ref="N1095:N1096"/>
    <mergeCell ref="B1097:B1098"/>
    <mergeCell ref="C1097:C1098"/>
    <mergeCell ref="D1097:D1098"/>
    <mergeCell ref="E1097:E1098"/>
    <mergeCell ref="G1097:G1098"/>
    <mergeCell ref="H1097:H1098"/>
    <mergeCell ref="I1097:I1098"/>
    <mergeCell ref="J1097:J1098"/>
    <mergeCell ref="K1097:K1098"/>
    <mergeCell ref="L1097:L1098"/>
    <mergeCell ref="M1097:M1098"/>
    <mergeCell ref="N1097:N1098"/>
    <mergeCell ref="G1095:G1096"/>
    <mergeCell ref="H1095:H1096"/>
    <mergeCell ref="I1095:I1096"/>
    <mergeCell ref="J1095:J1096"/>
    <mergeCell ref="K1095:K1096"/>
    <mergeCell ref="B1095:B1096"/>
    <mergeCell ref="C1095:C1096"/>
    <mergeCell ref="D1095:D1096"/>
    <mergeCell ref="E1095:E1096"/>
    <mergeCell ref="L1107:L1108"/>
    <mergeCell ref="M1107:M1108"/>
    <mergeCell ref="N1107:N1108"/>
    <mergeCell ref="B1109:B1110"/>
    <mergeCell ref="C1109:C1110"/>
    <mergeCell ref="D1109:D1110"/>
    <mergeCell ref="E1109:E1110"/>
    <mergeCell ref="G1109:G1110"/>
    <mergeCell ref="H1109:H1110"/>
    <mergeCell ref="I1109:I1110"/>
    <mergeCell ref="J1109:J1110"/>
    <mergeCell ref="K1109:K1110"/>
    <mergeCell ref="L1109:L1110"/>
    <mergeCell ref="M1109:M1110"/>
    <mergeCell ref="N1109:N1110"/>
    <mergeCell ref="G1107:G1108"/>
    <mergeCell ref="H1107:H1108"/>
    <mergeCell ref="I1107:I1108"/>
    <mergeCell ref="J1107:J1108"/>
    <mergeCell ref="K1107:K1108"/>
    <mergeCell ref="B1107:B1108"/>
    <mergeCell ref="C1107:C1108"/>
    <mergeCell ref="D1107:D1108"/>
    <mergeCell ref="E1107:E1108"/>
    <mergeCell ref="L1103:L1104"/>
    <mergeCell ref="M1103:M1104"/>
    <mergeCell ref="N1103:N1104"/>
    <mergeCell ref="B1105:B1106"/>
    <mergeCell ref="C1105:C1106"/>
    <mergeCell ref="D1105:D1106"/>
    <mergeCell ref="E1105:E1106"/>
    <mergeCell ref="G1105:G1106"/>
    <mergeCell ref="H1105:H1106"/>
    <mergeCell ref="I1105:I1106"/>
    <mergeCell ref="J1105:J1106"/>
    <mergeCell ref="K1105:K1106"/>
    <mergeCell ref="L1105:L1106"/>
    <mergeCell ref="M1105:M1106"/>
    <mergeCell ref="N1105:N1106"/>
    <mergeCell ref="G1103:G1104"/>
    <mergeCell ref="H1103:H1104"/>
    <mergeCell ref="I1103:I1104"/>
    <mergeCell ref="J1103:J1104"/>
    <mergeCell ref="K1103:K1104"/>
    <mergeCell ref="B1103:B1104"/>
    <mergeCell ref="C1103:C1104"/>
    <mergeCell ref="D1103:D1104"/>
    <mergeCell ref="E1103:E1104"/>
    <mergeCell ref="L1115:L1116"/>
    <mergeCell ref="M1115:M1116"/>
    <mergeCell ref="N1115:N1116"/>
    <mergeCell ref="B1117:B1118"/>
    <mergeCell ref="C1117:C1118"/>
    <mergeCell ref="D1117:D1118"/>
    <mergeCell ref="E1117:E1118"/>
    <mergeCell ref="G1117:G1118"/>
    <mergeCell ref="H1117:H1118"/>
    <mergeCell ref="I1117:I1118"/>
    <mergeCell ref="J1117:J1118"/>
    <mergeCell ref="K1117:K1118"/>
    <mergeCell ref="L1117:L1118"/>
    <mergeCell ref="M1117:M1118"/>
    <mergeCell ref="N1117:N1118"/>
    <mergeCell ref="G1115:G1116"/>
    <mergeCell ref="H1115:H1116"/>
    <mergeCell ref="I1115:I1116"/>
    <mergeCell ref="J1115:J1116"/>
    <mergeCell ref="K1115:K1116"/>
    <mergeCell ref="B1115:B1116"/>
    <mergeCell ref="C1115:C1116"/>
    <mergeCell ref="D1115:D1116"/>
    <mergeCell ref="E1115:E1116"/>
    <mergeCell ref="L1111:L1112"/>
    <mergeCell ref="M1111:M1112"/>
    <mergeCell ref="N1111:N1112"/>
    <mergeCell ref="B1113:B1114"/>
    <mergeCell ref="C1113:C1114"/>
    <mergeCell ref="D1113:D1114"/>
    <mergeCell ref="E1113:E1114"/>
    <mergeCell ref="G1113:G1114"/>
    <mergeCell ref="H1113:H1114"/>
    <mergeCell ref="I1113:I1114"/>
    <mergeCell ref="J1113:J1114"/>
    <mergeCell ref="K1113:K1114"/>
    <mergeCell ref="L1113:L1114"/>
    <mergeCell ref="M1113:M1114"/>
    <mergeCell ref="N1113:N1114"/>
    <mergeCell ref="G1111:G1112"/>
    <mergeCell ref="H1111:H1112"/>
    <mergeCell ref="I1111:I1112"/>
    <mergeCell ref="J1111:J1112"/>
    <mergeCell ref="K1111:K1112"/>
    <mergeCell ref="B1111:B1112"/>
    <mergeCell ref="C1111:C1112"/>
    <mergeCell ref="D1111:D1112"/>
    <mergeCell ref="E1111:E1112"/>
    <mergeCell ref="L1123:L1124"/>
    <mergeCell ref="M1123:M1124"/>
    <mergeCell ref="N1123:N1124"/>
    <mergeCell ref="B1125:B1126"/>
    <mergeCell ref="C1125:C1126"/>
    <mergeCell ref="D1125:D1126"/>
    <mergeCell ref="E1125:E1126"/>
    <mergeCell ref="G1125:G1126"/>
    <mergeCell ref="H1125:H1126"/>
    <mergeCell ref="I1125:I1126"/>
    <mergeCell ref="J1125:J1126"/>
    <mergeCell ref="K1125:K1126"/>
    <mergeCell ref="L1125:L1126"/>
    <mergeCell ref="M1125:M1126"/>
    <mergeCell ref="N1125:N1126"/>
    <mergeCell ref="G1123:G1124"/>
    <mergeCell ref="H1123:H1124"/>
    <mergeCell ref="I1123:I1124"/>
    <mergeCell ref="J1123:J1124"/>
    <mergeCell ref="K1123:K1124"/>
    <mergeCell ref="B1123:B1124"/>
    <mergeCell ref="C1123:C1124"/>
    <mergeCell ref="D1123:D1124"/>
    <mergeCell ref="E1123:E1124"/>
    <mergeCell ref="L1119:L1120"/>
    <mergeCell ref="M1119:M1120"/>
    <mergeCell ref="N1119:N1120"/>
    <mergeCell ref="B1121:B1122"/>
    <mergeCell ref="C1121:C1122"/>
    <mergeCell ref="D1121:D1122"/>
    <mergeCell ref="E1121:E1122"/>
    <mergeCell ref="G1121:G1122"/>
    <mergeCell ref="H1121:H1122"/>
    <mergeCell ref="I1121:I1122"/>
    <mergeCell ref="J1121:J1122"/>
    <mergeCell ref="K1121:K1122"/>
    <mergeCell ref="L1121:L1122"/>
    <mergeCell ref="M1121:M1122"/>
    <mergeCell ref="N1121:N1122"/>
    <mergeCell ref="G1119:G1120"/>
    <mergeCell ref="H1119:H1120"/>
    <mergeCell ref="I1119:I1120"/>
    <mergeCell ref="J1119:J1120"/>
    <mergeCell ref="K1119:K1120"/>
    <mergeCell ref="B1119:B1120"/>
    <mergeCell ref="C1119:C1120"/>
    <mergeCell ref="D1119:D1120"/>
    <mergeCell ref="E1119:E1120"/>
    <mergeCell ref="L1131:L1132"/>
    <mergeCell ref="M1131:M1132"/>
    <mergeCell ref="N1131:N1132"/>
    <mergeCell ref="B1133:B1134"/>
    <mergeCell ref="C1133:C1134"/>
    <mergeCell ref="D1133:D1134"/>
    <mergeCell ref="E1133:E1134"/>
    <mergeCell ref="G1133:G1134"/>
    <mergeCell ref="H1133:H1134"/>
    <mergeCell ref="I1133:I1134"/>
    <mergeCell ref="J1133:J1134"/>
    <mergeCell ref="K1133:K1134"/>
    <mergeCell ref="L1133:L1134"/>
    <mergeCell ref="M1133:M1134"/>
    <mergeCell ref="N1133:N1134"/>
    <mergeCell ref="G1131:G1132"/>
    <mergeCell ref="H1131:H1132"/>
    <mergeCell ref="I1131:I1132"/>
    <mergeCell ref="J1131:J1132"/>
    <mergeCell ref="K1131:K1132"/>
    <mergeCell ref="B1131:B1132"/>
    <mergeCell ref="C1131:C1132"/>
    <mergeCell ref="D1131:D1132"/>
    <mergeCell ref="E1131:E1132"/>
    <mergeCell ref="L1127:L1128"/>
    <mergeCell ref="M1127:M1128"/>
    <mergeCell ref="N1127:N1128"/>
    <mergeCell ref="B1129:B1130"/>
    <mergeCell ref="C1129:C1130"/>
    <mergeCell ref="D1129:D1130"/>
    <mergeCell ref="E1129:E1130"/>
    <mergeCell ref="G1129:G1130"/>
    <mergeCell ref="H1129:H1130"/>
    <mergeCell ref="I1129:I1130"/>
    <mergeCell ref="J1129:J1130"/>
    <mergeCell ref="K1129:K1130"/>
    <mergeCell ref="L1129:L1130"/>
    <mergeCell ref="M1129:M1130"/>
    <mergeCell ref="N1129:N1130"/>
    <mergeCell ref="G1127:G1128"/>
    <mergeCell ref="H1127:H1128"/>
    <mergeCell ref="I1127:I1128"/>
    <mergeCell ref="J1127:J1128"/>
    <mergeCell ref="K1127:K1128"/>
    <mergeCell ref="B1127:B1128"/>
    <mergeCell ref="C1127:C1128"/>
    <mergeCell ref="D1127:D1128"/>
    <mergeCell ref="E1127:E1128"/>
    <mergeCell ref="L1139:L1140"/>
    <mergeCell ref="M1139:M1140"/>
    <mergeCell ref="N1139:N1140"/>
    <mergeCell ref="B1141:B1142"/>
    <mergeCell ref="C1141:C1142"/>
    <mergeCell ref="D1141:D1142"/>
    <mergeCell ref="E1141:E1142"/>
    <mergeCell ref="G1141:G1142"/>
    <mergeCell ref="H1141:H1142"/>
    <mergeCell ref="I1141:I1142"/>
    <mergeCell ref="J1141:J1142"/>
    <mergeCell ref="K1141:K1142"/>
    <mergeCell ref="L1141:L1142"/>
    <mergeCell ref="M1141:M1142"/>
    <mergeCell ref="N1141:N1142"/>
    <mergeCell ref="G1139:G1140"/>
    <mergeCell ref="H1139:H1140"/>
    <mergeCell ref="I1139:I1140"/>
    <mergeCell ref="J1139:J1140"/>
    <mergeCell ref="K1139:K1140"/>
    <mergeCell ref="B1139:B1140"/>
    <mergeCell ref="C1139:C1140"/>
    <mergeCell ref="D1139:D1140"/>
    <mergeCell ref="E1139:E1140"/>
    <mergeCell ref="L1135:L1136"/>
    <mergeCell ref="M1135:M1136"/>
    <mergeCell ref="N1135:N1136"/>
    <mergeCell ref="B1137:B1138"/>
    <mergeCell ref="C1137:C1138"/>
    <mergeCell ref="D1137:D1138"/>
    <mergeCell ref="E1137:E1138"/>
    <mergeCell ref="G1137:G1138"/>
    <mergeCell ref="H1137:H1138"/>
    <mergeCell ref="I1137:I1138"/>
    <mergeCell ref="J1137:J1138"/>
    <mergeCell ref="K1137:K1138"/>
    <mergeCell ref="L1137:L1138"/>
    <mergeCell ref="M1137:M1138"/>
    <mergeCell ref="N1137:N1138"/>
    <mergeCell ref="G1135:G1136"/>
    <mergeCell ref="H1135:H1136"/>
    <mergeCell ref="I1135:I1136"/>
    <mergeCell ref="J1135:J1136"/>
    <mergeCell ref="K1135:K1136"/>
    <mergeCell ref="B1135:B1136"/>
    <mergeCell ref="C1135:C1136"/>
    <mergeCell ref="D1135:D1136"/>
    <mergeCell ref="E1135:E1136"/>
    <mergeCell ref="L1147:L1148"/>
    <mergeCell ref="M1147:M1148"/>
    <mergeCell ref="N1147:N1148"/>
    <mergeCell ref="B1149:B1150"/>
    <mergeCell ref="C1149:C1150"/>
    <mergeCell ref="D1149:D1150"/>
    <mergeCell ref="E1149:E1150"/>
    <mergeCell ref="G1149:G1150"/>
    <mergeCell ref="H1149:H1150"/>
    <mergeCell ref="I1149:I1150"/>
    <mergeCell ref="J1149:J1150"/>
    <mergeCell ref="K1149:K1150"/>
    <mergeCell ref="L1149:L1150"/>
    <mergeCell ref="M1149:M1150"/>
    <mergeCell ref="N1149:N1150"/>
    <mergeCell ref="G1147:G1148"/>
    <mergeCell ref="H1147:H1148"/>
    <mergeCell ref="I1147:I1148"/>
    <mergeCell ref="J1147:J1148"/>
    <mergeCell ref="K1147:K1148"/>
    <mergeCell ref="B1147:B1148"/>
    <mergeCell ref="C1147:C1148"/>
    <mergeCell ref="D1147:D1148"/>
    <mergeCell ref="E1147:E1148"/>
    <mergeCell ref="L1143:L1144"/>
    <mergeCell ref="M1143:M1144"/>
    <mergeCell ref="N1143:N1144"/>
    <mergeCell ref="B1145:B1146"/>
    <mergeCell ref="C1145:C1146"/>
    <mergeCell ref="D1145:D1146"/>
    <mergeCell ref="E1145:E1146"/>
    <mergeCell ref="G1145:G1146"/>
    <mergeCell ref="H1145:H1146"/>
    <mergeCell ref="I1145:I1146"/>
    <mergeCell ref="J1145:J1146"/>
    <mergeCell ref="K1145:K1146"/>
    <mergeCell ref="L1145:L1146"/>
    <mergeCell ref="M1145:M1146"/>
    <mergeCell ref="N1145:N1146"/>
    <mergeCell ref="G1143:G1144"/>
    <mergeCell ref="H1143:H1144"/>
    <mergeCell ref="I1143:I1144"/>
    <mergeCell ref="J1143:J1144"/>
    <mergeCell ref="K1143:K1144"/>
    <mergeCell ref="B1143:B1144"/>
    <mergeCell ref="C1143:C1144"/>
    <mergeCell ref="D1143:D1144"/>
    <mergeCell ref="E1143:E1144"/>
    <mergeCell ref="L1155:L1156"/>
    <mergeCell ref="M1155:M1156"/>
    <mergeCell ref="N1155:N1156"/>
    <mergeCell ref="B1157:B1158"/>
    <mergeCell ref="C1157:C1158"/>
    <mergeCell ref="D1157:D1158"/>
    <mergeCell ref="E1157:E1158"/>
    <mergeCell ref="G1157:G1158"/>
    <mergeCell ref="H1157:H1158"/>
    <mergeCell ref="I1157:I1158"/>
    <mergeCell ref="J1157:J1158"/>
    <mergeCell ref="K1157:K1158"/>
    <mergeCell ref="L1157:L1158"/>
    <mergeCell ref="M1157:M1158"/>
    <mergeCell ref="N1157:N1158"/>
    <mergeCell ref="G1155:G1156"/>
    <mergeCell ref="H1155:H1156"/>
    <mergeCell ref="I1155:I1156"/>
    <mergeCell ref="J1155:J1156"/>
    <mergeCell ref="K1155:K1156"/>
    <mergeCell ref="B1155:B1156"/>
    <mergeCell ref="C1155:C1156"/>
    <mergeCell ref="D1155:D1156"/>
    <mergeCell ref="E1155:E1156"/>
    <mergeCell ref="L1151:L1152"/>
    <mergeCell ref="M1151:M1152"/>
    <mergeCell ref="N1151:N1152"/>
    <mergeCell ref="B1153:B1154"/>
    <mergeCell ref="C1153:C1154"/>
    <mergeCell ref="D1153:D1154"/>
    <mergeCell ref="E1153:E1154"/>
    <mergeCell ref="G1153:G1154"/>
    <mergeCell ref="H1153:H1154"/>
    <mergeCell ref="I1153:I1154"/>
    <mergeCell ref="J1153:J1154"/>
    <mergeCell ref="K1153:K1154"/>
    <mergeCell ref="L1153:L1154"/>
    <mergeCell ref="M1153:M1154"/>
    <mergeCell ref="N1153:N1154"/>
    <mergeCell ref="G1151:G1152"/>
    <mergeCell ref="H1151:H1152"/>
    <mergeCell ref="I1151:I1152"/>
    <mergeCell ref="J1151:J1152"/>
    <mergeCell ref="K1151:K1152"/>
    <mergeCell ref="B1151:B1152"/>
    <mergeCell ref="C1151:C1152"/>
    <mergeCell ref="D1151:D1152"/>
    <mergeCell ref="E1151:E1152"/>
    <mergeCell ref="L1163:L1164"/>
    <mergeCell ref="M1163:M1164"/>
    <mergeCell ref="N1163:N1164"/>
    <mergeCell ref="B1165:B1166"/>
    <mergeCell ref="C1165:C1166"/>
    <mergeCell ref="D1165:D1166"/>
    <mergeCell ref="E1165:E1166"/>
    <mergeCell ref="G1165:G1166"/>
    <mergeCell ref="H1165:H1166"/>
    <mergeCell ref="I1165:I1166"/>
    <mergeCell ref="J1165:J1166"/>
    <mergeCell ref="K1165:K1166"/>
    <mergeCell ref="L1165:L1166"/>
    <mergeCell ref="M1165:M1166"/>
    <mergeCell ref="N1165:N1166"/>
    <mergeCell ref="G1163:G1164"/>
    <mergeCell ref="H1163:H1164"/>
    <mergeCell ref="I1163:I1164"/>
    <mergeCell ref="J1163:J1164"/>
    <mergeCell ref="K1163:K1164"/>
    <mergeCell ref="B1163:B1164"/>
    <mergeCell ref="C1163:C1164"/>
    <mergeCell ref="D1163:D1164"/>
    <mergeCell ref="E1163:E1164"/>
    <mergeCell ref="L1159:L1160"/>
    <mergeCell ref="M1159:M1160"/>
    <mergeCell ref="N1159:N1160"/>
    <mergeCell ref="B1161:B1162"/>
    <mergeCell ref="C1161:C1162"/>
    <mergeCell ref="D1161:D1162"/>
    <mergeCell ref="E1161:E1162"/>
    <mergeCell ref="G1161:G1162"/>
    <mergeCell ref="H1161:H1162"/>
    <mergeCell ref="I1161:I1162"/>
    <mergeCell ref="J1161:J1162"/>
    <mergeCell ref="K1161:K1162"/>
    <mergeCell ref="L1161:L1162"/>
    <mergeCell ref="M1161:M1162"/>
    <mergeCell ref="N1161:N1162"/>
    <mergeCell ref="G1159:G1160"/>
    <mergeCell ref="H1159:H1160"/>
    <mergeCell ref="I1159:I1160"/>
    <mergeCell ref="J1159:J1160"/>
    <mergeCell ref="K1159:K1160"/>
    <mergeCell ref="B1159:B1160"/>
    <mergeCell ref="C1159:C1160"/>
    <mergeCell ref="D1159:D1160"/>
    <mergeCell ref="E1159:E1160"/>
    <mergeCell ref="L1171:L1172"/>
    <mergeCell ref="M1171:M1172"/>
    <mergeCell ref="N1171:N1172"/>
    <mergeCell ref="B1173:B1174"/>
    <mergeCell ref="C1173:C1174"/>
    <mergeCell ref="D1173:D1174"/>
    <mergeCell ref="E1173:E1174"/>
    <mergeCell ref="G1173:G1174"/>
    <mergeCell ref="H1173:H1174"/>
    <mergeCell ref="I1173:I1174"/>
    <mergeCell ref="J1173:J1174"/>
    <mergeCell ref="K1173:K1174"/>
    <mergeCell ref="L1173:L1174"/>
    <mergeCell ref="M1173:M1174"/>
    <mergeCell ref="N1173:N1174"/>
    <mergeCell ref="G1171:G1172"/>
    <mergeCell ref="H1171:H1172"/>
    <mergeCell ref="I1171:I1172"/>
    <mergeCell ref="J1171:J1172"/>
    <mergeCell ref="K1171:K1172"/>
    <mergeCell ref="B1171:B1172"/>
    <mergeCell ref="C1171:C1172"/>
    <mergeCell ref="D1171:D1172"/>
    <mergeCell ref="E1171:E1172"/>
    <mergeCell ref="L1167:L1168"/>
    <mergeCell ref="M1167:M1168"/>
    <mergeCell ref="N1167:N1168"/>
    <mergeCell ref="B1169:B1170"/>
    <mergeCell ref="C1169:C1170"/>
    <mergeCell ref="D1169:D1170"/>
    <mergeCell ref="E1169:E1170"/>
    <mergeCell ref="G1169:G1170"/>
    <mergeCell ref="H1169:H1170"/>
    <mergeCell ref="I1169:I1170"/>
    <mergeCell ref="J1169:J1170"/>
    <mergeCell ref="K1169:K1170"/>
    <mergeCell ref="L1169:L1170"/>
    <mergeCell ref="M1169:M1170"/>
    <mergeCell ref="N1169:N1170"/>
    <mergeCell ref="G1167:G1168"/>
    <mergeCell ref="H1167:H1168"/>
    <mergeCell ref="I1167:I1168"/>
    <mergeCell ref="J1167:J1168"/>
    <mergeCell ref="K1167:K1168"/>
    <mergeCell ref="B1167:B1168"/>
    <mergeCell ref="C1167:C1168"/>
    <mergeCell ref="D1167:D1168"/>
    <mergeCell ref="E1167:E1168"/>
    <mergeCell ref="L1179:L1180"/>
    <mergeCell ref="M1179:M1180"/>
    <mergeCell ref="N1179:N1180"/>
    <mergeCell ref="B1181:B1182"/>
    <mergeCell ref="C1181:C1182"/>
    <mergeCell ref="D1181:D1182"/>
    <mergeCell ref="E1181:E1182"/>
    <mergeCell ref="G1181:G1182"/>
    <mergeCell ref="H1181:H1182"/>
    <mergeCell ref="I1181:I1182"/>
    <mergeCell ref="J1181:J1182"/>
    <mergeCell ref="K1181:K1182"/>
    <mergeCell ref="L1181:L1182"/>
    <mergeCell ref="M1181:M1182"/>
    <mergeCell ref="N1181:N1182"/>
    <mergeCell ref="G1179:G1180"/>
    <mergeCell ref="H1179:H1180"/>
    <mergeCell ref="I1179:I1180"/>
    <mergeCell ref="J1179:J1180"/>
    <mergeCell ref="K1179:K1180"/>
    <mergeCell ref="B1179:B1180"/>
    <mergeCell ref="C1179:C1180"/>
    <mergeCell ref="D1179:D1180"/>
    <mergeCell ref="E1179:E1180"/>
    <mergeCell ref="L1175:L1176"/>
    <mergeCell ref="M1175:M1176"/>
    <mergeCell ref="N1175:N1176"/>
    <mergeCell ref="B1177:B1178"/>
    <mergeCell ref="C1177:C1178"/>
    <mergeCell ref="D1177:D1178"/>
    <mergeCell ref="E1177:E1178"/>
    <mergeCell ref="G1177:G1178"/>
    <mergeCell ref="H1177:H1178"/>
    <mergeCell ref="I1177:I1178"/>
    <mergeCell ref="J1177:J1178"/>
    <mergeCell ref="K1177:K1178"/>
    <mergeCell ref="L1177:L1178"/>
    <mergeCell ref="M1177:M1178"/>
    <mergeCell ref="N1177:N1178"/>
    <mergeCell ref="G1175:G1176"/>
    <mergeCell ref="H1175:H1176"/>
    <mergeCell ref="I1175:I1176"/>
    <mergeCell ref="J1175:J1176"/>
    <mergeCell ref="K1175:K1176"/>
    <mergeCell ref="B1175:B1176"/>
    <mergeCell ref="C1175:C1176"/>
    <mergeCell ref="D1175:D1176"/>
    <mergeCell ref="E1175:E1176"/>
    <mergeCell ref="L1187:L1188"/>
    <mergeCell ref="M1187:M1188"/>
    <mergeCell ref="N1187:N1188"/>
    <mergeCell ref="B1189:B1190"/>
    <mergeCell ref="C1189:C1190"/>
    <mergeCell ref="D1189:D1190"/>
    <mergeCell ref="E1189:E1190"/>
    <mergeCell ref="G1189:G1190"/>
    <mergeCell ref="H1189:H1190"/>
    <mergeCell ref="I1189:I1190"/>
    <mergeCell ref="J1189:J1190"/>
    <mergeCell ref="K1189:K1190"/>
    <mergeCell ref="L1189:L1190"/>
    <mergeCell ref="M1189:M1190"/>
    <mergeCell ref="N1189:N1190"/>
    <mergeCell ref="G1187:G1188"/>
    <mergeCell ref="H1187:H1188"/>
    <mergeCell ref="I1187:I1188"/>
    <mergeCell ref="J1187:J1188"/>
    <mergeCell ref="K1187:K1188"/>
    <mergeCell ref="B1187:B1188"/>
    <mergeCell ref="C1187:C1188"/>
    <mergeCell ref="D1187:D1188"/>
    <mergeCell ref="E1187:E1188"/>
    <mergeCell ref="L1183:L1184"/>
    <mergeCell ref="M1183:M1184"/>
    <mergeCell ref="N1183:N1184"/>
    <mergeCell ref="B1185:B1186"/>
    <mergeCell ref="C1185:C1186"/>
    <mergeCell ref="D1185:D1186"/>
    <mergeCell ref="E1185:E1186"/>
    <mergeCell ref="G1185:G1186"/>
    <mergeCell ref="H1185:H1186"/>
    <mergeCell ref="I1185:I1186"/>
    <mergeCell ref="J1185:J1186"/>
    <mergeCell ref="K1185:K1186"/>
    <mergeCell ref="L1185:L1186"/>
    <mergeCell ref="M1185:M1186"/>
    <mergeCell ref="N1185:N1186"/>
    <mergeCell ref="G1183:G1184"/>
    <mergeCell ref="H1183:H1184"/>
    <mergeCell ref="I1183:I1184"/>
    <mergeCell ref="J1183:J1184"/>
    <mergeCell ref="K1183:K1184"/>
    <mergeCell ref="B1183:B1184"/>
    <mergeCell ref="C1183:C1184"/>
    <mergeCell ref="D1183:D1184"/>
    <mergeCell ref="E1183:E1184"/>
    <mergeCell ref="L1195:L1196"/>
    <mergeCell ref="M1195:M1196"/>
    <mergeCell ref="N1195:N1196"/>
    <mergeCell ref="B1197:B1198"/>
    <mergeCell ref="C1197:C1198"/>
    <mergeCell ref="D1197:D1198"/>
    <mergeCell ref="E1197:E1198"/>
    <mergeCell ref="G1197:G1198"/>
    <mergeCell ref="H1197:H1198"/>
    <mergeCell ref="I1197:I1198"/>
    <mergeCell ref="J1197:J1198"/>
    <mergeCell ref="K1197:K1198"/>
    <mergeCell ref="L1197:L1198"/>
    <mergeCell ref="M1197:M1198"/>
    <mergeCell ref="N1197:N1198"/>
    <mergeCell ref="G1195:G1196"/>
    <mergeCell ref="H1195:H1196"/>
    <mergeCell ref="I1195:I1196"/>
    <mergeCell ref="J1195:J1196"/>
    <mergeCell ref="K1195:K1196"/>
    <mergeCell ref="B1195:B1196"/>
    <mergeCell ref="C1195:C1196"/>
    <mergeCell ref="D1195:D1196"/>
    <mergeCell ref="E1195:E1196"/>
    <mergeCell ref="L1191:L1192"/>
    <mergeCell ref="M1191:M1192"/>
    <mergeCell ref="N1191:N1192"/>
    <mergeCell ref="B1193:B1194"/>
    <mergeCell ref="C1193:C1194"/>
    <mergeCell ref="D1193:D1194"/>
    <mergeCell ref="E1193:E1194"/>
    <mergeCell ref="G1193:G1194"/>
    <mergeCell ref="H1193:H1194"/>
    <mergeCell ref="I1193:I1194"/>
    <mergeCell ref="J1193:J1194"/>
    <mergeCell ref="K1193:K1194"/>
    <mergeCell ref="L1193:L1194"/>
    <mergeCell ref="M1193:M1194"/>
    <mergeCell ref="N1193:N1194"/>
    <mergeCell ref="G1191:G1192"/>
    <mergeCell ref="H1191:H1192"/>
    <mergeCell ref="I1191:I1192"/>
    <mergeCell ref="J1191:J1192"/>
    <mergeCell ref="K1191:K1192"/>
    <mergeCell ref="B1191:B1192"/>
    <mergeCell ref="C1191:C1192"/>
    <mergeCell ref="D1191:D1192"/>
    <mergeCell ref="E1191:E1192"/>
    <mergeCell ref="L1203:L1204"/>
    <mergeCell ref="M1203:M1204"/>
    <mergeCell ref="N1203:N1204"/>
    <mergeCell ref="B1205:B1206"/>
    <mergeCell ref="C1205:C1206"/>
    <mergeCell ref="D1205:D1206"/>
    <mergeCell ref="E1205:E1206"/>
    <mergeCell ref="G1205:G1206"/>
    <mergeCell ref="H1205:H1206"/>
    <mergeCell ref="I1205:I1206"/>
    <mergeCell ref="J1205:J1206"/>
    <mergeCell ref="K1205:K1206"/>
    <mergeCell ref="L1205:L1206"/>
    <mergeCell ref="M1205:M1206"/>
    <mergeCell ref="N1205:N1206"/>
    <mergeCell ref="G1203:G1204"/>
    <mergeCell ref="H1203:H1204"/>
    <mergeCell ref="I1203:I1204"/>
    <mergeCell ref="J1203:J1204"/>
    <mergeCell ref="K1203:K1204"/>
    <mergeCell ref="B1203:B1204"/>
    <mergeCell ref="C1203:C1204"/>
    <mergeCell ref="D1203:D1204"/>
    <mergeCell ref="E1203:E1204"/>
    <mergeCell ref="L1199:L1200"/>
    <mergeCell ref="M1199:M1200"/>
    <mergeCell ref="N1199:N1200"/>
    <mergeCell ref="B1201:B1202"/>
    <mergeCell ref="C1201:C1202"/>
    <mergeCell ref="D1201:D1202"/>
    <mergeCell ref="E1201:E1202"/>
    <mergeCell ref="G1201:G1202"/>
    <mergeCell ref="H1201:H1202"/>
    <mergeCell ref="I1201:I1202"/>
    <mergeCell ref="J1201:J1202"/>
    <mergeCell ref="K1201:K1202"/>
    <mergeCell ref="L1201:L1202"/>
    <mergeCell ref="M1201:M1202"/>
    <mergeCell ref="N1201:N1202"/>
    <mergeCell ref="G1199:G1200"/>
    <mergeCell ref="H1199:H1200"/>
    <mergeCell ref="I1199:I1200"/>
    <mergeCell ref="J1199:J1200"/>
    <mergeCell ref="K1199:K1200"/>
    <mergeCell ref="B1199:B1200"/>
    <mergeCell ref="C1199:C1200"/>
    <mergeCell ref="D1199:D1200"/>
    <mergeCell ref="E1199:E1200"/>
    <mergeCell ref="L1211:L1212"/>
    <mergeCell ref="M1211:M1212"/>
    <mergeCell ref="N1211:N1212"/>
    <mergeCell ref="B1213:B1214"/>
    <mergeCell ref="C1213:C1214"/>
    <mergeCell ref="D1213:D1214"/>
    <mergeCell ref="E1213:E1214"/>
    <mergeCell ref="G1213:G1214"/>
    <mergeCell ref="H1213:H1214"/>
    <mergeCell ref="I1213:I1214"/>
    <mergeCell ref="J1213:J1214"/>
    <mergeCell ref="K1213:K1214"/>
    <mergeCell ref="L1213:L1214"/>
    <mergeCell ref="M1213:M1214"/>
    <mergeCell ref="N1213:N1214"/>
    <mergeCell ref="G1211:G1212"/>
    <mergeCell ref="H1211:H1212"/>
    <mergeCell ref="I1211:I1212"/>
    <mergeCell ref="J1211:J1212"/>
    <mergeCell ref="K1211:K1212"/>
    <mergeCell ref="B1211:B1212"/>
    <mergeCell ref="C1211:C1212"/>
    <mergeCell ref="D1211:D1212"/>
    <mergeCell ref="E1211:E1212"/>
    <mergeCell ref="L1207:L1208"/>
    <mergeCell ref="M1207:M1208"/>
    <mergeCell ref="N1207:N1208"/>
    <mergeCell ref="B1209:B1210"/>
    <mergeCell ref="C1209:C1210"/>
    <mergeCell ref="D1209:D1210"/>
    <mergeCell ref="E1209:E1210"/>
    <mergeCell ref="G1209:G1210"/>
    <mergeCell ref="H1209:H1210"/>
    <mergeCell ref="I1209:I1210"/>
    <mergeCell ref="J1209:J1210"/>
    <mergeCell ref="K1209:K1210"/>
    <mergeCell ref="L1209:L1210"/>
    <mergeCell ref="M1209:M1210"/>
    <mergeCell ref="N1209:N1210"/>
    <mergeCell ref="G1207:G1208"/>
    <mergeCell ref="H1207:H1208"/>
    <mergeCell ref="I1207:I1208"/>
    <mergeCell ref="J1207:J1208"/>
    <mergeCell ref="K1207:K1208"/>
    <mergeCell ref="B1207:B1208"/>
    <mergeCell ref="C1207:C1208"/>
    <mergeCell ref="D1207:D1208"/>
    <mergeCell ref="E1207:E1208"/>
    <mergeCell ref="L1219:L1220"/>
    <mergeCell ref="M1219:M1220"/>
    <mergeCell ref="N1219:N1220"/>
    <mergeCell ref="B1221:B1222"/>
    <mergeCell ref="C1221:C1222"/>
    <mergeCell ref="D1221:D1222"/>
    <mergeCell ref="E1221:E1222"/>
    <mergeCell ref="G1221:G1222"/>
    <mergeCell ref="H1221:H1222"/>
    <mergeCell ref="I1221:I1222"/>
    <mergeCell ref="J1221:J1222"/>
    <mergeCell ref="K1221:K1222"/>
    <mergeCell ref="L1221:L1222"/>
    <mergeCell ref="M1221:M1222"/>
    <mergeCell ref="N1221:N1222"/>
    <mergeCell ref="G1219:G1220"/>
    <mergeCell ref="H1219:H1220"/>
    <mergeCell ref="I1219:I1220"/>
    <mergeCell ref="J1219:J1220"/>
    <mergeCell ref="K1219:K1220"/>
    <mergeCell ref="B1219:B1220"/>
    <mergeCell ref="C1219:C1220"/>
    <mergeCell ref="D1219:D1220"/>
    <mergeCell ref="E1219:E1220"/>
    <mergeCell ref="L1215:L1216"/>
    <mergeCell ref="M1215:M1216"/>
    <mergeCell ref="N1215:N1216"/>
    <mergeCell ref="B1217:B1218"/>
    <mergeCell ref="C1217:C1218"/>
    <mergeCell ref="D1217:D1218"/>
    <mergeCell ref="E1217:E1218"/>
    <mergeCell ref="G1217:G1218"/>
    <mergeCell ref="H1217:H1218"/>
    <mergeCell ref="I1217:I1218"/>
    <mergeCell ref="J1217:J1218"/>
    <mergeCell ref="K1217:K1218"/>
    <mergeCell ref="L1217:L1218"/>
    <mergeCell ref="M1217:M1218"/>
    <mergeCell ref="N1217:N1218"/>
    <mergeCell ref="G1215:G1216"/>
    <mergeCell ref="H1215:H1216"/>
    <mergeCell ref="I1215:I1216"/>
    <mergeCell ref="J1215:J1216"/>
    <mergeCell ref="K1215:K1216"/>
    <mergeCell ref="B1215:B1216"/>
    <mergeCell ref="C1215:C1216"/>
    <mergeCell ref="D1215:D1216"/>
    <mergeCell ref="E1215:E1216"/>
    <mergeCell ref="L1227:L1228"/>
    <mergeCell ref="M1227:M1228"/>
    <mergeCell ref="N1227:N1228"/>
    <mergeCell ref="B1229:B1230"/>
    <mergeCell ref="C1229:C1230"/>
    <mergeCell ref="D1229:D1230"/>
    <mergeCell ref="E1229:E1230"/>
    <mergeCell ref="G1229:G1230"/>
    <mergeCell ref="H1229:H1230"/>
    <mergeCell ref="I1229:I1230"/>
    <mergeCell ref="J1229:J1230"/>
    <mergeCell ref="K1229:K1230"/>
    <mergeCell ref="L1229:L1230"/>
    <mergeCell ref="M1229:M1230"/>
    <mergeCell ref="N1229:N1230"/>
    <mergeCell ref="G1227:G1228"/>
    <mergeCell ref="H1227:H1228"/>
    <mergeCell ref="I1227:I1228"/>
    <mergeCell ref="J1227:J1228"/>
    <mergeCell ref="K1227:K1228"/>
    <mergeCell ref="B1227:B1228"/>
    <mergeCell ref="C1227:C1228"/>
    <mergeCell ref="D1227:D1228"/>
    <mergeCell ref="E1227:E1228"/>
    <mergeCell ref="L1223:L1224"/>
    <mergeCell ref="M1223:M1224"/>
    <mergeCell ref="N1223:N1224"/>
    <mergeCell ref="B1225:B1226"/>
    <mergeCell ref="C1225:C1226"/>
    <mergeCell ref="D1225:D1226"/>
    <mergeCell ref="E1225:E1226"/>
    <mergeCell ref="G1225:G1226"/>
    <mergeCell ref="H1225:H1226"/>
    <mergeCell ref="I1225:I1226"/>
    <mergeCell ref="J1225:J1226"/>
    <mergeCell ref="K1225:K1226"/>
    <mergeCell ref="L1225:L1226"/>
    <mergeCell ref="M1225:M1226"/>
    <mergeCell ref="N1225:N1226"/>
    <mergeCell ref="G1223:G1224"/>
    <mergeCell ref="H1223:H1224"/>
    <mergeCell ref="I1223:I1224"/>
    <mergeCell ref="J1223:J1224"/>
    <mergeCell ref="K1223:K1224"/>
    <mergeCell ref="B1223:B1224"/>
    <mergeCell ref="C1223:C1224"/>
    <mergeCell ref="D1223:D1224"/>
    <mergeCell ref="E1223:E1224"/>
    <mergeCell ref="L1235:L1236"/>
    <mergeCell ref="M1235:M1236"/>
    <mergeCell ref="N1235:N1236"/>
    <mergeCell ref="B1237:B1238"/>
    <mergeCell ref="C1237:C1238"/>
    <mergeCell ref="D1237:D1238"/>
    <mergeCell ref="E1237:E1238"/>
    <mergeCell ref="G1237:G1238"/>
    <mergeCell ref="H1237:H1238"/>
    <mergeCell ref="I1237:I1238"/>
    <mergeCell ref="J1237:J1238"/>
    <mergeCell ref="K1237:K1238"/>
    <mergeCell ref="L1237:L1238"/>
    <mergeCell ref="M1237:M1238"/>
    <mergeCell ref="N1237:N1238"/>
    <mergeCell ref="G1235:G1236"/>
    <mergeCell ref="H1235:H1236"/>
    <mergeCell ref="I1235:I1236"/>
    <mergeCell ref="J1235:J1236"/>
    <mergeCell ref="K1235:K1236"/>
    <mergeCell ref="B1235:B1236"/>
    <mergeCell ref="C1235:C1236"/>
    <mergeCell ref="D1235:D1236"/>
    <mergeCell ref="E1235:E1236"/>
    <mergeCell ref="L1231:L1232"/>
    <mergeCell ref="M1231:M1232"/>
    <mergeCell ref="N1231:N1232"/>
    <mergeCell ref="B1233:B1234"/>
    <mergeCell ref="C1233:C1234"/>
    <mergeCell ref="D1233:D1234"/>
    <mergeCell ref="E1233:E1234"/>
    <mergeCell ref="G1233:G1234"/>
    <mergeCell ref="H1233:H1234"/>
    <mergeCell ref="I1233:I1234"/>
    <mergeCell ref="J1233:J1234"/>
    <mergeCell ref="K1233:K1234"/>
    <mergeCell ref="L1233:L1234"/>
    <mergeCell ref="M1233:M1234"/>
    <mergeCell ref="N1233:N1234"/>
    <mergeCell ref="G1231:G1232"/>
    <mergeCell ref="H1231:H1232"/>
    <mergeCell ref="I1231:I1232"/>
    <mergeCell ref="J1231:J1232"/>
    <mergeCell ref="K1231:K1232"/>
    <mergeCell ref="B1231:B1232"/>
    <mergeCell ref="C1231:C1232"/>
    <mergeCell ref="D1231:D1232"/>
    <mergeCell ref="E1231:E1232"/>
    <mergeCell ref="L1243:L1244"/>
    <mergeCell ref="M1243:M1244"/>
    <mergeCell ref="N1243:N1244"/>
    <mergeCell ref="B1245:B1246"/>
    <mergeCell ref="C1245:C1246"/>
    <mergeCell ref="D1245:D1246"/>
    <mergeCell ref="E1245:E1246"/>
    <mergeCell ref="G1245:G1246"/>
    <mergeCell ref="H1245:H1246"/>
    <mergeCell ref="I1245:I1246"/>
    <mergeCell ref="J1245:J1246"/>
    <mergeCell ref="K1245:K1246"/>
    <mergeCell ref="L1245:L1246"/>
    <mergeCell ref="M1245:M1246"/>
    <mergeCell ref="N1245:N1246"/>
    <mergeCell ref="G1243:G1244"/>
    <mergeCell ref="H1243:H1244"/>
    <mergeCell ref="I1243:I1244"/>
    <mergeCell ref="J1243:J1244"/>
    <mergeCell ref="K1243:K1244"/>
    <mergeCell ref="B1243:B1244"/>
    <mergeCell ref="C1243:C1244"/>
    <mergeCell ref="D1243:D1244"/>
    <mergeCell ref="E1243:E1244"/>
    <mergeCell ref="L1239:L1240"/>
    <mergeCell ref="M1239:M1240"/>
    <mergeCell ref="N1239:N1240"/>
    <mergeCell ref="B1241:B1242"/>
    <mergeCell ref="C1241:C1242"/>
    <mergeCell ref="D1241:D1242"/>
    <mergeCell ref="E1241:E1242"/>
    <mergeCell ref="G1241:G1242"/>
    <mergeCell ref="H1241:H1242"/>
    <mergeCell ref="I1241:I1242"/>
    <mergeCell ref="J1241:J1242"/>
    <mergeCell ref="K1241:K1242"/>
    <mergeCell ref="L1241:L1242"/>
    <mergeCell ref="M1241:M1242"/>
    <mergeCell ref="N1241:N1242"/>
    <mergeCell ref="G1239:G1240"/>
    <mergeCell ref="H1239:H1240"/>
    <mergeCell ref="I1239:I1240"/>
    <mergeCell ref="J1239:J1240"/>
    <mergeCell ref="K1239:K1240"/>
    <mergeCell ref="B1239:B1240"/>
    <mergeCell ref="C1239:C1240"/>
    <mergeCell ref="D1239:D1240"/>
    <mergeCell ref="E1239:E1240"/>
    <mergeCell ref="L1251:L1252"/>
    <mergeCell ref="M1251:M1252"/>
    <mergeCell ref="N1251:N1252"/>
    <mergeCell ref="B1253:B1254"/>
    <mergeCell ref="C1253:C1254"/>
    <mergeCell ref="D1253:D1254"/>
    <mergeCell ref="E1253:E1254"/>
    <mergeCell ref="G1253:G1254"/>
    <mergeCell ref="H1253:H1254"/>
    <mergeCell ref="I1253:I1254"/>
    <mergeCell ref="J1253:J1254"/>
    <mergeCell ref="K1253:K1254"/>
    <mergeCell ref="L1253:L1254"/>
    <mergeCell ref="M1253:M1254"/>
    <mergeCell ref="N1253:N1254"/>
    <mergeCell ref="G1251:G1252"/>
    <mergeCell ref="H1251:H1252"/>
    <mergeCell ref="I1251:I1252"/>
    <mergeCell ref="J1251:J1252"/>
    <mergeCell ref="K1251:K1252"/>
    <mergeCell ref="B1251:B1252"/>
    <mergeCell ref="C1251:C1252"/>
    <mergeCell ref="D1251:D1252"/>
    <mergeCell ref="E1251:E1252"/>
    <mergeCell ref="L1247:L1248"/>
    <mergeCell ref="M1247:M1248"/>
    <mergeCell ref="N1247:N1248"/>
    <mergeCell ref="B1249:B1250"/>
    <mergeCell ref="C1249:C1250"/>
    <mergeCell ref="D1249:D1250"/>
    <mergeCell ref="E1249:E1250"/>
    <mergeCell ref="G1249:G1250"/>
    <mergeCell ref="H1249:H1250"/>
    <mergeCell ref="I1249:I1250"/>
    <mergeCell ref="J1249:J1250"/>
    <mergeCell ref="K1249:K1250"/>
    <mergeCell ref="L1249:L1250"/>
    <mergeCell ref="M1249:M1250"/>
    <mergeCell ref="N1249:N1250"/>
    <mergeCell ref="G1247:G1248"/>
    <mergeCell ref="H1247:H1248"/>
    <mergeCell ref="I1247:I1248"/>
    <mergeCell ref="J1247:J1248"/>
    <mergeCell ref="K1247:K1248"/>
    <mergeCell ref="B1247:B1248"/>
    <mergeCell ref="C1247:C1248"/>
    <mergeCell ref="D1247:D1248"/>
    <mergeCell ref="E1247:E1248"/>
    <mergeCell ref="L1259:L1260"/>
    <mergeCell ref="M1259:M1260"/>
    <mergeCell ref="N1259:N1260"/>
    <mergeCell ref="B1261:B1262"/>
    <mergeCell ref="C1261:C1262"/>
    <mergeCell ref="D1261:D1262"/>
    <mergeCell ref="E1261:E1262"/>
    <mergeCell ref="G1261:G1262"/>
    <mergeCell ref="H1261:H1262"/>
    <mergeCell ref="I1261:I1262"/>
    <mergeCell ref="J1261:J1262"/>
    <mergeCell ref="K1261:K1262"/>
    <mergeCell ref="L1261:L1262"/>
    <mergeCell ref="M1261:M1262"/>
    <mergeCell ref="N1261:N1262"/>
    <mergeCell ref="G1259:G1260"/>
    <mergeCell ref="H1259:H1260"/>
    <mergeCell ref="I1259:I1260"/>
    <mergeCell ref="J1259:J1260"/>
    <mergeCell ref="K1259:K1260"/>
    <mergeCell ref="B1259:B1260"/>
    <mergeCell ref="C1259:C1260"/>
    <mergeCell ref="D1259:D1260"/>
    <mergeCell ref="E1259:E1260"/>
    <mergeCell ref="L1255:L1256"/>
    <mergeCell ref="M1255:M1256"/>
    <mergeCell ref="N1255:N1256"/>
    <mergeCell ref="B1257:B1258"/>
    <mergeCell ref="C1257:C1258"/>
    <mergeCell ref="D1257:D1258"/>
    <mergeCell ref="E1257:E1258"/>
    <mergeCell ref="G1257:G1258"/>
    <mergeCell ref="H1257:H1258"/>
    <mergeCell ref="I1257:I1258"/>
    <mergeCell ref="J1257:J1258"/>
    <mergeCell ref="K1257:K1258"/>
    <mergeCell ref="L1257:L1258"/>
    <mergeCell ref="M1257:M1258"/>
    <mergeCell ref="N1257:N1258"/>
    <mergeCell ref="G1255:G1256"/>
    <mergeCell ref="H1255:H1256"/>
    <mergeCell ref="I1255:I1256"/>
    <mergeCell ref="J1255:J1256"/>
    <mergeCell ref="K1255:K1256"/>
    <mergeCell ref="B1255:B1256"/>
    <mergeCell ref="C1255:C1256"/>
    <mergeCell ref="D1255:D1256"/>
    <mergeCell ref="E1255:E1256"/>
    <mergeCell ref="L1267:L1268"/>
    <mergeCell ref="M1267:M1268"/>
    <mergeCell ref="N1267:N1268"/>
    <mergeCell ref="B1269:B1270"/>
    <mergeCell ref="C1269:C1270"/>
    <mergeCell ref="D1269:D1270"/>
    <mergeCell ref="E1269:E1270"/>
    <mergeCell ref="G1269:G1270"/>
    <mergeCell ref="H1269:H1270"/>
    <mergeCell ref="I1269:I1270"/>
    <mergeCell ref="J1269:J1270"/>
    <mergeCell ref="K1269:K1270"/>
    <mergeCell ref="L1269:L1270"/>
    <mergeCell ref="M1269:M1270"/>
    <mergeCell ref="N1269:N1270"/>
    <mergeCell ref="G1267:G1268"/>
    <mergeCell ref="H1267:H1268"/>
    <mergeCell ref="I1267:I1268"/>
    <mergeCell ref="J1267:J1268"/>
    <mergeCell ref="K1267:K1268"/>
    <mergeCell ref="B1267:B1268"/>
    <mergeCell ref="C1267:C1268"/>
    <mergeCell ref="D1267:D1268"/>
    <mergeCell ref="E1267:E1268"/>
    <mergeCell ref="L1263:L1264"/>
    <mergeCell ref="M1263:M1264"/>
    <mergeCell ref="N1263:N1264"/>
    <mergeCell ref="B1265:B1266"/>
    <mergeCell ref="C1265:C1266"/>
    <mergeCell ref="D1265:D1266"/>
    <mergeCell ref="E1265:E1266"/>
    <mergeCell ref="G1265:G1266"/>
    <mergeCell ref="H1265:H1266"/>
    <mergeCell ref="I1265:I1266"/>
    <mergeCell ref="J1265:J1266"/>
    <mergeCell ref="K1265:K1266"/>
    <mergeCell ref="L1265:L1266"/>
    <mergeCell ref="M1265:M1266"/>
    <mergeCell ref="N1265:N1266"/>
    <mergeCell ref="G1263:G1264"/>
    <mergeCell ref="H1263:H1264"/>
    <mergeCell ref="I1263:I1264"/>
    <mergeCell ref="J1263:J1264"/>
    <mergeCell ref="K1263:K1264"/>
    <mergeCell ref="B1263:B1264"/>
    <mergeCell ref="C1263:C1264"/>
    <mergeCell ref="D1263:D1264"/>
    <mergeCell ref="E1263:E1264"/>
    <mergeCell ref="L1275:L1276"/>
    <mergeCell ref="M1275:M1276"/>
    <mergeCell ref="N1275:N1276"/>
    <mergeCell ref="B1277:B1278"/>
    <mergeCell ref="C1277:C1278"/>
    <mergeCell ref="D1277:D1278"/>
    <mergeCell ref="E1277:E1278"/>
    <mergeCell ref="G1277:G1278"/>
    <mergeCell ref="H1277:H1278"/>
    <mergeCell ref="I1277:I1278"/>
    <mergeCell ref="J1277:J1278"/>
    <mergeCell ref="K1277:K1278"/>
    <mergeCell ref="L1277:L1278"/>
    <mergeCell ref="M1277:M1278"/>
    <mergeCell ref="N1277:N1278"/>
    <mergeCell ref="G1275:G1276"/>
    <mergeCell ref="H1275:H1276"/>
    <mergeCell ref="I1275:I1276"/>
    <mergeCell ref="J1275:J1276"/>
    <mergeCell ref="K1275:K1276"/>
    <mergeCell ref="B1275:B1276"/>
    <mergeCell ref="C1275:C1276"/>
    <mergeCell ref="D1275:D1276"/>
    <mergeCell ref="E1275:E1276"/>
    <mergeCell ref="L1271:L1272"/>
    <mergeCell ref="M1271:M1272"/>
    <mergeCell ref="N1271:N1272"/>
    <mergeCell ref="B1273:B1274"/>
    <mergeCell ref="C1273:C1274"/>
    <mergeCell ref="D1273:D1274"/>
    <mergeCell ref="E1273:E1274"/>
    <mergeCell ref="G1273:G1274"/>
    <mergeCell ref="H1273:H1274"/>
    <mergeCell ref="I1273:I1274"/>
    <mergeCell ref="J1273:J1274"/>
    <mergeCell ref="K1273:K1274"/>
    <mergeCell ref="L1273:L1274"/>
    <mergeCell ref="M1273:M1274"/>
    <mergeCell ref="N1273:N1274"/>
    <mergeCell ref="G1271:G1272"/>
    <mergeCell ref="H1271:H1272"/>
    <mergeCell ref="I1271:I1272"/>
    <mergeCell ref="J1271:J1272"/>
    <mergeCell ref="K1271:K1272"/>
    <mergeCell ref="B1271:B1272"/>
    <mergeCell ref="C1271:C1272"/>
    <mergeCell ref="D1271:D1272"/>
    <mergeCell ref="E1271:E1272"/>
    <mergeCell ref="L1283:L1284"/>
    <mergeCell ref="M1283:M1284"/>
    <mergeCell ref="N1283:N1284"/>
    <mergeCell ref="B1285:B1286"/>
    <mergeCell ref="C1285:C1286"/>
    <mergeCell ref="D1285:D1286"/>
    <mergeCell ref="E1285:E1286"/>
    <mergeCell ref="G1285:G1286"/>
    <mergeCell ref="H1285:H1286"/>
    <mergeCell ref="I1285:I1286"/>
    <mergeCell ref="J1285:J1286"/>
    <mergeCell ref="K1285:K1286"/>
    <mergeCell ref="L1285:L1286"/>
    <mergeCell ref="M1285:M1286"/>
    <mergeCell ref="N1285:N1286"/>
    <mergeCell ref="G1283:G1284"/>
    <mergeCell ref="H1283:H1284"/>
    <mergeCell ref="I1283:I1284"/>
    <mergeCell ref="J1283:J1284"/>
    <mergeCell ref="K1283:K1284"/>
    <mergeCell ref="B1283:B1284"/>
    <mergeCell ref="C1283:C1284"/>
    <mergeCell ref="D1283:D1284"/>
    <mergeCell ref="E1283:E1284"/>
    <mergeCell ref="L1279:L1280"/>
    <mergeCell ref="M1279:M1280"/>
    <mergeCell ref="N1279:N1280"/>
    <mergeCell ref="B1281:B1282"/>
    <mergeCell ref="C1281:C1282"/>
    <mergeCell ref="D1281:D1282"/>
    <mergeCell ref="E1281:E1282"/>
    <mergeCell ref="G1281:G1282"/>
    <mergeCell ref="H1281:H1282"/>
    <mergeCell ref="I1281:I1282"/>
    <mergeCell ref="J1281:J1282"/>
    <mergeCell ref="K1281:K1282"/>
    <mergeCell ref="L1281:L1282"/>
    <mergeCell ref="M1281:M1282"/>
    <mergeCell ref="N1281:N1282"/>
    <mergeCell ref="G1279:G1280"/>
    <mergeCell ref="H1279:H1280"/>
    <mergeCell ref="I1279:I1280"/>
    <mergeCell ref="J1279:J1280"/>
    <mergeCell ref="K1279:K1280"/>
    <mergeCell ref="B1279:B1280"/>
    <mergeCell ref="C1279:C1280"/>
    <mergeCell ref="D1279:D1280"/>
    <mergeCell ref="E1279:E1280"/>
    <mergeCell ref="L1291:L1292"/>
    <mergeCell ref="M1291:M1292"/>
    <mergeCell ref="N1291:N1292"/>
    <mergeCell ref="B1293:B1294"/>
    <mergeCell ref="C1293:C1294"/>
    <mergeCell ref="D1293:D1294"/>
    <mergeCell ref="E1293:E1294"/>
    <mergeCell ref="G1293:G1294"/>
    <mergeCell ref="H1293:H1294"/>
    <mergeCell ref="I1293:I1294"/>
    <mergeCell ref="J1293:J1294"/>
    <mergeCell ref="K1293:K1294"/>
    <mergeCell ref="L1293:L1294"/>
    <mergeCell ref="M1293:M1294"/>
    <mergeCell ref="N1293:N1294"/>
    <mergeCell ref="G1291:G1292"/>
    <mergeCell ref="H1291:H1292"/>
    <mergeCell ref="I1291:I1292"/>
    <mergeCell ref="J1291:J1292"/>
    <mergeCell ref="K1291:K1292"/>
    <mergeCell ref="B1291:B1292"/>
    <mergeCell ref="C1291:C1292"/>
    <mergeCell ref="D1291:D1292"/>
    <mergeCell ref="E1291:E1292"/>
    <mergeCell ref="L1287:L1288"/>
    <mergeCell ref="M1287:M1288"/>
    <mergeCell ref="N1287:N1288"/>
    <mergeCell ref="B1289:B1290"/>
    <mergeCell ref="C1289:C1290"/>
    <mergeCell ref="D1289:D1290"/>
    <mergeCell ref="E1289:E1290"/>
    <mergeCell ref="G1289:G1290"/>
    <mergeCell ref="H1289:H1290"/>
    <mergeCell ref="I1289:I1290"/>
    <mergeCell ref="J1289:J1290"/>
    <mergeCell ref="K1289:K1290"/>
    <mergeCell ref="L1289:L1290"/>
    <mergeCell ref="M1289:M1290"/>
    <mergeCell ref="N1289:N1290"/>
    <mergeCell ref="G1287:G1288"/>
    <mergeCell ref="H1287:H1288"/>
    <mergeCell ref="I1287:I1288"/>
    <mergeCell ref="J1287:J1288"/>
    <mergeCell ref="K1287:K1288"/>
    <mergeCell ref="B1287:B1288"/>
    <mergeCell ref="C1287:C1288"/>
    <mergeCell ref="D1287:D1288"/>
    <mergeCell ref="E1287:E1288"/>
    <mergeCell ref="L1299:L1300"/>
    <mergeCell ref="M1299:M1300"/>
    <mergeCell ref="N1299:N1300"/>
    <mergeCell ref="B1301:B1302"/>
    <mergeCell ref="C1301:C1302"/>
    <mergeCell ref="D1301:D1302"/>
    <mergeCell ref="E1301:E1302"/>
    <mergeCell ref="G1301:G1302"/>
    <mergeCell ref="H1301:H1302"/>
    <mergeCell ref="I1301:I1302"/>
    <mergeCell ref="J1301:J1302"/>
    <mergeCell ref="K1301:K1302"/>
    <mergeCell ref="L1301:L1302"/>
    <mergeCell ref="M1301:M1302"/>
    <mergeCell ref="N1301:N1302"/>
    <mergeCell ref="G1299:G1300"/>
    <mergeCell ref="H1299:H1300"/>
    <mergeCell ref="I1299:I1300"/>
    <mergeCell ref="J1299:J1300"/>
    <mergeCell ref="K1299:K1300"/>
    <mergeCell ref="B1299:B1300"/>
    <mergeCell ref="C1299:C1300"/>
    <mergeCell ref="D1299:D1300"/>
    <mergeCell ref="E1299:E1300"/>
    <mergeCell ref="L1295:L1296"/>
    <mergeCell ref="M1295:M1296"/>
    <mergeCell ref="N1295:N1296"/>
    <mergeCell ref="B1297:B1298"/>
    <mergeCell ref="C1297:C1298"/>
    <mergeCell ref="D1297:D1298"/>
    <mergeCell ref="E1297:E1298"/>
    <mergeCell ref="G1297:G1298"/>
    <mergeCell ref="H1297:H1298"/>
    <mergeCell ref="I1297:I1298"/>
    <mergeCell ref="J1297:J1298"/>
    <mergeCell ref="K1297:K1298"/>
    <mergeCell ref="L1297:L1298"/>
    <mergeCell ref="M1297:M1298"/>
    <mergeCell ref="N1297:N1298"/>
    <mergeCell ref="G1295:G1296"/>
    <mergeCell ref="H1295:H1296"/>
    <mergeCell ref="I1295:I1296"/>
    <mergeCell ref="J1295:J1296"/>
    <mergeCell ref="K1295:K1296"/>
    <mergeCell ref="B1295:B1296"/>
    <mergeCell ref="C1295:C1296"/>
    <mergeCell ref="D1295:D1296"/>
    <mergeCell ref="E1295:E1296"/>
    <mergeCell ref="L1307:L1308"/>
    <mergeCell ref="M1307:M1308"/>
    <mergeCell ref="N1307:N1308"/>
    <mergeCell ref="B1309:B1310"/>
    <mergeCell ref="C1309:C1310"/>
    <mergeCell ref="D1309:D1310"/>
    <mergeCell ref="E1309:E1310"/>
    <mergeCell ref="G1309:G1310"/>
    <mergeCell ref="H1309:H1310"/>
    <mergeCell ref="I1309:I1310"/>
    <mergeCell ref="J1309:J1310"/>
    <mergeCell ref="K1309:K1310"/>
    <mergeCell ref="L1309:L1310"/>
    <mergeCell ref="M1309:M1310"/>
    <mergeCell ref="N1309:N1310"/>
    <mergeCell ref="G1307:G1308"/>
    <mergeCell ref="H1307:H1308"/>
    <mergeCell ref="I1307:I1308"/>
    <mergeCell ref="J1307:J1308"/>
    <mergeCell ref="K1307:K1308"/>
    <mergeCell ref="B1307:B1308"/>
    <mergeCell ref="C1307:C1308"/>
    <mergeCell ref="D1307:D1308"/>
    <mergeCell ref="E1307:E1308"/>
    <mergeCell ref="L1303:L1304"/>
    <mergeCell ref="M1303:M1304"/>
    <mergeCell ref="N1303:N1304"/>
    <mergeCell ref="B1305:B1306"/>
    <mergeCell ref="C1305:C1306"/>
    <mergeCell ref="D1305:D1306"/>
    <mergeCell ref="E1305:E1306"/>
    <mergeCell ref="G1305:G1306"/>
    <mergeCell ref="H1305:H1306"/>
    <mergeCell ref="I1305:I1306"/>
    <mergeCell ref="J1305:J1306"/>
    <mergeCell ref="K1305:K1306"/>
    <mergeCell ref="L1305:L1306"/>
    <mergeCell ref="M1305:M1306"/>
    <mergeCell ref="N1305:N1306"/>
    <mergeCell ref="G1303:G1304"/>
    <mergeCell ref="H1303:H1304"/>
    <mergeCell ref="I1303:I1304"/>
    <mergeCell ref="J1303:J1304"/>
    <mergeCell ref="K1303:K1304"/>
    <mergeCell ref="B1303:B1304"/>
    <mergeCell ref="C1303:C1304"/>
    <mergeCell ref="D1303:D1304"/>
    <mergeCell ref="E1303:E1304"/>
    <mergeCell ref="L1315:L1316"/>
    <mergeCell ref="M1315:M1316"/>
    <mergeCell ref="N1315:N1316"/>
    <mergeCell ref="B1317:B1318"/>
    <mergeCell ref="C1317:C1318"/>
    <mergeCell ref="D1317:D1318"/>
    <mergeCell ref="E1317:E1318"/>
    <mergeCell ref="G1317:G1318"/>
    <mergeCell ref="H1317:H1318"/>
    <mergeCell ref="I1317:I1318"/>
    <mergeCell ref="J1317:J1318"/>
    <mergeCell ref="K1317:K1318"/>
    <mergeCell ref="L1317:L1318"/>
    <mergeCell ref="M1317:M1318"/>
    <mergeCell ref="N1317:N1318"/>
    <mergeCell ref="G1315:G1316"/>
    <mergeCell ref="H1315:H1316"/>
    <mergeCell ref="I1315:I1316"/>
    <mergeCell ref="J1315:J1316"/>
    <mergeCell ref="K1315:K1316"/>
    <mergeCell ref="B1315:B1316"/>
    <mergeCell ref="C1315:C1316"/>
    <mergeCell ref="D1315:D1316"/>
    <mergeCell ref="E1315:E1316"/>
    <mergeCell ref="L1311:L1312"/>
    <mergeCell ref="M1311:M1312"/>
    <mergeCell ref="N1311:N1312"/>
    <mergeCell ref="B1313:B1314"/>
    <mergeCell ref="C1313:C1314"/>
    <mergeCell ref="D1313:D1314"/>
    <mergeCell ref="E1313:E1314"/>
    <mergeCell ref="G1313:G1314"/>
    <mergeCell ref="H1313:H1314"/>
    <mergeCell ref="I1313:I1314"/>
    <mergeCell ref="J1313:J1314"/>
    <mergeCell ref="K1313:K1314"/>
    <mergeCell ref="L1313:L1314"/>
    <mergeCell ref="M1313:M1314"/>
    <mergeCell ref="N1313:N1314"/>
    <mergeCell ref="G1311:G1312"/>
    <mergeCell ref="H1311:H1312"/>
    <mergeCell ref="I1311:I1312"/>
    <mergeCell ref="J1311:J1312"/>
    <mergeCell ref="K1311:K1312"/>
    <mergeCell ref="B1311:B1312"/>
    <mergeCell ref="C1311:C1312"/>
    <mergeCell ref="D1311:D1312"/>
    <mergeCell ref="E1311:E1312"/>
    <mergeCell ref="L1323:L1324"/>
    <mergeCell ref="M1323:M1324"/>
    <mergeCell ref="N1323:N1324"/>
    <mergeCell ref="B1325:B1326"/>
    <mergeCell ref="C1325:C1326"/>
    <mergeCell ref="D1325:D1326"/>
    <mergeCell ref="E1325:E1326"/>
    <mergeCell ref="G1325:G1326"/>
    <mergeCell ref="H1325:H1326"/>
    <mergeCell ref="I1325:I1326"/>
    <mergeCell ref="J1325:J1326"/>
    <mergeCell ref="K1325:K1326"/>
    <mergeCell ref="L1325:L1326"/>
    <mergeCell ref="M1325:M1326"/>
    <mergeCell ref="N1325:N1326"/>
    <mergeCell ref="G1323:G1324"/>
    <mergeCell ref="H1323:H1324"/>
    <mergeCell ref="I1323:I1324"/>
    <mergeCell ref="J1323:J1324"/>
    <mergeCell ref="K1323:K1324"/>
    <mergeCell ref="B1323:B1324"/>
    <mergeCell ref="C1323:C1324"/>
    <mergeCell ref="D1323:D1324"/>
    <mergeCell ref="E1323:E1324"/>
    <mergeCell ref="L1319:L1320"/>
    <mergeCell ref="M1319:M1320"/>
    <mergeCell ref="N1319:N1320"/>
    <mergeCell ref="B1321:B1322"/>
    <mergeCell ref="C1321:C1322"/>
    <mergeCell ref="D1321:D1322"/>
    <mergeCell ref="E1321:E1322"/>
    <mergeCell ref="G1321:G1322"/>
    <mergeCell ref="H1321:H1322"/>
    <mergeCell ref="I1321:I1322"/>
    <mergeCell ref="J1321:J1322"/>
    <mergeCell ref="K1321:K1322"/>
    <mergeCell ref="L1321:L1322"/>
    <mergeCell ref="M1321:M1322"/>
    <mergeCell ref="N1321:N1322"/>
    <mergeCell ref="G1319:G1320"/>
    <mergeCell ref="H1319:H1320"/>
    <mergeCell ref="I1319:I1320"/>
    <mergeCell ref="J1319:J1320"/>
    <mergeCell ref="K1319:K1320"/>
    <mergeCell ref="B1319:B1320"/>
    <mergeCell ref="C1319:C1320"/>
    <mergeCell ref="D1319:D1320"/>
    <mergeCell ref="E1319:E1320"/>
    <mergeCell ref="L1331:L1332"/>
    <mergeCell ref="M1331:M1332"/>
    <mergeCell ref="N1331:N1332"/>
    <mergeCell ref="B1333:B1334"/>
    <mergeCell ref="C1333:C1334"/>
    <mergeCell ref="D1333:D1334"/>
    <mergeCell ref="E1333:E1334"/>
    <mergeCell ref="G1333:G1334"/>
    <mergeCell ref="H1333:H1334"/>
    <mergeCell ref="I1333:I1334"/>
    <mergeCell ref="J1333:J1334"/>
    <mergeCell ref="K1333:K1334"/>
    <mergeCell ref="L1333:L1334"/>
    <mergeCell ref="M1333:M1334"/>
    <mergeCell ref="N1333:N1334"/>
    <mergeCell ref="G1331:G1332"/>
    <mergeCell ref="H1331:H1332"/>
    <mergeCell ref="I1331:I1332"/>
    <mergeCell ref="J1331:J1332"/>
    <mergeCell ref="K1331:K1332"/>
    <mergeCell ref="B1331:B1332"/>
    <mergeCell ref="C1331:C1332"/>
    <mergeCell ref="D1331:D1332"/>
    <mergeCell ref="E1331:E1332"/>
    <mergeCell ref="L1327:L1328"/>
    <mergeCell ref="M1327:M1328"/>
    <mergeCell ref="N1327:N1328"/>
    <mergeCell ref="B1329:B1330"/>
    <mergeCell ref="C1329:C1330"/>
    <mergeCell ref="D1329:D1330"/>
    <mergeCell ref="E1329:E1330"/>
    <mergeCell ref="G1329:G1330"/>
    <mergeCell ref="H1329:H1330"/>
    <mergeCell ref="I1329:I1330"/>
    <mergeCell ref="J1329:J1330"/>
    <mergeCell ref="K1329:K1330"/>
    <mergeCell ref="L1329:L1330"/>
    <mergeCell ref="M1329:M1330"/>
    <mergeCell ref="N1329:N1330"/>
    <mergeCell ref="G1327:G1328"/>
    <mergeCell ref="H1327:H1328"/>
    <mergeCell ref="I1327:I1328"/>
    <mergeCell ref="J1327:J1328"/>
    <mergeCell ref="K1327:K1328"/>
    <mergeCell ref="B1327:B1328"/>
    <mergeCell ref="C1327:C1328"/>
    <mergeCell ref="D1327:D1328"/>
    <mergeCell ref="E1327:E1328"/>
    <mergeCell ref="L1339:L1340"/>
    <mergeCell ref="M1339:M1340"/>
    <mergeCell ref="N1339:N1340"/>
    <mergeCell ref="B1341:B1342"/>
    <mergeCell ref="C1341:C1342"/>
    <mergeCell ref="D1341:D1342"/>
    <mergeCell ref="E1341:E1342"/>
    <mergeCell ref="G1341:G1342"/>
    <mergeCell ref="H1341:H1342"/>
    <mergeCell ref="I1341:I1342"/>
    <mergeCell ref="J1341:J1342"/>
    <mergeCell ref="K1341:K1342"/>
    <mergeCell ref="L1341:L1342"/>
    <mergeCell ref="M1341:M1342"/>
    <mergeCell ref="N1341:N1342"/>
    <mergeCell ref="G1339:G1340"/>
    <mergeCell ref="H1339:H1340"/>
    <mergeCell ref="I1339:I1340"/>
    <mergeCell ref="J1339:J1340"/>
    <mergeCell ref="K1339:K1340"/>
    <mergeCell ref="B1339:B1340"/>
    <mergeCell ref="C1339:C1340"/>
    <mergeCell ref="D1339:D1340"/>
    <mergeCell ref="E1339:E1340"/>
    <mergeCell ref="L1335:L1336"/>
    <mergeCell ref="M1335:M1336"/>
    <mergeCell ref="N1335:N1336"/>
    <mergeCell ref="B1337:B1338"/>
    <mergeCell ref="C1337:C1338"/>
    <mergeCell ref="D1337:D1338"/>
    <mergeCell ref="E1337:E1338"/>
    <mergeCell ref="G1337:G1338"/>
    <mergeCell ref="H1337:H1338"/>
    <mergeCell ref="I1337:I1338"/>
    <mergeCell ref="J1337:J1338"/>
    <mergeCell ref="K1337:K1338"/>
    <mergeCell ref="L1337:L1338"/>
    <mergeCell ref="M1337:M1338"/>
    <mergeCell ref="N1337:N1338"/>
    <mergeCell ref="G1335:G1336"/>
    <mergeCell ref="H1335:H1336"/>
    <mergeCell ref="I1335:I1336"/>
    <mergeCell ref="J1335:J1336"/>
    <mergeCell ref="K1335:K1336"/>
    <mergeCell ref="B1335:B1336"/>
    <mergeCell ref="C1335:C1336"/>
    <mergeCell ref="D1335:D1336"/>
    <mergeCell ref="E1335:E1336"/>
    <mergeCell ref="L1347:L1348"/>
    <mergeCell ref="M1347:M1348"/>
    <mergeCell ref="N1347:N1348"/>
    <mergeCell ref="B1349:B1350"/>
    <mergeCell ref="C1349:C1350"/>
    <mergeCell ref="D1349:D1350"/>
    <mergeCell ref="E1349:E1350"/>
    <mergeCell ref="G1349:G1350"/>
    <mergeCell ref="H1349:H1350"/>
    <mergeCell ref="I1349:I1350"/>
    <mergeCell ref="J1349:J1350"/>
    <mergeCell ref="K1349:K1350"/>
    <mergeCell ref="L1349:L1350"/>
    <mergeCell ref="M1349:M1350"/>
    <mergeCell ref="N1349:N1350"/>
    <mergeCell ref="G1347:G1348"/>
    <mergeCell ref="H1347:H1348"/>
    <mergeCell ref="I1347:I1348"/>
    <mergeCell ref="J1347:J1348"/>
    <mergeCell ref="K1347:K1348"/>
    <mergeCell ref="B1347:B1348"/>
    <mergeCell ref="C1347:C1348"/>
    <mergeCell ref="D1347:D1348"/>
    <mergeCell ref="E1347:E1348"/>
    <mergeCell ref="L1343:L1344"/>
    <mergeCell ref="M1343:M1344"/>
    <mergeCell ref="N1343:N1344"/>
    <mergeCell ref="B1345:B1346"/>
    <mergeCell ref="C1345:C1346"/>
    <mergeCell ref="D1345:D1346"/>
    <mergeCell ref="E1345:E1346"/>
    <mergeCell ref="G1345:G1346"/>
    <mergeCell ref="H1345:H1346"/>
    <mergeCell ref="I1345:I1346"/>
    <mergeCell ref="J1345:J1346"/>
    <mergeCell ref="K1345:K1346"/>
    <mergeCell ref="L1345:L1346"/>
    <mergeCell ref="M1345:M1346"/>
    <mergeCell ref="N1345:N1346"/>
    <mergeCell ref="G1343:G1344"/>
    <mergeCell ref="H1343:H1344"/>
    <mergeCell ref="I1343:I1344"/>
    <mergeCell ref="J1343:J1344"/>
    <mergeCell ref="K1343:K1344"/>
    <mergeCell ref="B1343:B1344"/>
    <mergeCell ref="C1343:C1344"/>
    <mergeCell ref="D1343:D1344"/>
    <mergeCell ref="E1343:E1344"/>
    <mergeCell ref="L1355:L1356"/>
    <mergeCell ref="M1355:M1356"/>
    <mergeCell ref="N1355:N1356"/>
    <mergeCell ref="B1357:B1358"/>
    <mergeCell ref="C1357:C1358"/>
    <mergeCell ref="D1357:D1358"/>
    <mergeCell ref="E1357:E1358"/>
    <mergeCell ref="G1357:G1358"/>
    <mergeCell ref="H1357:H1358"/>
    <mergeCell ref="I1357:I1358"/>
    <mergeCell ref="J1357:J1358"/>
    <mergeCell ref="K1357:K1358"/>
    <mergeCell ref="L1357:L1358"/>
    <mergeCell ref="M1357:M1358"/>
    <mergeCell ref="N1357:N1358"/>
    <mergeCell ref="G1355:G1356"/>
    <mergeCell ref="H1355:H1356"/>
    <mergeCell ref="I1355:I1356"/>
    <mergeCell ref="J1355:J1356"/>
    <mergeCell ref="K1355:K1356"/>
    <mergeCell ref="B1355:B1356"/>
    <mergeCell ref="C1355:C1356"/>
    <mergeCell ref="D1355:D1356"/>
    <mergeCell ref="E1355:E1356"/>
    <mergeCell ref="L1351:L1352"/>
    <mergeCell ref="M1351:M1352"/>
    <mergeCell ref="N1351:N1352"/>
    <mergeCell ref="B1353:B1354"/>
    <mergeCell ref="C1353:C1354"/>
    <mergeCell ref="D1353:D1354"/>
    <mergeCell ref="E1353:E1354"/>
    <mergeCell ref="G1353:G1354"/>
    <mergeCell ref="H1353:H1354"/>
    <mergeCell ref="I1353:I1354"/>
    <mergeCell ref="J1353:J1354"/>
    <mergeCell ref="K1353:K1354"/>
    <mergeCell ref="L1353:L1354"/>
    <mergeCell ref="M1353:M1354"/>
    <mergeCell ref="N1353:N1354"/>
    <mergeCell ref="G1351:G1352"/>
    <mergeCell ref="H1351:H1352"/>
    <mergeCell ref="I1351:I1352"/>
    <mergeCell ref="J1351:J1352"/>
    <mergeCell ref="K1351:K1352"/>
    <mergeCell ref="B1351:B1352"/>
    <mergeCell ref="C1351:C1352"/>
    <mergeCell ref="D1351:D1352"/>
    <mergeCell ref="E1351:E1352"/>
    <mergeCell ref="L1363:L1364"/>
    <mergeCell ref="M1363:M1364"/>
    <mergeCell ref="N1363:N1364"/>
    <mergeCell ref="B1365:B1366"/>
    <mergeCell ref="C1365:C1366"/>
    <mergeCell ref="D1365:D1366"/>
    <mergeCell ref="E1365:E1366"/>
    <mergeCell ref="G1365:G1366"/>
    <mergeCell ref="H1365:H1366"/>
    <mergeCell ref="I1365:I1366"/>
    <mergeCell ref="J1365:J1366"/>
    <mergeCell ref="K1365:K1366"/>
    <mergeCell ref="L1365:L1366"/>
    <mergeCell ref="M1365:M1366"/>
    <mergeCell ref="N1365:N1366"/>
    <mergeCell ref="G1363:G1364"/>
    <mergeCell ref="H1363:H1364"/>
    <mergeCell ref="I1363:I1364"/>
    <mergeCell ref="J1363:J1364"/>
    <mergeCell ref="K1363:K1364"/>
    <mergeCell ref="B1363:B1364"/>
    <mergeCell ref="C1363:C1364"/>
    <mergeCell ref="D1363:D1364"/>
    <mergeCell ref="E1363:E1364"/>
    <mergeCell ref="L1359:L1360"/>
    <mergeCell ref="M1359:M1360"/>
    <mergeCell ref="N1359:N1360"/>
    <mergeCell ref="B1361:B1362"/>
    <mergeCell ref="C1361:C1362"/>
    <mergeCell ref="D1361:D1362"/>
    <mergeCell ref="E1361:E1362"/>
    <mergeCell ref="G1361:G1362"/>
    <mergeCell ref="H1361:H1362"/>
    <mergeCell ref="I1361:I1362"/>
    <mergeCell ref="J1361:J1362"/>
    <mergeCell ref="K1361:K1362"/>
    <mergeCell ref="L1361:L1362"/>
    <mergeCell ref="M1361:M1362"/>
    <mergeCell ref="N1361:N1362"/>
    <mergeCell ref="G1359:G1360"/>
    <mergeCell ref="H1359:H1360"/>
    <mergeCell ref="I1359:I1360"/>
    <mergeCell ref="J1359:J1360"/>
    <mergeCell ref="K1359:K1360"/>
    <mergeCell ref="B1359:B1360"/>
    <mergeCell ref="C1359:C1360"/>
    <mergeCell ref="D1359:D1360"/>
    <mergeCell ref="E1359:E1360"/>
    <mergeCell ref="L1371:L1372"/>
    <mergeCell ref="M1371:M1372"/>
    <mergeCell ref="N1371:N1372"/>
    <mergeCell ref="B1373:B1374"/>
    <mergeCell ref="C1373:C1374"/>
    <mergeCell ref="D1373:D1374"/>
    <mergeCell ref="E1373:E1374"/>
    <mergeCell ref="G1373:G1374"/>
    <mergeCell ref="H1373:H1374"/>
    <mergeCell ref="I1373:I1374"/>
    <mergeCell ref="J1373:J1374"/>
    <mergeCell ref="K1373:K1374"/>
    <mergeCell ref="L1373:L1374"/>
    <mergeCell ref="M1373:M1374"/>
    <mergeCell ref="N1373:N1374"/>
    <mergeCell ref="G1371:G1372"/>
    <mergeCell ref="H1371:H1372"/>
    <mergeCell ref="I1371:I1372"/>
    <mergeCell ref="J1371:J1372"/>
    <mergeCell ref="K1371:K1372"/>
    <mergeCell ref="B1371:B1372"/>
    <mergeCell ref="C1371:C1372"/>
    <mergeCell ref="D1371:D1372"/>
    <mergeCell ref="E1371:E1372"/>
    <mergeCell ref="L1367:L1368"/>
    <mergeCell ref="M1367:M1368"/>
    <mergeCell ref="N1367:N1368"/>
    <mergeCell ref="B1369:B1370"/>
    <mergeCell ref="C1369:C1370"/>
    <mergeCell ref="D1369:D1370"/>
    <mergeCell ref="E1369:E1370"/>
    <mergeCell ref="G1369:G1370"/>
    <mergeCell ref="H1369:H1370"/>
    <mergeCell ref="I1369:I1370"/>
    <mergeCell ref="J1369:J1370"/>
    <mergeCell ref="K1369:K1370"/>
    <mergeCell ref="L1369:L1370"/>
    <mergeCell ref="M1369:M1370"/>
    <mergeCell ref="N1369:N1370"/>
    <mergeCell ref="G1367:G1368"/>
    <mergeCell ref="H1367:H1368"/>
    <mergeCell ref="I1367:I1368"/>
    <mergeCell ref="J1367:J1368"/>
    <mergeCell ref="K1367:K1368"/>
    <mergeCell ref="B1367:B1368"/>
    <mergeCell ref="C1367:C1368"/>
    <mergeCell ref="D1367:D1368"/>
    <mergeCell ref="E1367:E1368"/>
    <mergeCell ref="L1379:L1380"/>
    <mergeCell ref="M1379:M1380"/>
    <mergeCell ref="N1379:N1380"/>
    <mergeCell ref="B1381:B1382"/>
    <mergeCell ref="C1381:C1382"/>
    <mergeCell ref="D1381:D1382"/>
    <mergeCell ref="E1381:E1382"/>
    <mergeCell ref="G1381:G1382"/>
    <mergeCell ref="H1381:H1382"/>
    <mergeCell ref="I1381:I1382"/>
    <mergeCell ref="J1381:J1382"/>
    <mergeCell ref="K1381:K1382"/>
    <mergeCell ref="L1381:L1382"/>
    <mergeCell ref="M1381:M1382"/>
    <mergeCell ref="N1381:N1382"/>
    <mergeCell ref="G1379:G1380"/>
    <mergeCell ref="H1379:H1380"/>
    <mergeCell ref="I1379:I1380"/>
    <mergeCell ref="J1379:J1380"/>
    <mergeCell ref="K1379:K1380"/>
    <mergeCell ref="B1379:B1380"/>
    <mergeCell ref="C1379:C1380"/>
    <mergeCell ref="D1379:D1380"/>
    <mergeCell ref="E1379:E1380"/>
    <mergeCell ref="L1375:L1376"/>
    <mergeCell ref="M1375:M1376"/>
    <mergeCell ref="N1375:N1376"/>
    <mergeCell ref="B1377:B1378"/>
    <mergeCell ref="C1377:C1378"/>
    <mergeCell ref="D1377:D1378"/>
    <mergeCell ref="E1377:E1378"/>
    <mergeCell ref="G1377:G1378"/>
    <mergeCell ref="H1377:H1378"/>
    <mergeCell ref="I1377:I1378"/>
    <mergeCell ref="J1377:J1378"/>
    <mergeCell ref="K1377:K1378"/>
    <mergeCell ref="L1377:L1378"/>
    <mergeCell ref="M1377:M1378"/>
    <mergeCell ref="N1377:N1378"/>
    <mergeCell ref="G1375:G1376"/>
    <mergeCell ref="H1375:H1376"/>
    <mergeCell ref="I1375:I1376"/>
    <mergeCell ref="J1375:J1376"/>
    <mergeCell ref="K1375:K1376"/>
    <mergeCell ref="B1375:B1376"/>
    <mergeCell ref="C1375:C1376"/>
    <mergeCell ref="D1375:D1376"/>
    <mergeCell ref="E1375:E1376"/>
    <mergeCell ref="L1387:L1388"/>
    <mergeCell ref="M1387:M1388"/>
    <mergeCell ref="N1387:N1388"/>
    <mergeCell ref="B1389:B1390"/>
    <mergeCell ref="C1389:C1390"/>
    <mergeCell ref="D1389:D1390"/>
    <mergeCell ref="E1389:E1390"/>
    <mergeCell ref="G1389:G1390"/>
    <mergeCell ref="H1389:H1390"/>
    <mergeCell ref="I1389:I1390"/>
    <mergeCell ref="J1389:J1390"/>
    <mergeCell ref="K1389:K1390"/>
    <mergeCell ref="L1389:L1390"/>
    <mergeCell ref="M1389:M1390"/>
    <mergeCell ref="N1389:N1390"/>
    <mergeCell ref="G1387:G1388"/>
    <mergeCell ref="H1387:H1388"/>
    <mergeCell ref="I1387:I1388"/>
    <mergeCell ref="J1387:J1388"/>
    <mergeCell ref="K1387:K1388"/>
    <mergeCell ref="B1387:B1388"/>
    <mergeCell ref="C1387:C1388"/>
    <mergeCell ref="D1387:D1388"/>
    <mergeCell ref="E1387:E1388"/>
    <mergeCell ref="L1383:L1384"/>
    <mergeCell ref="M1383:M1384"/>
    <mergeCell ref="N1383:N1384"/>
    <mergeCell ref="B1385:B1386"/>
    <mergeCell ref="C1385:C1386"/>
    <mergeCell ref="D1385:D1386"/>
    <mergeCell ref="E1385:E1386"/>
    <mergeCell ref="G1385:G1386"/>
    <mergeCell ref="H1385:H1386"/>
    <mergeCell ref="I1385:I1386"/>
    <mergeCell ref="J1385:J1386"/>
    <mergeCell ref="K1385:K1386"/>
    <mergeCell ref="L1385:L1386"/>
    <mergeCell ref="M1385:M1386"/>
    <mergeCell ref="N1385:N1386"/>
    <mergeCell ref="G1383:G1384"/>
    <mergeCell ref="H1383:H1384"/>
    <mergeCell ref="I1383:I1384"/>
    <mergeCell ref="J1383:J1384"/>
    <mergeCell ref="K1383:K1384"/>
    <mergeCell ref="B1383:B1384"/>
    <mergeCell ref="C1383:C1384"/>
    <mergeCell ref="D1383:D1384"/>
    <mergeCell ref="E1383:E1384"/>
    <mergeCell ref="L1395:L1396"/>
    <mergeCell ref="M1395:M1396"/>
    <mergeCell ref="N1395:N1396"/>
    <mergeCell ref="B1397:B1398"/>
    <mergeCell ref="C1397:C1398"/>
    <mergeCell ref="D1397:D1398"/>
    <mergeCell ref="E1397:E1398"/>
    <mergeCell ref="G1397:G1398"/>
    <mergeCell ref="H1397:H1398"/>
    <mergeCell ref="I1397:I1398"/>
    <mergeCell ref="J1397:J1398"/>
    <mergeCell ref="K1397:K1398"/>
    <mergeCell ref="L1397:L1398"/>
    <mergeCell ref="M1397:M1398"/>
    <mergeCell ref="N1397:N1398"/>
    <mergeCell ref="G1395:G1396"/>
    <mergeCell ref="H1395:H1396"/>
    <mergeCell ref="I1395:I1396"/>
    <mergeCell ref="J1395:J1396"/>
    <mergeCell ref="K1395:K1396"/>
    <mergeCell ref="B1395:B1396"/>
    <mergeCell ref="C1395:C1396"/>
    <mergeCell ref="D1395:D1396"/>
    <mergeCell ref="E1395:E1396"/>
    <mergeCell ref="L1391:L1392"/>
    <mergeCell ref="M1391:M1392"/>
    <mergeCell ref="N1391:N1392"/>
    <mergeCell ref="B1393:B1394"/>
    <mergeCell ref="C1393:C1394"/>
    <mergeCell ref="D1393:D1394"/>
    <mergeCell ref="E1393:E1394"/>
    <mergeCell ref="G1393:G1394"/>
    <mergeCell ref="H1393:H1394"/>
    <mergeCell ref="I1393:I1394"/>
    <mergeCell ref="J1393:J1394"/>
    <mergeCell ref="K1393:K1394"/>
    <mergeCell ref="L1393:L1394"/>
    <mergeCell ref="M1393:M1394"/>
    <mergeCell ref="N1393:N1394"/>
    <mergeCell ref="G1391:G1392"/>
    <mergeCell ref="H1391:H1392"/>
    <mergeCell ref="I1391:I1392"/>
    <mergeCell ref="J1391:J1392"/>
    <mergeCell ref="K1391:K1392"/>
    <mergeCell ref="B1391:B1392"/>
    <mergeCell ref="C1391:C1392"/>
    <mergeCell ref="D1391:D1392"/>
    <mergeCell ref="E1391:E1392"/>
    <mergeCell ref="L1403:L1404"/>
    <mergeCell ref="M1403:M1404"/>
    <mergeCell ref="N1403:N1404"/>
    <mergeCell ref="B1405:B1406"/>
    <mergeCell ref="C1405:C1406"/>
    <mergeCell ref="D1405:D1406"/>
    <mergeCell ref="E1405:E1406"/>
    <mergeCell ref="G1405:G1406"/>
    <mergeCell ref="H1405:H1406"/>
    <mergeCell ref="I1405:I1406"/>
    <mergeCell ref="J1405:J1406"/>
    <mergeCell ref="K1405:K1406"/>
    <mergeCell ref="L1405:L1406"/>
    <mergeCell ref="M1405:M1406"/>
    <mergeCell ref="N1405:N1406"/>
    <mergeCell ref="G1403:G1404"/>
    <mergeCell ref="H1403:H1404"/>
    <mergeCell ref="I1403:I1404"/>
    <mergeCell ref="J1403:J1404"/>
    <mergeCell ref="K1403:K1404"/>
    <mergeCell ref="B1403:B1404"/>
    <mergeCell ref="C1403:C1404"/>
    <mergeCell ref="D1403:D1404"/>
    <mergeCell ref="E1403:E1404"/>
    <mergeCell ref="L1399:L1400"/>
    <mergeCell ref="M1399:M1400"/>
    <mergeCell ref="N1399:N1400"/>
    <mergeCell ref="B1401:B1402"/>
    <mergeCell ref="C1401:C1402"/>
    <mergeCell ref="D1401:D1402"/>
    <mergeCell ref="E1401:E1402"/>
    <mergeCell ref="G1401:G1402"/>
    <mergeCell ref="H1401:H1402"/>
    <mergeCell ref="I1401:I1402"/>
    <mergeCell ref="J1401:J1402"/>
    <mergeCell ref="K1401:K1402"/>
    <mergeCell ref="L1401:L1402"/>
    <mergeCell ref="M1401:M1402"/>
    <mergeCell ref="N1401:N1402"/>
    <mergeCell ref="G1399:G1400"/>
    <mergeCell ref="H1399:H1400"/>
    <mergeCell ref="I1399:I1400"/>
    <mergeCell ref="J1399:J1400"/>
    <mergeCell ref="K1399:K1400"/>
    <mergeCell ref="B1399:B1400"/>
    <mergeCell ref="C1399:C1400"/>
    <mergeCell ref="D1399:D1400"/>
    <mergeCell ref="E1399:E1400"/>
    <mergeCell ref="L1411:L1412"/>
    <mergeCell ref="M1411:M1412"/>
    <mergeCell ref="N1411:N1412"/>
    <mergeCell ref="B1413:B1414"/>
    <mergeCell ref="C1413:C1414"/>
    <mergeCell ref="D1413:D1414"/>
    <mergeCell ref="E1413:E1414"/>
    <mergeCell ref="G1413:G1414"/>
    <mergeCell ref="H1413:H1414"/>
    <mergeCell ref="I1413:I1414"/>
    <mergeCell ref="J1413:J1414"/>
    <mergeCell ref="K1413:K1414"/>
    <mergeCell ref="L1413:L1414"/>
    <mergeCell ref="M1413:M1414"/>
    <mergeCell ref="N1413:N1414"/>
    <mergeCell ref="G1411:G1412"/>
    <mergeCell ref="H1411:H1412"/>
    <mergeCell ref="I1411:I1412"/>
    <mergeCell ref="J1411:J1412"/>
    <mergeCell ref="K1411:K1412"/>
    <mergeCell ref="B1411:B1412"/>
    <mergeCell ref="C1411:C1412"/>
    <mergeCell ref="D1411:D1412"/>
    <mergeCell ref="E1411:E1412"/>
    <mergeCell ref="L1407:L1408"/>
    <mergeCell ref="M1407:M1408"/>
    <mergeCell ref="N1407:N1408"/>
    <mergeCell ref="B1409:B1410"/>
    <mergeCell ref="C1409:C1410"/>
    <mergeCell ref="D1409:D1410"/>
    <mergeCell ref="E1409:E1410"/>
    <mergeCell ref="G1409:G1410"/>
    <mergeCell ref="H1409:H1410"/>
    <mergeCell ref="I1409:I1410"/>
    <mergeCell ref="J1409:J1410"/>
    <mergeCell ref="K1409:K1410"/>
    <mergeCell ref="L1409:L1410"/>
    <mergeCell ref="M1409:M1410"/>
    <mergeCell ref="N1409:N1410"/>
    <mergeCell ref="G1407:G1408"/>
    <mergeCell ref="H1407:H1408"/>
    <mergeCell ref="I1407:I1408"/>
    <mergeCell ref="J1407:J1408"/>
    <mergeCell ref="K1407:K1408"/>
    <mergeCell ref="B1407:B1408"/>
    <mergeCell ref="C1407:C1408"/>
    <mergeCell ref="D1407:D1408"/>
    <mergeCell ref="E1407:E1408"/>
    <mergeCell ref="L1419:L1420"/>
    <mergeCell ref="M1419:M1420"/>
    <mergeCell ref="N1419:N1420"/>
    <mergeCell ref="B1421:B1422"/>
    <mergeCell ref="C1421:C1422"/>
    <mergeCell ref="D1421:D1422"/>
    <mergeCell ref="E1421:E1422"/>
    <mergeCell ref="G1421:G1422"/>
    <mergeCell ref="H1421:H1422"/>
    <mergeCell ref="I1421:I1422"/>
    <mergeCell ref="J1421:J1422"/>
    <mergeCell ref="K1421:K1422"/>
    <mergeCell ref="L1421:L1422"/>
    <mergeCell ref="M1421:M1422"/>
    <mergeCell ref="N1421:N1422"/>
    <mergeCell ref="G1419:G1420"/>
    <mergeCell ref="H1419:H1420"/>
    <mergeCell ref="I1419:I1420"/>
    <mergeCell ref="J1419:J1420"/>
    <mergeCell ref="K1419:K1420"/>
    <mergeCell ref="B1419:B1420"/>
    <mergeCell ref="C1419:C1420"/>
    <mergeCell ref="D1419:D1420"/>
    <mergeCell ref="E1419:E1420"/>
    <mergeCell ref="L1415:L1416"/>
    <mergeCell ref="M1415:M1416"/>
    <mergeCell ref="N1415:N1416"/>
    <mergeCell ref="B1417:B1418"/>
    <mergeCell ref="C1417:C1418"/>
    <mergeCell ref="D1417:D1418"/>
    <mergeCell ref="E1417:E1418"/>
    <mergeCell ref="G1417:G1418"/>
    <mergeCell ref="H1417:H1418"/>
    <mergeCell ref="I1417:I1418"/>
    <mergeCell ref="J1417:J1418"/>
    <mergeCell ref="K1417:K1418"/>
    <mergeCell ref="L1417:L1418"/>
    <mergeCell ref="M1417:M1418"/>
    <mergeCell ref="N1417:N1418"/>
    <mergeCell ref="G1415:G1416"/>
    <mergeCell ref="H1415:H1416"/>
    <mergeCell ref="I1415:I1416"/>
    <mergeCell ref="J1415:J1416"/>
    <mergeCell ref="K1415:K1416"/>
    <mergeCell ref="B1415:B1416"/>
    <mergeCell ref="C1415:C1416"/>
    <mergeCell ref="D1415:D1416"/>
    <mergeCell ref="E1415:E1416"/>
    <mergeCell ref="L1427:L1428"/>
    <mergeCell ref="M1427:M1428"/>
    <mergeCell ref="N1427:N1428"/>
    <mergeCell ref="B1429:B1430"/>
    <mergeCell ref="C1429:C1430"/>
    <mergeCell ref="D1429:D1430"/>
    <mergeCell ref="E1429:E1430"/>
    <mergeCell ref="G1429:G1430"/>
    <mergeCell ref="H1429:H1430"/>
    <mergeCell ref="I1429:I1430"/>
    <mergeCell ref="J1429:J1430"/>
    <mergeCell ref="K1429:K1430"/>
    <mergeCell ref="L1429:L1430"/>
    <mergeCell ref="M1429:M1430"/>
    <mergeCell ref="N1429:N1430"/>
    <mergeCell ref="G1427:G1428"/>
    <mergeCell ref="H1427:H1428"/>
    <mergeCell ref="I1427:I1428"/>
    <mergeCell ref="J1427:J1428"/>
    <mergeCell ref="K1427:K1428"/>
    <mergeCell ref="B1427:B1428"/>
    <mergeCell ref="C1427:C1428"/>
    <mergeCell ref="D1427:D1428"/>
    <mergeCell ref="E1427:E1428"/>
    <mergeCell ref="L1423:L1424"/>
    <mergeCell ref="M1423:M1424"/>
    <mergeCell ref="N1423:N1424"/>
    <mergeCell ref="B1425:B1426"/>
    <mergeCell ref="C1425:C1426"/>
    <mergeCell ref="D1425:D1426"/>
    <mergeCell ref="E1425:E1426"/>
    <mergeCell ref="G1425:G1426"/>
    <mergeCell ref="H1425:H1426"/>
    <mergeCell ref="I1425:I1426"/>
    <mergeCell ref="J1425:J1426"/>
    <mergeCell ref="K1425:K1426"/>
    <mergeCell ref="L1425:L1426"/>
    <mergeCell ref="M1425:M1426"/>
    <mergeCell ref="N1425:N1426"/>
    <mergeCell ref="G1423:G1424"/>
    <mergeCell ref="H1423:H1424"/>
    <mergeCell ref="I1423:I1424"/>
    <mergeCell ref="J1423:J1424"/>
    <mergeCell ref="K1423:K1424"/>
    <mergeCell ref="B1423:B1424"/>
    <mergeCell ref="C1423:C1424"/>
    <mergeCell ref="D1423:D1424"/>
    <mergeCell ref="E1423:E1424"/>
    <mergeCell ref="L1435:L1436"/>
    <mergeCell ref="M1435:M1436"/>
    <mergeCell ref="N1435:N1436"/>
    <mergeCell ref="B1437:B1438"/>
    <mergeCell ref="C1437:C1438"/>
    <mergeCell ref="D1437:D1438"/>
    <mergeCell ref="E1437:E1438"/>
    <mergeCell ref="G1437:G1438"/>
    <mergeCell ref="H1437:H1438"/>
    <mergeCell ref="I1437:I1438"/>
    <mergeCell ref="J1437:J1438"/>
    <mergeCell ref="K1437:K1438"/>
    <mergeCell ref="L1437:L1438"/>
    <mergeCell ref="M1437:M1438"/>
    <mergeCell ref="N1437:N1438"/>
    <mergeCell ref="G1435:G1436"/>
    <mergeCell ref="H1435:H1436"/>
    <mergeCell ref="I1435:I1436"/>
    <mergeCell ref="J1435:J1436"/>
    <mergeCell ref="K1435:K1436"/>
    <mergeCell ref="B1435:B1436"/>
    <mergeCell ref="C1435:C1436"/>
    <mergeCell ref="D1435:D1436"/>
    <mergeCell ref="E1435:E1436"/>
    <mergeCell ref="L1431:L1432"/>
    <mergeCell ref="M1431:M1432"/>
    <mergeCell ref="N1431:N1432"/>
    <mergeCell ref="B1433:B1434"/>
    <mergeCell ref="C1433:C1434"/>
    <mergeCell ref="D1433:D1434"/>
    <mergeCell ref="E1433:E1434"/>
    <mergeCell ref="G1433:G1434"/>
    <mergeCell ref="H1433:H1434"/>
    <mergeCell ref="I1433:I1434"/>
    <mergeCell ref="J1433:J1434"/>
    <mergeCell ref="K1433:K1434"/>
    <mergeCell ref="L1433:L1434"/>
    <mergeCell ref="M1433:M1434"/>
    <mergeCell ref="N1433:N1434"/>
    <mergeCell ref="G1431:G1432"/>
    <mergeCell ref="H1431:H1432"/>
    <mergeCell ref="I1431:I1432"/>
    <mergeCell ref="J1431:J1432"/>
    <mergeCell ref="K1431:K1432"/>
    <mergeCell ref="B1431:B1432"/>
    <mergeCell ref="C1431:C1432"/>
    <mergeCell ref="D1431:D1432"/>
    <mergeCell ref="E1431:E1432"/>
    <mergeCell ref="L1443:L1444"/>
    <mergeCell ref="M1443:M1444"/>
    <mergeCell ref="N1443:N1444"/>
    <mergeCell ref="B1445:B1446"/>
    <mergeCell ref="C1445:C1446"/>
    <mergeCell ref="D1445:D1446"/>
    <mergeCell ref="E1445:E1446"/>
    <mergeCell ref="G1445:G1446"/>
    <mergeCell ref="H1445:H1446"/>
    <mergeCell ref="I1445:I1446"/>
    <mergeCell ref="J1445:J1446"/>
    <mergeCell ref="K1445:K1446"/>
    <mergeCell ref="L1445:L1446"/>
    <mergeCell ref="M1445:M1446"/>
    <mergeCell ref="N1445:N1446"/>
    <mergeCell ref="G1443:G1444"/>
    <mergeCell ref="H1443:H1444"/>
    <mergeCell ref="I1443:I1444"/>
    <mergeCell ref="J1443:J1444"/>
    <mergeCell ref="K1443:K1444"/>
    <mergeCell ref="B1443:B1444"/>
    <mergeCell ref="C1443:C1444"/>
    <mergeCell ref="D1443:D1444"/>
    <mergeCell ref="E1443:E1444"/>
    <mergeCell ref="L1439:L1440"/>
    <mergeCell ref="M1439:M1440"/>
    <mergeCell ref="N1439:N1440"/>
    <mergeCell ref="B1441:B1442"/>
    <mergeCell ref="C1441:C1442"/>
    <mergeCell ref="D1441:D1442"/>
    <mergeCell ref="E1441:E1442"/>
    <mergeCell ref="G1441:G1442"/>
    <mergeCell ref="H1441:H1442"/>
    <mergeCell ref="I1441:I1442"/>
    <mergeCell ref="J1441:J1442"/>
    <mergeCell ref="K1441:K1442"/>
    <mergeCell ref="L1441:L1442"/>
    <mergeCell ref="M1441:M1442"/>
    <mergeCell ref="N1441:N1442"/>
    <mergeCell ref="G1439:G1440"/>
    <mergeCell ref="H1439:H1440"/>
    <mergeCell ref="I1439:I1440"/>
    <mergeCell ref="J1439:J1440"/>
    <mergeCell ref="K1439:K1440"/>
    <mergeCell ref="B1439:B1440"/>
    <mergeCell ref="C1439:C1440"/>
    <mergeCell ref="D1439:D1440"/>
    <mergeCell ref="E1439:E1440"/>
    <mergeCell ref="L1451:L1452"/>
    <mergeCell ref="M1451:M1452"/>
    <mergeCell ref="N1451:N1452"/>
    <mergeCell ref="B1453:B1454"/>
    <mergeCell ref="C1453:C1454"/>
    <mergeCell ref="D1453:D1454"/>
    <mergeCell ref="E1453:E1454"/>
    <mergeCell ref="G1453:G1454"/>
    <mergeCell ref="H1453:H1454"/>
    <mergeCell ref="I1453:I1454"/>
    <mergeCell ref="J1453:J1454"/>
    <mergeCell ref="K1453:K1454"/>
    <mergeCell ref="L1453:L1454"/>
    <mergeCell ref="M1453:M1454"/>
    <mergeCell ref="N1453:N1454"/>
    <mergeCell ref="G1451:G1452"/>
    <mergeCell ref="H1451:H1452"/>
    <mergeCell ref="I1451:I1452"/>
    <mergeCell ref="J1451:J1452"/>
    <mergeCell ref="K1451:K1452"/>
    <mergeCell ref="B1451:B1452"/>
    <mergeCell ref="C1451:C1452"/>
    <mergeCell ref="D1451:D1452"/>
    <mergeCell ref="E1451:E1452"/>
    <mergeCell ref="L1447:L1448"/>
    <mergeCell ref="M1447:M1448"/>
    <mergeCell ref="N1447:N1448"/>
    <mergeCell ref="B1449:B1450"/>
    <mergeCell ref="C1449:C1450"/>
    <mergeCell ref="D1449:D1450"/>
    <mergeCell ref="E1449:E1450"/>
    <mergeCell ref="G1449:G1450"/>
    <mergeCell ref="H1449:H1450"/>
    <mergeCell ref="I1449:I1450"/>
    <mergeCell ref="J1449:J1450"/>
    <mergeCell ref="K1449:K1450"/>
    <mergeCell ref="L1449:L1450"/>
    <mergeCell ref="M1449:M1450"/>
    <mergeCell ref="N1449:N1450"/>
    <mergeCell ref="G1447:G1448"/>
    <mergeCell ref="H1447:H1448"/>
    <mergeCell ref="I1447:I1448"/>
    <mergeCell ref="J1447:J1448"/>
    <mergeCell ref="K1447:K1448"/>
    <mergeCell ref="B1447:B1448"/>
    <mergeCell ref="C1447:C1448"/>
    <mergeCell ref="D1447:D1448"/>
    <mergeCell ref="E1447:E1448"/>
    <mergeCell ref="L1459:L1460"/>
    <mergeCell ref="M1459:M1460"/>
    <mergeCell ref="N1459:N1460"/>
    <mergeCell ref="B1461:B1462"/>
    <mergeCell ref="C1461:C1462"/>
    <mergeCell ref="D1461:D1462"/>
    <mergeCell ref="E1461:E1462"/>
    <mergeCell ref="G1461:G1462"/>
    <mergeCell ref="H1461:H1462"/>
    <mergeCell ref="I1461:I1462"/>
    <mergeCell ref="J1461:J1462"/>
    <mergeCell ref="K1461:K1462"/>
    <mergeCell ref="L1461:L1462"/>
    <mergeCell ref="M1461:M1462"/>
    <mergeCell ref="N1461:N1462"/>
    <mergeCell ref="G1459:G1460"/>
    <mergeCell ref="H1459:H1460"/>
    <mergeCell ref="I1459:I1460"/>
    <mergeCell ref="J1459:J1460"/>
    <mergeCell ref="K1459:K1460"/>
    <mergeCell ref="B1459:B1460"/>
    <mergeCell ref="C1459:C1460"/>
    <mergeCell ref="D1459:D1460"/>
    <mergeCell ref="E1459:E1460"/>
    <mergeCell ref="L1455:L1456"/>
    <mergeCell ref="M1455:M1456"/>
    <mergeCell ref="N1455:N1456"/>
    <mergeCell ref="B1457:B1458"/>
    <mergeCell ref="C1457:C1458"/>
    <mergeCell ref="D1457:D1458"/>
    <mergeCell ref="E1457:E1458"/>
    <mergeCell ref="G1457:G1458"/>
    <mergeCell ref="H1457:H1458"/>
    <mergeCell ref="I1457:I1458"/>
    <mergeCell ref="J1457:J1458"/>
    <mergeCell ref="K1457:K1458"/>
    <mergeCell ref="L1457:L1458"/>
    <mergeCell ref="M1457:M1458"/>
    <mergeCell ref="N1457:N1458"/>
    <mergeCell ref="G1455:G1456"/>
    <mergeCell ref="H1455:H1456"/>
    <mergeCell ref="I1455:I1456"/>
    <mergeCell ref="J1455:J1456"/>
    <mergeCell ref="K1455:K1456"/>
    <mergeCell ref="B1455:B1456"/>
    <mergeCell ref="C1455:C1456"/>
    <mergeCell ref="D1455:D1456"/>
    <mergeCell ref="E1455:E1456"/>
    <mergeCell ref="L1467:L1468"/>
    <mergeCell ref="M1467:M1468"/>
    <mergeCell ref="N1467:N1468"/>
    <mergeCell ref="B1469:B1470"/>
    <mergeCell ref="C1469:C1470"/>
    <mergeCell ref="D1469:D1470"/>
    <mergeCell ref="E1469:E1470"/>
    <mergeCell ref="G1469:G1470"/>
    <mergeCell ref="H1469:H1470"/>
    <mergeCell ref="I1469:I1470"/>
    <mergeCell ref="J1469:J1470"/>
    <mergeCell ref="K1469:K1470"/>
    <mergeCell ref="L1469:L1470"/>
    <mergeCell ref="M1469:M1470"/>
    <mergeCell ref="N1469:N1470"/>
    <mergeCell ref="G1467:G1468"/>
    <mergeCell ref="H1467:H1468"/>
    <mergeCell ref="I1467:I1468"/>
    <mergeCell ref="J1467:J1468"/>
    <mergeCell ref="K1467:K1468"/>
    <mergeCell ref="B1467:B1468"/>
    <mergeCell ref="C1467:C1468"/>
    <mergeCell ref="D1467:D1468"/>
    <mergeCell ref="E1467:E1468"/>
    <mergeCell ref="L1463:L1464"/>
    <mergeCell ref="M1463:M1464"/>
    <mergeCell ref="N1463:N1464"/>
    <mergeCell ref="B1465:B1466"/>
    <mergeCell ref="C1465:C1466"/>
    <mergeCell ref="D1465:D1466"/>
    <mergeCell ref="E1465:E1466"/>
    <mergeCell ref="G1465:G1466"/>
    <mergeCell ref="H1465:H1466"/>
    <mergeCell ref="I1465:I1466"/>
    <mergeCell ref="J1465:J1466"/>
    <mergeCell ref="K1465:K1466"/>
    <mergeCell ref="L1465:L1466"/>
    <mergeCell ref="M1465:M1466"/>
    <mergeCell ref="N1465:N1466"/>
    <mergeCell ref="G1463:G1464"/>
    <mergeCell ref="H1463:H1464"/>
    <mergeCell ref="I1463:I1464"/>
    <mergeCell ref="J1463:J1464"/>
    <mergeCell ref="K1463:K1464"/>
    <mergeCell ref="B1463:B1464"/>
    <mergeCell ref="C1463:C1464"/>
    <mergeCell ref="D1463:D1464"/>
    <mergeCell ref="E1463:E1464"/>
    <mergeCell ref="L1475:L1476"/>
    <mergeCell ref="M1475:M1476"/>
    <mergeCell ref="N1475:N1476"/>
    <mergeCell ref="B1477:B1478"/>
    <mergeCell ref="C1477:C1478"/>
    <mergeCell ref="D1477:D1478"/>
    <mergeCell ref="E1477:E1478"/>
    <mergeCell ref="G1477:G1478"/>
    <mergeCell ref="H1477:H1478"/>
    <mergeCell ref="I1477:I1478"/>
    <mergeCell ref="J1477:J1478"/>
    <mergeCell ref="K1477:K1478"/>
    <mergeCell ref="L1477:L1478"/>
    <mergeCell ref="M1477:M1478"/>
    <mergeCell ref="N1477:N1478"/>
    <mergeCell ref="G1475:G1476"/>
    <mergeCell ref="H1475:H1476"/>
    <mergeCell ref="I1475:I1476"/>
    <mergeCell ref="J1475:J1476"/>
    <mergeCell ref="K1475:K1476"/>
    <mergeCell ref="B1475:B1476"/>
    <mergeCell ref="C1475:C1476"/>
    <mergeCell ref="D1475:D1476"/>
    <mergeCell ref="E1475:E1476"/>
    <mergeCell ref="L1471:L1472"/>
    <mergeCell ref="M1471:M1472"/>
    <mergeCell ref="N1471:N1472"/>
    <mergeCell ref="B1473:B1474"/>
    <mergeCell ref="C1473:C1474"/>
    <mergeCell ref="D1473:D1474"/>
    <mergeCell ref="E1473:E1474"/>
    <mergeCell ref="G1473:G1474"/>
    <mergeCell ref="H1473:H1474"/>
    <mergeCell ref="I1473:I1474"/>
    <mergeCell ref="J1473:J1474"/>
    <mergeCell ref="K1473:K1474"/>
    <mergeCell ref="L1473:L1474"/>
    <mergeCell ref="M1473:M1474"/>
    <mergeCell ref="N1473:N1474"/>
    <mergeCell ref="G1471:G1472"/>
    <mergeCell ref="H1471:H1472"/>
    <mergeCell ref="I1471:I1472"/>
    <mergeCell ref="J1471:J1472"/>
    <mergeCell ref="K1471:K1472"/>
    <mergeCell ref="B1471:B1472"/>
    <mergeCell ref="C1471:C1472"/>
    <mergeCell ref="D1471:D1472"/>
    <mergeCell ref="E1471:E1472"/>
    <mergeCell ref="L1483:L1484"/>
    <mergeCell ref="M1483:M1484"/>
    <mergeCell ref="N1483:N1484"/>
    <mergeCell ref="B1485:B1486"/>
    <mergeCell ref="C1485:C1486"/>
    <mergeCell ref="D1485:D1486"/>
    <mergeCell ref="E1485:E1486"/>
    <mergeCell ref="G1485:G1486"/>
    <mergeCell ref="H1485:H1486"/>
    <mergeCell ref="I1485:I1486"/>
    <mergeCell ref="J1485:J1486"/>
    <mergeCell ref="K1485:K1486"/>
    <mergeCell ref="L1485:L1486"/>
    <mergeCell ref="M1485:M1486"/>
    <mergeCell ref="N1485:N1486"/>
    <mergeCell ref="G1483:G1484"/>
    <mergeCell ref="H1483:H1484"/>
    <mergeCell ref="I1483:I1484"/>
    <mergeCell ref="J1483:J1484"/>
    <mergeCell ref="K1483:K1484"/>
    <mergeCell ref="B1483:B1484"/>
    <mergeCell ref="C1483:C1484"/>
    <mergeCell ref="D1483:D1484"/>
    <mergeCell ref="E1483:E1484"/>
    <mergeCell ref="L1479:L1480"/>
    <mergeCell ref="M1479:M1480"/>
    <mergeCell ref="N1479:N1480"/>
    <mergeCell ref="B1481:B1482"/>
    <mergeCell ref="C1481:C1482"/>
    <mergeCell ref="D1481:D1482"/>
    <mergeCell ref="E1481:E1482"/>
    <mergeCell ref="G1481:G1482"/>
    <mergeCell ref="H1481:H1482"/>
    <mergeCell ref="I1481:I1482"/>
    <mergeCell ref="J1481:J1482"/>
    <mergeCell ref="K1481:K1482"/>
    <mergeCell ref="L1481:L1482"/>
    <mergeCell ref="M1481:M1482"/>
    <mergeCell ref="N1481:N1482"/>
    <mergeCell ref="G1479:G1480"/>
    <mergeCell ref="H1479:H1480"/>
    <mergeCell ref="I1479:I1480"/>
    <mergeCell ref="J1479:J1480"/>
    <mergeCell ref="K1479:K1480"/>
    <mergeCell ref="B1479:B1480"/>
    <mergeCell ref="C1479:C1480"/>
    <mergeCell ref="D1479:D1480"/>
    <mergeCell ref="E1479:E1480"/>
    <mergeCell ref="L1491:L1492"/>
    <mergeCell ref="M1491:M1492"/>
    <mergeCell ref="N1491:N1492"/>
    <mergeCell ref="B1493:B1494"/>
    <mergeCell ref="C1493:C1494"/>
    <mergeCell ref="D1493:D1494"/>
    <mergeCell ref="E1493:E1494"/>
    <mergeCell ref="G1493:G1494"/>
    <mergeCell ref="H1493:H1494"/>
    <mergeCell ref="I1493:I1494"/>
    <mergeCell ref="J1493:J1494"/>
    <mergeCell ref="K1493:K1494"/>
    <mergeCell ref="L1493:L1494"/>
    <mergeCell ref="M1493:M1494"/>
    <mergeCell ref="N1493:N1494"/>
    <mergeCell ref="G1491:G1492"/>
    <mergeCell ref="H1491:H1492"/>
    <mergeCell ref="I1491:I1492"/>
    <mergeCell ref="J1491:J1492"/>
    <mergeCell ref="K1491:K1492"/>
    <mergeCell ref="B1491:B1492"/>
    <mergeCell ref="C1491:C1492"/>
    <mergeCell ref="D1491:D1492"/>
    <mergeCell ref="E1491:E1492"/>
    <mergeCell ref="L1487:L1488"/>
    <mergeCell ref="M1487:M1488"/>
    <mergeCell ref="N1487:N1488"/>
    <mergeCell ref="B1489:B1490"/>
    <mergeCell ref="C1489:C1490"/>
    <mergeCell ref="D1489:D1490"/>
    <mergeCell ref="E1489:E1490"/>
    <mergeCell ref="G1489:G1490"/>
    <mergeCell ref="H1489:H1490"/>
    <mergeCell ref="I1489:I1490"/>
    <mergeCell ref="J1489:J1490"/>
    <mergeCell ref="K1489:K1490"/>
    <mergeCell ref="L1489:L1490"/>
    <mergeCell ref="M1489:M1490"/>
    <mergeCell ref="N1489:N1490"/>
    <mergeCell ref="G1487:G1488"/>
    <mergeCell ref="H1487:H1488"/>
    <mergeCell ref="I1487:I1488"/>
    <mergeCell ref="J1487:J1488"/>
    <mergeCell ref="K1487:K1488"/>
    <mergeCell ref="B1487:B1488"/>
    <mergeCell ref="C1487:C1488"/>
    <mergeCell ref="D1487:D1488"/>
    <mergeCell ref="E1487:E1488"/>
    <mergeCell ref="L1499:L1500"/>
    <mergeCell ref="M1499:M1500"/>
    <mergeCell ref="N1499:N1500"/>
    <mergeCell ref="B1501:B1502"/>
    <mergeCell ref="C1501:C1502"/>
    <mergeCell ref="D1501:D1502"/>
    <mergeCell ref="E1501:E1502"/>
    <mergeCell ref="G1501:G1502"/>
    <mergeCell ref="H1501:H1502"/>
    <mergeCell ref="I1501:I1502"/>
    <mergeCell ref="J1501:J1502"/>
    <mergeCell ref="K1501:K1502"/>
    <mergeCell ref="L1501:L1502"/>
    <mergeCell ref="M1501:M1502"/>
    <mergeCell ref="N1501:N1502"/>
    <mergeCell ref="G1499:G1500"/>
    <mergeCell ref="H1499:H1500"/>
    <mergeCell ref="I1499:I1500"/>
    <mergeCell ref="J1499:J1500"/>
    <mergeCell ref="K1499:K1500"/>
    <mergeCell ref="B1499:B1500"/>
    <mergeCell ref="C1499:C1500"/>
    <mergeCell ref="D1499:D1500"/>
    <mergeCell ref="E1499:E1500"/>
    <mergeCell ref="L1495:L1496"/>
    <mergeCell ref="M1495:M1496"/>
    <mergeCell ref="N1495:N1496"/>
    <mergeCell ref="B1497:B1498"/>
    <mergeCell ref="C1497:C1498"/>
    <mergeCell ref="D1497:D1498"/>
    <mergeCell ref="E1497:E1498"/>
    <mergeCell ref="G1497:G1498"/>
    <mergeCell ref="H1497:H1498"/>
    <mergeCell ref="I1497:I1498"/>
    <mergeCell ref="J1497:J1498"/>
    <mergeCell ref="K1497:K1498"/>
    <mergeCell ref="L1497:L1498"/>
    <mergeCell ref="M1497:M1498"/>
    <mergeCell ref="N1497:N1498"/>
    <mergeCell ref="G1495:G1496"/>
    <mergeCell ref="H1495:H1496"/>
    <mergeCell ref="I1495:I1496"/>
    <mergeCell ref="J1495:J1496"/>
    <mergeCell ref="K1495:K1496"/>
    <mergeCell ref="B1495:B1496"/>
    <mergeCell ref="C1495:C1496"/>
    <mergeCell ref="D1495:D1496"/>
    <mergeCell ref="E1495:E1496"/>
    <mergeCell ref="L1507:L1508"/>
    <mergeCell ref="M1507:M1508"/>
    <mergeCell ref="N1507:N1508"/>
    <mergeCell ref="B1509:B1510"/>
    <mergeCell ref="C1509:C1510"/>
    <mergeCell ref="D1509:D1510"/>
    <mergeCell ref="E1509:E1510"/>
    <mergeCell ref="G1509:G1510"/>
    <mergeCell ref="H1509:H1510"/>
    <mergeCell ref="I1509:I1510"/>
    <mergeCell ref="J1509:J1510"/>
    <mergeCell ref="K1509:K1510"/>
    <mergeCell ref="L1509:L1510"/>
    <mergeCell ref="M1509:M1510"/>
    <mergeCell ref="N1509:N1510"/>
    <mergeCell ref="G1507:G1508"/>
    <mergeCell ref="H1507:H1508"/>
    <mergeCell ref="I1507:I1508"/>
    <mergeCell ref="J1507:J1508"/>
    <mergeCell ref="K1507:K1508"/>
    <mergeCell ref="B1507:B1508"/>
    <mergeCell ref="C1507:C1508"/>
    <mergeCell ref="D1507:D1508"/>
    <mergeCell ref="E1507:E1508"/>
    <mergeCell ref="L1503:L1504"/>
    <mergeCell ref="M1503:M1504"/>
    <mergeCell ref="N1503:N1504"/>
    <mergeCell ref="B1505:B1506"/>
    <mergeCell ref="C1505:C1506"/>
    <mergeCell ref="D1505:D1506"/>
    <mergeCell ref="E1505:E1506"/>
    <mergeCell ref="G1505:G1506"/>
    <mergeCell ref="H1505:H1506"/>
    <mergeCell ref="I1505:I1506"/>
    <mergeCell ref="J1505:J1506"/>
    <mergeCell ref="K1505:K1506"/>
    <mergeCell ref="L1505:L1506"/>
    <mergeCell ref="M1505:M1506"/>
    <mergeCell ref="N1505:N1506"/>
    <mergeCell ref="G1503:G1504"/>
    <mergeCell ref="H1503:H1504"/>
    <mergeCell ref="I1503:I1504"/>
    <mergeCell ref="J1503:J1504"/>
    <mergeCell ref="K1503:K1504"/>
    <mergeCell ref="B1503:B1504"/>
    <mergeCell ref="C1503:C1504"/>
    <mergeCell ref="D1503:D1504"/>
    <mergeCell ref="E1503:E1504"/>
    <mergeCell ref="L1515:L1516"/>
    <mergeCell ref="M1515:M1516"/>
    <mergeCell ref="N1515:N1516"/>
    <mergeCell ref="B1517:B1518"/>
    <mergeCell ref="C1517:C1518"/>
    <mergeCell ref="D1517:D1518"/>
    <mergeCell ref="E1517:E1518"/>
    <mergeCell ref="G1517:G1518"/>
    <mergeCell ref="H1517:H1518"/>
    <mergeCell ref="I1517:I1518"/>
    <mergeCell ref="J1517:J1518"/>
    <mergeCell ref="K1517:K1518"/>
    <mergeCell ref="L1517:L1518"/>
    <mergeCell ref="M1517:M1518"/>
    <mergeCell ref="N1517:N1518"/>
    <mergeCell ref="G1515:G1516"/>
    <mergeCell ref="H1515:H1516"/>
    <mergeCell ref="I1515:I1516"/>
    <mergeCell ref="J1515:J1516"/>
    <mergeCell ref="K1515:K1516"/>
    <mergeCell ref="B1515:B1516"/>
    <mergeCell ref="C1515:C1516"/>
    <mergeCell ref="D1515:D1516"/>
    <mergeCell ref="E1515:E1516"/>
    <mergeCell ref="L1511:L1512"/>
    <mergeCell ref="M1511:M1512"/>
    <mergeCell ref="N1511:N1512"/>
    <mergeCell ref="B1513:B1514"/>
    <mergeCell ref="C1513:C1514"/>
    <mergeCell ref="D1513:D1514"/>
    <mergeCell ref="E1513:E1514"/>
    <mergeCell ref="G1513:G1514"/>
    <mergeCell ref="H1513:H1514"/>
    <mergeCell ref="I1513:I1514"/>
    <mergeCell ref="J1513:J1514"/>
    <mergeCell ref="K1513:K1514"/>
    <mergeCell ref="L1513:L1514"/>
    <mergeCell ref="M1513:M1514"/>
    <mergeCell ref="N1513:N1514"/>
    <mergeCell ref="G1511:G1512"/>
    <mergeCell ref="H1511:H1512"/>
    <mergeCell ref="I1511:I1512"/>
    <mergeCell ref="J1511:J1512"/>
    <mergeCell ref="K1511:K1512"/>
    <mergeCell ref="B1511:B1512"/>
    <mergeCell ref="C1511:C1512"/>
    <mergeCell ref="D1511:D1512"/>
    <mergeCell ref="E1511:E1512"/>
    <mergeCell ref="L1523:L1524"/>
    <mergeCell ref="M1523:M1524"/>
    <mergeCell ref="N1523:N1524"/>
    <mergeCell ref="B1525:B1526"/>
    <mergeCell ref="C1525:C1526"/>
    <mergeCell ref="D1525:D1526"/>
    <mergeCell ref="E1525:E1526"/>
    <mergeCell ref="G1525:G1526"/>
    <mergeCell ref="H1525:H1526"/>
    <mergeCell ref="I1525:I1526"/>
    <mergeCell ref="J1525:J1526"/>
    <mergeCell ref="K1525:K1526"/>
    <mergeCell ref="L1525:L1526"/>
    <mergeCell ref="M1525:M1526"/>
    <mergeCell ref="N1525:N1526"/>
    <mergeCell ref="G1523:G1524"/>
    <mergeCell ref="H1523:H1524"/>
    <mergeCell ref="I1523:I1524"/>
    <mergeCell ref="J1523:J1524"/>
    <mergeCell ref="K1523:K1524"/>
    <mergeCell ref="B1523:B1524"/>
    <mergeCell ref="C1523:C1524"/>
    <mergeCell ref="D1523:D1524"/>
    <mergeCell ref="E1523:E1524"/>
    <mergeCell ref="L1519:L1520"/>
    <mergeCell ref="M1519:M1520"/>
    <mergeCell ref="N1519:N1520"/>
    <mergeCell ref="B1521:B1522"/>
    <mergeCell ref="C1521:C1522"/>
    <mergeCell ref="D1521:D1522"/>
    <mergeCell ref="E1521:E1522"/>
    <mergeCell ref="G1521:G1522"/>
    <mergeCell ref="H1521:H1522"/>
    <mergeCell ref="I1521:I1522"/>
    <mergeCell ref="J1521:J1522"/>
    <mergeCell ref="K1521:K1522"/>
    <mergeCell ref="L1521:L1522"/>
    <mergeCell ref="M1521:M1522"/>
    <mergeCell ref="N1521:N1522"/>
    <mergeCell ref="G1519:G1520"/>
    <mergeCell ref="H1519:H1520"/>
    <mergeCell ref="I1519:I1520"/>
    <mergeCell ref="J1519:J1520"/>
    <mergeCell ref="K1519:K1520"/>
    <mergeCell ref="B1519:B1520"/>
    <mergeCell ref="C1519:C1520"/>
    <mergeCell ref="D1519:D1520"/>
    <mergeCell ref="E1519:E1520"/>
    <mergeCell ref="L1531:L1532"/>
    <mergeCell ref="M1531:M1532"/>
    <mergeCell ref="N1531:N1532"/>
    <mergeCell ref="B1533:B1534"/>
    <mergeCell ref="C1533:C1534"/>
    <mergeCell ref="D1533:D1534"/>
    <mergeCell ref="E1533:E1534"/>
    <mergeCell ref="G1533:G1534"/>
    <mergeCell ref="H1533:H1534"/>
    <mergeCell ref="I1533:I1534"/>
    <mergeCell ref="J1533:J1534"/>
    <mergeCell ref="K1533:K1534"/>
    <mergeCell ref="L1533:L1534"/>
    <mergeCell ref="M1533:M1534"/>
    <mergeCell ref="N1533:N1534"/>
    <mergeCell ref="G1531:G1532"/>
    <mergeCell ref="H1531:H1532"/>
    <mergeCell ref="I1531:I1532"/>
    <mergeCell ref="J1531:J1532"/>
    <mergeCell ref="K1531:K1532"/>
    <mergeCell ref="B1531:B1532"/>
    <mergeCell ref="C1531:C1532"/>
    <mergeCell ref="D1531:D1532"/>
    <mergeCell ref="E1531:E1532"/>
    <mergeCell ref="L1527:L1528"/>
    <mergeCell ref="M1527:M1528"/>
    <mergeCell ref="N1527:N1528"/>
    <mergeCell ref="B1529:B1530"/>
    <mergeCell ref="C1529:C1530"/>
    <mergeCell ref="D1529:D1530"/>
    <mergeCell ref="E1529:E1530"/>
    <mergeCell ref="G1529:G1530"/>
    <mergeCell ref="H1529:H1530"/>
    <mergeCell ref="I1529:I1530"/>
    <mergeCell ref="J1529:J1530"/>
    <mergeCell ref="K1529:K1530"/>
    <mergeCell ref="L1529:L1530"/>
    <mergeCell ref="M1529:M1530"/>
    <mergeCell ref="N1529:N1530"/>
    <mergeCell ref="G1527:G1528"/>
    <mergeCell ref="H1527:H1528"/>
    <mergeCell ref="I1527:I1528"/>
    <mergeCell ref="J1527:J1528"/>
    <mergeCell ref="K1527:K1528"/>
    <mergeCell ref="B1527:B1528"/>
    <mergeCell ref="C1527:C1528"/>
    <mergeCell ref="D1527:D1528"/>
    <mergeCell ref="E1527:E1528"/>
    <mergeCell ref="L1539:L1540"/>
    <mergeCell ref="M1539:M1540"/>
    <mergeCell ref="N1539:N1540"/>
    <mergeCell ref="B1541:B1542"/>
    <mergeCell ref="C1541:C1542"/>
    <mergeCell ref="D1541:D1542"/>
    <mergeCell ref="E1541:E1542"/>
    <mergeCell ref="G1541:G1542"/>
    <mergeCell ref="H1541:H1542"/>
    <mergeCell ref="I1541:I1542"/>
    <mergeCell ref="J1541:J1542"/>
    <mergeCell ref="K1541:K1542"/>
    <mergeCell ref="L1541:L1542"/>
    <mergeCell ref="M1541:M1542"/>
    <mergeCell ref="N1541:N1542"/>
    <mergeCell ref="G1539:G1540"/>
    <mergeCell ref="H1539:H1540"/>
    <mergeCell ref="I1539:I1540"/>
    <mergeCell ref="J1539:J1540"/>
    <mergeCell ref="K1539:K1540"/>
    <mergeCell ref="B1539:B1540"/>
    <mergeCell ref="C1539:C1540"/>
    <mergeCell ref="D1539:D1540"/>
    <mergeCell ref="E1539:E1540"/>
    <mergeCell ref="L1535:L1536"/>
    <mergeCell ref="M1535:M1536"/>
    <mergeCell ref="N1535:N1536"/>
    <mergeCell ref="B1537:B1538"/>
    <mergeCell ref="C1537:C1538"/>
    <mergeCell ref="D1537:D1538"/>
    <mergeCell ref="E1537:E1538"/>
    <mergeCell ref="G1537:G1538"/>
    <mergeCell ref="H1537:H1538"/>
    <mergeCell ref="I1537:I1538"/>
    <mergeCell ref="J1537:J1538"/>
    <mergeCell ref="K1537:K1538"/>
    <mergeCell ref="L1537:L1538"/>
    <mergeCell ref="M1537:M1538"/>
    <mergeCell ref="N1537:N1538"/>
    <mergeCell ref="G1535:G1536"/>
    <mergeCell ref="H1535:H1536"/>
    <mergeCell ref="I1535:I1536"/>
    <mergeCell ref="J1535:J1536"/>
    <mergeCell ref="K1535:K1536"/>
    <mergeCell ref="B1535:B1536"/>
    <mergeCell ref="C1535:C1536"/>
    <mergeCell ref="D1535:D1536"/>
    <mergeCell ref="E1535:E1536"/>
    <mergeCell ref="L1547:L1548"/>
    <mergeCell ref="M1547:M1548"/>
    <mergeCell ref="N1547:N1548"/>
    <mergeCell ref="B1549:B1550"/>
    <mergeCell ref="C1549:C1550"/>
    <mergeCell ref="D1549:D1550"/>
    <mergeCell ref="E1549:E1550"/>
    <mergeCell ref="G1549:G1550"/>
    <mergeCell ref="H1549:H1550"/>
    <mergeCell ref="I1549:I1550"/>
    <mergeCell ref="J1549:J1550"/>
    <mergeCell ref="K1549:K1550"/>
    <mergeCell ref="L1549:L1550"/>
    <mergeCell ref="M1549:M1550"/>
    <mergeCell ref="N1549:N1550"/>
    <mergeCell ref="G1547:G1548"/>
    <mergeCell ref="H1547:H1548"/>
    <mergeCell ref="I1547:I1548"/>
    <mergeCell ref="J1547:J1548"/>
    <mergeCell ref="K1547:K1548"/>
    <mergeCell ref="B1547:B1548"/>
    <mergeCell ref="C1547:C1548"/>
    <mergeCell ref="D1547:D1548"/>
    <mergeCell ref="E1547:E1548"/>
    <mergeCell ref="L1543:L1544"/>
    <mergeCell ref="M1543:M1544"/>
    <mergeCell ref="N1543:N1544"/>
    <mergeCell ref="B1545:B1546"/>
    <mergeCell ref="C1545:C1546"/>
    <mergeCell ref="D1545:D1546"/>
    <mergeCell ref="E1545:E1546"/>
    <mergeCell ref="G1545:G1546"/>
    <mergeCell ref="H1545:H1546"/>
    <mergeCell ref="I1545:I1546"/>
    <mergeCell ref="J1545:J1546"/>
    <mergeCell ref="K1545:K1546"/>
    <mergeCell ref="L1545:L1546"/>
    <mergeCell ref="M1545:M1546"/>
    <mergeCell ref="N1545:N1546"/>
    <mergeCell ref="G1543:G1544"/>
    <mergeCell ref="H1543:H1544"/>
    <mergeCell ref="I1543:I1544"/>
    <mergeCell ref="J1543:J1544"/>
    <mergeCell ref="K1543:K1544"/>
    <mergeCell ref="B1543:B1544"/>
    <mergeCell ref="C1543:C1544"/>
    <mergeCell ref="D1543:D1544"/>
    <mergeCell ref="E1543:E1544"/>
    <mergeCell ref="L1555:L1556"/>
    <mergeCell ref="M1555:M1556"/>
    <mergeCell ref="N1555:N1556"/>
    <mergeCell ref="B1557:B1558"/>
    <mergeCell ref="C1557:C1558"/>
    <mergeCell ref="D1557:D1558"/>
    <mergeCell ref="E1557:E1558"/>
    <mergeCell ref="G1557:G1558"/>
    <mergeCell ref="H1557:H1558"/>
    <mergeCell ref="I1557:I1558"/>
    <mergeCell ref="J1557:J1558"/>
    <mergeCell ref="K1557:K1558"/>
    <mergeCell ref="L1557:L1558"/>
    <mergeCell ref="M1557:M1558"/>
    <mergeCell ref="N1557:N1558"/>
    <mergeCell ref="G1555:G1556"/>
    <mergeCell ref="H1555:H1556"/>
    <mergeCell ref="I1555:I1556"/>
    <mergeCell ref="J1555:J1556"/>
    <mergeCell ref="K1555:K1556"/>
    <mergeCell ref="B1555:B1556"/>
    <mergeCell ref="C1555:C1556"/>
    <mergeCell ref="D1555:D1556"/>
    <mergeCell ref="E1555:E1556"/>
    <mergeCell ref="L1551:L1552"/>
    <mergeCell ref="M1551:M1552"/>
    <mergeCell ref="N1551:N1552"/>
    <mergeCell ref="B1553:B1554"/>
    <mergeCell ref="C1553:C1554"/>
    <mergeCell ref="D1553:D1554"/>
    <mergeCell ref="E1553:E1554"/>
    <mergeCell ref="G1553:G1554"/>
    <mergeCell ref="H1553:H1554"/>
    <mergeCell ref="I1553:I1554"/>
    <mergeCell ref="J1553:J1554"/>
    <mergeCell ref="K1553:K1554"/>
    <mergeCell ref="L1553:L1554"/>
    <mergeCell ref="M1553:M1554"/>
    <mergeCell ref="N1553:N1554"/>
    <mergeCell ref="G1551:G1552"/>
    <mergeCell ref="H1551:H1552"/>
    <mergeCell ref="I1551:I1552"/>
    <mergeCell ref="J1551:J1552"/>
    <mergeCell ref="K1551:K1552"/>
    <mergeCell ref="B1551:B1552"/>
    <mergeCell ref="C1551:C1552"/>
    <mergeCell ref="D1551:D1552"/>
    <mergeCell ref="E1551:E1552"/>
    <mergeCell ref="L1563:L1564"/>
    <mergeCell ref="M1563:M1564"/>
    <mergeCell ref="N1563:N1564"/>
    <mergeCell ref="B1565:B1566"/>
    <mergeCell ref="C1565:C1566"/>
    <mergeCell ref="D1565:D1566"/>
    <mergeCell ref="E1565:E1566"/>
    <mergeCell ref="G1565:G1566"/>
    <mergeCell ref="H1565:H1566"/>
    <mergeCell ref="I1565:I1566"/>
    <mergeCell ref="J1565:J1566"/>
    <mergeCell ref="K1565:K1566"/>
    <mergeCell ref="L1565:L1566"/>
    <mergeCell ref="M1565:M1566"/>
    <mergeCell ref="N1565:N1566"/>
    <mergeCell ref="G1563:G1564"/>
    <mergeCell ref="H1563:H1564"/>
    <mergeCell ref="I1563:I1564"/>
    <mergeCell ref="J1563:J1564"/>
    <mergeCell ref="K1563:K1564"/>
    <mergeCell ref="B1563:B1564"/>
    <mergeCell ref="C1563:C1564"/>
    <mergeCell ref="D1563:D1564"/>
    <mergeCell ref="E1563:E1564"/>
    <mergeCell ref="L1559:L1560"/>
    <mergeCell ref="M1559:M1560"/>
    <mergeCell ref="N1559:N1560"/>
    <mergeCell ref="B1561:B1562"/>
    <mergeCell ref="C1561:C1562"/>
    <mergeCell ref="D1561:D1562"/>
    <mergeCell ref="E1561:E1562"/>
    <mergeCell ref="G1561:G1562"/>
    <mergeCell ref="H1561:H1562"/>
    <mergeCell ref="I1561:I1562"/>
    <mergeCell ref="J1561:J1562"/>
    <mergeCell ref="K1561:K1562"/>
    <mergeCell ref="L1561:L1562"/>
    <mergeCell ref="M1561:M1562"/>
    <mergeCell ref="N1561:N1562"/>
    <mergeCell ref="G1559:G1560"/>
    <mergeCell ref="H1559:H1560"/>
    <mergeCell ref="I1559:I1560"/>
    <mergeCell ref="J1559:J1560"/>
    <mergeCell ref="K1559:K1560"/>
    <mergeCell ref="B1559:B1560"/>
    <mergeCell ref="C1559:C1560"/>
    <mergeCell ref="D1559:D1560"/>
    <mergeCell ref="E1559:E1560"/>
    <mergeCell ref="L1571:L1572"/>
    <mergeCell ref="M1571:M1572"/>
    <mergeCell ref="N1571:N1572"/>
    <mergeCell ref="B1573:B1574"/>
    <mergeCell ref="C1573:C1574"/>
    <mergeCell ref="D1573:D1574"/>
    <mergeCell ref="E1573:E1574"/>
    <mergeCell ref="G1573:G1574"/>
    <mergeCell ref="H1573:H1574"/>
    <mergeCell ref="I1573:I1574"/>
    <mergeCell ref="J1573:J1574"/>
    <mergeCell ref="K1573:K1574"/>
    <mergeCell ref="L1573:L1574"/>
    <mergeCell ref="M1573:M1574"/>
    <mergeCell ref="N1573:N1574"/>
    <mergeCell ref="G1571:G1572"/>
    <mergeCell ref="H1571:H1572"/>
    <mergeCell ref="I1571:I1572"/>
    <mergeCell ref="J1571:J1572"/>
    <mergeCell ref="K1571:K1572"/>
    <mergeCell ref="B1571:B1572"/>
    <mergeCell ref="C1571:C1572"/>
    <mergeCell ref="D1571:D1572"/>
    <mergeCell ref="E1571:E1572"/>
    <mergeCell ref="L1567:L1568"/>
    <mergeCell ref="M1567:M1568"/>
    <mergeCell ref="N1567:N1568"/>
    <mergeCell ref="B1569:B1570"/>
    <mergeCell ref="C1569:C1570"/>
    <mergeCell ref="D1569:D1570"/>
    <mergeCell ref="E1569:E1570"/>
    <mergeCell ref="G1569:G1570"/>
    <mergeCell ref="H1569:H1570"/>
    <mergeCell ref="I1569:I1570"/>
    <mergeCell ref="J1569:J1570"/>
    <mergeCell ref="K1569:K1570"/>
    <mergeCell ref="L1569:L1570"/>
    <mergeCell ref="M1569:M1570"/>
    <mergeCell ref="N1569:N1570"/>
    <mergeCell ref="G1567:G1568"/>
    <mergeCell ref="H1567:H1568"/>
    <mergeCell ref="I1567:I1568"/>
    <mergeCell ref="J1567:J1568"/>
    <mergeCell ref="K1567:K1568"/>
    <mergeCell ref="B1567:B1568"/>
    <mergeCell ref="C1567:C1568"/>
    <mergeCell ref="D1567:D1568"/>
    <mergeCell ref="E1567:E1568"/>
    <mergeCell ref="L1579:L1580"/>
    <mergeCell ref="M1579:M1580"/>
    <mergeCell ref="N1579:N1580"/>
    <mergeCell ref="B1581:B1582"/>
    <mergeCell ref="C1581:C1582"/>
    <mergeCell ref="D1581:D1582"/>
    <mergeCell ref="E1581:E1582"/>
    <mergeCell ref="G1581:G1582"/>
    <mergeCell ref="H1581:H1582"/>
    <mergeCell ref="I1581:I1582"/>
    <mergeCell ref="J1581:J1582"/>
    <mergeCell ref="K1581:K1582"/>
    <mergeCell ref="L1581:L1582"/>
    <mergeCell ref="M1581:M1582"/>
    <mergeCell ref="N1581:N1582"/>
    <mergeCell ref="G1579:G1580"/>
    <mergeCell ref="H1579:H1580"/>
    <mergeCell ref="I1579:I1580"/>
    <mergeCell ref="J1579:J1580"/>
    <mergeCell ref="K1579:K1580"/>
    <mergeCell ref="B1579:B1580"/>
    <mergeCell ref="C1579:C1580"/>
    <mergeCell ref="D1579:D1580"/>
    <mergeCell ref="E1579:E1580"/>
    <mergeCell ref="L1575:L1576"/>
    <mergeCell ref="M1575:M1576"/>
    <mergeCell ref="N1575:N1576"/>
    <mergeCell ref="B1577:B1578"/>
    <mergeCell ref="C1577:C1578"/>
    <mergeCell ref="D1577:D1578"/>
    <mergeCell ref="E1577:E1578"/>
    <mergeCell ref="G1577:G1578"/>
    <mergeCell ref="H1577:H1578"/>
    <mergeCell ref="I1577:I1578"/>
    <mergeCell ref="J1577:J1578"/>
    <mergeCell ref="K1577:K1578"/>
    <mergeCell ref="L1577:L1578"/>
    <mergeCell ref="M1577:M1578"/>
    <mergeCell ref="N1577:N1578"/>
    <mergeCell ref="G1575:G1576"/>
    <mergeCell ref="H1575:H1576"/>
    <mergeCell ref="I1575:I1576"/>
    <mergeCell ref="J1575:J1576"/>
    <mergeCell ref="K1575:K1576"/>
    <mergeCell ref="B1575:B1576"/>
    <mergeCell ref="C1575:C1576"/>
    <mergeCell ref="D1575:D1576"/>
    <mergeCell ref="E1575:E1576"/>
    <mergeCell ref="L1587:L1588"/>
    <mergeCell ref="M1587:M1588"/>
    <mergeCell ref="N1587:N1588"/>
    <mergeCell ref="B1589:B1590"/>
    <mergeCell ref="C1589:C1590"/>
    <mergeCell ref="D1589:D1590"/>
    <mergeCell ref="E1589:E1590"/>
    <mergeCell ref="G1589:G1590"/>
    <mergeCell ref="H1589:H1590"/>
    <mergeCell ref="I1589:I1590"/>
    <mergeCell ref="J1589:J1590"/>
    <mergeCell ref="K1589:K1590"/>
    <mergeCell ref="L1589:L1590"/>
    <mergeCell ref="M1589:M1590"/>
    <mergeCell ref="N1589:N1590"/>
    <mergeCell ref="G1587:G1588"/>
    <mergeCell ref="H1587:H1588"/>
    <mergeCell ref="I1587:I1588"/>
    <mergeCell ref="J1587:J1588"/>
    <mergeCell ref="K1587:K1588"/>
    <mergeCell ref="B1587:B1588"/>
    <mergeCell ref="C1587:C1588"/>
    <mergeCell ref="D1587:D1588"/>
    <mergeCell ref="E1587:E1588"/>
    <mergeCell ref="L1583:L1584"/>
    <mergeCell ref="M1583:M1584"/>
    <mergeCell ref="N1583:N1584"/>
    <mergeCell ref="B1585:B1586"/>
    <mergeCell ref="C1585:C1586"/>
    <mergeCell ref="D1585:D1586"/>
    <mergeCell ref="E1585:E1586"/>
    <mergeCell ref="G1585:G1586"/>
    <mergeCell ref="H1585:H1586"/>
    <mergeCell ref="I1585:I1586"/>
    <mergeCell ref="J1585:J1586"/>
    <mergeCell ref="K1585:K1586"/>
    <mergeCell ref="L1585:L1586"/>
    <mergeCell ref="M1585:M1586"/>
    <mergeCell ref="N1585:N1586"/>
    <mergeCell ref="G1583:G1584"/>
    <mergeCell ref="H1583:H1584"/>
    <mergeCell ref="I1583:I1584"/>
    <mergeCell ref="J1583:J1584"/>
    <mergeCell ref="K1583:K1584"/>
    <mergeCell ref="B1583:B1584"/>
    <mergeCell ref="C1583:C1584"/>
    <mergeCell ref="D1583:D1584"/>
    <mergeCell ref="E1583:E1584"/>
    <mergeCell ref="L1595:L1596"/>
    <mergeCell ref="M1595:M1596"/>
    <mergeCell ref="N1595:N1596"/>
    <mergeCell ref="B1597:B1598"/>
    <mergeCell ref="C1597:C1598"/>
    <mergeCell ref="D1597:D1598"/>
    <mergeCell ref="E1597:E1598"/>
    <mergeCell ref="G1597:G1598"/>
    <mergeCell ref="H1597:H1598"/>
    <mergeCell ref="I1597:I1598"/>
    <mergeCell ref="J1597:J1598"/>
    <mergeCell ref="K1597:K1598"/>
    <mergeCell ref="L1597:L1598"/>
    <mergeCell ref="M1597:M1598"/>
    <mergeCell ref="N1597:N1598"/>
    <mergeCell ref="G1595:G1596"/>
    <mergeCell ref="H1595:H1596"/>
    <mergeCell ref="I1595:I1596"/>
    <mergeCell ref="J1595:J1596"/>
    <mergeCell ref="K1595:K1596"/>
    <mergeCell ref="B1595:B1596"/>
    <mergeCell ref="C1595:C1596"/>
    <mergeCell ref="D1595:D1596"/>
    <mergeCell ref="E1595:E1596"/>
    <mergeCell ref="L1591:L1592"/>
    <mergeCell ref="M1591:M1592"/>
    <mergeCell ref="N1591:N1592"/>
    <mergeCell ref="B1593:B1594"/>
    <mergeCell ref="C1593:C1594"/>
    <mergeCell ref="D1593:D1594"/>
    <mergeCell ref="E1593:E1594"/>
    <mergeCell ref="G1593:G1594"/>
    <mergeCell ref="H1593:H1594"/>
    <mergeCell ref="I1593:I1594"/>
    <mergeCell ref="J1593:J1594"/>
    <mergeCell ref="K1593:K1594"/>
    <mergeCell ref="L1593:L1594"/>
    <mergeCell ref="M1593:M1594"/>
    <mergeCell ref="N1593:N1594"/>
    <mergeCell ref="G1591:G1592"/>
    <mergeCell ref="H1591:H1592"/>
    <mergeCell ref="I1591:I1592"/>
    <mergeCell ref="J1591:J1592"/>
    <mergeCell ref="K1591:K1592"/>
    <mergeCell ref="B1591:B1592"/>
    <mergeCell ref="C1591:C1592"/>
    <mergeCell ref="D1591:D1592"/>
    <mergeCell ref="E1591:E1592"/>
    <mergeCell ref="L1603:L1604"/>
    <mergeCell ref="M1603:M1604"/>
    <mergeCell ref="N1603:N1604"/>
    <mergeCell ref="B1605:B1606"/>
    <mergeCell ref="C1605:C1606"/>
    <mergeCell ref="D1605:D1606"/>
    <mergeCell ref="E1605:E1606"/>
    <mergeCell ref="G1605:G1606"/>
    <mergeCell ref="H1605:H1606"/>
    <mergeCell ref="I1605:I1606"/>
    <mergeCell ref="J1605:J1606"/>
    <mergeCell ref="K1605:K1606"/>
    <mergeCell ref="L1605:L1606"/>
    <mergeCell ref="M1605:M1606"/>
    <mergeCell ref="N1605:N1606"/>
    <mergeCell ref="G1603:G1604"/>
    <mergeCell ref="H1603:H1604"/>
    <mergeCell ref="I1603:I1604"/>
    <mergeCell ref="J1603:J1604"/>
    <mergeCell ref="K1603:K1604"/>
    <mergeCell ref="B1603:B1604"/>
    <mergeCell ref="C1603:C1604"/>
    <mergeCell ref="D1603:D1604"/>
    <mergeCell ref="E1603:E1604"/>
    <mergeCell ref="L1599:L1600"/>
    <mergeCell ref="M1599:M1600"/>
    <mergeCell ref="N1599:N1600"/>
    <mergeCell ref="B1601:B1602"/>
    <mergeCell ref="C1601:C1602"/>
    <mergeCell ref="D1601:D1602"/>
    <mergeCell ref="E1601:E1602"/>
    <mergeCell ref="G1601:G1602"/>
    <mergeCell ref="H1601:H1602"/>
    <mergeCell ref="I1601:I1602"/>
    <mergeCell ref="J1601:J1602"/>
    <mergeCell ref="K1601:K1602"/>
    <mergeCell ref="L1601:L1602"/>
    <mergeCell ref="M1601:M1602"/>
    <mergeCell ref="N1601:N1602"/>
    <mergeCell ref="G1599:G1600"/>
    <mergeCell ref="H1599:H1600"/>
    <mergeCell ref="I1599:I1600"/>
    <mergeCell ref="J1599:J1600"/>
    <mergeCell ref="K1599:K1600"/>
    <mergeCell ref="B1599:B1600"/>
    <mergeCell ref="C1599:C1600"/>
    <mergeCell ref="D1599:D1600"/>
    <mergeCell ref="E1599:E1600"/>
    <mergeCell ref="L1611:L1612"/>
    <mergeCell ref="M1611:M1612"/>
    <mergeCell ref="N1611:N1612"/>
    <mergeCell ref="B1613:B1614"/>
    <mergeCell ref="C1613:C1614"/>
    <mergeCell ref="D1613:D1614"/>
    <mergeCell ref="E1613:E1614"/>
    <mergeCell ref="G1613:G1614"/>
    <mergeCell ref="H1613:H1614"/>
    <mergeCell ref="I1613:I1614"/>
    <mergeCell ref="J1613:J1614"/>
    <mergeCell ref="K1613:K1614"/>
    <mergeCell ref="L1613:L1614"/>
    <mergeCell ref="M1613:M1614"/>
    <mergeCell ref="N1613:N1614"/>
    <mergeCell ref="G1611:G1612"/>
    <mergeCell ref="H1611:H1612"/>
    <mergeCell ref="I1611:I1612"/>
    <mergeCell ref="J1611:J1612"/>
    <mergeCell ref="K1611:K1612"/>
    <mergeCell ref="B1611:B1612"/>
    <mergeCell ref="C1611:C1612"/>
    <mergeCell ref="D1611:D1612"/>
    <mergeCell ref="E1611:E1612"/>
    <mergeCell ref="L1607:L1608"/>
    <mergeCell ref="M1607:M1608"/>
    <mergeCell ref="N1607:N1608"/>
    <mergeCell ref="B1609:B1610"/>
    <mergeCell ref="C1609:C1610"/>
    <mergeCell ref="D1609:D1610"/>
    <mergeCell ref="E1609:E1610"/>
    <mergeCell ref="G1609:G1610"/>
    <mergeCell ref="H1609:H1610"/>
    <mergeCell ref="I1609:I1610"/>
    <mergeCell ref="J1609:J1610"/>
    <mergeCell ref="K1609:K1610"/>
    <mergeCell ref="L1609:L1610"/>
    <mergeCell ref="M1609:M1610"/>
    <mergeCell ref="N1609:N1610"/>
    <mergeCell ref="G1607:G1608"/>
    <mergeCell ref="H1607:H1608"/>
    <mergeCell ref="I1607:I1608"/>
    <mergeCell ref="J1607:J1608"/>
    <mergeCell ref="K1607:K1608"/>
    <mergeCell ref="B1607:B1608"/>
    <mergeCell ref="C1607:C1608"/>
    <mergeCell ref="D1607:D1608"/>
    <mergeCell ref="E1607:E1608"/>
    <mergeCell ref="L1619:L1620"/>
    <mergeCell ref="M1619:M1620"/>
    <mergeCell ref="N1619:N1620"/>
    <mergeCell ref="B1621:B1622"/>
    <mergeCell ref="C1621:C1622"/>
    <mergeCell ref="D1621:D1622"/>
    <mergeCell ref="E1621:E1622"/>
    <mergeCell ref="G1621:G1622"/>
    <mergeCell ref="H1621:H1622"/>
    <mergeCell ref="I1621:I1622"/>
    <mergeCell ref="J1621:J1622"/>
    <mergeCell ref="K1621:K1622"/>
    <mergeCell ref="L1621:L1622"/>
    <mergeCell ref="M1621:M1622"/>
    <mergeCell ref="N1621:N1622"/>
    <mergeCell ref="G1619:G1620"/>
    <mergeCell ref="H1619:H1620"/>
    <mergeCell ref="I1619:I1620"/>
    <mergeCell ref="J1619:J1620"/>
    <mergeCell ref="K1619:K1620"/>
    <mergeCell ref="B1619:B1620"/>
    <mergeCell ref="C1619:C1620"/>
    <mergeCell ref="D1619:D1620"/>
    <mergeCell ref="E1619:E1620"/>
    <mergeCell ref="L1615:L1616"/>
    <mergeCell ref="M1615:M1616"/>
    <mergeCell ref="N1615:N1616"/>
    <mergeCell ref="B1617:B1618"/>
    <mergeCell ref="C1617:C1618"/>
    <mergeCell ref="D1617:D1618"/>
    <mergeCell ref="E1617:E1618"/>
    <mergeCell ref="G1617:G1618"/>
    <mergeCell ref="H1617:H1618"/>
    <mergeCell ref="I1617:I1618"/>
    <mergeCell ref="J1617:J1618"/>
    <mergeCell ref="K1617:K1618"/>
    <mergeCell ref="L1617:L1618"/>
    <mergeCell ref="M1617:M1618"/>
    <mergeCell ref="N1617:N1618"/>
    <mergeCell ref="G1615:G1616"/>
    <mergeCell ref="H1615:H1616"/>
    <mergeCell ref="I1615:I1616"/>
    <mergeCell ref="J1615:J1616"/>
    <mergeCell ref="K1615:K1616"/>
    <mergeCell ref="B1615:B1616"/>
    <mergeCell ref="C1615:C1616"/>
    <mergeCell ref="D1615:D1616"/>
    <mergeCell ref="E1615:E1616"/>
    <mergeCell ref="L1627:L1628"/>
    <mergeCell ref="M1627:M1628"/>
    <mergeCell ref="N1627:N1628"/>
    <mergeCell ref="B1629:B1630"/>
    <mergeCell ref="C1629:C1630"/>
    <mergeCell ref="D1629:D1630"/>
    <mergeCell ref="E1629:E1630"/>
    <mergeCell ref="G1629:G1630"/>
    <mergeCell ref="H1629:H1630"/>
    <mergeCell ref="I1629:I1630"/>
    <mergeCell ref="J1629:J1630"/>
    <mergeCell ref="K1629:K1630"/>
    <mergeCell ref="L1629:L1630"/>
    <mergeCell ref="M1629:M1630"/>
    <mergeCell ref="N1629:N1630"/>
    <mergeCell ref="G1627:G1628"/>
    <mergeCell ref="H1627:H1628"/>
    <mergeCell ref="I1627:I1628"/>
    <mergeCell ref="J1627:J1628"/>
    <mergeCell ref="K1627:K1628"/>
    <mergeCell ref="B1627:B1628"/>
    <mergeCell ref="C1627:C1628"/>
    <mergeCell ref="D1627:D1628"/>
    <mergeCell ref="E1627:E1628"/>
    <mergeCell ref="L1623:L1624"/>
    <mergeCell ref="M1623:M1624"/>
    <mergeCell ref="N1623:N1624"/>
    <mergeCell ref="B1625:B1626"/>
    <mergeCell ref="C1625:C1626"/>
    <mergeCell ref="D1625:D1626"/>
    <mergeCell ref="E1625:E1626"/>
    <mergeCell ref="G1625:G1626"/>
    <mergeCell ref="H1625:H1626"/>
    <mergeCell ref="I1625:I1626"/>
    <mergeCell ref="J1625:J1626"/>
    <mergeCell ref="K1625:K1626"/>
    <mergeCell ref="L1625:L1626"/>
    <mergeCell ref="M1625:M1626"/>
    <mergeCell ref="N1625:N1626"/>
    <mergeCell ref="G1623:G1624"/>
    <mergeCell ref="H1623:H1624"/>
    <mergeCell ref="I1623:I1624"/>
    <mergeCell ref="J1623:J1624"/>
    <mergeCell ref="K1623:K1624"/>
    <mergeCell ref="B1623:B1624"/>
    <mergeCell ref="C1623:C1624"/>
    <mergeCell ref="D1623:D1624"/>
    <mergeCell ref="E1623:E1624"/>
    <mergeCell ref="L1635:L1636"/>
    <mergeCell ref="M1635:M1636"/>
    <mergeCell ref="N1635:N1636"/>
    <mergeCell ref="B1637:B1638"/>
    <mergeCell ref="C1637:C1638"/>
    <mergeCell ref="D1637:D1638"/>
    <mergeCell ref="E1637:E1638"/>
    <mergeCell ref="G1637:G1638"/>
    <mergeCell ref="H1637:H1638"/>
    <mergeCell ref="I1637:I1638"/>
    <mergeCell ref="J1637:J1638"/>
    <mergeCell ref="K1637:K1638"/>
    <mergeCell ref="L1637:L1638"/>
    <mergeCell ref="M1637:M1638"/>
    <mergeCell ref="N1637:N1638"/>
    <mergeCell ref="G1635:G1636"/>
    <mergeCell ref="H1635:H1636"/>
    <mergeCell ref="I1635:I1636"/>
    <mergeCell ref="J1635:J1636"/>
    <mergeCell ref="K1635:K1636"/>
    <mergeCell ref="B1635:B1636"/>
    <mergeCell ref="C1635:C1636"/>
    <mergeCell ref="D1635:D1636"/>
    <mergeCell ref="E1635:E1636"/>
    <mergeCell ref="L1631:L1632"/>
    <mergeCell ref="M1631:M1632"/>
    <mergeCell ref="N1631:N1632"/>
    <mergeCell ref="B1633:B1634"/>
    <mergeCell ref="C1633:C1634"/>
    <mergeCell ref="D1633:D1634"/>
    <mergeCell ref="E1633:E1634"/>
    <mergeCell ref="G1633:G1634"/>
    <mergeCell ref="H1633:H1634"/>
    <mergeCell ref="I1633:I1634"/>
    <mergeCell ref="J1633:J1634"/>
    <mergeCell ref="K1633:K1634"/>
    <mergeCell ref="L1633:L1634"/>
    <mergeCell ref="M1633:M1634"/>
    <mergeCell ref="N1633:N1634"/>
    <mergeCell ref="G1631:G1632"/>
    <mergeCell ref="H1631:H1632"/>
    <mergeCell ref="I1631:I1632"/>
    <mergeCell ref="J1631:J1632"/>
    <mergeCell ref="K1631:K1632"/>
    <mergeCell ref="B1631:B1632"/>
    <mergeCell ref="C1631:C1632"/>
    <mergeCell ref="D1631:D1632"/>
    <mergeCell ref="E1631:E1632"/>
    <mergeCell ref="L1643:L1644"/>
    <mergeCell ref="M1643:M1644"/>
    <mergeCell ref="N1643:N1644"/>
    <mergeCell ref="B1645:B1646"/>
    <mergeCell ref="C1645:C1646"/>
    <mergeCell ref="D1645:D1646"/>
    <mergeCell ref="E1645:E1646"/>
    <mergeCell ref="G1645:G1646"/>
    <mergeCell ref="H1645:H1646"/>
    <mergeCell ref="I1645:I1646"/>
    <mergeCell ref="J1645:J1646"/>
    <mergeCell ref="K1645:K1646"/>
    <mergeCell ref="L1645:L1646"/>
    <mergeCell ref="M1645:M1646"/>
    <mergeCell ref="N1645:N1646"/>
    <mergeCell ref="G1643:G1644"/>
    <mergeCell ref="H1643:H1644"/>
    <mergeCell ref="I1643:I1644"/>
    <mergeCell ref="J1643:J1644"/>
    <mergeCell ref="K1643:K1644"/>
    <mergeCell ref="B1643:B1644"/>
    <mergeCell ref="C1643:C1644"/>
    <mergeCell ref="D1643:D1644"/>
    <mergeCell ref="E1643:E1644"/>
    <mergeCell ref="L1639:L1640"/>
    <mergeCell ref="M1639:M1640"/>
    <mergeCell ref="N1639:N1640"/>
    <mergeCell ref="B1641:B1642"/>
    <mergeCell ref="C1641:C1642"/>
    <mergeCell ref="D1641:D1642"/>
    <mergeCell ref="E1641:E1642"/>
    <mergeCell ref="G1641:G1642"/>
    <mergeCell ref="H1641:H1642"/>
    <mergeCell ref="I1641:I1642"/>
    <mergeCell ref="J1641:J1642"/>
    <mergeCell ref="K1641:K1642"/>
    <mergeCell ref="L1641:L1642"/>
    <mergeCell ref="M1641:M1642"/>
    <mergeCell ref="N1641:N1642"/>
    <mergeCell ref="G1639:G1640"/>
    <mergeCell ref="H1639:H1640"/>
    <mergeCell ref="I1639:I1640"/>
    <mergeCell ref="J1639:J1640"/>
    <mergeCell ref="K1639:K1640"/>
    <mergeCell ref="B1639:B1640"/>
    <mergeCell ref="C1639:C1640"/>
    <mergeCell ref="D1639:D1640"/>
    <mergeCell ref="E1639:E1640"/>
    <mergeCell ref="L1651:L1652"/>
    <mergeCell ref="M1651:M1652"/>
    <mergeCell ref="N1651:N1652"/>
    <mergeCell ref="B1653:B1654"/>
    <mergeCell ref="C1653:C1654"/>
    <mergeCell ref="D1653:D1654"/>
    <mergeCell ref="E1653:E1654"/>
    <mergeCell ref="G1653:G1654"/>
    <mergeCell ref="H1653:H1654"/>
    <mergeCell ref="I1653:I1654"/>
    <mergeCell ref="J1653:J1654"/>
    <mergeCell ref="K1653:K1654"/>
    <mergeCell ref="L1653:L1654"/>
    <mergeCell ref="M1653:M1654"/>
    <mergeCell ref="N1653:N1654"/>
    <mergeCell ref="G1651:G1652"/>
    <mergeCell ref="H1651:H1652"/>
    <mergeCell ref="I1651:I1652"/>
    <mergeCell ref="J1651:J1652"/>
    <mergeCell ref="K1651:K1652"/>
    <mergeCell ref="B1651:B1652"/>
    <mergeCell ref="C1651:C1652"/>
    <mergeCell ref="D1651:D1652"/>
    <mergeCell ref="E1651:E1652"/>
    <mergeCell ref="L1647:L1648"/>
    <mergeCell ref="M1647:M1648"/>
    <mergeCell ref="N1647:N1648"/>
    <mergeCell ref="B1649:B1650"/>
    <mergeCell ref="C1649:C1650"/>
    <mergeCell ref="D1649:D1650"/>
    <mergeCell ref="E1649:E1650"/>
    <mergeCell ref="G1649:G1650"/>
    <mergeCell ref="H1649:H1650"/>
    <mergeCell ref="I1649:I1650"/>
    <mergeCell ref="J1649:J1650"/>
    <mergeCell ref="K1649:K1650"/>
    <mergeCell ref="L1649:L1650"/>
    <mergeCell ref="M1649:M1650"/>
    <mergeCell ref="N1649:N1650"/>
    <mergeCell ref="G1647:G1648"/>
    <mergeCell ref="H1647:H1648"/>
    <mergeCell ref="I1647:I1648"/>
    <mergeCell ref="J1647:J1648"/>
    <mergeCell ref="K1647:K1648"/>
    <mergeCell ref="B1647:B1648"/>
    <mergeCell ref="C1647:C1648"/>
    <mergeCell ref="D1647:D1648"/>
    <mergeCell ref="E1647:E1648"/>
    <mergeCell ref="L1659:L1660"/>
    <mergeCell ref="M1659:M1660"/>
    <mergeCell ref="N1659:N1660"/>
    <mergeCell ref="B1661:B1662"/>
    <mergeCell ref="C1661:C1662"/>
    <mergeCell ref="D1661:D1662"/>
    <mergeCell ref="E1661:E1662"/>
    <mergeCell ref="G1661:G1662"/>
    <mergeCell ref="H1661:H1662"/>
    <mergeCell ref="I1661:I1662"/>
    <mergeCell ref="J1661:J1662"/>
    <mergeCell ref="K1661:K1662"/>
    <mergeCell ref="L1661:L1662"/>
    <mergeCell ref="M1661:M1662"/>
    <mergeCell ref="N1661:N1662"/>
    <mergeCell ref="G1659:G1660"/>
    <mergeCell ref="H1659:H1660"/>
    <mergeCell ref="I1659:I1660"/>
    <mergeCell ref="J1659:J1660"/>
    <mergeCell ref="K1659:K1660"/>
    <mergeCell ref="B1659:B1660"/>
    <mergeCell ref="C1659:C1660"/>
    <mergeCell ref="D1659:D1660"/>
    <mergeCell ref="E1659:E1660"/>
    <mergeCell ref="L1655:L1656"/>
    <mergeCell ref="M1655:M1656"/>
    <mergeCell ref="N1655:N1656"/>
    <mergeCell ref="B1657:B1658"/>
    <mergeCell ref="C1657:C1658"/>
    <mergeCell ref="D1657:D1658"/>
    <mergeCell ref="E1657:E1658"/>
    <mergeCell ref="G1657:G1658"/>
    <mergeCell ref="H1657:H1658"/>
    <mergeCell ref="I1657:I1658"/>
    <mergeCell ref="J1657:J1658"/>
    <mergeCell ref="K1657:K1658"/>
    <mergeCell ref="L1657:L1658"/>
    <mergeCell ref="M1657:M1658"/>
    <mergeCell ref="N1657:N1658"/>
    <mergeCell ref="G1655:G1656"/>
    <mergeCell ref="H1655:H1656"/>
    <mergeCell ref="I1655:I1656"/>
    <mergeCell ref="J1655:J1656"/>
    <mergeCell ref="K1655:K1656"/>
    <mergeCell ref="B1655:B1656"/>
    <mergeCell ref="C1655:C1656"/>
    <mergeCell ref="D1655:D1656"/>
    <mergeCell ref="E1655:E1656"/>
    <mergeCell ref="L1667:L1668"/>
    <mergeCell ref="M1667:M1668"/>
    <mergeCell ref="N1667:N1668"/>
    <mergeCell ref="B1669:B1670"/>
    <mergeCell ref="C1669:C1670"/>
    <mergeCell ref="D1669:D1670"/>
    <mergeCell ref="E1669:E1670"/>
    <mergeCell ref="G1669:G1670"/>
    <mergeCell ref="H1669:H1670"/>
    <mergeCell ref="I1669:I1670"/>
    <mergeCell ref="J1669:J1670"/>
    <mergeCell ref="K1669:K1670"/>
    <mergeCell ref="L1669:L1670"/>
    <mergeCell ref="M1669:M1670"/>
    <mergeCell ref="N1669:N1670"/>
    <mergeCell ref="G1667:G1668"/>
    <mergeCell ref="H1667:H1668"/>
    <mergeCell ref="I1667:I1668"/>
    <mergeCell ref="J1667:J1668"/>
    <mergeCell ref="K1667:K1668"/>
    <mergeCell ref="B1667:B1668"/>
    <mergeCell ref="C1667:C1668"/>
    <mergeCell ref="D1667:D1668"/>
    <mergeCell ref="E1667:E1668"/>
    <mergeCell ref="L1663:L1664"/>
    <mergeCell ref="M1663:M1664"/>
    <mergeCell ref="N1663:N1664"/>
    <mergeCell ref="B1665:B1666"/>
    <mergeCell ref="C1665:C1666"/>
    <mergeCell ref="D1665:D1666"/>
    <mergeCell ref="E1665:E1666"/>
    <mergeCell ref="G1665:G1666"/>
    <mergeCell ref="H1665:H1666"/>
    <mergeCell ref="I1665:I1666"/>
    <mergeCell ref="J1665:J1666"/>
    <mergeCell ref="K1665:K1666"/>
    <mergeCell ref="L1665:L1666"/>
    <mergeCell ref="M1665:M1666"/>
    <mergeCell ref="N1665:N1666"/>
    <mergeCell ref="G1663:G1664"/>
    <mergeCell ref="H1663:H1664"/>
    <mergeCell ref="I1663:I1664"/>
    <mergeCell ref="J1663:J1664"/>
    <mergeCell ref="K1663:K1664"/>
    <mergeCell ref="B1663:B1664"/>
    <mergeCell ref="C1663:C1664"/>
    <mergeCell ref="D1663:D1664"/>
    <mergeCell ref="E1663:E1664"/>
    <mergeCell ref="L1675:L1676"/>
    <mergeCell ref="M1675:M1676"/>
    <mergeCell ref="N1675:N1676"/>
    <mergeCell ref="B1677:B1678"/>
    <mergeCell ref="C1677:C1678"/>
    <mergeCell ref="D1677:D1678"/>
    <mergeCell ref="E1677:E1678"/>
    <mergeCell ref="G1677:G1678"/>
    <mergeCell ref="H1677:H1678"/>
    <mergeCell ref="I1677:I1678"/>
    <mergeCell ref="J1677:J1678"/>
    <mergeCell ref="K1677:K1678"/>
    <mergeCell ref="L1677:L1678"/>
    <mergeCell ref="M1677:M1678"/>
    <mergeCell ref="N1677:N1678"/>
    <mergeCell ref="G1675:G1676"/>
    <mergeCell ref="H1675:H1676"/>
    <mergeCell ref="I1675:I1676"/>
    <mergeCell ref="J1675:J1676"/>
    <mergeCell ref="K1675:K1676"/>
    <mergeCell ref="B1675:B1676"/>
    <mergeCell ref="C1675:C1676"/>
    <mergeCell ref="D1675:D1676"/>
    <mergeCell ref="E1675:E1676"/>
    <mergeCell ref="L1671:L1672"/>
    <mergeCell ref="M1671:M1672"/>
    <mergeCell ref="N1671:N1672"/>
    <mergeCell ref="B1673:B1674"/>
    <mergeCell ref="C1673:C1674"/>
    <mergeCell ref="D1673:D1674"/>
    <mergeCell ref="E1673:E1674"/>
    <mergeCell ref="G1673:G1674"/>
    <mergeCell ref="H1673:H1674"/>
    <mergeCell ref="I1673:I1674"/>
    <mergeCell ref="J1673:J1674"/>
    <mergeCell ref="K1673:K1674"/>
    <mergeCell ref="L1673:L1674"/>
    <mergeCell ref="M1673:M1674"/>
    <mergeCell ref="N1673:N1674"/>
    <mergeCell ref="G1671:G1672"/>
    <mergeCell ref="H1671:H1672"/>
    <mergeCell ref="I1671:I1672"/>
    <mergeCell ref="J1671:J1672"/>
    <mergeCell ref="K1671:K1672"/>
    <mergeCell ref="B1671:B1672"/>
    <mergeCell ref="C1671:C1672"/>
    <mergeCell ref="D1671:D1672"/>
    <mergeCell ref="E1671:E1672"/>
    <mergeCell ref="L1683:L1684"/>
    <mergeCell ref="M1683:M1684"/>
    <mergeCell ref="N1683:N1684"/>
    <mergeCell ref="B1685:B1686"/>
    <mergeCell ref="C1685:C1686"/>
    <mergeCell ref="D1685:D1686"/>
    <mergeCell ref="E1685:E1686"/>
    <mergeCell ref="G1685:G1686"/>
    <mergeCell ref="H1685:H1686"/>
    <mergeCell ref="I1685:I1686"/>
    <mergeCell ref="J1685:J1686"/>
    <mergeCell ref="K1685:K1686"/>
    <mergeCell ref="L1685:L1686"/>
    <mergeCell ref="M1685:M1686"/>
    <mergeCell ref="N1685:N1686"/>
    <mergeCell ref="G1683:G1684"/>
    <mergeCell ref="H1683:H1684"/>
    <mergeCell ref="I1683:I1684"/>
    <mergeCell ref="J1683:J1684"/>
    <mergeCell ref="K1683:K1684"/>
    <mergeCell ref="B1683:B1684"/>
    <mergeCell ref="C1683:C1684"/>
    <mergeCell ref="D1683:D1684"/>
    <mergeCell ref="E1683:E1684"/>
    <mergeCell ref="L1679:L1680"/>
    <mergeCell ref="M1679:M1680"/>
    <mergeCell ref="N1679:N1680"/>
    <mergeCell ref="B1681:B1682"/>
    <mergeCell ref="C1681:C1682"/>
    <mergeCell ref="D1681:D1682"/>
    <mergeCell ref="E1681:E1682"/>
    <mergeCell ref="G1681:G1682"/>
    <mergeCell ref="H1681:H1682"/>
    <mergeCell ref="I1681:I1682"/>
    <mergeCell ref="J1681:J1682"/>
    <mergeCell ref="K1681:K1682"/>
    <mergeCell ref="L1681:L1682"/>
    <mergeCell ref="M1681:M1682"/>
    <mergeCell ref="N1681:N1682"/>
    <mergeCell ref="G1679:G1680"/>
    <mergeCell ref="H1679:H1680"/>
    <mergeCell ref="I1679:I1680"/>
    <mergeCell ref="J1679:J1680"/>
    <mergeCell ref="K1679:K1680"/>
    <mergeCell ref="B1679:B1680"/>
    <mergeCell ref="C1679:C1680"/>
    <mergeCell ref="D1679:D1680"/>
    <mergeCell ref="E1679:E1680"/>
    <mergeCell ref="L1691:L1692"/>
    <mergeCell ref="M1691:M1692"/>
    <mergeCell ref="N1691:N1692"/>
    <mergeCell ref="B1693:B1694"/>
    <mergeCell ref="C1693:C1694"/>
    <mergeCell ref="D1693:D1694"/>
    <mergeCell ref="E1693:E1694"/>
    <mergeCell ref="G1693:G1694"/>
    <mergeCell ref="H1693:H1694"/>
    <mergeCell ref="I1693:I1694"/>
    <mergeCell ref="J1693:J1694"/>
    <mergeCell ref="K1693:K1694"/>
    <mergeCell ref="L1693:L1694"/>
    <mergeCell ref="M1693:M1694"/>
    <mergeCell ref="N1693:N1694"/>
    <mergeCell ref="G1691:G1692"/>
    <mergeCell ref="H1691:H1692"/>
    <mergeCell ref="I1691:I1692"/>
    <mergeCell ref="J1691:J1692"/>
    <mergeCell ref="K1691:K1692"/>
    <mergeCell ref="B1691:B1692"/>
    <mergeCell ref="C1691:C1692"/>
    <mergeCell ref="D1691:D1692"/>
    <mergeCell ref="E1691:E1692"/>
    <mergeCell ref="L1687:L1688"/>
    <mergeCell ref="M1687:M1688"/>
    <mergeCell ref="N1687:N1688"/>
    <mergeCell ref="B1689:B1690"/>
    <mergeCell ref="C1689:C1690"/>
    <mergeCell ref="D1689:D1690"/>
    <mergeCell ref="E1689:E1690"/>
    <mergeCell ref="G1689:G1690"/>
    <mergeCell ref="H1689:H1690"/>
    <mergeCell ref="I1689:I1690"/>
    <mergeCell ref="J1689:J1690"/>
    <mergeCell ref="K1689:K1690"/>
    <mergeCell ref="L1689:L1690"/>
    <mergeCell ref="M1689:M1690"/>
    <mergeCell ref="N1689:N1690"/>
    <mergeCell ref="G1687:G1688"/>
    <mergeCell ref="H1687:H1688"/>
    <mergeCell ref="I1687:I1688"/>
    <mergeCell ref="J1687:J1688"/>
    <mergeCell ref="K1687:K1688"/>
    <mergeCell ref="B1687:B1688"/>
    <mergeCell ref="C1687:C1688"/>
    <mergeCell ref="D1687:D1688"/>
    <mergeCell ref="E1687:E1688"/>
    <mergeCell ref="L1699:L1700"/>
    <mergeCell ref="M1699:M1700"/>
    <mergeCell ref="N1699:N1700"/>
    <mergeCell ref="B1701:B1702"/>
    <mergeCell ref="C1701:C1702"/>
    <mergeCell ref="D1701:D1702"/>
    <mergeCell ref="E1701:E1702"/>
    <mergeCell ref="G1701:G1702"/>
    <mergeCell ref="H1701:H1702"/>
    <mergeCell ref="I1701:I1702"/>
    <mergeCell ref="J1701:J1702"/>
    <mergeCell ref="K1701:K1702"/>
    <mergeCell ref="L1701:L1702"/>
    <mergeCell ref="M1701:M1702"/>
    <mergeCell ref="N1701:N1702"/>
    <mergeCell ref="G1699:G1700"/>
    <mergeCell ref="H1699:H1700"/>
    <mergeCell ref="I1699:I1700"/>
    <mergeCell ref="J1699:J1700"/>
    <mergeCell ref="K1699:K1700"/>
    <mergeCell ref="B1699:B1700"/>
    <mergeCell ref="C1699:C1700"/>
    <mergeCell ref="D1699:D1700"/>
    <mergeCell ref="E1699:E1700"/>
    <mergeCell ref="L1695:L1696"/>
    <mergeCell ref="M1695:M1696"/>
    <mergeCell ref="N1695:N1696"/>
    <mergeCell ref="B1697:B1698"/>
    <mergeCell ref="C1697:C1698"/>
    <mergeCell ref="D1697:D1698"/>
    <mergeCell ref="E1697:E1698"/>
    <mergeCell ref="G1697:G1698"/>
    <mergeCell ref="H1697:H1698"/>
    <mergeCell ref="I1697:I1698"/>
    <mergeCell ref="J1697:J1698"/>
    <mergeCell ref="K1697:K1698"/>
    <mergeCell ref="L1697:L1698"/>
    <mergeCell ref="M1697:M1698"/>
    <mergeCell ref="N1697:N1698"/>
    <mergeCell ref="G1695:G1696"/>
    <mergeCell ref="H1695:H1696"/>
    <mergeCell ref="I1695:I1696"/>
    <mergeCell ref="J1695:J1696"/>
    <mergeCell ref="K1695:K1696"/>
    <mergeCell ref="B1695:B1696"/>
    <mergeCell ref="C1695:C1696"/>
    <mergeCell ref="D1695:D1696"/>
    <mergeCell ref="E1695:E1696"/>
    <mergeCell ref="L1707:L1708"/>
    <mergeCell ref="M1707:M1708"/>
    <mergeCell ref="N1707:N1708"/>
    <mergeCell ref="B1709:B1710"/>
    <mergeCell ref="C1709:C1710"/>
    <mergeCell ref="D1709:D1710"/>
    <mergeCell ref="E1709:E1710"/>
    <mergeCell ref="G1709:G1710"/>
    <mergeCell ref="H1709:H1710"/>
    <mergeCell ref="I1709:I1710"/>
    <mergeCell ref="J1709:J1710"/>
    <mergeCell ref="K1709:K1710"/>
    <mergeCell ref="L1709:L1710"/>
    <mergeCell ref="M1709:M1710"/>
    <mergeCell ref="N1709:N1710"/>
    <mergeCell ref="G1707:G1708"/>
    <mergeCell ref="H1707:H1708"/>
    <mergeCell ref="I1707:I1708"/>
    <mergeCell ref="J1707:J1708"/>
    <mergeCell ref="K1707:K1708"/>
    <mergeCell ref="B1707:B1708"/>
    <mergeCell ref="C1707:C1708"/>
    <mergeCell ref="D1707:D1708"/>
    <mergeCell ref="E1707:E1708"/>
    <mergeCell ref="L1703:L1704"/>
    <mergeCell ref="M1703:M1704"/>
    <mergeCell ref="N1703:N1704"/>
    <mergeCell ref="B1705:B1706"/>
    <mergeCell ref="C1705:C1706"/>
    <mergeCell ref="D1705:D1706"/>
    <mergeCell ref="E1705:E1706"/>
    <mergeCell ref="G1705:G1706"/>
    <mergeCell ref="H1705:H1706"/>
    <mergeCell ref="I1705:I1706"/>
    <mergeCell ref="J1705:J1706"/>
    <mergeCell ref="K1705:K1706"/>
    <mergeCell ref="L1705:L1706"/>
    <mergeCell ref="M1705:M1706"/>
    <mergeCell ref="N1705:N1706"/>
    <mergeCell ref="G1703:G1704"/>
    <mergeCell ref="H1703:H1704"/>
    <mergeCell ref="I1703:I1704"/>
    <mergeCell ref="J1703:J1704"/>
    <mergeCell ref="K1703:K1704"/>
    <mergeCell ref="B1703:B1704"/>
    <mergeCell ref="C1703:C1704"/>
    <mergeCell ref="D1703:D1704"/>
    <mergeCell ref="E1703:E1704"/>
    <mergeCell ref="L1715:L1716"/>
    <mergeCell ref="M1715:M1716"/>
    <mergeCell ref="N1715:N1716"/>
    <mergeCell ref="B1717:B1718"/>
    <mergeCell ref="C1717:C1718"/>
    <mergeCell ref="D1717:D1718"/>
    <mergeCell ref="E1717:E1718"/>
    <mergeCell ref="G1717:G1718"/>
    <mergeCell ref="H1717:H1718"/>
    <mergeCell ref="I1717:I1718"/>
    <mergeCell ref="J1717:J1718"/>
    <mergeCell ref="K1717:K1718"/>
    <mergeCell ref="L1717:L1718"/>
    <mergeCell ref="M1717:M1718"/>
    <mergeCell ref="N1717:N1718"/>
    <mergeCell ref="G1715:G1716"/>
    <mergeCell ref="H1715:H1716"/>
    <mergeCell ref="I1715:I1716"/>
    <mergeCell ref="J1715:J1716"/>
    <mergeCell ref="K1715:K1716"/>
    <mergeCell ref="B1715:B1716"/>
    <mergeCell ref="C1715:C1716"/>
    <mergeCell ref="D1715:D1716"/>
    <mergeCell ref="E1715:E1716"/>
    <mergeCell ref="L1711:L1712"/>
    <mergeCell ref="M1711:M1712"/>
    <mergeCell ref="N1711:N1712"/>
    <mergeCell ref="B1713:B1714"/>
    <mergeCell ref="C1713:C1714"/>
    <mergeCell ref="D1713:D1714"/>
    <mergeCell ref="E1713:E1714"/>
    <mergeCell ref="G1713:G1714"/>
    <mergeCell ref="H1713:H1714"/>
    <mergeCell ref="I1713:I1714"/>
    <mergeCell ref="J1713:J1714"/>
    <mergeCell ref="K1713:K1714"/>
    <mergeCell ref="L1713:L1714"/>
    <mergeCell ref="M1713:M1714"/>
    <mergeCell ref="N1713:N1714"/>
    <mergeCell ref="G1711:G1712"/>
    <mergeCell ref="H1711:H1712"/>
    <mergeCell ref="I1711:I1712"/>
    <mergeCell ref="J1711:J1712"/>
    <mergeCell ref="K1711:K1712"/>
    <mergeCell ref="B1711:B1712"/>
    <mergeCell ref="C1711:C1712"/>
    <mergeCell ref="D1711:D1712"/>
    <mergeCell ref="E1711:E1712"/>
    <mergeCell ref="L1723:L1724"/>
    <mergeCell ref="M1723:M1724"/>
    <mergeCell ref="N1723:N1724"/>
    <mergeCell ref="B1725:B1726"/>
    <mergeCell ref="C1725:C1726"/>
    <mergeCell ref="D1725:D1726"/>
    <mergeCell ref="E1725:E1726"/>
    <mergeCell ref="G1725:G1726"/>
    <mergeCell ref="H1725:H1726"/>
    <mergeCell ref="I1725:I1726"/>
    <mergeCell ref="J1725:J1726"/>
    <mergeCell ref="K1725:K1726"/>
    <mergeCell ref="L1725:L1726"/>
    <mergeCell ref="M1725:M1726"/>
    <mergeCell ref="N1725:N1726"/>
    <mergeCell ref="G1723:G1724"/>
    <mergeCell ref="H1723:H1724"/>
    <mergeCell ref="I1723:I1724"/>
    <mergeCell ref="J1723:J1724"/>
    <mergeCell ref="K1723:K1724"/>
    <mergeCell ref="B1723:B1724"/>
    <mergeCell ref="C1723:C1724"/>
    <mergeCell ref="D1723:D1724"/>
    <mergeCell ref="E1723:E1724"/>
    <mergeCell ref="L1719:L1720"/>
    <mergeCell ref="M1719:M1720"/>
    <mergeCell ref="N1719:N1720"/>
    <mergeCell ref="B1721:B1722"/>
    <mergeCell ref="C1721:C1722"/>
    <mergeCell ref="D1721:D1722"/>
    <mergeCell ref="E1721:E1722"/>
    <mergeCell ref="G1721:G1722"/>
    <mergeCell ref="H1721:H1722"/>
    <mergeCell ref="I1721:I1722"/>
    <mergeCell ref="J1721:J1722"/>
    <mergeCell ref="K1721:K1722"/>
    <mergeCell ref="L1721:L1722"/>
    <mergeCell ref="M1721:M1722"/>
    <mergeCell ref="N1721:N1722"/>
    <mergeCell ref="G1719:G1720"/>
    <mergeCell ref="H1719:H1720"/>
    <mergeCell ref="I1719:I1720"/>
    <mergeCell ref="J1719:J1720"/>
    <mergeCell ref="K1719:K1720"/>
    <mergeCell ref="B1719:B1720"/>
    <mergeCell ref="C1719:C1720"/>
    <mergeCell ref="D1719:D1720"/>
    <mergeCell ref="E1719:E1720"/>
    <mergeCell ref="L1731:L1732"/>
    <mergeCell ref="M1731:M1732"/>
    <mergeCell ref="N1731:N1732"/>
    <mergeCell ref="B1733:B1734"/>
    <mergeCell ref="C1733:C1734"/>
    <mergeCell ref="D1733:D1734"/>
    <mergeCell ref="E1733:E1734"/>
    <mergeCell ref="G1733:G1734"/>
    <mergeCell ref="H1733:H1734"/>
    <mergeCell ref="I1733:I1734"/>
    <mergeCell ref="J1733:J1734"/>
    <mergeCell ref="K1733:K1734"/>
    <mergeCell ref="L1733:L1734"/>
    <mergeCell ref="M1733:M1734"/>
    <mergeCell ref="N1733:N1734"/>
    <mergeCell ref="G1731:G1732"/>
    <mergeCell ref="H1731:H1732"/>
    <mergeCell ref="I1731:I1732"/>
    <mergeCell ref="J1731:J1732"/>
    <mergeCell ref="K1731:K1732"/>
    <mergeCell ref="B1731:B1732"/>
    <mergeCell ref="C1731:C1732"/>
    <mergeCell ref="D1731:D1732"/>
    <mergeCell ref="E1731:E1732"/>
    <mergeCell ref="L1727:L1728"/>
    <mergeCell ref="M1727:M1728"/>
    <mergeCell ref="N1727:N1728"/>
    <mergeCell ref="B1729:B1730"/>
    <mergeCell ref="C1729:C1730"/>
    <mergeCell ref="D1729:D1730"/>
    <mergeCell ref="E1729:E1730"/>
    <mergeCell ref="G1729:G1730"/>
    <mergeCell ref="H1729:H1730"/>
    <mergeCell ref="I1729:I1730"/>
    <mergeCell ref="J1729:J1730"/>
    <mergeCell ref="K1729:K1730"/>
    <mergeCell ref="L1729:L1730"/>
    <mergeCell ref="M1729:M1730"/>
    <mergeCell ref="N1729:N1730"/>
    <mergeCell ref="G1727:G1728"/>
    <mergeCell ref="H1727:H1728"/>
    <mergeCell ref="I1727:I1728"/>
    <mergeCell ref="J1727:J1728"/>
    <mergeCell ref="K1727:K1728"/>
    <mergeCell ref="B1727:B1728"/>
    <mergeCell ref="C1727:C1728"/>
    <mergeCell ref="D1727:D1728"/>
    <mergeCell ref="E1727:E1728"/>
    <mergeCell ref="L1739:L1740"/>
    <mergeCell ref="M1739:M1740"/>
    <mergeCell ref="N1739:N1740"/>
    <mergeCell ref="B1741:B1742"/>
    <mergeCell ref="C1741:C1742"/>
    <mergeCell ref="D1741:D1742"/>
    <mergeCell ref="E1741:E1742"/>
    <mergeCell ref="G1741:G1742"/>
    <mergeCell ref="H1741:H1742"/>
    <mergeCell ref="I1741:I1742"/>
    <mergeCell ref="J1741:J1742"/>
    <mergeCell ref="K1741:K1742"/>
    <mergeCell ref="L1741:L1742"/>
    <mergeCell ref="M1741:M1742"/>
    <mergeCell ref="N1741:N1742"/>
    <mergeCell ref="G1739:G1740"/>
    <mergeCell ref="H1739:H1740"/>
    <mergeCell ref="I1739:I1740"/>
    <mergeCell ref="J1739:J1740"/>
    <mergeCell ref="K1739:K1740"/>
    <mergeCell ref="B1739:B1740"/>
    <mergeCell ref="C1739:C1740"/>
    <mergeCell ref="D1739:D1740"/>
    <mergeCell ref="E1739:E1740"/>
    <mergeCell ref="L1735:L1736"/>
    <mergeCell ref="M1735:M1736"/>
    <mergeCell ref="N1735:N1736"/>
    <mergeCell ref="B1737:B1738"/>
    <mergeCell ref="C1737:C1738"/>
    <mergeCell ref="D1737:D1738"/>
    <mergeCell ref="E1737:E1738"/>
    <mergeCell ref="G1737:G1738"/>
    <mergeCell ref="H1737:H1738"/>
    <mergeCell ref="I1737:I1738"/>
    <mergeCell ref="J1737:J1738"/>
    <mergeCell ref="K1737:K1738"/>
    <mergeCell ref="L1737:L1738"/>
    <mergeCell ref="M1737:M1738"/>
    <mergeCell ref="N1737:N1738"/>
    <mergeCell ref="G1735:G1736"/>
    <mergeCell ref="H1735:H1736"/>
    <mergeCell ref="I1735:I1736"/>
    <mergeCell ref="J1735:J1736"/>
    <mergeCell ref="K1735:K1736"/>
    <mergeCell ref="B1735:B1736"/>
    <mergeCell ref="C1735:C1736"/>
    <mergeCell ref="D1735:D1736"/>
    <mergeCell ref="E1735:E1736"/>
    <mergeCell ref="L1747:L1748"/>
    <mergeCell ref="M1747:M1748"/>
    <mergeCell ref="N1747:N1748"/>
    <mergeCell ref="B1749:B1750"/>
    <mergeCell ref="C1749:C1750"/>
    <mergeCell ref="D1749:D1750"/>
    <mergeCell ref="E1749:E1750"/>
    <mergeCell ref="G1749:G1750"/>
    <mergeCell ref="H1749:H1750"/>
    <mergeCell ref="I1749:I1750"/>
    <mergeCell ref="J1749:J1750"/>
    <mergeCell ref="K1749:K1750"/>
    <mergeCell ref="L1749:L1750"/>
    <mergeCell ref="M1749:M1750"/>
    <mergeCell ref="N1749:N1750"/>
    <mergeCell ref="G1747:G1748"/>
    <mergeCell ref="H1747:H1748"/>
    <mergeCell ref="I1747:I1748"/>
    <mergeCell ref="J1747:J1748"/>
    <mergeCell ref="K1747:K1748"/>
    <mergeCell ref="B1747:B1748"/>
    <mergeCell ref="C1747:C1748"/>
    <mergeCell ref="D1747:D1748"/>
    <mergeCell ref="E1747:E1748"/>
    <mergeCell ref="L1743:L1744"/>
    <mergeCell ref="M1743:M1744"/>
    <mergeCell ref="N1743:N1744"/>
    <mergeCell ref="B1745:B1746"/>
    <mergeCell ref="C1745:C1746"/>
    <mergeCell ref="D1745:D1746"/>
    <mergeCell ref="E1745:E1746"/>
    <mergeCell ref="G1745:G1746"/>
    <mergeCell ref="H1745:H1746"/>
    <mergeCell ref="I1745:I1746"/>
    <mergeCell ref="J1745:J1746"/>
    <mergeCell ref="K1745:K1746"/>
    <mergeCell ref="L1745:L1746"/>
    <mergeCell ref="M1745:M1746"/>
    <mergeCell ref="N1745:N1746"/>
    <mergeCell ref="G1743:G1744"/>
    <mergeCell ref="H1743:H1744"/>
    <mergeCell ref="I1743:I1744"/>
    <mergeCell ref="J1743:J1744"/>
    <mergeCell ref="K1743:K1744"/>
    <mergeCell ref="B1743:B1744"/>
    <mergeCell ref="C1743:C1744"/>
    <mergeCell ref="D1743:D1744"/>
    <mergeCell ref="E1743:E1744"/>
    <mergeCell ref="L1755:L1756"/>
    <mergeCell ref="M1755:M1756"/>
    <mergeCell ref="N1755:N1756"/>
    <mergeCell ref="B1757:B1758"/>
    <mergeCell ref="C1757:C1758"/>
    <mergeCell ref="D1757:D1758"/>
    <mergeCell ref="E1757:E1758"/>
    <mergeCell ref="G1757:G1758"/>
    <mergeCell ref="H1757:H1758"/>
    <mergeCell ref="I1757:I1758"/>
    <mergeCell ref="J1757:J1758"/>
    <mergeCell ref="K1757:K1758"/>
    <mergeCell ref="L1757:L1758"/>
    <mergeCell ref="M1757:M1758"/>
    <mergeCell ref="N1757:N1758"/>
    <mergeCell ref="G1755:G1756"/>
    <mergeCell ref="H1755:H1756"/>
    <mergeCell ref="I1755:I1756"/>
    <mergeCell ref="J1755:J1756"/>
    <mergeCell ref="K1755:K1756"/>
    <mergeCell ref="B1755:B1756"/>
    <mergeCell ref="C1755:C1756"/>
    <mergeCell ref="D1755:D1756"/>
    <mergeCell ref="E1755:E1756"/>
    <mergeCell ref="L1751:L1752"/>
    <mergeCell ref="M1751:M1752"/>
    <mergeCell ref="N1751:N1752"/>
    <mergeCell ref="B1753:B1754"/>
    <mergeCell ref="C1753:C1754"/>
    <mergeCell ref="D1753:D1754"/>
    <mergeCell ref="E1753:E1754"/>
    <mergeCell ref="G1753:G1754"/>
    <mergeCell ref="H1753:H1754"/>
    <mergeCell ref="I1753:I1754"/>
    <mergeCell ref="J1753:J1754"/>
    <mergeCell ref="K1753:K1754"/>
    <mergeCell ref="L1753:L1754"/>
    <mergeCell ref="M1753:M1754"/>
    <mergeCell ref="N1753:N1754"/>
    <mergeCell ref="G1751:G1752"/>
    <mergeCell ref="H1751:H1752"/>
    <mergeCell ref="I1751:I1752"/>
    <mergeCell ref="J1751:J1752"/>
    <mergeCell ref="K1751:K1752"/>
    <mergeCell ref="B1751:B1752"/>
    <mergeCell ref="C1751:C1752"/>
    <mergeCell ref="D1751:D1752"/>
    <mergeCell ref="E1751:E1752"/>
    <mergeCell ref="L1763:L1764"/>
    <mergeCell ref="M1763:M1764"/>
    <mergeCell ref="N1763:N1764"/>
    <mergeCell ref="B1765:B1766"/>
    <mergeCell ref="C1765:C1766"/>
    <mergeCell ref="D1765:D1766"/>
    <mergeCell ref="E1765:E1766"/>
    <mergeCell ref="G1765:G1766"/>
    <mergeCell ref="H1765:H1766"/>
    <mergeCell ref="I1765:I1766"/>
    <mergeCell ref="J1765:J1766"/>
    <mergeCell ref="K1765:K1766"/>
    <mergeCell ref="L1765:L1766"/>
    <mergeCell ref="M1765:M1766"/>
    <mergeCell ref="N1765:N1766"/>
    <mergeCell ref="G1763:G1764"/>
    <mergeCell ref="H1763:H1764"/>
    <mergeCell ref="I1763:I1764"/>
    <mergeCell ref="J1763:J1764"/>
    <mergeCell ref="K1763:K1764"/>
    <mergeCell ref="B1763:B1764"/>
    <mergeCell ref="C1763:C1764"/>
    <mergeCell ref="D1763:D1764"/>
    <mergeCell ref="E1763:E1764"/>
    <mergeCell ref="L1759:L1760"/>
    <mergeCell ref="M1759:M1760"/>
    <mergeCell ref="N1759:N1760"/>
    <mergeCell ref="B1761:B1762"/>
    <mergeCell ref="C1761:C1762"/>
    <mergeCell ref="D1761:D1762"/>
    <mergeCell ref="E1761:E1762"/>
    <mergeCell ref="G1761:G1762"/>
    <mergeCell ref="H1761:H1762"/>
    <mergeCell ref="I1761:I1762"/>
    <mergeCell ref="J1761:J1762"/>
    <mergeCell ref="K1761:K1762"/>
    <mergeCell ref="L1761:L1762"/>
    <mergeCell ref="M1761:M1762"/>
    <mergeCell ref="N1761:N1762"/>
    <mergeCell ref="G1759:G1760"/>
    <mergeCell ref="H1759:H1760"/>
    <mergeCell ref="I1759:I1760"/>
    <mergeCell ref="J1759:J1760"/>
    <mergeCell ref="K1759:K1760"/>
    <mergeCell ref="B1759:B1760"/>
    <mergeCell ref="C1759:C1760"/>
    <mergeCell ref="D1759:D1760"/>
    <mergeCell ref="E1759:E1760"/>
    <mergeCell ref="L1771:L1772"/>
    <mergeCell ref="M1771:M1772"/>
    <mergeCell ref="N1771:N1772"/>
    <mergeCell ref="B1773:B1774"/>
    <mergeCell ref="C1773:C1774"/>
    <mergeCell ref="D1773:D1774"/>
    <mergeCell ref="E1773:E1774"/>
    <mergeCell ref="G1773:G1774"/>
    <mergeCell ref="H1773:H1774"/>
    <mergeCell ref="I1773:I1774"/>
    <mergeCell ref="J1773:J1774"/>
    <mergeCell ref="K1773:K1774"/>
    <mergeCell ref="L1773:L1774"/>
    <mergeCell ref="M1773:M1774"/>
    <mergeCell ref="N1773:N1774"/>
    <mergeCell ref="G1771:G1772"/>
    <mergeCell ref="H1771:H1772"/>
    <mergeCell ref="I1771:I1772"/>
    <mergeCell ref="J1771:J1772"/>
    <mergeCell ref="K1771:K1772"/>
    <mergeCell ref="B1771:B1772"/>
    <mergeCell ref="C1771:C1772"/>
    <mergeCell ref="D1771:D1772"/>
    <mergeCell ref="E1771:E1772"/>
    <mergeCell ref="L1767:L1768"/>
    <mergeCell ref="M1767:M1768"/>
    <mergeCell ref="N1767:N1768"/>
    <mergeCell ref="B1769:B1770"/>
    <mergeCell ref="C1769:C1770"/>
    <mergeCell ref="D1769:D1770"/>
    <mergeCell ref="E1769:E1770"/>
    <mergeCell ref="G1769:G1770"/>
    <mergeCell ref="H1769:H1770"/>
    <mergeCell ref="I1769:I1770"/>
    <mergeCell ref="J1769:J1770"/>
    <mergeCell ref="K1769:K1770"/>
    <mergeCell ref="L1769:L1770"/>
    <mergeCell ref="M1769:M1770"/>
    <mergeCell ref="N1769:N1770"/>
    <mergeCell ref="G1767:G1768"/>
    <mergeCell ref="H1767:H1768"/>
    <mergeCell ref="I1767:I1768"/>
    <mergeCell ref="J1767:J1768"/>
    <mergeCell ref="K1767:K1768"/>
    <mergeCell ref="B1767:B1768"/>
    <mergeCell ref="C1767:C1768"/>
    <mergeCell ref="D1767:D1768"/>
    <mergeCell ref="E1767:E1768"/>
    <mergeCell ref="L1779:L1780"/>
    <mergeCell ref="M1779:M1780"/>
    <mergeCell ref="N1779:N1780"/>
    <mergeCell ref="B1781:B1782"/>
    <mergeCell ref="C1781:C1782"/>
    <mergeCell ref="D1781:D1782"/>
    <mergeCell ref="E1781:E1782"/>
    <mergeCell ref="G1781:G1782"/>
    <mergeCell ref="H1781:H1782"/>
    <mergeCell ref="I1781:I1782"/>
    <mergeCell ref="J1781:J1782"/>
    <mergeCell ref="K1781:K1782"/>
    <mergeCell ref="L1781:L1782"/>
    <mergeCell ref="M1781:M1782"/>
    <mergeCell ref="N1781:N1782"/>
    <mergeCell ref="G1779:G1780"/>
    <mergeCell ref="H1779:H1780"/>
    <mergeCell ref="I1779:I1780"/>
    <mergeCell ref="J1779:J1780"/>
    <mergeCell ref="K1779:K1780"/>
    <mergeCell ref="B1779:B1780"/>
    <mergeCell ref="C1779:C1780"/>
    <mergeCell ref="D1779:D1780"/>
    <mergeCell ref="E1779:E1780"/>
    <mergeCell ref="L1775:L1776"/>
    <mergeCell ref="M1775:M1776"/>
    <mergeCell ref="N1775:N1776"/>
    <mergeCell ref="B1777:B1778"/>
    <mergeCell ref="C1777:C1778"/>
    <mergeCell ref="D1777:D1778"/>
    <mergeCell ref="E1777:E1778"/>
    <mergeCell ref="G1777:G1778"/>
    <mergeCell ref="H1777:H1778"/>
    <mergeCell ref="I1777:I1778"/>
    <mergeCell ref="J1777:J1778"/>
    <mergeCell ref="K1777:K1778"/>
    <mergeCell ref="L1777:L1778"/>
    <mergeCell ref="M1777:M1778"/>
    <mergeCell ref="N1777:N1778"/>
    <mergeCell ref="G1775:G1776"/>
    <mergeCell ref="H1775:H1776"/>
    <mergeCell ref="I1775:I1776"/>
    <mergeCell ref="J1775:J1776"/>
    <mergeCell ref="K1775:K1776"/>
    <mergeCell ref="B1775:B1776"/>
    <mergeCell ref="C1775:C1776"/>
    <mergeCell ref="D1775:D1776"/>
    <mergeCell ref="E1775:E1776"/>
    <mergeCell ref="L1787:L1788"/>
    <mergeCell ref="M1787:M1788"/>
    <mergeCell ref="N1787:N1788"/>
    <mergeCell ref="B1789:B1790"/>
    <mergeCell ref="C1789:C1790"/>
    <mergeCell ref="D1789:D1790"/>
    <mergeCell ref="E1789:E1790"/>
    <mergeCell ref="G1789:G1790"/>
    <mergeCell ref="H1789:H1790"/>
    <mergeCell ref="I1789:I1790"/>
    <mergeCell ref="J1789:J1790"/>
    <mergeCell ref="K1789:K1790"/>
    <mergeCell ref="L1789:L1790"/>
    <mergeCell ref="M1789:M1790"/>
    <mergeCell ref="N1789:N1790"/>
    <mergeCell ref="G1787:G1788"/>
    <mergeCell ref="H1787:H1788"/>
    <mergeCell ref="I1787:I1788"/>
    <mergeCell ref="J1787:J1788"/>
    <mergeCell ref="K1787:K1788"/>
    <mergeCell ref="B1787:B1788"/>
    <mergeCell ref="C1787:C1788"/>
    <mergeCell ref="D1787:D1788"/>
    <mergeCell ref="E1787:E1788"/>
    <mergeCell ref="L1783:L1784"/>
    <mergeCell ref="M1783:M1784"/>
    <mergeCell ref="N1783:N1784"/>
    <mergeCell ref="B1785:B1786"/>
    <mergeCell ref="C1785:C1786"/>
    <mergeCell ref="D1785:D1786"/>
    <mergeCell ref="E1785:E1786"/>
    <mergeCell ref="G1785:G1786"/>
    <mergeCell ref="H1785:H1786"/>
    <mergeCell ref="I1785:I1786"/>
    <mergeCell ref="J1785:J1786"/>
    <mergeCell ref="K1785:K1786"/>
    <mergeCell ref="L1785:L1786"/>
    <mergeCell ref="M1785:M1786"/>
    <mergeCell ref="N1785:N1786"/>
    <mergeCell ref="G1783:G1784"/>
    <mergeCell ref="H1783:H1784"/>
    <mergeCell ref="I1783:I1784"/>
    <mergeCell ref="J1783:J1784"/>
    <mergeCell ref="K1783:K1784"/>
    <mergeCell ref="B1783:B1784"/>
    <mergeCell ref="C1783:C1784"/>
    <mergeCell ref="D1783:D1784"/>
    <mergeCell ref="E1783:E1784"/>
    <mergeCell ref="L1795:L1796"/>
    <mergeCell ref="M1795:M1796"/>
    <mergeCell ref="N1795:N1796"/>
    <mergeCell ref="B1797:B1798"/>
    <mergeCell ref="C1797:C1798"/>
    <mergeCell ref="D1797:D1798"/>
    <mergeCell ref="E1797:E1798"/>
    <mergeCell ref="G1797:G1798"/>
    <mergeCell ref="H1797:H1798"/>
    <mergeCell ref="I1797:I1798"/>
    <mergeCell ref="J1797:J1798"/>
    <mergeCell ref="K1797:K1798"/>
    <mergeCell ref="L1797:L1798"/>
    <mergeCell ref="M1797:M1798"/>
    <mergeCell ref="N1797:N1798"/>
    <mergeCell ref="G1795:G1796"/>
    <mergeCell ref="H1795:H1796"/>
    <mergeCell ref="I1795:I1796"/>
    <mergeCell ref="J1795:J1796"/>
    <mergeCell ref="K1795:K1796"/>
    <mergeCell ref="B1795:B1796"/>
    <mergeCell ref="C1795:C1796"/>
    <mergeCell ref="D1795:D1796"/>
    <mergeCell ref="E1795:E1796"/>
    <mergeCell ref="L1791:L1792"/>
    <mergeCell ref="M1791:M1792"/>
    <mergeCell ref="N1791:N1792"/>
    <mergeCell ref="B1793:B1794"/>
    <mergeCell ref="C1793:C1794"/>
    <mergeCell ref="D1793:D1794"/>
    <mergeCell ref="E1793:E1794"/>
    <mergeCell ref="G1793:G1794"/>
    <mergeCell ref="H1793:H1794"/>
    <mergeCell ref="I1793:I1794"/>
    <mergeCell ref="J1793:J1794"/>
    <mergeCell ref="K1793:K1794"/>
    <mergeCell ref="L1793:L1794"/>
    <mergeCell ref="M1793:M1794"/>
    <mergeCell ref="N1793:N1794"/>
    <mergeCell ref="G1791:G1792"/>
    <mergeCell ref="H1791:H1792"/>
    <mergeCell ref="I1791:I1792"/>
    <mergeCell ref="J1791:J1792"/>
    <mergeCell ref="K1791:K1792"/>
    <mergeCell ref="B1791:B1792"/>
    <mergeCell ref="C1791:C1792"/>
    <mergeCell ref="D1791:D1792"/>
    <mergeCell ref="E1791:E1792"/>
    <mergeCell ref="L1803:L1804"/>
    <mergeCell ref="M1803:M1804"/>
    <mergeCell ref="N1803:N1804"/>
    <mergeCell ref="B1805:B1806"/>
    <mergeCell ref="C1805:C1806"/>
    <mergeCell ref="D1805:D1806"/>
    <mergeCell ref="E1805:E1806"/>
    <mergeCell ref="G1805:G1806"/>
    <mergeCell ref="H1805:H1806"/>
    <mergeCell ref="I1805:I1806"/>
    <mergeCell ref="J1805:J1806"/>
    <mergeCell ref="K1805:K1806"/>
    <mergeCell ref="L1805:L1806"/>
    <mergeCell ref="M1805:M1806"/>
    <mergeCell ref="N1805:N1806"/>
    <mergeCell ref="G1803:G1804"/>
    <mergeCell ref="H1803:H1804"/>
    <mergeCell ref="I1803:I1804"/>
    <mergeCell ref="J1803:J1804"/>
    <mergeCell ref="K1803:K1804"/>
    <mergeCell ref="B1803:B1804"/>
    <mergeCell ref="C1803:C1804"/>
    <mergeCell ref="D1803:D1804"/>
    <mergeCell ref="E1803:E1804"/>
    <mergeCell ref="L1799:L1800"/>
    <mergeCell ref="M1799:M1800"/>
    <mergeCell ref="N1799:N1800"/>
    <mergeCell ref="B1801:B1802"/>
    <mergeCell ref="C1801:C1802"/>
    <mergeCell ref="D1801:D1802"/>
    <mergeCell ref="E1801:E1802"/>
    <mergeCell ref="G1801:G1802"/>
    <mergeCell ref="H1801:H1802"/>
    <mergeCell ref="I1801:I1802"/>
    <mergeCell ref="J1801:J1802"/>
    <mergeCell ref="K1801:K1802"/>
    <mergeCell ref="L1801:L1802"/>
    <mergeCell ref="M1801:M1802"/>
    <mergeCell ref="N1801:N1802"/>
    <mergeCell ref="G1799:G1800"/>
    <mergeCell ref="H1799:H1800"/>
    <mergeCell ref="I1799:I1800"/>
    <mergeCell ref="J1799:J1800"/>
    <mergeCell ref="K1799:K1800"/>
    <mergeCell ref="B1799:B1800"/>
    <mergeCell ref="C1799:C1800"/>
    <mergeCell ref="D1799:D1800"/>
    <mergeCell ref="E1799:E1800"/>
    <mergeCell ref="L1811:L1812"/>
    <mergeCell ref="M1811:M1812"/>
    <mergeCell ref="N1811:N1812"/>
    <mergeCell ref="B1813:B1814"/>
    <mergeCell ref="C1813:C1814"/>
    <mergeCell ref="D1813:D1814"/>
    <mergeCell ref="E1813:E1814"/>
    <mergeCell ref="G1813:G1814"/>
    <mergeCell ref="H1813:H1814"/>
    <mergeCell ref="I1813:I1814"/>
    <mergeCell ref="J1813:J1814"/>
    <mergeCell ref="K1813:K1814"/>
    <mergeCell ref="L1813:L1814"/>
    <mergeCell ref="M1813:M1814"/>
    <mergeCell ref="N1813:N1814"/>
    <mergeCell ref="G1811:G1812"/>
    <mergeCell ref="H1811:H1812"/>
    <mergeCell ref="I1811:I1812"/>
    <mergeCell ref="J1811:J1812"/>
    <mergeCell ref="K1811:K1812"/>
    <mergeCell ref="B1811:B1812"/>
    <mergeCell ref="C1811:C1812"/>
    <mergeCell ref="D1811:D1812"/>
    <mergeCell ref="E1811:E1812"/>
    <mergeCell ref="L1807:L1808"/>
    <mergeCell ref="M1807:M1808"/>
    <mergeCell ref="N1807:N1808"/>
    <mergeCell ref="B1809:B1810"/>
    <mergeCell ref="C1809:C1810"/>
    <mergeCell ref="D1809:D1810"/>
    <mergeCell ref="E1809:E1810"/>
    <mergeCell ref="G1809:G1810"/>
    <mergeCell ref="H1809:H1810"/>
    <mergeCell ref="I1809:I1810"/>
    <mergeCell ref="J1809:J1810"/>
    <mergeCell ref="K1809:K1810"/>
    <mergeCell ref="L1809:L1810"/>
    <mergeCell ref="M1809:M1810"/>
    <mergeCell ref="N1809:N1810"/>
    <mergeCell ref="G1807:G1808"/>
    <mergeCell ref="H1807:H1808"/>
    <mergeCell ref="I1807:I1808"/>
    <mergeCell ref="J1807:J1808"/>
    <mergeCell ref="K1807:K1808"/>
    <mergeCell ref="B1807:B1808"/>
    <mergeCell ref="C1807:C1808"/>
    <mergeCell ref="D1807:D1808"/>
    <mergeCell ref="E1807:E1808"/>
    <mergeCell ref="L1819:L1820"/>
    <mergeCell ref="M1819:M1820"/>
    <mergeCell ref="N1819:N1820"/>
    <mergeCell ref="G1819:G1820"/>
    <mergeCell ref="H1819:H1820"/>
    <mergeCell ref="I1819:I1820"/>
    <mergeCell ref="J1819:J1820"/>
    <mergeCell ref="K1819:K1820"/>
    <mergeCell ref="B1819:B1820"/>
    <mergeCell ref="C1819:C1820"/>
    <mergeCell ref="D1819:D1820"/>
    <mergeCell ref="E1819:E1820"/>
    <mergeCell ref="L1815:L1816"/>
    <mergeCell ref="M1815:M1816"/>
    <mergeCell ref="N1815:N1816"/>
    <mergeCell ref="B1817:B1818"/>
    <mergeCell ref="C1817:C1818"/>
    <mergeCell ref="D1817:D1818"/>
    <mergeCell ref="E1817:E1818"/>
    <mergeCell ref="G1817:G1818"/>
    <mergeCell ref="H1817:H1818"/>
    <mergeCell ref="I1817:I1818"/>
    <mergeCell ref="J1817:J1818"/>
    <mergeCell ref="K1817:K1818"/>
    <mergeCell ref="L1817:L1818"/>
    <mergeCell ref="M1817:M1818"/>
    <mergeCell ref="N1817:N1818"/>
    <mergeCell ref="G1815:G1816"/>
    <mergeCell ref="H1815:H1816"/>
    <mergeCell ref="I1815:I1816"/>
    <mergeCell ref="J1815:J1816"/>
    <mergeCell ref="K1815:K1816"/>
    <mergeCell ref="B1815:B1816"/>
    <mergeCell ref="C1815:C1816"/>
    <mergeCell ref="D1815:D1816"/>
    <mergeCell ref="E1815:E1816"/>
  </mergeCells>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657">
      <formula>ROW() - 2 &gt; SUMPRODUCT(MAX(($B1:$B11&lt;&gt;"")*(ROW($B1:K11))))</formula>
    </cfRule>
  </conditionalFormatting>
  <conditionalFormatting sqref="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654">
      <formula>ROW() - 2 &gt; SUMPRODUCT(MAX(($B1:$B11&lt;&gt;"")*(ROW($B1:G11))))</formula>
    </cfRule>
  </conditionalFormatting>
  <conditionalFormatting sqref="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653">
      <formula>ROW() - 2 &gt; SUMPRODUCT(MAX(($B1:$B11&lt;&gt;"")*(ROW($B1:H11))))</formula>
    </cfRule>
  </conditionalFormatting>
  <conditionalFormatting sqref="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652">
      <formula>ROW() - 2 &gt; SUMPRODUCT(MAX(($B1:$B11&lt;&gt;"")*(ROW($B1:I11))))</formula>
    </cfRule>
  </conditionalFormatting>
  <conditionalFormatting sqref="F10:I10 F12:I12 F14:I14 F16:I16 F18:I18 F20:I20 F22:I22 F24:I24 F26:I26 F28:I28 F30:I30 F32:I32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709" priority="12646">
      <formula>$D10=""</formula>
    </cfRule>
  </conditionalFormatting>
  <conditionalFormatting sqref="G11:I11 G13:I13 G15:I15 G17:I17 G19:I19 G21:I21 G23:I23 G25:I25 G27:I27 G29:I29 G31:I31 G33:I33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708" priority="12647">
      <formula>$D10=""</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707" priority="12643">
      <formula>$D10=""</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706" priority="12644">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705" priority="12640">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704" priority="12641">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703" priority="12637">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702" priority="12638">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701" priority="12634">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700" priority="12635">
      <formula>$D10=""</formula>
    </cfRule>
  </conditionalFormatting>
  <conditionalFormatting sqref="B10:N10 C12:N12 C14:N14 C16:N16 C18:N18 C20:N20 C22:N22 C24:N24 C26:N26 C28:N28 C30:N30 C32:N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cfRule type="expression" dxfId="699" priority="100">
      <formula>$D10=""</formula>
    </cfRule>
  </conditionalFormatting>
  <conditionalFormatting sqref="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698" priority="99">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697" priority="84">
      <formula>$D12=""</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82">
      <formula>ROW() - 2 &gt; SUMPRODUCT(MAX(($B307:$B317&lt;&gt;"")*(ROW($B307:K317))))</formula>
    </cfRule>
  </conditionalFormatting>
  <conditionalFormatting sqref="G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81">
      <formula>ROW() - 2 &gt; SUMPRODUCT(MAX(($B307:$B317&lt;&gt;"")*(ROW($B307:G317))))</formula>
    </cfRule>
  </conditionalFormatting>
  <conditionalFormatting sqref="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80">
      <formula>ROW() - 2 &gt; SUMPRODUCT(MAX(($B307:$B317&lt;&gt;"")*(ROW($B307:H317))))</formula>
    </cfRule>
  </conditionalFormatting>
  <conditionalFormatting sqref="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79">
      <formula>ROW() - 2 &gt; SUMPRODUCT(MAX(($B307:$B317&lt;&gt;"")*(ROW($B307:I317))))</formula>
    </cfRule>
  </conditionalFormatting>
  <conditionalFormatting sqref="F316:I316 F318:I318 F320:I320 F322:I322 F324:I324 F326:I326 F328:I328 F330:I330 F332:I332 F334:I334 F336:I336 F338:I338 F340:I340 F342:I342 F344:I344 F346:I346 F348:I348 F350:I350 F352:I352 F354:I354 F356:I356 F358:I358 F360:I360 F362:I362 F364:I364 F366:I366 F368:I368 F370:I370 F372:I372 F374:I374 F376:I376 F378:I378 F380:I380 F382:I382 F384:I384 F386:I386 F388:I388 F390:I390 F392:I392 F394:I394 F396:I396 F398:I398 F400:I400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696" priority="77">
      <formula>$D316=""</formula>
    </cfRule>
  </conditionalFormatting>
  <conditionalFormatting sqref="G317:I317 G319:I319 G321:I321 G323:I323 G325:I325 G327:I327 G329:I329 G331:I331 G333:I333 G335:I335 G337:I337 G339:I339 G341:I341 G343:I343 G345:I345 G347:I347 G349:I349 G351:I351 G353:I353 G355:I355 G357:I357 G359:I359 G361:I361 G363:I363 G365:I365 G367:I367 G369:I369 G371:I371 G373:I373 G375:I375 G377:I377 G379:I379 G381:I381 G383:I383 G385:I385 G387:I387 G389:I389 G391:I391 G393:I393 G395:I395 G397:I397 G399:I399 G401:I401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695" priority="78">
      <formula>$D316=""</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694" priority="75">
      <formula>$D316=""</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693" priority="76">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692" priority="73">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691" priority="74">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690" priority="71">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689" priority="72">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688" priority="69">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687" priority="70">
      <formula>$D316=""</formula>
    </cfRule>
  </conditionalFormatting>
  <conditionalFormatting sqref="B316:N316 D318:N318 D320:N320 D322:N322 D324:N324 D326:N326 D328:N328 D330:N330 D332:N332 D334:N334 D336:N336 D338:N338 D340:N340 D342:N342 D344:N344 D346:N346 D348:N348 D350:N350 D352:N352 D354:N354 D356:N356 D358:N358 D360:N360 D362:N362 D364:N364 D366:N366 D368:N368 D370:N370 D372:N372 D374:N374 D376:N376 D378:N378 D380:N380 D382:N382 D384:N384 D386:N386 D388:N388 D390:N390 D392:N392 D394:N394 D396:N396 D398:N398 D400:N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cfRule type="expression" dxfId="686" priority="68">
      <formula>$D316=""</formula>
    </cfRule>
  </conditionalFormatting>
  <conditionalFormatting sqref="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685" priority="67">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684" priority="52">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cfRule type="expression" dxfId="683" priority="50">
      <formula>$D621=""</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K1647:N1647 K1649:N1649 K1651:N1651 K1653:N1653 K1655:N1655 K1657:N1657 K1659:N1659 K1661:N1661 K1663:N1663 K1665:N1665 K1667:N1667 K1669:N1669 K1671:N1671 K1673:N1673 K1675:N1675 K1677:N1677 K1679:N1679 K1681:N1681 K1683:N1683 K1685:N1685 K1687:N1687 K1689:N1689 K1691:N1691 K1693:N1693 K1695:N1695 K1697:N1697 K1699:N1699 K1701:N1701 K1703:N1703 K1705:N1705 K1707:N1707 K1709:N1709 K1711:N1711 K1713:N1713 K1715:N1715 K1717:N1717 K1719:N1719 K1721:N1721 K1723:N1723 K1725:N1725 K1727:N1727 K1729:N1729 K1731:N1731 K1733:N1733 K1735:N1735 K1737:N1737 K1739:N1739 K1741:N1741 K1743:N1743 K1745:N1745 K1747:N1747 K1749:N1749 K1751:N1751 K1753:N1753 K1755:N1755 K1757:N1757 K1759:N1759 K1761:N1761 K1763:N1763 K1765:N1765 K1767:N1767 K1769:N1769 K1771:N1771 K1773:N1773 K1775:N1775 K1777:N1777 K1779:N1779 K1781:N1781 K1783:N1783 K1785:N1785 K1787:N1787 K1789:N1789 K1791:N1791 K1793:N1793 K1795:N1795 K1797:N1797 K1799:N1799 K1801:N1801 K1803:N1803 K1805:N1805 K1807:N1807 K1809:N1809 K1811:N1811 K1813:N1813 K1815:N1815 K1817:N1817 K1819:N1819">
    <cfRule type="expression" priority="49">
      <formula>ROW() - 2 &gt; SUMPRODUCT(MAX(($B611:$B622&lt;&gt;"")*(ROW($B611:K622))))</formula>
    </cfRule>
  </conditionalFormatting>
  <conditionalFormatting sqref="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cfRule type="expression" priority="48">
      <formula>ROW() - 2 &gt; SUMPRODUCT(MAX(($B611:$B622&lt;&gt;"")*(ROW($B611:G622))))</formula>
    </cfRule>
  </conditionalFormatting>
  <conditionalFormatting sqref="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13 H815 H817 H819 H821 H823 H825 H827 H829 H831 H833 H835 H837 H839 H841 H843 H845 H847 H849 H851 H853 H855 H857 H859 H861 H863 H865 H867 H869 H871 H873 H875 H877 H879 H881 H883 H885 H887 H889 H891 H893 H895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H1699 H1701 H1703 H1705 H1707 H1709 H1711 H1713 H1715 H1717 H1719 H1721 H1723 H1725 H1727 H1729 H1731 H1733 H1735 H1737 H1739 H1741 H1743 H1745 H1747 H1749 H1751 H1753 H1755 H1757 H1759 H1761 H1763 H1765 H1767 H1769 H1771 H1773 H1775 H1777 H1779 H1781 H1783 H1785 H1787 H1789 H1791 H1793 H1795 H1797 H1799 H1801 H1803 H1805 H1807 H1809 H1811 H1813 H1815 H1817 H1819">
    <cfRule type="expression" priority="47">
      <formula>ROW() - 2 &gt; SUMPRODUCT(MAX(($B611:$B622&lt;&gt;"")*(ROW($B611:H622))))</formula>
    </cfRule>
  </conditionalFormatting>
  <conditionalFormatting sqref="I621 I623 I625 I627 I629 I631 I633 I635 I637 I639 I641 I643 I645 I647 I649 I651 I653 I655 I657 I659 I661 I663 I665 I667 I669 I671 I673 I675 I677 I679 I681 I683 I685 I687 I689 I691 I693 I695 I697 I699 I701 I703 I705 I707 I709 I711 I713 I715 I717 I719 I721 I723 I725 I727 I729 I731 I733 I735 I737 I739 I741 I743 I745 I747 I749 I751 I753 I755 I757 I759 I761 I763 I765 I767 I769 I771 I773 I775 I777 I779 I781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I1699 I1701 I1703 I1705 I1707 I1709 I1711 I1713 I1715 I1717 I1719 I1721 I1723 I1725 I1727 I1729 I1731 I1733 I1735 I1737 I1739 I1741 I1743 I1745 I1747 I1749 I1751 I1753 I1755 I1757 I1759 I1761 I1763 I1765 I1767 I1769 I1771 I1773 I1775 I1777 I1779 I1781 I1783 I1785 I1787 I1789 I1791 I1793 I1795 I1797 I1799 I1801 I1803 I1805 I1807 I1809 I1811 I1813 I1815 I1817 I1819">
    <cfRule type="expression" priority="46">
      <formula>ROW() - 2 &gt; SUMPRODUCT(MAX(($B611:$B622&lt;&gt;"")*(ROW($B611:I622))))</formula>
    </cfRule>
  </conditionalFormatting>
  <conditionalFormatting sqref="F621:I621 F623:I623 F625:I625 F627:I627 F629:I629 F631:I631 F633:I633 F635:I635 F637:I637 F639:I639 F641:I641 F643:I643 F645:I645 F647:I647 F649:I649 F651:I651 F653:I653 F655:I655 F657:I657 F659:I659 F661:I661 F663:I663 F665:I665 F667:I667 F669:I669 F671:I671 F673:I673 F675:I675 F677:I677 F679:I679 F681:I681 F683:I683 F685:I685 F687:I687 F689:I689 F691:I691 F693:I693 F695:I695 F697:I697 F699:I699 F701:I701 F703:I703 F705:I705 F707:I707 F709:I709 F711:I711 F713:I713 F715:I715 F717:I717 F719:I719 F721:I721 F723:I723 F725:I725 F727:I727 F729:I729 F731:I731 F733:I733 F735:I735 F737:I737 F739:I739 F741:I741 F743:I743 F745:I745 F747:I747 F749:I749 F751:I751 F753:I753 F755:I755 F757:I757 F759:I759 F761:I761 F763:I763 F765:I765 F767:I767 F769:I769 F771:I771 F773:I773 F775:I775 F777:I777 F779:I779 F781:I781 F783:I783 F785:I785 F787:I787 F789:I789 F791:I791 F793:I793 F795:I795 F797:I797 F799:I799 F801:I801 F803:I803 F805:I805 F807:I807 F809:I809 F811:I811 F813:I813 F815:I815 F817:I817 F819:I819 F821:I821 F823:I823 F825:I825 F827:I827 F829:I829 F831:I831 F833:I833 F835:I835 F837:I837 F839:I839 F841:I841 F843:I843 F845:I845 F847:I847 F849:I849 F851:I851 F853:I853 F855:I855 F857:I857 F859:I859 F861:I861 F863:I863 F865:I865 F867:I867 F869:I869 F871:I871 F873:I873 F875:I875 F877:I877 F879:I879 F881:I881 F883:I883 F885:I885 F887:I887 F889:I889 F891:I891 F893:I893 F895:I895 F897:I897 F899:I899 F901:I901 F903:I903 F905:I905 F907:I907 F909:I909 F911:I911 F913:I913 F915: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1:I1021 F1023:I1023 F1025:I1025 F1027:I1027 F1029:I1029 F1031:I1031 F1033:I1033 F1035:I1035 F1037:I1037 F1039:I1039 F1041:I1041 F1043:I1043 F1045:I1045 F1047:I1047 F1049:I1049 F1051:I1051 F1053:I1053 F1055:I1055 F1057:I1057 F1059:I1059 F1061:I1061 F1063:I1063 F1065:I1065 F1067:I1067 F1069:I1069 F1071:I1071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F1647:I1647 F1649:I1649 F1651:I1651 F1653:I1653 F1655:I1655 F1657:I1657 F1659:I1659 F1661:I1661 F1663:I1663 F1665:I1665 F1667:I1667 F1669:I1669 F1671:I1671 F1673:I1673 F1675:I1675 F1677:I1677 F1679:I1679 F1681:I1681 F1683:I1683 F1685:I1685 F1687:I1687 F1689:I1689 F1691:I1691 F1693:I1693 F1695:I1695 F1697:I1697 F1699:I1699 F1701:I1701 F1703:I1703 F1705:I1705 F1707:I1707 F1709:I1709 F1711:I1711 F1713:I1713 F1715:I1715 F1717:I1717 F1719:I1719 F1721:I1721 F1723:I1723 F1725:I1725 F1727:I1727 F1729:I1729 F1731:I1731 F1733:I1733 F1735:I1735 F1737:I1737 F1739:I1739 F1741:I1741 F1743:I1743 F1745:I1745 F1747:I1747 F1749:I1749 F1751:I1751 F1753:I1753 F1755:I1755 F1757:I1757 F1759:I1759 F1761:I1761 F1763:I1763 F1765:I1765 F1767:I1767 F1769:I1769 F1771:I1771 F1773:I1773 F1775:I1775 F1777:I1777 F1779:I1779 F1781:I1781 F1783:I1783 F1785:I1785 F1787:I1787 F1789:I1789 F1791:I1791 F1793:I1793 F1795:I1795 F1797:I1797 F1799:I1799 F1801:I1801 F1803:I1803 F1805:I1805 F1807:I1807 F1809:I1809 F1811:I1811 F1813:I1813 F1815:I1815 F1817:I1817 F1819:I1819">
    <cfRule type="expression" dxfId="682" priority="44">
      <formula>$D621=""</formula>
    </cfRule>
  </conditionalFormatting>
  <conditionalFormatting sqref="G622:I622 G624:I624 G626:I626 G628:I628 G630:I630 G632:I632 G634:I634 G636:I636 G638:I638 G640:I640 G642:I642 G644:I644 G646:I646 G648:I648 G650:I650 G652:I652 G654:I654 G656:I656 G658:I658 G660:I660 G662:I662 G664:I664 G666:I666 G668:I668 G670:I670 G672:I672 G674:I674 G676:I676 G678:I678 G680:I680 G682:I682 G684:I684 G686:I686 G688:I688 G690:I690 G692:I692 G694:I694 G696:I696 G698:I698 G700:I700 G702:I702 G704:I704 G706:I706 G708:I708 G710:I710 G712:I712 G714:I714 G716:I716 G718:I718 G720:I720 G722:I722 G724:I724 G726:I726 G728:I728 G730:I730 G732:I732 G734:I734 G736:I736 G738:I738 G740:I740 G742:I742 G744:I744 G746:I746 G748:I748 G750:I750 G752:I752 G754:I754 G756:I756 G758:I758 G760:I760 G762:I762 G764:I764 G766:I766 G768:I768 G770:I770 G772:I772 G774:I774 G776:I776 G778:I778 G780:I780 G782:I782 G784:I784 G786:I786 G788:I788 G790:I790 G792:I792 G794:I794 G796:I796 G798:I798 G800:I800 G802:I802 G804:I804 G806:I806 G808:I808 G810:I810 G812:I812 G814:I814 G816:I816 G818:I818 G820:I820 G822:I822 G824:I824 G826:I826 G828:I828 G830:I830 G832:I832 G834:I834 G836:I836 G838:I838 G840:I840 G842:I842 G844:I844 G846:I846 G848:I848 G850:I850 G852:I852 G854:I854 G856:I856 G858:I858 G860:I860 G862:I862 G864:I864 G866:I866 G868:I868 G870:I870 G872:I872 G874:I874 G876:I876 G878:I878 G880:I880 G882:I882 G884:I884 G886:I886 G888:I888 G890:I890 G892:I892 G894:I894 G896:I896 G898:I898 G900:I900 G902:I902 G904:I904 G906:I906 G908:I908 G910:I910 G912:I912 G914:I914 G916: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22:I1022 G1024:I1024 G1026:I1026 G1028:I1028 G1030:I1030 G1032:I1032 G1034:I1034 G1036:I1036 G1038:I1038 G1040:I1040 G1042:I1042 G1044:I1044 G1046:I1046 G1048:I1048 G1050:I1050 G1052:I1052 G1054:I1054 G1056:I1056 G1058:I1058 G1060:I1060 G1062:I1062 G1064:I1064 G1066:I1066 G1068:I1068 G1070:I1070 G1072:I1072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G1648:I1648 G1650:I1650 G1652:I1652 G1654:I1654 G1656:I1656 G1658:I1658 G1660:I1660 G1662:I1662 G1664:I1664 G1666:I1666 G1668:I1668 G1670:I1670 G1672:I1672 G1674:I1674 G1676:I1676 G1678:I1678 G1680:I1680 G1682:I1682 G1684:I1684 G1686:I1686 G1688:I1688 G1690:I1690 G1692:I1692 G1694:I1694 G1696:I1696 G1698:I1698 G1700:I1700 G1702:I1702 G1704:I1704 G1706:I1706 G1708:I1708 G1710:I1710 G1712:I1712 G1714:I1714 G1716:I1716 G1718:I1718 G1720:I1720 G1722:I1722 G1724:I1724 G1726:I1726 G1728:I1728 G1730:I1730 G1732:I1732 G1734:I1734 G1736:I1736 G1738:I1738 G1740:I1740 G1742:I1742 G1744:I1744 G1746:I1746 G1748:I1748 G1750:I1750 G1752:I1752 G1754:I1754 G1756:I1756 G1758:I1758 G1760:I1760 G1762:I1762 G1764:I1764 G1766:I1766 G1768:I1768 G1770:I1770 G1772:I1772 G1774:I1774 G1776:I1776 G1778:I1778 G1780:I1780 G1782:I1782 G1784:I1784 G1786:I1786 G1788:I1788 G1790:I1790 G1792:I1792 G1794:I1794 G1796:I1796 G1798:I1798 G1800:I1800 G1802:I1802 G1804:I1804 G1806:I1806 G1808:I1808 G1810:I1810 G1812:I1812 G1814:I1814 G1816:I1816 G1818:I1818 G1820:I1820">
    <cfRule type="expression" dxfId="681" priority="45">
      <formula>$D621=""</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K1647 K1649 K1651 K1653 K1655 K1657 K1659 K1661 K1663 K1665 K1667 K1669 K1671 K1673 K1675 K1677 K1679 K1681 K1683 K1685 K1687 K1689 K1691 K1693 K1695 K1697 K1699 K1701 K1703 K1705 K1707 K1709 K1711 K1713 K1715 K1717 K1719 K1721 K1723 K1725 K1727 K1729 K1731 K1733 K1735 K1737 K1739 K1741 K1743 K1745 K1747 K1749 K1751 K1753 K1755 K1757 K1759 K1761 K1763 K1765 K1767 K1769 K1771 K1773 K1775 K1777 K1779 K1781 K1783 K1785 K1787 K1789 K1791 K1793 K1795 K1797 K1799 K1801 K1803 K1805 K1807 K1809 K1811 K1813 K1815 K1817 K1819">
    <cfRule type="expression" dxfId="680" priority="42">
      <formula>$D621=""</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K1648 K1650 K1652 K1654 K1656 K1658 K1660 K1662 K1664 K1666 K1668 K1670 K1672 K1674 K1676 K1678 K1680 K1682 K1684 K1686 K1688 K1690 K1692 K1694 K1696 K1698 K1700 K1702 K1704 K1706 K1708 K1710 K1712 K1714 K1716 K1718 K1720 K1722 K1724 K1726 K1728 K1730 K1732 K1734 K1736 K1738 K1740 K1742 K1744 K1746 K1748 K1750 K1752 K1754 K1756 K1758 K1760 K1762 K1764 K1766 K1768 K1770 K1772 K1774 K1776 K1778 K1780 K1782 K1784 K1786 K1788 K1790 K1792 K1794 K1796 K1798 K1800 K1802 K1804 K1806 K1808 K1810 K1812 K1814 K1816 K1818 K1820">
    <cfRule type="expression" dxfId="679" priority="43">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L1699 L1701 L1703 L1705 L1707 L1709 L1711 L1713 L1715 L1717 L1719 L1721 L1723 L1725 L1727 L1729 L1731 L1733 L1735 L1737 L1739 L1741 L1743 L1745 L1747 L1749 L1751 L1753 L1755 L1757 L1759 L1761 L1763 L1765 L1767 L1769 L1771 L1773 L1775 L1777 L1779 L1781 L1783 L1785 L1787 L1789 L1791 L1793 L1795 L1797 L1799 L1801 L1803 L1805 L1807 L1809 L1811 L1813 L1815 L1817 L1819">
    <cfRule type="expression" dxfId="678" priority="40">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L1700 L1702 L1704 L1706 L1708 L1710 L1712 L1714 L1716 L1718 L1720 L1722 L1724 L1726 L1728 L1730 L1732 L1734 L1736 L1738 L1740 L1742 L1744 L1746 L1748 L1750 L1752 L1754 L1756 L1758 L1760 L1762 L1764 L1766 L1768 L1770 L1772 L1774 L1776 L1778 L1780 L1782 L1784 L1786 L1788 L1790 L1792 L1794 L1796 L1798 L1800 L1802 L1804 L1806 L1808 L1810 L1812 L1814 L1816 L1818 L1820">
    <cfRule type="expression" dxfId="677" priority="41">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M1647 M1649 M1651 M1653 M1655 M1657 M1659 M1661 M1663 M1665 M1667 M1669 M1671 M1673 M1675 M1677 M1679 M1681 M1683 M1685 M1687 M1689 M1691 M1693 M1695 M1697 M1699 M1701 M1703 M1705 M1707 M1709 M1711 M1713 M1715 M1717 M1719 M1721 M1723 M1725 M1727 M1729 M1731 M1733 M1735 M1737 M1739 M1741 M1743 M1745 M1747 M1749 M1751 M1753 M1755 M1757 M1759 M1761 M1763 M1765 M1767 M1769 M1771 M1773 M1775 M1777 M1779 M1781 M1783 M1785 M1787 M1789 M1791 M1793 M1795 M1797 M1799 M1801 M1803 M1805 M1807 M1809 M1811 M1813 M1815 M1817 M1819">
    <cfRule type="expression" dxfId="676" priority="38">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M1648 M1650 M1652 M1654 M1656 M1658 M1660 M1662 M1664 M1666 M1668 M1670 M1672 M1674 M1676 M1678 M1680 M1682 M1684 M1686 M1688 M1690 M1692 M1694 M1696 M1698 M1700 M1702 M1704 M1706 M1708 M1710 M1712 M1714 M1716 M1718 M1720 M1722 M1724 M1726 M1728 M1730 M1732 M1734 M1736 M1738 M1740 M1742 M1744 M1746 M1748 M1750 M1752 M1754 M1756 M1758 M1760 M1762 M1764 M1766 M1768 M1770 M1772 M1774 M1776 M1778 M1780 M1782 M1784 M1786 M1788 M1790 M1792 M1794 M1796 M1798 M1800 M1802 M1804 M1806 M1808 M1810 M1812 M1814 M1816 M1818 M1820">
    <cfRule type="expression" dxfId="675" priority="39">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N1647 N1649 N1651 N1653 N1655 N1657 N1659 N1661 N1663 N1665 N1667 N1669 N1671 N1673 N1675 N1677 N1679 N1681 N1683 N1685 N1687 N1689 N1691 N1693 N1695 N1697 N1699 N1701 N1703 N1705 N1707 N1709 N1711 N1713 N1715 N1717 N1719 N1721 N1723 N1725 N1727 N1729 N1731 N1733 N1735 N1737 N1739 N1741 N1743 N1745 N1747 N1749 N1751 N1753 N1755 N1757 N1759 N1761 N1763 N1765 N1767 N1769 N1771 N1773 N1775 N1777 N1779 N1781 N1783 N1785 N1787 N1789 N1791 N1793 N1795 N1797 N1799 N1801 N1803 N1805 N1807 N1809 N1811 N1813 N1815 N1817 N1819">
    <cfRule type="expression" dxfId="674" priority="36">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N1648 N1650 N1652 N1654 N1656 N1658 N1660 N1662 N1664 N1666 N1668 N1670 N1672 N1674 N1676 N1678 N1680 N1682 N1684 N1686 N1688 N1690 N1692 N1694 N1696 N1698 N1700 N1702 N1704 N1706 N1708 N1710 N1712 N1714 N1716 N1718 N1720 N1722 N1724 N1726 N1728 N1730 N1732 N1734 N1736 N1738 N1740 N1742 N1744 N1746 N1748 N1750 N1752 N1754 N1756 N1758 N1760 N1762 N1764 N1766 N1768 N1770 N1772 N1774 N1776 N1778 N1780 N1782 N1784 N1786 N1788 N1790 N1792 N1794 N1796 N1798 N1800 N1802 N1804 N1806 N1808 N1810 N1812 N1814 N1816 N1818 N1820">
    <cfRule type="expression" dxfId="673" priority="37">
      <formula>$D621=""</formula>
    </cfRule>
  </conditionalFormatting>
  <conditionalFormatting sqref="B621:C621 E621:N621 C623 C625 C627 C629 C631 C633 C635 C637 C639 C641 C643 C645 C647 C649 C651 C653 C655 C657 C659 C661 C663 C665 C667 C669 C671 C673 C675 C677 C679 C681 C683 C685 C687 C689 C691 C693 C695 C697 C699 C701 C703 C705 C707 C709 C711 C713 C715 C717 C719 C721 C723 C725 C727 C729 C731 C733 C735 C737 C739 C741 C743 C745 C747 C749 C751 C753 C755 C757 C759 C761 C763 C765 C767 C769 C771 C773 C775 C777 C779 C781 C783 C785 C787 C789 C791 C793 C795 C797 C799 C801 C803 C805 C807 C809 C811 C813 C815 C817 C819 C821 C823 C825 C827 C829 C831 C833 C835 C837 C839 C841 C843 C845 C847 C849 C851 C853 C855 C857 C859 C861 C863 C865 C867 C869 C871 C873 C875 C877 C879 C881 C883 C885 C887 C889 C891 C893 C895 C897 C899 C901 C903 C905 C907 C909 C911 C913 C915 C917 C919 C921 C923 C925 C927 C929 C931 C933 C935 C937 C939 C941 C943 C945 C947 C949 C951 C953 C955 C957 C959 C961 C963 C965 C967 C969 C971 C973 C975 C977 C979 C981 C983 C985 C987 C989 C991 C993 C995 C997 C999 C1001 C1003 C1005 C1007 C1009 C1011 C1013 C1015 C1017 C1019 C1021 C1023 C1025 C1027 C1029 C1031 C1033 C1035 C1037 C1039 C1041 C1043 C1045 C1047 C1049 C1051 C1053 C1055 C1057 C1059 C1061 C1063 C1065 C1067 C1069 C1071 C1073 C1075 C1077 C1079 C1081 C1083 C1085 C1087 C1089 C1091 C1093 C1095 C1097 C1099 C1101 C1103 C1105 C1107 C1109 C1111 C1113 C1115 C1117 C1119 C1121 C1123 C1125 C1127 C1129 C1131 C1133 C1135 C1137 C1139 C1141 C1143 C1145 C1147 C1149 C1151 C1153 C1155 C1157 C1159 C1161 C1163 C1165 C1167 C1169 C1171 C1173 C1175 C1177 C1179 C1181 C1183 C1185 C1187 C1189 C1191 C1193 C1195 C1197 C1199 C1201 C1203 C1205 C1207 C1209 C1211 C1213 C1215 C1217 C1219 C1221 C1223 C1225 C1227 C1229 C1231 C1233 C1235 C1237 C1239 C1241 C1243 C1245 C1247 C1249 C1251 C1253 C1255 C1257 C1259 C1261 C1263 C1265 C1267 C1269 C1271 C1273 C1275 C1277 C1279 C1281 C1283 C1285 C1287 C1289 C1291 C1293 C1295 C1297 C1299 C1301 C1303 C1305 C1307 C1309 C1311 C1313 C1315 C1317 C1319 C1321 C1323 C1325 C1327 C1329 C1331 C1333 C1335 C1337 C1339 C1341 C1343 C1345 C1347 C1349 C1351 C1353 C1355 C1357 C1359 C1361 C1363 C1365 C1367 C1369 C1371 C1373 C1375 C1377 C1379 C1381 C1383 C1385 C1387 C1389 C1391 C1393 C1395 C1397 C1399 C1401 C1403 C1405 C1407 C1409 C1411 C1413 C1415 C1417 C1419 C1421 C1423 C1425 C1427 C1429 C1431 C1433 C1435 C1437 C1439 C1441 C1443 C1445 C1447 C1449 C1451 C1453 C1455 C1457 C1459 C1461 C1463 C1465 C1467 C1469 C1471 C1473 C1475 C1477 C1479 C1481 C1483 C1485 C1487 C1489 C1491 C1493 C1495 C1497 C1499 C1501 C1503 C1505 C1507 C1509 C1511 C1513 C1515 C1517 C1519 C1521 C1523 C1525 C1527 C1529 C1531 C1533 C1535 C1537 C1539 C1541 C1543 C1545 C1547 C1549 C1551 C1553 C1555 C1557 C1559 C1561 C1563 C1565 C1567 C1569 C1571 C1573 C1575 C1577 C1579 C1581 C1583 C1585 C1587 C1589 C1591 C1593 C1595 C1597 C1599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1699 C1701 C1703 C1705 C1707 C1709 C1711 C1713 C1715 C1717 C1719 C1721 C1723 C1725 C1727 C1729 C1731 C1733 C1735 C1737 C1739 C1741 C1743 C1745 C1747 C1749 C1751 C1753 C1755 C1757 C1759 C1761 C1763 C1765 C1767 C1769 C1771 C1773 C1775 C1777 C1779 C1781 C1783 C1785 C1787 C1789 C1791 C1793 C1795 C1797 C1799 C1801 C1803 C1805 C1807 C1809 C1811 C1813 C1815 C1817 C1819 E623:N623 E625:N625 E627:N627 E629:N629 E631:N631 E633:N633 E635:N635 E637:N637 E639:N639 E641:N641 E643:N643 E645:N645 E647:N647 E649:N649 E651:N651 E653:N653 E655:N655 E657:N657 E659:N659 E661:N661 E663:N663 E665:N665 E667:N667 E669:N669 E671:N671 E673:N673 E675:N675 E677:N677 E679:N679 E681:N681 E683:N683 E685:N685 E687:N687 E689:N689 E691:N691 E693:N693 E695:N695 E697:N697 E699:N699 E701:N701 E703:N703 E705:N705 E707:N707 E709:N709 E711:N711 E713:N713 E715:N715 E717:N717 E719:N719 E721:N721 E723:N723 E725:N725 E727:N727 E729:N729 E731:N731 E733:N733 E735:N735 E737:N737 E739:N739 E741:N741 E743:N743 E745:N745 E747:N747 E749:N749 E751:N751 E753:N753 E755:N755 E757:N757 E759:N759 E761:N761 E763:N763 E765:N765 E767:N767 E769:N769 E771:N771 E773:N773 E775:N775 E777:N777 E779:N779 E781:N781 E783:N783 E785:N785 E787:N787 E789:N789 E791:N791 E793:N793 E795:N795 E797:N797 E799:N799 E801:N801 E803:N803 E805:N805 E807:N807 E809:N809 E811:N811 E813:N813 E815:N815 E817:N817 E819:N819 E821:N821 E823:N823 E825:N825 E827:N827 E829:N829 E831:N831 E833:N833 E835:N835 E837:N837 E839:N839 E841:N841 E843:N843 E845:N845 E847:N847 E849:N849 E851:N851 E853:N853 E855:N855 E857:N857 E859:N859 E861:N861 E863:N863 E865:N865 E867:N867 E869:N869 E871:N871 E873:N873 E875:N875 E877:N877 E879:N879 E881:N881 E883:N883 E885:N885 E887:N887 E889:N889 E891:N891 E893:N893 E895:N895 E897:N897 E899:N899 E901:N901 E903:N903 E905:N905 E907:N907 E909:N909 E911:N911 E913:N913 E915:N915 E917:N917 E919:N919 E921:N921 E923:N923 E925:N925 E927:N927 E929:N929 E931:N931 E933:N933 E935:N935 E937:N937 E939:N939 E941:N941 E943:N943 E945:N945 E947:N947 E949:N949 E951:N951 E953:N953 E955:N955 E957:N957 E959:N959 E961:N961 E963:N963 E965:N965 E967:N967 E969:N969 E971:N971 E973:N973 E975:N975 E977:N977 E979:N979 E981:N981 E983:N983 E985:N985 E987:N987 E989:N989 E991:N991 E993:N993 E995:N995 E997:N997 E999:N999 E1001:N1001 E1003:N1003 E1005:N1005 E1007:N1007 E1009:N1009 E1011:N1011 E1013:N1013 E1015:N1015 E1017:N1017 E1019:N1019 E1021:N1021 E1023:N1023 E1025:N1025 E1027:N1027 E1029:N1029 E1031:N1031 E1033:N1033 E1035:N1035 E1037:N1037 E1039:N1039 E1041:N1041 E1043:N1043 E1045:N1045 E1047:N1047 E1049:N1049 E1051:N1051 E1053:N1053 E1055:N1055 E1057:N1057 E1059:N1059 E1061:N1061 E1063:N1063 E1065:N1065 E1067:N1067 E1069:N1069 E1071:N1071 E1073:N1073 E1075:N1075 E1077:N1077 E1079:N1079 E1081:N1081 E1083:N1083 E1085:N1085 E1087:N1087 E1089:N1089 E1091:N1091 E1093:N1093 E1095:N1095 E1097:N1097 E1099:N1099 E1101:N1101 E1103:N1103 E1105:N1105 E1107:N1107 E1109:N1109 E1111:N1111 E1113:N1113 E1115:N1115 E1117:N1117 E1119:N1119 E1121:N1121 E1123:N1123 E1125:N1125 E1127:N1127 E1129:N1129 E1131:N1131 E1133:N1133 E1135:N1135 E1137:N1137 E1139:N1139 E1141:N1141 E1143:N1143 E1145:N1145 E1147:N1147 E1149:N1149 E1151:N1151 E1153:N1153 E1155:N1155 E1157:N1157 E1159:N1159 E1161:N1161 E1163:N1163 E1165:N1165 E1167:N1167 E1169:N1169 E1171:N1171 E1173:N1173 E1175:N1175 E1177:N1177 E1179:N1179 E1181:N1181 E1183:N1183 E1185:N1185 E1187:N1187 E1189:N1189 E1191:N1191 E1193:N1193 E1195:N1195 E1197:N1197 E1199:N1199 E1201:N1201 E1203:N1203 E1205:N1205 E1207:N1207 E1209:N1209 E1211:N1211 E1213:N1213 E1215:N1215 E1217:N1217 E1219:N1219 E1221:N1221 E1223:N1223 E1225:N1225 E1227:N1227 E1229:N1229 E1231:N1231 E1233:N1233 E1235:N1235 E1237:N1237 E1239:N1239 E1241:N1241 E1243:N1243 E1245:N1245 E1247:N1247 E1249:N1249 E1251:N1251 E1253:N1253 E1255:N1255 E1257:N1257 E1259:N1259 E1261:N1261 E1263:N1263 E1265:N1265 E1267:N1267 E1269:N1269 E1271:N1271 E1273:N1273 E1275:N1275 E1277:N1277 E1279:N1279 E1281:N1281 E1283:N1283 E1285:N1285 E1287:N1287 E1289:N1289 E1291:N1291 E1293:N1293 E1295:N1295 E1297:N1297 E1299:N1299 E1301:N1301 E1303:N1303 E1305:N1305 E1307:N1307 E1309:N1309 E1311:N1311 E1313:N1313 E1315:N1315 E1317:N1317 E1319:N1319 E1321:N1321 E1323:N1323 E1325:N1325 E1327:N1327 E1329:N1329 E1331:N1331 E1333:N1333 E1335:N1335 E1337:N1337 E1339:N1339 E1341:N1341 E1343:N1343 E1345:N1345 E1347:N1347 E1349:N1349 E1351:N1351 E1353:N1353 E1355:N1355 E1357:N1357 E1359:N1359 E1361:N1361 E1363:N1363 E1365:N1365 E1367:N1367 E1369:N1369 E1371:N1371 E1373:N1373 E1375:N1375 E1377:N1377 E1379:N1379 E1381:N1381 E1383:N1383 E1385:N1385 E1387:N1387 E1389:N1389 E1391:N1391 E1393:N1393 E1395:N1395 E1397:N1397 E1399:N1399 E1401:N1401 E1403:N1403 E1405:N1405 E1407:N1407 E1409:N1409 E1411:N1411 E1413:N1413 E1415:N1415 E1417:N1417 E1419:N1419 E1421:N1421 E1423:N1423 E1425:N1425 E1427:N1427 E1429:N1429 E1431:N1431 E1433:N1433 E1435:N1435 E1437:N1437 E1439:N1439 E1441:N1441 E1443:N1443 E1445:N1445 E1447:N1447 E1449:N1449 E1451:N1451 E1453:N1453 E1455:N1455 E1457:N1457 E1459:N1459 E1461:N1461 E1463:N1463 E1465:N1465 E1467:N1467 E1469:N1469 E1471:N1471 E1473:N1473 E1475:N1475 E1477:N1477 E1479:N1479 E1481:N1481 E1483:N1483 E1485:N1485 E1487:N1487 E1489:N1489 E1491:N1491 E1493:N1493 E1495:N1495 E1497:N1497 E1499:N1499 E1501:N1501 E1503:N1503 E1505:N1505 E1507:N1507 E1509:N1509 E1511:N1511 E1513:N1513 E1515:N1515 E1517:N1517 E1519:N1519 E1521:N1521 E1523:N1523 E1525:N1525 E1527:N1527 E1529:N1529 E1531:N1531 E1533:N1533 E1535:N1535 E1537:N1537 E1539:N1539 E1541:N1541 E1543:N1543 E1545:N1545 E1547:N1547 E1549:N1549 E1551:N1551 E1553:N1553 E1555:N1555 E1557:N1557 E1559:N1559 E1561:N1561 E1563:N1563 E1565:N1565 E1567:N1567 E1569:N1569 E1571:N1571 E1573:N1573 E1575:N1575 E1577:N1577 E1579:N1579 E1581:N1581 E1583:N1583 E1585:N1585 E1587:N1587 E1589:N1589 E1591:N1591 E1593:N1593 E1595:N1595 E1597:N1597 E1599:N1599 E1601:N1601 E1603:N1603 E1605:N1605 E1607:N1607 E1609:N1609 E1611:N1611 E1613:N1613 E1615:N1615 E1617:N1617 E1619:N1619 E1621:N1621 E1623:N1623 E1625:N1625 E1627:N1627 E1629:N1629 E1631:N1631 E1633:N1633 E1635:N1635 E1637:N1637 E1639:N1639 E1641:N1641 E1643:N1643 E1645:N1645 E1647:N1647 E1649:N1649 E1651:N1651 E1653:N1653 E1655:N1655 E1657:N1657 E1659:N1659 E1661:N1661 E1663:N1663 E1665:N1665 E1667:N1667 E1669:N1669 E1671:N1671 E1673:N1673 E1675:N1675 E1677:N1677 E1679:N1679 E1681:N1681 E1683:N1683 E1685:N1685 E1687:N1687 E1689:N1689 E1691:N1691 E1693:N1693 E1695:N1695 E1697:N1697 E1699:N1699 E1701:N1701 E1703:N1703 E1705:N1705 E1707:N1707 E1709:N1709 E1711:N1711 E1713:N1713 E1715:N1715 E1717:N1717 E1719:N1719 E1721:N1721 E1723:N1723 E1725:N1725 E1727:N1727 E1729:N1729 E1731:N1731 E1733:N1733 E1735:N1735 E1737:N1737 E1739:N1739 E1741:N1741 E1743:N1743 E1745:N1745 E1747:N1747 E1749:N1749 E1751:N1751 E1753:N1753 E1755:N1755 E1757:N1757 E1759:N1759 E1761:N1761 E1763:N1763 E1765:N1765 E1767:N1767 E1769:N1769 E1771:N1771 E1773:N1773 E1775:N1775 E1777:N1777 E1779:N1779 E1781:N1781 E1783:N1783 E1785:N1785 E1787:N1787 E1789:N1789 E1791:N1791 E1793:N1793 E1795:N1795 E1797:N1797 E1799:N1799 E1801:N1801 E1803:N1803 E1805:N1805 E1807:N1807 E1809:N1809 E1811:N1811 E1813:N1813 E1815:N1815 E1817:N1817 E1819:N1819">
    <cfRule type="expression" dxfId="672" priority="35">
      <formula>$D621=""</formula>
    </cfRule>
  </conditionalFormatting>
  <conditionalFormatting sqref="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1816 F1818 F1820">
    <cfRule type="expression" dxfId="671" priority="34">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B1699 B1701 B1703 B1705 B1707 B1709 B1711 B1713 B1715 B1717 B1719 B1721 B1723 B1725 B1727 B1729 B1731 B1733 B1735 B1737 B1739 B1741 B1743 B1745 B1747 B1749 B1751 B1753 B1755 B1757 B1759 B1761 B1763 B1765 B1767 B1769 B1771 B1773 B1775 B1777 B1779 B1781 B1783 B1785 B1787 B1789 B1791 B1793 B1795 B1797 B1799 B1801 B1803 B1805 B1807 B1809 B1811 B1813 B1815 B1817 B1819">
    <cfRule type="expression" dxfId="670" priority="7">
      <formula>$D623=""</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669" priority="5">
      <formula>$D318=""</formula>
    </cfRule>
  </conditionalFormatting>
  <dataValidations count="3">
    <dataValidation type="decimal" operator="greaterThan" allowBlank="1" showInputMessage="1" showErrorMessage="1" sqref="F10:G309 F316:G615 F621:G1820" xr:uid="{00000000-0002-0000-0C00-000000000000}">
      <formula1>0</formula1>
    </dataValidation>
    <dataValidation type="list" allowBlank="1" showInputMessage="1" showErrorMessage="1" sqref="H316:H615 H10:H312 H621:H1820" xr:uid="{6C73CFBD-F2B2-480D-9359-CA7D454A64C9}">
      <formula1>baseline_validation</formula1>
    </dataValidation>
    <dataValidation type="decimal" operator="greaterThanOrEqual" allowBlank="1" showInputMessage="1" showErrorMessage="1" sqref="F310:G312" xr:uid="{8C2BE4F9-716B-4FEA-8055-6F0920710576}">
      <formula1>0</formula1>
    </dataValidation>
  </dataValidations>
  <hyperlinks>
    <hyperlink ref="C5" location="Impact_Indicator_Disaggregation_new" display="Impact" xr:uid="{B35CB6EA-6B6C-4E6E-BB28-2F5FE20A4C9D}"/>
    <hyperlink ref="D5" location="Outcome_Indicator_Disaggregation_new" display="Outcome Indicator" xr:uid="{6998AF01-12F4-4183-B6C5-777E87D3BA0F}"/>
    <hyperlink ref="E5" location="Coverage_Indicator_Disaggregation_new" display="Coverage" xr:uid="{5B8120F9-E964-4F61-8E3B-65A9C333E6E1}"/>
    <hyperlink ref="F5" location="'Instructions-FR'!InstructionE" display="'Instructions-FR'!InstructionE" xr:uid="{B930AAC5-E73D-4BA8-AD29-14DE35CC08AC}"/>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BF89"/>
  <sheetViews>
    <sheetView showGridLines="0" zoomScale="82" zoomScaleNormal="82" workbookViewId="0">
      <selection activeCell="H20" sqref="H20"/>
    </sheetView>
  </sheetViews>
  <sheetFormatPr defaultRowHeight="15.6" x14ac:dyDescent="0.3"/>
  <cols>
    <col min="1" max="1" width="19.3984375" customWidth="1"/>
    <col min="2" max="2" width="18" customWidth="1"/>
    <col min="3" max="3" width="23.5" customWidth="1"/>
    <col min="4" max="4" width="21.59765625" customWidth="1"/>
    <col min="5" max="5" width="20.19921875" customWidth="1"/>
    <col min="6" max="6" width="18.69921875" customWidth="1"/>
    <col min="7" max="7" width="32.69921875" customWidth="1"/>
    <col min="8" max="9" width="18.59765625" style="232" customWidth="1"/>
    <col min="10" max="11" width="18.59765625" customWidth="1"/>
    <col min="12" max="12" width="17" customWidth="1"/>
    <col min="13" max="13" width="15.69921875" customWidth="1"/>
    <col min="14" max="14" width="17.19921875" customWidth="1"/>
    <col min="15" max="15" width="16.5" customWidth="1"/>
    <col min="16" max="16" width="19.09765625" customWidth="1"/>
    <col min="17" max="18" width="17.19921875" customWidth="1"/>
    <col min="19" max="19" width="14.69921875" customWidth="1"/>
    <col min="20" max="20" width="21" customWidth="1"/>
    <col min="21" max="21" width="21" style="209" customWidth="1"/>
    <col min="22" max="35" width="21" style="232" customWidth="1"/>
    <col min="36" max="37" width="21" style="209" customWidth="1"/>
    <col min="38" max="39" width="20.69921875" customWidth="1"/>
    <col min="40" max="40" width="50.69921875" customWidth="1"/>
    <col min="41" max="41" width="26.19921875" hidden="1" customWidth="1"/>
    <col min="42" max="42" width="18.8984375" hidden="1" customWidth="1"/>
    <col min="43" max="43" width="13.19921875" hidden="1" customWidth="1"/>
    <col min="44" max="44" width="17.5" hidden="1" customWidth="1"/>
    <col min="45" max="45" width="16.09765625" hidden="1" customWidth="1"/>
    <col min="46" max="46" width="13.59765625" hidden="1" customWidth="1"/>
    <col min="47" max="47" width="30.59765625" customWidth="1"/>
    <col min="48" max="48" width="50.59765625" customWidth="1"/>
    <col min="49" max="50" width="9" hidden="1" customWidth="1"/>
    <col min="51" max="51" width="14.69921875" hidden="1" customWidth="1"/>
    <col min="52" max="52" width="9" hidden="1" customWidth="1"/>
    <col min="53" max="53" width="17.8984375" hidden="1" customWidth="1"/>
    <col min="54" max="54" width="17.09765625" hidden="1" customWidth="1"/>
    <col min="55" max="55" width="7.69921875" hidden="1" customWidth="1"/>
    <col min="56" max="56" width="8.796875" hidden="1" customWidth="1"/>
    <col min="57" max="57" width="14.3984375" hidden="1" customWidth="1"/>
    <col min="58" max="58" width="21.5" hidden="1" customWidth="1"/>
  </cols>
  <sheetData>
    <row r="1" spans="1:58" x14ac:dyDescent="0.3">
      <c r="A1" s="686" t="str">
        <f ca="1">Translations!A83</f>
        <v>Cadre de performance - MSPT - Section E</v>
      </c>
      <c r="B1" s="687"/>
      <c r="C1" s="687"/>
      <c r="D1" s="687"/>
      <c r="E1" s="687"/>
      <c r="F1" s="687"/>
      <c r="G1" s="687"/>
      <c r="H1" s="249"/>
      <c r="I1" s="249"/>
    </row>
    <row r="2" spans="1:58" x14ac:dyDescent="0.3">
      <c r="A2" s="687"/>
      <c r="B2" s="687"/>
      <c r="C2" s="687"/>
      <c r="D2" s="687"/>
      <c r="E2" s="687"/>
      <c r="F2" s="687"/>
      <c r="G2" s="687"/>
      <c r="H2" s="249"/>
      <c r="I2" s="249"/>
    </row>
    <row r="4" spans="1:58" ht="16.2" thickBot="1" x14ac:dyDescent="0.35">
      <c r="A4" s="176"/>
      <c r="B4" s="176"/>
    </row>
    <row r="5" spans="1:58" ht="16.2" thickBot="1" x14ac:dyDescent="0.35">
      <c r="A5" s="175" t="str">
        <f ca="1">Translations!A12</f>
        <v>Navigation de page</v>
      </c>
      <c r="B5" s="177" t="str">
        <f ca="1">Translations!A48</f>
        <v>Instructions</v>
      </c>
    </row>
    <row r="6" spans="1:58" x14ac:dyDescent="0.3">
      <c r="J6" s="109">
        <v>2</v>
      </c>
      <c r="L6" s="109">
        <v>3</v>
      </c>
      <c r="M6" s="109"/>
      <c r="N6" s="109">
        <v>3</v>
      </c>
      <c r="O6" s="109"/>
      <c r="P6" s="109"/>
      <c r="Q6" s="109"/>
      <c r="R6" s="109">
        <v>4</v>
      </c>
      <c r="S6" s="109"/>
      <c r="T6" s="109">
        <v>7</v>
      </c>
      <c r="U6" s="205"/>
      <c r="V6" s="205">
        <v>5</v>
      </c>
      <c r="W6" s="205"/>
      <c r="X6" s="205"/>
      <c r="Y6" s="205"/>
      <c r="Z6" s="205">
        <v>6</v>
      </c>
      <c r="AA6" s="205"/>
      <c r="AB6" s="205"/>
      <c r="AC6" s="205"/>
      <c r="AD6" s="205">
        <v>7</v>
      </c>
      <c r="AE6" s="205"/>
      <c r="AF6" s="205"/>
      <c r="AG6" s="205"/>
      <c r="AH6" s="205">
        <v>8</v>
      </c>
      <c r="AI6" s="205"/>
      <c r="AJ6" s="205">
        <v>8</v>
      </c>
      <c r="AK6" s="205"/>
      <c r="AL6" s="205">
        <v>9</v>
      </c>
    </row>
    <row r="7" spans="1:58" x14ac:dyDescent="0.3">
      <c r="A7" s="168"/>
      <c r="B7" s="168"/>
      <c r="C7" s="168"/>
      <c r="D7" s="168"/>
      <c r="E7" s="168"/>
      <c r="F7" s="168"/>
      <c r="G7" s="168"/>
      <c r="H7" s="688" t="str">
        <f ca="1">IFERROR(IF(YEAR(INDEX('Overview - Section A'!$A$46:$A$53,MATCH(J6,'Overview - Section A'!$B$46:$B$53,0)))&lt;=YEAR('Overview - Section A'!$E$11),TEXT(IFERROR(INDEX('Overview - Section A'!$A$46:$A$53,MATCH(J6,'Overview - Section A'!$B$46:$B$53,0)),""),Setup!$A$33) &amp;" to " &amp; TEXT(IFERROR(INDEX('Overview - Section A'!$E$46:$E$53,MATCH(J6,'Overview - Section A'!$B$46:$B$53,0)),""),Setup!$A$33),""),"")</f>
        <v>1-Jan-21 to 30-Jun-21</v>
      </c>
      <c r="I7" s="689"/>
      <c r="J7" s="689"/>
      <c r="K7" s="690"/>
      <c r="L7" s="688" t="str">
        <f ca="1">IFERROR(IF(YEAR(INDEX('Overview - Section A'!$A$46:$A$53,MATCH(N6,'Overview - Section A'!$B$46:$B$53,0)))&lt;=YEAR('Overview - Section A'!$E$11),TEXT(IFERROR(INDEX('Overview - Section A'!$A$46:$A$53,MATCH(N6,'Overview - Section A'!$B$46:$B$53,0)),""),Setup!$A$33) &amp;" to " &amp; TEXT(IFERROR(INDEX('Overview - Section A'!$E$46:$E$53,MATCH(N6,'Overview - Section A'!$B$46:$B$53,0)),""),Setup!$A$33),""),"")</f>
        <v>1-Jul-21 to 31-Dec-21</v>
      </c>
      <c r="M7" s="689"/>
      <c r="N7" s="689"/>
      <c r="O7" s="690"/>
      <c r="P7" s="688"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1-Jan-22 to 30-Jun-22</v>
      </c>
      <c r="Q7" s="689"/>
      <c r="R7" s="689"/>
      <c r="S7" s="690"/>
      <c r="T7" s="688" t="str">
        <f ca="1">IFERROR(IF(YEAR(INDEX('Overview - Section A'!$A$46:$A$53,MATCH(V6,'Overview - Section A'!$B$46:$B$53,0)))&lt;=YEAR('Overview - Section A'!$E$11),TEXT(IFERROR(INDEX('Overview - Section A'!$A$46:$A$53,MATCH(V6,'Overview - Section A'!$B$46:$B$53,0)),""),Setup!$A$33) &amp;" to " &amp; TEXT(IFERROR(INDEX('Overview - Section A'!$E$46:$E$53,MATCH(V6,'Overview - Section A'!$B$46:$B$53,0)),""),Setup!$A$33),""),"")</f>
        <v>1-Jul-22 to 31-Dec-22</v>
      </c>
      <c r="U7" s="689"/>
      <c r="V7" s="689"/>
      <c r="W7" s="690"/>
      <c r="X7" s="688" t="str">
        <f ca="1">IFERROR(IF(YEAR(INDEX('Overview - Section A'!$A$46:$A$53,MATCH(Z6,'Overview - Section A'!$B$46:$B$53,0)))&lt;=YEAR('Overview - Section A'!$E$11),TEXT(IFERROR(INDEX('Overview - Section A'!$A$46:$A$53,MATCH(Z6,'Overview - Section A'!$B$46:$B$53,0)),""),Setup!$A$33) &amp;" to " &amp; TEXT(IFERROR(INDEX('Overview - Section A'!$E$46:$E$53,MATCH(Z6,'Overview - Section A'!$B$46:$B$53,0)),""),Setup!$A$33),""),"")</f>
        <v>1-Jan-23 to 30-Jun-23</v>
      </c>
      <c r="Y7" s="689"/>
      <c r="Z7" s="689"/>
      <c r="AA7" s="690"/>
      <c r="AB7" s="688" t="str">
        <f ca="1">IFERROR(IF(YEAR(INDEX('Overview - Section A'!$A$46:$A$53,MATCH(AD6,'Overview - Section A'!$B$46:$B$53,0)))&lt;=YEAR('Overview - Section A'!$E$11),TEXT(IFERROR(INDEX('Overview - Section A'!$A$46:$A$53,MATCH(AD6,'Overview - Section A'!$B$46:$B$53,0)),""),Setup!$A$33) &amp;" to " &amp; TEXT(IFERROR(INDEX('Overview - Section A'!$E$46:$E$53,MATCH(AD6,'Overview - Section A'!$B$46:$B$53,0)),""),Setup!$A$33),""),"")</f>
        <v>1-Jul-23 to 31-Dec-23</v>
      </c>
      <c r="AC7" s="689"/>
      <c r="AD7" s="689"/>
      <c r="AE7" s="690"/>
      <c r="AF7" s="688" t="str">
        <f>IFERROR(IF(YEAR(INDEX('Overview - Section A'!$A$46:$A$53,MATCH(AH6,'Overview - Section A'!$B$46:$B$53,0)))&lt;=YEAR('Overview - Section A'!$E$11),TEXT(IFERROR(INDEX('Overview - Section A'!$A$46:$A$53,MATCH(AH6,'Overview - Section A'!$B$46:$B$53,0)),""),Setup!$A$33) &amp;" to " &amp; TEXT(IFERROR(INDEX('Overview - Section A'!$E$46:$E$53,MATCH(AH6,'Overview - Section A'!$B$46:$B$53,0)),""),Setup!$A$33),""),"")</f>
        <v/>
      </c>
      <c r="AG7" s="689"/>
      <c r="AH7" s="689"/>
      <c r="AI7" s="690"/>
      <c r="AJ7" s="688" t="str">
        <f>IFERROR(IF(YEAR(INDEX('Overview - Section A'!$A$46:$A$53,MATCH(AL6,'Overview - Section A'!$B$46:$B$53,0)))&lt;=YEAR('Overview - Section A'!$E$11),TEXT(IFERROR(INDEX('Overview - Section A'!$A$46:$A$53,MATCH(AL6,'Overview - Section A'!$B$46:$B$53,0)),""),Setup!$A$33) &amp;" to " &amp; TEXT(IFERROR(INDEX('Overview - Section A'!$E$46:$E$53,MATCH(AL6,'Overview - Section A'!$B$46:$B$53,0)),""),Setup!$A$33),""),"")</f>
        <v/>
      </c>
      <c r="AK7" s="689"/>
      <c r="AL7" s="689"/>
      <c r="AM7" s="690"/>
      <c r="AN7" s="220"/>
      <c r="AU7" s="220"/>
      <c r="AV7" s="220"/>
    </row>
    <row r="8" spans="1:58" ht="55.5" customHeight="1" x14ac:dyDescent="0.3">
      <c r="A8" s="245" t="str">
        <f ca="1">Translations!A84</f>
        <v>Numéro</v>
      </c>
      <c r="B8" s="245" t="str">
        <f ca="1">Translations!A30</f>
        <v>Nom du module</v>
      </c>
      <c r="C8" s="245" t="str">
        <f ca="1">Translations!A35</f>
        <v>Population</v>
      </c>
      <c r="D8" s="245" t="str">
        <f ca="1">Translations!A46</f>
        <v>Interventions</v>
      </c>
      <c r="E8" s="245" t="str">
        <f ca="1">Translations!A85</f>
        <v>Activité principale</v>
      </c>
      <c r="F8" s="245" t="str">
        <f ca="1">Translations!A52</f>
        <v xml:space="preserve">Récipiendaire principal responsable </v>
      </c>
      <c r="G8" s="245" t="str">
        <f ca="1">Translations!A53</f>
        <v>Pays</v>
      </c>
      <c r="H8" s="245" t="str">
        <f ca="1">Translations!$A$86</f>
        <v xml:space="preserve">Repères/ Description de la cible </v>
      </c>
      <c r="I8" s="245" t="str">
        <f ca="1">Translations!$A$87</f>
        <v>Critère de réalisation</v>
      </c>
      <c r="J8" s="245" t="str">
        <f ca="1">Translations!$A$86 &amp; " (EN)"</f>
        <v>Repères/ Description de la cible  (EN)</v>
      </c>
      <c r="K8" s="245" t="str">
        <f ca="1">Translations!$A$87 &amp; " (EN)"</f>
        <v>Critère de réalisation (EN)</v>
      </c>
      <c r="L8" s="245" t="str">
        <f ca="1">Translations!$A$86</f>
        <v xml:space="preserve">Repères/ Description de la cible </v>
      </c>
      <c r="M8" s="245" t="str">
        <f ca="1">Translations!$A$87</f>
        <v>Critère de réalisation</v>
      </c>
      <c r="N8" s="245" t="str">
        <f ca="1">Translations!$A$86 &amp; " (EN)"</f>
        <v>Repères/ Description de la cible  (EN)</v>
      </c>
      <c r="O8" s="245" t="str">
        <f ca="1">Translations!$A$87 &amp; " (EN)"</f>
        <v>Critère de réalisation (EN)</v>
      </c>
      <c r="P8" s="245" t="str">
        <f ca="1">Translations!$A$86</f>
        <v xml:space="preserve">Repères/ Description de la cible </v>
      </c>
      <c r="Q8" s="245" t="str">
        <f ca="1">Translations!$A$87</f>
        <v>Critère de réalisation</v>
      </c>
      <c r="R8" s="245" t="str">
        <f ca="1">Translations!$A$86 &amp; " (EN)"</f>
        <v>Repères/ Description de la cible  (EN)</v>
      </c>
      <c r="S8" s="245" t="str">
        <f ca="1">Translations!$A$87 &amp; " (EN)"</f>
        <v>Critère de réalisation (EN)</v>
      </c>
      <c r="T8" s="245" t="str">
        <f ca="1">Translations!$A$86</f>
        <v xml:space="preserve">Repères/ Description de la cible </v>
      </c>
      <c r="U8" s="245" t="str">
        <f ca="1">Translations!$A$87</f>
        <v>Critère de réalisation</v>
      </c>
      <c r="V8" s="245" t="str">
        <f ca="1">Translations!$A$86 &amp; " (EN)"</f>
        <v>Repères/ Description de la cible  (EN)</v>
      </c>
      <c r="W8" s="245" t="str">
        <f ca="1">Translations!$A$87 &amp; " (EN)"</f>
        <v>Critère de réalisation (EN)</v>
      </c>
      <c r="X8" s="245" t="str">
        <f ca="1">Translations!$A$86</f>
        <v xml:space="preserve">Repères/ Description de la cible </v>
      </c>
      <c r="Y8" s="245" t="str">
        <f ca="1">Translations!$A$87</f>
        <v>Critère de réalisation</v>
      </c>
      <c r="Z8" s="245" t="str">
        <f ca="1">Translations!$A$86 &amp; " (EN)"</f>
        <v>Repères/ Description de la cible  (EN)</v>
      </c>
      <c r="AA8" s="245" t="str">
        <f ca="1">Translations!$A$87 &amp; " (EN)"</f>
        <v>Critère de réalisation (EN)</v>
      </c>
      <c r="AB8" s="245" t="str">
        <f ca="1">Translations!$A$86</f>
        <v xml:space="preserve">Repères/ Description de la cible </v>
      </c>
      <c r="AC8" s="245" t="str">
        <f ca="1">Translations!$A$87</f>
        <v>Critère de réalisation</v>
      </c>
      <c r="AD8" s="245" t="str">
        <f ca="1">Translations!$A$86 &amp; " (EN)"</f>
        <v>Repères/ Description de la cible  (EN)</v>
      </c>
      <c r="AE8" s="245" t="str">
        <f ca="1">Translations!$A$87 &amp; " (EN)"</f>
        <v>Critère de réalisation (EN)</v>
      </c>
      <c r="AF8" s="245" t="str">
        <f ca="1">Translations!$A$86</f>
        <v xml:space="preserve">Repères/ Description de la cible </v>
      </c>
      <c r="AG8" s="245" t="str">
        <f ca="1">Translations!$A$87</f>
        <v>Critère de réalisation</v>
      </c>
      <c r="AH8" s="245" t="str">
        <f ca="1">Translations!$A$86 &amp; " (EN)"</f>
        <v>Repères/ Description de la cible  (EN)</v>
      </c>
      <c r="AI8" s="245" t="str">
        <f ca="1">Translations!$A$87 &amp; " (EN)"</f>
        <v>Critère de réalisation (EN)</v>
      </c>
      <c r="AJ8" s="245" t="str">
        <f ca="1">Translations!$A$86</f>
        <v xml:space="preserve">Repères/ Description de la cible </v>
      </c>
      <c r="AK8" s="245" t="str">
        <f ca="1">Translations!$A$87</f>
        <v>Critère de réalisation</v>
      </c>
      <c r="AL8" s="245" t="str">
        <f ca="1">Translations!$A$86 &amp; " (EN)"</f>
        <v>Repères/ Description de la cible  (EN)</v>
      </c>
      <c r="AM8" s="245" t="str">
        <f ca="1">Translations!$A$87 &amp; " (EN)"</f>
        <v>Critère de réalisation (EN)</v>
      </c>
      <c r="AN8" s="246" t="str">
        <f ca="1">Translations!A58</f>
        <v>Commentaires</v>
      </c>
      <c r="AO8" s="191"/>
      <c r="AP8" s="191"/>
      <c r="AQ8" s="191"/>
      <c r="AR8" s="191"/>
      <c r="AS8" s="191" t="s">
        <v>384</v>
      </c>
      <c r="AT8" s="191"/>
      <c r="AU8" s="246" t="str">
        <f ca="1">Translations!A85&amp;" (EN)"</f>
        <v>Activité principale (EN)</v>
      </c>
      <c r="AV8" s="246" t="str">
        <f ca="1">Translations!A58 &amp; " (EN)"</f>
        <v>Commentaires (EN)</v>
      </c>
      <c r="AY8" s="232" t="s">
        <v>1246</v>
      </c>
      <c r="AZ8" s="232" t="s">
        <v>1247</v>
      </c>
      <c r="BE8" t="s">
        <v>1277</v>
      </c>
      <c r="BF8" t="s">
        <v>1278</v>
      </c>
    </row>
    <row r="9" spans="1:58" ht="30" customHeight="1" x14ac:dyDescent="0.3">
      <c r="A9" s="178">
        <v>1</v>
      </c>
      <c r="B9" s="200"/>
      <c r="C9" s="200"/>
      <c r="D9" s="200"/>
      <c r="E9" s="200"/>
      <c r="F9" s="200"/>
      <c r="G9" s="201"/>
      <c r="H9" s="201"/>
      <c r="I9" s="201"/>
      <c r="J9" s="200"/>
      <c r="K9" s="200"/>
      <c r="L9" s="201"/>
      <c r="M9" s="201"/>
      <c r="N9" s="200"/>
      <c r="O9" s="200"/>
      <c r="P9" s="201"/>
      <c r="Q9" s="201"/>
      <c r="R9" s="200"/>
      <c r="S9" s="200"/>
      <c r="T9" s="201"/>
      <c r="U9" s="201"/>
      <c r="V9" s="200"/>
      <c r="W9" s="200"/>
      <c r="X9" s="201"/>
      <c r="Y9" s="201"/>
      <c r="Z9" s="200"/>
      <c r="AA9" s="200"/>
      <c r="AB9" s="201"/>
      <c r="AC9" s="201"/>
      <c r="AD9" s="200"/>
      <c r="AE9" s="200"/>
      <c r="AF9" s="201"/>
      <c r="AG9" s="201"/>
      <c r="AH9" s="200"/>
      <c r="AI9" s="200"/>
      <c r="AJ9" s="201"/>
      <c r="AK9" s="201"/>
      <c r="AL9" s="200"/>
      <c r="AM9" s="200"/>
      <c r="AN9" s="200"/>
      <c r="AO9" s="193" t="str">
        <f>IFERROR(VLOOKUP(D9,'Reference Records'!$C$160:$E$252,3,FALSE),"")</f>
        <v/>
      </c>
      <c r="AP9" s="192" t="e">
        <f>VLOOKUP(AO9,'Reference Records'!$E$160:$F$252,2,0)</f>
        <v>#N/A</v>
      </c>
      <c r="AQ9" s="192" t="e">
        <f>MATCH($AP9,'Reference Records'!$E$330:$E$506,0)+ROW(Population_by_intervention) -1</f>
        <v>#N/A</v>
      </c>
      <c r="AR9" s="192" t="e">
        <f>MATCH($AP9,'Reference Records'!$E$330:$E$506,1)+ROW(Population_by_intervention) -1</f>
        <v>#N/A</v>
      </c>
      <c r="AS9" t="str">
        <f>IF(B9&amp;C9="","|empty|",B9&amp;C9&amp;D9)</f>
        <v>|empty|</v>
      </c>
      <c r="AT9" t="str">
        <f>IF(AS9="","",IFERROR(VLOOKUP(AS9,'Overview - Section A'!AF$123:AG174,2,0),VLOOKUP("|empty|",'Overview - Section A'!AF$123:AG174,2,0)))</f>
        <v>INT-130914</v>
      </c>
      <c r="AU9" s="200"/>
      <c r="AV9" s="200"/>
      <c r="AY9" s="232">
        <f>ROW(WPTM____Section_F)+3</f>
        <v>2197</v>
      </c>
      <c r="AZ9" s="232">
        <f t="shared" ref="AZ9" si="0">ROW(WPTM_Results)+3</f>
        <v>2363</v>
      </c>
      <c r="BB9" t="str">
        <f ca="1">IF(INDIRECT("'update Helper'!M"&amp;AY9)=0,"",INDIRECT("'update Helper'!M"&amp;AY9))</f>
        <v/>
      </c>
      <c r="BC9" t="str">
        <f ca="1">IF(INDIRECT("'update Helper'!S"&amp;AY9)=0,"",IFERROR(VLOOKUP(INDIRECT("'update Helper'!S"&amp;AY9),'Account Role'!A$1:B$28,2,0),IFERROR(VLOOKUP(INDIRECT("'update Helper'!I"&amp;AY9),'Overview - Section A'!J$25:P$90,7,0),"")))</f>
        <v/>
      </c>
      <c r="BD9" t="str">
        <f ca="1">IFERROR(INDEX('Overview - Section A'!A$122:A174,MATCH(INDIRECT("'update Helper'!Q"&amp;AY9),'Overview - Section A'!AQ$122:AQ174,0)),"")</f>
        <v/>
      </c>
      <c r="BE9" t="str">
        <f>IFERROR(INDEX('Overview - Section A'!O$122:O174,MATCH(AT9,'Overview - Section A'!AQ$122:AQ174,0)),"")</f>
        <v/>
      </c>
      <c r="BF9" s="232" t="str">
        <f>IFERROR(INDEX('Overview - Section A'!H$122:H174,MATCH(AT9,'Overview - Section A'!AQ$122:AQ174,0)),"")</f>
        <v/>
      </c>
    </row>
    <row r="10" spans="1:58" s="232" customFormat="1" ht="30" customHeight="1" x14ac:dyDescent="0.3">
      <c r="A10" s="178">
        <v>2</v>
      </c>
      <c r="B10" s="200"/>
      <c r="C10" s="200"/>
      <c r="D10" s="200"/>
      <c r="E10" s="200"/>
      <c r="F10" s="200"/>
      <c r="G10" s="201"/>
      <c r="H10" s="201"/>
      <c r="I10" s="201"/>
      <c r="J10" s="200"/>
      <c r="K10" s="200"/>
      <c r="L10" s="201"/>
      <c r="M10" s="201"/>
      <c r="N10" s="200"/>
      <c r="O10" s="200"/>
      <c r="P10" s="201"/>
      <c r="Q10" s="201"/>
      <c r="R10" s="200"/>
      <c r="S10" s="200"/>
      <c r="T10" s="201"/>
      <c r="U10" s="201"/>
      <c r="V10" s="200"/>
      <c r="W10" s="200"/>
      <c r="X10" s="201"/>
      <c r="Y10" s="201"/>
      <c r="Z10" s="200"/>
      <c r="AA10" s="200"/>
      <c r="AB10" s="201"/>
      <c r="AC10" s="201"/>
      <c r="AD10" s="200"/>
      <c r="AE10" s="200"/>
      <c r="AF10" s="201"/>
      <c r="AG10" s="201"/>
      <c r="AH10" s="200"/>
      <c r="AI10" s="200"/>
      <c r="AJ10" s="201"/>
      <c r="AK10" s="201"/>
      <c r="AL10" s="200"/>
      <c r="AM10" s="200"/>
      <c r="AN10" s="200"/>
      <c r="AO10" s="193" t="str">
        <f>IFERROR(VLOOKUP(D10,'Reference Records'!$C$160:$E$252,3,FALSE),"")</f>
        <v/>
      </c>
      <c r="AP10" s="232" t="e">
        <f>VLOOKUP(AO10,'Reference Records'!$E$160:$F$252,2,0)</f>
        <v>#N/A</v>
      </c>
      <c r="AQ10" s="232" t="e">
        <f>MATCH($AP10,'Reference Records'!$E$330:$E$506,0)+ROW(Population_by_intervention) -1</f>
        <v>#N/A</v>
      </c>
      <c r="AR10" s="232" t="e">
        <f>MATCH($AP10,'Reference Records'!$E$330:$E$506,1)+ROW(Population_by_intervention) -1</f>
        <v>#N/A</v>
      </c>
      <c r="AS10" s="232" t="str">
        <f t="shared" ref="AS10:AS73" si="1">IF(B10&amp;C10="","|empty|",B10&amp;C10&amp;D10)</f>
        <v>|empty|</v>
      </c>
      <c r="AT10" s="232" t="str">
        <f>IF(AS10="","",IFERROR(VLOOKUP(AS10,'Overview - Section A'!AF$123:AG175,2,0),VLOOKUP("|empty|",'Overview - Section A'!AF$123:AG175,2,0)))</f>
        <v>INT-130914</v>
      </c>
      <c r="AU10" s="200"/>
      <c r="AV10" s="200"/>
      <c r="AY10" s="232">
        <f>AY9+1</f>
        <v>2198</v>
      </c>
      <c r="AZ10" s="232">
        <f ca="1">AZ9+'update Helper'!$Z$2</f>
        <v>2369</v>
      </c>
      <c r="BB10" s="232" t="str">
        <f t="shared" ref="BB10:BB15" ca="1" si="2">IF(INDIRECT("'update Helper'!M"&amp;AY10)=0,"",INDIRECT("'update Helper'!M"&amp;AY10))</f>
        <v/>
      </c>
      <c r="BC10" s="232" t="str">
        <f ca="1">IF(INDIRECT("'update Helper'!S"&amp;AY10)=0,"",IFERROR(VLOOKUP(INDIRECT("'update Helper'!S"&amp;AY10),'Account Role'!A$1:B$28,2,0),IFERROR(VLOOKUP(INDIRECT("'update Helper'!I"&amp;AY10),'Overview - Section A'!J$25:P$90,7,0),"")))</f>
        <v/>
      </c>
      <c r="BD10" s="232" t="str">
        <f ca="1">IFERROR(INDEX('Overview - Section A'!A$122:A175,MATCH(INDIRECT("'update Helper'!Q"&amp;AY10),'Overview - Section A'!AQ$122:AQ175,0)),"")</f>
        <v/>
      </c>
      <c r="BE10" s="232" t="str">
        <f>IFERROR(INDEX('Overview - Section A'!O$122:O175,MATCH(AT10,'Overview - Section A'!AQ$122:AQ175,0)),"")</f>
        <v/>
      </c>
      <c r="BF10" s="232" t="str">
        <f>IFERROR(INDEX('Overview - Section A'!H$122:H175,MATCH(AT10,'Overview - Section A'!AQ$122:AQ175,0)),"")</f>
        <v/>
      </c>
    </row>
    <row r="11" spans="1:58" s="232" customFormat="1" ht="30" customHeight="1" x14ac:dyDescent="0.3">
      <c r="A11" s="178">
        <v>3</v>
      </c>
      <c r="B11" s="200"/>
      <c r="C11" s="200"/>
      <c r="D11" s="200"/>
      <c r="E11" s="200"/>
      <c r="F11" s="200"/>
      <c r="G11" s="201"/>
      <c r="H11" s="201"/>
      <c r="I11" s="201"/>
      <c r="J11" s="200"/>
      <c r="K11" s="200"/>
      <c r="L11" s="201"/>
      <c r="M11" s="201"/>
      <c r="N11" s="200"/>
      <c r="O11" s="200"/>
      <c r="P11" s="201"/>
      <c r="Q11" s="201"/>
      <c r="R11" s="200"/>
      <c r="S11" s="200"/>
      <c r="T11" s="201"/>
      <c r="U11" s="201"/>
      <c r="V11" s="200"/>
      <c r="W11" s="200"/>
      <c r="X11" s="201"/>
      <c r="Y11" s="201"/>
      <c r="Z11" s="200"/>
      <c r="AA11" s="200"/>
      <c r="AB11" s="201"/>
      <c r="AC11" s="201"/>
      <c r="AD11" s="200"/>
      <c r="AE11" s="200"/>
      <c r="AF11" s="201"/>
      <c r="AG11" s="201"/>
      <c r="AH11" s="200"/>
      <c r="AI11" s="200"/>
      <c r="AJ11" s="201"/>
      <c r="AK11" s="201"/>
      <c r="AL11" s="200"/>
      <c r="AM11" s="200"/>
      <c r="AN11" s="200"/>
      <c r="AO11" s="193" t="str">
        <f>IFERROR(VLOOKUP(D11,'Reference Records'!$C$160:$E$252,3,FALSE),"")</f>
        <v/>
      </c>
      <c r="AP11" s="232" t="e">
        <f>VLOOKUP(AO11,'Reference Records'!$E$160:$F$252,2,0)</f>
        <v>#N/A</v>
      </c>
      <c r="AQ11" s="232" t="e">
        <f>MATCH($AP11,'Reference Records'!$E$330:$E$506,0)+ROW(Population_by_intervention) -1</f>
        <v>#N/A</v>
      </c>
      <c r="AR11" s="232" t="e">
        <f>MATCH($AP11,'Reference Records'!$E$330:$E$506,1)+ROW(Population_by_intervention) -1</f>
        <v>#N/A</v>
      </c>
      <c r="AS11" s="232" t="str">
        <f t="shared" si="1"/>
        <v>|empty|</v>
      </c>
      <c r="AT11" s="232" t="str">
        <f>IF(AS11="","",IFERROR(VLOOKUP(AS11,'Overview - Section A'!AF$123:AG176,2,0),VLOOKUP("|empty|",'Overview - Section A'!AF$123:AG176,2,0)))</f>
        <v>INT-130914</v>
      </c>
      <c r="AU11" s="200"/>
      <c r="AV11" s="200"/>
      <c r="AY11" s="232">
        <f t="shared" ref="AY11:AY74" si="3">AY10+1</f>
        <v>2199</v>
      </c>
      <c r="AZ11" s="232">
        <f ca="1">AZ10+'update Helper'!$Z$2</f>
        <v>2375</v>
      </c>
      <c r="BB11" s="232" t="str">
        <f t="shared" ca="1" si="2"/>
        <v/>
      </c>
      <c r="BC11" s="232" t="str">
        <f ca="1">IF(INDIRECT("'update Helper'!S"&amp;AY11)=0,"",IFERROR(VLOOKUP(INDIRECT("'update Helper'!S"&amp;AY11),'Account Role'!A$1:B$28,2,0),IFERROR(VLOOKUP(INDIRECT("'update Helper'!I"&amp;AY11),'Overview - Section A'!J$25:P$90,7,0),"")))</f>
        <v/>
      </c>
      <c r="BD11" s="232" t="str">
        <f ca="1">IFERROR(INDEX('Overview - Section A'!A$122:A176,MATCH(INDIRECT("'update Helper'!Q"&amp;AY11),'Overview - Section A'!AQ$122:AQ176,0)),"")</f>
        <v/>
      </c>
      <c r="BE11" s="232" t="str">
        <f>IFERROR(INDEX('Overview - Section A'!O$122:O176,MATCH(AT11,'Overview - Section A'!AQ$122:AQ176,0)),"")</f>
        <v/>
      </c>
      <c r="BF11" s="232" t="str">
        <f>IFERROR(INDEX('Overview - Section A'!H$122:H176,MATCH(AT11,'Overview - Section A'!AQ$122:AQ176,0)),"")</f>
        <v/>
      </c>
    </row>
    <row r="12" spans="1:58" s="232" customFormat="1" ht="30" customHeight="1" x14ac:dyDescent="0.3">
      <c r="A12" s="178">
        <v>4</v>
      </c>
      <c r="B12" s="200"/>
      <c r="C12" s="200"/>
      <c r="D12" s="200"/>
      <c r="E12" s="200"/>
      <c r="F12" s="200"/>
      <c r="G12" s="201"/>
      <c r="H12" s="201"/>
      <c r="I12" s="201"/>
      <c r="J12" s="200"/>
      <c r="K12" s="200"/>
      <c r="L12" s="201"/>
      <c r="M12" s="201"/>
      <c r="N12" s="200"/>
      <c r="O12" s="200"/>
      <c r="P12" s="201"/>
      <c r="Q12" s="201"/>
      <c r="R12" s="200"/>
      <c r="S12" s="200"/>
      <c r="T12" s="201"/>
      <c r="U12" s="201"/>
      <c r="V12" s="200"/>
      <c r="W12" s="200"/>
      <c r="X12" s="201"/>
      <c r="Y12" s="201"/>
      <c r="Z12" s="200"/>
      <c r="AA12" s="200"/>
      <c r="AB12" s="201"/>
      <c r="AC12" s="201"/>
      <c r="AD12" s="200"/>
      <c r="AE12" s="200"/>
      <c r="AF12" s="201"/>
      <c r="AG12" s="201"/>
      <c r="AH12" s="200"/>
      <c r="AI12" s="200"/>
      <c r="AJ12" s="201"/>
      <c r="AK12" s="201"/>
      <c r="AL12" s="200"/>
      <c r="AM12" s="200"/>
      <c r="AN12" s="200"/>
      <c r="AO12" s="193" t="str">
        <f>IFERROR(VLOOKUP(D12,'Reference Records'!$C$160:$E$252,3,FALSE),"")</f>
        <v/>
      </c>
      <c r="AP12" s="232" t="e">
        <f>VLOOKUP(AO12,'Reference Records'!$E$160:$F$252,2,0)</f>
        <v>#N/A</v>
      </c>
      <c r="AQ12" s="232" t="e">
        <f>MATCH($AP12,'Reference Records'!$E$330:$E$506,0)+ROW(Population_by_intervention) -1</f>
        <v>#N/A</v>
      </c>
      <c r="AR12" s="232" t="e">
        <f>MATCH($AP12,'Reference Records'!$E$330:$E$506,1)+ROW(Population_by_intervention) -1</f>
        <v>#N/A</v>
      </c>
      <c r="AS12" s="232" t="str">
        <f t="shared" si="1"/>
        <v>|empty|</v>
      </c>
      <c r="AT12" s="232" t="str">
        <f>IF(AS12="","",IFERROR(VLOOKUP(AS12,'Overview - Section A'!AF$123:AG177,2,0),VLOOKUP("|empty|",'Overview - Section A'!AF$123:AG177,2,0)))</f>
        <v>INT-130914</v>
      </c>
      <c r="AU12" s="200"/>
      <c r="AV12" s="200"/>
      <c r="AY12" s="232">
        <f t="shared" si="3"/>
        <v>2200</v>
      </c>
      <c r="AZ12" s="232">
        <f ca="1">AZ11+'update Helper'!$Z$2</f>
        <v>2381</v>
      </c>
      <c r="BB12" s="232" t="str">
        <f t="shared" ca="1" si="2"/>
        <v/>
      </c>
      <c r="BC12" s="232" t="str">
        <f ca="1">IF(INDIRECT("'update Helper'!S"&amp;AY12)=0,"",IFERROR(VLOOKUP(INDIRECT("'update Helper'!S"&amp;AY12),'Account Role'!A$1:B$28,2,0),IFERROR(VLOOKUP(INDIRECT("'update Helper'!I"&amp;AY12),'Overview - Section A'!J$25:P$90,7,0),"")))</f>
        <v/>
      </c>
      <c r="BD12" s="232" t="str">
        <f ca="1">IFERROR(INDEX('Overview - Section A'!A$122:A177,MATCH(INDIRECT("'update Helper'!Q"&amp;AY12),'Overview - Section A'!AQ$122:AQ177,0)),"")</f>
        <v/>
      </c>
      <c r="BE12" s="232" t="str">
        <f>IFERROR(INDEX('Overview - Section A'!O$122:O177,MATCH(AT12,'Overview - Section A'!AQ$122:AQ177,0)),"")</f>
        <v/>
      </c>
      <c r="BF12" s="232" t="str">
        <f>IFERROR(INDEX('Overview - Section A'!H$122:H177,MATCH(AT12,'Overview - Section A'!AQ$122:AQ177,0)),"")</f>
        <v/>
      </c>
    </row>
    <row r="13" spans="1:58" s="232" customFormat="1" ht="30" customHeight="1" x14ac:dyDescent="0.3">
      <c r="A13" s="178">
        <v>5</v>
      </c>
      <c r="B13" s="200"/>
      <c r="C13" s="200"/>
      <c r="D13" s="200"/>
      <c r="E13" s="200"/>
      <c r="F13" s="200"/>
      <c r="G13" s="201"/>
      <c r="H13" s="201"/>
      <c r="I13" s="201"/>
      <c r="J13" s="200"/>
      <c r="K13" s="200"/>
      <c r="L13" s="201"/>
      <c r="M13" s="201"/>
      <c r="N13" s="200"/>
      <c r="O13" s="200"/>
      <c r="P13" s="201"/>
      <c r="Q13" s="201"/>
      <c r="R13" s="200"/>
      <c r="S13" s="200"/>
      <c r="T13" s="201"/>
      <c r="U13" s="201"/>
      <c r="V13" s="200"/>
      <c r="W13" s="200"/>
      <c r="X13" s="201"/>
      <c r="Y13" s="201"/>
      <c r="Z13" s="200"/>
      <c r="AA13" s="200"/>
      <c r="AB13" s="201"/>
      <c r="AC13" s="201"/>
      <c r="AD13" s="200"/>
      <c r="AE13" s="200"/>
      <c r="AF13" s="201"/>
      <c r="AG13" s="201"/>
      <c r="AH13" s="200"/>
      <c r="AI13" s="200"/>
      <c r="AJ13" s="201"/>
      <c r="AK13" s="201"/>
      <c r="AL13" s="200"/>
      <c r="AM13" s="200"/>
      <c r="AN13" s="200"/>
      <c r="AO13" s="193" t="str">
        <f>IFERROR(VLOOKUP(D13,'Reference Records'!$C$160:$E$252,3,FALSE),"")</f>
        <v/>
      </c>
      <c r="AP13" s="232" t="e">
        <f>VLOOKUP(AO13,'Reference Records'!$E$160:$F$252,2,0)</f>
        <v>#N/A</v>
      </c>
      <c r="AQ13" s="232" t="e">
        <f>MATCH($AP13,'Reference Records'!$E$330:$E$506,0)+ROW(Population_by_intervention) -1</f>
        <v>#N/A</v>
      </c>
      <c r="AR13" s="232" t="e">
        <f>MATCH($AP13,'Reference Records'!$E$330:$E$506,1)+ROW(Population_by_intervention) -1</f>
        <v>#N/A</v>
      </c>
      <c r="AS13" s="232" t="str">
        <f t="shared" si="1"/>
        <v>|empty|</v>
      </c>
      <c r="AT13" s="232" t="str">
        <f>IF(AS13="","",IFERROR(VLOOKUP(AS13,'Overview - Section A'!AF$123:AG178,2,0),VLOOKUP("|empty|",'Overview - Section A'!AF$123:AG178,2,0)))</f>
        <v>INT-130914</v>
      </c>
      <c r="AU13" s="200"/>
      <c r="AV13" s="200"/>
      <c r="AY13" s="232">
        <f t="shared" si="3"/>
        <v>2201</v>
      </c>
      <c r="AZ13" s="232">
        <f ca="1">AZ12+'update Helper'!$Z$2</f>
        <v>2387</v>
      </c>
      <c r="BB13" s="232" t="str">
        <f t="shared" ca="1" si="2"/>
        <v/>
      </c>
      <c r="BC13" s="232" t="str">
        <f ca="1">IF(INDIRECT("'update Helper'!S"&amp;AY13)=0,"",IFERROR(VLOOKUP(INDIRECT("'update Helper'!S"&amp;AY13),'Account Role'!A$1:B$28,2,0),IFERROR(VLOOKUP(INDIRECT("'update Helper'!I"&amp;AY13),'Overview - Section A'!J$25:P$90,7,0),"")))</f>
        <v/>
      </c>
      <c r="BD13" s="232" t="str">
        <f ca="1">IFERROR(INDEX('Overview - Section A'!A$122:A178,MATCH(INDIRECT("'update Helper'!Q"&amp;AY13),'Overview - Section A'!AQ$122:AQ178,0)),"")</f>
        <v/>
      </c>
      <c r="BE13" s="232" t="str">
        <f>IFERROR(INDEX('Overview - Section A'!O$122:O178,MATCH(AT13,'Overview - Section A'!AQ$122:AQ178,0)),"")</f>
        <v/>
      </c>
      <c r="BF13" s="232" t="str">
        <f>IFERROR(INDEX('Overview - Section A'!H$122:H178,MATCH(AT13,'Overview - Section A'!AQ$122:AQ178,0)),"")</f>
        <v/>
      </c>
    </row>
    <row r="14" spans="1:58" s="232" customFormat="1" ht="30" customHeight="1" x14ac:dyDescent="0.3">
      <c r="A14" s="178">
        <v>6</v>
      </c>
      <c r="B14" s="200"/>
      <c r="C14" s="200"/>
      <c r="D14" s="200"/>
      <c r="E14" s="200"/>
      <c r="F14" s="200"/>
      <c r="G14" s="201"/>
      <c r="H14" s="201"/>
      <c r="I14" s="201"/>
      <c r="J14" s="200"/>
      <c r="K14" s="200"/>
      <c r="L14" s="201"/>
      <c r="M14" s="201"/>
      <c r="N14" s="200"/>
      <c r="O14" s="200"/>
      <c r="P14" s="201"/>
      <c r="Q14" s="201"/>
      <c r="R14" s="200"/>
      <c r="S14" s="200"/>
      <c r="T14" s="201"/>
      <c r="U14" s="201"/>
      <c r="V14" s="200"/>
      <c r="W14" s="200"/>
      <c r="X14" s="201"/>
      <c r="Y14" s="201"/>
      <c r="Z14" s="200"/>
      <c r="AA14" s="200"/>
      <c r="AB14" s="201"/>
      <c r="AC14" s="201"/>
      <c r="AD14" s="200"/>
      <c r="AE14" s="200"/>
      <c r="AF14" s="201"/>
      <c r="AG14" s="201"/>
      <c r="AH14" s="200"/>
      <c r="AI14" s="200"/>
      <c r="AJ14" s="201"/>
      <c r="AK14" s="201"/>
      <c r="AL14" s="200"/>
      <c r="AM14" s="200"/>
      <c r="AN14" s="200"/>
      <c r="AO14" s="193" t="str">
        <f>IFERROR(VLOOKUP(D14,'Reference Records'!$C$160:$E$252,3,FALSE),"")</f>
        <v/>
      </c>
      <c r="AP14" s="232" t="e">
        <f>VLOOKUP(AO14,'Reference Records'!$E$160:$F$252,2,0)</f>
        <v>#N/A</v>
      </c>
      <c r="AQ14" s="232" t="e">
        <f>MATCH($AP14,'Reference Records'!$E$330:$E$506,0)+ROW(Population_by_intervention) -1</f>
        <v>#N/A</v>
      </c>
      <c r="AR14" s="232" t="e">
        <f>MATCH($AP14,'Reference Records'!$E$330:$E$506,1)+ROW(Population_by_intervention) -1</f>
        <v>#N/A</v>
      </c>
      <c r="AS14" s="232" t="str">
        <f t="shared" si="1"/>
        <v>|empty|</v>
      </c>
      <c r="AT14" s="232" t="str">
        <f>IF(AS14="","",IFERROR(VLOOKUP(AS14,'Overview - Section A'!AF$123:AG179,2,0),VLOOKUP("|empty|",'Overview - Section A'!AF$123:AG179,2,0)))</f>
        <v>INT-130914</v>
      </c>
      <c r="AU14" s="200"/>
      <c r="AV14" s="200"/>
      <c r="AY14" s="232">
        <f t="shared" si="3"/>
        <v>2202</v>
      </c>
      <c r="AZ14" s="232">
        <f ca="1">AZ13+'update Helper'!$Z$2</f>
        <v>2393</v>
      </c>
      <c r="BB14" s="232" t="str">
        <f t="shared" ca="1" si="2"/>
        <v/>
      </c>
      <c r="BC14" s="232" t="str">
        <f ca="1">IF(INDIRECT("'update Helper'!S"&amp;AY14)=0,"",IFERROR(VLOOKUP(INDIRECT("'update Helper'!S"&amp;AY14),'Account Role'!A$1:B$28,2,0),IFERROR(VLOOKUP(INDIRECT("'update Helper'!I"&amp;AY14),'Overview - Section A'!J$25:P$90,7,0),"")))</f>
        <v/>
      </c>
      <c r="BD14" s="232" t="str">
        <f ca="1">IFERROR(INDEX('Overview - Section A'!A$122:A179,MATCH(INDIRECT("'update Helper'!Q"&amp;AY14),'Overview - Section A'!AQ$122:AQ179,0)),"")</f>
        <v/>
      </c>
      <c r="BE14" s="232" t="str">
        <f>IFERROR(INDEX('Overview - Section A'!O$122:O179,MATCH(AT14,'Overview - Section A'!AQ$122:AQ179,0)),"")</f>
        <v/>
      </c>
      <c r="BF14" s="232" t="str">
        <f>IFERROR(INDEX('Overview - Section A'!H$122:H179,MATCH(AT14,'Overview - Section A'!AQ$122:AQ179,0)),"")</f>
        <v/>
      </c>
    </row>
    <row r="15" spans="1:58" s="232" customFormat="1" ht="30" customHeight="1" x14ac:dyDescent="0.3">
      <c r="A15" s="178">
        <v>7</v>
      </c>
      <c r="B15" s="200"/>
      <c r="C15" s="200"/>
      <c r="D15" s="200"/>
      <c r="E15" s="200"/>
      <c r="F15" s="200"/>
      <c r="G15" s="201"/>
      <c r="H15" s="201"/>
      <c r="I15" s="201"/>
      <c r="J15" s="200"/>
      <c r="K15" s="200"/>
      <c r="L15" s="201"/>
      <c r="M15" s="201"/>
      <c r="N15" s="200"/>
      <c r="O15" s="200"/>
      <c r="P15" s="201"/>
      <c r="Q15" s="201"/>
      <c r="R15" s="200"/>
      <c r="S15" s="200"/>
      <c r="T15" s="201"/>
      <c r="U15" s="201"/>
      <c r="V15" s="200"/>
      <c r="W15" s="200"/>
      <c r="X15" s="201"/>
      <c r="Y15" s="201"/>
      <c r="Z15" s="200"/>
      <c r="AA15" s="200"/>
      <c r="AB15" s="201"/>
      <c r="AC15" s="201"/>
      <c r="AD15" s="200"/>
      <c r="AE15" s="200"/>
      <c r="AF15" s="201"/>
      <c r="AG15" s="201"/>
      <c r="AH15" s="200"/>
      <c r="AI15" s="200"/>
      <c r="AJ15" s="201"/>
      <c r="AK15" s="201"/>
      <c r="AL15" s="200"/>
      <c r="AM15" s="200"/>
      <c r="AN15" s="200"/>
      <c r="AO15" s="193" t="str">
        <f>IFERROR(VLOOKUP(D15,'Reference Records'!$C$160:$E$252,3,FALSE),"")</f>
        <v/>
      </c>
      <c r="AP15" s="232" t="e">
        <f>VLOOKUP(AO15,'Reference Records'!$E$160:$F$252,2,0)</f>
        <v>#N/A</v>
      </c>
      <c r="AQ15" s="232" t="e">
        <f>MATCH($AP15,'Reference Records'!$E$330:$E$506,0)+ROW(Population_by_intervention) -1</f>
        <v>#N/A</v>
      </c>
      <c r="AR15" s="232" t="e">
        <f>MATCH($AP15,'Reference Records'!$E$330:$E$506,1)+ROW(Population_by_intervention) -1</f>
        <v>#N/A</v>
      </c>
      <c r="AS15" s="232" t="str">
        <f t="shared" si="1"/>
        <v>|empty|</v>
      </c>
      <c r="AT15" s="232" t="str">
        <f>IF(AS15="","",IFERROR(VLOOKUP(AS15,'Overview - Section A'!AF$123:AG180,2,0),VLOOKUP("|empty|",'Overview - Section A'!AF$123:AG180,2,0)))</f>
        <v>INT-130914</v>
      </c>
      <c r="AU15" s="200"/>
      <c r="AV15" s="200"/>
      <c r="AY15" s="232">
        <f t="shared" si="3"/>
        <v>2203</v>
      </c>
      <c r="AZ15" s="232">
        <f ca="1">AZ14+'update Helper'!$Z$2</f>
        <v>2399</v>
      </c>
      <c r="BB15" s="232" t="str">
        <f t="shared" ca="1" si="2"/>
        <v/>
      </c>
      <c r="BC15" s="232" t="str">
        <f ca="1">IF(INDIRECT("'update Helper'!S"&amp;AY15)=0,"",IFERROR(VLOOKUP(INDIRECT("'update Helper'!S"&amp;AY15),'Account Role'!A$1:B$28,2,0),IFERROR(VLOOKUP(INDIRECT("'update Helper'!I"&amp;AY15),'Overview - Section A'!J$25:P$90,7,0),"")))</f>
        <v/>
      </c>
      <c r="BD15" s="232" t="str">
        <f ca="1">IFERROR(INDEX('Overview - Section A'!A$122:A180,MATCH(INDIRECT("'update Helper'!Q"&amp;AY15),'Overview - Section A'!AQ$122:AQ180,0)),"")</f>
        <v/>
      </c>
      <c r="BE15" s="232" t="str">
        <f>IFERROR(INDEX('Overview - Section A'!O$122:O180,MATCH(AT15,'Overview - Section A'!AQ$122:AQ180,0)),"")</f>
        <v/>
      </c>
      <c r="BF15" s="232" t="str">
        <f>IFERROR(INDEX('Overview - Section A'!H$122:H180,MATCH(AT15,'Overview - Section A'!AQ$122:AQ180,0)),"")</f>
        <v/>
      </c>
    </row>
    <row r="16" spans="1:58" s="232" customFormat="1" ht="30" customHeight="1" x14ac:dyDescent="0.3">
      <c r="A16" s="178">
        <v>8</v>
      </c>
      <c r="B16" s="200"/>
      <c r="C16" s="200"/>
      <c r="D16" s="200"/>
      <c r="E16" s="200"/>
      <c r="F16" s="200"/>
      <c r="G16" s="201"/>
      <c r="H16" s="201"/>
      <c r="I16" s="201"/>
      <c r="J16" s="200"/>
      <c r="K16" s="200"/>
      <c r="L16" s="201"/>
      <c r="M16" s="201"/>
      <c r="N16" s="200"/>
      <c r="O16" s="200"/>
      <c r="P16" s="201"/>
      <c r="Q16" s="201"/>
      <c r="R16" s="200"/>
      <c r="S16" s="200"/>
      <c r="T16" s="201"/>
      <c r="U16" s="201"/>
      <c r="V16" s="200"/>
      <c r="W16" s="200"/>
      <c r="X16" s="201"/>
      <c r="Y16" s="201"/>
      <c r="Z16" s="200"/>
      <c r="AA16" s="200"/>
      <c r="AB16" s="201"/>
      <c r="AC16" s="201"/>
      <c r="AD16" s="200"/>
      <c r="AE16" s="200"/>
      <c r="AF16" s="201"/>
      <c r="AG16" s="201"/>
      <c r="AH16" s="200"/>
      <c r="AI16" s="200"/>
      <c r="AJ16" s="201"/>
      <c r="AK16" s="201"/>
      <c r="AL16" s="200"/>
      <c r="AM16" s="200"/>
      <c r="AN16" s="200"/>
      <c r="AO16" s="193" t="str">
        <f>IFERROR(VLOOKUP(D16,'Reference Records'!$C$160:$E$252,3,FALSE),"")</f>
        <v/>
      </c>
      <c r="AP16" s="232" t="e">
        <f>VLOOKUP(AO16,'Reference Records'!$E$160:$F$252,2,0)</f>
        <v>#N/A</v>
      </c>
      <c r="AQ16" s="232" t="e">
        <f>MATCH($AP16,'Reference Records'!$E$330:$E$506,0)+ROW(Population_by_intervention) -1</f>
        <v>#N/A</v>
      </c>
      <c r="AR16" s="232" t="e">
        <f>MATCH($AP16,'Reference Records'!$E$330:$E$506,1)+ROW(Population_by_intervention) -1</f>
        <v>#N/A</v>
      </c>
      <c r="AS16" s="232" t="str">
        <f t="shared" si="1"/>
        <v>|empty|</v>
      </c>
      <c r="AT16" s="232" t="str">
        <f>IF(AS16="","",IFERROR(VLOOKUP(AS16,'Overview - Section A'!AF$123:AG181,2,0),VLOOKUP("|empty|",'Overview - Section A'!AF$123:AG181,2,0)))</f>
        <v>INT-130914</v>
      </c>
      <c r="AU16" s="200"/>
      <c r="AV16" s="200"/>
      <c r="AY16" s="232">
        <f t="shared" si="3"/>
        <v>2204</v>
      </c>
      <c r="AZ16" s="232">
        <f ca="1">AZ15+'update Helper'!$Z$2</f>
        <v>2405</v>
      </c>
      <c r="BC16" s="232" t="str">
        <f ca="1">IF(INDIRECT("'update Helper'!S"&amp;AY16)=0,"",IFERROR(VLOOKUP(INDIRECT("'update Helper'!S"&amp;AY16),'Account Role'!A$1:B$28,2,0),IFERROR(VLOOKUP(INDIRECT("'update Helper'!I"&amp;AY16),'Overview - Section A'!J$25:P$90,7,0),"")))</f>
        <v/>
      </c>
      <c r="BD16" s="232" t="str">
        <f ca="1">IFERROR(INDEX('Overview - Section A'!A$122:A181,MATCH(INDIRECT("'update Helper'!Q"&amp;AY16),'Overview - Section A'!AQ$122:AQ181,0)),"")</f>
        <v/>
      </c>
      <c r="BE16" s="232" t="str">
        <f>IFERROR(INDEX('Overview - Section A'!O$122:O181,MATCH(AT16,'Overview - Section A'!AQ$122:AQ181,0)),"")</f>
        <v/>
      </c>
      <c r="BF16" s="232" t="str">
        <f>IFERROR(INDEX('Overview - Section A'!H$122:H181,MATCH(AT16,'Overview - Section A'!AQ$122:AQ181,0)),"")</f>
        <v/>
      </c>
    </row>
    <row r="17" spans="1:58" s="232" customFormat="1" ht="30" customHeight="1" x14ac:dyDescent="0.3">
      <c r="A17" s="178">
        <v>9</v>
      </c>
      <c r="B17" s="200"/>
      <c r="C17" s="200"/>
      <c r="D17" s="200"/>
      <c r="E17" s="200"/>
      <c r="F17" s="200"/>
      <c r="G17" s="201"/>
      <c r="H17" s="201"/>
      <c r="I17" s="201"/>
      <c r="J17" s="200"/>
      <c r="K17" s="200"/>
      <c r="L17" s="201"/>
      <c r="M17" s="201"/>
      <c r="N17" s="200"/>
      <c r="O17" s="200"/>
      <c r="P17" s="201"/>
      <c r="Q17" s="201"/>
      <c r="R17" s="200"/>
      <c r="S17" s="200"/>
      <c r="T17" s="201"/>
      <c r="U17" s="201"/>
      <c r="V17" s="200"/>
      <c r="W17" s="200"/>
      <c r="X17" s="201"/>
      <c r="Y17" s="201"/>
      <c r="Z17" s="200"/>
      <c r="AA17" s="200"/>
      <c r="AB17" s="201"/>
      <c r="AC17" s="201"/>
      <c r="AD17" s="200"/>
      <c r="AE17" s="200"/>
      <c r="AF17" s="201"/>
      <c r="AG17" s="201"/>
      <c r="AH17" s="200"/>
      <c r="AI17" s="200"/>
      <c r="AJ17" s="201"/>
      <c r="AK17" s="201"/>
      <c r="AL17" s="200"/>
      <c r="AM17" s="200"/>
      <c r="AN17" s="200"/>
      <c r="AO17" s="193" t="str">
        <f>IFERROR(VLOOKUP(D17,'Reference Records'!$C$160:$E$252,3,FALSE),"")</f>
        <v/>
      </c>
      <c r="AP17" s="232" t="e">
        <f>VLOOKUP(AO17,'Reference Records'!$E$160:$F$252,2,0)</f>
        <v>#N/A</v>
      </c>
      <c r="AQ17" s="232" t="e">
        <f>MATCH($AP17,'Reference Records'!$E$330:$E$506,0)+ROW(Population_by_intervention) -1</f>
        <v>#N/A</v>
      </c>
      <c r="AR17" s="232" t="e">
        <f>MATCH($AP17,'Reference Records'!$E$330:$E$506,1)+ROW(Population_by_intervention) -1</f>
        <v>#N/A</v>
      </c>
      <c r="AS17" s="232" t="str">
        <f t="shared" si="1"/>
        <v>|empty|</v>
      </c>
      <c r="AT17" s="232" t="str">
        <f>IF(AS17="","",IFERROR(VLOOKUP(AS17,'Overview - Section A'!AF$123:AG182,2,0),VLOOKUP("|empty|",'Overview - Section A'!AF$123:AG182,2,0)))</f>
        <v>INT-130914</v>
      </c>
      <c r="AU17" s="200"/>
      <c r="AV17" s="200"/>
      <c r="AY17" s="232">
        <f t="shared" si="3"/>
        <v>2205</v>
      </c>
      <c r="AZ17" s="232">
        <f ca="1">AZ16+'update Helper'!$Z$2</f>
        <v>2411</v>
      </c>
      <c r="BC17" s="232" t="str">
        <f ca="1">IF(INDIRECT("'update Helper'!S"&amp;AY17)=0,"",IFERROR(VLOOKUP(INDIRECT("'update Helper'!S"&amp;AY17),'Account Role'!A$1:B$28,2,0),IFERROR(VLOOKUP(INDIRECT("'update Helper'!I"&amp;AY17),'Overview - Section A'!J$25:P$90,7,0),"")))</f>
        <v/>
      </c>
      <c r="BD17" s="232" t="str">
        <f ca="1">IFERROR(INDEX('Overview - Section A'!A$122:A182,MATCH(INDIRECT("'update Helper'!Q"&amp;AY17),'Overview - Section A'!AQ$122:AQ182,0)),"")</f>
        <v/>
      </c>
      <c r="BE17" s="232" t="str">
        <f>IFERROR(INDEX('Overview - Section A'!O$122:O182,MATCH(AT17,'Overview - Section A'!AQ$122:AQ182,0)),"")</f>
        <v/>
      </c>
      <c r="BF17" s="232" t="str">
        <f>IFERROR(INDEX('Overview - Section A'!H$122:H182,MATCH(AT17,'Overview - Section A'!AQ$122:AQ182,0)),"")</f>
        <v/>
      </c>
    </row>
    <row r="18" spans="1:58" s="232" customFormat="1" ht="30" customHeight="1" x14ac:dyDescent="0.3">
      <c r="A18" s="178">
        <v>10</v>
      </c>
      <c r="B18" s="200"/>
      <c r="C18" s="200"/>
      <c r="D18" s="200"/>
      <c r="E18" s="200"/>
      <c r="F18" s="200"/>
      <c r="G18" s="201"/>
      <c r="H18" s="201"/>
      <c r="I18" s="201"/>
      <c r="J18" s="200"/>
      <c r="K18" s="200"/>
      <c r="L18" s="201"/>
      <c r="M18" s="201"/>
      <c r="N18" s="200"/>
      <c r="O18" s="200"/>
      <c r="P18" s="201"/>
      <c r="Q18" s="201"/>
      <c r="R18" s="200"/>
      <c r="S18" s="200"/>
      <c r="T18" s="201"/>
      <c r="U18" s="201"/>
      <c r="V18" s="200"/>
      <c r="W18" s="200"/>
      <c r="X18" s="201"/>
      <c r="Y18" s="201"/>
      <c r="Z18" s="200"/>
      <c r="AA18" s="200"/>
      <c r="AB18" s="201"/>
      <c r="AC18" s="201"/>
      <c r="AD18" s="200"/>
      <c r="AE18" s="200"/>
      <c r="AF18" s="201"/>
      <c r="AG18" s="201"/>
      <c r="AH18" s="200"/>
      <c r="AI18" s="200"/>
      <c r="AJ18" s="201"/>
      <c r="AK18" s="201"/>
      <c r="AL18" s="200"/>
      <c r="AM18" s="200"/>
      <c r="AN18" s="200"/>
      <c r="AO18" s="193" t="str">
        <f>IFERROR(VLOOKUP(D18,'Reference Records'!$C$160:$E$252,3,FALSE),"")</f>
        <v/>
      </c>
      <c r="AP18" s="232" t="e">
        <f>VLOOKUP(AO18,'Reference Records'!$E$160:$F$252,2,0)</f>
        <v>#N/A</v>
      </c>
      <c r="AQ18" s="232" t="e">
        <f>MATCH($AP18,'Reference Records'!$E$330:$E$506,0)+ROW(Population_by_intervention) -1</f>
        <v>#N/A</v>
      </c>
      <c r="AR18" s="232" t="e">
        <f>MATCH($AP18,'Reference Records'!$E$330:$E$506,1)+ROW(Population_by_intervention) -1</f>
        <v>#N/A</v>
      </c>
      <c r="AS18" s="232" t="str">
        <f t="shared" si="1"/>
        <v>|empty|</v>
      </c>
      <c r="AT18" s="232" t="str">
        <f>IF(AS18="","",IFERROR(VLOOKUP(AS18,'Overview - Section A'!AF$123:AG183,2,0),VLOOKUP("|empty|",'Overview - Section A'!AF$123:AG183,2,0)))</f>
        <v>INT-130914</v>
      </c>
      <c r="AU18" s="200"/>
      <c r="AV18" s="200"/>
      <c r="AY18" s="232">
        <f t="shared" si="3"/>
        <v>2206</v>
      </c>
      <c r="AZ18" s="232">
        <f ca="1">AZ17+'update Helper'!$Z$2</f>
        <v>2417</v>
      </c>
      <c r="BC18" s="232" t="str">
        <f ca="1">IF(INDIRECT("'update Helper'!S"&amp;AY18)=0,"",IFERROR(VLOOKUP(INDIRECT("'update Helper'!S"&amp;AY18),'Account Role'!A$1:B$28,2,0),IFERROR(VLOOKUP(INDIRECT("'update Helper'!I"&amp;AY18),'Overview - Section A'!J$25:P$90,7,0),"")))</f>
        <v/>
      </c>
      <c r="BD18" s="232" t="str">
        <f ca="1">IFERROR(INDEX('Overview - Section A'!A$122:A183,MATCH(INDIRECT("'update Helper'!Q"&amp;AY18),'Overview - Section A'!AQ$122:AQ183,0)),"")</f>
        <v/>
      </c>
      <c r="BE18" s="232" t="str">
        <f>IFERROR(INDEX('Overview - Section A'!O$122:O183,MATCH(AT18,'Overview - Section A'!AQ$122:AQ183,0)),"")</f>
        <v/>
      </c>
      <c r="BF18" s="232" t="str">
        <f>IFERROR(INDEX('Overview - Section A'!H$122:H183,MATCH(AT18,'Overview - Section A'!AQ$122:AQ183,0)),"")</f>
        <v/>
      </c>
    </row>
    <row r="19" spans="1:58" s="232" customFormat="1" ht="30" customHeight="1" x14ac:dyDescent="0.3">
      <c r="A19" s="178">
        <v>11</v>
      </c>
      <c r="B19" s="200"/>
      <c r="C19" s="200"/>
      <c r="D19" s="200"/>
      <c r="E19" s="200"/>
      <c r="F19" s="200"/>
      <c r="G19" s="201"/>
      <c r="H19" s="201"/>
      <c r="I19" s="201"/>
      <c r="J19" s="200"/>
      <c r="K19" s="200"/>
      <c r="L19" s="201"/>
      <c r="M19" s="201"/>
      <c r="N19" s="200"/>
      <c r="O19" s="200"/>
      <c r="P19" s="201"/>
      <c r="Q19" s="201"/>
      <c r="R19" s="200"/>
      <c r="S19" s="200"/>
      <c r="T19" s="201"/>
      <c r="U19" s="201"/>
      <c r="V19" s="200"/>
      <c r="W19" s="200"/>
      <c r="X19" s="201"/>
      <c r="Y19" s="201"/>
      <c r="Z19" s="200"/>
      <c r="AA19" s="200"/>
      <c r="AB19" s="201"/>
      <c r="AC19" s="201"/>
      <c r="AD19" s="200"/>
      <c r="AE19" s="200"/>
      <c r="AF19" s="201"/>
      <c r="AG19" s="201"/>
      <c r="AH19" s="200"/>
      <c r="AI19" s="200"/>
      <c r="AJ19" s="201"/>
      <c r="AK19" s="201"/>
      <c r="AL19" s="200"/>
      <c r="AM19" s="200"/>
      <c r="AN19" s="200"/>
      <c r="AO19" s="193" t="str">
        <f>IFERROR(VLOOKUP(D19,'Reference Records'!$C$160:$E$252,3,FALSE),"")</f>
        <v/>
      </c>
      <c r="AP19" s="232" t="e">
        <f>VLOOKUP(AO19,'Reference Records'!$E$160:$F$252,2,0)</f>
        <v>#N/A</v>
      </c>
      <c r="AQ19" s="232" t="e">
        <f>MATCH($AP19,'Reference Records'!$E$330:$E$506,0)+ROW(Population_by_intervention) -1</f>
        <v>#N/A</v>
      </c>
      <c r="AR19" s="232" t="e">
        <f>MATCH($AP19,'Reference Records'!$E$330:$E$506,1)+ROW(Population_by_intervention) -1</f>
        <v>#N/A</v>
      </c>
      <c r="AS19" s="232" t="str">
        <f t="shared" si="1"/>
        <v>|empty|</v>
      </c>
      <c r="AT19" s="232" t="str">
        <f>IF(AS19="","",IFERROR(VLOOKUP(AS19,'Overview - Section A'!AF$123:AG184,2,0),VLOOKUP("|empty|",'Overview - Section A'!AF$123:AG184,2,0)))</f>
        <v>INT-130914</v>
      </c>
      <c r="AU19" s="200"/>
      <c r="AV19" s="200"/>
      <c r="AY19" s="232">
        <f t="shared" si="3"/>
        <v>2207</v>
      </c>
      <c r="AZ19" s="232">
        <f ca="1">AZ18+'update Helper'!$Z$2</f>
        <v>2423</v>
      </c>
      <c r="BC19" s="232" t="str">
        <f ca="1">IF(INDIRECT("'update Helper'!S"&amp;AY19)=0,"",IFERROR(VLOOKUP(INDIRECT("'update Helper'!S"&amp;AY19),'Account Role'!A$1:B$28,2,0),IFERROR(VLOOKUP(INDIRECT("'update Helper'!I"&amp;AY19),'Overview - Section A'!J$25:P$90,7,0),"")))</f>
        <v/>
      </c>
      <c r="BD19" s="232" t="str">
        <f ca="1">IFERROR(INDEX('Overview - Section A'!A$122:A184,MATCH(INDIRECT("'update Helper'!Q"&amp;AY19),'Overview - Section A'!AQ$122:AQ184,0)),"")</f>
        <v/>
      </c>
      <c r="BE19" s="232" t="str">
        <f>IFERROR(INDEX('Overview - Section A'!O$122:O184,MATCH(AT19,'Overview - Section A'!AQ$122:AQ184,0)),"")</f>
        <v/>
      </c>
      <c r="BF19" s="232" t="str">
        <f>IFERROR(INDEX('Overview - Section A'!H$122:H184,MATCH(AT19,'Overview - Section A'!AQ$122:AQ184,0)),"")</f>
        <v/>
      </c>
    </row>
    <row r="20" spans="1:58" s="232" customFormat="1" ht="30" customHeight="1" x14ac:dyDescent="0.3">
      <c r="A20" s="178">
        <v>12</v>
      </c>
      <c r="B20" s="200"/>
      <c r="C20" s="200"/>
      <c r="D20" s="200"/>
      <c r="E20" s="200"/>
      <c r="F20" s="200"/>
      <c r="G20" s="201"/>
      <c r="H20" s="201"/>
      <c r="I20" s="201"/>
      <c r="J20" s="200"/>
      <c r="K20" s="200"/>
      <c r="L20" s="201"/>
      <c r="M20" s="201"/>
      <c r="N20" s="200"/>
      <c r="O20" s="200"/>
      <c r="P20" s="201"/>
      <c r="Q20" s="201"/>
      <c r="R20" s="200"/>
      <c r="S20" s="200"/>
      <c r="T20" s="201"/>
      <c r="U20" s="201"/>
      <c r="V20" s="200"/>
      <c r="W20" s="200"/>
      <c r="X20" s="201"/>
      <c r="Y20" s="201"/>
      <c r="Z20" s="200"/>
      <c r="AA20" s="200"/>
      <c r="AB20" s="201"/>
      <c r="AC20" s="201"/>
      <c r="AD20" s="200"/>
      <c r="AE20" s="200"/>
      <c r="AF20" s="201"/>
      <c r="AG20" s="201"/>
      <c r="AH20" s="200"/>
      <c r="AI20" s="200"/>
      <c r="AJ20" s="201"/>
      <c r="AK20" s="201"/>
      <c r="AL20" s="200"/>
      <c r="AM20" s="200"/>
      <c r="AN20" s="200"/>
      <c r="AO20" s="193" t="str">
        <f>IFERROR(VLOOKUP(D20,'Reference Records'!$C$160:$E$252,3,FALSE),"")</f>
        <v/>
      </c>
      <c r="AP20" s="232" t="e">
        <f>VLOOKUP(AO20,'Reference Records'!$E$160:$F$252,2,0)</f>
        <v>#N/A</v>
      </c>
      <c r="AQ20" s="232" t="e">
        <f>MATCH($AP20,'Reference Records'!$E$330:$E$506,0)+ROW(Population_by_intervention) -1</f>
        <v>#N/A</v>
      </c>
      <c r="AR20" s="232" t="e">
        <f>MATCH($AP20,'Reference Records'!$E$330:$E$506,1)+ROW(Population_by_intervention) -1</f>
        <v>#N/A</v>
      </c>
      <c r="AS20" s="232" t="str">
        <f t="shared" si="1"/>
        <v>|empty|</v>
      </c>
      <c r="AT20" s="232" t="str">
        <f>IF(AS20="","",IFERROR(VLOOKUP(AS20,'Overview - Section A'!AF$123:AG185,2,0),VLOOKUP("|empty|",'Overview - Section A'!AF$123:AG185,2,0)))</f>
        <v>INT-130914</v>
      </c>
      <c r="AU20" s="200"/>
      <c r="AV20" s="200"/>
      <c r="AY20" s="232">
        <f t="shared" si="3"/>
        <v>2208</v>
      </c>
      <c r="AZ20" s="232">
        <f ca="1">AZ19+'update Helper'!$Z$2</f>
        <v>2429</v>
      </c>
      <c r="BC20" s="232" t="str">
        <f ca="1">IF(INDIRECT("'update Helper'!S"&amp;AY20)=0,"",IFERROR(VLOOKUP(INDIRECT("'update Helper'!S"&amp;AY20),'Account Role'!A$1:B$28,2,0),IFERROR(VLOOKUP(INDIRECT("'update Helper'!I"&amp;AY20),'Overview - Section A'!J$25:P$90,7,0),"")))</f>
        <v/>
      </c>
      <c r="BD20" s="232" t="str">
        <f ca="1">IFERROR(INDEX('Overview - Section A'!A$122:A185,MATCH(INDIRECT("'update Helper'!Q"&amp;AY20),'Overview - Section A'!AQ$122:AQ185,0)),"")</f>
        <v/>
      </c>
      <c r="BE20" s="232" t="str">
        <f>IFERROR(INDEX('Overview - Section A'!O$122:O185,MATCH(AT20,'Overview - Section A'!AQ$122:AQ185,0)),"")</f>
        <v/>
      </c>
      <c r="BF20" s="232" t="str">
        <f>IFERROR(INDEX('Overview - Section A'!H$122:H185,MATCH(AT20,'Overview - Section A'!AQ$122:AQ185,0)),"")</f>
        <v/>
      </c>
    </row>
    <row r="21" spans="1:58" s="232" customFormat="1" ht="30" customHeight="1" x14ac:dyDescent="0.3">
      <c r="A21" s="178">
        <v>13</v>
      </c>
      <c r="B21" s="200"/>
      <c r="C21" s="200"/>
      <c r="D21" s="200"/>
      <c r="E21" s="200"/>
      <c r="F21" s="200"/>
      <c r="G21" s="201"/>
      <c r="H21" s="201"/>
      <c r="I21" s="201"/>
      <c r="J21" s="200"/>
      <c r="K21" s="200"/>
      <c r="L21" s="201"/>
      <c r="M21" s="201"/>
      <c r="N21" s="200"/>
      <c r="O21" s="200"/>
      <c r="P21" s="201"/>
      <c r="Q21" s="201"/>
      <c r="R21" s="200"/>
      <c r="S21" s="200"/>
      <c r="T21" s="201"/>
      <c r="U21" s="201"/>
      <c r="V21" s="200"/>
      <c r="W21" s="200"/>
      <c r="X21" s="201"/>
      <c r="Y21" s="201"/>
      <c r="Z21" s="200"/>
      <c r="AA21" s="200"/>
      <c r="AB21" s="201"/>
      <c r="AC21" s="201"/>
      <c r="AD21" s="200"/>
      <c r="AE21" s="200"/>
      <c r="AF21" s="201"/>
      <c r="AG21" s="201"/>
      <c r="AH21" s="200"/>
      <c r="AI21" s="200"/>
      <c r="AJ21" s="201"/>
      <c r="AK21" s="201"/>
      <c r="AL21" s="200"/>
      <c r="AM21" s="200"/>
      <c r="AN21" s="200"/>
      <c r="AO21" s="193" t="str">
        <f>IFERROR(VLOOKUP(D21,'Reference Records'!$C$160:$E$252,3,FALSE),"")</f>
        <v/>
      </c>
      <c r="AP21" s="232" t="e">
        <f>VLOOKUP(AO21,'Reference Records'!$E$160:$F$252,2,0)</f>
        <v>#N/A</v>
      </c>
      <c r="AQ21" s="232" t="e">
        <f>MATCH($AP21,'Reference Records'!$E$330:$E$506,0)+ROW(Population_by_intervention) -1</f>
        <v>#N/A</v>
      </c>
      <c r="AR21" s="232" t="e">
        <f>MATCH($AP21,'Reference Records'!$E$330:$E$506,1)+ROW(Population_by_intervention) -1</f>
        <v>#N/A</v>
      </c>
      <c r="AS21" s="232" t="str">
        <f t="shared" si="1"/>
        <v>|empty|</v>
      </c>
      <c r="AT21" s="232" t="str">
        <f>IF(AS21="","",IFERROR(VLOOKUP(AS21,'Overview - Section A'!AF$123:AG186,2,0),VLOOKUP("|empty|",'Overview - Section A'!AF$123:AG186,2,0)))</f>
        <v>INT-130914</v>
      </c>
      <c r="AU21" s="200"/>
      <c r="AV21" s="200"/>
      <c r="AY21" s="232">
        <f t="shared" si="3"/>
        <v>2209</v>
      </c>
      <c r="AZ21" s="232">
        <f ca="1">AZ20+'update Helper'!$Z$2</f>
        <v>2435</v>
      </c>
      <c r="BC21" s="232" t="str">
        <f ca="1">IF(INDIRECT("'update Helper'!S"&amp;AY21)=0,"",IFERROR(VLOOKUP(INDIRECT("'update Helper'!S"&amp;AY21),'Account Role'!A$1:B$28,2,0),IFERROR(VLOOKUP(INDIRECT("'update Helper'!I"&amp;AY21),'Overview - Section A'!J$25:P$90,7,0),"")))</f>
        <v/>
      </c>
      <c r="BD21" s="232" t="str">
        <f ca="1">IFERROR(INDEX('Overview - Section A'!A$122:A186,MATCH(INDIRECT("'update Helper'!Q"&amp;AY21),'Overview - Section A'!AQ$122:AQ186,0)),"")</f>
        <v/>
      </c>
      <c r="BE21" s="232" t="str">
        <f>IFERROR(INDEX('Overview - Section A'!O$122:O186,MATCH(AT21,'Overview - Section A'!AQ$122:AQ186,0)),"")</f>
        <v/>
      </c>
      <c r="BF21" s="232" t="str">
        <f>IFERROR(INDEX('Overview - Section A'!H$122:H186,MATCH(AT21,'Overview - Section A'!AQ$122:AQ186,0)),"")</f>
        <v/>
      </c>
    </row>
    <row r="22" spans="1:58" s="232" customFormat="1" ht="30" customHeight="1" x14ac:dyDescent="0.3">
      <c r="A22" s="178">
        <v>14</v>
      </c>
      <c r="B22" s="200"/>
      <c r="C22" s="200"/>
      <c r="D22" s="200"/>
      <c r="E22" s="200"/>
      <c r="F22" s="200"/>
      <c r="G22" s="201"/>
      <c r="H22" s="201"/>
      <c r="I22" s="201"/>
      <c r="J22" s="200"/>
      <c r="K22" s="200"/>
      <c r="L22" s="201"/>
      <c r="M22" s="201"/>
      <c r="N22" s="200"/>
      <c r="O22" s="200"/>
      <c r="P22" s="201"/>
      <c r="Q22" s="201"/>
      <c r="R22" s="200"/>
      <c r="S22" s="200"/>
      <c r="T22" s="201"/>
      <c r="U22" s="201"/>
      <c r="V22" s="200"/>
      <c r="W22" s="200"/>
      <c r="X22" s="201"/>
      <c r="Y22" s="201"/>
      <c r="Z22" s="200"/>
      <c r="AA22" s="200"/>
      <c r="AB22" s="201"/>
      <c r="AC22" s="201"/>
      <c r="AD22" s="200"/>
      <c r="AE22" s="200"/>
      <c r="AF22" s="201"/>
      <c r="AG22" s="201"/>
      <c r="AH22" s="200"/>
      <c r="AI22" s="200"/>
      <c r="AJ22" s="201"/>
      <c r="AK22" s="201"/>
      <c r="AL22" s="200"/>
      <c r="AM22" s="200"/>
      <c r="AN22" s="200"/>
      <c r="AO22" s="193" t="str">
        <f>IFERROR(VLOOKUP(D22,'Reference Records'!$C$160:$E$252,3,FALSE),"")</f>
        <v/>
      </c>
      <c r="AP22" s="232" t="e">
        <f>VLOOKUP(AO22,'Reference Records'!$E$160:$F$252,2,0)</f>
        <v>#N/A</v>
      </c>
      <c r="AQ22" s="232" t="e">
        <f>MATCH($AP22,'Reference Records'!$E$330:$E$506,0)+ROW(Population_by_intervention) -1</f>
        <v>#N/A</v>
      </c>
      <c r="AR22" s="232" t="e">
        <f>MATCH($AP22,'Reference Records'!$E$330:$E$506,1)+ROW(Population_by_intervention) -1</f>
        <v>#N/A</v>
      </c>
      <c r="AS22" s="232" t="str">
        <f t="shared" si="1"/>
        <v>|empty|</v>
      </c>
      <c r="AT22" s="232" t="str">
        <f>IF(AS22="","",IFERROR(VLOOKUP(AS22,'Overview - Section A'!AF$123:AG187,2,0),VLOOKUP("|empty|",'Overview - Section A'!AF$123:AG187,2,0)))</f>
        <v>INT-130914</v>
      </c>
      <c r="AU22" s="200"/>
      <c r="AV22" s="200"/>
      <c r="AY22" s="232">
        <f t="shared" si="3"/>
        <v>2210</v>
      </c>
      <c r="AZ22" s="232">
        <f ca="1">AZ21+'update Helper'!$Z$2</f>
        <v>2441</v>
      </c>
      <c r="BC22" s="232" t="str">
        <f ca="1">IF(INDIRECT("'update Helper'!S"&amp;AY22)=0,"",IFERROR(VLOOKUP(INDIRECT("'update Helper'!S"&amp;AY22),'Account Role'!A$1:B$28,2,0),IFERROR(VLOOKUP(INDIRECT("'update Helper'!I"&amp;AY22),'Overview - Section A'!J$25:P$90,7,0),"")))</f>
        <v/>
      </c>
      <c r="BD22" s="232" t="str">
        <f ca="1">IFERROR(INDEX('Overview - Section A'!A$122:A187,MATCH(INDIRECT("'update Helper'!Q"&amp;AY22),'Overview - Section A'!AQ$122:AQ187,0)),"")</f>
        <v/>
      </c>
      <c r="BE22" s="232" t="str">
        <f>IFERROR(INDEX('Overview - Section A'!O$122:O187,MATCH(AT22,'Overview - Section A'!AQ$122:AQ187,0)),"")</f>
        <v/>
      </c>
      <c r="BF22" s="232" t="str">
        <f>IFERROR(INDEX('Overview - Section A'!H$122:H187,MATCH(AT22,'Overview - Section A'!AQ$122:AQ187,0)),"")</f>
        <v/>
      </c>
    </row>
    <row r="23" spans="1:58" s="232" customFormat="1" ht="30" customHeight="1" x14ac:dyDescent="0.3">
      <c r="A23" s="178">
        <v>15</v>
      </c>
      <c r="B23" s="200"/>
      <c r="C23" s="200"/>
      <c r="D23" s="200"/>
      <c r="E23" s="200"/>
      <c r="F23" s="200"/>
      <c r="G23" s="201"/>
      <c r="H23" s="201"/>
      <c r="I23" s="201"/>
      <c r="J23" s="200"/>
      <c r="K23" s="200"/>
      <c r="L23" s="201"/>
      <c r="M23" s="201"/>
      <c r="N23" s="200"/>
      <c r="O23" s="200"/>
      <c r="P23" s="201"/>
      <c r="Q23" s="201"/>
      <c r="R23" s="200"/>
      <c r="S23" s="200"/>
      <c r="T23" s="201"/>
      <c r="U23" s="201"/>
      <c r="V23" s="200"/>
      <c r="W23" s="200"/>
      <c r="X23" s="201"/>
      <c r="Y23" s="201"/>
      <c r="Z23" s="200"/>
      <c r="AA23" s="200"/>
      <c r="AB23" s="201"/>
      <c r="AC23" s="201"/>
      <c r="AD23" s="200"/>
      <c r="AE23" s="200"/>
      <c r="AF23" s="201"/>
      <c r="AG23" s="201"/>
      <c r="AH23" s="200"/>
      <c r="AI23" s="200"/>
      <c r="AJ23" s="201"/>
      <c r="AK23" s="201"/>
      <c r="AL23" s="200"/>
      <c r="AM23" s="200"/>
      <c r="AN23" s="200"/>
      <c r="AO23" s="193" t="str">
        <f>IFERROR(VLOOKUP(D23,'Reference Records'!$C$160:$E$252,3,FALSE),"")</f>
        <v/>
      </c>
      <c r="AP23" s="232" t="e">
        <f>VLOOKUP(AO23,'Reference Records'!$E$160:$F$252,2,0)</f>
        <v>#N/A</v>
      </c>
      <c r="AQ23" s="232" t="e">
        <f>MATCH($AP23,'Reference Records'!$E$330:$E$506,0)+ROW(Population_by_intervention) -1</f>
        <v>#N/A</v>
      </c>
      <c r="AR23" s="232" t="e">
        <f>MATCH($AP23,'Reference Records'!$E$330:$E$506,1)+ROW(Population_by_intervention) -1</f>
        <v>#N/A</v>
      </c>
      <c r="AS23" s="232" t="str">
        <f t="shared" si="1"/>
        <v>|empty|</v>
      </c>
      <c r="AT23" s="232" t="str">
        <f>IF(AS23="","",IFERROR(VLOOKUP(AS23,'Overview - Section A'!AF$123:AG188,2,0),VLOOKUP("|empty|",'Overview - Section A'!AF$123:AG188,2,0)))</f>
        <v>INT-130914</v>
      </c>
      <c r="AU23" s="200"/>
      <c r="AV23" s="200"/>
      <c r="AY23" s="232">
        <f t="shared" si="3"/>
        <v>2211</v>
      </c>
      <c r="AZ23" s="232">
        <f ca="1">AZ22+'update Helper'!$Z$2</f>
        <v>2447</v>
      </c>
      <c r="BC23" s="232" t="str">
        <f ca="1">IF(INDIRECT("'update Helper'!S"&amp;AY23)=0,"",IFERROR(VLOOKUP(INDIRECT("'update Helper'!S"&amp;AY23),'Account Role'!A$1:B$28,2,0),IFERROR(VLOOKUP(INDIRECT("'update Helper'!I"&amp;AY23),'Overview - Section A'!J$25:P$90,7,0),"")))</f>
        <v/>
      </c>
      <c r="BD23" s="232" t="str">
        <f ca="1">IFERROR(INDEX('Overview - Section A'!A$122:A188,MATCH(INDIRECT("'update Helper'!Q"&amp;AY23),'Overview - Section A'!AQ$122:AQ188,0)),"")</f>
        <v/>
      </c>
      <c r="BE23" s="232" t="str">
        <f>IFERROR(INDEX('Overview - Section A'!O$122:O188,MATCH(AT23,'Overview - Section A'!AQ$122:AQ188,0)),"")</f>
        <v/>
      </c>
      <c r="BF23" s="232" t="str">
        <f>IFERROR(INDEX('Overview - Section A'!H$122:H188,MATCH(AT23,'Overview - Section A'!AQ$122:AQ188,0)),"")</f>
        <v/>
      </c>
    </row>
    <row r="24" spans="1:58" s="232" customFormat="1" ht="30" customHeight="1" x14ac:dyDescent="0.3">
      <c r="A24" s="178">
        <v>16</v>
      </c>
      <c r="B24" s="200"/>
      <c r="C24" s="200"/>
      <c r="D24" s="200"/>
      <c r="E24" s="200"/>
      <c r="F24" s="200"/>
      <c r="G24" s="201"/>
      <c r="H24" s="201"/>
      <c r="I24" s="201"/>
      <c r="J24" s="200"/>
      <c r="K24" s="200"/>
      <c r="L24" s="201"/>
      <c r="M24" s="201"/>
      <c r="N24" s="200"/>
      <c r="O24" s="200"/>
      <c r="P24" s="201"/>
      <c r="Q24" s="201"/>
      <c r="R24" s="200"/>
      <c r="S24" s="200"/>
      <c r="T24" s="201"/>
      <c r="U24" s="201"/>
      <c r="V24" s="200"/>
      <c r="W24" s="200"/>
      <c r="X24" s="201"/>
      <c r="Y24" s="201"/>
      <c r="Z24" s="200"/>
      <c r="AA24" s="200"/>
      <c r="AB24" s="201"/>
      <c r="AC24" s="201"/>
      <c r="AD24" s="200"/>
      <c r="AE24" s="200"/>
      <c r="AF24" s="201"/>
      <c r="AG24" s="201"/>
      <c r="AH24" s="200"/>
      <c r="AI24" s="200"/>
      <c r="AJ24" s="201"/>
      <c r="AK24" s="201"/>
      <c r="AL24" s="200"/>
      <c r="AM24" s="200"/>
      <c r="AN24" s="200"/>
      <c r="AO24" s="193" t="str">
        <f>IFERROR(VLOOKUP(D24,'Reference Records'!$C$160:$E$252,3,FALSE),"")</f>
        <v/>
      </c>
      <c r="AP24" s="232" t="e">
        <f>VLOOKUP(AO24,'Reference Records'!$E$160:$F$252,2,0)</f>
        <v>#N/A</v>
      </c>
      <c r="AQ24" s="232" t="e">
        <f>MATCH($AP24,'Reference Records'!$E$330:$E$506,0)+ROW(Population_by_intervention) -1</f>
        <v>#N/A</v>
      </c>
      <c r="AR24" s="232" t="e">
        <f>MATCH($AP24,'Reference Records'!$E$330:$E$506,1)+ROW(Population_by_intervention) -1</f>
        <v>#N/A</v>
      </c>
      <c r="AS24" s="232" t="str">
        <f t="shared" si="1"/>
        <v>|empty|</v>
      </c>
      <c r="AT24" s="232" t="str">
        <f>IF(AS24="","",IFERROR(VLOOKUP(AS24,'Overview - Section A'!AF$123:AG189,2,0),VLOOKUP("|empty|",'Overview - Section A'!AF$123:AG189,2,0)))</f>
        <v>INT-130914</v>
      </c>
      <c r="AU24" s="200"/>
      <c r="AV24" s="200"/>
      <c r="AY24" s="232">
        <f t="shared" si="3"/>
        <v>2212</v>
      </c>
      <c r="AZ24" s="232">
        <f ca="1">AZ23+'update Helper'!$Z$2</f>
        <v>2453</v>
      </c>
      <c r="BC24" s="232" t="str">
        <f ca="1">IF(INDIRECT("'update Helper'!S"&amp;AY24)=0,"",IFERROR(VLOOKUP(INDIRECT("'update Helper'!S"&amp;AY24),'Account Role'!A$1:B$28,2,0),IFERROR(VLOOKUP(INDIRECT("'update Helper'!I"&amp;AY24),'Overview - Section A'!J$25:P$90,7,0),"")))</f>
        <v/>
      </c>
      <c r="BD24" s="232" t="str">
        <f ca="1">IFERROR(INDEX('Overview - Section A'!A$122:A189,MATCH(INDIRECT("'update Helper'!Q"&amp;AY24),'Overview - Section A'!AQ$122:AQ189,0)),"")</f>
        <v/>
      </c>
      <c r="BE24" s="232" t="str">
        <f>IFERROR(INDEX('Overview - Section A'!O$122:O189,MATCH(AT24,'Overview - Section A'!AQ$122:AQ189,0)),"")</f>
        <v/>
      </c>
      <c r="BF24" s="232" t="str">
        <f>IFERROR(INDEX('Overview - Section A'!H$122:H189,MATCH(AT24,'Overview - Section A'!AQ$122:AQ189,0)),"")</f>
        <v/>
      </c>
    </row>
    <row r="25" spans="1:58" s="232" customFormat="1" ht="30" customHeight="1" x14ac:dyDescent="0.3">
      <c r="A25" s="178">
        <v>17</v>
      </c>
      <c r="B25" s="200"/>
      <c r="C25" s="200"/>
      <c r="D25" s="200"/>
      <c r="E25" s="200"/>
      <c r="F25" s="200"/>
      <c r="G25" s="201"/>
      <c r="H25" s="201"/>
      <c r="I25" s="201"/>
      <c r="J25" s="200"/>
      <c r="K25" s="200"/>
      <c r="L25" s="201"/>
      <c r="M25" s="201"/>
      <c r="N25" s="200"/>
      <c r="O25" s="200"/>
      <c r="P25" s="201"/>
      <c r="Q25" s="201"/>
      <c r="R25" s="200"/>
      <c r="S25" s="200"/>
      <c r="T25" s="201"/>
      <c r="U25" s="201"/>
      <c r="V25" s="200"/>
      <c r="W25" s="200"/>
      <c r="X25" s="201"/>
      <c r="Y25" s="201"/>
      <c r="Z25" s="200"/>
      <c r="AA25" s="200"/>
      <c r="AB25" s="201"/>
      <c r="AC25" s="201"/>
      <c r="AD25" s="200"/>
      <c r="AE25" s="200"/>
      <c r="AF25" s="201"/>
      <c r="AG25" s="201"/>
      <c r="AH25" s="200"/>
      <c r="AI25" s="200"/>
      <c r="AJ25" s="201"/>
      <c r="AK25" s="201"/>
      <c r="AL25" s="200"/>
      <c r="AM25" s="200"/>
      <c r="AN25" s="200"/>
      <c r="AO25" s="193" t="str">
        <f>IFERROR(VLOOKUP(D25,'Reference Records'!$C$160:$E$252,3,FALSE),"")</f>
        <v/>
      </c>
      <c r="AP25" s="232" t="e">
        <f>VLOOKUP(AO25,'Reference Records'!$E$160:$F$252,2,0)</f>
        <v>#N/A</v>
      </c>
      <c r="AQ25" s="232" t="e">
        <f>MATCH($AP25,'Reference Records'!$E$330:$E$506,0)+ROW(Population_by_intervention) -1</f>
        <v>#N/A</v>
      </c>
      <c r="AR25" s="232" t="e">
        <f>MATCH($AP25,'Reference Records'!$E$330:$E$506,1)+ROW(Population_by_intervention) -1</f>
        <v>#N/A</v>
      </c>
      <c r="AS25" s="232" t="str">
        <f t="shared" si="1"/>
        <v>|empty|</v>
      </c>
      <c r="AT25" s="232" t="str">
        <f>IF(AS25="","",IFERROR(VLOOKUP(AS25,'Overview - Section A'!AF$123:AG190,2,0),VLOOKUP("|empty|",'Overview - Section A'!AF$123:AG190,2,0)))</f>
        <v>INT-130914</v>
      </c>
      <c r="AU25" s="200"/>
      <c r="AV25" s="200"/>
      <c r="AY25" s="232">
        <f t="shared" si="3"/>
        <v>2213</v>
      </c>
      <c r="AZ25" s="232">
        <f ca="1">AZ24+'update Helper'!$Z$2</f>
        <v>2459</v>
      </c>
      <c r="BC25" s="232" t="str">
        <f ca="1">IF(INDIRECT("'update Helper'!S"&amp;AY25)=0,"",IFERROR(VLOOKUP(INDIRECT("'update Helper'!S"&amp;AY25),'Account Role'!A$1:B$28,2,0),IFERROR(VLOOKUP(INDIRECT("'update Helper'!I"&amp;AY25),'Overview - Section A'!J$25:P$90,7,0),"")))</f>
        <v/>
      </c>
      <c r="BD25" s="232" t="str">
        <f ca="1">IFERROR(INDEX('Overview - Section A'!A$122:A190,MATCH(INDIRECT("'update Helper'!Q"&amp;AY25),'Overview - Section A'!AQ$122:AQ190,0)),"")</f>
        <v/>
      </c>
      <c r="BE25" s="232" t="str">
        <f>IFERROR(INDEX('Overview - Section A'!O$122:O190,MATCH(AT25,'Overview - Section A'!AQ$122:AQ190,0)),"")</f>
        <v/>
      </c>
      <c r="BF25" s="232" t="str">
        <f>IFERROR(INDEX('Overview - Section A'!H$122:H190,MATCH(AT25,'Overview - Section A'!AQ$122:AQ190,0)),"")</f>
        <v/>
      </c>
    </row>
    <row r="26" spans="1:58" s="232" customFormat="1" ht="30" customHeight="1" x14ac:dyDescent="0.3">
      <c r="A26" s="178">
        <v>18</v>
      </c>
      <c r="B26" s="200"/>
      <c r="C26" s="200"/>
      <c r="D26" s="200"/>
      <c r="E26" s="200"/>
      <c r="F26" s="200"/>
      <c r="G26" s="201"/>
      <c r="H26" s="201"/>
      <c r="I26" s="201"/>
      <c r="J26" s="200"/>
      <c r="K26" s="200"/>
      <c r="L26" s="201"/>
      <c r="M26" s="201"/>
      <c r="N26" s="200"/>
      <c r="O26" s="200"/>
      <c r="P26" s="201"/>
      <c r="Q26" s="201"/>
      <c r="R26" s="200"/>
      <c r="S26" s="200"/>
      <c r="T26" s="201"/>
      <c r="U26" s="201"/>
      <c r="V26" s="200"/>
      <c r="W26" s="200"/>
      <c r="X26" s="201"/>
      <c r="Y26" s="201"/>
      <c r="Z26" s="200"/>
      <c r="AA26" s="200"/>
      <c r="AB26" s="201"/>
      <c r="AC26" s="201"/>
      <c r="AD26" s="200"/>
      <c r="AE26" s="200"/>
      <c r="AF26" s="201"/>
      <c r="AG26" s="201"/>
      <c r="AH26" s="200"/>
      <c r="AI26" s="200"/>
      <c r="AJ26" s="201"/>
      <c r="AK26" s="201"/>
      <c r="AL26" s="200"/>
      <c r="AM26" s="200"/>
      <c r="AN26" s="200"/>
      <c r="AO26" s="193" t="str">
        <f>IFERROR(VLOOKUP(D26,'Reference Records'!$C$160:$E$252,3,FALSE),"")</f>
        <v/>
      </c>
      <c r="AP26" s="232" t="e">
        <f>VLOOKUP(AO26,'Reference Records'!$E$160:$F$252,2,0)</f>
        <v>#N/A</v>
      </c>
      <c r="AQ26" s="232" t="e">
        <f>MATCH($AP26,'Reference Records'!$E$330:$E$506,0)+ROW(Population_by_intervention) -1</f>
        <v>#N/A</v>
      </c>
      <c r="AR26" s="232" t="e">
        <f>MATCH($AP26,'Reference Records'!$E$330:$E$506,1)+ROW(Population_by_intervention) -1</f>
        <v>#N/A</v>
      </c>
      <c r="AS26" s="232" t="str">
        <f t="shared" si="1"/>
        <v>|empty|</v>
      </c>
      <c r="AT26" s="232" t="str">
        <f>IF(AS26="","",IFERROR(VLOOKUP(AS26,'Overview - Section A'!AF$123:AG191,2,0),VLOOKUP("|empty|",'Overview - Section A'!AF$123:AG191,2,0)))</f>
        <v>INT-130914</v>
      </c>
      <c r="AU26" s="200"/>
      <c r="AV26" s="200"/>
      <c r="AY26" s="232">
        <f t="shared" si="3"/>
        <v>2214</v>
      </c>
      <c r="AZ26" s="232">
        <f ca="1">AZ25+'update Helper'!$Z$2</f>
        <v>2465</v>
      </c>
      <c r="BC26" s="232" t="str">
        <f ca="1">IF(INDIRECT("'update Helper'!S"&amp;AY26)=0,"",IFERROR(VLOOKUP(INDIRECT("'update Helper'!S"&amp;AY26),'Account Role'!A$1:B$28,2,0),IFERROR(VLOOKUP(INDIRECT("'update Helper'!I"&amp;AY26),'Overview - Section A'!J$25:P$90,7,0),"")))</f>
        <v/>
      </c>
      <c r="BD26" s="232" t="str">
        <f ca="1">IFERROR(INDEX('Overview - Section A'!A$122:A191,MATCH(INDIRECT("'update Helper'!Q"&amp;AY26),'Overview - Section A'!AQ$122:AQ191,0)),"")</f>
        <v/>
      </c>
      <c r="BE26" s="232" t="str">
        <f>IFERROR(INDEX('Overview - Section A'!O$122:O191,MATCH(AT26,'Overview - Section A'!AQ$122:AQ191,0)),"")</f>
        <v/>
      </c>
      <c r="BF26" s="232" t="str">
        <f>IFERROR(INDEX('Overview - Section A'!H$122:H191,MATCH(AT26,'Overview - Section A'!AQ$122:AQ191,0)),"")</f>
        <v/>
      </c>
    </row>
    <row r="27" spans="1:58" s="232" customFormat="1" ht="30" customHeight="1" x14ac:dyDescent="0.3">
      <c r="A27" s="178">
        <v>19</v>
      </c>
      <c r="B27" s="200"/>
      <c r="C27" s="200"/>
      <c r="D27" s="200"/>
      <c r="E27" s="200"/>
      <c r="F27" s="200"/>
      <c r="G27" s="201"/>
      <c r="H27" s="201"/>
      <c r="I27" s="201"/>
      <c r="J27" s="200"/>
      <c r="K27" s="200"/>
      <c r="L27" s="201"/>
      <c r="M27" s="201"/>
      <c r="N27" s="200"/>
      <c r="O27" s="200"/>
      <c r="P27" s="201"/>
      <c r="Q27" s="201"/>
      <c r="R27" s="200"/>
      <c r="S27" s="200"/>
      <c r="T27" s="201"/>
      <c r="U27" s="201"/>
      <c r="V27" s="200"/>
      <c r="W27" s="200"/>
      <c r="X27" s="201"/>
      <c r="Y27" s="201"/>
      <c r="Z27" s="200"/>
      <c r="AA27" s="200"/>
      <c r="AB27" s="201"/>
      <c r="AC27" s="201"/>
      <c r="AD27" s="200"/>
      <c r="AE27" s="200"/>
      <c r="AF27" s="201"/>
      <c r="AG27" s="201"/>
      <c r="AH27" s="200"/>
      <c r="AI27" s="200"/>
      <c r="AJ27" s="201"/>
      <c r="AK27" s="201"/>
      <c r="AL27" s="200"/>
      <c r="AM27" s="200"/>
      <c r="AN27" s="200"/>
      <c r="AO27" s="193" t="str">
        <f>IFERROR(VLOOKUP(D27,'Reference Records'!$C$160:$E$252,3,FALSE),"")</f>
        <v/>
      </c>
      <c r="AP27" s="232" t="e">
        <f>VLOOKUP(AO27,'Reference Records'!$E$160:$F$252,2,0)</f>
        <v>#N/A</v>
      </c>
      <c r="AQ27" s="232" t="e">
        <f>MATCH($AP27,'Reference Records'!$E$330:$E$506,0)+ROW(Population_by_intervention) -1</f>
        <v>#N/A</v>
      </c>
      <c r="AR27" s="232" t="e">
        <f>MATCH($AP27,'Reference Records'!$E$330:$E$506,1)+ROW(Population_by_intervention) -1</f>
        <v>#N/A</v>
      </c>
      <c r="AS27" s="232" t="str">
        <f t="shared" si="1"/>
        <v>|empty|</v>
      </c>
      <c r="AT27" s="232" t="str">
        <f>IF(AS27="","",IFERROR(VLOOKUP(AS27,'Overview - Section A'!AF$123:AG192,2,0),VLOOKUP("|empty|",'Overview - Section A'!AF$123:AG192,2,0)))</f>
        <v>INT-130914</v>
      </c>
      <c r="AU27" s="200"/>
      <c r="AV27" s="200"/>
      <c r="AY27" s="232">
        <f t="shared" si="3"/>
        <v>2215</v>
      </c>
      <c r="AZ27" s="232">
        <f ca="1">AZ26+'update Helper'!$Z$2</f>
        <v>2471</v>
      </c>
      <c r="BC27" s="232" t="str">
        <f ca="1">IF(INDIRECT("'update Helper'!S"&amp;AY27)=0,"",IFERROR(VLOOKUP(INDIRECT("'update Helper'!S"&amp;AY27),'Account Role'!A$1:B$28,2,0),IFERROR(VLOOKUP(INDIRECT("'update Helper'!I"&amp;AY27),'Overview - Section A'!J$25:P$90,7,0),"")))</f>
        <v/>
      </c>
      <c r="BD27" s="232" t="str">
        <f ca="1">IFERROR(INDEX('Overview - Section A'!A$122:A192,MATCH(INDIRECT("'update Helper'!Q"&amp;AY27),'Overview - Section A'!AQ$122:AQ192,0)),"")</f>
        <v/>
      </c>
      <c r="BE27" s="232" t="str">
        <f>IFERROR(INDEX('Overview - Section A'!O$122:O192,MATCH(AT27,'Overview - Section A'!AQ$122:AQ192,0)),"")</f>
        <v/>
      </c>
      <c r="BF27" s="232" t="str">
        <f>IFERROR(INDEX('Overview - Section A'!H$122:H192,MATCH(AT27,'Overview - Section A'!AQ$122:AQ192,0)),"")</f>
        <v/>
      </c>
    </row>
    <row r="28" spans="1:58" s="232" customFormat="1" ht="30" customHeight="1" x14ac:dyDescent="0.3">
      <c r="A28" s="178">
        <v>20</v>
      </c>
      <c r="B28" s="200"/>
      <c r="C28" s="200"/>
      <c r="D28" s="200"/>
      <c r="E28" s="200"/>
      <c r="F28" s="200"/>
      <c r="G28" s="201"/>
      <c r="H28" s="201"/>
      <c r="I28" s="201"/>
      <c r="J28" s="200"/>
      <c r="K28" s="200"/>
      <c r="L28" s="201"/>
      <c r="M28" s="201"/>
      <c r="N28" s="200"/>
      <c r="O28" s="200"/>
      <c r="P28" s="201"/>
      <c r="Q28" s="201"/>
      <c r="R28" s="200"/>
      <c r="S28" s="200"/>
      <c r="T28" s="201"/>
      <c r="U28" s="201"/>
      <c r="V28" s="200"/>
      <c r="W28" s="200"/>
      <c r="X28" s="201"/>
      <c r="Y28" s="201"/>
      <c r="Z28" s="200"/>
      <c r="AA28" s="200"/>
      <c r="AB28" s="201"/>
      <c r="AC28" s="201"/>
      <c r="AD28" s="200"/>
      <c r="AE28" s="200"/>
      <c r="AF28" s="201"/>
      <c r="AG28" s="201"/>
      <c r="AH28" s="200"/>
      <c r="AI28" s="200"/>
      <c r="AJ28" s="201"/>
      <c r="AK28" s="201"/>
      <c r="AL28" s="200"/>
      <c r="AM28" s="200"/>
      <c r="AN28" s="200"/>
      <c r="AO28" s="193" t="str">
        <f>IFERROR(VLOOKUP(D28,'Reference Records'!$C$160:$E$252,3,FALSE),"")</f>
        <v/>
      </c>
      <c r="AP28" s="232" t="e">
        <f>VLOOKUP(AO28,'Reference Records'!$E$160:$F$252,2,0)</f>
        <v>#N/A</v>
      </c>
      <c r="AQ28" s="232" t="e">
        <f>MATCH($AP28,'Reference Records'!$E$330:$E$506,0)+ROW(Population_by_intervention) -1</f>
        <v>#N/A</v>
      </c>
      <c r="AR28" s="232" t="e">
        <f>MATCH($AP28,'Reference Records'!$E$330:$E$506,1)+ROW(Population_by_intervention) -1</f>
        <v>#N/A</v>
      </c>
      <c r="AS28" s="232" t="str">
        <f t="shared" si="1"/>
        <v>|empty|</v>
      </c>
      <c r="AT28" s="232" t="str">
        <f>IF(AS28="","",IFERROR(VLOOKUP(AS28,'Overview - Section A'!AF$123:AG193,2,0),VLOOKUP("|empty|",'Overview - Section A'!AF$123:AG193,2,0)))</f>
        <v>INT-130914</v>
      </c>
      <c r="AU28" s="200"/>
      <c r="AV28" s="200"/>
      <c r="AY28" s="232">
        <f t="shared" si="3"/>
        <v>2216</v>
      </c>
      <c r="AZ28" s="232">
        <f ca="1">AZ27+'update Helper'!$Z$2</f>
        <v>2477</v>
      </c>
      <c r="BC28" s="232" t="str">
        <f ca="1">IF(INDIRECT("'update Helper'!S"&amp;AY28)=0,"",IFERROR(VLOOKUP(INDIRECT("'update Helper'!S"&amp;AY28),'Account Role'!A$1:B$28,2,0),IFERROR(VLOOKUP(INDIRECT("'update Helper'!I"&amp;AY28),'Overview - Section A'!J$25:P$90,7,0),"")))</f>
        <v/>
      </c>
      <c r="BD28" s="232" t="str">
        <f ca="1">IFERROR(INDEX('Overview - Section A'!A$122:A193,MATCH(INDIRECT("'update Helper'!Q"&amp;AY28),'Overview - Section A'!AQ$122:AQ193,0)),"")</f>
        <v/>
      </c>
      <c r="BE28" s="232" t="str">
        <f>IFERROR(INDEX('Overview - Section A'!O$122:O193,MATCH(AT28,'Overview - Section A'!AQ$122:AQ193,0)),"")</f>
        <v/>
      </c>
      <c r="BF28" s="232" t="str">
        <f>IFERROR(INDEX('Overview - Section A'!H$122:H193,MATCH(AT28,'Overview - Section A'!AQ$122:AQ193,0)),"")</f>
        <v/>
      </c>
    </row>
    <row r="29" spans="1:58" s="232" customFormat="1" ht="30" customHeight="1" x14ac:dyDescent="0.3">
      <c r="A29" s="178">
        <v>21</v>
      </c>
      <c r="B29" s="200"/>
      <c r="C29" s="200"/>
      <c r="D29" s="200"/>
      <c r="E29" s="200"/>
      <c r="F29" s="200"/>
      <c r="G29" s="201"/>
      <c r="H29" s="201"/>
      <c r="I29" s="201"/>
      <c r="J29" s="200"/>
      <c r="K29" s="200"/>
      <c r="L29" s="201"/>
      <c r="M29" s="201"/>
      <c r="N29" s="200"/>
      <c r="O29" s="200"/>
      <c r="P29" s="201"/>
      <c r="Q29" s="201"/>
      <c r="R29" s="200"/>
      <c r="S29" s="200"/>
      <c r="T29" s="201"/>
      <c r="U29" s="201"/>
      <c r="V29" s="200"/>
      <c r="W29" s="200"/>
      <c r="X29" s="201"/>
      <c r="Y29" s="201"/>
      <c r="Z29" s="200"/>
      <c r="AA29" s="200"/>
      <c r="AB29" s="201"/>
      <c r="AC29" s="201"/>
      <c r="AD29" s="200"/>
      <c r="AE29" s="200"/>
      <c r="AF29" s="201"/>
      <c r="AG29" s="201"/>
      <c r="AH29" s="200"/>
      <c r="AI29" s="200"/>
      <c r="AJ29" s="201"/>
      <c r="AK29" s="201"/>
      <c r="AL29" s="200"/>
      <c r="AM29" s="200"/>
      <c r="AN29" s="200"/>
      <c r="AO29" s="193" t="str">
        <f>IFERROR(VLOOKUP(D29,'Reference Records'!$C$160:$E$252,3,FALSE),"")</f>
        <v/>
      </c>
      <c r="AP29" s="232" t="e">
        <f>VLOOKUP(AO29,'Reference Records'!$E$160:$F$252,2,0)</f>
        <v>#N/A</v>
      </c>
      <c r="AQ29" s="232" t="e">
        <f>MATCH($AP29,'Reference Records'!$E$330:$E$506,0)+ROW(Population_by_intervention) -1</f>
        <v>#N/A</v>
      </c>
      <c r="AR29" s="232" t="e">
        <f>MATCH($AP29,'Reference Records'!$E$330:$E$506,1)+ROW(Population_by_intervention) -1</f>
        <v>#N/A</v>
      </c>
      <c r="AS29" s="232" t="str">
        <f t="shared" si="1"/>
        <v>|empty|</v>
      </c>
      <c r="AT29" s="232" t="str">
        <f>IF(AS29="","",IFERROR(VLOOKUP(AS29,'Overview - Section A'!AF$123:AG194,2,0),VLOOKUP("|empty|",'Overview - Section A'!AF$123:AG194,2,0)))</f>
        <v>INT-130914</v>
      </c>
      <c r="AU29" s="200"/>
      <c r="AV29" s="200"/>
      <c r="AY29" s="232">
        <f t="shared" si="3"/>
        <v>2217</v>
      </c>
      <c r="AZ29" s="232">
        <f ca="1">AZ28+'update Helper'!$Z$2</f>
        <v>2483</v>
      </c>
      <c r="BC29" s="232" t="str">
        <f ca="1">IF(INDIRECT("'update Helper'!S"&amp;AY29)=0,"",IFERROR(VLOOKUP(INDIRECT("'update Helper'!S"&amp;AY29),'Account Role'!A$1:B$28,2,0),IFERROR(VLOOKUP(INDIRECT("'update Helper'!I"&amp;AY29),'Overview - Section A'!J$25:P$90,7,0),"")))</f>
        <v/>
      </c>
      <c r="BD29" s="232" t="str">
        <f ca="1">IFERROR(INDEX('Overview - Section A'!A$122:A194,MATCH(INDIRECT("'update Helper'!Q"&amp;AY29),'Overview - Section A'!AQ$122:AQ194,0)),"")</f>
        <v/>
      </c>
      <c r="BE29" s="232" t="str">
        <f>IFERROR(INDEX('Overview - Section A'!O$122:O194,MATCH(AT29,'Overview - Section A'!AQ$122:AQ194,0)),"")</f>
        <v/>
      </c>
      <c r="BF29" s="232" t="str">
        <f>IFERROR(INDEX('Overview - Section A'!H$122:H194,MATCH(AT29,'Overview - Section A'!AQ$122:AQ194,0)),"")</f>
        <v/>
      </c>
    </row>
    <row r="30" spans="1:58" s="232" customFormat="1" ht="30" customHeight="1" x14ac:dyDescent="0.3">
      <c r="A30" s="178">
        <v>22</v>
      </c>
      <c r="B30" s="200"/>
      <c r="C30" s="200"/>
      <c r="D30" s="200"/>
      <c r="E30" s="200"/>
      <c r="F30" s="200"/>
      <c r="G30" s="201"/>
      <c r="H30" s="201"/>
      <c r="I30" s="201"/>
      <c r="J30" s="200"/>
      <c r="K30" s="200"/>
      <c r="L30" s="201"/>
      <c r="M30" s="201"/>
      <c r="N30" s="200"/>
      <c r="O30" s="200"/>
      <c r="P30" s="201"/>
      <c r="Q30" s="201"/>
      <c r="R30" s="200"/>
      <c r="S30" s="200"/>
      <c r="T30" s="201"/>
      <c r="U30" s="201"/>
      <c r="V30" s="200"/>
      <c r="W30" s="200"/>
      <c r="X30" s="201"/>
      <c r="Y30" s="201"/>
      <c r="Z30" s="200"/>
      <c r="AA30" s="200"/>
      <c r="AB30" s="201"/>
      <c r="AC30" s="201"/>
      <c r="AD30" s="200"/>
      <c r="AE30" s="200"/>
      <c r="AF30" s="201"/>
      <c r="AG30" s="201"/>
      <c r="AH30" s="200"/>
      <c r="AI30" s="200"/>
      <c r="AJ30" s="201"/>
      <c r="AK30" s="201"/>
      <c r="AL30" s="200"/>
      <c r="AM30" s="200"/>
      <c r="AN30" s="200"/>
      <c r="AO30" s="193" t="str">
        <f>IFERROR(VLOOKUP(D30,'Reference Records'!$C$160:$E$252,3,FALSE),"")</f>
        <v/>
      </c>
      <c r="AP30" s="232" t="e">
        <f>VLOOKUP(AO30,'Reference Records'!$E$160:$F$252,2,0)</f>
        <v>#N/A</v>
      </c>
      <c r="AQ30" s="232" t="e">
        <f>MATCH($AP30,'Reference Records'!$E$330:$E$506,0)+ROW(Population_by_intervention) -1</f>
        <v>#N/A</v>
      </c>
      <c r="AR30" s="232" t="e">
        <f>MATCH($AP30,'Reference Records'!$E$330:$E$506,1)+ROW(Population_by_intervention) -1</f>
        <v>#N/A</v>
      </c>
      <c r="AS30" s="232" t="str">
        <f t="shared" si="1"/>
        <v>|empty|</v>
      </c>
      <c r="AT30" s="232" t="str">
        <f>IF(AS30="","",IFERROR(VLOOKUP(AS30,'Overview - Section A'!AF$123:AG195,2,0),VLOOKUP("|empty|",'Overview - Section A'!AF$123:AG195,2,0)))</f>
        <v>INT-130914</v>
      </c>
      <c r="AU30" s="200"/>
      <c r="AV30" s="200"/>
      <c r="AY30" s="232">
        <f t="shared" si="3"/>
        <v>2218</v>
      </c>
      <c r="AZ30" s="232">
        <f ca="1">AZ29+'update Helper'!$Z$2</f>
        <v>2489</v>
      </c>
      <c r="BC30" s="232" t="str">
        <f ca="1">IF(INDIRECT("'update Helper'!S"&amp;AY30)=0,"",IFERROR(VLOOKUP(INDIRECT("'update Helper'!S"&amp;AY30),'Account Role'!A$1:B$28,2,0),IFERROR(VLOOKUP(INDIRECT("'update Helper'!I"&amp;AY30),'Overview - Section A'!J$25:P$90,7,0),"")))</f>
        <v/>
      </c>
      <c r="BD30" s="232" t="str">
        <f ca="1">IFERROR(INDEX('Overview - Section A'!A$122:A195,MATCH(INDIRECT("'update Helper'!Q"&amp;AY30),'Overview - Section A'!AQ$122:AQ195,0)),"")</f>
        <v/>
      </c>
      <c r="BE30" s="232" t="str">
        <f>IFERROR(INDEX('Overview - Section A'!O$122:O195,MATCH(AT30,'Overview - Section A'!AQ$122:AQ195,0)),"")</f>
        <v/>
      </c>
      <c r="BF30" s="232" t="str">
        <f>IFERROR(INDEX('Overview - Section A'!H$122:H195,MATCH(AT30,'Overview - Section A'!AQ$122:AQ195,0)),"")</f>
        <v/>
      </c>
    </row>
    <row r="31" spans="1:58" s="232" customFormat="1" ht="30" customHeight="1" x14ac:dyDescent="0.3">
      <c r="A31" s="178">
        <v>23</v>
      </c>
      <c r="B31" s="200"/>
      <c r="C31" s="200"/>
      <c r="D31" s="200"/>
      <c r="E31" s="200"/>
      <c r="F31" s="200"/>
      <c r="G31" s="201"/>
      <c r="H31" s="201"/>
      <c r="I31" s="201"/>
      <c r="J31" s="200"/>
      <c r="K31" s="200"/>
      <c r="L31" s="201"/>
      <c r="M31" s="201"/>
      <c r="N31" s="200"/>
      <c r="O31" s="200"/>
      <c r="P31" s="201"/>
      <c r="Q31" s="201"/>
      <c r="R31" s="200"/>
      <c r="S31" s="200"/>
      <c r="T31" s="201"/>
      <c r="U31" s="201"/>
      <c r="V31" s="200"/>
      <c r="W31" s="200"/>
      <c r="X31" s="201"/>
      <c r="Y31" s="201"/>
      <c r="Z31" s="200"/>
      <c r="AA31" s="200"/>
      <c r="AB31" s="201"/>
      <c r="AC31" s="201"/>
      <c r="AD31" s="200"/>
      <c r="AE31" s="200"/>
      <c r="AF31" s="201"/>
      <c r="AG31" s="201"/>
      <c r="AH31" s="200"/>
      <c r="AI31" s="200"/>
      <c r="AJ31" s="201"/>
      <c r="AK31" s="201"/>
      <c r="AL31" s="200"/>
      <c r="AM31" s="200"/>
      <c r="AN31" s="200"/>
      <c r="AO31" s="193" t="str">
        <f>IFERROR(VLOOKUP(D31,'Reference Records'!$C$160:$E$252,3,FALSE),"")</f>
        <v/>
      </c>
      <c r="AP31" s="232" t="e">
        <f>VLOOKUP(AO31,'Reference Records'!$E$160:$F$252,2,0)</f>
        <v>#N/A</v>
      </c>
      <c r="AQ31" s="232" t="e">
        <f>MATCH($AP31,'Reference Records'!$E$330:$E$506,0)+ROW(Population_by_intervention) -1</f>
        <v>#N/A</v>
      </c>
      <c r="AR31" s="232" t="e">
        <f>MATCH($AP31,'Reference Records'!$E$330:$E$506,1)+ROW(Population_by_intervention) -1</f>
        <v>#N/A</v>
      </c>
      <c r="AS31" s="232" t="str">
        <f t="shared" si="1"/>
        <v>|empty|</v>
      </c>
      <c r="AT31" s="232" t="str">
        <f>IF(AS31="","",IFERROR(VLOOKUP(AS31,'Overview - Section A'!AF$123:AG196,2,0),VLOOKUP("|empty|",'Overview - Section A'!AF$123:AG196,2,0)))</f>
        <v>INT-130914</v>
      </c>
      <c r="AU31" s="200"/>
      <c r="AV31" s="200"/>
      <c r="AY31" s="232">
        <f t="shared" si="3"/>
        <v>2219</v>
      </c>
      <c r="AZ31" s="232">
        <f ca="1">AZ30+'update Helper'!$Z$2</f>
        <v>2495</v>
      </c>
      <c r="BC31" s="232" t="str">
        <f ca="1">IF(INDIRECT("'update Helper'!S"&amp;AY31)=0,"",IFERROR(VLOOKUP(INDIRECT("'update Helper'!S"&amp;AY31),'Account Role'!A$1:B$28,2,0),IFERROR(VLOOKUP(INDIRECT("'update Helper'!I"&amp;AY31),'Overview - Section A'!J$25:P$90,7,0),"")))</f>
        <v/>
      </c>
      <c r="BD31" s="232" t="str">
        <f ca="1">IFERROR(INDEX('Overview - Section A'!A$122:A196,MATCH(INDIRECT("'update Helper'!Q"&amp;AY31),'Overview - Section A'!AQ$122:AQ196,0)),"")</f>
        <v/>
      </c>
      <c r="BE31" s="232" t="str">
        <f>IFERROR(INDEX('Overview - Section A'!O$122:O196,MATCH(AT31,'Overview - Section A'!AQ$122:AQ196,0)),"")</f>
        <v/>
      </c>
      <c r="BF31" s="232" t="str">
        <f>IFERROR(INDEX('Overview - Section A'!H$122:H196,MATCH(AT31,'Overview - Section A'!AQ$122:AQ196,0)),"")</f>
        <v/>
      </c>
    </row>
    <row r="32" spans="1:58" s="232" customFormat="1" ht="30" customHeight="1" x14ac:dyDescent="0.3">
      <c r="A32" s="178">
        <v>24</v>
      </c>
      <c r="B32" s="200"/>
      <c r="C32" s="200"/>
      <c r="D32" s="200"/>
      <c r="E32" s="200"/>
      <c r="F32" s="200"/>
      <c r="G32" s="201"/>
      <c r="H32" s="201"/>
      <c r="I32" s="201"/>
      <c r="J32" s="200"/>
      <c r="K32" s="200"/>
      <c r="L32" s="201"/>
      <c r="M32" s="201"/>
      <c r="N32" s="200"/>
      <c r="O32" s="200"/>
      <c r="P32" s="201"/>
      <c r="Q32" s="201"/>
      <c r="R32" s="200"/>
      <c r="S32" s="200"/>
      <c r="T32" s="201"/>
      <c r="U32" s="201"/>
      <c r="V32" s="200"/>
      <c r="W32" s="200"/>
      <c r="X32" s="201"/>
      <c r="Y32" s="201"/>
      <c r="Z32" s="200"/>
      <c r="AA32" s="200"/>
      <c r="AB32" s="201"/>
      <c r="AC32" s="201"/>
      <c r="AD32" s="200"/>
      <c r="AE32" s="200"/>
      <c r="AF32" s="201"/>
      <c r="AG32" s="201"/>
      <c r="AH32" s="200"/>
      <c r="AI32" s="200"/>
      <c r="AJ32" s="201"/>
      <c r="AK32" s="201"/>
      <c r="AL32" s="200"/>
      <c r="AM32" s="200"/>
      <c r="AN32" s="200"/>
      <c r="AO32" s="193" t="str">
        <f>IFERROR(VLOOKUP(D32,'Reference Records'!$C$160:$E$252,3,FALSE),"")</f>
        <v/>
      </c>
      <c r="AP32" s="232" t="e">
        <f>VLOOKUP(AO32,'Reference Records'!$E$160:$F$252,2,0)</f>
        <v>#N/A</v>
      </c>
      <c r="AQ32" s="232" t="e">
        <f>MATCH($AP32,'Reference Records'!$E$330:$E$506,0)+ROW(Population_by_intervention) -1</f>
        <v>#N/A</v>
      </c>
      <c r="AR32" s="232" t="e">
        <f>MATCH($AP32,'Reference Records'!$E$330:$E$506,1)+ROW(Population_by_intervention) -1</f>
        <v>#N/A</v>
      </c>
      <c r="AS32" s="232" t="str">
        <f t="shared" si="1"/>
        <v>|empty|</v>
      </c>
      <c r="AT32" s="232" t="str">
        <f>IF(AS32="","",IFERROR(VLOOKUP(AS32,'Overview - Section A'!AF$123:AG197,2,0),VLOOKUP("|empty|",'Overview - Section A'!AF$123:AG197,2,0)))</f>
        <v>INT-130914</v>
      </c>
      <c r="AU32" s="200"/>
      <c r="AV32" s="200"/>
      <c r="AY32" s="232">
        <f t="shared" si="3"/>
        <v>2220</v>
      </c>
      <c r="AZ32" s="232">
        <f ca="1">AZ31+'update Helper'!$Z$2</f>
        <v>2501</v>
      </c>
      <c r="BC32" s="232" t="str">
        <f ca="1">IF(INDIRECT("'update Helper'!S"&amp;AY32)=0,"",IFERROR(VLOOKUP(INDIRECT("'update Helper'!S"&amp;AY32),'Account Role'!A$1:B$28,2,0),IFERROR(VLOOKUP(INDIRECT("'update Helper'!I"&amp;AY32),'Overview - Section A'!J$25:P$90,7,0),"")))</f>
        <v/>
      </c>
      <c r="BD32" s="232" t="str">
        <f ca="1">IFERROR(INDEX('Overview - Section A'!A$122:A197,MATCH(INDIRECT("'update Helper'!Q"&amp;AY32),'Overview - Section A'!AQ$122:AQ197,0)),"")</f>
        <v/>
      </c>
      <c r="BE32" s="232" t="str">
        <f>IFERROR(INDEX('Overview - Section A'!O$122:O197,MATCH(AT32,'Overview - Section A'!AQ$122:AQ197,0)),"")</f>
        <v/>
      </c>
      <c r="BF32" s="232" t="str">
        <f>IFERROR(INDEX('Overview - Section A'!H$122:H197,MATCH(AT32,'Overview - Section A'!AQ$122:AQ197,0)),"")</f>
        <v/>
      </c>
    </row>
    <row r="33" spans="1:58" s="232" customFormat="1" ht="30" customHeight="1" x14ac:dyDescent="0.3">
      <c r="A33" s="178">
        <v>25</v>
      </c>
      <c r="B33" s="200"/>
      <c r="C33" s="200"/>
      <c r="D33" s="200"/>
      <c r="E33" s="200"/>
      <c r="F33" s="200"/>
      <c r="G33" s="201"/>
      <c r="H33" s="201"/>
      <c r="I33" s="201"/>
      <c r="J33" s="200"/>
      <c r="K33" s="200"/>
      <c r="L33" s="201"/>
      <c r="M33" s="201"/>
      <c r="N33" s="200"/>
      <c r="O33" s="200"/>
      <c r="P33" s="201"/>
      <c r="Q33" s="201"/>
      <c r="R33" s="200"/>
      <c r="S33" s="200"/>
      <c r="T33" s="201"/>
      <c r="U33" s="201"/>
      <c r="V33" s="200"/>
      <c r="W33" s="200"/>
      <c r="X33" s="201"/>
      <c r="Y33" s="201"/>
      <c r="Z33" s="200"/>
      <c r="AA33" s="200"/>
      <c r="AB33" s="201"/>
      <c r="AC33" s="201"/>
      <c r="AD33" s="200"/>
      <c r="AE33" s="200"/>
      <c r="AF33" s="201"/>
      <c r="AG33" s="201"/>
      <c r="AH33" s="200"/>
      <c r="AI33" s="200"/>
      <c r="AJ33" s="201"/>
      <c r="AK33" s="201"/>
      <c r="AL33" s="200"/>
      <c r="AM33" s="200"/>
      <c r="AN33" s="200"/>
      <c r="AO33" s="193" t="str">
        <f>IFERROR(VLOOKUP(D33,'Reference Records'!$C$160:$E$252,3,FALSE),"")</f>
        <v/>
      </c>
      <c r="AP33" s="232" t="e">
        <f>VLOOKUP(AO33,'Reference Records'!$E$160:$F$252,2,0)</f>
        <v>#N/A</v>
      </c>
      <c r="AQ33" s="232" t="e">
        <f>MATCH($AP33,'Reference Records'!$E$330:$E$506,0)+ROW(Population_by_intervention) -1</f>
        <v>#N/A</v>
      </c>
      <c r="AR33" s="232" t="e">
        <f>MATCH($AP33,'Reference Records'!$E$330:$E$506,1)+ROW(Population_by_intervention) -1</f>
        <v>#N/A</v>
      </c>
      <c r="AS33" s="232" t="str">
        <f t="shared" si="1"/>
        <v>|empty|</v>
      </c>
      <c r="AT33" s="232" t="str">
        <f>IF(AS33="","",IFERROR(VLOOKUP(AS33,'Overview - Section A'!AF$123:AG198,2,0),VLOOKUP("|empty|",'Overview - Section A'!AF$123:AG198,2,0)))</f>
        <v>INT-130914</v>
      </c>
      <c r="AU33" s="200"/>
      <c r="AV33" s="200"/>
      <c r="AY33" s="232">
        <f t="shared" si="3"/>
        <v>2221</v>
      </c>
      <c r="AZ33" s="232">
        <f ca="1">AZ32+'update Helper'!$Z$2</f>
        <v>2507</v>
      </c>
      <c r="BC33" s="232" t="str">
        <f ca="1">IF(INDIRECT("'update Helper'!S"&amp;AY33)=0,"",IFERROR(VLOOKUP(INDIRECT("'update Helper'!S"&amp;AY33),'Account Role'!A$1:B$28,2,0),IFERROR(VLOOKUP(INDIRECT("'update Helper'!I"&amp;AY33),'Overview - Section A'!J$25:P$90,7,0),"")))</f>
        <v/>
      </c>
      <c r="BD33" s="232" t="str">
        <f ca="1">IFERROR(INDEX('Overview - Section A'!A$122:A198,MATCH(INDIRECT("'update Helper'!Q"&amp;AY33),'Overview - Section A'!AQ$122:AQ198,0)),"")</f>
        <v/>
      </c>
      <c r="BE33" s="232" t="str">
        <f>IFERROR(INDEX('Overview - Section A'!O$122:O198,MATCH(AT33,'Overview - Section A'!AQ$122:AQ198,0)),"")</f>
        <v/>
      </c>
      <c r="BF33" s="232" t="str">
        <f>IFERROR(INDEX('Overview - Section A'!H$122:H198,MATCH(AT33,'Overview - Section A'!AQ$122:AQ198,0)),"")</f>
        <v/>
      </c>
    </row>
    <row r="34" spans="1:58" s="232" customFormat="1" ht="30" customHeight="1" x14ac:dyDescent="0.3">
      <c r="A34" s="178">
        <v>26</v>
      </c>
      <c r="B34" s="200"/>
      <c r="C34" s="200"/>
      <c r="D34" s="200"/>
      <c r="E34" s="200"/>
      <c r="F34" s="200"/>
      <c r="G34" s="201"/>
      <c r="H34" s="201"/>
      <c r="I34" s="201"/>
      <c r="J34" s="200"/>
      <c r="K34" s="200"/>
      <c r="L34" s="201"/>
      <c r="M34" s="201"/>
      <c r="N34" s="200"/>
      <c r="O34" s="200"/>
      <c r="P34" s="201"/>
      <c r="Q34" s="201"/>
      <c r="R34" s="200"/>
      <c r="S34" s="200"/>
      <c r="T34" s="201"/>
      <c r="U34" s="201"/>
      <c r="V34" s="200"/>
      <c r="W34" s="200"/>
      <c r="X34" s="201"/>
      <c r="Y34" s="201"/>
      <c r="Z34" s="200"/>
      <c r="AA34" s="200"/>
      <c r="AB34" s="201"/>
      <c r="AC34" s="201"/>
      <c r="AD34" s="200"/>
      <c r="AE34" s="200"/>
      <c r="AF34" s="201"/>
      <c r="AG34" s="201"/>
      <c r="AH34" s="200"/>
      <c r="AI34" s="200"/>
      <c r="AJ34" s="201"/>
      <c r="AK34" s="201"/>
      <c r="AL34" s="200"/>
      <c r="AM34" s="200"/>
      <c r="AN34" s="200"/>
      <c r="AO34" s="193" t="str">
        <f>IFERROR(VLOOKUP(D34,'Reference Records'!$C$160:$E$252,3,FALSE),"")</f>
        <v/>
      </c>
      <c r="AP34" s="232" t="e">
        <f>VLOOKUP(AO34,'Reference Records'!$E$160:$F$252,2,0)</f>
        <v>#N/A</v>
      </c>
      <c r="AQ34" s="232" t="e">
        <f>MATCH($AP34,'Reference Records'!$E$330:$E$506,0)+ROW(Population_by_intervention) -1</f>
        <v>#N/A</v>
      </c>
      <c r="AR34" s="232" t="e">
        <f>MATCH($AP34,'Reference Records'!$E$330:$E$506,1)+ROW(Population_by_intervention) -1</f>
        <v>#N/A</v>
      </c>
      <c r="AS34" s="232" t="str">
        <f t="shared" si="1"/>
        <v>|empty|</v>
      </c>
      <c r="AT34" s="232" t="str">
        <f>IF(AS34="","",IFERROR(VLOOKUP(AS34,'Overview - Section A'!AF$123:AG199,2,0),VLOOKUP("|empty|",'Overview - Section A'!AF$123:AG199,2,0)))</f>
        <v>INT-130914</v>
      </c>
      <c r="AU34" s="200"/>
      <c r="AV34" s="200"/>
      <c r="AY34" s="232">
        <f t="shared" si="3"/>
        <v>2222</v>
      </c>
      <c r="AZ34" s="232">
        <f ca="1">AZ33+'update Helper'!$Z$2</f>
        <v>2513</v>
      </c>
      <c r="BC34" s="232" t="str">
        <f ca="1">IF(INDIRECT("'update Helper'!S"&amp;AY34)=0,"",IFERROR(VLOOKUP(INDIRECT("'update Helper'!S"&amp;AY34),'Account Role'!A$1:B$28,2,0),IFERROR(VLOOKUP(INDIRECT("'update Helper'!I"&amp;AY34),'Overview - Section A'!J$25:P$90,7,0),"")))</f>
        <v/>
      </c>
      <c r="BD34" s="232" t="str">
        <f ca="1">IFERROR(INDEX('Overview - Section A'!A$122:A199,MATCH(INDIRECT("'update Helper'!Q"&amp;AY34),'Overview - Section A'!AQ$122:AQ199,0)),"")</f>
        <v/>
      </c>
      <c r="BE34" s="232" t="str">
        <f>IFERROR(INDEX('Overview - Section A'!O$122:O199,MATCH(AT34,'Overview - Section A'!AQ$122:AQ199,0)),"")</f>
        <v/>
      </c>
      <c r="BF34" s="232" t="str">
        <f>IFERROR(INDEX('Overview - Section A'!H$122:H199,MATCH(AT34,'Overview - Section A'!AQ$122:AQ199,0)),"")</f>
        <v/>
      </c>
    </row>
    <row r="35" spans="1:58" s="232" customFormat="1" ht="30" customHeight="1" x14ac:dyDescent="0.3">
      <c r="A35" s="178">
        <v>27</v>
      </c>
      <c r="B35" s="200"/>
      <c r="C35" s="200"/>
      <c r="D35" s="200"/>
      <c r="E35" s="200"/>
      <c r="F35" s="200"/>
      <c r="G35" s="201"/>
      <c r="H35" s="201"/>
      <c r="I35" s="201"/>
      <c r="J35" s="200"/>
      <c r="K35" s="200"/>
      <c r="L35" s="201"/>
      <c r="M35" s="201"/>
      <c r="N35" s="200"/>
      <c r="O35" s="200"/>
      <c r="P35" s="201"/>
      <c r="Q35" s="201"/>
      <c r="R35" s="200"/>
      <c r="S35" s="200"/>
      <c r="T35" s="201"/>
      <c r="U35" s="201"/>
      <c r="V35" s="200"/>
      <c r="W35" s="200"/>
      <c r="X35" s="201"/>
      <c r="Y35" s="201"/>
      <c r="Z35" s="200"/>
      <c r="AA35" s="200"/>
      <c r="AB35" s="201"/>
      <c r="AC35" s="201"/>
      <c r="AD35" s="200"/>
      <c r="AE35" s="200"/>
      <c r="AF35" s="201"/>
      <c r="AG35" s="201"/>
      <c r="AH35" s="200"/>
      <c r="AI35" s="200"/>
      <c r="AJ35" s="201"/>
      <c r="AK35" s="201"/>
      <c r="AL35" s="200"/>
      <c r="AM35" s="200"/>
      <c r="AN35" s="200"/>
      <c r="AO35" s="193" t="str">
        <f>IFERROR(VLOOKUP(D35,'Reference Records'!$C$160:$E$252,3,FALSE),"")</f>
        <v/>
      </c>
      <c r="AP35" s="232" t="e">
        <f>VLOOKUP(AO35,'Reference Records'!$E$160:$F$252,2,0)</f>
        <v>#N/A</v>
      </c>
      <c r="AQ35" s="232" t="e">
        <f>MATCH($AP35,'Reference Records'!$E$330:$E$506,0)+ROW(Population_by_intervention) -1</f>
        <v>#N/A</v>
      </c>
      <c r="AR35" s="232" t="e">
        <f>MATCH($AP35,'Reference Records'!$E$330:$E$506,1)+ROW(Population_by_intervention) -1</f>
        <v>#N/A</v>
      </c>
      <c r="AS35" s="232" t="str">
        <f t="shared" si="1"/>
        <v>|empty|</v>
      </c>
      <c r="AT35" s="232" t="str">
        <f>IF(AS35="","",IFERROR(VLOOKUP(AS35,'Overview - Section A'!AF$123:AG200,2,0),VLOOKUP("|empty|",'Overview - Section A'!AF$123:AG200,2,0)))</f>
        <v>INT-130914</v>
      </c>
      <c r="AU35" s="200"/>
      <c r="AV35" s="200"/>
      <c r="AY35" s="232">
        <f t="shared" si="3"/>
        <v>2223</v>
      </c>
      <c r="AZ35" s="232">
        <f ca="1">AZ34+'update Helper'!$Z$2</f>
        <v>2519</v>
      </c>
      <c r="BC35" s="232" t="str">
        <f ca="1">IF(INDIRECT("'update Helper'!S"&amp;AY35)=0,"",IFERROR(VLOOKUP(INDIRECT("'update Helper'!S"&amp;AY35),'Account Role'!A$1:B$28,2,0),IFERROR(VLOOKUP(INDIRECT("'update Helper'!I"&amp;AY35),'Overview - Section A'!J$25:P$90,7,0),"")))</f>
        <v/>
      </c>
      <c r="BD35" s="232" t="str">
        <f ca="1">IFERROR(INDEX('Overview - Section A'!A$122:A200,MATCH(INDIRECT("'update Helper'!Q"&amp;AY35),'Overview - Section A'!AQ$122:AQ200,0)),"")</f>
        <v/>
      </c>
      <c r="BE35" s="232" t="str">
        <f>IFERROR(INDEX('Overview - Section A'!O$122:O200,MATCH(AT35,'Overview - Section A'!AQ$122:AQ200,0)),"")</f>
        <v/>
      </c>
      <c r="BF35" s="232" t="str">
        <f>IFERROR(INDEX('Overview - Section A'!H$122:H200,MATCH(AT35,'Overview - Section A'!AQ$122:AQ200,0)),"")</f>
        <v/>
      </c>
    </row>
    <row r="36" spans="1:58" s="232" customFormat="1" ht="30" customHeight="1" x14ac:dyDescent="0.3">
      <c r="A36" s="178">
        <v>28</v>
      </c>
      <c r="B36" s="200"/>
      <c r="C36" s="200"/>
      <c r="D36" s="200"/>
      <c r="E36" s="200"/>
      <c r="F36" s="200"/>
      <c r="G36" s="201"/>
      <c r="H36" s="201"/>
      <c r="I36" s="201"/>
      <c r="J36" s="200"/>
      <c r="K36" s="200"/>
      <c r="L36" s="201"/>
      <c r="M36" s="201"/>
      <c r="N36" s="200"/>
      <c r="O36" s="200"/>
      <c r="P36" s="201"/>
      <c r="Q36" s="201"/>
      <c r="R36" s="200"/>
      <c r="S36" s="200"/>
      <c r="T36" s="201"/>
      <c r="U36" s="201"/>
      <c r="V36" s="200"/>
      <c r="W36" s="200"/>
      <c r="X36" s="201"/>
      <c r="Y36" s="201"/>
      <c r="Z36" s="200"/>
      <c r="AA36" s="200"/>
      <c r="AB36" s="201"/>
      <c r="AC36" s="201"/>
      <c r="AD36" s="200"/>
      <c r="AE36" s="200"/>
      <c r="AF36" s="201"/>
      <c r="AG36" s="201"/>
      <c r="AH36" s="200"/>
      <c r="AI36" s="200"/>
      <c r="AJ36" s="201"/>
      <c r="AK36" s="201"/>
      <c r="AL36" s="200"/>
      <c r="AM36" s="200"/>
      <c r="AN36" s="200"/>
      <c r="AO36" s="193" t="str">
        <f>IFERROR(VLOOKUP(D36,'Reference Records'!$C$160:$E$252,3,FALSE),"")</f>
        <v/>
      </c>
      <c r="AP36" s="232" t="e">
        <f>VLOOKUP(AO36,'Reference Records'!$E$160:$F$252,2,0)</f>
        <v>#N/A</v>
      </c>
      <c r="AQ36" s="232" t="e">
        <f>MATCH($AP36,'Reference Records'!$E$330:$E$506,0)+ROW(Population_by_intervention) -1</f>
        <v>#N/A</v>
      </c>
      <c r="AR36" s="232" t="e">
        <f>MATCH($AP36,'Reference Records'!$E$330:$E$506,1)+ROW(Population_by_intervention) -1</f>
        <v>#N/A</v>
      </c>
      <c r="AS36" s="232" t="str">
        <f t="shared" si="1"/>
        <v>|empty|</v>
      </c>
      <c r="AT36" s="232" t="str">
        <f>IF(AS36="","",IFERROR(VLOOKUP(AS36,'Overview - Section A'!AF$123:AG201,2,0),VLOOKUP("|empty|",'Overview - Section A'!AF$123:AG201,2,0)))</f>
        <v>INT-130914</v>
      </c>
      <c r="AU36" s="200"/>
      <c r="AV36" s="200"/>
      <c r="AY36" s="232">
        <f t="shared" si="3"/>
        <v>2224</v>
      </c>
      <c r="AZ36" s="232">
        <f ca="1">AZ35+'update Helper'!$Z$2</f>
        <v>2525</v>
      </c>
      <c r="BC36" s="232" t="str">
        <f ca="1">IF(INDIRECT("'update Helper'!S"&amp;AY36)=0,"",IFERROR(VLOOKUP(INDIRECT("'update Helper'!S"&amp;AY36),'Account Role'!A$1:B$28,2,0),IFERROR(VLOOKUP(INDIRECT("'update Helper'!I"&amp;AY36),'Overview - Section A'!J$25:P$90,7,0),"")))</f>
        <v/>
      </c>
      <c r="BD36" s="232" t="str">
        <f ca="1">IFERROR(INDEX('Overview - Section A'!A$122:A201,MATCH(INDIRECT("'update Helper'!Q"&amp;AY36),'Overview - Section A'!AQ$122:AQ201,0)),"")</f>
        <v/>
      </c>
      <c r="BE36" s="232" t="str">
        <f>IFERROR(INDEX('Overview - Section A'!O$122:O201,MATCH(AT36,'Overview - Section A'!AQ$122:AQ201,0)),"")</f>
        <v/>
      </c>
      <c r="BF36" s="232" t="str">
        <f>IFERROR(INDEX('Overview - Section A'!H$122:H201,MATCH(AT36,'Overview - Section A'!AQ$122:AQ201,0)),"")</f>
        <v/>
      </c>
    </row>
    <row r="37" spans="1:58" s="232" customFormat="1" ht="30" customHeight="1" x14ac:dyDescent="0.3">
      <c r="A37" s="178">
        <v>29</v>
      </c>
      <c r="B37" s="200"/>
      <c r="C37" s="200"/>
      <c r="D37" s="200"/>
      <c r="E37" s="200"/>
      <c r="F37" s="200"/>
      <c r="G37" s="201"/>
      <c r="H37" s="201"/>
      <c r="I37" s="201"/>
      <c r="J37" s="200"/>
      <c r="K37" s="200"/>
      <c r="L37" s="201"/>
      <c r="M37" s="201"/>
      <c r="N37" s="200"/>
      <c r="O37" s="200"/>
      <c r="P37" s="201"/>
      <c r="Q37" s="201"/>
      <c r="R37" s="200"/>
      <c r="S37" s="200"/>
      <c r="T37" s="201"/>
      <c r="U37" s="201"/>
      <c r="V37" s="200"/>
      <c r="W37" s="200"/>
      <c r="X37" s="201"/>
      <c r="Y37" s="201"/>
      <c r="Z37" s="200"/>
      <c r="AA37" s="200"/>
      <c r="AB37" s="201"/>
      <c r="AC37" s="201"/>
      <c r="AD37" s="200"/>
      <c r="AE37" s="200"/>
      <c r="AF37" s="201"/>
      <c r="AG37" s="201"/>
      <c r="AH37" s="200"/>
      <c r="AI37" s="200"/>
      <c r="AJ37" s="201"/>
      <c r="AK37" s="201"/>
      <c r="AL37" s="200"/>
      <c r="AM37" s="200"/>
      <c r="AN37" s="200"/>
      <c r="AO37" s="193" t="str">
        <f>IFERROR(VLOOKUP(D37,'Reference Records'!$C$160:$E$252,3,FALSE),"")</f>
        <v/>
      </c>
      <c r="AP37" s="232" t="e">
        <f>VLOOKUP(AO37,'Reference Records'!$E$160:$F$252,2,0)</f>
        <v>#N/A</v>
      </c>
      <c r="AQ37" s="232" t="e">
        <f>MATCH($AP37,'Reference Records'!$E$330:$E$506,0)+ROW(Population_by_intervention) -1</f>
        <v>#N/A</v>
      </c>
      <c r="AR37" s="232" t="e">
        <f>MATCH($AP37,'Reference Records'!$E$330:$E$506,1)+ROW(Population_by_intervention) -1</f>
        <v>#N/A</v>
      </c>
      <c r="AS37" s="232" t="str">
        <f t="shared" si="1"/>
        <v>|empty|</v>
      </c>
      <c r="AT37" s="232" t="str">
        <f>IF(AS37="","",IFERROR(VLOOKUP(AS37,'Overview - Section A'!AF$123:AG202,2,0),VLOOKUP("|empty|",'Overview - Section A'!AF$123:AG202,2,0)))</f>
        <v>INT-130914</v>
      </c>
      <c r="AU37" s="200"/>
      <c r="AV37" s="200"/>
      <c r="AY37" s="232">
        <f t="shared" si="3"/>
        <v>2225</v>
      </c>
      <c r="AZ37" s="232">
        <f ca="1">AZ36+'update Helper'!$Z$2</f>
        <v>2531</v>
      </c>
      <c r="BC37" s="232" t="str">
        <f ca="1">IF(INDIRECT("'update Helper'!S"&amp;AY37)=0,"",IFERROR(VLOOKUP(INDIRECT("'update Helper'!S"&amp;AY37),'Account Role'!A$1:B$28,2,0),IFERROR(VLOOKUP(INDIRECT("'update Helper'!I"&amp;AY37),'Overview - Section A'!J$25:P$90,7,0),"")))</f>
        <v/>
      </c>
      <c r="BD37" s="232" t="str">
        <f ca="1">IFERROR(INDEX('Overview - Section A'!A$122:A202,MATCH(INDIRECT("'update Helper'!Q"&amp;AY37),'Overview - Section A'!AQ$122:AQ202,0)),"")</f>
        <v/>
      </c>
      <c r="BE37" s="232" t="str">
        <f>IFERROR(INDEX('Overview - Section A'!O$122:O202,MATCH(AT37,'Overview - Section A'!AQ$122:AQ202,0)),"")</f>
        <v/>
      </c>
      <c r="BF37" s="232" t="str">
        <f>IFERROR(INDEX('Overview - Section A'!H$122:H202,MATCH(AT37,'Overview - Section A'!AQ$122:AQ202,0)),"")</f>
        <v/>
      </c>
    </row>
    <row r="38" spans="1:58" s="232" customFormat="1" ht="30" customHeight="1" x14ac:dyDescent="0.3">
      <c r="A38" s="178">
        <v>30</v>
      </c>
      <c r="B38" s="200"/>
      <c r="C38" s="200"/>
      <c r="D38" s="200"/>
      <c r="E38" s="200"/>
      <c r="F38" s="200"/>
      <c r="G38" s="201"/>
      <c r="H38" s="201"/>
      <c r="I38" s="201"/>
      <c r="J38" s="200"/>
      <c r="K38" s="200"/>
      <c r="L38" s="201"/>
      <c r="M38" s="201"/>
      <c r="N38" s="200"/>
      <c r="O38" s="200"/>
      <c r="P38" s="201"/>
      <c r="Q38" s="201"/>
      <c r="R38" s="200"/>
      <c r="S38" s="200"/>
      <c r="T38" s="201"/>
      <c r="U38" s="201"/>
      <c r="V38" s="200"/>
      <c r="W38" s="200"/>
      <c r="X38" s="201"/>
      <c r="Y38" s="201"/>
      <c r="Z38" s="200"/>
      <c r="AA38" s="200"/>
      <c r="AB38" s="201"/>
      <c r="AC38" s="201"/>
      <c r="AD38" s="200"/>
      <c r="AE38" s="200"/>
      <c r="AF38" s="201"/>
      <c r="AG38" s="201"/>
      <c r="AH38" s="200"/>
      <c r="AI38" s="200"/>
      <c r="AJ38" s="201"/>
      <c r="AK38" s="201"/>
      <c r="AL38" s="200"/>
      <c r="AM38" s="200"/>
      <c r="AN38" s="200"/>
      <c r="AO38" s="193" t="str">
        <f>IFERROR(VLOOKUP(D38,'Reference Records'!$C$160:$E$252,3,FALSE),"")</f>
        <v/>
      </c>
      <c r="AP38" s="232" t="e">
        <f>VLOOKUP(AO38,'Reference Records'!$E$160:$F$252,2,0)</f>
        <v>#N/A</v>
      </c>
      <c r="AQ38" s="232" t="e">
        <f>MATCH($AP38,'Reference Records'!$E$330:$E$506,0)+ROW(Population_by_intervention) -1</f>
        <v>#N/A</v>
      </c>
      <c r="AR38" s="232" t="e">
        <f>MATCH($AP38,'Reference Records'!$E$330:$E$506,1)+ROW(Population_by_intervention) -1</f>
        <v>#N/A</v>
      </c>
      <c r="AS38" s="232" t="str">
        <f t="shared" si="1"/>
        <v>|empty|</v>
      </c>
      <c r="AT38" s="232" t="str">
        <f>IF(AS38="","",IFERROR(VLOOKUP(AS38,'Overview - Section A'!AF$123:AG203,2,0),VLOOKUP("|empty|",'Overview - Section A'!AF$123:AG203,2,0)))</f>
        <v>INT-130914</v>
      </c>
      <c r="AU38" s="200"/>
      <c r="AV38" s="200"/>
      <c r="AY38" s="232">
        <f t="shared" si="3"/>
        <v>2226</v>
      </c>
      <c r="AZ38" s="232">
        <f ca="1">AZ37+'update Helper'!$Z$2</f>
        <v>2537</v>
      </c>
      <c r="BC38" s="232" t="str">
        <f ca="1">IF(INDIRECT("'update Helper'!S"&amp;AY38)=0,"",IFERROR(VLOOKUP(INDIRECT("'update Helper'!S"&amp;AY38),'Account Role'!A$1:B$28,2,0),IFERROR(VLOOKUP(INDIRECT("'update Helper'!I"&amp;AY38),'Overview - Section A'!J$25:P$90,7,0),"")))</f>
        <v/>
      </c>
      <c r="BD38" s="232" t="str">
        <f ca="1">IFERROR(INDEX('Overview - Section A'!A$122:A203,MATCH(INDIRECT("'update Helper'!Q"&amp;AY38),'Overview - Section A'!AQ$122:AQ203,0)),"")</f>
        <v/>
      </c>
      <c r="BE38" s="232" t="str">
        <f>IFERROR(INDEX('Overview - Section A'!O$122:O203,MATCH(AT38,'Overview - Section A'!AQ$122:AQ203,0)),"")</f>
        <v/>
      </c>
      <c r="BF38" s="232" t="str">
        <f>IFERROR(INDEX('Overview - Section A'!H$122:H203,MATCH(AT38,'Overview - Section A'!AQ$122:AQ203,0)),"")</f>
        <v/>
      </c>
    </row>
    <row r="39" spans="1:58" s="232" customFormat="1" ht="30" customHeight="1" x14ac:dyDescent="0.3">
      <c r="A39" s="178">
        <v>31</v>
      </c>
      <c r="B39" s="200"/>
      <c r="C39" s="200"/>
      <c r="D39" s="200"/>
      <c r="E39" s="200"/>
      <c r="F39" s="200"/>
      <c r="G39" s="201"/>
      <c r="H39" s="201"/>
      <c r="I39" s="201"/>
      <c r="J39" s="200"/>
      <c r="K39" s="200"/>
      <c r="L39" s="201"/>
      <c r="M39" s="201"/>
      <c r="N39" s="200"/>
      <c r="O39" s="200"/>
      <c r="P39" s="201"/>
      <c r="Q39" s="201"/>
      <c r="R39" s="200"/>
      <c r="S39" s="200"/>
      <c r="T39" s="201"/>
      <c r="U39" s="201"/>
      <c r="V39" s="200"/>
      <c r="W39" s="200"/>
      <c r="X39" s="201"/>
      <c r="Y39" s="201"/>
      <c r="Z39" s="200"/>
      <c r="AA39" s="200"/>
      <c r="AB39" s="201"/>
      <c r="AC39" s="201"/>
      <c r="AD39" s="200"/>
      <c r="AE39" s="200"/>
      <c r="AF39" s="201"/>
      <c r="AG39" s="201"/>
      <c r="AH39" s="200"/>
      <c r="AI39" s="200"/>
      <c r="AJ39" s="201"/>
      <c r="AK39" s="201"/>
      <c r="AL39" s="200"/>
      <c r="AM39" s="200"/>
      <c r="AN39" s="200"/>
      <c r="AO39" s="193" t="str">
        <f>IFERROR(VLOOKUP(D39,'Reference Records'!$C$160:$E$252,3,FALSE),"")</f>
        <v/>
      </c>
      <c r="AP39" s="232" t="e">
        <f>VLOOKUP(AO39,'Reference Records'!$E$160:$F$252,2,0)</f>
        <v>#N/A</v>
      </c>
      <c r="AQ39" s="232" t="e">
        <f>MATCH($AP39,'Reference Records'!$E$330:$E$506,0)+ROW(Population_by_intervention) -1</f>
        <v>#N/A</v>
      </c>
      <c r="AR39" s="232" t="e">
        <f>MATCH($AP39,'Reference Records'!$E$330:$E$506,1)+ROW(Population_by_intervention) -1</f>
        <v>#N/A</v>
      </c>
      <c r="AS39" s="232" t="str">
        <f t="shared" si="1"/>
        <v>|empty|</v>
      </c>
      <c r="AT39" s="232" t="str">
        <f>IF(AS39="","",IFERROR(VLOOKUP(AS39,'Overview - Section A'!AF$123:AG204,2,0),VLOOKUP("|empty|",'Overview - Section A'!AF$123:AG204,2,0)))</f>
        <v>INT-130914</v>
      </c>
      <c r="AU39" s="200"/>
      <c r="AV39" s="200"/>
      <c r="AY39" s="232">
        <f t="shared" si="3"/>
        <v>2227</v>
      </c>
      <c r="AZ39" s="232">
        <f ca="1">AZ38+'update Helper'!$Z$2</f>
        <v>2543</v>
      </c>
      <c r="BC39" s="232" t="str">
        <f ca="1">IF(INDIRECT("'update Helper'!S"&amp;AY39)=0,"",IFERROR(VLOOKUP(INDIRECT("'update Helper'!S"&amp;AY39),'Account Role'!A$1:B$28,2,0),IFERROR(VLOOKUP(INDIRECT("'update Helper'!I"&amp;AY39),'Overview - Section A'!J$25:P$90,7,0),"")))</f>
        <v/>
      </c>
      <c r="BD39" s="232" t="str">
        <f ca="1">IFERROR(INDEX('Overview - Section A'!A$122:A204,MATCH(INDIRECT("'update Helper'!Q"&amp;AY39),'Overview - Section A'!AQ$122:AQ204,0)),"")</f>
        <v/>
      </c>
      <c r="BE39" s="232" t="str">
        <f>IFERROR(INDEX('Overview - Section A'!O$122:O204,MATCH(AT39,'Overview - Section A'!AQ$122:AQ204,0)),"")</f>
        <v/>
      </c>
      <c r="BF39" s="232" t="str">
        <f>IFERROR(INDEX('Overview - Section A'!H$122:H204,MATCH(AT39,'Overview - Section A'!AQ$122:AQ204,0)),"")</f>
        <v/>
      </c>
    </row>
    <row r="40" spans="1:58" s="232" customFormat="1" ht="30" customHeight="1" x14ac:dyDescent="0.3">
      <c r="A40" s="178">
        <v>32</v>
      </c>
      <c r="B40" s="200"/>
      <c r="C40" s="200"/>
      <c r="D40" s="200"/>
      <c r="E40" s="200"/>
      <c r="F40" s="200"/>
      <c r="G40" s="201"/>
      <c r="H40" s="201"/>
      <c r="I40" s="201"/>
      <c r="J40" s="200"/>
      <c r="K40" s="200"/>
      <c r="L40" s="201"/>
      <c r="M40" s="201"/>
      <c r="N40" s="200"/>
      <c r="O40" s="200"/>
      <c r="P40" s="201"/>
      <c r="Q40" s="201"/>
      <c r="R40" s="200"/>
      <c r="S40" s="200"/>
      <c r="T40" s="201"/>
      <c r="U40" s="201"/>
      <c r="V40" s="200"/>
      <c r="W40" s="200"/>
      <c r="X40" s="201"/>
      <c r="Y40" s="201"/>
      <c r="Z40" s="200"/>
      <c r="AA40" s="200"/>
      <c r="AB40" s="201"/>
      <c r="AC40" s="201"/>
      <c r="AD40" s="200"/>
      <c r="AE40" s="200"/>
      <c r="AF40" s="201"/>
      <c r="AG40" s="201"/>
      <c r="AH40" s="200"/>
      <c r="AI40" s="200"/>
      <c r="AJ40" s="201"/>
      <c r="AK40" s="201"/>
      <c r="AL40" s="200"/>
      <c r="AM40" s="200"/>
      <c r="AN40" s="200"/>
      <c r="AO40" s="193" t="str">
        <f>IFERROR(VLOOKUP(D40,'Reference Records'!$C$160:$E$252,3,FALSE),"")</f>
        <v/>
      </c>
      <c r="AP40" s="232" t="e">
        <f>VLOOKUP(AO40,'Reference Records'!$E$160:$F$252,2,0)</f>
        <v>#N/A</v>
      </c>
      <c r="AQ40" s="232" t="e">
        <f>MATCH($AP40,'Reference Records'!$E$330:$E$506,0)+ROW(Population_by_intervention) -1</f>
        <v>#N/A</v>
      </c>
      <c r="AR40" s="232" t="e">
        <f>MATCH($AP40,'Reference Records'!$E$330:$E$506,1)+ROW(Population_by_intervention) -1</f>
        <v>#N/A</v>
      </c>
      <c r="AS40" s="232" t="str">
        <f t="shared" si="1"/>
        <v>|empty|</v>
      </c>
      <c r="AT40" s="232" t="str">
        <f>IF(AS40="","",IFERROR(VLOOKUP(AS40,'Overview - Section A'!AF$123:AG205,2,0),VLOOKUP("|empty|",'Overview - Section A'!AF$123:AG205,2,0)))</f>
        <v>INT-130914</v>
      </c>
      <c r="AU40" s="200"/>
      <c r="AV40" s="200"/>
      <c r="AY40" s="232">
        <f t="shared" si="3"/>
        <v>2228</v>
      </c>
      <c r="AZ40" s="232">
        <f ca="1">AZ39+'update Helper'!$Z$2</f>
        <v>2549</v>
      </c>
      <c r="BC40" s="232" t="str">
        <f ca="1">IF(INDIRECT("'update Helper'!S"&amp;AY40)=0,"",IFERROR(VLOOKUP(INDIRECT("'update Helper'!S"&amp;AY40),'Account Role'!A$1:B$28,2,0),IFERROR(VLOOKUP(INDIRECT("'update Helper'!I"&amp;AY40),'Overview - Section A'!J$25:P$90,7,0),"")))</f>
        <v/>
      </c>
      <c r="BD40" s="232" t="str">
        <f ca="1">IFERROR(INDEX('Overview - Section A'!A$122:A205,MATCH(INDIRECT("'update Helper'!Q"&amp;AY40),'Overview - Section A'!AQ$122:AQ205,0)),"")</f>
        <v/>
      </c>
      <c r="BE40" s="232" t="str">
        <f>IFERROR(INDEX('Overview - Section A'!O$122:O205,MATCH(AT40,'Overview - Section A'!AQ$122:AQ205,0)),"")</f>
        <v/>
      </c>
      <c r="BF40" s="232" t="str">
        <f>IFERROR(INDEX('Overview - Section A'!H$122:H205,MATCH(AT40,'Overview - Section A'!AQ$122:AQ205,0)),"")</f>
        <v/>
      </c>
    </row>
    <row r="41" spans="1:58" s="232" customFormat="1" ht="30" customHeight="1" x14ac:dyDescent="0.3">
      <c r="A41" s="178">
        <v>33</v>
      </c>
      <c r="B41" s="200"/>
      <c r="C41" s="200"/>
      <c r="D41" s="200"/>
      <c r="E41" s="200"/>
      <c r="F41" s="200"/>
      <c r="G41" s="201"/>
      <c r="H41" s="201"/>
      <c r="I41" s="201"/>
      <c r="J41" s="200"/>
      <c r="K41" s="200"/>
      <c r="L41" s="201"/>
      <c r="M41" s="201"/>
      <c r="N41" s="200"/>
      <c r="O41" s="200"/>
      <c r="P41" s="201"/>
      <c r="Q41" s="201"/>
      <c r="R41" s="200"/>
      <c r="S41" s="200"/>
      <c r="T41" s="201"/>
      <c r="U41" s="201"/>
      <c r="V41" s="200"/>
      <c r="W41" s="200"/>
      <c r="X41" s="201"/>
      <c r="Y41" s="201"/>
      <c r="Z41" s="200"/>
      <c r="AA41" s="200"/>
      <c r="AB41" s="201"/>
      <c r="AC41" s="201"/>
      <c r="AD41" s="200"/>
      <c r="AE41" s="200"/>
      <c r="AF41" s="201"/>
      <c r="AG41" s="201"/>
      <c r="AH41" s="200"/>
      <c r="AI41" s="200"/>
      <c r="AJ41" s="201"/>
      <c r="AK41" s="201"/>
      <c r="AL41" s="200"/>
      <c r="AM41" s="200"/>
      <c r="AN41" s="200"/>
      <c r="AO41" s="193" t="str">
        <f>IFERROR(VLOOKUP(D41,'Reference Records'!$C$160:$E$252,3,FALSE),"")</f>
        <v/>
      </c>
      <c r="AP41" s="232" t="e">
        <f>VLOOKUP(AO41,'Reference Records'!$E$160:$F$252,2,0)</f>
        <v>#N/A</v>
      </c>
      <c r="AQ41" s="232" t="e">
        <f>MATCH($AP41,'Reference Records'!$E$330:$E$506,0)+ROW(Population_by_intervention) -1</f>
        <v>#N/A</v>
      </c>
      <c r="AR41" s="232" t="e">
        <f>MATCH($AP41,'Reference Records'!$E$330:$E$506,1)+ROW(Population_by_intervention) -1</f>
        <v>#N/A</v>
      </c>
      <c r="AS41" s="232" t="str">
        <f t="shared" si="1"/>
        <v>|empty|</v>
      </c>
      <c r="AT41" s="232" t="str">
        <f>IF(AS41="","",IFERROR(VLOOKUP(AS41,'Overview - Section A'!AF$123:AG206,2,0),VLOOKUP("|empty|",'Overview - Section A'!AF$123:AG206,2,0)))</f>
        <v>INT-130914</v>
      </c>
      <c r="AU41" s="200"/>
      <c r="AV41" s="200"/>
      <c r="AY41" s="232">
        <f t="shared" si="3"/>
        <v>2229</v>
      </c>
      <c r="AZ41" s="232">
        <f ca="1">AZ40+'update Helper'!$Z$2</f>
        <v>2555</v>
      </c>
      <c r="BC41" s="232" t="str">
        <f ca="1">IF(INDIRECT("'update Helper'!S"&amp;AY41)=0,"",IFERROR(VLOOKUP(INDIRECT("'update Helper'!S"&amp;AY41),'Account Role'!A$1:B$28,2,0),IFERROR(VLOOKUP(INDIRECT("'update Helper'!I"&amp;AY41),'Overview - Section A'!J$25:P$90,7,0),"")))</f>
        <v/>
      </c>
      <c r="BD41" s="232" t="str">
        <f ca="1">IFERROR(INDEX('Overview - Section A'!A$122:A206,MATCH(INDIRECT("'update Helper'!Q"&amp;AY41),'Overview - Section A'!AQ$122:AQ206,0)),"")</f>
        <v/>
      </c>
      <c r="BE41" s="232" t="str">
        <f>IFERROR(INDEX('Overview - Section A'!O$122:O206,MATCH(AT41,'Overview - Section A'!AQ$122:AQ206,0)),"")</f>
        <v/>
      </c>
      <c r="BF41" s="232" t="str">
        <f>IFERROR(INDEX('Overview - Section A'!H$122:H206,MATCH(AT41,'Overview - Section A'!AQ$122:AQ206,0)),"")</f>
        <v/>
      </c>
    </row>
    <row r="42" spans="1:58" s="232" customFormat="1" ht="30" customHeight="1" x14ac:dyDescent="0.3">
      <c r="A42" s="178">
        <v>34</v>
      </c>
      <c r="B42" s="200"/>
      <c r="C42" s="200"/>
      <c r="D42" s="200"/>
      <c r="E42" s="200"/>
      <c r="F42" s="200"/>
      <c r="G42" s="201"/>
      <c r="H42" s="201"/>
      <c r="I42" s="201"/>
      <c r="J42" s="200"/>
      <c r="K42" s="200"/>
      <c r="L42" s="201"/>
      <c r="M42" s="201"/>
      <c r="N42" s="200"/>
      <c r="O42" s="200"/>
      <c r="P42" s="201"/>
      <c r="Q42" s="201"/>
      <c r="R42" s="200"/>
      <c r="S42" s="200"/>
      <c r="T42" s="201"/>
      <c r="U42" s="201"/>
      <c r="V42" s="200"/>
      <c r="W42" s="200"/>
      <c r="X42" s="201"/>
      <c r="Y42" s="201"/>
      <c r="Z42" s="200"/>
      <c r="AA42" s="200"/>
      <c r="AB42" s="201"/>
      <c r="AC42" s="201"/>
      <c r="AD42" s="200"/>
      <c r="AE42" s="200"/>
      <c r="AF42" s="201"/>
      <c r="AG42" s="201"/>
      <c r="AH42" s="200"/>
      <c r="AI42" s="200"/>
      <c r="AJ42" s="201"/>
      <c r="AK42" s="201"/>
      <c r="AL42" s="200"/>
      <c r="AM42" s="200"/>
      <c r="AN42" s="200"/>
      <c r="AO42" s="193" t="str">
        <f>IFERROR(VLOOKUP(D42,'Reference Records'!$C$160:$E$252,3,FALSE),"")</f>
        <v/>
      </c>
      <c r="AP42" s="232" t="e">
        <f>VLOOKUP(AO42,'Reference Records'!$E$160:$F$252,2,0)</f>
        <v>#N/A</v>
      </c>
      <c r="AQ42" s="232" t="e">
        <f>MATCH($AP42,'Reference Records'!$E$330:$E$506,0)+ROW(Population_by_intervention) -1</f>
        <v>#N/A</v>
      </c>
      <c r="AR42" s="232" t="e">
        <f>MATCH($AP42,'Reference Records'!$E$330:$E$506,1)+ROW(Population_by_intervention) -1</f>
        <v>#N/A</v>
      </c>
      <c r="AS42" s="232" t="str">
        <f t="shared" si="1"/>
        <v>|empty|</v>
      </c>
      <c r="AT42" s="232" t="str">
        <f>IF(AS42="","",IFERROR(VLOOKUP(AS42,'Overview - Section A'!AF$123:AG207,2,0),VLOOKUP("|empty|",'Overview - Section A'!AF$123:AG207,2,0)))</f>
        <v>INT-130914</v>
      </c>
      <c r="AU42" s="200"/>
      <c r="AV42" s="200"/>
      <c r="AY42" s="232">
        <f t="shared" si="3"/>
        <v>2230</v>
      </c>
      <c r="AZ42" s="232">
        <f ca="1">AZ41+'update Helper'!$Z$2</f>
        <v>2561</v>
      </c>
      <c r="BC42" s="232" t="str">
        <f ca="1">IF(INDIRECT("'update Helper'!S"&amp;AY42)=0,"",IFERROR(VLOOKUP(INDIRECT("'update Helper'!S"&amp;AY42),'Account Role'!A$1:B$28,2,0),IFERROR(VLOOKUP(INDIRECT("'update Helper'!I"&amp;AY42),'Overview - Section A'!J$25:P$90,7,0),"")))</f>
        <v/>
      </c>
      <c r="BD42" s="232" t="str">
        <f ca="1">IFERROR(INDEX('Overview - Section A'!A$122:A207,MATCH(INDIRECT("'update Helper'!Q"&amp;AY42),'Overview - Section A'!AQ$122:AQ207,0)),"")</f>
        <v/>
      </c>
      <c r="BE42" s="232" t="str">
        <f>IFERROR(INDEX('Overview - Section A'!O$122:O207,MATCH(AT42,'Overview - Section A'!AQ$122:AQ207,0)),"")</f>
        <v/>
      </c>
      <c r="BF42" s="232" t="str">
        <f>IFERROR(INDEX('Overview - Section A'!H$122:H207,MATCH(AT42,'Overview - Section A'!AQ$122:AQ207,0)),"")</f>
        <v/>
      </c>
    </row>
    <row r="43" spans="1:58" s="232" customFormat="1" ht="30" customHeight="1" x14ac:dyDescent="0.3">
      <c r="A43" s="178">
        <v>35</v>
      </c>
      <c r="B43" s="200"/>
      <c r="C43" s="200"/>
      <c r="D43" s="200"/>
      <c r="E43" s="200"/>
      <c r="F43" s="200"/>
      <c r="G43" s="201"/>
      <c r="H43" s="201"/>
      <c r="I43" s="201"/>
      <c r="J43" s="200"/>
      <c r="K43" s="200"/>
      <c r="L43" s="201"/>
      <c r="M43" s="201"/>
      <c r="N43" s="200"/>
      <c r="O43" s="200"/>
      <c r="P43" s="201"/>
      <c r="Q43" s="201"/>
      <c r="R43" s="200"/>
      <c r="S43" s="200"/>
      <c r="T43" s="201"/>
      <c r="U43" s="201"/>
      <c r="V43" s="200"/>
      <c r="W43" s="200"/>
      <c r="X43" s="201"/>
      <c r="Y43" s="201"/>
      <c r="Z43" s="200"/>
      <c r="AA43" s="200"/>
      <c r="AB43" s="201"/>
      <c r="AC43" s="201"/>
      <c r="AD43" s="200"/>
      <c r="AE43" s="200"/>
      <c r="AF43" s="201"/>
      <c r="AG43" s="201"/>
      <c r="AH43" s="200"/>
      <c r="AI43" s="200"/>
      <c r="AJ43" s="201"/>
      <c r="AK43" s="201"/>
      <c r="AL43" s="200"/>
      <c r="AM43" s="200"/>
      <c r="AN43" s="200"/>
      <c r="AO43" s="193" t="str">
        <f>IFERROR(VLOOKUP(D43,'Reference Records'!$C$160:$E$252,3,FALSE),"")</f>
        <v/>
      </c>
      <c r="AP43" s="232" t="e">
        <f>VLOOKUP(AO43,'Reference Records'!$E$160:$F$252,2,0)</f>
        <v>#N/A</v>
      </c>
      <c r="AQ43" s="232" t="e">
        <f>MATCH($AP43,'Reference Records'!$E$330:$E$506,0)+ROW(Population_by_intervention) -1</f>
        <v>#N/A</v>
      </c>
      <c r="AR43" s="232" t="e">
        <f>MATCH($AP43,'Reference Records'!$E$330:$E$506,1)+ROW(Population_by_intervention) -1</f>
        <v>#N/A</v>
      </c>
      <c r="AS43" s="232" t="str">
        <f t="shared" si="1"/>
        <v>|empty|</v>
      </c>
      <c r="AT43" s="232" t="str">
        <f>IF(AS43="","",IFERROR(VLOOKUP(AS43,'Overview - Section A'!AF$123:AG208,2,0),VLOOKUP("|empty|",'Overview - Section A'!AF$123:AG208,2,0)))</f>
        <v>INT-130914</v>
      </c>
      <c r="AU43" s="200"/>
      <c r="AV43" s="200"/>
      <c r="AY43" s="232">
        <f t="shared" si="3"/>
        <v>2231</v>
      </c>
      <c r="AZ43" s="232">
        <f ca="1">AZ42+'update Helper'!$Z$2</f>
        <v>2567</v>
      </c>
      <c r="BC43" s="232" t="str">
        <f ca="1">IF(INDIRECT("'update Helper'!S"&amp;AY43)=0,"",IFERROR(VLOOKUP(INDIRECT("'update Helper'!S"&amp;AY43),'Account Role'!A$1:B$28,2,0),IFERROR(VLOOKUP(INDIRECT("'update Helper'!I"&amp;AY43),'Overview - Section A'!J$25:P$90,7,0),"")))</f>
        <v/>
      </c>
      <c r="BD43" s="232" t="str">
        <f ca="1">IFERROR(INDEX('Overview - Section A'!A$122:A208,MATCH(INDIRECT("'update Helper'!Q"&amp;AY43),'Overview - Section A'!AQ$122:AQ208,0)),"")</f>
        <v/>
      </c>
      <c r="BE43" s="232" t="str">
        <f>IFERROR(INDEX('Overview - Section A'!O$122:O208,MATCH(AT43,'Overview - Section A'!AQ$122:AQ208,0)),"")</f>
        <v/>
      </c>
      <c r="BF43" s="232" t="str">
        <f>IFERROR(INDEX('Overview - Section A'!H$122:H208,MATCH(AT43,'Overview - Section A'!AQ$122:AQ208,0)),"")</f>
        <v/>
      </c>
    </row>
    <row r="44" spans="1:58" s="232" customFormat="1" ht="30" customHeight="1" x14ac:dyDescent="0.3">
      <c r="A44" s="178">
        <v>36</v>
      </c>
      <c r="B44" s="200"/>
      <c r="C44" s="200"/>
      <c r="D44" s="200"/>
      <c r="E44" s="200"/>
      <c r="F44" s="200"/>
      <c r="G44" s="201"/>
      <c r="H44" s="201"/>
      <c r="I44" s="201"/>
      <c r="J44" s="200"/>
      <c r="K44" s="200"/>
      <c r="L44" s="201"/>
      <c r="M44" s="201"/>
      <c r="N44" s="200"/>
      <c r="O44" s="200"/>
      <c r="P44" s="201"/>
      <c r="Q44" s="201"/>
      <c r="R44" s="200"/>
      <c r="S44" s="200"/>
      <c r="T44" s="201"/>
      <c r="U44" s="201"/>
      <c r="V44" s="200"/>
      <c r="W44" s="200"/>
      <c r="X44" s="201"/>
      <c r="Y44" s="201"/>
      <c r="Z44" s="200"/>
      <c r="AA44" s="200"/>
      <c r="AB44" s="201"/>
      <c r="AC44" s="201"/>
      <c r="AD44" s="200"/>
      <c r="AE44" s="200"/>
      <c r="AF44" s="201"/>
      <c r="AG44" s="201"/>
      <c r="AH44" s="200"/>
      <c r="AI44" s="200"/>
      <c r="AJ44" s="201"/>
      <c r="AK44" s="201"/>
      <c r="AL44" s="200"/>
      <c r="AM44" s="200"/>
      <c r="AN44" s="200"/>
      <c r="AO44" s="193" t="str">
        <f>IFERROR(VLOOKUP(D44,'Reference Records'!$C$160:$E$252,3,FALSE),"")</f>
        <v/>
      </c>
      <c r="AP44" s="232" t="e">
        <f>VLOOKUP(AO44,'Reference Records'!$E$160:$F$252,2,0)</f>
        <v>#N/A</v>
      </c>
      <c r="AQ44" s="232" t="e">
        <f>MATCH($AP44,'Reference Records'!$E$330:$E$506,0)+ROW(Population_by_intervention) -1</f>
        <v>#N/A</v>
      </c>
      <c r="AR44" s="232" t="e">
        <f>MATCH($AP44,'Reference Records'!$E$330:$E$506,1)+ROW(Population_by_intervention) -1</f>
        <v>#N/A</v>
      </c>
      <c r="AS44" s="232" t="str">
        <f t="shared" si="1"/>
        <v>|empty|</v>
      </c>
      <c r="AT44" s="232" t="str">
        <f>IF(AS44="","",IFERROR(VLOOKUP(AS44,'Overview - Section A'!AF$123:AG209,2,0),VLOOKUP("|empty|",'Overview - Section A'!AF$123:AG209,2,0)))</f>
        <v>INT-130914</v>
      </c>
      <c r="AU44" s="200"/>
      <c r="AV44" s="200"/>
      <c r="AY44" s="232">
        <f t="shared" si="3"/>
        <v>2232</v>
      </c>
      <c r="AZ44" s="232">
        <f ca="1">AZ43+'update Helper'!$Z$2</f>
        <v>2573</v>
      </c>
      <c r="BC44" s="232" t="str">
        <f ca="1">IF(INDIRECT("'update Helper'!S"&amp;AY44)=0,"",IFERROR(VLOOKUP(INDIRECT("'update Helper'!S"&amp;AY44),'Account Role'!A$1:B$28,2,0),IFERROR(VLOOKUP(INDIRECT("'update Helper'!I"&amp;AY44),'Overview - Section A'!J$25:P$90,7,0),"")))</f>
        <v/>
      </c>
      <c r="BD44" s="232" t="str">
        <f ca="1">IFERROR(INDEX('Overview - Section A'!A$122:A209,MATCH(INDIRECT("'update Helper'!Q"&amp;AY44),'Overview - Section A'!AQ$122:AQ209,0)),"")</f>
        <v/>
      </c>
      <c r="BE44" s="232" t="str">
        <f>IFERROR(INDEX('Overview - Section A'!O$122:O209,MATCH(AT44,'Overview - Section A'!AQ$122:AQ209,0)),"")</f>
        <v/>
      </c>
      <c r="BF44" s="232" t="str">
        <f>IFERROR(INDEX('Overview - Section A'!H$122:H209,MATCH(AT44,'Overview - Section A'!AQ$122:AQ209,0)),"")</f>
        <v/>
      </c>
    </row>
    <row r="45" spans="1:58" s="232" customFormat="1" ht="30" customHeight="1" x14ac:dyDescent="0.3">
      <c r="A45" s="178">
        <v>37</v>
      </c>
      <c r="B45" s="200"/>
      <c r="C45" s="200"/>
      <c r="D45" s="200"/>
      <c r="E45" s="200"/>
      <c r="F45" s="200"/>
      <c r="G45" s="201"/>
      <c r="H45" s="201"/>
      <c r="I45" s="201"/>
      <c r="J45" s="200"/>
      <c r="K45" s="200"/>
      <c r="L45" s="201"/>
      <c r="M45" s="201"/>
      <c r="N45" s="200"/>
      <c r="O45" s="200"/>
      <c r="P45" s="201"/>
      <c r="Q45" s="201"/>
      <c r="R45" s="200"/>
      <c r="S45" s="200"/>
      <c r="T45" s="201"/>
      <c r="U45" s="201"/>
      <c r="V45" s="200"/>
      <c r="W45" s="200"/>
      <c r="X45" s="201"/>
      <c r="Y45" s="201"/>
      <c r="Z45" s="200"/>
      <c r="AA45" s="200"/>
      <c r="AB45" s="201"/>
      <c r="AC45" s="201"/>
      <c r="AD45" s="200"/>
      <c r="AE45" s="200"/>
      <c r="AF45" s="201"/>
      <c r="AG45" s="201"/>
      <c r="AH45" s="200"/>
      <c r="AI45" s="200"/>
      <c r="AJ45" s="201"/>
      <c r="AK45" s="201"/>
      <c r="AL45" s="200"/>
      <c r="AM45" s="200"/>
      <c r="AN45" s="200"/>
      <c r="AO45" s="193" t="str">
        <f>IFERROR(VLOOKUP(D45,'Reference Records'!$C$160:$E$252,3,FALSE),"")</f>
        <v/>
      </c>
      <c r="AP45" s="232" t="e">
        <f>VLOOKUP(AO45,'Reference Records'!$E$160:$F$252,2,0)</f>
        <v>#N/A</v>
      </c>
      <c r="AQ45" s="232" t="e">
        <f>MATCH($AP45,'Reference Records'!$E$330:$E$506,0)+ROW(Population_by_intervention) -1</f>
        <v>#N/A</v>
      </c>
      <c r="AR45" s="232" t="e">
        <f>MATCH($AP45,'Reference Records'!$E$330:$E$506,1)+ROW(Population_by_intervention) -1</f>
        <v>#N/A</v>
      </c>
      <c r="AS45" s="232" t="str">
        <f t="shared" si="1"/>
        <v>|empty|</v>
      </c>
      <c r="AT45" s="232" t="str">
        <f>IF(AS45="","",IFERROR(VLOOKUP(AS45,'Overview - Section A'!AF$123:AG210,2,0),VLOOKUP("|empty|",'Overview - Section A'!AF$123:AG210,2,0)))</f>
        <v>INT-130914</v>
      </c>
      <c r="AU45" s="200"/>
      <c r="AV45" s="200"/>
      <c r="AY45" s="232">
        <f t="shared" si="3"/>
        <v>2233</v>
      </c>
      <c r="AZ45" s="232">
        <f ca="1">AZ44+'update Helper'!$Z$2</f>
        <v>2579</v>
      </c>
      <c r="BC45" s="232" t="str">
        <f ca="1">IF(INDIRECT("'update Helper'!S"&amp;AY45)=0,"",IFERROR(VLOOKUP(INDIRECT("'update Helper'!S"&amp;AY45),'Account Role'!A$1:B$28,2,0),IFERROR(VLOOKUP(INDIRECT("'update Helper'!I"&amp;AY45),'Overview - Section A'!J$25:P$90,7,0),"")))</f>
        <v/>
      </c>
      <c r="BD45" s="232" t="str">
        <f ca="1">IFERROR(INDEX('Overview - Section A'!A$122:A210,MATCH(INDIRECT("'update Helper'!Q"&amp;AY45),'Overview - Section A'!AQ$122:AQ210,0)),"")</f>
        <v/>
      </c>
      <c r="BE45" s="232" t="str">
        <f>IFERROR(INDEX('Overview - Section A'!O$122:O210,MATCH(AT45,'Overview - Section A'!AQ$122:AQ210,0)),"")</f>
        <v/>
      </c>
      <c r="BF45" s="232" t="str">
        <f>IFERROR(INDEX('Overview - Section A'!H$122:H210,MATCH(AT45,'Overview - Section A'!AQ$122:AQ210,0)),"")</f>
        <v/>
      </c>
    </row>
    <row r="46" spans="1:58" s="232" customFormat="1" ht="30" customHeight="1" x14ac:dyDescent="0.3">
      <c r="A46" s="178">
        <v>38</v>
      </c>
      <c r="B46" s="200"/>
      <c r="C46" s="200"/>
      <c r="D46" s="200"/>
      <c r="E46" s="200"/>
      <c r="F46" s="200"/>
      <c r="G46" s="201"/>
      <c r="H46" s="201"/>
      <c r="I46" s="201"/>
      <c r="J46" s="200"/>
      <c r="K46" s="200"/>
      <c r="L46" s="201"/>
      <c r="M46" s="201"/>
      <c r="N46" s="200"/>
      <c r="O46" s="200"/>
      <c r="P46" s="201"/>
      <c r="Q46" s="201"/>
      <c r="R46" s="200"/>
      <c r="S46" s="200"/>
      <c r="T46" s="201"/>
      <c r="U46" s="201"/>
      <c r="V46" s="200"/>
      <c r="W46" s="200"/>
      <c r="X46" s="201"/>
      <c r="Y46" s="201"/>
      <c r="Z46" s="200"/>
      <c r="AA46" s="200"/>
      <c r="AB46" s="201"/>
      <c r="AC46" s="201"/>
      <c r="AD46" s="200"/>
      <c r="AE46" s="200"/>
      <c r="AF46" s="201"/>
      <c r="AG46" s="201"/>
      <c r="AH46" s="200"/>
      <c r="AI46" s="200"/>
      <c r="AJ46" s="201"/>
      <c r="AK46" s="201"/>
      <c r="AL46" s="200"/>
      <c r="AM46" s="200"/>
      <c r="AN46" s="200"/>
      <c r="AO46" s="193" t="str">
        <f>IFERROR(VLOOKUP(D46,'Reference Records'!$C$160:$E$252,3,FALSE),"")</f>
        <v/>
      </c>
      <c r="AP46" s="232" t="e">
        <f>VLOOKUP(AO46,'Reference Records'!$E$160:$F$252,2,0)</f>
        <v>#N/A</v>
      </c>
      <c r="AQ46" s="232" t="e">
        <f>MATCH($AP46,'Reference Records'!$E$330:$E$506,0)+ROW(Population_by_intervention) -1</f>
        <v>#N/A</v>
      </c>
      <c r="AR46" s="232" t="e">
        <f>MATCH($AP46,'Reference Records'!$E$330:$E$506,1)+ROW(Population_by_intervention) -1</f>
        <v>#N/A</v>
      </c>
      <c r="AS46" s="232" t="str">
        <f t="shared" si="1"/>
        <v>|empty|</v>
      </c>
      <c r="AT46" s="232" t="str">
        <f>IF(AS46="","",IFERROR(VLOOKUP(AS46,'Overview - Section A'!AF$123:AG211,2,0),VLOOKUP("|empty|",'Overview - Section A'!AF$123:AG211,2,0)))</f>
        <v>INT-130914</v>
      </c>
      <c r="AU46" s="200"/>
      <c r="AV46" s="200"/>
      <c r="AY46" s="232">
        <f t="shared" si="3"/>
        <v>2234</v>
      </c>
      <c r="AZ46" s="232">
        <f ca="1">AZ45+'update Helper'!$Z$2</f>
        <v>2585</v>
      </c>
      <c r="BC46" s="232" t="str">
        <f ca="1">IF(INDIRECT("'update Helper'!S"&amp;AY46)=0,"",IFERROR(VLOOKUP(INDIRECT("'update Helper'!S"&amp;AY46),'Account Role'!A$1:B$28,2,0),IFERROR(VLOOKUP(INDIRECT("'update Helper'!I"&amp;AY46),'Overview - Section A'!J$25:P$90,7,0),"")))</f>
        <v/>
      </c>
      <c r="BD46" s="232" t="str">
        <f ca="1">IFERROR(INDEX('Overview - Section A'!A$122:A211,MATCH(INDIRECT("'update Helper'!Q"&amp;AY46),'Overview - Section A'!AQ$122:AQ211,0)),"")</f>
        <v/>
      </c>
      <c r="BE46" s="232" t="str">
        <f>IFERROR(INDEX('Overview - Section A'!O$122:O211,MATCH(AT46,'Overview - Section A'!AQ$122:AQ211,0)),"")</f>
        <v/>
      </c>
      <c r="BF46" s="232" t="str">
        <f>IFERROR(INDEX('Overview - Section A'!H$122:H211,MATCH(AT46,'Overview - Section A'!AQ$122:AQ211,0)),"")</f>
        <v/>
      </c>
    </row>
    <row r="47" spans="1:58" s="232" customFormat="1" ht="30" customHeight="1" x14ac:dyDescent="0.3">
      <c r="A47" s="178">
        <v>39</v>
      </c>
      <c r="B47" s="200"/>
      <c r="C47" s="200"/>
      <c r="D47" s="200"/>
      <c r="E47" s="200"/>
      <c r="F47" s="200"/>
      <c r="G47" s="201"/>
      <c r="H47" s="201"/>
      <c r="I47" s="201"/>
      <c r="J47" s="200"/>
      <c r="K47" s="200"/>
      <c r="L47" s="201"/>
      <c r="M47" s="201"/>
      <c r="N47" s="200"/>
      <c r="O47" s="200"/>
      <c r="P47" s="201"/>
      <c r="Q47" s="201"/>
      <c r="R47" s="200"/>
      <c r="S47" s="200"/>
      <c r="T47" s="201"/>
      <c r="U47" s="201"/>
      <c r="V47" s="200"/>
      <c r="W47" s="200"/>
      <c r="X47" s="201"/>
      <c r="Y47" s="201"/>
      <c r="Z47" s="200"/>
      <c r="AA47" s="200"/>
      <c r="AB47" s="201"/>
      <c r="AC47" s="201"/>
      <c r="AD47" s="200"/>
      <c r="AE47" s="200"/>
      <c r="AF47" s="201"/>
      <c r="AG47" s="201"/>
      <c r="AH47" s="200"/>
      <c r="AI47" s="200"/>
      <c r="AJ47" s="201"/>
      <c r="AK47" s="201"/>
      <c r="AL47" s="200"/>
      <c r="AM47" s="200"/>
      <c r="AN47" s="200"/>
      <c r="AO47" s="193" t="str">
        <f>IFERROR(VLOOKUP(D47,'Reference Records'!$C$160:$E$252,3,FALSE),"")</f>
        <v/>
      </c>
      <c r="AP47" s="232" t="e">
        <f>VLOOKUP(AO47,'Reference Records'!$E$160:$F$252,2,0)</f>
        <v>#N/A</v>
      </c>
      <c r="AQ47" s="232" t="e">
        <f>MATCH($AP47,'Reference Records'!$E$330:$E$506,0)+ROW(Population_by_intervention) -1</f>
        <v>#N/A</v>
      </c>
      <c r="AR47" s="232" t="e">
        <f>MATCH($AP47,'Reference Records'!$E$330:$E$506,1)+ROW(Population_by_intervention) -1</f>
        <v>#N/A</v>
      </c>
      <c r="AS47" s="232" t="str">
        <f t="shared" si="1"/>
        <v>|empty|</v>
      </c>
      <c r="AT47" s="232" t="str">
        <f>IF(AS47="","",IFERROR(VLOOKUP(AS47,'Overview - Section A'!AF$123:AG212,2,0),VLOOKUP("|empty|",'Overview - Section A'!AF$123:AG212,2,0)))</f>
        <v>INT-130914</v>
      </c>
      <c r="AU47" s="200"/>
      <c r="AV47" s="200"/>
      <c r="AY47" s="232">
        <f t="shared" si="3"/>
        <v>2235</v>
      </c>
      <c r="AZ47" s="232">
        <f ca="1">AZ46+'update Helper'!$Z$2</f>
        <v>2591</v>
      </c>
      <c r="BC47" s="232" t="str">
        <f ca="1">IF(INDIRECT("'update Helper'!S"&amp;AY47)=0,"",IFERROR(VLOOKUP(INDIRECT("'update Helper'!S"&amp;AY47),'Account Role'!A$1:B$28,2,0),IFERROR(VLOOKUP(INDIRECT("'update Helper'!I"&amp;AY47),'Overview - Section A'!J$25:P$90,7,0),"")))</f>
        <v/>
      </c>
      <c r="BD47" s="232" t="str">
        <f ca="1">IFERROR(INDEX('Overview - Section A'!A$122:A212,MATCH(INDIRECT("'update Helper'!Q"&amp;AY47),'Overview - Section A'!AQ$122:AQ212,0)),"")</f>
        <v/>
      </c>
      <c r="BE47" s="232" t="str">
        <f>IFERROR(INDEX('Overview - Section A'!O$122:O212,MATCH(AT47,'Overview - Section A'!AQ$122:AQ212,0)),"")</f>
        <v/>
      </c>
      <c r="BF47" s="232" t="str">
        <f>IFERROR(INDEX('Overview - Section A'!H$122:H212,MATCH(AT47,'Overview - Section A'!AQ$122:AQ212,0)),"")</f>
        <v/>
      </c>
    </row>
    <row r="48" spans="1:58" s="232" customFormat="1" ht="30" customHeight="1" x14ac:dyDescent="0.3">
      <c r="A48" s="178">
        <v>40</v>
      </c>
      <c r="B48" s="200"/>
      <c r="C48" s="200"/>
      <c r="D48" s="200"/>
      <c r="E48" s="200"/>
      <c r="F48" s="200"/>
      <c r="G48" s="201"/>
      <c r="H48" s="201"/>
      <c r="I48" s="201"/>
      <c r="J48" s="200"/>
      <c r="K48" s="200"/>
      <c r="L48" s="201"/>
      <c r="M48" s="201"/>
      <c r="N48" s="200"/>
      <c r="O48" s="200"/>
      <c r="P48" s="201"/>
      <c r="Q48" s="201"/>
      <c r="R48" s="200"/>
      <c r="S48" s="200"/>
      <c r="T48" s="201"/>
      <c r="U48" s="201"/>
      <c r="V48" s="200"/>
      <c r="W48" s="200"/>
      <c r="X48" s="201"/>
      <c r="Y48" s="201"/>
      <c r="Z48" s="200"/>
      <c r="AA48" s="200"/>
      <c r="AB48" s="201"/>
      <c r="AC48" s="201"/>
      <c r="AD48" s="200"/>
      <c r="AE48" s="200"/>
      <c r="AF48" s="201"/>
      <c r="AG48" s="201"/>
      <c r="AH48" s="200"/>
      <c r="AI48" s="200"/>
      <c r="AJ48" s="201"/>
      <c r="AK48" s="201"/>
      <c r="AL48" s="200"/>
      <c r="AM48" s="200"/>
      <c r="AN48" s="200"/>
      <c r="AO48" s="193" t="str">
        <f>IFERROR(VLOOKUP(D48,'Reference Records'!$C$160:$E$252,3,FALSE),"")</f>
        <v/>
      </c>
      <c r="AP48" s="232" t="e">
        <f>VLOOKUP(AO48,'Reference Records'!$E$160:$F$252,2,0)</f>
        <v>#N/A</v>
      </c>
      <c r="AQ48" s="232" t="e">
        <f>MATCH($AP48,'Reference Records'!$E$330:$E$506,0)+ROW(Population_by_intervention) -1</f>
        <v>#N/A</v>
      </c>
      <c r="AR48" s="232" t="e">
        <f>MATCH($AP48,'Reference Records'!$E$330:$E$506,1)+ROW(Population_by_intervention) -1</f>
        <v>#N/A</v>
      </c>
      <c r="AS48" s="232" t="str">
        <f t="shared" si="1"/>
        <v>|empty|</v>
      </c>
      <c r="AT48" s="232" t="str">
        <f>IF(AS48="","",IFERROR(VLOOKUP(AS48,'Overview - Section A'!AF$123:AG213,2,0),VLOOKUP("|empty|",'Overview - Section A'!AF$123:AG213,2,0)))</f>
        <v>INT-130914</v>
      </c>
      <c r="AU48" s="200"/>
      <c r="AV48" s="200"/>
      <c r="AY48" s="232">
        <f t="shared" si="3"/>
        <v>2236</v>
      </c>
      <c r="AZ48" s="232">
        <f ca="1">AZ47+'update Helper'!$Z$2</f>
        <v>2597</v>
      </c>
      <c r="BC48" s="232" t="str">
        <f ca="1">IF(INDIRECT("'update Helper'!S"&amp;AY48)=0,"",IFERROR(VLOOKUP(INDIRECT("'update Helper'!S"&amp;AY48),'Account Role'!A$1:B$28,2,0),IFERROR(VLOOKUP(INDIRECT("'update Helper'!I"&amp;AY48),'Overview - Section A'!J$25:P$90,7,0),"")))</f>
        <v/>
      </c>
      <c r="BD48" s="232" t="str">
        <f ca="1">IFERROR(INDEX('Overview - Section A'!A$122:A213,MATCH(INDIRECT("'update Helper'!Q"&amp;AY48),'Overview - Section A'!AQ$122:AQ213,0)),"")</f>
        <v/>
      </c>
      <c r="BE48" s="232" t="str">
        <f>IFERROR(INDEX('Overview - Section A'!O$122:O213,MATCH(AT48,'Overview - Section A'!AQ$122:AQ213,0)),"")</f>
        <v/>
      </c>
      <c r="BF48" s="232" t="str">
        <f>IFERROR(INDEX('Overview - Section A'!H$122:H213,MATCH(AT48,'Overview - Section A'!AQ$122:AQ213,0)),"")</f>
        <v/>
      </c>
    </row>
    <row r="49" spans="1:58" s="232" customFormat="1" ht="30" customHeight="1" x14ac:dyDescent="0.3">
      <c r="A49" s="178">
        <v>41</v>
      </c>
      <c r="B49" s="200"/>
      <c r="C49" s="200"/>
      <c r="D49" s="200"/>
      <c r="E49" s="200"/>
      <c r="F49" s="200"/>
      <c r="G49" s="201"/>
      <c r="H49" s="201"/>
      <c r="I49" s="201"/>
      <c r="J49" s="200"/>
      <c r="K49" s="200"/>
      <c r="L49" s="201"/>
      <c r="M49" s="201"/>
      <c r="N49" s="200"/>
      <c r="O49" s="200"/>
      <c r="P49" s="201"/>
      <c r="Q49" s="201"/>
      <c r="R49" s="200"/>
      <c r="S49" s="200"/>
      <c r="T49" s="201"/>
      <c r="U49" s="201"/>
      <c r="V49" s="200"/>
      <c r="W49" s="200"/>
      <c r="X49" s="201"/>
      <c r="Y49" s="201"/>
      <c r="Z49" s="200"/>
      <c r="AA49" s="200"/>
      <c r="AB49" s="201"/>
      <c r="AC49" s="201"/>
      <c r="AD49" s="200"/>
      <c r="AE49" s="200"/>
      <c r="AF49" s="201"/>
      <c r="AG49" s="201"/>
      <c r="AH49" s="200"/>
      <c r="AI49" s="200"/>
      <c r="AJ49" s="201"/>
      <c r="AK49" s="201"/>
      <c r="AL49" s="200"/>
      <c r="AM49" s="200"/>
      <c r="AN49" s="200"/>
      <c r="AO49" s="193" t="str">
        <f>IFERROR(VLOOKUP(D49,'Reference Records'!$C$160:$E$252,3,FALSE),"")</f>
        <v/>
      </c>
      <c r="AP49" s="232" t="e">
        <f>VLOOKUP(AO49,'Reference Records'!$E$160:$F$252,2,0)</f>
        <v>#N/A</v>
      </c>
      <c r="AQ49" s="232" t="e">
        <f>MATCH($AP49,'Reference Records'!$E$330:$E$506,0)+ROW(Population_by_intervention) -1</f>
        <v>#N/A</v>
      </c>
      <c r="AR49" s="232" t="e">
        <f>MATCH($AP49,'Reference Records'!$E$330:$E$506,1)+ROW(Population_by_intervention) -1</f>
        <v>#N/A</v>
      </c>
      <c r="AS49" s="232" t="str">
        <f t="shared" si="1"/>
        <v>|empty|</v>
      </c>
      <c r="AT49" s="232" t="str">
        <f>IF(AS49="","",IFERROR(VLOOKUP(AS49,'Overview - Section A'!AF$123:AG214,2,0),VLOOKUP("|empty|",'Overview - Section A'!AF$123:AG214,2,0)))</f>
        <v>INT-130914</v>
      </c>
      <c r="AU49" s="200"/>
      <c r="AV49" s="200"/>
      <c r="AY49" s="232">
        <f t="shared" si="3"/>
        <v>2237</v>
      </c>
      <c r="AZ49" s="232">
        <f ca="1">AZ48+'update Helper'!$Z$2</f>
        <v>2603</v>
      </c>
      <c r="BC49" s="232" t="str">
        <f ca="1">IF(INDIRECT("'update Helper'!S"&amp;AY49)=0,"",IFERROR(VLOOKUP(INDIRECT("'update Helper'!S"&amp;AY49),'Account Role'!A$1:B$28,2,0),IFERROR(VLOOKUP(INDIRECT("'update Helper'!I"&amp;AY49),'Overview - Section A'!J$25:P$90,7,0),"")))</f>
        <v/>
      </c>
      <c r="BD49" s="232" t="str">
        <f ca="1">IFERROR(INDEX('Overview - Section A'!A$122:A214,MATCH(INDIRECT("'update Helper'!Q"&amp;AY49),'Overview - Section A'!AQ$122:AQ214,0)),"")</f>
        <v/>
      </c>
      <c r="BE49" s="232" t="str">
        <f>IFERROR(INDEX('Overview - Section A'!O$122:O214,MATCH(AT49,'Overview - Section A'!AQ$122:AQ214,0)),"")</f>
        <v/>
      </c>
      <c r="BF49" s="232" t="str">
        <f>IFERROR(INDEX('Overview - Section A'!H$122:H214,MATCH(AT49,'Overview - Section A'!AQ$122:AQ214,0)),"")</f>
        <v/>
      </c>
    </row>
    <row r="50" spans="1:58" s="232" customFormat="1" ht="30" customHeight="1" x14ac:dyDescent="0.3">
      <c r="A50" s="178">
        <v>42</v>
      </c>
      <c r="B50" s="200"/>
      <c r="C50" s="200"/>
      <c r="D50" s="200"/>
      <c r="E50" s="200"/>
      <c r="F50" s="200"/>
      <c r="G50" s="201"/>
      <c r="H50" s="201"/>
      <c r="I50" s="201"/>
      <c r="J50" s="200"/>
      <c r="K50" s="200"/>
      <c r="L50" s="201"/>
      <c r="M50" s="201"/>
      <c r="N50" s="200"/>
      <c r="O50" s="200"/>
      <c r="P50" s="201"/>
      <c r="Q50" s="201"/>
      <c r="R50" s="200"/>
      <c r="S50" s="200"/>
      <c r="T50" s="201"/>
      <c r="U50" s="201"/>
      <c r="V50" s="200"/>
      <c r="W50" s="200"/>
      <c r="X50" s="201"/>
      <c r="Y50" s="201"/>
      <c r="Z50" s="200"/>
      <c r="AA50" s="200"/>
      <c r="AB50" s="201"/>
      <c r="AC50" s="201"/>
      <c r="AD50" s="200"/>
      <c r="AE50" s="200"/>
      <c r="AF50" s="201"/>
      <c r="AG50" s="201"/>
      <c r="AH50" s="200"/>
      <c r="AI50" s="200"/>
      <c r="AJ50" s="201"/>
      <c r="AK50" s="201"/>
      <c r="AL50" s="200"/>
      <c r="AM50" s="200"/>
      <c r="AN50" s="200"/>
      <c r="AO50" s="193" t="str">
        <f>IFERROR(VLOOKUP(D50,'Reference Records'!$C$160:$E$252,3,FALSE),"")</f>
        <v/>
      </c>
      <c r="AP50" s="232" t="e">
        <f>VLOOKUP(AO50,'Reference Records'!$E$160:$F$252,2,0)</f>
        <v>#N/A</v>
      </c>
      <c r="AQ50" s="232" t="e">
        <f>MATCH($AP50,'Reference Records'!$E$330:$E$506,0)+ROW(Population_by_intervention) -1</f>
        <v>#N/A</v>
      </c>
      <c r="AR50" s="232" t="e">
        <f>MATCH($AP50,'Reference Records'!$E$330:$E$506,1)+ROW(Population_by_intervention) -1</f>
        <v>#N/A</v>
      </c>
      <c r="AS50" s="232" t="str">
        <f t="shared" si="1"/>
        <v>|empty|</v>
      </c>
      <c r="AT50" s="232" t="str">
        <f>IF(AS50="","",IFERROR(VLOOKUP(AS50,'Overview - Section A'!AF$123:AG215,2,0),VLOOKUP("|empty|",'Overview - Section A'!AF$123:AG215,2,0)))</f>
        <v>INT-130914</v>
      </c>
      <c r="AU50" s="200"/>
      <c r="AV50" s="200"/>
      <c r="AY50" s="232">
        <f t="shared" si="3"/>
        <v>2238</v>
      </c>
      <c r="AZ50" s="232">
        <f ca="1">AZ49+'update Helper'!$Z$2</f>
        <v>2609</v>
      </c>
      <c r="BC50" s="232" t="str">
        <f ca="1">IF(INDIRECT("'update Helper'!S"&amp;AY50)=0,"",IFERROR(VLOOKUP(INDIRECT("'update Helper'!S"&amp;AY50),'Account Role'!A$1:B$28,2,0),IFERROR(VLOOKUP(INDIRECT("'update Helper'!I"&amp;AY50),'Overview - Section A'!J$25:P$90,7,0),"")))</f>
        <v/>
      </c>
      <c r="BD50" s="232" t="str">
        <f ca="1">IFERROR(INDEX('Overview - Section A'!A$122:A215,MATCH(INDIRECT("'update Helper'!Q"&amp;AY50),'Overview - Section A'!AQ$122:AQ215,0)),"")</f>
        <v/>
      </c>
      <c r="BE50" s="232" t="str">
        <f>IFERROR(INDEX('Overview - Section A'!O$122:O215,MATCH(AT50,'Overview - Section A'!AQ$122:AQ215,0)),"")</f>
        <v/>
      </c>
      <c r="BF50" s="232" t="str">
        <f>IFERROR(INDEX('Overview - Section A'!H$122:H215,MATCH(AT50,'Overview - Section A'!AQ$122:AQ215,0)),"")</f>
        <v/>
      </c>
    </row>
    <row r="51" spans="1:58" s="232" customFormat="1" ht="30" customHeight="1" x14ac:dyDescent="0.3">
      <c r="A51" s="178">
        <v>43</v>
      </c>
      <c r="B51" s="200"/>
      <c r="C51" s="200"/>
      <c r="D51" s="200"/>
      <c r="E51" s="200"/>
      <c r="F51" s="200"/>
      <c r="G51" s="201"/>
      <c r="H51" s="201"/>
      <c r="I51" s="201"/>
      <c r="J51" s="200"/>
      <c r="K51" s="200"/>
      <c r="L51" s="201"/>
      <c r="M51" s="201"/>
      <c r="N51" s="200"/>
      <c r="O51" s="200"/>
      <c r="P51" s="201"/>
      <c r="Q51" s="201"/>
      <c r="R51" s="200"/>
      <c r="S51" s="200"/>
      <c r="T51" s="201"/>
      <c r="U51" s="201"/>
      <c r="V51" s="200"/>
      <c r="W51" s="200"/>
      <c r="X51" s="201"/>
      <c r="Y51" s="201"/>
      <c r="Z51" s="200"/>
      <c r="AA51" s="200"/>
      <c r="AB51" s="201"/>
      <c r="AC51" s="201"/>
      <c r="AD51" s="200"/>
      <c r="AE51" s="200"/>
      <c r="AF51" s="201"/>
      <c r="AG51" s="201"/>
      <c r="AH51" s="200"/>
      <c r="AI51" s="200"/>
      <c r="AJ51" s="201"/>
      <c r="AK51" s="201"/>
      <c r="AL51" s="200"/>
      <c r="AM51" s="200"/>
      <c r="AN51" s="200"/>
      <c r="AO51" s="193" t="str">
        <f>IFERROR(VLOOKUP(D51,'Reference Records'!$C$160:$E$252,3,FALSE),"")</f>
        <v/>
      </c>
      <c r="AP51" s="232" t="e">
        <f>VLOOKUP(AO51,'Reference Records'!$E$160:$F$252,2,0)</f>
        <v>#N/A</v>
      </c>
      <c r="AQ51" s="232" t="e">
        <f>MATCH($AP51,'Reference Records'!$E$330:$E$506,0)+ROW(Population_by_intervention) -1</f>
        <v>#N/A</v>
      </c>
      <c r="AR51" s="232" t="e">
        <f>MATCH($AP51,'Reference Records'!$E$330:$E$506,1)+ROW(Population_by_intervention) -1</f>
        <v>#N/A</v>
      </c>
      <c r="AS51" s="232" t="str">
        <f t="shared" si="1"/>
        <v>|empty|</v>
      </c>
      <c r="AT51" s="232" t="str">
        <f>IF(AS51="","",IFERROR(VLOOKUP(AS51,'Overview - Section A'!AF$123:AG216,2,0),VLOOKUP("|empty|",'Overview - Section A'!AF$123:AG216,2,0)))</f>
        <v>INT-130914</v>
      </c>
      <c r="AU51" s="200"/>
      <c r="AV51" s="200"/>
      <c r="AY51" s="232">
        <f t="shared" si="3"/>
        <v>2239</v>
      </c>
      <c r="AZ51" s="232">
        <f ca="1">AZ50+'update Helper'!$Z$2</f>
        <v>2615</v>
      </c>
      <c r="BC51" s="232" t="str">
        <f ca="1">IF(INDIRECT("'update Helper'!S"&amp;AY51)=0,"",IFERROR(VLOOKUP(INDIRECT("'update Helper'!S"&amp;AY51),'Account Role'!A$1:B$28,2,0),IFERROR(VLOOKUP(INDIRECT("'update Helper'!I"&amp;AY51),'Overview - Section A'!J$25:P$90,7,0),"")))</f>
        <v/>
      </c>
      <c r="BD51" s="232" t="str">
        <f ca="1">IFERROR(INDEX('Overview - Section A'!A$122:A216,MATCH(INDIRECT("'update Helper'!Q"&amp;AY51),'Overview - Section A'!AQ$122:AQ216,0)),"")</f>
        <v/>
      </c>
      <c r="BE51" s="232" t="str">
        <f>IFERROR(INDEX('Overview - Section A'!O$122:O216,MATCH(AT51,'Overview - Section A'!AQ$122:AQ216,0)),"")</f>
        <v/>
      </c>
      <c r="BF51" s="232" t="str">
        <f>IFERROR(INDEX('Overview - Section A'!H$122:H216,MATCH(AT51,'Overview - Section A'!AQ$122:AQ216,0)),"")</f>
        <v/>
      </c>
    </row>
    <row r="52" spans="1:58" s="232" customFormat="1" ht="30" customHeight="1" x14ac:dyDescent="0.3">
      <c r="A52" s="178">
        <v>44</v>
      </c>
      <c r="B52" s="200"/>
      <c r="C52" s="200"/>
      <c r="D52" s="200"/>
      <c r="E52" s="200"/>
      <c r="F52" s="200"/>
      <c r="G52" s="201"/>
      <c r="H52" s="201"/>
      <c r="I52" s="201"/>
      <c r="J52" s="200"/>
      <c r="K52" s="200"/>
      <c r="L52" s="201"/>
      <c r="M52" s="201"/>
      <c r="N52" s="200"/>
      <c r="O52" s="200"/>
      <c r="P52" s="201"/>
      <c r="Q52" s="201"/>
      <c r="R52" s="200"/>
      <c r="S52" s="200"/>
      <c r="T52" s="201"/>
      <c r="U52" s="201"/>
      <c r="V52" s="200"/>
      <c r="W52" s="200"/>
      <c r="X52" s="201"/>
      <c r="Y52" s="201"/>
      <c r="Z52" s="200"/>
      <c r="AA52" s="200"/>
      <c r="AB52" s="201"/>
      <c r="AC52" s="201"/>
      <c r="AD52" s="200"/>
      <c r="AE52" s="200"/>
      <c r="AF52" s="201"/>
      <c r="AG52" s="201"/>
      <c r="AH52" s="200"/>
      <c r="AI52" s="200"/>
      <c r="AJ52" s="201"/>
      <c r="AK52" s="201"/>
      <c r="AL52" s="200"/>
      <c r="AM52" s="200"/>
      <c r="AN52" s="200"/>
      <c r="AO52" s="193" t="str">
        <f>IFERROR(VLOOKUP(D52,'Reference Records'!$C$160:$E$252,3,FALSE),"")</f>
        <v/>
      </c>
      <c r="AP52" s="232" t="e">
        <f>VLOOKUP(AO52,'Reference Records'!$E$160:$F$252,2,0)</f>
        <v>#N/A</v>
      </c>
      <c r="AQ52" s="232" t="e">
        <f>MATCH($AP52,'Reference Records'!$E$330:$E$506,0)+ROW(Population_by_intervention) -1</f>
        <v>#N/A</v>
      </c>
      <c r="AR52" s="232" t="e">
        <f>MATCH($AP52,'Reference Records'!$E$330:$E$506,1)+ROW(Population_by_intervention) -1</f>
        <v>#N/A</v>
      </c>
      <c r="AS52" s="232" t="str">
        <f t="shared" si="1"/>
        <v>|empty|</v>
      </c>
      <c r="AT52" s="232" t="str">
        <f>IF(AS52="","",IFERROR(VLOOKUP(AS52,'Overview - Section A'!AF$123:AG217,2,0),VLOOKUP("|empty|",'Overview - Section A'!AF$123:AG217,2,0)))</f>
        <v>INT-130914</v>
      </c>
      <c r="AU52" s="200"/>
      <c r="AV52" s="200"/>
      <c r="AY52" s="232">
        <f t="shared" si="3"/>
        <v>2240</v>
      </c>
      <c r="AZ52" s="232">
        <f ca="1">AZ51+'update Helper'!$Z$2</f>
        <v>2621</v>
      </c>
      <c r="BC52" s="232" t="str">
        <f ca="1">IF(INDIRECT("'update Helper'!S"&amp;AY52)=0,"",IFERROR(VLOOKUP(INDIRECT("'update Helper'!S"&amp;AY52),'Account Role'!A$1:B$28,2,0),IFERROR(VLOOKUP(INDIRECT("'update Helper'!I"&amp;AY52),'Overview - Section A'!J$25:P$90,7,0),"")))</f>
        <v/>
      </c>
      <c r="BD52" s="232" t="str">
        <f ca="1">IFERROR(INDEX('Overview - Section A'!A$122:A217,MATCH(INDIRECT("'update Helper'!Q"&amp;AY52),'Overview - Section A'!AQ$122:AQ217,0)),"")</f>
        <v/>
      </c>
      <c r="BE52" s="232" t="str">
        <f>IFERROR(INDEX('Overview - Section A'!O$122:O217,MATCH(AT52,'Overview - Section A'!AQ$122:AQ217,0)),"")</f>
        <v/>
      </c>
      <c r="BF52" s="232" t="str">
        <f>IFERROR(INDEX('Overview - Section A'!H$122:H217,MATCH(AT52,'Overview - Section A'!AQ$122:AQ217,0)),"")</f>
        <v/>
      </c>
    </row>
    <row r="53" spans="1:58" s="232" customFormat="1" ht="30" customHeight="1" x14ac:dyDescent="0.3">
      <c r="A53" s="178">
        <v>45</v>
      </c>
      <c r="B53" s="200"/>
      <c r="C53" s="200"/>
      <c r="D53" s="200"/>
      <c r="E53" s="200"/>
      <c r="F53" s="200"/>
      <c r="G53" s="201"/>
      <c r="H53" s="201"/>
      <c r="I53" s="201"/>
      <c r="J53" s="200"/>
      <c r="K53" s="200"/>
      <c r="L53" s="201"/>
      <c r="M53" s="201"/>
      <c r="N53" s="200"/>
      <c r="O53" s="200"/>
      <c r="P53" s="201"/>
      <c r="Q53" s="201"/>
      <c r="R53" s="200"/>
      <c r="S53" s="200"/>
      <c r="T53" s="201"/>
      <c r="U53" s="201"/>
      <c r="V53" s="200"/>
      <c r="W53" s="200"/>
      <c r="X53" s="201"/>
      <c r="Y53" s="201"/>
      <c r="Z53" s="200"/>
      <c r="AA53" s="200"/>
      <c r="AB53" s="201"/>
      <c r="AC53" s="201"/>
      <c r="AD53" s="200"/>
      <c r="AE53" s="200"/>
      <c r="AF53" s="201"/>
      <c r="AG53" s="201"/>
      <c r="AH53" s="200"/>
      <c r="AI53" s="200"/>
      <c r="AJ53" s="201"/>
      <c r="AK53" s="201"/>
      <c r="AL53" s="200"/>
      <c r="AM53" s="200"/>
      <c r="AN53" s="200"/>
      <c r="AO53" s="193" t="str">
        <f>IFERROR(VLOOKUP(D53,'Reference Records'!$C$160:$E$252,3,FALSE),"")</f>
        <v/>
      </c>
      <c r="AP53" s="232" t="e">
        <f>VLOOKUP(AO53,'Reference Records'!$E$160:$F$252,2,0)</f>
        <v>#N/A</v>
      </c>
      <c r="AQ53" s="232" t="e">
        <f>MATCH($AP53,'Reference Records'!$E$330:$E$506,0)+ROW(Population_by_intervention) -1</f>
        <v>#N/A</v>
      </c>
      <c r="AR53" s="232" t="e">
        <f>MATCH($AP53,'Reference Records'!$E$330:$E$506,1)+ROW(Population_by_intervention) -1</f>
        <v>#N/A</v>
      </c>
      <c r="AS53" s="232" t="str">
        <f t="shared" si="1"/>
        <v>|empty|</v>
      </c>
      <c r="AT53" s="232" t="str">
        <f>IF(AS53="","",IFERROR(VLOOKUP(AS53,'Overview - Section A'!AF$123:AG218,2,0),VLOOKUP("|empty|",'Overview - Section A'!AF$123:AG218,2,0)))</f>
        <v>INT-130914</v>
      </c>
      <c r="AU53" s="200"/>
      <c r="AV53" s="200"/>
      <c r="AY53" s="232">
        <f t="shared" si="3"/>
        <v>2241</v>
      </c>
      <c r="AZ53" s="232">
        <f ca="1">AZ52+'update Helper'!$Z$2</f>
        <v>2627</v>
      </c>
      <c r="BC53" s="232" t="str">
        <f ca="1">IF(INDIRECT("'update Helper'!S"&amp;AY53)=0,"",IFERROR(VLOOKUP(INDIRECT("'update Helper'!S"&amp;AY53),'Account Role'!A$1:B$28,2,0),IFERROR(VLOOKUP(INDIRECT("'update Helper'!I"&amp;AY53),'Overview - Section A'!J$25:P$90,7,0),"")))</f>
        <v/>
      </c>
      <c r="BD53" s="232" t="str">
        <f ca="1">IFERROR(INDEX('Overview - Section A'!A$122:A218,MATCH(INDIRECT("'update Helper'!Q"&amp;AY53),'Overview - Section A'!AQ$122:AQ218,0)),"")</f>
        <v/>
      </c>
      <c r="BE53" s="232" t="str">
        <f>IFERROR(INDEX('Overview - Section A'!O$122:O218,MATCH(AT53,'Overview - Section A'!AQ$122:AQ218,0)),"")</f>
        <v/>
      </c>
      <c r="BF53" s="232" t="str">
        <f>IFERROR(INDEX('Overview - Section A'!H$122:H218,MATCH(AT53,'Overview - Section A'!AQ$122:AQ218,0)),"")</f>
        <v/>
      </c>
    </row>
    <row r="54" spans="1:58" s="232" customFormat="1" ht="30" customHeight="1" x14ac:dyDescent="0.3">
      <c r="A54" s="178">
        <v>46</v>
      </c>
      <c r="B54" s="200"/>
      <c r="C54" s="200"/>
      <c r="D54" s="200"/>
      <c r="E54" s="200"/>
      <c r="F54" s="200"/>
      <c r="G54" s="201"/>
      <c r="H54" s="201"/>
      <c r="I54" s="201"/>
      <c r="J54" s="200"/>
      <c r="K54" s="200"/>
      <c r="L54" s="201"/>
      <c r="M54" s="201"/>
      <c r="N54" s="200"/>
      <c r="O54" s="200"/>
      <c r="P54" s="201"/>
      <c r="Q54" s="201"/>
      <c r="R54" s="200"/>
      <c r="S54" s="200"/>
      <c r="T54" s="201"/>
      <c r="U54" s="201"/>
      <c r="V54" s="200"/>
      <c r="W54" s="200"/>
      <c r="X54" s="201"/>
      <c r="Y54" s="201"/>
      <c r="Z54" s="200"/>
      <c r="AA54" s="200"/>
      <c r="AB54" s="201"/>
      <c r="AC54" s="201"/>
      <c r="AD54" s="200"/>
      <c r="AE54" s="200"/>
      <c r="AF54" s="201"/>
      <c r="AG54" s="201"/>
      <c r="AH54" s="200"/>
      <c r="AI54" s="200"/>
      <c r="AJ54" s="201"/>
      <c r="AK54" s="201"/>
      <c r="AL54" s="200"/>
      <c r="AM54" s="200"/>
      <c r="AN54" s="200"/>
      <c r="AO54" s="193" t="str">
        <f>IFERROR(VLOOKUP(D54,'Reference Records'!$C$160:$E$252,3,FALSE),"")</f>
        <v/>
      </c>
      <c r="AP54" s="232" t="e">
        <f>VLOOKUP(AO54,'Reference Records'!$E$160:$F$252,2,0)</f>
        <v>#N/A</v>
      </c>
      <c r="AQ54" s="232" t="e">
        <f>MATCH($AP54,'Reference Records'!$E$330:$E$506,0)+ROW(Population_by_intervention) -1</f>
        <v>#N/A</v>
      </c>
      <c r="AR54" s="232" t="e">
        <f>MATCH($AP54,'Reference Records'!$E$330:$E$506,1)+ROW(Population_by_intervention) -1</f>
        <v>#N/A</v>
      </c>
      <c r="AS54" s="232" t="str">
        <f t="shared" si="1"/>
        <v>|empty|</v>
      </c>
      <c r="AT54" s="232" t="str">
        <f>IF(AS54="","",IFERROR(VLOOKUP(AS54,'Overview - Section A'!AF$123:AG219,2,0),VLOOKUP("|empty|",'Overview - Section A'!AF$123:AG219,2,0)))</f>
        <v>INT-130914</v>
      </c>
      <c r="AU54" s="200"/>
      <c r="AV54" s="200"/>
      <c r="AY54" s="232">
        <f t="shared" si="3"/>
        <v>2242</v>
      </c>
      <c r="AZ54" s="232">
        <f ca="1">AZ53+'update Helper'!$Z$2</f>
        <v>2633</v>
      </c>
      <c r="BC54" s="232" t="str">
        <f ca="1">IF(INDIRECT("'update Helper'!S"&amp;AY54)=0,"",IFERROR(VLOOKUP(INDIRECT("'update Helper'!S"&amp;AY54),'Account Role'!A$1:B$28,2,0),IFERROR(VLOOKUP(INDIRECT("'update Helper'!I"&amp;AY54),'Overview - Section A'!J$25:P$90,7,0),"")))</f>
        <v/>
      </c>
      <c r="BD54" s="232" t="str">
        <f ca="1">IFERROR(INDEX('Overview - Section A'!A$122:A219,MATCH(INDIRECT("'update Helper'!Q"&amp;AY54),'Overview - Section A'!AQ$122:AQ219,0)),"")</f>
        <v/>
      </c>
      <c r="BE54" s="232" t="str">
        <f>IFERROR(INDEX('Overview - Section A'!O$122:O219,MATCH(AT54,'Overview - Section A'!AQ$122:AQ219,0)),"")</f>
        <v/>
      </c>
      <c r="BF54" s="232" t="str">
        <f>IFERROR(INDEX('Overview - Section A'!H$122:H219,MATCH(AT54,'Overview - Section A'!AQ$122:AQ219,0)),"")</f>
        <v/>
      </c>
    </row>
    <row r="55" spans="1:58" s="232" customFormat="1" ht="30" customHeight="1" x14ac:dyDescent="0.3">
      <c r="A55" s="178">
        <v>47</v>
      </c>
      <c r="B55" s="200"/>
      <c r="C55" s="200"/>
      <c r="D55" s="200"/>
      <c r="E55" s="200"/>
      <c r="F55" s="200"/>
      <c r="G55" s="201"/>
      <c r="H55" s="201"/>
      <c r="I55" s="201"/>
      <c r="J55" s="200"/>
      <c r="K55" s="200"/>
      <c r="L55" s="201"/>
      <c r="M55" s="201"/>
      <c r="N55" s="200"/>
      <c r="O55" s="200"/>
      <c r="P55" s="201"/>
      <c r="Q55" s="201"/>
      <c r="R55" s="200"/>
      <c r="S55" s="200"/>
      <c r="T55" s="201"/>
      <c r="U55" s="201"/>
      <c r="V55" s="200"/>
      <c r="W55" s="200"/>
      <c r="X55" s="201"/>
      <c r="Y55" s="201"/>
      <c r="Z55" s="200"/>
      <c r="AA55" s="200"/>
      <c r="AB55" s="201"/>
      <c r="AC55" s="201"/>
      <c r="AD55" s="200"/>
      <c r="AE55" s="200"/>
      <c r="AF55" s="201"/>
      <c r="AG55" s="201"/>
      <c r="AH55" s="200"/>
      <c r="AI55" s="200"/>
      <c r="AJ55" s="201"/>
      <c r="AK55" s="201"/>
      <c r="AL55" s="200"/>
      <c r="AM55" s="200"/>
      <c r="AN55" s="200"/>
      <c r="AO55" s="193" t="str">
        <f>IFERROR(VLOOKUP(D55,'Reference Records'!$C$160:$E$252,3,FALSE),"")</f>
        <v/>
      </c>
      <c r="AP55" s="232" t="e">
        <f>VLOOKUP(AO55,'Reference Records'!$E$160:$F$252,2,0)</f>
        <v>#N/A</v>
      </c>
      <c r="AQ55" s="232" t="e">
        <f>MATCH($AP55,'Reference Records'!$E$330:$E$506,0)+ROW(Population_by_intervention) -1</f>
        <v>#N/A</v>
      </c>
      <c r="AR55" s="232" t="e">
        <f>MATCH($AP55,'Reference Records'!$E$330:$E$506,1)+ROW(Population_by_intervention) -1</f>
        <v>#N/A</v>
      </c>
      <c r="AS55" s="232" t="str">
        <f t="shared" si="1"/>
        <v>|empty|</v>
      </c>
      <c r="AT55" s="232" t="str">
        <f>IF(AS55="","",IFERROR(VLOOKUP(AS55,'Overview - Section A'!AF$123:AG220,2,0),VLOOKUP("|empty|",'Overview - Section A'!AF$123:AG220,2,0)))</f>
        <v>INT-130914</v>
      </c>
      <c r="AU55" s="200"/>
      <c r="AV55" s="200"/>
      <c r="AY55" s="232">
        <f t="shared" si="3"/>
        <v>2243</v>
      </c>
      <c r="AZ55" s="232">
        <f ca="1">AZ54+'update Helper'!$Z$2</f>
        <v>2639</v>
      </c>
      <c r="BC55" s="232" t="str">
        <f ca="1">IF(INDIRECT("'update Helper'!S"&amp;AY55)=0,"",IFERROR(VLOOKUP(INDIRECT("'update Helper'!S"&amp;AY55),'Account Role'!A$1:B$28,2,0),IFERROR(VLOOKUP(INDIRECT("'update Helper'!I"&amp;AY55),'Overview - Section A'!J$25:P$90,7,0),"")))</f>
        <v/>
      </c>
      <c r="BD55" s="232" t="str">
        <f ca="1">IFERROR(INDEX('Overview - Section A'!A$122:A220,MATCH(INDIRECT("'update Helper'!Q"&amp;AY55),'Overview - Section A'!AQ$122:AQ220,0)),"")</f>
        <v/>
      </c>
      <c r="BE55" s="232" t="str">
        <f>IFERROR(INDEX('Overview - Section A'!O$122:O220,MATCH(AT55,'Overview - Section A'!AQ$122:AQ220,0)),"")</f>
        <v/>
      </c>
      <c r="BF55" s="232" t="str">
        <f>IFERROR(INDEX('Overview - Section A'!H$122:H220,MATCH(AT55,'Overview - Section A'!AQ$122:AQ220,0)),"")</f>
        <v/>
      </c>
    </row>
    <row r="56" spans="1:58" s="232" customFormat="1" ht="30" customHeight="1" x14ac:dyDescent="0.3">
      <c r="A56" s="178">
        <v>48</v>
      </c>
      <c r="B56" s="200"/>
      <c r="C56" s="200"/>
      <c r="D56" s="200"/>
      <c r="E56" s="200"/>
      <c r="F56" s="200"/>
      <c r="G56" s="201"/>
      <c r="H56" s="201"/>
      <c r="I56" s="201"/>
      <c r="J56" s="200"/>
      <c r="K56" s="200"/>
      <c r="L56" s="201"/>
      <c r="M56" s="201"/>
      <c r="N56" s="200"/>
      <c r="O56" s="200"/>
      <c r="P56" s="201"/>
      <c r="Q56" s="201"/>
      <c r="R56" s="200"/>
      <c r="S56" s="200"/>
      <c r="T56" s="201"/>
      <c r="U56" s="201"/>
      <c r="V56" s="200"/>
      <c r="W56" s="200"/>
      <c r="X56" s="201"/>
      <c r="Y56" s="201"/>
      <c r="Z56" s="200"/>
      <c r="AA56" s="200"/>
      <c r="AB56" s="201"/>
      <c r="AC56" s="201"/>
      <c r="AD56" s="200"/>
      <c r="AE56" s="200"/>
      <c r="AF56" s="201"/>
      <c r="AG56" s="201"/>
      <c r="AH56" s="200"/>
      <c r="AI56" s="200"/>
      <c r="AJ56" s="201"/>
      <c r="AK56" s="201"/>
      <c r="AL56" s="200"/>
      <c r="AM56" s="200"/>
      <c r="AN56" s="200"/>
      <c r="AO56" s="193" t="str">
        <f>IFERROR(VLOOKUP(D56,'Reference Records'!$C$160:$E$252,3,FALSE),"")</f>
        <v/>
      </c>
      <c r="AP56" s="232" t="e">
        <f>VLOOKUP(AO56,'Reference Records'!$E$160:$F$252,2,0)</f>
        <v>#N/A</v>
      </c>
      <c r="AQ56" s="232" t="e">
        <f>MATCH($AP56,'Reference Records'!$E$330:$E$506,0)+ROW(Population_by_intervention) -1</f>
        <v>#N/A</v>
      </c>
      <c r="AR56" s="232" t="e">
        <f>MATCH($AP56,'Reference Records'!$E$330:$E$506,1)+ROW(Population_by_intervention) -1</f>
        <v>#N/A</v>
      </c>
      <c r="AS56" s="232" t="str">
        <f t="shared" si="1"/>
        <v>|empty|</v>
      </c>
      <c r="AT56" s="232" t="str">
        <f>IF(AS56="","",IFERROR(VLOOKUP(AS56,'Overview - Section A'!AF$123:AG221,2,0),VLOOKUP("|empty|",'Overview - Section A'!AF$123:AG221,2,0)))</f>
        <v>INT-130914</v>
      </c>
      <c r="AU56" s="200"/>
      <c r="AV56" s="200"/>
      <c r="AY56" s="232">
        <f t="shared" si="3"/>
        <v>2244</v>
      </c>
      <c r="AZ56" s="232">
        <f ca="1">AZ55+'update Helper'!$Z$2</f>
        <v>2645</v>
      </c>
      <c r="BC56" s="232" t="str">
        <f ca="1">IF(INDIRECT("'update Helper'!S"&amp;AY56)=0,"",IFERROR(VLOOKUP(INDIRECT("'update Helper'!S"&amp;AY56),'Account Role'!A$1:B$28,2,0),IFERROR(VLOOKUP(INDIRECT("'update Helper'!I"&amp;AY56),'Overview - Section A'!J$25:P$90,7,0),"")))</f>
        <v/>
      </c>
      <c r="BD56" s="232" t="str">
        <f ca="1">IFERROR(INDEX('Overview - Section A'!A$122:A221,MATCH(INDIRECT("'update Helper'!Q"&amp;AY56),'Overview - Section A'!AQ$122:AQ221,0)),"")</f>
        <v/>
      </c>
      <c r="BE56" s="232" t="str">
        <f>IFERROR(INDEX('Overview - Section A'!O$122:O221,MATCH(AT56,'Overview - Section A'!AQ$122:AQ221,0)),"")</f>
        <v/>
      </c>
      <c r="BF56" s="232" t="str">
        <f>IFERROR(INDEX('Overview - Section A'!H$122:H221,MATCH(AT56,'Overview - Section A'!AQ$122:AQ221,0)),"")</f>
        <v/>
      </c>
    </row>
    <row r="57" spans="1:58" s="232" customFormat="1" ht="30" customHeight="1" x14ac:dyDescent="0.3">
      <c r="A57" s="178">
        <v>49</v>
      </c>
      <c r="B57" s="200"/>
      <c r="C57" s="200"/>
      <c r="D57" s="200"/>
      <c r="E57" s="200"/>
      <c r="F57" s="200"/>
      <c r="G57" s="201"/>
      <c r="H57" s="201"/>
      <c r="I57" s="201"/>
      <c r="J57" s="200"/>
      <c r="K57" s="200"/>
      <c r="L57" s="201"/>
      <c r="M57" s="201"/>
      <c r="N57" s="200"/>
      <c r="O57" s="200"/>
      <c r="P57" s="201"/>
      <c r="Q57" s="201"/>
      <c r="R57" s="200"/>
      <c r="S57" s="200"/>
      <c r="T57" s="201"/>
      <c r="U57" s="201"/>
      <c r="V57" s="200"/>
      <c r="W57" s="200"/>
      <c r="X57" s="201"/>
      <c r="Y57" s="201"/>
      <c r="Z57" s="200"/>
      <c r="AA57" s="200"/>
      <c r="AB57" s="201"/>
      <c r="AC57" s="201"/>
      <c r="AD57" s="200"/>
      <c r="AE57" s="200"/>
      <c r="AF57" s="201"/>
      <c r="AG57" s="201"/>
      <c r="AH57" s="200"/>
      <c r="AI57" s="200"/>
      <c r="AJ57" s="201"/>
      <c r="AK57" s="201"/>
      <c r="AL57" s="200"/>
      <c r="AM57" s="200"/>
      <c r="AN57" s="200"/>
      <c r="AO57" s="193" t="str">
        <f>IFERROR(VLOOKUP(D57,'Reference Records'!$C$160:$E$252,3,FALSE),"")</f>
        <v/>
      </c>
      <c r="AP57" s="232" t="e">
        <f>VLOOKUP(AO57,'Reference Records'!$E$160:$F$252,2,0)</f>
        <v>#N/A</v>
      </c>
      <c r="AQ57" s="232" t="e">
        <f>MATCH($AP57,'Reference Records'!$E$330:$E$506,0)+ROW(Population_by_intervention) -1</f>
        <v>#N/A</v>
      </c>
      <c r="AR57" s="232" t="e">
        <f>MATCH($AP57,'Reference Records'!$E$330:$E$506,1)+ROW(Population_by_intervention) -1</f>
        <v>#N/A</v>
      </c>
      <c r="AS57" s="232" t="str">
        <f t="shared" si="1"/>
        <v>|empty|</v>
      </c>
      <c r="AT57" s="232" t="str">
        <f>IF(AS57="","",IFERROR(VLOOKUP(AS57,'Overview - Section A'!AF$123:AG222,2,0),VLOOKUP("|empty|",'Overview - Section A'!AF$123:AG222,2,0)))</f>
        <v>INT-130914</v>
      </c>
      <c r="AU57" s="200"/>
      <c r="AV57" s="200"/>
      <c r="AY57" s="232">
        <f t="shared" si="3"/>
        <v>2245</v>
      </c>
      <c r="AZ57" s="232">
        <f ca="1">AZ56+'update Helper'!$Z$2</f>
        <v>2651</v>
      </c>
      <c r="BC57" s="232" t="str">
        <f ca="1">IF(INDIRECT("'update Helper'!S"&amp;AY57)=0,"",IFERROR(VLOOKUP(INDIRECT("'update Helper'!S"&amp;AY57),'Account Role'!A$1:B$28,2,0),IFERROR(VLOOKUP(INDIRECT("'update Helper'!I"&amp;AY57),'Overview - Section A'!J$25:P$90,7,0),"")))</f>
        <v/>
      </c>
      <c r="BD57" s="232" t="str">
        <f ca="1">IFERROR(INDEX('Overview - Section A'!A$122:A222,MATCH(INDIRECT("'update Helper'!Q"&amp;AY57),'Overview - Section A'!AQ$122:AQ222,0)),"")</f>
        <v/>
      </c>
      <c r="BE57" s="232" t="str">
        <f>IFERROR(INDEX('Overview - Section A'!O$122:O222,MATCH(AT57,'Overview - Section A'!AQ$122:AQ222,0)),"")</f>
        <v/>
      </c>
      <c r="BF57" s="232" t="str">
        <f>IFERROR(INDEX('Overview - Section A'!H$122:H222,MATCH(AT57,'Overview - Section A'!AQ$122:AQ222,0)),"")</f>
        <v/>
      </c>
    </row>
    <row r="58" spans="1:58" s="232" customFormat="1" ht="30" customHeight="1" x14ac:dyDescent="0.3">
      <c r="A58" s="178">
        <v>50</v>
      </c>
      <c r="B58" s="200"/>
      <c r="C58" s="200"/>
      <c r="D58" s="200"/>
      <c r="E58" s="200"/>
      <c r="F58" s="200"/>
      <c r="G58" s="201"/>
      <c r="H58" s="201"/>
      <c r="I58" s="201"/>
      <c r="J58" s="200"/>
      <c r="K58" s="200"/>
      <c r="L58" s="201"/>
      <c r="M58" s="201"/>
      <c r="N58" s="200"/>
      <c r="O58" s="200"/>
      <c r="P58" s="201"/>
      <c r="Q58" s="201"/>
      <c r="R58" s="200"/>
      <c r="S58" s="200"/>
      <c r="T58" s="201"/>
      <c r="U58" s="201"/>
      <c r="V58" s="200"/>
      <c r="W58" s="200"/>
      <c r="X58" s="201"/>
      <c r="Y58" s="201"/>
      <c r="Z58" s="200"/>
      <c r="AA58" s="200"/>
      <c r="AB58" s="201"/>
      <c r="AC58" s="201"/>
      <c r="AD58" s="200"/>
      <c r="AE58" s="200"/>
      <c r="AF58" s="201"/>
      <c r="AG58" s="201"/>
      <c r="AH58" s="200"/>
      <c r="AI58" s="200"/>
      <c r="AJ58" s="201"/>
      <c r="AK58" s="201"/>
      <c r="AL58" s="200"/>
      <c r="AM58" s="200"/>
      <c r="AN58" s="200"/>
      <c r="AO58" s="193" t="str">
        <f>IFERROR(VLOOKUP(D58,'Reference Records'!$C$160:$E$252,3,FALSE),"")</f>
        <v/>
      </c>
      <c r="AP58" s="232" t="e">
        <f>VLOOKUP(AO58,'Reference Records'!$E$160:$F$252,2,0)</f>
        <v>#N/A</v>
      </c>
      <c r="AQ58" s="232" t="e">
        <f>MATCH($AP58,'Reference Records'!$E$330:$E$506,0)+ROW(Population_by_intervention) -1</f>
        <v>#N/A</v>
      </c>
      <c r="AR58" s="232" t="e">
        <f>MATCH($AP58,'Reference Records'!$E$330:$E$506,1)+ROW(Population_by_intervention) -1</f>
        <v>#N/A</v>
      </c>
      <c r="AS58" s="232" t="str">
        <f t="shared" si="1"/>
        <v>|empty|</v>
      </c>
      <c r="AT58" s="232" t="str">
        <f>IF(AS58="","",IFERROR(VLOOKUP(AS58,'Overview - Section A'!AF$123:AG223,2,0),VLOOKUP("|empty|",'Overview - Section A'!AF$123:AG223,2,0)))</f>
        <v>INT-130914</v>
      </c>
      <c r="AU58" s="200"/>
      <c r="AV58" s="200"/>
      <c r="AY58" s="232">
        <f t="shared" si="3"/>
        <v>2246</v>
      </c>
      <c r="AZ58" s="232">
        <f ca="1">AZ57+'update Helper'!$Z$2</f>
        <v>2657</v>
      </c>
      <c r="BC58" s="232" t="str">
        <f ca="1">IF(INDIRECT("'update Helper'!S"&amp;AY58)=0,"",IFERROR(VLOOKUP(INDIRECT("'update Helper'!S"&amp;AY58),'Account Role'!A$1:B$28,2,0),IFERROR(VLOOKUP(INDIRECT("'update Helper'!I"&amp;AY58),'Overview - Section A'!J$25:P$90,7,0),"")))</f>
        <v/>
      </c>
      <c r="BD58" s="232" t="str">
        <f ca="1">IFERROR(INDEX('Overview - Section A'!A$122:A223,MATCH(INDIRECT("'update Helper'!Q"&amp;AY58),'Overview - Section A'!AQ$122:AQ223,0)),"")</f>
        <v/>
      </c>
      <c r="BE58" s="232" t="str">
        <f>IFERROR(INDEX('Overview - Section A'!O$122:O223,MATCH(AT58,'Overview - Section A'!AQ$122:AQ223,0)),"")</f>
        <v/>
      </c>
      <c r="BF58" s="232" t="str">
        <f>IFERROR(INDEX('Overview - Section A'!H$122:H223,MATCH(AT58,'Overview - Section A'!AQ$122:AQ223,0)),"")</f>
        <v/>
      </c>
    </row>
    <row r="59" spans="1:58" s="232" customFormat="1" ht="30" customHeight="1" x14ac:dyDescent="0.3">
      <c r="A59" s="178">
        <v>51</v>
      </c>
      <c r="B59" s="200"/>
      <c r="C59" s="200"/>
      <c r="D59" s="200"/>
      <c r="E59" s="200"/>
      <c r="F59" s="200"/>
      <c r="G59" s="201"/>
      <c r="H59" s="201"/>
      <c r="I59" s="201"/>
      <c r="J59" s="200"/>
      <c r="K59" s="200"/>
      <c r="L59" s="201"/>
      <c r="M59" s="201"/>
      <c r="N59" s="200"/>
      <c r="O59" s="200"/>
      <c r="P59" s="201"/>
      <c r="Q59" s="201"/>
      <c r="R59" s="200"/>
      <c r="S59" s="200"/>
      <c r="T59" s="201"/>
      <c r="U59" s="201"/>
      <c r="V59" s="200"/>
      <c r="W59" s="200"/>
      <c r="X59" s="201"/>
      <c r="Y59" s="201"/>
      <c r="Z59" s="200"/>
      <c r="AA59" s="200"/>
      <c r="AB59" s="201"/>
      <c r="AC59" s="201"/>
      <c r="AD59" s="200"/>
      <c r="AE59" s="200"/>
      <c r="AF59" s="201"/>
      <c r="AG59" s="201"/>
      <c r="AH59" s="200"/>
      <c r="AI59" s="200"/>
      <c r="AJ59" s="201"/>
      <c r="AK59" s="201"/>
      <c r="AL59" s="200"/>
      <c r="AM59" s="200"/>
      <c r="AN59" s="200"/>
      <c r="AO59" s="193" t="str">
        <f>IFERROR(VLOOKUP(D59,'Reference Records'!$C$160:$E$252,3,FALSE),"")</f>
        <v/>
      </c>
      <c r="AP59" s="232" t="e">
        <f>VLOOKUP(AO59,'Reference Records'!$E$160:$F$252,2,0)</f>
        <v>#N/A</v>
      </c>
      <c r="AQ59" s="232" t="e">
        <f>MATCH($AP59,'Reference Records'!$E$330:$E$506,0)+ROW(Population_by_intervention) -1</f>
        <v>#N/A</v>
      </c>
      <c r="AR59" s="232" t="e">
        <f>MATCH($AP59,'Reference Records'!$E$330:$E$506,1)+ROW(Population_by_intervention) -1</f>
        <v>#N/A</v>
      </c>
      <c r="AS59" s="232" t="str">
        <f t="shared" si="1"/>
        <v>|empty|</v>
      </c>
      <c r="AT59" s="232" t="str">
        <f>IF(AS59="","",IFERROR(VLOOKUP(AS59,'Overview - Section A'!AF$123:AG224,2,0),VLOOKUP("|empty|",'Overview - Section A'!AF$123:AG224,2,0)))</f>
        <v>INT-130914</v>
      </c>
      <c r="AU59" s="200"/>
      <c r="AV59" s="200"/>
      <c r="AY59" s="232">
        <f t="shared" si="3"/>
        <v>2247</v>
      </c>
      <c r="AZ59" s="232">
        <f ca="1">AZ58+'update Helper'!$Z$2</f>
        <v>2663</v>
      </c>
      <c r="BC59" s="232" t="str">
        <f ca="1">IF(INDIRECT("'update Helper'!S"&amp;AY59)=0,"",IFERROR(VLOOKUP(INDIRECT("'update Helper'!S"&amp;AY59),'Account Role'!A$1:B$28,2,0),IFERROR(VLOOKUP(INDIRECT("'update Helper'!I"&amp;AY59),'Overview - Section A'!J$25:P$90,7,0),"")))</f>
        <v/>
      </c>
      <c r="BD59" s="232" t="str">
        <f ca="1">IFERROR(INDEX('Overview - Section A'!A$122:A224,MATCH(INDIRECT("'update Helper'!Q"&amp;AY59),'Overview - Section A'!AQ$122:AQ224,0)),"")</f>
        <v/>
      </c>
      <c r="BE59" s="232" t="str">
        <f>IFERROR(INDEX('Overview - Section A'!O$122:O224,MATCH(AT59,'Overview - Section A'!AQ$122:AQ224,0)),"")</f>
        <v/>
      </c>
      <c r="BF59" s="232" t="str">
        <f>IFERROR(INDEX('Overview - Section A'!H$122:H224,MATCH(AT59,'Overview - Section A'!AQ$122:AQ224,0)),"")</f>
        <v/>
      </c>
    </row>
    <row r="60" spans="1:58" s="232" customFormat="1" ht="30" customHeight="1" x14ac:dyDescent="0.3">
      <c r="A60" s="178">
        <v>52</v>
      </c>
      <c r="B60" s="200"/>
      <c r="C60" s="200"/>
      <c r="D60" s="200"/>
      <c r="E60" s="200"/>
      <c r="F60" s="200"/>
      <c r="G60" s="201"/>
      <c r="H60" s="201"/>
      <c r="I60" s="201"/>
      <c r="J60" s="200"/>
      <c r="K60" s="200"/>
      <c r="L60" s="201"/>
      <c r="M60" s="201"/>
      <c r="N60" s="200"/>
      <c r="O60" s="200"/>
      <c r="P60" s="201"/>
      <c r="Q60" s="201"/>
      <c r="R60" s="200"/>
      <c r="S60" s="200"/>
      <c r="T60" s="201"/>
      <c r="U60" s="201"/>
      <c r="V60" s="200"/>
      <c r="W60" s="200"/>
      <c r="X60" s="201"/>
      <c r="Y60" s="201"/>
      <c r="Z60" s="200"/>
      <c r="AA60" s="200"/>
      <c r="AB60" s="201"/>
      <c r="AC60" s="201"/>
      <c r="AD60" s="200"/>
      <c r="AE60" s="200"/>
      <c r="AF60" s="201"/>
      <c r="AG60" s="201"/>
      <c r="AH60" s="200"/>
      <c r="AI60" s="200"/>
      <c r="AJ60" s="201"/>
      <c r="AK60" s="201"/>
      <c r="AL60" s="200"/>
      <c r="AM60" s="200"/>
      <c r="AN60" s="200"/>
      <c r="AO60" s="193" t="str">
        <f>IFERROR(VLOOKUP(D60,'Reference Records'!$C$160:$E$252,3,FALSE),"")</f>
        <v/>
      </c>
      <c r="AP60" s="232" t="e">
        <f>VLOOKUP(AO60,'Reference Records'!$E$160:$F$252,2,0)</f>
        <v>#N/A</v>
      </c>
      <c r="AQ60" s="232" t="e">
        <f>MATCH($AP60,'Reference Records'!$E$330:$E$506,0)+ROW(Population_by_intervention) -1</f>
        <v>#N/A</v>
      </c>
      <c r="AR60" s="232" t="e">
        <f>MATCH($AP60,'Reference Records'!$E$330:$E$506,1)+ROW(Population_by_intervention) -1</f>
        <v>#N/A</v>
      </c>
      <c r="AS60" s="232" t="str">
        <f t="shared" si="1"/>
        <v>|empty|</v>
      </c>
      <c r="AT60" s="232" t="str">
        <f>IF(AS60="","",IFERROR(VLOOKUP(AS60,'Overview - Section A'!AF$123:AG225,2,0),VLOOKUP("|empty|",'Overview - Section A'!AF$123:AG225,2,0)))</f>
        <v>INT-130914</v>
      </c>
      <c r="AU60" s="200"/>
      <c r="AV60" s="200"/>
      <c r="AY60" s="232">
        <f t="shared" si="3"/>
        <v>2248</v>
      </c>
      <c r="AZ60" s="232">
        <f ca="1">AZ59+'update Helper'!$Z$2</f>
        <v>2669</v>
      </c>
      <c r="BC60" s="232" t="str">
        <f ca="1">IF(INDIRECT("'update Helper'!S"&amp;AY60)=0,"",IFERROR(VLOOKUP(INDIRECT("'update Helper'!S"&amp;AY60),'Account Role'!A$1:B$28,2,0),IFERROR(VLOOKUP(INDIRECT("'update Helper'!I"&amp;AY60),'Overview - Section A'!J$25:P$90,7,0),"")))</f>
        <v/>
      </c>
      <c r="BD60" s="232" t="str">
        <f ca="1">IFERROR(INDEX('Overview - Section A'!A$122:A225,MATCH(INDIRECT("'update Helper'!Q"&amp;AY60),'Overview - Section A'!AQ$122:AQ225,0)),"")</f>
        <v/>
      </c>
      <c r="BE60" s="232" t="str">
        <f>IFERROR(INDEX('Overview - Section A'!O$122:O225,MATCH(AT60,'Overview - Section A'!AQ$122:AQ225,0)),"")</f>
        <v/>
      </c>
      <c r="BF60" s="232" t="str">
        <f>IFERROR(INDEX('Overview - Section A'!H$122:H225,MATCH(AT60,'Overview - Section A'!AQ$122:AQ225,0)),"")</f>
        <v/>
      </c>
    </row>
    <row r="61" spans="1:58" s="232" customFormat="1" ht="30" customHeight="1" x14ac:dyDescent="0.3">
      <c r="A61" s="178">
        <v>53</v>
      </c>
      <c r="B61" s="200"/>
      <c r="C61" s="200"/>
      <c r="D61" s="200"/>
      <c r="E61" s="200"/>
      <c r="F61" s="200"/>
      <c r="G61" s="201"/>
      <c r="H61" s="201"/>
      <c r="I61" s="201"/>
      <c r="J61" s="200"/>
      <c r="K61" s="200"/>
      <c r="L61" s="201"/>
      <c r="M61" s="201"/>
      <c r="N61" s="200"/>
      <c r="O61" s="200"/>
      <c r="P61" s="201"/>
      <c r="Q61" s="201"/>
      <c r="R61" s="200"/>
      <c r="S61" s="200"/>
      <c r="T61" s="201"/>
      <c r="U61" s="201"/>
      <c r="V61" s="200"/>
      <c r="W61" s="200"/>
      <c r="X61" s="201"/>
      <c r="Y61" s="201"/>
      <c r="Z61" s="200"/>
      <c r="AA61" s="200"/>
      <c r="AB61" s="201"/>
      <c r="AC61" s="201"/>
      <c r="AD61" s="200"/>
      <c r="AE61" s="200"/>
      <c r="AF61" s="201"/>
      <c r="AG61" s="201"/>
      <c r="AH61" s="200"/>
      <c r="AI61" s="200"/>
      <c r="AJ61" s="201"/>
      <c r="AK61" s="201"/>
      <c r="AL61" s="200"/>
      <c r="AM61" s="200"/>
      <c r="AN61" s="200"/>
      <c r="AO61" s="193" t="str">
        <f>IFERROR(VLOOKUP(D61,'Reference Records'!$C$160:$E$252,3,FALSE),"")</f>
        <v/>
      </c>
      <c r="AP61" s="232" t="e">
        <f>VLOOKUP(AO61,'Reference Records'!$E$160:$F$252,2,0)</f>
        <v>#N/A</v>
      </c>
      <c r="AQ61" s="232" t="e">
        <f>MATCH($AP61,'Reference Records'!$E$330:$E$506,0)+ROW(Population_by_intervention) -1</f>
        <v>#N/A</v>
      </c>
      <c r="AR61" s="232" t="e">
        <f>MATCH($AP61,'Reference Records'!$E$330:$E$506,1)+ROW(Population_by_intervention) -1</f>
        <v>#N/A</v>
      </c>
      <c r="AS61" s="232" t="str">
        <f t="shared" si="1"/>
        <v>|empty|</v>
      </c>
      <c r="AT61" s="232" t="str">
        <f>IF(AS61="","",IFERROR(VLOOKUP(AS61,'Overview - Section A'!AF$123:AG226,2,0),VLOOKUP("|empty|",'Overview - Section A'!AF$123:AG226,2,0)))</f>
        <v>INT-130914</v>
      </c>
      <c r="AU61" s="200"/>
      <c r="AV61" s="200"/>
      <c r="AY61" s="232">
        <f t="shared" si="3"/>
        <v>2249</v>
      </c>
      <c r="AZ61" s="232">
        <f ca="1">AZ60+'update Helper'!$Z$2</f>
        <v>2675</v>
      </c>
      <c r="BC61" s="232" t="str">
        <f ca="1">IF(INDIRECT("'update Helper'!S"&amp;AY61)=0,"",IFERROR(VLOOKUP(INDIRECT("'update Helper'!S"&amp;AY61),'Account Role'!A$1:B$28,2,0),IFERROR(VLOOKUP(INDIRECT("'update Helper'!I"&amp;AY61),'Overview - Section A'!J$25:P$90,7,0),"")))</f>
        <v/>
      </c>
      <c r="BD61" s="232" t="str">
        <f ca="1">IFERROR(INDEX('Overview - Section A'!A$122:A226,MATCH(INDIRECT("'update Helper'!Q"&amp;AY61),'Overview - Section A'!AQ$122:AQ226,0)),"")</f>
        <v/>
      </c>
      <c r="BE61" s="232" t="str">
        <f>IFERROR(INDEX('Overview - Section A'!O$122:O226,MATCH(AT61,'Overview - Section A'!AQ$122:AQ226,0)),"")</f>
        <v/>
      </c>
      <c r="BF61" s="232" t="str">
        <f>IFERROR(INDEX('Overview - Section A'!H$122:H226,MATCH(AT61,'Overview - Section A'!AQ$122:AQ226,0)),"")</f>
        <v/>
      </c>
    </row>
    <row r="62" spans="1:58" s="232" customFormat="1" ht="30" customHeight="1" x14ac:dyDescent="0.3">
      <c r="A62" s="178">
        <v>54</v>
      </c>
      <c r="B62" s="200"/>
      <c r="C62" s="200"/>
      <c r="D62" s="200"/>
      <c r="E62" s="200"/>
      <c r="F62" s="200"/>
      <c r="G62" s="201"/>
      <c r="H62" s="201"/>
      <c r="I62" s="201"/>
      <c r="J62" s="200"/>
      <c r="K62" s="200"/>
      <c r="L62" s="201"/>
      <c r="M62" s="201"/>
      <c r="N62" s="200"/>
      <c r="O62" s="200"/>
      <c r="P62" s="201"/>
      <c r="Q62" s="201"/>
      <c r="R62" s="200"/>
      <c r="S62" s="200"/>
      <c r="T62" s="201"/>
      <c r="U62" s="201"/>
      <c r="V62" s="200"/>
      <c r="W62" s="200"/>
      <c r="X62" s="201"/>
      <c r="Y62" s="201"/>
      <c r="Z62" s="200"/>
      <c r="AA62" s="200"/>
      <c r="AB62" s="201"/>
      <c r="AC62" s="201"/>
      <c r="AD62" s="200"/>
      <c r="AE62" s="200"/>
      <c r="AF62" s="201"/>
      <c r="AG62" s="201"/>
      <c r="AH62" s="200"/>
      <c r="AI62" s="200"/>
      <c r="AJ62" s="201"/>
      <c r="AK62" s="201"/>
      <c r="AL62" s="200"/>
      <c r="AM62" s="200"/>
      <c r="AN62" s="200"/>
      <c r="AO62" s="193" t="str">
        <f>IFERROR(VLOOKUP(D62,'Reference Records'!$C$160:$E$252,3,FALSE),"")</f>
        <v/>
      </c>
      <c r="AP62" s="232" t="e">
        <f>VLOOKUP(AO62,'Reference Records'!$E$160:$F$252,2,0)</f>
        <v>#N/A</v>
      </c>
      <c r="AQ62" s="232" t="e">
        <f>MATCH($AP62,'Reference Records'!$E$330:$E$506,0)+ROW(Population_by_intervention) -1</f>
        <v>#N/A</v>
      </c>
      <c r="AR62" s="232" t="e">
        <f>MATCH($AP62,'Reference Records'!$E$330:$E$506,1)+ROW(Population_by_intervention) -1</f>
        <v>#N/A</v>
      </c>
      <c r="AS62" s="232" t="str">
        <f t="shared" si="1"/>
        <v>|empty|</v>
      </c>
      <c r="AT62" s="232" t="str">
        <f>IF(AS62="","",IFERROR(VLOOKUP(AS62,'Overview - Section A'!AF$123:AG227,2,0),VLOOKUP("|empty|",'Overview - Section A'!AF$123:AG227,2,0)))</f>
        <v>INT-130914</v>
      </c>
      <c r="AU62" s="200"/>
      <c r="AV62" s="200"/>
      <c r="AY62" s="232">
        <f t="shared" si="3"/>
        <v>2250</v>
      </c>
      <c r="AZ62" s="232">
        <f ca="1">AZ61+'update Helper'!$Z$2</f>
        <v>2681</v>
      </c>
      <c r="BC62" s="232" t="str">
        <f ca="1">IF(INDIRECT("'update Helper'!S"&amp;AY62)=0,"",IFERROR(VLOOKUP(INDIRECT("'update Helper'!S"&amp;AY62),'Account Role'!A$1:B$28,2,0),IFERROR(VLOOKUP(INDIRECT("'update Helper'!I"&amp;AY62),'Overview - Section A'!J$25:P$90,7,0),"")))</f>
        <v/>
      </c>
      <c r="BD62" s="232" t="str">
        <f ca="1">IFERROR(INDEX('Overview - Section A'!A$122:A227,MATCH(INDIRECT("'update Helper'!Q"&amp;AY62),'Overview - Section A'!AQ$122:AQ227,0)),"")</f>
        <v/>
      </c>
      <c r="BE62" s="232" t="str">
        <f>IFERROR(INDEX('Overview - Section A'!O$122:O227,MATCH(AT62,'Overview - Section A'!AQ$122:AQ227,0)),"")</f>
        <v/>
      </c>
      <c r="BF62" s="232" t="str">
        <f>IFERROR(INDEX('Overview - Section A'!H$122:H227,MATCH(AT62,'Overview - Section A'!AQ$122:AQ227,0)),"")</f>
        <v/>
      </c>
    </row>
    <row r="63" spans="1:58" s="232" customFormat="1" ht="30" customHeight="1" x14ac:dyDescent="0.3">
      <c r="A63" s="178">
        <v>55</v>
      </c>
      <c r="B63" s="200"/>
      <c r="C63" s="200"/>
      <c r="D63" s="200"/>
      <c r="E63" s="200"/>
      <c r="F63" s="200"/>
      <c r="G63" s="201"/>
      <c r="H63" s="201"/>
      <c r="I63" s="201"/>
      <c r="J63" s="200"/>
      <c r="K63" s="200"/>
      <c r="L63" s="201"/>
      <c r="M63" s="201"/>
      <c r="N63" s="200"/>
      <c r="O63" s="200"/>
      <c r="P63" s="201"/>
      <c r="Q63" s="201"/>
      <c r="R63" s="200"/>
      <c r="S63" s="200"/>
      <c r="T63" s="201"/>
      <c r="U63" s="201"/>
      <c r="V63" s="200"/>
      <c r="W63" s="200"/>
      <c r="X63" s="201"/>
      <c r="Y63" s="201"/>
      <c r="Z63" s="200"/>
      <c r="AA63" s="200"/>
      <c r="AB63" s="201"/>
      <c r="AC63" s="201"/>
      <c r="AD63" s="200"/>
      <c r="AE63" s="200"/>
      <c r="AF63" s="201"/>
      <c r="AG63" s="201"/>
      <c r="AH63" s="200"/>
      <c r="AI63" s="200"/>
      <c r="AJ63" s="201"/>
      <c r="AK63" s="201"/>
      <c r="AL63" s="200"/>
      <c r="AM63" s="200"/>
      <c r="AN63" s="200"/>
      <c r="AO63" s="193" t="str">
        <f>IFERROR(VLOOKUP(D63,'Reference Records'!$C$160:$E$252,3,FALSE),"")</f>
        <v/>
      </c>
      <c r="AP63" s="232" t="e">
        <f>VLOOKUP(AO63,'Reference Records'!$E$160:$F$252,2,0)</f>
        <v>#N/A</v>
      </c>
      <c r="AQ63" s="232" t="e">
        <f>MATCH($AP63,'Reference Records'!$E$330:$E$506,0)+ROW(Population_by_intervention) -1</f>
        <v>#N/A</v>
      </c>
      <c r="AR63" s="232" t="e">
        <f>MATCH($AP63,'Reference Records'!$E$330:$E$506,1)+ROW(Population_by_intervention) -1</f>
        <v>#N/A</v>
      </c>
      <c r="AS63" s="232" t="str">
        <f t="shared" si="1"/>
        <v>|empty|</v>
      </c>
      <c r="AT63" s="232" t="str">
        <f>IF(AS63="","",IFERROR(VLOOKUP(AS63,'Overview - Section A'!AF$123:AG228,2,0),VLOOKUP("|empty|",'Overview - Section A'!AF$123:AG228,2,0)))</f>
        <v>INT-130914</v>
      </c>
      <c r="AU63" s="200"/>
      <c r="AV63" s="200"/>
      <c r="AY63" s="232">
        <f t="shared" si="3"/>
        <v>2251</v>
      </c>
      <c r="AZ63" s="232">
        <f ca="1">AZ62+'update Helper'!$Z$2</f>
        <v>2687</v>
      </c>
      <c r="BC63" s="232" t="str">
        <f ca="1">IF(INDIRECT("'update Helper'!S"&amp;AY63)=0,"",IFERROR(VLOOKUP(INDIRECT("'update Helper'!S"&amp;AY63),'Account Role'!A$1:B$28,2,0),IFERROR(VLOOKUP(INDIRECT("'update Helper'!I"&amp;AY63),'Overview - Section A'!J$25:P$90,7,0),"")))</f>
        <v/>
      </c>
      <c r="BD63" s="232" t="str">
        <f ca="1">IFERROR(INDEX('Overview - Section A'!A$122:A228,MATCH(INDIRECT("'update Helper'!Q"&amp;AY63),'Overview - Section A'!AQ$122:AQ228,0)),"")</f>
        <v/>
      </c>
      <c r="BE63" s="232" t="str">
        <f>IFERROR(INDEX('Overview - Section A'!O$122:O228,MATCH(AT63,'Overview - Section A'!AQ$122:AQ228,0)),"")</f>
        <v/>
      </c>
      <c r="BF63" s="232" t="str">
        <f>IFERROR(INDEX('Overview - Section A'!H$122:H228,MATCH(AT63,'Overview - Section A'!AQ$122:AQ228,0)),"")</f>
        <v/>
      </c>
    </row>
    <row r="64" spans="1:58" s="232" customFormat="1" ht="30" customHeight="1" x14ac:dyDescent="0.3">
      <c r="A64" s="178">
        <v>56</v>
      </c>
      <c r="B64" s="200"/>
      <c r="C64" s="200"/>
      <c r="D64" s="200"/>
      <c r="E64" s="200"/>
      <c r="F64" s="200"/>
      <c r="G64" s="201"/>
      <c r="H64" s="201"/>
      <c r="I64" s="201"/>
      <c r="J64" s="200"/>
      <c r="K64" s="200"/>
      <c r="L64" s="201"/>
      <c r="M64" s="201"/>
      <c r="N64" s="200"/>
      <c r="O64" s="200"/>
      <c r="P64" s="201"/>
      <c r="Q64" s="201"/>
      <c r="R64" s="200"/>
      <c r="S64" s="200"/>
      <c r="T64" s="201"/>
      <c r="U64" s="201"/>
      <c r="V64" s="200"/>
      <c r="W64" s="200"/>
      <c r="X64" s="201"/>
      <c r="Y64" s="201"/>
      <c r="Z64" s="200"/>
      <c r="AA64" s="200"/>
      <c r="AB64" s="201"/>
      <c r="AC64" s="201"/>
      <c r="AD64" s="200"/>
      <c r="AE64" s="200"/>
      <c r="AF64" s="201"/>
      <c r="AG64" s="201"/>
      <c r="AH64" s="200"/>
      <c r="AI64" s="200"/>
      <c r="AJ64" s="201"/>
      <c r="AK64" s="201"/>
      <c r="AL64" s="200"/>
      <c r="AM64" s="200"/>
      <c r="AN64" s="200"/>
      <c r="AO64" s="193" t="str">
        <f>IFERROR(VLOOKUP(D64,'Reference Records'!$C$160:$E$252,3,FALSE),"")</f>
        <v/>
      </c>
      <c r="AP64" s="232" t="e">
        <f>VLOOKUP(AO64,'Reference Records'!$E$160:$F$252,2,0)</f>
        <v>#N/A</v>
      </c>
      <c r="AQ64" s="232" t="e">
        <f>MATCH($AP64,'Reference Records'!$E$330:$E$506,0)+ROW(Population_by_intervention) -1</f>
        <v>#N/A</v>
      </c>
      <c r="AR64" s="232" t="e">
        <f>MATCH($AP64,'Reference Records'!$E$330:$E$506,1)+ROW(Population_by_intervention) -1</f>
        <v>#N/A</v>
      </c>
      <c r="AS64" s="232" t="str">
        <f t="shared" si="1"/>
        <v>|empty|</v>
      </c>
      <c r="AT64" s="232" t="str">
        <f>IF(AS64="","",IFERROR(VLOOKUP(AS64,'Overview - Section A'!AF$123:AG229,2,0),VLOOKUP("|empty|",'Overview - Section A'!AF$123:AG229,2,0)))</f>
        <v>INT-130914</v>
      </c>
      <c r="AU64" s="200"/>
      <c r="AV64" s="200"/>
      <c r="AY64" s="232">
        <f t="shared" si="3"/>
        <v>2252</v>
      </c>
      <c r="AZ64" s="232">
        <f ca="1">AZ63+'update Helper'!$Z$2</f>
        <v>2693</v>
      </c>
      <c r="BC64" s="232" t="str">
        <f ca="1">IF(INDIRECT("'update Helper'!S"&amp;AY64)=0,"",IFERROR(VLOOKUP(INDIRECT("'update Helper'!S"&amp;AY64),'Account Role'!A$1:B$28,2,0),IFERROR(VLOOKUP(INDIRECT("'update Helper'!I"&amp;AY64),'Overview - Section A'!J$25:P$90,7,0),"")))</f>
        <v/>
      </c>
      <c r="BD64" s="232" t="str">
        <f ca="1">IFERROR(INDEX('Overview - Section A'!A$122:A229,MATCH(INDIRECT("'update Helper'!Q"&amp;AY64),'Overview - Section A'!AQ$122:AQ229,0)),"")</f>
        <v/>
      </c>
      <c r="BE64" s="232" t="str">
        <f>IFERROR(INDEX('Overview - Section A'!O$122:O229,MATCH(AT64,'Overview - Section A'!AQ$122:AQ229,0)),"")</f>
        <v/>
      </c>
      <c r="BF64" s="232" t="str">
        <f>IFERROR(INDEX('Overview - Section A'!H$122:H229,MATCH(AT64,'Overview - Section A'!AQ$122:AQ229,0)),"")</f>
        <v/>
      </c>
    </row>
    <row r="65" spans="1:58" s="232" customFormat="1" ht="30" customHeight="1" x14ac:dyDescent="0.3">
      <c r="A65" s="178">
        <v>57</v>
      </c>
      <c r="B65" s="200"/>
      <c r="C65" s="200"/>
      <c r="D65" s="200"/>
      <c r="E65" s="200"/>
      <c r="F65" s="200"/>
      <c r="G65" s="201"/>
      <c r="H65" s="201"/>
      <c r="I65" s="201"/>
      <c r="J65" s="200"/>
      <c r="K65" s="200"/>
      <c r="L65" s="201"/>
      <c r="M65" s="201"/>
      <c r="N65" s="200"/>
      <c r="O65" s="200"/>
      <c r="P65" s="201"/>
      <c r="Q65" s="201"/>
      <c r="R65" s="200"/>
      <c r="S65" s="200"/>
      <c r="T65" s="201"/>
      <c r="U65" s="201"/>
      <c r="V65" s="200"/>
      <c r="W65" s="200"/>
      <c r="X65" s="201"/>
      <c r="Y65" s="201"/>
      <c r="Z65" s="200"/>
      <c r="AA65" s="200"/>
      <c r="AB65" s="201"/>
      <c r="AC65" s="201"/>
      <c r="AD65" s="200"/>
      <c r="AE65" s="200"/>
      <c r="AF65" s="201"/>
      <c r="AG65" s="201"/>
      <c r="AH65" s="200"/>
      <c r="AI65" s="200"/>
      <c r="AJ65" s="201"/>
      <c r="AK65" s="201"/>
      <c r="AL65" s="200"/>
      <c r="AM65" s="200"/>
      <c r="AN65" s="200"/>
      <c r="AO65" s="193" t="str">
        <f>IFERROR(VLOOKUP(D65,'Reference Records'!$C$160:$E$252,3,FALSE),"")</f>
        <v/>
      </c>
      <c r="AP65" s="232" t="e">
        <f>VLOOKUP(AO65,'Reference Records'!$E$160:$F$252,2,0)</f>
        <v>#N/A</v>
      </c>
      <c r="AQ65" s="232" t="e">
        <f>MATCH($AP65,'Reference Records'!$E$330:$E$506,0)+ROW(Population_by_intervention) -1</f>
        <v>#N/A</v>
      </c>
      <c r="AR65" s="232" t="e">
        <f>MATCH($AP65,'Reference Records'!$E$330:$E$506,1)+ROW(Population_by_intervention) -1</f>
        <v>#N/A</v>
      </c>
      <c r="AS65" s="232" t="str">
        <f t="shared" si="1"/>
        <v>|empty|</v>
      </c>
      <c r="AT65" s="232" t="str">
        <f>IF(AS65="","",IFERROR(VLOOKUP(AS65,'Overview - Section A'!AF$123:AG230,2,0),VLOOKUP("|empty|",'Overview - Section A'!AF$123:AG230,2,0)))</f>
        <v>INT-130914</v>
      </c>
      <c r="AU65" s="200"/>
      <c r="AV65" s="200"/>
      <c r="AY65" s="232">
        <f t="shared" si="3"/>
        <v>2253</v>
      </c>
      <c r="AZ65" s="232">
        <f ca="1">AZ64+'update Helper'!$Z$2</f>
        <v>2699</v>
      </c>
      <c r="BC65" s="232" t="str">
        <f ca="1">IF(INDIRECT("'update Helper'!S"&amp;AY65)=0,"",IFERROR(VLOOKUP(INDIRECT("'update Helper'!S"&amp;AY65),'Account Role'!A$1:B$28,2,0),IFERROR(VLOOKUP(INDIRECT("'update Helper'!I"&amp;AY65),'Overview - Section A'!J$25:P$90,7,0),"")))</f>
        <v/>
      </c>
      <c r="BD65" s="232" t="str">
        <f ca="1">IFERROR(INDEX('Overview - Section A'!A$122:A230,MATCH(INDIRECT("'update Helper'!Q"&amp;AY65),'Overview - Section A'!AQ$122:AQ230,0)),"")</f>
        <v/>
      </c>
      <c r="BE65" s="232" t="str">
        <f>IFERROR(INDEX('Overview - Section A'!O$122:O230,MATCH(AT65,'Overview - Section A'!AQ$122:AQ230,0)),"")</f>
        <v/>
      </c>
      <c r="BF65" s="232" t="str">
        <f>IFERROR(INDEX('Overview - Section A'!H$122:H230,MATCH(AT65,'Overview - Section A'!AQ$122:AQ230,0)),"")</f>
        <v/>
      </c>
    </row>
    <row r="66" spans="1:58" s="232" customFormat="1" ht="30" customHeight="1" x14ac:dyDescent="0.3">
      <c r="A66" s="178">
        <v>58</v>
      </c>
      <c r="B66" s="200"/>
      <c r="C66" s="200"/>
      <c r="D66" s="200"/>
      <c r="E66" s="200"/>
      <c r="F66" s="200"/>
      <c r="G66" s="201"/>
      <c r="H66" s="201"/>
      <c r="I66" s="201"/>
      <c r="J66" s="200"/>
      <c r="K66" s="200"/>
      <c r="L66" s="201"/>
      <c r="M66" s="201"/>
      <c r="N66" s="200"/>
      <c r="O66" s="200"/>
      <c r="P66" s="201"/>
      <c r="Q66" s="201"/>
      <c r="R66" s="200"/>
      <c r="S66" s="200"/>
      <c r="T66" s="201"/>
      <c r="U66" s="201"/>
      <c r="V66" s="200"/>
      <c r="W66" s="200"/>
      <c r="X66" s="201"/>
      <c r="Y66" s="201"/>
      <c r="Z66" s="200"/>
      <c r="AA66" s="200"/>
      <c r="AB66" s="201"/>
      <c r="AC66" s="201"/>
      <c r="AD66" s="200"/>
      <c r="AE66" s="200"/>
      <c r="AF66" s="201"/>
      <c r="AG66" s="201"/>
      <c r="AH66" s="200"/>
      <c r="AI66" s="200"/>
      <c r="AJ66" s="201"/>
      <c r="AK66" s="201"/>
      <c r="AL66" s="200"/>
      <c r="AM66" s="200"/>
      <c r="AN66" s="200"/>
      <c r="AO66" s="193" t="str">
        <f>IFERROR(VLOOKUP(D66,'Reference Records'!$C$160:$E$252,3,FALSE),"")</f>
        <v/>
      </c>
      <c r="AP66" s="232" t="e">
        <f>VLOOKUP(AO66,'Reference Records'!$E$160:$F$252,2,0)</f>
        <v>#N/A</v>
      </c>
      <c r="AQ66" s="232" t="e">
        <f>MATCH($AP66,'Reference Records'!$E$330:$E$506,0)+ROW(Population_by_intervention) -1</f>
        <v>#N/A</v>
      </c>
      <c r="AR66" s="232" t="e">
        <f>MATCH($AP66,'Reference Records'!$E$330:$E$506,1)+ROW(Population_by_intervention) -1</f>
        <v>#N/A</v>
      </c>
      <c r="AS66" s="232" t="str">
        <f t="shared" si="1"/>
        <v>|empty|</v>
      </c>
      <c r="AT66" s="232" t="str">
        <f>IF(AS66="","",IFERROR(VLOOKUP(AS66,'Overview - Section A'!AF$123:AG231,2,0),VLOOKUP("|empty|",'Overview - Section A'!AF$123:AG231,2,0)))</f>
        <v>INT-130914</v>
      </c>
      <c r="AU66" s="200"/>
      <c r="AV66" s="200"/>
      <c r="AY66" s="232">
        <f t="shared" si="3"/>
        <v>2254</v>
      </c>
      <c r="AZ66" s="232">
        <f ca="1">AZ65+'update Helper'!$Z$2</f>
        <v>2705</v>
      </c>
      <c r="BC66" s="232" t="str">
        <f ca="1">IF(INDIRECT("'update Helper'!S"&amp;AY66)=0,"",IFERROR(VLOOKUP(INDIRECT("'update Helper'!S"&amp;AY66),'Account Role'!A$1:B$28,2,0),IFERROR(VLOOKUP(INDIRECT("'update Helper'!I"&amp;AY66),'Overview - Section A'!J$25:P$90,7,0),"")))</f>
        <v/>
      </c>
      <c r="BD66" s="232" t="str">
        <f ca="1">IFERROR(INDEX('Overview - Section A'!A$122:A231,MATCH(INDIRECT("'update Helper'!Q"&amp;AY66),'Overview - Section A'!AQ$122:AQ231,0)),"")</f>
        <v/>
      </c>
      <c r="BE66" s="232" t="str">
        <f>IFERROR(INDEX('Overview - Section A'!O$122:O231,MATCH(AT66,'Overview - Section A'!AQ$122:AQ231,0)),"")</f>
        <v/>
      </c>
      <c r="BF66" s="232" t="str">
        <f>IFERROR(INDEX('Overview - Section A'!H$122:H231,MATCH(AT66,'Overview - Section A'!AQ$122:AQ231,0)),"")</f>
        <v/>
      </c>
    </row>
    <row r="67" spans="1:58" s="232" customFormat="1" ht="30" customHeight="1" x14ac:dyDescent="0.3">
      <c r="A67" s="178">
        <v>59</v>
      </c>
      <c r="B67" s="200"/>
      <c r="C67" s="200"/>
      <c r="D67" s="200"/>
      <c r="E67" s="200"/>
      <c r="F67" s="200"/>
      <c r="G67" s="201"/>
      <c r="H67" s="201"/>
      <c r="I67" s="201"/>
      <c r="J67" s="200"/>
      <c r="K67" s="200"/>
      <c r="L67" s="201"/>
      <c r="M67" s="201"/>
      <c r="N67" s="200"/>
      <c r="O67" s="200"/>
      <c r="P67" s="201"/>
      <c r="Q67" s="201"/>
      <c r="R67" s="200"/>
      <c r="S67" s="200"/>
      <c r="T67" s="201"/>
      <c r="U67" s="201"/>
      <c r="V67" s="200"/>
      <c r="W67" s="200"/>
      <c r="X67" s="201"/>
      <c r="Y67" s="201"/>
      <c r="Z67" s="200"/>
      <c r="AA67" s="200"/>
      <c r="AB67" s="201"/>
      <c r="AC67" s="201"/>
      <c r="AD67" s="200"/>
      <c r="AE67" s="200"/>
      <c r="AF67" s="201"/>
      <c r="AG67" s="201"/>
      <c r="AH67" s="200"/>
      <c r="AI67" s="200"/>
      <c r="AJ67" s="201"/>
      <c r="AK67" s="201"/>
      <c r="AL67" s="200"/>
      <c r="AM67" s="200"/>
      <c r="AN67" s="200"/>
      <c r="AO67" s="193" t="str">
        <f>IFERROR(VLOOKUP(D67,'Reference Records'!$C$160:$E$252,3,FALSE),"")</f>
        <v/>
      </c>
      <c r="AP67" s="232" t="e">
        <f>VLOOKUP(AO67,'Reference Records'!$E$160:$F$252,2,0)</f>
        <v>#N/A</v>
      </c>
      <c r="AQ67" s="232" t="e">
        <f>MATCH($AP67,'Reference Records'!$E$330:$E$506,0)+ROW(Population_by_intervention) -1</f>
        <v>#N/A</v>
      </c>
      <c r="AR67" s="232" t="e">
        <f>MATCH($AP67,'Reference Records'!$E$330:$E$506,1)+ROW(Population_by_intervention) -1</f>
        <v>#N/A</v>
      </c>
      <c r="AS67" s="232" t="str">
        <f t="shared" si="1"/>
        <v>|empty|</v>
      </c>
      <c r="AT67" s="232" t="str">
        <f>IF(AS67="","",IFERROR(VLOOKUP(AS67,'Overview - Section A'!AF$123:AG232,2,0),VLOOKUP("|empty|",'Overview - Section A'!AF$123:AG232,2,0)))</f>
        <v>INT-130914</v>
      </c>
      <c r="AU67" s="200"/>
      <c r="AV67" s="200"/>
      <c r="AY67" s="232">
        <f t="shared" si="3"/>
        <v>2255</v>
      </c>
      <c r="AZ67" s="232">
        <f ca="1">AZ66+'update Helper'!$Z$2</f>
        <v>2711</v>
      </c>
      <c r="BC67" s="232" t="str">
        <f ca="1">IF(INDIRECT("'update Helper'!S"&amp;AY67)=0,"",IFERROR(VLOOKUP(INDIRECT("'update Helper'!S"&amp;AY67),'Account Role'!A$1:B$28,2,0),IFERROR(VLOOKUP(INDIRECT("'update Helper'!I"&amp;AY67),'Overview - Section A'!J$25:P$90,7,0),"")))</f>
        <v/>
      </c>
      <c r="BD67" s="232" t="str">
        <f ca="1">IFERROR(INDEX('Overview - Section A'!A$122:A232,MATCH(INDIRECT("'update Helper'!Q"&amp;AY67),'Overview - Section A'!AQ$122:AQ232,0)),"")</f>
        <v/>
      </c>
      <c r="BE67" s="232" t="str">
        <f>IFERROR(INDEX('Overview - Section A'!O$122:O232,MATCH(AT67,'Overview - Section A'!AQ$122:AQ232,0)),"")</f>
        <v/>
      </c>
      <c r="BF67" s="232" t="str">
        <f>IFERROR(INDEX('Overview - Section A'!H$122:H232,MATCH(AT67,'Overview - Section A'!AQ$122:AQ232,0)),"")</f>
        <v/>
      </c>
    </row>
    <row r="68" spans="1:58" s="232" customFormat="1" ht="30" customHeight="1" x14ac:dyDescent="0.3">
      <c r="A68" s="178">
        <v>60</v>
      </c>
      <c r="B68" s="200"/>
      <c r="C68" s="200"/>
      <c r="D68" s="200"/>
      <c r="E68" s="200"/>
      <c r="F68" s="200"/>
      <c r="G68" s="201"/>
      <c r="H68" s="201"/>
      <c r="I68" s="201"/>
      <c r="J68" s="200"/>
      <c r="K68" s="200"/>
      <c r="L68" s="201"/>
      <c r="M68" s="201"/>
      <c r="N68" s="200"/>
      <c r="O68" s="200"/>
      <c r="P68" s="201"/>
      <c r="Q68" s="201"/>
      <c r="R68" s="200"/>
      <c r="S68" s="200"/>
      <c r="T68" s="201"/>
      <c r="U68" s="201"/>
      <c r="V68" s="200"/>
      <c r="W68" s="200"/>
      <c r="X68" s="201"/>
      <c r="Y68" s="201"/>
      <c r="Z68" s="200"/>
      <c r="AA68" s="200"/>
      <c r="AB68" s="201"/>
      <c r="AC68" s="201"/>
      <c r="AD68" s="200"/>
      <c r="AE68" s="200"/>
      <c r="AF68" s="201"/>
      <c r="AG68" s="201"/>
      <c r="AH68" s="200"/>
      <c r="AI68" s="200"/>
      <c r="AJ68" s="201"/>
      <c r="AK68" s="201"/>
      <c r="AL68" s="200"/>
      <c r="AM68" s="200"/>
      <c r="AN68" s="200"/>
      <c r="AO68" s="193" t="str">
        <f>IFERROR(VLOOKUP(D68,'Reference Records'!$C$160:$E$252,3,FALSE),"")</f>
        <v/>
      </c>
      <c r="AP68" s="232" t="e">
        <f>VLOOKUP(AO68,'Reference Records'!$E$160:$F$252,2,0)</f>
        <v>#N/A</v>
      </c>
      <c r="AQ68" s="232" t="e">
        <f>MATCH($AP68,'Reference Records'!$E$330:$E$506,0)+ROW(Population_by_intervention) -1</f>
        <v>#N/A</v>
      </c>
      <c r="AR68" s="232" t="e">
        <f>MATCH($AP68,'Reference Records'!$E$330:$E$506,1)+ROW(Population_by_intervention) -1</f>
        <v>#N/A</v>
      </c>
      <c r="AS68" s="232" t="str">
        <f t="shared" si="1"/>
        <v>|empty|</v>
      </c>
      <c r="AT68" s="232" t="str">
        <f>IF(AS68="","",IFERROR(VLOOKUP(AS68,'Overview - Section A'!AF$123:AG233,2,0),VLOOKUP("|empty|",'Overview - Section A'!AF$123:AG233,2,0)))</f>
        <v>INT-130914</v>
      </c>
      <c r="AU68" s="200"/>
      <c r="AV68" s="200"/>
      <c r="AY68" s="232">
        <f t="shared" si="3"/>
        <v>2256</v>
      </c>
      <c r="AZ68" s="232">
        <f ca="1">AZ67+'update Helper'!$Z$2</f>
        <v>2717</v>
      </c>
      <c r="BC68" s="232" t="str">
        <f ca="1">IF(INDIRECT("'update Helper'!S"&amp;AY68)=0,"",IFERROR(VLOOKUP(INDIRECT("'update Helper'!S"&amp;AY68),'Account Role'!A$1:B$28,2,0),IFERROR(VLOOKUP(INDIRECT("'update Helper'!I"&amp;AY68),'Overview - Section A'!J$25:P$90,7,0),"")))</f>
        <v/>
      </c>
      <c r="BD68" s="232" t="str">
        <f ca="1">IFERROR(INDEX('Overview - Section A'!A$122:A233,MATCH(INDIRECT("'update Helper'!Q"&amp;AY68),'Overview - Section A'!AQ$122:AQ233,0)),"")</f>
        <v/>
      </c>
      <c r="BE68" s="232" t="str">
        <f>IFERROR(INDEX('Overview - Section A'!O$122:O233,MATCH(AT68,'Overview - Section A'!AQ$122:AQ233,0)),"")</f>
        <v/>
      </c>
      <c r="BF68" s="232" t="str">
        <f>IFERROR(INDEX('Overview - Section A'!H$122:H233,MATCH(AT68,'Overview - Section A'!AQ$122:AQ233,0)),"")</f>
        <v/>
      </c>
    </row>
    <row r="69" spans="1:58" s="232" customFormat="1" ht="30" customHeight="1" x14ac:dyDescent="0.3">
      <c r="A69" s="178">
        <v>61</v>
      </c>
      <c r="B69" s="200"/>
      <c r="C69" s="200"/>
      <c r="D69" s="200"/>
      <c r="E69" s="200"/>
      <c r="F69" s="200"/>
      <c r="G69" s="201"/>
      <c r="H69" s="201"/>
      <c r="I69" s="201"/>
      <c r="J69" s="200"/>
      <c r="K69" s="200"/>
      <c r="L69" s="201"/>
      <c r="M69" s="201"/>
      <c r="N69" s="200"/>
      <c r="O69" s="200"/>
      <c r="P69" s="201"/>
      <c r="Q69" s="201"/>
      <c r="R69" s="200"/>
      <c r="S69" s="200"/>
      <c r="T69" s="201"/>
      <c r="U69" s="201"/>
      <c r="V69" s="200"/>
      <c r="W69" s="200"/>
      <c r="X69" s="201"/>
      <c r="Y69" s="201"/>
      <c r="Z69" s="200"/>
      <c r="AA69" s="200"/>
      <c r="AB69" s="201"/>
      <c r="AC69" s="201"/>
      <c r="AD69" s="200"/>
      <c r="AE69" s="200"/>
      <c r="AF69" s="201"/>
      <c r="AG69" s="201"/>
      <c r="AH69" s="200"/>
      <c r="AI69" s="200"/>
      <c r="AJ69" s="201"/>
      <c r="AK69" s="201"/>
      <c r="AL69" s="200"/>
      <c r="AM69" s="200"/>
      <c r="AN69" s="200"/>
      <c r="AO69" s="193" t="str">
        <f>IFERROR(VLOOKUP(D69,'Reference Records'!$C$160:$E$252,3,FALSE),"")</f>
        <v/>
      </c>
      <c r="AP69" s="232" t="e">
        <f>VLOOKUP(AO69,'Reference Records'!$E$160:$F$252,2,0)</f>
        <v>#N/A</v>
      </c>
      <c r="AQ69" s="232" t="e">
        <f>MATCH($AP69,'Reference Records'!$E$330:$E$506,0)+ROW(Population_by_intervention) -1</f>
        <v>#N/A</v>
      </c>
      <c r="AR69" s="232" t="e">
        <f>MATCH($AP69,'Reference Records'!$E$330:$E$506,1)+ROW(Population_by_intervention) -1</f>
        <v>#N/A</v>
      </c>
      <c r="AS69" s="232" t="str">
        <f t="shared" si="1"/>
        <v>|empty|</v>
      </c>
      <c r="AT69" s="232" t="str">
        <f>IF(AS69="","",IFERROR(VLOOKUP(AS69,'Overview - Section A'!AF$123:AG234,2,0),VLOOKUP("|empty|",'Overview - Section A'!AF$123:AG234,2,0)))</f>
        <v>INT-130914</v>
      </c>
      <c r="AU69" s="200"/>
      <c r="AV69" s="200"/>
      <c r="AY69" s="232">
        <f t="shared" si="3"/>
        <v>2257</v>
      </c>
      <c r="AZ69" s="232">
        <f ca="1">AZ68+'update Helper'!$Z$2</f>
        <v>2723</v>
      </c>
      <c r="BC69" s="232" t="str">
        <f ca="1">IF(INDIRECT("'update Helper'!S"&amp;AY69)=0,"",IFERROR(VLOOKUP(INDIRECT("'update Helper'!S"&amp;AY69),'Account Role'!A$1:B$28,2,0),IFERROR(VLOOKUP(INDIRECT("'update Helper'!I"&amp;AY69),'Overview - Section A'!J$25:P$90,7,0),"")))</f>
        <v/>
      </c>
      <c r="BD69" s="232" t="str">
        <f ca="1">IFERROR(INDEX('Overview - Section A'!A$122:A234,MATCH(INDIRECT("'update Helper'!Q"&amp;AY69),'Overview - Section A'!AQ$122:AQ234,0)),"")</f>
        <v/>
      </c>
      <c r="BE69" s="232" t="str">
        <f>IFERROR(INDEX('Overview - Section A'!O$122:O234,MATCH(AT69,'Overview - Section A'!AQ$122:AQ234,0)),"")</f>
        <v/>
      </c>
      <c r="BF69" s="232" t="str">
        <f>IFERROR(INDEX('Overview - Section A'!H$122:H234,MATCH(AT69,'Overview - Section A'!AQ$122:AQ234,0)),"")</f>
        <v/>
      </c>
    </row>
    <row r="70" spans="1:58" s="232" customFormat="1" ht="30" customHeight="1" x14ac:dyDescent="0.3">
      <c r="A70" s="178">
        <v>62</v>
      </c>
      <c r="B70" s="200"/>
      <c r="C70" s="200"/>
      <c r="D70" s="200"/>
      <c r="E70" s="200"/>
      <c r="F70" s="200"/>
      <c r="G70" s="201"/>
      <c r="H70" s="201"/>
      <c r="I70" s="201"/>
      <c r="J70" s="200"/>
      <c r="K70" s="200"/>
      <c r="L70" s="201"/>
      <c r="M70" s="201"/>
      <c r="N70" s="200"/>
      <c r="O70" s="200"/>
      <c r="P70" s="201"/>
      <c r="Q70" s="201"/>
      <c r="R70" s="200"/>
      <c r="S70" s="200"/>
      <c r="T70" s="201"/>
      <c r="U70" s="201"/>
      <c r="V70" s="200"/>
      <c r="W70" s="200"/>
      <c r="X70" s="201"/>
      <c r="Y70" s="201"/>
      <c r="Z70" s="200"/>
      <c r="AA70" s="200"/>
      <c r="AB70" s="201"/>
      <c r="AC70" s="201"/>
      <c r="AD70" s="200"/>
      <c r="AE70" s="200"/>
      <c r="AF70" s="201"/>
      <c r="AG70" s="201"/>
      <c r="AH70" s="200"/>
      <c r="AI70" s="200"/>
      <c r="AJ70" s="201"/>
      <c r="AK70" s="201"/>
      <c r="AL70" s="200"/>
      <c r="AM70" s="200"/>
      <c r="AN70" s="200"/>
      <c r="AO70" s="193" t="str">
        <f>IFERROR(VLOOKUP(D70,'Reference Records'!$C$160:$E$252,3,FALSE),"")</f>
        <v/>
      </c>
      <c r="AP70" s="232" t="e">
        <f>VLOOKUP(AO70,'Reference Records'!$E$160:$F$252,2,0)</f>
        <v>#N/A</v>
      </c>
      <c r="AQ70" s="232" t="e">
        <f>MATCH($AP70,'Reference Records'!$E$330:$E$506,0)+ROW(Population_by_intervention) -1</f>
        <v>#N/A</v>
      </c>
      <c r="AR70" s="232" t="e">
        <f>MATCH($AP70,'Reference Records'!$E$330:$E$506,1)+ROW(Population_by_intervention) -1</f>
        <v>#N/A</v>
      </c>
      <c r="AS70" s="232" t="str">
        <f t="shared" si="1"/>
        <v>|empty|</v>
      </c>
      <c r="AT70" s="232" t="str">
        <f>IF(AS70="","",IFERROR(VLOOKUP(AS70,'Overview - Section A'!AF$123:AG235,2,0),VLOOKUP("|empty|",'Overview - Section A'!AF$123:AG235,2,0)))</f>
        <v>INT-130914</v>
      </c>
      <c r="AU70" s="200"/>
      <c r="AV70" s="200"/>
      <c r="AY70" s="232">
        <f t="shared" si="3"/>
        <v>2258</v>
      </c>
      <c r="AZ70" s="232">
        <f ca="1">AZ69+'update Helper'!$Z$2</f>
        <v>2729</v>
      </c>
      <c r="BC70" s="232" t="str">
        <f ca="1">IF(INDIRECT("'update Helper'!S"&amp;AY70)=0,"",IFERROR(VLOOKUP(INDIRECT("'update Helper'!S"&amp;AY70),'Account Role'!A$1:B$28,2,0),IFERROR(VLOOKUP(INDIRECT("'update Helper'!I"&amp;AY70),'Overview - Section A'!J$25:P$90,7,0),"")))</f>
        <v/>
      </c>
      <c r="BD70" s="232" t="str">
        <f ca="1">IFERROR(INDEX('Overview - Section A'!A$122:A235,MATCH(INDIRECT("'update Helper'!Q"&amp;AY70),'Overview - Section A'!AQ$122:AQ235,0)),"")</f>
        <v/>
      </c>
      <c r="BE70" s="232" t="str">
        <f>IFERROR(INDEX('Overview - Section A'!O$122:O235,MATCH(AT70,'Overview - Section A'!AQ$122:AQ235,0)),"")</f>
        <v/>
      </c>
      <c r="BF70" s="232" t="str">
        <f>IFERROR(INDEX('Overview - Section A'!H$122:H235,MATCH(AT70,'Overview - Section A'!AQ$122:AQ235,0)),"")</f>
        <v/>
      </c>
    </row>
    <row r="71" spans="1:58" s="232" customFormat="1" ht="30" customHeight="1" x14ac:dyDescent="0.3">
      <c r="A71" s="178">
        <v>63</v>
      </c>
      <c r="B71" s="200"/>
      <c r="C71" s="200"/>
      <c r="D71" s="200"/>
      <c r="E71" s="200"/>
      <c r="F71" s="200"/>
      <c r="G71" s="201"/>
      <c r="H71" s="201"/>
      <c r="I71" s="201"/>
      <c r="J71" s="200"/>
      <c r="K71" s="200"/>
      <c r="L71" s="201"/>
      <c r="M71" s="201"/>
      <c r="N71" s="200"/>
      <c r="O71" s="200"/>
      <c r="P71" s="201"/>
      <c r="Q71" s="201"/>
      <c r="R71" s="200"/>
      <c r="S71" s="200"/>
      <c r="T71" s="201"/>
      <c r="U71" s="201"/>
      <c r="V71" s="200"/>
      <c r="W71" s="200"/>
      <c r="X71" s="201"/>
      <c r="Y71" s="201"/>
      <c r="Z71" s="200"/>
      <c r="AA71" s="200"/>
      <c r="AB71" s="201"/>
      <c r="AC71" s="201"/>
      <c r="AD71" s="200"/>
      <c r="AE71" s="200"/>
      <c r="AF71" s="201"/>
      <c r="AG71" s="201"/>
      <c r="AH71" s="200"/>
      <c r="AI71" s="200"/>
      <c r="AJ71" s="201"/>
      <c r="AK71" s="201"/>
      <c r="AL71" s="200"/>
      <c r="AM71" s="200"/>
      <c r="AN71" s="200"/>
      <c r="AO71" s="193" t="str">
        <f>IFERROR(VLOOKUP(D71,'Reference Records'!$C$160:$E$252,3,FALSE),"")</f>
        <v/>
      </c>
      <c r="AP71" s="232" t="e">
        <f>VLOOKUP(AO71,'Reference Records'!$E$160:$F$252,2,0)</f>
        <v>#N/A</v>
      </c>
      <c r="AQ71" s="232" t="e">
        <f>MATCH($AP71,'Reference Records'!$E$330:$E$506,0)+ROW(Population_by_intervention) -1</f>
        <v>#N/A</v>
      </c>
      <c r="AR71" s="232" t="e">
        <f>MATCH($AP71,'Reference Records'!$E$330:$E$506,1)+ROW(Population_by_intervention) -1</f>
        <v>#N/A</v>
      </c>
      <c r="AS71" s="232" t="str">
        <f t="shared" si="1"/>
        <v>|empty|</v>
      </c>
      <c r="AT71" s="232" t="str">
        <f>IF(AS71="","",IFERROR(VLOOKUP(AS71,'Overview - Section A'!AF$123:AG236,2,0),VLOOKUP("|empty|",'Overview - Section A'!AF$123:AG236,2,0)))</f>
        <v>INT-130914</v>
      </c>
      <c r="AU71" s="200"/>
      <c r="AV71" s="200"/>
      <c r="AY71" s="232">
        <f t="shared" si="3"/>
        <v>2259</v>
      </c>
      <c r="AZ71" s="232">
        <f ca="1">AZ70+'update Helper'!$Z$2</f>
        <v>2735</v>
      </c>
      <c r="BC71" s="232" t="str">
        <f ca="1">IF(INDIRECT("'update Helper'!S"&amp;AY71)=0,"",IFERROR(VLOOKUP(INDIRECT("'update Helper'!S"&amp;AY71),'Account Role'!A$1:B$28,2,0),IFERROR(VLOOKUP(INDIRECT("'update Helper'!I"&amp;AY71),'Overview - Section A'!J$25:P$90,7,0),"")))</f>
        <v/>
      </c>
      <c r="BD71" s="232" t="str">
        <f ca="1">IFERROR(INDEX('Overview - Section A'!A$122:A236,MATCH(INDIRECT("'update Helper'!Q"&amp;AY71),'Overview - Section A'!AQ$122:AQ236,0)),"")</f>
        <v/>
      </c>
      <c r="BE71" s="232" t="str">
        <f>IFERROR(INDEX('Overview - Section A'!O$122:O236,MATCH(AT71,'Overview - Section A'!AQ$122:AQ236,0)),"")</f>
        <v/>
      </c>
      <c r="BF71" s="232" t="str">
        <f>IFERROR(INDEX('Overview - Section A'!H$122:H236,MATCH(AT71,'Overview - Section A'!AQ$122:AQ236,0)),"")</f>
        <v/>
      </c>
    </row>
    <row r="72" spans="1:58" s="232" customFormat="1" ht="30" customHeight="1" x14ac:dyDescent="0.3">
      <c r="A72" s="178">
        <v>64</v>
      </c>
      <c r="B72" s="200"/>
      <c r="C72" s="200"/>
      <c r="D72" s="200"/>
      <c r="E72" s="200"/>
      <c r="F72" s="200"/>
      <c r="G72" s="201"/>
      <c r="H72" s="201"/>
      <c r="I72" s="201"/>
      <c r="J72" s="200"/>
      <c r="K72" s="200"/>
      <c r="L72" s="201"/>
      <c r="M72" s="201"/>
      <c r="N72" s="200"/>
      <c r="O72" s="200"/>
      <c r="P72" s="201"/>
      <c r="Q72" s="201"/>
      <c r="R72" s="200"/>
      <c r="S72" s="200"/>
      <c r="T72" s="201"/>
      <c r="U72" s="201"/>
      <c r="V72" s="200"/>
      <c r="W72" s="200"/>
      <c r="X72" s="201"/>
      <c r="Y72" s="201"/>
      <c r="Z72" s="200"/>
      <c r="AA72" s="200"/>
      <c r="AB72" s="201"/>
      <c r="AC72" s="201"/>
      <c r="AD72" s="200"/>
      <c r="AE72" s="200"/>
      <c r="AF72" s="201"/>
      <c r="AG72" s="201"/>
      <c r="AH72" s="200"/>
      <c r="AI72" s="200"/>
      <c r="AJ72" s="201"/>
      <c r="AK72" s="201"/>
      <c r="AL72" s="200"/>
      <c r="AM72" s="200"/>
      <c r="AN72" s="200"/>
      <c r="AO72" s="193" t="str">
        <f>IFERROR(VLOOKUP(D72,'Reference Records'!$C$160:$E$252,3,FALSE),"")</f>
        <v/>
      </c>
      <c r="AP72" s="232" t="e">
        <f>VLOOKUP(AO72,'Reference Records'!$E$160:$F$252,2,0)</f>
        <v>#N/A</v>
      </c>
      <c r="AQ72" s="232" t="e">
        <f>MATCH($AP72,'Reference Records'!$E$330:$E$506,0)+ROW(Population_by_intervention) -1</f>
        <v>#N/A</v>
      </c>
      <c r="AR72" s="232" t="e">
        <f>MATCH($AP72,'Reference Records'!$E$330:$E$506,1)+ROW(Population_by_intervention) -1</f>
        <v>#N/A</v>
      </c>
      <c r="AS72" s="232" t="str">
        <f t="shared" si="1"/>
        <v>|empty|</v>
      </c>
      <c r="AT72" s="232" t="str">
        <f>IF(AS72="","",IFERROR(VLOOKUP(AS72,'Overview - Section A'!AF$123:AG237,2,0),VLOOKUP("|empty|",'Overview - Section A'!AF$123:AG237,2,0)))</f>
        <v>INT-130914</v>
      </c>
      <c r="AU72" s="200"/>
      <c r="AV72" s="200"/>
      <c r="AY72" s="232">
        <f t="shared" si="3"/>
        <v>2260</v>
      </c>
      <c r="AZ72" s="232">
        <f ca="1">AZ71+'update Helper'!$Z$2</f>
        <v>2741</v>
      </c>
      <c r="BC72" s="232" t="str">
        <f ca="1">IF(INDIRECT("'update Helper'!S"&amp;AY72)=0,"",IFERROR(VLOOKUP(INDIRECT("'update Helper'!S"&amp;AY72),'Account Role'!A$1:B$28,2,0),IFERROR(VLOOKUP(INDIRECT("'update Helper'!I"&amp;AY72),'Overview - Section A'!J$25:P$90,7,0),"")))</f>
        <v/>
      </c>
      <c r="BD72" s="232" t="str">
        <f ca="1">IFERROR(INDEX('Overview - Section A'!A$122:A237,MATCH(INDIRECT("'update Helper'!Q"&amp;AY72),'Overview - Section A'!AQ$122:AQ237,0)),"")</f>
        <v/>
      </c>
      <c r="BE72" s="232" t="str">
        <f>IFERROR(INDEX('Overview - Section A'!O$122:O237,MATCH(AT72,'Overview - Section A'!AQ$122:AQ237,0)),"")</f>
        <v/>
      </c>
      <c r="BF72" s="232" t="str">
        <f>IFERROR(INDEX('Overview - Section A'!H$122:H237,MATCH(AT72,'Overview - Section A'!AQ$122:AQ237,0)),"")</f>
        <v/>
      </c>
    </row>
    <row r="73" spans="1:58" s="232" customFormat="1" ht="30" customHeight="1" x14ac:dyDescent="0.3">
      <c r="A73" s="178">
        <v>65</v>
      </c>
      <c r="B73" s="200"/>
      <c r="C73" s="200"/>
      <c r="D73" s="200"/>
      <c r="E73" s="200"/>
      <c r="F73" s="200"/>
      <c r="G73" s="201"/>
      <c r="H73" s="201"/>
      <c r="I73" s="201"/>
      <c r="J73" s="200"/>
      <c r="K73" s="200"/>
      <c r="L73" s="201"/>
      <c r="M73" s="201"/>
      <c r="N73" s="200"/>
      <c r="O73" s="200"/>
      <c r="P73" s="201"/>
      <c r="Q73" s="201"/>
      <c r="R73" s="200"/>
      <c r="S73" s="200"/>
      <c r="T73" s="201"/>
      <c r="U73" s="201"/>
      <c r="V73" s="200"/>
      <c r="W73" s="200"/>
      <c r="X73" s="201"/>
      <c r="Y73" s="201"/>
      <c r="Z73" s="200"/>
      <c r="AA73" s="200"/>
      <c r="AB73" s="201"/>
      <c r="AC73" s="201"/>
      <c r="AD73" s="200"/>
      <c r="AE73" s="200"/>
      <c r="AF73" s="201"/>
      <c r="AG73" s="201"/>
      <c r="AH73" s="200"/>
      <c r="AI73" s="200"/>
      <c r="AJ73" s="201"/>
      <c r="AK73" s="201"/>
      <c r="AL73" s="200"/>
      <c r="AM73" s="200"/>
      <c r="AN73" s="200"/>
      <c r="AO73" s="193" t="str">
        <f>IFERROR(VLOOKUP(D73,'Reference Records'!$C$160:$E$252,3,FALSE),"")</f>
        <v/>
      </c>
      <c r="AP73" s="232" t="e">
        <f>VLOOKUP(AO73,'Reference Records'!$E$160:$F$252,2,0)</f>
        <v>#N/A</v>
      </c>
      <c r="AQ73" s="232" t="e">
        <f>MATCH($AP73,'Reference Records'!$E$330:$E$506,0)+ROW(Population_by_intervention) -1</f>
        <v>#N/A</v>
      </c>
      <c r="AR73" s="232" t="e">
        <f>MATCH($AP73,'Reference Records'!$E$330:$E$506,1)+ROW(Population_by_intervention) -1</f>
        <v>#N/A</v>
      </c>
      <c r="AS73" s="232" t="str">
        <f t="shared" si="1"/>
        <v>|empty|</v>
      </c>
      <c r="AT73" s="232" t="str">
        <f>IF(AS73="","",IFERROR(VLOOKUP(AS73,'Overview - Section A'!AF$123:AG238,2,0),VLOOKUP("|empty|",'Overview - Section A'!AF$123:AG238,2,0)))</f>
        <v>INT-130914</v>
      </c>
      <c r="AU73" s="200"/>
      <c r="AV73" s="200"/>
      <c r="AY73" s="232">
        <f t="shared" si="3"/>
        <v>2261</v>
      </c>
      <c r="AZ73" s="232">
        <f ca="1">AZ72+'update Helper'!$Z$2</f>
        <v>2747</v>
      </c>
      <c r="BC73" s="232" t="str">
        <f ca="1">IF(INDIRECT("'update Helper'!S"&amp;AY73)=0,"",IFERROR(VLOOKUP(INDIRECT("'update Helper'!S"&amp;AY73),'Account Role'!A$1:B$28,2,0),IFERROR(VLOOKUP(INDIRECT("'update Helper'!I"&amp;AY73),'Overview - Section A'!J$25:P$90,7,0),"")))</f>
        <v/>
      </c>
      <c r="BD73" s="232" t="str">
        <f ca="1">IFERROR(INDEX('Overview - Section A'!A$122:A238,MATCH(INDIRECT("'update Helper'!Q"&amp;AY73),'Overview - Section A'!AQ$122:AQ238,0)),"")</f>
        <v/>
      </c>
      <c r="BE73" s="232" t="str">
        <f>IFERROR(INDEX('Overview - Section A'!O$122:O238,MATCH(AT73,'Overview - Section A'!AQ$122:AQ238,0)),"")</f>
        <v/>
      </c>
      <c r="BF73" s="232" t="str">
        <f>IFERROR(INDEX('Overview - Section A'!H$122:H238,MATCH(AT73,'Overview - Section A'!AQ$122:AQ238,0)),"")</f>
        <v/>
      </c>
    </row>
    <row r="74" spans="1:58" s="232" customFormat="1" ht="30" customHeight="1" x14ac:dyDescent="0.3">
      <c r="A74" s="178">
        <v>66</v>
      </c>
      <c r="B74" s="200"/>
      <c r="C74" s="200"/>
      <c r="D74" s="200"/>
      <c r="E74" s="200"/>
      <c r="F74" s="200"/>
      <c r="G74" s="201"/>
      <c r="H74" s="201"/>
      <c r="I74" s="201"/>
      <c r="J74" s="200"/>
      <c r="K74" s="200"/>
      <c r="L74" s="201"/>
      <c r="M74" s="201"/>
      <c r="N74" s="200"/>
      <c r="O74" s="200"/>
      <c r="P74" s="201"/>
      <c r="Q74" s="201"/>
      <c r="R74" s="200"/>
      <c r="S74" s="200"/>
      <c r="T74" s="201"/>
      <c r="U74" s="201"/>
      <c r="V74" s="200"/>
      <c r="W74" s="200"/>
      <c r="X74" s="201"/>
      <c r="Y74" s="201"/>
      <c r="Z74" s="200"/>
      <c r="AA74" s="200"/>
      <c r="AB74" s="201"/>
      <c r="AC74" s="201"/>
      <c r="AD74" s="200"/>
      <c r="AE74" s="200"/>
      <c r="AF74" s="201"/>
      <c r="AG74" s="201"/>
      <c r="AH74" s="200"/>
      <c r="AI74" s="200"/>
      <c r="AJ74" s="201"/>
      <c r="AK74" s="201"/>
      <c r="AL74" s="200"/>
      <c r="AM74" s="200"/>
      <c r="AN74" s="200"/>
      <c r="AO74" s="193" t="str">
        <f>IFERROR(VLOOKUP(D74,'Reference Records'!$C$160:$E$252,3,FALSE),"")</f>
        <v/>
      </c>
      <c r="AP74" s="232" t="e">
        <f>VLOOKUP(AO74,'Reference Records'!$E$160:$F$252,2,0)</f>
        <v>#N/A</v>
      </c>
      <c r="AQ74" s="232" t="e">
        <f>MATCH($AP74,'Reference Records'!$E$330:$E$506,0)+ROW(Population_by_intervention) -1</f>
        <v>#N/A</v>
      </c>
      <c r="AR74" s="232" t="e">
        <f>MATCH($AP74,'Reference Records'!$E$330:$E$506,1)+ROW(Population_by_intervention) -1</f>
        <v>#N/A</v>
      </c>
      <c r="AS74" s="232" t="str">
        <f t="shared" ref="AS74:AS88" si="4">IF(B74&amp;C74="","|empty|",B74&amp;C74&amp;D74)</f>
        <v>|empty|</v>
      </c>
      <c r="AT74" s="232" t="str">
        <f>IF(AS74="","",IFERROR(VLOOKUP(AS74,'Overview - Section A'!AF$123:AG239,2,0),VLOOKUP("|empty|",'Overview - Section A'!AF$123:AG239,2,0)))</f>
        <v>INT-130914</v>
      </c>
      <c r="AU74" s="200"/>
      <c r="AV74" s="200"/>
      <c r="AY74" s="232">
        <f t="shared" si="3"/>
        <v>2262</v>
      </c>
      <c r="AZ74" s="232">
        <f ca="1">AZ73+'update Helper'!$Z$2</f>
        <v>2753</v>
      </c>
      <c r="BC74" s="232" t="str">
        <f ca="1">IF(INDIRECT("'update Helper'!S"&amp;AY74)=0,"",IFERROR(VLOOKUP(INDIRECT("'update Helper'!S"&amp;AY74),'Account Role'!A$1:B$28,2,0),IFERROR(VLOOKUP(INDIRECT("'update Helper'!I"&amp;AY74),'Overview - Section A'!J$25:P$90,7,0),"")))</f>
        <v/>
      </c>
      <c r="BD74" s="232" t="str">
        <f ca="1">IFERROR(INDEX('Overview - Section A'!A$122:A239,MATCH(INDIRECT("'update Helper'!Q"&amp;AY74),'Overview - Section A'!AQ$122:AQ239,0)),"")</f>
        <v/>
      </c>
      <c r="BE74" s="232" t="str">
        <f>IFERROR(INDEX('Overview - Section A'!O$122:O239,MATCH(AT74,'Overview - Section A'!AQ$122:AQ239,0)),"")</f>
        <v/>
      </c>
      <c r="BF74" s="232" t="str">
        <f>IFERROR(INDEX('Overview - Section A'!H$122:H239,MATCH(AT74,'Overview - Section A'!AQ$122:AQ239,0)),"")</f>
        <v/>
      </c>
    </row>
    <row r="75" spans="1:58" s="232" customFormat="1" ht="30" customHeight="1" x14ac:dyDescent="0.3">
      <c r="A75" s="178">
        <v>67</v>
      </c>
      <c r="B75" s="200"/>
      <c r="C75" s="200"/>
      <c r="D75" s="200"/>
      <c r="E75" s="200"/>
      <c r="F75" s="200"/>
      <c r="G75" s="201"/>
      <c r="H75" s="201"/>
      <c r="I75" s="201"/>
      <c r="J75" s="200"/>
      <c r="K75" s="200"/>
      <c r="L75" s="201"/>
      <c r="M75" s="201"/>
      <c r="N75" s="200"/>
      <c r="O75" s="200"/>
      <c r="P75" s="201"/>
      <c r="Q75" s="201"/>
      <c r="R75" s="200"/>
      <c r="S75" s="200"/>
      <c r="T75" s="201"/>
      <c r="U75" s="201"/>
      <c r="V75" s="200"/>
      <c r="W75" s="200"/>
      <c r="X75" s="201"/>
      <c r="Y75" s="201"/>
      <c r="Z75" s="200"/>
      <c r="AA75" s="200"/>
      <c r="AB75" s="201"/>
      <c r="AC75" s="201"/>
      <c r="AD75" s="200"/>
      <c r="AE75" s="200"/>
      <c r="AF75" s="201"/>
      <c r="AG75" s="201"/>
      <c r="AH75" s="200"/>
      <c r="AI75" s="200"/>
      <c r="AJ75" s="201"/>
      <c r="AK75" s="201"/>
      <c r="AL75" s="200"/>
      <c r="AM75" s="200"/>
      <c r="AN75" s="200"/>
      <c r="AO75" s="193" t="str">
        <f>IFERROR(VLOOKUP(D75,'Reference Records'!$C$160:$E$252,3,FALSE),"")</f>
        <v/>
      </c>
      <c r="AP75" s="232" t="e">
        <f>VLOOKUP(AO75,'Reference Records'!$E$160:$F$252,2,0)</f>
        <v>#N/A</v>
      </c>
      <c r="AQ75" s="232" t="e">
        <f>MATCH($AP75,'Reference Records'!$E$330:$E$506,0)+ROW(Population_by_intervention) -1</f>
        <v>#N/A</v>
      </c>
      <c r="AR75" s="232" t="e">
        <f>MATCH($AP75,'Reference Records'!$E$330:$E$506,1)+ROW(Population_by_intervention) -1</f>
        <v>#N/A</v>
      </c>
      <c r="AS75" s="232" t="str">
        <f t="shared" si="4"/>
        <v>|empty|</v>
      </c>
      <c r="AT75" s="232" t="str">
        <f>IF(AS75="","",IFERROR(VLOOKUP(AS75,'Overview - Section A'!AF$123:AG240,2,0),VLOOKUP("|empty|",'Overview - Section A'!AF$123:AG240,2,0)))</f>
        <v>INT-130914</v>
      </c>
      <c r="AU75" s="200"/>
      <c r="AV75" s="200"/>
      <c r="AY75" s="232">
        <f t="shared" ref="AY75:AY88" si="5">AY74+1</f>
        <v>2263</v>
      </c>
      <c r="AZ75" s="232">
        <f ca="1">AZ74+'update Helper'!$Z$2</f>
        <v>2759</v>
      </c>
      <c r="BC75" s="232" t="str">
        <f ca="1">IF(INDIRECT("'update Helper'!S"&amp;AY75)=0,"",IFERROR(VLOOKUP(INDIRECT("'update Helper'!S"&amp;AY75),'Account Role'!A$1:B$28,2,0),IFERROR(VLOOKUP(INDIRECT("'update Helper'!I"&amp;AY75),'Overview - Section A'!J$25:P$90,7,0),"")))</f>
        <v/>
      </c>
      <c r="BD75" s="232" t="str">
        <f ca="1">IFERROR(INDEX('Overview - Section A'!A$122:A240,MATCH(INDIRECT("'update Helper'!Q"&amp;AY75),'Overview - Section A'!AQ$122:AQ240,0)),"")</f>
        <v/>
      </c>
      <c r="BE75" s="232" t="str">
        <f>IFERROR(INDEX('Overview - Section A'!O$122:O240,MATCH(AT75,'Overview - Section A'!AQ$122:AQ240,0)),"")</f>
        <v/>
      </c>
      <c r="BF75" s="232" t="str">
        <f>IFERROR(INDEX('Overview - Section A'!H$122:H240,MATCH(AT75,'Overview - Section A'!AQ$122:AQ240,0)),"")</f>
        <v/>
      </c>
    </row>
    <row r="76" spans="1:58" s="232" customFormat="1" ht="30" customHeight="1" x14ac:dyDescent="0.3">
      <c r="A76" s="178">
        <v>68</v>
      </c>
      <c r="B76" s="200"/>
      <c r="C76" s="200"/>
      <c r="D76" s="200"/>
      <c r="E76" s="200"/>
      <c r="F76" s="200"/>
      <c r="G76" s="201"/>
      <c r="H76" s="201"/>
      <c r="I76" s="201"/>
      <c r="J76" s="200"/>
      <c r="K76" s="200"/>
      <c r="L76" s="201"/>
      <c r="M76" s="201"/>
      <c r="N76" s="200"/>
      <c r="O76" s="200"/>
      <c r="P76" s="201"/>
      <c r="Q76" s="201"/>
      <c r="R76" s="200"/>
      <c r="S76" s="200"/>
      <c r="T76" s="201"/>
      <c r="U76" s="201"/>
      <c r="V76" s="200"/>
      <c r="W76" s="200"/>
      <c r="X76" s="201"/>
      <c r="Y76" s="201"/>
      <c r="Z76" s="200"/>
      <c r="AA76" s="200"/>
      <c r="AB76" s="201"/>
      <c r="AC76" s="201"/>
      <c r="AD76" s="200"/>
      <c r="AE76" s="200"/>
      <c r="AF76" s="201"/>
      <c r="AG76" s="201"/>
      <c r="AH76" s="200"/>
      <c r="AI76" s="200"/>
      <c r="AJ76" s="201"/>
      <c r="AK76" s="201"/>
      <c r="AL76" s="200"/>
      <c r="AM76" s="200"/>
      <c r="AN76" s="200"/>
      <c r="AO76" s="193" t="str">
        <f>IFERROR(VLOOKUP(D76,'Reference Records'!$C$160:$E$252,3,FALSE),"")</f>
        <v/>
      </c>
      <c r="AP76" s="232" t="e">
        <f>VLOOKUP(AO76,'Reference Records'!$E$160:$F$252,2,0)</f>
        <v>#N/A</v>
      </c>
      <c r="AQ76" s="232" t="e">
        <f>MATCH($AP76,'Reference Records'!$E$330:$E$506,0)+ROW(Population_by_intervention) -1</f>
        <v>#N/A</v>
      </c>
      <c r="AR76" s="232" t="e">
        <f>MATCH($AP76,'Reference Records'!$E$330:$E$506,1)+ROW(Population_by_intervention) -1</f>
        <v>#N/A</v>
      </c>
      <c r="AS76" s="232" t="str">
        <f t="shared" si="4"/>
        <v>|empty|</v>
      </c>
      <c r="AT76" s="232" t="str">
        <f>IF(AS76="","",IFERROR(VLOOKUP(AS76,'Overview - Section A'!AF$123:AG241,2,0),VLOOKUP("|empty|",'Overview - Section A'!AF$123:AG241,2,0)))</f>
        <v>INT-130914</v>
      </c>
      <c r="AU76" s="200"/>
      <c r="AV76" s="200"/>
      <c r="AY76" s="232">
        <f t="shared" si="5"/>
        <v>2264</v>
      </c>
      <c r="AZ76" s="232">
        <f ca="1">AZ75+'update Helper'!$Z$2</f>
        <v>2765</v>
      </c>
      <c r="BC76" s="232" t="str">
        <f ca="1">IF(INDIRECT("'update Helper'!S"&amp;AY76)=0,"",IFERROR(VLOOKUP(INDIRECT("'update Helper'!S"&amp;AY76),'Account Role'!A$1:B$28,2,0),IFERROR(VLOOKUP(INDIRECT("'update Helper'!I"&amp;AY76),'Overview - Section A'!J$25:P$90,7,0),"")))</f>
        <v/>
      </c>
      <c r="BD76" s="232" t="str">
        <f ca="1">IFERROR(INDEX('Overview - Section A'!A$122:A241,MATCH(INDIRECT("'update Helper'!Q"&amp;AY76),'Overview - Section A'!AQ$122:AQ241,0)),"")</f>
        <v/>
      </c>
      <c r="BE76" s="232" t="str">
        <f>IFERROR(INDEX('Overview - Section A'!O$122:O241,MATCH(AT76,'Overview - Section A'!AQ$122:AQ241,0)),"")</f>
        <v/>
      </c>
      <c r="BF76" s="232" t="str">
        <f>IFERROR(INDEX('Overview - Section A'!H$122:H241,MATCH(AT76,'Overview - Section A'!AQ$122:AQ241,0)),"")</f>
        <v/>
      </c>
    </row>
    <row r="77" spans="1:58" s="232" customFormat="1" ht="30" customHeight="1" x14ac:dyDescent="0.3">
      <c r="A77" s="178">
        <v>69</v>
      </c>
      <c r="B77" s="200"/>
      <c r="C77" s="200"/>
      <c r="D77" s="200"/>
      <c r="E77" s="200"/>
      <c r="F77" s="200"/>
      <c r="G77" s="201"/>
      <c r="H77" s="201"/>
      <c r="I77" s="201"/>
      <c r="J77" s="200"/>
      <c r="K77" s="200"/>
      <c r="L77" s="201"/>
      <c r="M77" s="201"/>
      <c r="N77" s="200"/>
      <c r="O77" s="200"/>
      <c r="P77" s="201"/>
      <c r="Q77" s="201"/>
      <c r="R77" s="200"/>
      <c r="S77" s="200"/>
      <c r="T77" s="201"/>
      <c r="U77" s="201"/>
      <c r="V77" s="200"/>
      <c r="W77" s="200"/>
      <c r="X77" s="201"/>
      <c r="Y77" s="201"/>
      <c r="Z77" s="200"/>
      <c r="AA77" s="200"/>
      <c r="AB77" s="201"/>
      <c r="AC77" s="201"/>
      <c r="AD77" s="200"/>
      <c r="AE77" s="200"/>
      <c r="AF77" s="201"/>
      <c r="AG77" s="201"/>
      <c r="AH77" s="200"/>
      <c r="AI77" s="200"/>
      <c r="AJ77" s="201"/>
      <c r="AK77" s="201"/>
      <c r="AL77" s="200"/>
      <c r="AM77" s="200"/>
      <c r="AN77" s="200"/>
      <c r="AO77" s="193" t="str">
        <f>IFERROR(VLOOKUP(D77,'Reference Records'!$C$160:$E$252,3,FALSE),"")</f>
        <v/>
      </c>
      <c r="AP77" s="232" t="e">
        <f>VLOOKUP(AO77,'Reference Records'!$E$160:$F$252,2,0)</f>
        <v>#N/A</v>
      </c>
      <c r="AQ77" s="232" t="e">
        <f>MATCH($AP77,'Reference Records'!$E$330:$E$506,0)+ROW(Population_by_intervention) -1</f>
        <v>#N/A</v>
      </c>
      <c r="AR77" s="232" t="e">
        <f>MATCH($AP77,'Reference Records'!$E$330:$E$506,1)+ROW(Population_by_intervention) -1</f>
        <v>#N/A</v>
      </c>
      <c r="AS77" s="232" t="str">
        <f t="shared" si="4"/>
        <v>|empty|</v>
      </c>
      <c r="AT77" s="232" t="str">
        <f>IF(AS77="","",IFERROR(VLOOKUP(AS77,'Overview - Section A'!AF$123:AG242,2,0),VLOOKUP("|empty|",'Overview - Section A'!AF$123:AG242,2,0)))</f>
        <v>INT-130914</v>
      </c>
      <c r="AU77" s="200"/>
      <c r="AV77" s="200"/>
      <c r="AY77" s="232">
        <f t="shared" si="5"/>
        <v>2265</v>
      </c>
      <c r="AZ77" s="232">
        <f ca="1">AZ76+'update Helper'!$Z$2</f>
        <v>2771</v>
      </c>
      <c r="BC77" s="232" t="str">
        <f ca="1">IF(INDIRECT("'update Helper'!S"&amp;AY77)=0,"",IFERROR(VLOOKUP(INDIRECT("'update Helper'!S"&amp;AY77),'Account Role'!A$1:B$28,2,0),IFERROR(VLOOKUP(INDIRECT("'update Helper'!I"&amp;AY77),'Overview - Section A'!J$25:P$90,7,0),"")))</f>
        <v/>
      </c>
      <c r="BD77" s="232" t="str">
        <f ca="1">IFERROR(INDEX('Overview - Section A'!A$122:A242,MATCH(INDIRECT("'update Helper'!Q"&amp;AY77),'Overview - Section A'!AQ$122:AQ242,0)),"")</f>
        <v/>
      </c>
      <c r="BE77" s="232" t="str">
        <f>IFERROR(INDEX('Overview - Section A'!O$122:O242,MATCH(AT77,'Overview - Section A'!AQ$122:AQ242,0)),"")</f>
        <v/>
      </c>
      <c r="BF77" s="232" t="str">
        <f>IFERROR(INDEX('Overview - Section A'!H$122:H242,MATCH(AT77,'Overview - Section A'!AQ$122:AQ242,0)),"")</f>
        <v/>
      </c>
    </row>
    <row r="78" spans="1:58" s="232" customFormat="1" ht="30" customHeight="1" x14ac:dyDescent="0.3">
      <c r="A78" s="178">
        <v>70</v>
      </c>
      <c r="B78" s="200"/>
      <c r="C78" s="200"/>
      <c r="D78" s="200"/>
      <c r="E78" s="200"/>
      <c r="F78" s="200"/>
      <c r="G78" s="201"/>
      <c r="H78" s="201"/>
      <c r="I78" s="201"/>
      <c r="J78" s="200"/>
      <c r="K78" s="200"/>
      <c r="L78" s="201"/>
      <c r="M78" s="201"/>
      <c r="N78" s="200"/>
      <c r="O78" s="200"/>
      <c r="P78" s="201"/>
      <c r="Q78" s="201"/>
      <c r="R78" s="200"/>
      <c r="S78" s="200"/>
      <c r="T78" s="201"/>
      <c r="U78" s="201"/>
      <c r="V78" s="200"/>
      <c r="W78" s="200"/>
      <c r="X78" s="201"/>
      <c r="Y78" s="201"/>
      <c r="Z78" s="200"/>
      <c r="AA78" s="200"/>
      <c r="AB78" s="201"/>
      <c r="AC78" s="201"/>
      <c r="AD78" s="200"/>
      <c r="AE78" s="200"/>
      <c r="AF78" s="201"/>
      <c r="AG78" s="201"/>
      <c r="AH78" s="200"/>
      <c r="AI78" s="200"/>
      <c r="AJ78" s="201"/>
      <c r="AK78" s="201"/>
      <c r="AL78" s="200"/>
      <c r="AM78" s="200"/>
      <c r="AN78" s="200"/>
      <c r="AO78" s="193" t="str">
        <f>IFERROR(VLOOKUP(D78,'Reference Records'!$C$160:$E$252,3,FALSE),"")</f>
        <v/>
      </c>
      <c r="AP78" s="232" t="e">
        <f>VLOOKUP(AO78,'Reference Records'!$E$160:$F$252,2,0)</f>
        <v>#N/A</v>
      </c>
      <c r="AQ78" s="232" t="e">
        <f>MATCH($AP78,'Reference Records'!$E$330:$E$506,0)+ROW(Population_by_intervention) -1</f>
        <v>#N/A</v>
      </c>
      <c r="AR78" s="232" t="e">
        <f>MATCH($AP78,'Reference Records'!$E$330:$E$506,1)+ROW(Population_by_intervention) -1</f>
        <v>#N/A</v>
      </c>
      <c r="AS78" s="232" t="str">
        <f t="shared" si="4"/>
        <v>|empty|</v>
      </c>
      <c r="AT78" s="232" t="str">
        <f>IF(AS78="","",IFERROR(VLOOKUP(AS78,'Overview - Section A'!AF$123:AG243,2,0),VLOOKUP("|empty|",'Overview - Section A'!AF$123:AG243,2,0)))</f>
        <v>INT-130914</v>
      </c>
      <c r="AU78" s="200"/>
      <c r="AV78" s="200"/>
      <c r="AY78" s="232">
        <f t="shared" si="5"/>
        <v>2266</v>
      </c>
      <c r="AZ78" s="232">
        <f ca="1">AZ77+'update Helper'!$Z$2</f>
        <v>2777</v>
      </c>
      <c r="BC78" s="232" t="str">
        <f ca="1">IF(INDIRECT("'update Helper'!S"&amp;AY78)=0,"",IFERROR(VLOOKUP(INDIRECT("'update Helper'!S"&amp;AY78),'Account Role'!A$1:B$28,2,0),IFERROR(VLOOKUP(INDIRECT("'update Helper'!I"&amp;AY78),'Overview - Section A'!J$25:P$90,7,0),"")))</f>
        <v/>
      </c>
      <c r="BD78" s="232" t="str">
        <f ca="1">IFERROR(INDEX('Overview - Section A'!A$122:A243,MATCH(INDIRECT("'update Helper'!Q"&amp;AY78),'Overview - Section A'!AQ$122:AQ243,0)),"")</f>
        <v/>
      </c>
      <c r="BE78" s="232" t="str">
        <f>IFERROR(INDEX('Overview - Section A'!O$122:O243,MATCH(AT78,'Overview - Section A'!AQ$122:AQ243,0)),"")</f>
        <v/>
      </c>
      <c r="BF78" s="232" t="str">
        <f>IFERROR(INDEX('Overview - Section A'!H$122:H243,MATCH(AT78,'Overview - Section A'!AQ$122:AQ243,0)),"")</f>
        <v/>
      </c>
    </row>
    <row r="79" spans="1:58" s="232" customFormat="1" ht="30" customHeight="1" x14ac:dyDescent="0.3">
      <c r="A79" s="178">
        <v>71</v>
      </c>
      <c r="B79" s="200"/>
      <c r="C79" s="200"/>
      <c r="D79" s="200"/>
      <c r="E79" s="200"/>
      <c r="F79" s="200"/>
      <c r="G79" s="201"/>
      <c r="H79" s="201"/>
      <c r="I79" s="201"/>
      <c r="J79" s="200"/>
      <c r="K79" s="200"/>
      <c r="L79" s="201"/>
      <c r="M79" s="201"/>
      <c r="N79" s="200"/>
      <c r="O79" s="200"/>
      <c r="P79" s="201"/>
      <c r="Q79" s="201"/>
      <c r="R79" s="200"/>
      <c r="S79" s="200"/>
      <c r="T79" s="201"/>
      <c r="U79" s="201"/>
      <c r="V79" s="200"/>
      <c r="W79" s="200"/>
      <c r="X79" s="201"/>
      <c r="Y79" s="201"/>
      <c r="Z79" s="200"/>
      <c r="AA79" s="200"/>
      <c r="AB79" s="201"/>
      <c r="AC79" s="201"/>
      <c r="AD79" s="200"/>
      <c r="AE79" s="200"/>
      <c r="AF79" s="201"/>
      <c r="AG79" s="201"/>
      <c r="AH79" s="200"/>
      <c r="AI79" s="200"/>
      <c r="AJ79" s="201"/>
      <c r="AK79" s="201"/>
      <c r="AL79" s="200"/>
      <c r="AM79" s="200"/>
      <c r="AN79" s="200"/>
      <c r="AO79" s="193" t="str">
        <f>IFERROR(VLOOKUP(D79,'Reference Records'!$C$160:$E$252,3,FALSE),"")</f>
        <v/>
      </c>
      <c r="AP79" s="232" t="e">
        <f>VLOOKUP(AO79,'Reference Records'!$E$160:$F$252,2,0)</f>
        <v>#N/A</v>
      </c>
      <c r="AQ79" s="232" t="e">
        <f>MATCH($AP79,'Reference Records'!$E$330:$E$506,0)+ROW(Population_by_intervention) -1</f>
        <v>#N/A</v>
      </c>
      <c r="AR79" s="232" t="e">
        <f>MATCH($AP79,'Reference Records'!$E$330:$E$506,1)+ROW(Population_by_intervention) -1</f>
        <v>#N/A</v>
      </c>
      <c r="AS79" s="232" t="str">
        <f t="shared" si="4"/>
        <v>|empty|</v>
      </c>
      <c r="AT79" s="232" t="str">
        <f>IF(AS79="","",IFERROR(VLOOKUP(AS79,'Overview - Section A'!AF$123:AG244,2,0),VLOOKUP("|empty|",'Overview - Section A'!AF$123:AG244,2,0)))</f>
        <v>INT-130914</v>
      </c>
      <c r="AU79" s="200"/>
      <c r="AV79" s="200"/>
      <c r="AY79" s="232">
        <f t="shared" si="5"/>
        <v>2267</v>
      </c>
      <c r="AZ79" s="232">
        <f ca="1">AZ78+'update Helper'!$Z$2</f>
        <v>2783</v>
      </c>
      <c r="BC79" s="232" t="str">
        <f ca="1">IF(INDIRECT("'update Helper'!S"&amp;AY79)=0,"",IFERROR(VLOOKUP(INDIRECT("'update Helper'!S"&amp;AY79),'Account Role'!A$1:B$28,2,0),IFERROR(VLOOKUP(INDIRECT("'update Helper'!I"&amp;AY79),'Overview - Section A'!J$25:P$90,7,0),"")))</f>
        <v/>
      </c>
      <c r="BD79" s="232" t="str">
        <f ca="1">IFERROR(INDEX('Overview - Section A'!A$122:A244,MATCH(INDIRECT("'update Helper'!Q"&amp;AY79),'Overview - Section A'!AQ$122:AQ244,0)),"")</f>
        <v/>
      </c>
      <c r="BE79" s="232" t="str">
        <f>IFERROR(INDEX('Overview - Section A'!O$122:O244,MATCH(AT79,'Overview - Section A'!AQ$122:AQ244,0)),"")</f>
        <v/>
      </c>
      <c r="BF79" s="232" t="str">
        <f>IFERROR(INDEX('Overview - Section A'!H$122:H244,MATCH(AT79,'Overview - Section A'!AQ$122:AQ244,0)),"")</f>
        <v/>
      </c>
    </row>
    <row r="80" spans="1:58" s="232" customFormat="1" ht="30" customHeight="1" x14ac:dyDescent="0.3">
      <c r="A80" s="178">
        <v>72</v>
      </c>
      <c r="B80" s="200"/>
      <c r="C80" s="200"/>
      <c r="D80" s="200"/>
      <c r="E80" s="200"/>
      <c r="F80" s="200"/>
      <c r="G80" s="201"/>
      <c r="H80" s="201"/>
      <c r="I80" s="201"/>
      <c r="J80" s="200"/>
      <c r="K80" s="200"/>
      <c r="L80" s="201"/>
      <c r="M80" s="201"/>
      <c r="N80" s="200"/>
      <c r="O80" s="200"/>
      <c r="P80" s="201"/>
      <c r="Q80" s="201"/>
      <c r="R80" s="200"/>
      <c r="S80" s="200"/>
      <c r="T80" s="201"/>
      <c r="U80" s="201"/>
      <c r="V80" s="200"/>
      <c r="W80" s="200"/>
      <c r="X80" s="201"/>
      <c r="Y80" s="201"/>
      <c r="Z80" s="200"/>
      <c r="AA80" s="200"/>
      <c r="AB80" s="201"/>
      <c r="AC80" s="201"/>
      <c r="AD80" s="200"/>
      <c r="AE80" s="200"/>
      <c r="AF80" s="201"/>
      <c r="AG80" s="201"/>
      <c r="AH80" s="200"/>
      <c r="AI80" s="200"/>
      <c r="AJ80" s="201"/>
      <c r="AK80" s="201"/>
      <c r="AL80" s="200"/>
      <c r="AM80" s="200"/>
      <c r="AN80" s="200"/>
      <c r="AO80" s="193" t="str">
        <f>IFERROR(VLOOKUP(D80,'Reference Records'!$C$160:$E$252,3,FALSE),"")</f>
        <v/>
      </c>
      <c r="AP80" s="232" t="e">
        <f>VLOOKUP(AO80,'Reference Records'!$E$160:$F$252,2,0)</f>
        <v>#N/A</v>
      </c>
      <c r="AQ80" s="232" t="e">
        <f>MATCH($AP80,'Reference Records'!$E$330:$E$506,0)+ROW(Population_by_intervention) -1</f>
        <v>#N/A</v>
      </c>
      <c r="AR80" s="232" t="e">
        <f>MATCH($AP80,'Reference Records'!$E$330:$E$506,1)+ROW(Population_by_intervention) -1</f>
        <v>#N/A</v>
      </c>
      <c r="AS80" s="232" t="str">
        <f t="shared" si="4"/>
        <v>|empty|</v>
      </c>
      <c r="AT80" s="232" t="str">
        <f>IF(AS80="","",IFERROR(VLOOKUP(AS80,'Overview - Section A'!AF$123:AG245,2,0),VLOOKUP("|empty|",'Overview - Section A'!AF$123:AG245,2,0)))</f>
        <v>INT-130914</v>
      </c>
      <c r="AU80" s="200"/>
      <c r="AV80" s="200"/>
      <c r="AY80" s="232">
        <f t="shared" si="5"/>
        <v>2268</v>
      </c>
      <c r="AZ80" s="232">
        <f ca="1">AZ79+'update Helper'!$Z$2</f>
        <v>2789</v>
      </c>
      <c r="BC80" s="232" t="str">
        <f ca="1">IF(INDIRECT("'update Helper'!S"&amp;AY80)=0,"",IFERROR(VLOOKUP(INDIRECT("'update Helper'!S"&amp;AY80),'Account Role'!A$1:B$28,2,0),IFERROR(VLOOKUP(INDIRECT("'update Helper'!I"&amp;AY80),'Overview - Section A'!J$25:P$90,7,0),"")))</f>
        <v/>
      </c>
      <c r="BD80" s="232" t="str">
        <f ca="1">IFERROR(INDEX('Overview - Section A'!A$122:A245,MATCH(INDIRECT("'update Helper'!Q"&amp;AY80),'Overview - Section A'!AQ$122:AQ245,0)),"")</f>
        <v/>
      </c>
      <c r="BE80" s="232" t="str">
        <f>IFERROR(INDEX('Overview - Section A'!O$122:O245,MATCH(AT80,'Overview - Section A'!AQ$122:AQ245,0)),"")</f>
        <v/>
      </c>
      <c r="BF80" s="232" t="str">
        <f>IFERROR(INDEX('Overview - Section A'!H$122:H245,MATCH(AT80,'Overview - Section A'!AQ$122:AQ245,0)),"")</f>
        <v/>
      </c>
    </row>
    <row r="81" spans="1:58" s="232" customFormat="1" ht="30" customHeight="1" x14ac:dyDescent="0.3">
      <c r="A81" s="178">
        <v>73</v>
      </c>
      <c r="B81" s="200"/>
      <c r="C81" s="200"/>
      <c r="D81" s="200"/>
      <c r="E81" s="200"/>
      <c r="F81" s="200"/>
      <c r="G81" s="201"/>
      <c r="H81" s="201"/>
      <c r="I81" s="201"/>
      <c r="J81" s="200"/>
      <c r="K81" s="200"/>
      <c r="L81" s="201"/>
      <c r="M81" s="201"/>
      <c r="N81" s="200"/>
      <c r="O81" s="200"/>
      <c r="P81" s="201"/>
      <c r="Q81" s="201"/>
      <c r="R81" s="200"/>
      <c r="S81" s="200"/>
      <c r="T81" s="201"/>
      <c r="U81" s="201"/>
      <c r="V81" s="200"/>
      <c r="W81" s="200"/>
      <c r="X81" s="201"/>
      <c r="Y81" s="201"/>
      <c r="Z81" s="200"/>
      <c r="AA81" s="200"/>
      <c r="AB81" s="201"/>
      <c r="AC81" s="201"/>
      <c r="AD81" s="200"/>
      <c r="AE81" s="200"/>
      <c r="AF81" s="201"/>
      <c r="AG81" s="201"/>
      <c r="AH81" s="200"/>
      <c r="AI81" s="200"/>
      <c r="AJ81" s="201"/>
      <c r="AK81" s="201"/>
      <c r="AL81" s="200"/>
      <c r="AM81" s="200"/>
      <c r="AN81" s="200"/>
      <c r="AO81" s="193" t="str">
        <f>IFERROR(VLOOKUP(D81,'Reference Records'!$C$160:$E$252,3,FALSE),"")</f>
        <v/>
      </c>
      <c r="AP81" s="232" t="e">
        <f>VLOOKUP(AO81,'Reference Records'!$E$160:$F$252,2,0)</f>
        <v>#N/A</v>
      </c>
      <c r="AQ81" s="232" t="e">
        <f>MATCH($AP81,'Reference Records'!$E$330:$E$506,0)+ROW(Population_by_intervention) -1</f>
        <v>#N/A</v>
      </c>
      <c r="AR81" s="232" t="e">
        <f>MATCH($AP81,'Reference Records'!$E$330:$E$506,1)+ROW(Population_by_intervention) -1</f>
        <v>#N/A</v>
      </c>
      <c r="AS81" s="232" t="str">
        <f t="shared" si="4"/>
        <v>|empty|</v>
      </c>
      <c r="AT81" s="232" t="str">
        <f>IF(AS81="","",IFERROR(VLOOKUP(AS81,'Overview - Section A'!AF$123:AG246,2,0),VLOOKUP("|empty|",'Overview - Section A'!AF$123:AG246,2,0)))</f>
        <v>INT-130914</v>
      </c>
      <c r="AU81" s="200"/>
      <c r="AV81" s="200"/>
      <c r="AY81" s="232">
        <f t="shared" si="5"/>
        <v>2269</v>
      </c>
      <c r="AZ81" s="232">
        <f ca="1">AZ80+'update Helper'!$Z$2</f>
        <v>2795</v>
      </c>
      <c r="BC81" s="232" t="str">
        <f ca="1">IF(INDIRECT("'update Helper'!S"&amp;AY81)=0,"",IFERROR(VLOOKUP(INDIRECT("'update Helper'!S"&amp;AY81),'Account Role'!A$1:B$28,2,0),IFERROR(VLOOKUP(INDIRECT("'update Helper'!I"&amp;AY81),'Overview - Section A'!J$25:P$90,7,0),"")))</f>
        <v/>
      </c>
      <c r="BD81" s="232" t="str">
        <f ca="1">IFERROR(INDEX('Overview - Section A'!A$122:A246,MATCH(INDIRECT("'update Helper'!Q"&amp;AY81),'Overview - Section A'!AQ$122:AQ246,0)),"")</f>
        <v/>
      </c>
      <c r="BE81" s="232" t="str">
        <f>IFERROR(INDEX('Overview - Section A'!O$122:O246,MATCH(AT81,'Overview - Section A'!AQ$122:AQ246,0)),"")</f>
        <v/>
      </c>
      <c r="BF81" s="232" t="str">
        <f>IFERROR(INDEX('Overview - Section A'!H$122:H246,MATCH(AT81,'Overview - Section A'!AQ$122:AQ246,0)),"")</f>
        <v/>
      </c>
    </row>
    <row r="82" spans="1:58" s="232" customFormat="1" ht="30" customHeight="1" x14ac:dyDescent="0.3">
      <c r="A82" s="178">
        <v>74</v>
      </c>
      <c r="B82" s="200"/>
      <c r="C82" s="200"/>
      <c r="D82" s="200"/>
      <c r="E82" s="200"/>
      <c r="F82" s="200"/>
      <c r="G82" s="201"/>
      <c r="H82" s="201"/>
      <c r="I82" s="201"/>
      <c r="J82" s="200"/>
      <c r="K82" s="200"/>
      <c r="L82" s="201"/>
      <c r="M82" s="201"/>
      <c r="N82" s="200"/>
      <c r="O82" s="200"/>
      <c r="P82" s="201"/>
      <c r="Q82" s="201"/>
      <c r="R82" s="200"/>
      <c r="S82" s="200"/>
      <c r="T82" s="201"/>
      <c r="U82" s="201"/>
      <c r="V82" s="200"/>
      <c r="W82" s="200"/>
      <c r="X82" s="201"/>
      <c r="Y82" s="201"/>
      <c r="Z82" s="200"/>
      <c r="AA82" s="200"/>
      <c r="AB82" s="201"/>
      <c r="AC82" s="201"/>
      <c r="AD82" s="200"/>
      <c r="AE82" s="200"/>
      <c r="AF82" s="201"/>
      <c r="AG82" s="201"/>
      <c r="AH82" s="200"/>
      <c r="AI82" s="200"/>
      <c r="AJ82" s="201"/>
      <c r="AK82" s="201"/>
      <c r="AL82" s="200"/>
      <c r="AM82" s="200"/>
      <c r="AN82" s="200"/>
      <c r="AO82" s="193" t="str">
        <f>IFERROR(VLOOKUP(D82,'Reference Records'!$C$160:$E$252,3,FALSE),"")</f>
        <v/>
      </c>
      <c r="AP82" s="232" t="e">
        <f>VLOOKUP(AO82,'Reference Records'!$E$160:$F$252,2,0)</f>
        <v>#N/A</v>
      </c>
      <c r="AQ82" s="232" t="e">
        <f>MATCH($AP82,'Reference Records'!$E$330:$E$506,0)+ROW(Population_by_intervention) -1</f>
        <v>#N/A</v>
      </c>
      <c r="AR82" s="232" t="e">
        <f>MATCH($AP82,'Reference Records'!$E$330:$E$506,1)+ROW(Population_by_intervention) -1</f>
        <v>#N/A</v>
      </c>
      <c r="AS82" s="232" t="str">
        <f t="shared" si="4"/>
        <v>|empty|</v>
      </c>
      <c r="AT82" s="232" t="str">
        <f>IF(AS82="","",IFERROR(VLOOKUP(AS82,'Overview - Section A'!AF$123:AG247,2,0),VLOOKUP("|empty|",'Overview - Section A'!AF$123:AG247,2,0)))</f>
        <v>INT-130914</v>
      </c>
      <c r="AU82" s="200"/>
      <c r="AV82" s="200"/>
      <c r="AY82" s="232">
        <f t="shared" si="5"/>
        <v>2270</v>
      </c>
      <c r="AZ82" s="232">
        <f ca="1">AZ81+'update Helper'!$Z$2</f>
        <v>2801</v>
      </c>
      <c r="BC82" s="232" t="str">
        <f ca="1">IF(INDIRECT("'update Helper'!S"&amp;AY82)=0,"",IFERROR(VLOOKUP(INDIRECT("'update Helper'!S"&amp;AY82),'Account Role'!A$1:B$28,2,0),IFERROR(VLOOKUP(INDIRECT("'update Helper'!I"&amp;AY82),'Overview - Section A'!J$25:P$90,7,0),"")))</f>
        <v/>
      </c>
      <c r="BD82" s="232" t="str">
        <f ca="1">IFERROR(INDEX('Overview - Section A'!A$122:A247,MATCH(INDIRECT("'update Helper'!Q"&amp;AY82),'Overview - Section A'!AQ$122:AQ247,0)),"")</f>
        <v/>
      </c>
      <c r="BE82" s="232" t="str">
        <f>IFERROR(INDEX('Overview - Section A'!O$122:O247,MATCH(AT82,'Overview - Section A'!AQ$122:AQ247,0)),"")</f>
        <v/>
      </c>
      <c r="BF82" s="232" t="str">
        <f>IFERROR(INDEX('Overview - Section A'!H$122:H247,MATCH(AT82,'Overview - Section A'!AQ$122:AQ247,0)),"")</f>
        <v/>
      </c>
    </row>
    <row r="83" spans="1:58" s="232" customFormat="1" ht="30" customHeight="1" x14ac:dyDescent="0.3">
      <c r="A83" s="178">
        <v>75</v>
      </c>
      <c r="B83" s="200"/>
      <c r="C83" s="200"/>
      <c r="D83" s="200"/>
      <c r="E83" s="200"/>
      <c r="F83" s="200"/>
      <c r="G83" s="201"/>
      <c r="H83" s="201"/>
      <c r="I83" s="201"/>
      <c r="J83" s="200"/>
      <c r="K83" s="200"/>
      <c r="L83" s="201"/>
      <c r="M83" s="201"/>
      <c r="N83" s="200"/>
      <c r="O83" s="200"/>
      <c r="P83" s="201"/>
      <c r="Q83" s="201"/>
      <c r="R83" s="200"/>
      <c r="S83" s="200"/>
      <c r="T83" s="201"/>
      <c r="U83" s="201"/>
      <c r="V83" s="200"/>
      <c r="W83" s="200"/>
      <c r="X83" s="201"/>
      <c r="Y83" s="201"/>
      <c r="Z83" s="200"/>
      <c r="AA83" s="200"/>
      <c r="AB83" s="201"/>
      <c r="AC83" s="201"/>
      <c r="AD83" s="200"/>
      <c r="AE83" s="200"/>
      <c r="AF83" s="201"/>
      <c r="AG83" s="201"/>
      <c r="AH83" s="200"/>
      <c r="AI83" s="200"/>
      <c r="AJ83" s="201"/>
      <c r="AK83" s="201"/>
      <c r="AL83" s="200"/>
      <c r="AM83" s="200"/>
      <c r="AN83" s="200"/>
      <c r="AO83" s="193" t="str">
        <f>IFERROR(VLOOKUP(D83,'Reference Records'!$C$160:$E$252,3,FALSE),"")</f>
        <v/>
      </c>
      <c r="AP83" s="232" t="e">
        <f>VLOOKUP(AO83,'Reference Records'!$E$160:$F$252,2,0)</f>
        <v>#N/A</v>
      </c>
      <c r="AQ83" s="232" t="e">
        <f>MATCH($AP83,'Reference Records'!$E$330:$E$506,0)+ROW(Population_by_intervention) -1</f>
        <v>#N/A</v>
      </c>
      <c r="AR83" s="232" t="e">
        <f>MATCH($AP83,'Reference Records'!$E$330:$E$506,1)+ROW(Population_by_intervention) -1</f>
        <v>#N/A</v>
      </c>
      <c r="AS83" s="232" t="str">
        <f t="shared" si="4"/>
        <v>|empty|</v>
      </c>
      <c r="AT83" s="232" t="str">
        <f>IF(AS83="","",IFERROR(VLOOKUP(AS83,'Overview - Section A'!AF$123:AG248,2,0),VLOOKUP("|empty|",'Overview - Section A'!AF$123:AG248,2,0)))</f>
        <v>INT-130914</v>
      </c>
      <c r="AU83" s="200"/>
      <c r="AV83" s="200"/>
      <c r="AY83" s="232">
        <f t="shared" si="5"/>
        <v>2271</v>
      </c>
      <c r="AZ83" s="232">
        <f ca="1">AZ82+'update Helper'!$Z$2</f>
        <v>2807</v>
      </c>
      <c r="BC83" s="232" t="str">
        <f ca="1">IF(INDIRECT("'update Helper'!S"&amp;AY83)=0,"",IFERROR(VLOOKUP(INDIRECT("'update Helper'!S"&amp;AY83),'Account Role'!A$1:B$28,2,0),IFERROR(VLOOKUP(INDIRECT("'update Helper'!I"&amp;AY83),'Overview - Section A'!J$25:P$90,7,0),"")))</f>
        <v/>
      </c>
      <c r="BD83" s="232" t="str">
        <f ca="1">IFERROR(INDEX('Overview - Section A'!A$122:A248,MATCH(INDIRECT("'update Helper'!Q"&amp;AY83),'Overview - Section A'!AQ$122:AQ248,0)),"")</f>
        <v/>
      </c>
      <c r="BE83" s="232" t="str">
        <f>IFERROR(INDEX('Overview - Section A'!O$122:O248,MATCH(AT83,'Overview - Section A'!AQ$122:AQ248,0)),"")</f>
        <v/>
      </c>
      <c r="BF83" s="232" t="str">
        <f>IFERROR(INDEX('Overview - Section A'!H$122:H248,MATCH(AT83,'Overview - Section A'!AQ$122:AQ248,0)),"")</f>
        <v/>
      </c>
    </row>
    <row r="84" spans="1:58" s="232" customFormat="1" ht="30" customHeight="1" x14ac:dyDescent="0.3">
      <c r="A84" s="178">
        <v>76</v>
      </c>
      <c r="B84" s="200"/>
      <c r="C84" s="200"/>
      <c r="D84" s="200"/>
      <c r="E84" s="200"/>
      <c r="F84" s="200"/>
      <c r="G84" s="201"/>
      <c r="H84" s="201"/>
      <c r="I84" s="201"/>
      <c r="J84" s="200"/>
      <c r="K84" s="200"/>
      <c r="L84" s="201"/>
      <c r="M84" s="201"/>
      <c r="N84" s="200"/>
      <c r="O84" s="200"/>
      <c r="P84" s="201"/>
      <c r="Q84" s="201"/>
      <c r="R84" s="200"/>
      <c r="S84" s="200"/>
      <c r="T84" s="201"/>
      <c r="U84" s="201"/>
      <c r="V84" s="200"/>
      <c r="W84" s="200"/>
      <c r="X84" s="201"/>
      <c r="Y84" s="201"/>
      <c r="Z84" s="200"/>
      <c r="AA84" s="200"/>
      <c r="AB84" s="201"/>
      <c r="AC84" s="201"/>
      <c r="AD84" s="200"/>
      <c r="AE84" s="200"/>
      <c r="AF84" s="201"/>
      <c r="AG84" s="201"/>
      <c r="AH84" s="200"/>
      <c r="AI84" s="200"/>
      <c r="AJ84" s="201"/>
      <c r="AK84" s="201"/>
      <c r="AL84" s="200"/>
      <c r="AM84" s="200"/>
      <c r="AN84" s="200"/>
      <c r="AO84" s="193" t="str">
        <f>IFERROR(VLOOKUP(D84,'Reference Records'!$C$160:$E$252,3,FALSE),"")</f>
        <v/>
      </c>
      <c r="AP84" s="232" t="e">
        <f>VLOOKUP(AO84,'Reference Records'!$E$160:$F$252,2,0)</f>
        <v>#N/A</v>
      </c>
      <c r="AQ84" s="232" t="e">
        <f>MATCH($AP84,'Reference Records'!$E$330:$E$506,0)+ROW(Population_by_intervention) -1</f>
        <v>#N/A</v>
      </c>
      <c r="AR84" s="232" t="e">
        <f>MATCH($AP84,'Reference Records'!$E$330:$E$506,1)+ROW(Population_by_intervention) -1</f>
        <v>#N/A</v>
      </c>
      <c r="AS84" s="232" t="str">
        <f t="shared" si="4"/>
        <v>|empty|</v>
      </c>
      <c r="AT84" s="232" t="str">
        <f>IF(AS84="","",IFERROR(VLOOKUP(AS84,'Overview - Section A'!AF$123:AG249,2,0),VLOOKUP("|empty|",'Overview - Section A'!AF$123:AG249,2,0)))</f>
        <v>INT-130914</v>
      </c>
      <c r="AU84" s="200"/>
      <c r="AV84" s="200"/>
      <c r="AY84" s="232">
        <f t="shared" si="5"/>
        <v>2272</v>
      </c>
      <c r="AZ84" s="232">
        <f ca="1">AZ83+'update Helper'!$Z$2</f>
        <v>2813</v>
      </c>
      <c r="BC84" s="232" t="str">
        <f ca="1">IF(INDIRECT("'update Helper'!S"&amp;AY84)=0,"",IFERROR(VLOOKUP(INDIRECT("'update Helper'!S"&amp;AY84),'Account Role'!A$1:B$28,2,0),IFERROR(VLOOKUP(INDIRECT("'update Helper'!I"&amp;AY84),'Overview - Section A'!J$25:P$90,7,0),"")))</f>
        <v/>
      </c>
      <c r="BD84" s="232" t="str">
        <f ca="1">IFERROR(INDEX('Overview - Section A'!A$122:A249,MATCH(INDIRECT("'update Helper'!Q"&amp;AY84),'Overview - Section A'!AQ$122:AQ249,0)),"")</f>
        <v/>
      </c>
      <c r="BE84" s="232" t="str">
        <f>IFERROR(INDEX('Overview - Section A'!O$122:O249,MATCH(AT84,'Overview - Section A'!AQ$122:AQ249,0)),"")</f>
        <v/>
      </c>
      <c r="BF84" s="232" t="str">
        <f>IFERROR(INDEX('Overview - Section A'!H$122:H249,MATCH(AT84,'Overview - Section A'!AQ$122:AQ249,0)),"")</f>
        <v/>
      </c>
    </row>
    <row r="85" spans="1:58" s="232" customFormat="1" ht="30" customHeight="1" x14ac:dyDescent="0.3">
      <c r="A85" s="178">
        <v>77</v>
      </c>
      <c r="B85" s="200"/>
      <c r="C85" s="200"/>
      <c r="D85" s="200"/>
      <c r="E85" s="200"/>
      <c r="F85" s="200"/>
      <c r="G85" s="201"/>
      <c r="H85" s="201"/>
      <c r="I85" s="201"/>
      <c r="J85" s="200"/>
      <c r="K85" s="200"/>
      <c r="L85" s="201"/>
      <c r="M85" s="201"/>
      <c r="N85" s="200"/>
      <c r="O85" s="200"/>
      <c r="P85" s="201"/>
      <c r="Q85" s="201"/>
      <c r="R85" s="200"/>
      <c r="S85" s="200"/>
      <c r="T85" s="201"/>
      <c r="U85" s="201"/>
      <c r="V85" s="200"/>
      <c r="W85" s="200"/>
      <c r="X85" s="201"/>
      <c r="Y85" s="201"/>
      <c r="Z85" s="200"/>
      <c r="AA85" s="200"/>
      <c r="AB85" s="201"/>
      <c r="AC85" s="201"/>
      <c r="AD85" s="200"/>
      <c r="AE85" s="200"/>
      <c r="AF85" s="201"/>
      <c r="AG85" s="201"/>
      <c r="AH85" s="200"/>
      <c r="AI85" s="200"/>
      <c r="AJ85" s="201"/>
      <c r="AK85" s="201"/>
      <c r="AL85" s="200"/>
      <c r="AM85" s="200"/>
      <c r="AN85" s="200"/>
      <c r="AO85" s="193" t="str">
        <f>IFERROR(VLOOKUP(D85,'Reference Records'!$C$160:$E$252,3,FALSE),"")</f>
        <v/>
      </c>
      <c r="AP85" s="232" t="e">
        <f>VLOOKUP(AO85,'Reference Records'!$E$160:$F$252,2,0)</f>
        <v>#N/A</v>
      </c>
      <c r="AQ85" s="232" t="e">
        <f>MATCH($AP85,'Reference Records'!$E$330:$E$506,0)+ROW(Population_by_intervention) -1</f>
        <v>#N/A</v>
      </c>
      <c r="AR85" s="232" t="e">
        <f>MATCH($AP85,'Reference Records'!$E$330:$E$506,1)+ROW(Population_by_intervention) -1</f>
        <v>#N/A</v>
      </c>
      <c r="AS85" s="232" t="str">
        <f t="shared" si="4"/>
        <v>|empty|</v>
      </c>
      <c r="AT85" s="232" t="str">
        <f>IF(AS85="","",IFERROR(VLOOKUP(AS85,'Overview - Section A'!AF$123:AG250,2,0),VLOOKUP("|empty|",'Overview - Section A'!AF$123:AG250,2,0)))</f>
        <v>INT-130914</v>
      </c>
      <c r="AU85" s="200"/>
      <c r="AV85" s="200"/>
      <c r="AY85" s="232">
        <f t="shared" si="5"/>
        <v>2273</v>
      </c>
      <c r="AZ85" s="232">
        <f ca="1">AZ84+'update Helper'!$Z$2</f>
        <v>2819</v>
      </c>
      <c r="BC85" s="232" t="str">
        <f ca="1">IF(INDIRECT("'update Helper'!S"&amp;AY85)=0,"",IFERROR(VLOOKUP(INDIRECT("'update Helper'!S"&amp;AY85),'Account Role'!A$1:B$28,2,0),IFERROR(VLOOKUP(INDIRECT("'update Helper'!I"&amp;AY85),'Overview - Section A'!J$25:P$90,7,0),"")))</f>
        <v/>
      </c>
      <c r="BD85" s="232" t="str">
        <f ca="1">IFERROR(INDEX('Overview - Section A'!A$122:A250,MATCH(INDIRECT("'update Helper'!Q"&amp;AY85),'Overview - Section A'!AQ$122:AQ250,0)),"")</f>
        <v/>
      </c>
      <c r="BE85" s="232" t="str">
        <f>IFERROR(INDEX('Overview - Section A'!O$122:O250,MATCH(AT85,'Overview - Section A'!AQ$122:AQ250,0)),"")</f>
        <v/>
      </c>
      <c r="BF85" s="232" t="str">
        <f>IFERROR(INDEX('Overview - Section A'!H$122:H250,MATCH(AT85,'Overview - Section A'!AQ$122:AQ250,0)),"")</f>
        <v/>
      </c>
    </row>
    <row r="86" spans="1:58" s="232" customFormat="1" ht="30" customHeight="1" x14ac:dyDescent="0.3">
      <c r="A86" s="178">
        <v>78</v>
      </c>
      <c r="B86" s="200"/>
      <c r="C86" s="200"/>
      <c r="D86" s="200"/>
      <c r="E86" s="200"/>
      <c r="F86" s="200"/>
      <c r="G86" s="201"/>
      <c r="H86" s="201"/>
      <c r="I86" s="201"/>
      <c r="J86" s="200"/>
      <c r="K86" s="200"/>
      <c r="L86" s="201"/>
      <c r="M86" s="201"/>
      <c r="N86" s="200"/>
      <c r="O86" s="200"/>
      <c r="P86" s="201"/>
      <c r="Q86" s="201"/>
      <c r="R86" s="200"/>
      <c r="S86" s="200"/>
      <c r="T86" s="201"/>
      <c r="U86" s="201"/>
      <c r="V86" s="200"/>
      <c r="W86" s="200"/>
      <c r="X86" s="201"/>
      <c r="Y86" s="201"/>
      <c r="Z86" s="200"/>
      <c r="AA86" s="200"/>
      <c r="AB86" s="201"/>
      <c r="AC86" s="201"/>
      <c r="AD86" s="200"/>
      <c r="AE86" s="200"/>
      <c r="AF86" s="201"/>
      <c r="AG86" s="201"/>
      <c r="AH86" s="200"/>
      <c r="AI86" s="200"/>
      <c r="AJ86" s="201"/>
      <c r="AK86" s="201"/>
      <c r="AL86" s="200"/>
      <c r="AM86" s="200"/>
      <c r="AN86" s="200"/>
      <c r="AO86" s="193" t="str">
        <f>IFERROR(VLOOKUP(D86,'Reference Records'!$C$160:$E$252,3,FALSE),"")</f>
        <v/>
      </c>
      <c r="AP86" s="232" t="e">
        <f>VLOOKUP(AO86,'Reference Records'!$E$160:$F$252,2,0)</f>
        <v>#N/A</v>
      </c>
      <c r="AQ86" s="232" t="e">
        <f>MATCH($AP86,'Reference Records'!$E$330:$E$506,0)+ROW(Population_by_intervention) -1</f>
        <v>#N/A</v>
      </c>
      <c r="AR86" s="232" t="e">
        <f>MATCH($AP86,'Reference Records'!$E$330:$E$506,1)+ROW(Population_by_intervention) -1</f>
        <v>#N/A</v>
      </c>
      <c r="AS86" s="232" t="str">
        <f t="shared" si="4"/>
        <v>|empty|</v>
      </c>
      <c r="AT86" s="232" t="str">
        <f>IF(AS86="","",IFERROR(VLOOKUP(AS86,'Overview - Section A'!AF$123:AG251,2,0),VLOOKUP("|empty|",'Overview - Section A'!AF$123:AG251,2,0)))</f>
        <v>INT-130914</v>
      </c>
      <c r="AU86" s="200"/>
      <c r="AV86" s="200"/>
      <c r="AY86" s="232">
        <f t="shared" si="5"/>
        <v>2274</v>
      </c>
      <c r="AZ86" s="232">
        <f ca="1">AZ85+'update Helper'!$Z$2</f>
        <v>2825</v>
      </c>
      <c r="BC86" s="232" t="str">
        <f ca="1">IF(INDIRECT("'update Helper'!S"&amp;AY86)=0,"",IFERROR(VLOOKUP(INDIRECT("'update Helper'!S"&amp;AY86),'Account Role'!A$1:B$28,2,0),IFERROR(VLOOKUP(INDIRECT("'update Helper'!I"&amp;AY86),'Overview - Section A'!J$25:P$90,7,0),"")))</f>
        <v/>
      </c>
      <c r="BD86" s="232" t="str">
        <f ca="1">IFERROR(INDEX('Overview - Section A'!A$122:A251,MATCH(INDIRECT("'update Helper'!Q"&amp;AY86),'Overview - Section A'!AQ$122:AQ251,0)),"")</f>
        <v/>
      </c>
      <c r="BE86" s="232" t="str">
        <f>IFERROR(INDEX('Overview - Section A'!O$122:O251,MATCH(AT86,'Overview - Section A'!AQ$122:AQ251,0)),"")</f>
        <v/>
      </c>
      <c r="BF86" s="232" t="str">
        <f>IFERROR(INDEX('Overview - Section A'!H$122:H251,MATCH(AT86,'Overview - Section A'!AQ$122:AQ251,0)),"")</f>
        <v/>
      </c>
    </row>
    <row r="87" spans="1:58" s="232" customFormat="1" ht="30" customHeight="1" x14ac:dyDescent="0.3">
      <c r="A87" s="178">
        <v>79</v>
      </c>
      <c r="B87" s="200"/>
      <c r="C87" s="200"/>
      <c r="D87" s="200"/>
      <c r="E87" s="200"/>
      <c r="F87" s="200"/>
      <c r="G87" s="201"/>
      <c r="H87" s="201"/>
      <c r="I87" s="201"/>
      <c r="J87" s="200"/>
      <c r="K87" s="200"/>
      <c r="L87" s="201"/>
      <c r="M87" s="201"/>
      <c r="N87" s="200"/>
      <c r="O87" s="200"/>
      <c r="P87" s="201"/>
      <c r="Q87" s="201"/>
      <c r="R87" s="200"/>
      <c r="S87" s="200"/>
      <c r="T87" s="201"/>
      <c r="U87" s="201"/>
      <c r="V87" s="200"/>
      <c r="W87" s="200"/>
      <c r="X87" s="201"/>
      <c r="Y87" s="201"/>
      <c r="Z87" s="200"/>
      <c r="AA87" s="200"/>
      <c r="AB87" s="201"/>
      <c r="AC87" s="201"/>
      <c r="AD87" s="200"/>
      <c r="AE87" s="200"/>
      <c r="AF87" s="201"/>
      <c r="AG87" s="201"/>
      <c r="AH87" s="200"/>
      <c r="AI87" s="200"/>
      <c r="AJ87" s="201"/>
      <c r="AK87" s="201"/>
      <c r="AL87" s="200"/>
      <c r="AM87" s="200"/>
      <c r="AN87" s="200"/>
      <c r="AO87" s="193" t="str">
        <f>IFERROR(VLOOKUP(D87,'Reference Records'!$C$160:$E$252,3,FALSE),"")</f>
        <v/>
      </c>
      <c r="AP87" s="232" t="e">
        <f>VLOOKUP(AO87,'Reference Records'!$E$160:$F$252,2,0)</f>
        <v>#N/A</v>
      </c>
      <c r="AQ87" s="232" t="e">
        <f>MATCH($AP87,'Reference Records'!$E$330:$E$506,0)+ROW(Population_by_intervention) -1</f>
        <v>#N/A</v>
      </c>
      <c r="AR87" s="232" t="e">
        <f>MATCH($AP87,'Reference Records'!$E$330:$E$506,1)+ROW(Population_by_intervention) -1</f>
        <v>#N/A</v>
      </c>
      <c r="AS87" s="232" t="str">
        <f t="shared" si="4"/>
        <v>|empty|</v>
      </c>
      <c r="AT87" s="232" t="str">
        <f>IF(AS87="","",IFERROR(VLOOKUP(AS87,'Overview - Section A'!AF$123:AG252,2,0),VLOOKUP("|empty|",'Overview - Section A'!AF$123:AG252,2,0)))</f>
        <v>INT-130914</v>
      </c>
      <c r="AU87" s="200"/>
      <c r="AV87" s="200"/>
      <c r="AY87" s="232">
        <f t="shared" si="5"/>
        <v>2275</v>
      </c>
      <c r="AZ87" s="232">
        <f ca="1">AZ86+'update Helper'!$Z$2</f>
        <v>2831</v>
      </c>
      <c r="BC87" s="232" t="str">
        <f ca="1">IF(INDIRECT("'update Helper'!S"&amp;AY87)=0,"",IFERROR(VLOOKUP(INDIRECT("'update Helper'!S"&amp;AY87),'Account Role'!A$1:B$28,2,0),IFERROR(VLOOKUP(INDIRECT("'update Helper'!I"&amp;AY87),'Overview - Section A'!J$25:P$90,7,0),"")))</f>
        <v/>
      </c>
      <c r="BD87" s="232" t="str">
        <f ca="1">IFERROR(INDEX('Overview - Section A'!A$122:A252,MATCH(INDIRECT("'update Helper'!Q"&amp;AY87),'Overview - Section A'!AQ$122:AQ252,0)),"")</f>
        <v/>
      </c>
      <c r="BE87" s="232" t="str">
        <f>IFERROR(INDEX('Overview - Section A'!O$122:O252,MATCH(AT87,'Overview - Section A'!AQ$122:AQ252,0)),"")</f>
        <v/>
      </c>
      <c r="BF87" s="232" t="str">
        <f>IFERROR(INDEX('Overview - Section A'!H$122:H252,MATCH(AT87,'Overview - Section A'!AQ$122:AQ252,0)),"")</f>
        <v/>
      </c>
    </row>
    <row r="88" spans="1:58" s="232" customFormat="1" ht="30" customHeight="1" x14ac:dyDescent="0.3">
      <c r="A88" s="178">
        <v>80</v>
      </c>
      <c r="B88" s="200"/>
      <c r="C88" s="200"/>
      <c r="D88" s="200"/>
      <c r="E88" s="200"/>
      <c r="F88" s="200"/>
      <c r="G88" s="201"/>
      <c r="H88" s="201"/>
      <c r="I88" s="201"/>
      <c r="J88" s="200"/>
      <c r="K88" s="200"/>
      <c r="L88" s="201"/>
      <c r="M88" s="201"/>
      <c r="N88" s="200"/>
      <c r="O88" s="200"/>
      <c r="P88" s="201"/>
      <c r="Q88" s="201"/>
      <c r="R88" s="200"/>
      <c r="S88" s="200"/>
      <c r="T88" s="201"/>
      <c r="U88" s="201"/>
      <c r="V88" s="200"/>
      <c r="W88" s="200"/>
      <c r="X88" s="201"/>
      <c r="Y88" s="201"/>
      <c r="Z88" s="200"/>
      <c r="AA88" s="200"/>
      <c r="AB88" s="201"/>
      <c r="AC88" s="201"/>
      <c r="AD88" s="200"/>
      <c r="AE88" s="200"/>
      <c r="AF88" s="201"/>
      <c r="AG88" s="201"/>
      <c r="AH88" s="200"/>
      <c r="AI88" s="200"/>
      <c r="AJ88" s="201"/>
      <c r="AK88" s="201"/>
      <c r="AL88" s="200"/>
      <c r="AM88" s="200"/>
      <c r="AN88" s="200"/>
      <c r="AO88" s="193" t="str">
        <f>IFERROR(VLOOKUP(D88,'Reference Records'!$C$160:$E$252,3,FALSE),"")</f>
        <v/>
      </c>
      <c r="AP88" s="232" t="e">
        <f>VLOOKUP(AO88,'Reference Records'!$E$160:$F$252,2,0)</f>
        <v>#N/A</v>
      </c>
      <c r="AQ88" s="232" t="e">
        <f>MATCH($AP88,'Reference Records'!$E$330:$E$506,0)+ROW(Population_by_intervention) -1</f>
        <v>#N/A</v>
      </c>
      <c r="AR88" s="232" t="e">
        <f>MATCH($AP88,'Reference Records'!$E$330:$E$506,1)+ROW(Population_by_intervention) -1</f>
        <v>#N/A</v>
      </c>
      <c r="AS88" s="232" t="str">
        <f t="shared" si="4"/>
        <v>|empty|</v>
      </c>
      <c r="AT88" s="232" t="str">
        <f>IF(AS88="","",IFERROR(VLOOKUP(AS88,'Overview - Section A'!AF$123:AG253,2,0),VLOOKUP("|empty|",'Overview - Section A'!AF$123:AG253,2,0)))</f>
        <v>INT-130914</v>
      </c>
      <c r="AU88" s="200"/>
      <c r="AV88" s="200"/>
      <c r="AY88" s="232">
        <f t="shared" si="5"/>
        <v>2276</v>
      </c>
      <c r="AZ88" s="232">
        <f ca="1">AZ87+'update Helper'!$Z$2</f>
        <v>2837</v>
      </c>
      <c r="BC88" s="232" t="str">
        <f ca="1">IF(INDIRECT("'update Helper'!S"&amp;AY88)=0,"",IFERROR(VLOOKUP(INDIRECT("'update Helper'!S"&amp;AY88),'Account Role'!A$1:B$28,2,0),IFERROR(VLOOKUP(INDIRECT("'update Helper'!I"&amp;AY88),'Overview - Section A'!J$25:P$90,7,0),"")))</f>
        <v/>
      </c>
      <c r="BD88" s="232" t="str">
        <f ca="1">IFERROR(INDEX('Overview - Section A'!A$122:A253,MATCH(INDIRECT("'update Helper'!Q"&amp;AY88),'Overview - Section A'!AQ$122:AQ253,0)),"")</f>
        <v/>
      </c>
      <c r="BE88" s="232" t="str">
        <f>IFERROR(INDEX('Overview - Section A'!O$122:O253,MATCH(AT88,'Overview - Section A'!AQ$122:AQ253,0)),"")</f>
        <v/>
      </c>
      <c r="BF88" s="232" t="str">
        <f>IFERROR(INDEX('Overview - Section A'!H$122:H253,MATCH(AT88,'Overview - Section A'!AQ$122:AQ253,0)),"")</f>
        <v/>
      </c>
    </row>
    <row r="89" spans="1:58" x14ac:dyDescent="0.3">
      <c r="BE89" s="232" t="str">
        <f>IFERROR(INDEX('Overview - Section A'!O$122:O254,MATCH(AT89,'Overview - Section A'!AQ$122:AQ254,0)),"")</f>
        <v/>
      </c>
      <c r="BF89" s="232" t="str">
        <f>IFERROR(INDEX('Overview - Section A'!H$122:H254,MATCH(AT89,'Overview - Section A'!AQ$122:AQ254,0)),"")</f>
        <v/>
      </c>
    </row>
  </sheetData>
  <sheetProtection password="FB8C" sheet="1" objects="1" scenarios="1" formatCells="0" formatColumns="0" formatRows="0"/>
  <mergeCells count="9">
    <mergeCell ref="A1:G2"/>
    <mergeCell ref="H7:K7"/>
    <mergeCell ref="L7:O7"/>
    <mergeCell ref="P7:S7"/>
    <mergeCell ref="AJ7:AM7"/>
    <mergeCell ref="T7:W7"/>
    <mergeCell ref="AB7:AE7"/>
    <mergeCell ref="X7:AA7"/>
    <mergeCell ref="AF7:AI7"/>
  </mergeCells>
  <dataValidations count="3">
    <dataValidation type="list" allowBlank="1" showInputMessage="1" showErrorMessage="1" sqref="G9:G88" xr:uid="{32DBE4D5-AB21-41EF-8DF2-3EA11D8CD3FA}">
      <formula1>Country</formula1>
    </dataValidation>
    <dataValidation type="list" allowBlank="1" showInputMessage="1" showErrorMessage="1" sqref="B9:B88" xr:uid="{C42B78F0-E86D-4DDE-AA5A-8AC38275CD5E}">
      <formula1>Coverage_Module</formula1>
    </dataValidation>
    <dataValidation type="list" allowBlank="1" showInputMessage="1" showErrorMessage="1" sqref="F9:F88" xr:uid="{817710F2-D2A2-431A-874B-A5063DB78157}">
      <formula1>MergedAndDistinctPR</formula1>
    </dataValidation>
  </dataValidations>
  <hyperlinks>
    <hyperlink ref="B5" location="'Instructions-FR'!InstructionsSectionF" display="'Instructions-FR'!InstructionsSectionF" xr:uid="{3D79AF57-ED75-4739-A433-132C79DA3D4E}"/>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AA5C3E8-E0E3-42F3-A3F9-1A1FABBCC75F}">
          <x14:formula1>
            <xm:f>OFFSET(Setup!$P$2,MATCH($B9,Setup!$O$2:$O$50,0)-1,1,COUNTIF(Setup!$O$2:$O$50,$B9),1)</xm:f>
          </x14:formula1>
          <xm:sqref>D9:D88</xm:sqref>
        </x14:dataValidation>
        <x14:dataValidation type="list" allowBlank="1" showInputMessage="1" showErrorMessage="1" xr:uid="{B83A97EF-3A05-4572-9FD0-5994D3664B99}">
          <x14:formula1>
            <xm:f>IF(AND(OR(D9=0,B9=0)),INDIRECT("FAKE RANGE"),OFFSET('Overview - Section A'!$AN$123,MATCH(B9&amp;D9,'Overview - Section A'!$AN$123:$AN$174,0)-1,-1,COUNTIF('Overview - Section A'!$AN$123:$AN$174,B9&amp;D9),1))</xm:f>
          </x14:formula1>
          <xm:sqref>C9:C88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CH373"/>
  <sheetViews>
    <sheetView view="pageBreakPreview" topLeftCell="A33" zoomScale="35" zoomScaleNormal="25" zoomScaleSheetLayoutView="35" workbookViewId="0">
      <selection activeCell="B55" sqref="B55:S55"/>
    </sheetView>
  </sheetViews>
  <sheetFormatPr defaultColWidth="9" defaultRowHeight="15.6" x14ac:dyDescent="0.3"/>
  <cols>
    <col min="1" max="1" width="11.09765625" style="365" customWidth="1"/>
    <col min="2" max="2" width="41.19921875" style="365" customWidth="1"/>
    <col min="3" max="3" width="62.8984375" style="365" customWidth="1"/>
    <col min="4" max="4" width="42.09765625" style="365" customWidth="1"/>
    <col min="5" max="5" width="30.19921875" style="365" customWidth="1"/>
    <col min="6" max="6" width="31.3984375" style="365" customWidth="1"/>
    <col min="7" max="7" width="37.69921875" style="365" customWidth="1"/>
    <col min="8" max="8" width="25.19921875" style="365" customWidth="1"/>
    <col min="9" max="9" width="32.59765625" style="365" customWidth="1"/>
    <col min="10" max="10" width="46.09765625" style="365" customWidth="1"/>
    <col min="11" max="11" width="36.19921875" style="365" customWidth="1"/>
    <col min="12" max="12" width="27.69921875" style="365" customWidth="1"/>
    <col min="13" max="13" width="29.8984375" style="365" customWidth="1"/>
    <col min="14" max="14" width="26" style="365" customWidth="1"/>
    <col min="15" max="18" width="26.09765625" style="365" customWidth="1"/>
    <col min="19" max="20" width="25.19921875" style="365" customWidth="1"/>
    <col min="21" max="21" width="28.3984375" style="365" customWidth="1"/>
    <col min="22" max="22" width="20.59765625" style="365" customWidth="1"/>
    <col min="23" max="23" width="28.69921875" style="365" customWidth="1"/>
    <col min="24" max="24" width="22.69921875" style="365" customWidth="1"/>
    <col min="25" max="25" width="28.3984375" style="365" customWidth="1"/>
    <col min="26" max="26" width="29.69921875" style="365" customWidth="1"/>
    <col min="27" max="27" width="23.5" style="365" customWidth="1"/>
    <col min="28" max="28" width="22.69921875" style="365" customWidth="1"/>
    <col min="29" max="29" width="30.3984375" style="365" customWidth="1"/>
    <col min="30" max="30" width="29.09765625" style="365" customWidth="1"/>
    <col min="31" max="31" width="23.5" style="365" customWidth="1"/>
    <col min="32" max="32" width="31.19921875" style="365" customWidth="1"/>
    <col min="33" max="34" width="19.59765625" style="365" customWidth="1"/>
    <col min="35" max="35" width="29.59765625" style="365" customWidth="1"/>
    <col min="36" max="36" width="28.59765625" style="365" customWidth="1"/>
    <col min="37" max="37" width="30.59765625" style="365" customWidth="1"/>
    <col min="38" max="38" width="30.19921875" style="365" customWidth="1"/>
    <col min="39" max="39" width="19.59765625" style="365" customWidth="1"/>
    <col min="40" max="40" width="56.3984375" style="365" customWidth="1"/>
    <col min="41" max="41" width="130" style="365" customWidth="1"/>
    <col min="42" max="42" width="46.59765625" style="216" customWidth="1"/>
    <col min="43" max="43" width="33.59765625" style="365" customWidth="1"/>
    <col min="44" max="44" width="35.09765625" style="365" customWidth="1"/>
    <col min="45" max="45" width="44" style="365" customWidth="1"/>
    <col min="46" max="46" width="9" style="211" customWidth="1"/>
    <col min="47" max="50" width="9" style="364" hidden="1" customWidth="1"/>
    <col min="51" max="51" width="9.19921875" style="364" hidden="1" customWidth="1"/>
    <col min="52" max="53" width="9" style="364" hidden="1" customWidth="1"/>
    <col min="54" max="55" width="9" style="364"/>
    <col min="56" max="16384" width="9" style="365"/>
  </cols>
  <sheetData>
    <row r="1" spans="1:55" ht="37.200000000000003" thickBot="1" x14ac:dyDescent="0.35">
      <c r="A1" s="758" t="str">
        <f ca="1">Translations!A88</f>
        <v>Cadre de résultats</v>
      </c>
      <c r="B1" s="759"/>
      <c r="C1" s="759"/>
      <c r="D1" s="759"/>
      <c r="E1" s="759"/>
      <c r="F1" s="759"/>
      <c r="G1" s="759"/>
      <c r="H1" s="759"/>
      <c r="I1" s="759"/>
      <c r="J1" s="759"/>
      <c r="K1" s="759"/>
      <c r="L1" s="759"/>
      <c r="M1" s="759"/>
      <c r="N1" s="759"/>
      <c r="O1" s="759"/>
      <c r="P1" s="759"/>
      <c r="Q1" s="759"/>
      <c r="R1" s="759"/>
      <c r="S1" s="759"/>
      <c r="T1" s="362"/>
      <c r="U1" s="363"/>
      <c r="V1" s="363"/>
      <c r="W1" s="363"/>
      <c r="X1" s="363"/>
      <c r="Y1" s="363"/>
      <c r="Z1" s="363"/>
      <c r="AA1" s="363"/>
      <c r="AB1" s="363"/>
      <c r="AC1" s="363"/>
      <c r="AD1" s="363"/>
      <c r="AE1" s="363"/>
      <c r="AF1" s="363"/>
      <c r="AG1" s="363"/>
      <c r="AH1" s="363"/>
      <c r="AI1" s="363"/>
      <c r="AJ1" s="363"/>
      <c r="AK1" s="363"/>
      <c r="AL1" s="363"/>
      <c r="AM1" s="363"/>
      <c r="AN1" s="363"/>
      <c r="AO1" s="363"/>
      <c r="AQ1" s="216"/>
      <c r="AR1" s="216"/>
      <c r="AS1" s="216"/>
    </row>
    <row r="2" spans="1:55" ht="27.6" x14ac:dyDescent="0.3">
      <c r="A2" s="756"/>
      <c r="B2" s="757"/>
      <c r="C2" s="757"/>
      <c r="D2" s="757"/>
      <c r="E2" s="756"/>
      <c r="F2" s="757"/>
      <c r="G2" s="757"/>
      <c r="H2" s="757"/>
      <c r="I2" s="756"/>
      <c r="J2" s="757"/>
      <c r="K2" s="757"/>
      <c r="L2" s="757"/>
      <c r="M2" s="756"/>
      <c r="N2" s="757"/>
      <c r="O2" s="757"/>
      <c r="P2" s="757"/>
      <c r="Q2" s="756"/>
      <c r="R2" s="757"/>
      <c r="S2" s="757"/>
      <c r="T2" s="361"/>
      <c r="U2" s="363"/>
      <c r="V2" s="363"/>
      <c r="W2" s="363"/>
      <c r="X2" s="363"/>
      <c r="Y2" s="363"/>
      <c r="Z2" s="363"/>
      <c r="AA2" s="363"/>
      <c r="AB2" s="363"/>
      <c r="AC2" s="363"/>
      <c r="AD2" s="363"/>
      <c r="AE2" s="363"/>
      <c r="AF2" s="363"/>
      <c r="AG2" s="363"/>
      <c r="AH2" s="363"/>
      <c r="AI2" s="363"/>
      <c r="AJ2" s="363"/>
      <c r="AK2" s="363"/>
      <c r="AL2" s="363"/>
      <c r="AM2" s="363"/>
      <c r="AN2" s="363"/>
      <c r="AO2" s="363"/>
      <c r="AQ2" s="216"/>
      <c r="AR2" s="216"/>
      <c r="AS2" s="216"/>
    </row>
    <row r="3" spans="1:55" s="216" customFormat="1" ht="27.6" x14ac:dyDescent="0.3">
      <c r="A3" s="363"/>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T3" s="218"/>
      <c r="AU3" s="366"/>
      <c r="AV3" s="366"/>
      <c r="AW3" s="366"/>
      <c r="AX3" s="366"/>
      <c r="AY3" s="366"/>
      <c r="AZ3" s="366"/>
      <c r="BA3" s="366"/>
      <c r="BB3" s="366"/>
      <c r="BC3" s="366"/>
    </row>
    <row r="4" spans="1:55" s="216" customFormat="1" ht="27.6" x14ac:dyDescent="0.3">
      <c r="A4" s="363"/>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T4" s="218"/>
      <c r="AU4" s="366"/>
      <c r="AV4" s="366"/>
      <c r="AW4" s="366"/>
      <c r="AX4" s="366"/>
      <c r="AY4" s="366"/>
      <c r="AZ4" s="366"/>
      <c r="BA4" s="366"/>
      <c r="BB4" s="366"/>
      <c r="BC4" s="366"/>
    </row>
    <row r="5" spans="1:55" s="216" customFormat="1" ht="27.6" x14ac:dyDescent="0.3">
      <c r="A5" s="363"/>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T5" s="218"/>
      <c r="AU5" s="366"/>
      <c r="AV5" s="366"/>
      <c r="AW5" s="366"/>
      <c r="AX5" s="366"/>
      <c r="AY5" s="366"/>
      <c r="AZ5" s="366"/>
      <c r="BA5" s="366"/>
      <c r="BB5" s="366"/>
      <c r="BC5" s="366"/>
    </row>
    <row r="6" spans="1:55" s="216" customFormat="1" ht="27.6" x14ac:dyDescent="0.3">
      <c r="A6" s="363"/>
      <c r="B6" s="363"/>
      <c r="C6" s="363"/>
      <c r="D6" s="363"/>
      <c r="E6" s="363"/>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T6" s="218"/>
      <c r="AU6" s="366"/>
      <c r="AV6" s="366"/>
      <c r="AW6" s="366"/>
      <c r="AX6" s="366"/>
      <c r="AY6" s="366"/>
      <c r="AZ6" s="366"/>
      <c r="BA6" s="366"/>
      <c r="BB6" s="366"/>
      <c r="BC6" s="366"/>
    </row>
    <row r="7" spans="1:55" s="216" customFormat="1" ht="27.6" x14ac:dyDescent="0.3">
      <c r="A7" s="363"/>
      <c r="B7" s="363"/>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T7" s="218"/>
      <c r="AU7" s="366"/>
      <c r="AV7" s="366"/>
      <c r="AW7" s="366"/>
      <c r="AX7" s="366"/>
      <c r="AY7" s="366"/>
      <c r="AZ7" s="366"/>
      <c r="BA7" s="366"/>
      <c r="BB7" s="366"/>
      <c r="BC7" s="366"/>
    </row>
    <row r="8" spans="1:55" s="216" customFormat="1" ht="27.6" x14ac:dyDescent="0.3">
      <c r="A8" s="363"/>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T8" s="218"/>
      <c r="AU8" s="366"/>
      <c r="AV8" s="366"/>
      <c r="AW8" s="366"/>
      <c r="AX8" s="366"/>
      <c r="AY8" s="366"/>
      <c r="AZ8" s="366"/>
      <c r="BA8" s="366"/>
      <c r="BB8" s="366"/>
      <c r="BC8" s="366"/>
    </row>
    <row r="9" spans="1:55" ht="16.2" thickBot="1" x14ac:dyDescent="0.35">
      <c r="A9" s="216"/>
      <c r="B9" s="216"/>
      <c r="C9" s="216"/>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Q9" s="216"/>
      <c r="AR9" s="216"/>
      <c r="AS9" s="216"/>
    </row>
    <row r="10" spans="1:55" ht="77.400000000000006" customHeight="1" x14ac:dyDescent="0.3">
      <c r="A10" s="760" t="str">
        <f ca="1">Translations!A5</f>
        <v>Pays / Candidat</v>
      </c>
      <c r="B10" s="757"/>
      <c r="C10" s="761"/>
      <c r="D10" s="699" t="str">
        <f>'Overview - Section A'!E5</f>
        <v>Côte d'Ivoire</v>
      </c>
      <c r="E10" s="700"/>
      <c r="F10" s="216"/>
      <c r="G10" s="693" t="str">
        <f ca="1">Translations!A15</f>
        <v>Récipiendaire Principal</v>
      </c>
      <c r="H10" s="694"/>
      <c r="I10" s="694"/>
      <c r="J10" s="695"/>
      <c r="K10" s="363"/>
      <c r="L10" s="363"/>
      <c r="M10" s="363"/>
      <c r="N10" s="363"/>
      <c r="O10" s="363"/>
      <c r="P10" s="363"/>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Q10" s="216"/>
      <c r="AR10" s="216"/>
      <c r="AS10" s="216"/>
    </row>
    <row r="11" spans="1:55" ht="69.75" customHeight="1" x14ac:dyDescent="0.3">
      <c r="A11" s="701" t="str">
        <f ca="1">Translations!A6</f>
        <v>Nom de la subvention / Nom de la demande de financement</v>
      </c>
      <c r="B11" s="702"/>
      <c r="C11" s="703"/>
      <c r="D11" s="699" t="str">
        <f>'Overview - Section A'!E6</f>
        <v>FR941-CIV-H</v>
      </c>
      <c r="E11" s="700"/>
      <c r="F11" s="218">
        <v>1</v>
      </c>
      <c r="G11" s="696" t="str">
        <f ca="1">Setup!I15</f>
        <v>Alliance Nationale Contre Le Sida en Cote D'Ivoire</v>
      </c>
      <c r="H11" s="697"/>
      <c r="I11" s="697"/>
      <c r="J11" s="698"/>
      <c r="K11" s="363"/>
      <c r="L11" s="363"/>
      <c r="M11" s="363"/>
      <c r="N11" s="363"/>
      <c r="O11" s="363"/>
      <c r="P11" s="363"/>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Q11" s="216"/>
      <c r="AR11" s="216"/>
      <c r="AS11" s="216"/>
    </row>
    <row r="12" spans="1:55" ht="30" customHeight="1" x14ac:dyDescent="0.3">
      <c r="A12" s="701" t="str">
        <f ca="1">Translations!A7</f>
        <v>Date de début du programme</v>
      </c>
      <c r="B12" s="702"/>
      <c r="C12" s="703"/>
      <c r="D12" s="699">
        <f>'Overview - Section A'!E7</f>
        <v>44197</v>
      </c>
      <c r="E12" s="700"/>
      <c r="F12" s="218">
        <v>2</v>
      </c>
      <c r="G12" s="696" t="str">
        <f ca="1">Setup!I16</f>
        <v>Programme National de Lutte contre le SIDA de la République de Côte d'Ivoire</v>
      </c>
      <c r="H12" s="697"/>
      <c r="I12" s="697"/>
      <c r="J12" s="698"/>
      <c r="K12" s="363"/>
      <c r="L12" s="363"/>
      <c r="M12" s="363"/>
      <c r="N12" s="363"/>
      <c r="O12" s="363"/>
      <c r="P12" s="363"/>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Q12" s="216"/>
      <c r="AR12" s="216"/>
      <c r="AS12" s="216"/>
    </row>
    <row r="13" spans="1:55" ht="45" customHeight="1" x14ac:dyDescent="0.3">
      <c r="A13" s="701" t="str">
        <f ca="1">Translations!A8</f>
        <v>Date de fin du programme</v>
      </c>
      <c r="B13" s="702"/>
      <c r="C13" s="703"/>
      <c r="D13" s="699">
        <f>'Overview - Section A'!E8</f>
        <v>45291</v>
      </c>
      <c r="E13" s="700"/>
      <c r="F13" s="218">
        <v>3</v>
      </c>
      <c r="G13" s="696" t="str">
        <f ca="1">Setup!I17</f>
        <v/>
      </c>
      <c r="H13" s="697"/>
      <c r="I13" s="697"/>
      <c r="J13" s="698"/>
      <c r="K13" s="363"/>
      <c r="L13" s="363"/>
      <c r="M13" s="363"/>
      <c r="N13" s="363"/>
      <c r="O13" s="363"/>
      <c r="P13" s="363"/>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Q13" s="216"/>
      <c r="AR13" s="216"/>
      <c r="AS13" s="216"/>
    </row>
    <row r="14" spans="1:55" ht="30" customHeight="1" x14ac:dyDescent="0.3">
      <c r="A14" s="701" t="str">
        <f ca="1">Translations!A9</f>
        <v>Fréquence du rapportage programmatique</v>
      </c>
      <c r="B14" s="702"/>
      <c r="C14" s="703"/>
      <c r="D14" s="704">
        <f>'Overview - Section A'!E9</f>
        <v>6</v>
      </c>
      <c r="E14" s="705"/>
      <c r="F14" s="218">
        <v>4</v>
      </c>
      <c r="G14" s="696" t="str">
        <f ca="1">Setup!I18</f>
        <v/>
      </c>
      <c r="H14" s="697"/>
      <c r="I14" s="697"/>
      <c r="J14" s="698"/>
      <c r="K14" s="363"/>
      <c r="L14" s="363"/>
      <c r="M14" s="363"/>
      <c r="N14" s="363"/>
      <c r="O14" s="363"/>
      <c r="P14" s="363"/>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Q14" s="216"/>
      <c r="AR14" s="216"/>
      <c r="AS14" s="216"/>
    </row>
    <row r="15" spans="1:55" ht="30" customHeight="1" x14ac:dyDescent="0.3">
      <c r="A15" s="701" t="str">
        <f ca="1">Translations!A10</f>
        <v>Date de début de la période d'utilisation des allocations</v>
      </c>
      <c r="B15" s="702"/>
      <c r="C15" s="703"/>
      <c r="D15" s="699">
        <f>IF('Overview - Section A'!E10&lt;&gt;"",'Overview - Section A'!E10,"")</f>
        <v>44197</v>
      </c>
      <c r="E15" s="700"/>
      <c r="F15" s="218">
        <v>5</v>
      </c>
      <c r="G15" s="696" t="str">
        <f ca="1">Setup!I19</f>
        <v/>
      </c>
      <c r="H15" s="697"/>
      <c r="I15" s="697"/>
      <c r="J15" s="698"/>
      <c r="K15" s="363"/>
      <c r="L15" s="363"/>
      <c r="M15" s="363"/>
      <c r="N15" s="363"/>
      <c r="O15" s="363"/>
      <c r="P15" s="363"/>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Q15" s="216"/>
      <c r="AR15" s="216"/>
      <c r="AS15" s="216"/>
    </row>
    <row r="16" spans="1:55" ht="30" customHeight="1" thickBot="1" x14ac:dyDescent="0.35">
      <c r="A16" s="706" t="str">
        <f ca="1">Translations!A11</f>
        <v>Date de fin de la période d'utilisation des allocations</v>
      </c>
      <c r="B16" s="707"/>
      <c r="C16" s="708"/>
      <c r="D16" s="699">
        <f>IF('Overview - Section A'!E11&lt;&gt;"",'Overview - Section A'!E11,"")</f>
        <v>45291</v>
      </c>
      <c r="E16" s="700"/>
      <c r="F16" s="218">
        <v>6</v>
      </c>
      <c r="G16" s="696" t="str">
        <f ca="1">Setup!I20</f>
        <v/>
      </c>
      <c r="H16" s="697"/>
      <c r="I16" s="697"/>
      <c r="J16" s="698"/>
      <c r="K16" s="363"/>
      <c r="L16" s="363"/>
      <c r="M16" s="363"/>
      <c r="N16" s="363"/>
      <c r="O16" s="363"/>
      <c r="P16" s="363"/>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Q16" s="216"/>
      <c r="AR16" s="216"/>
      <c r="AS16" s="216"/>
    </row>
    <row r="17" spans="1:45" ht="27" customHeight="1" x14ac:dyDescent="0.3">
      <c r="A17" s="216"/>
      <c r="B17" s="216"/>
      <c r="C17" s="216"/>
      <c r="D17" s="216"/>
      <c r="E17" s="216"/>
      <c r="F17" s="216"/>
      <c r="G17" s="216"/>
      <c r="H17" s="216"/>
      <c r="I17" s="216"/>
      <c r="J17" s="216"/>
      <c r="K17" s="363"/>
      <c r="L17" s="363"/>
      <c r="M17" s="363"/>
      <c r="N17" s="363"/>
      <c r="O17" s="363"/>
      <c r="P17" s="363"/>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Q17" s="216"/>
      <c r="AR17" s="216"/>
      <c r="AS17" s="216"/>
    </row>
    <row r="18" spans="1:45" ht="27" customHeight="1" x14ac:dyDescent="0.3">
      <c r="A18" s="216"/>
      <c r="B18" s="216"/>
      <c r="C18" s="216"/>
      <c r="D18" s="216"/>
      <c r="E18" s="216"/>
      <c r="F18" s="216"/>
      <c r="G18" s="216"/>
      <c r="H18" s="216"/>
      <c r="I18" s="216"/>
      <c r="J18" s="216"/>
      <c r="K18" s="363"/>
      <c r="L18" s="363"/>
      <c r="M18" s="363"/>
      <c r="N18" s="363"/>
      <c r="O18" s="363"/>
      <c r="P18" s="363"/>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Q18" s="216"/>
      <c r="AR18" s="216"/>
      <c r="AS18" s="216"/>
    </row>
    <row r="19" spans="1:45" ht="27" customHeight="1" x14ac:dyDescent="0.3">
      <c r="A19" s="216"/>
      <c r="B19" s="216"/>
      <c r="C19" s="216"/>
      <c r="D19" s="216"/>
      <c r="E19" s="216"/>
      <c r="F19" s="216"/>
      <c r="G19" s="216"/>
      <c r="H19" s="216"/>
      <c r="I19" s="216"/>
      <c r="J19" s="216"/>
      <c r="K19" s="363"/>
      <c r="L19" s="363"/>
      <c r="M19" s="363"/>
      <c r="N19" s="363"/>
      <c r="O19" s="363"/>
      <c r="P19" s="363"/>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Q19" s="216"/>
      <c r="AR19" s="216"/>
      <c r="AS19" s="216"/>
    </row>
    <row r="20" spans="1:45" ht="27.6" x14ac:dyDescent="0.3">
      <c r="A20" s="216"/>
      <c r="B20" s="216"/>
      <c r="C20" s="216"/>
      <c r="D20" s="216"/>
      <c r="E20" s="216"/>
      <c r="F20" s="216"/>
      <c r="G20" s="216"/>
      <c r="H20" s="216"/>
      <c r="I20" s="216"/>
      <c r="J20" s="216"/>
      <c r="K20" s="363"/>
      <c r="L20" s="363"/>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Q20" s="216"/>
      <c r="AR20" s="216"/>
      <c r="AS20" s="216"/>
    </row>
    <row r="21" spans="1:45" ht="138" customHeight="1" x14ac:dyDescent="0.3">
      <c r="A21" s="749" t="str">
        <f ca="1">Translations!A17</f>
        <v>Périodes de rapportage</v>
      </c>
      <c r="B21" s="750"/>
      <c r="C21" s="750"/>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Q21" s="216"/>
      <c r="AR21" s="216"/>
      <c r="AS21" s="216"/>
    </row>
    <row r="22" spans="1:45" ht="27.6" x14ac:dyDescent="0.3">
      <c r="A22" s="751" t="s">
        <v>375</v>
      </c>
      <c r="B22" s="752"/>
      <c r="C22" s="217" t="s">
        <v>376</v>
      </c>
      <c r="D22" s="218"/>
      <c r="E22" s="218"/>
      <c r="F22" s="218"/>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Q22" s="216"/>
      <c r="AR22" s="216"/>
      <c r="AS22" s="216"/>
    </row>
    <row r="23" spans="1:45" ht="27" customHeight="1" x14ac:dyDescent="0.3">
      <c r="A23" s="691">
        <f ca="1">IFERROR(IF(INDEX('Overview - Section A'!A$45:A$53,MATCH($D23,'Overview - Section A'!$B$45:$B$53,0))&lt;&gt;0,(INDEX('Overview - Section A'!A$45:A$53,MATCH($D23,'Overview - Section A'!$B$45:$B$53,0))),""),"")</f>
        <v>44197</v>
      </c>
      <c r="B23" s="692"/>
      <c r="C23" s="217">
        <f ca="1">IFERROR(IF(INDEX('Overview - Section A'!E$45:E$53,MATCH($D23,'Overview - Section A'!$B$45:$B$53,0))&lt;&gt;0,(INDEX('Overview - Section A'!E$45:E$53,MATCH($D23,'Overview - Section A'!$B$45:$B$53,0))),""),"")</f>
        <v>44377</v>
      </c>
      <c r="D23" s="218">
        <v>2</v>
      </c>
      <c r="E23" s="218"/>
      <c r="F23" s="218"/>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Q23" s="216"/>
      <c r="AR23" s="216"/>
      <c r="AS23" s="216"/>
    </row>
    <row r="24" spans="1:45" ht="27" customHeight="1" x14ac:dyDescent="0.3">
      <c r="A24" s="691">
        <f ca="1">IFERROR(IF(INDEX('Overview - Section A'!A$45:A$53,MATCH($D24,'Overview - Section A'!$B$45:$B$53,0))&lt;&gt;0,(INDEX('Overview - Section A'!A$45:A$53,MATCH($D24,'Overview - Section A'!$B$45:$B$53,0))),""),"")</f>
        <v>44378</v>
      </c>
      <c r="B24" s="692"/>
      <c r="C24" s="217">
        <f ca="1">IFERROR(IF(INDEX('Overview - Section A'!E$45:E$53,MATCH($D24,'Overview - Section A'!$B$45:$B$53,0))&lt;&gt;0,(INDEX('Overview - Section A'!E$45:E$53,MATCH($D24,'Overview - Section A'!$B$45:$B$53,0))),""),"")</f>
        <v>44561</v>
      </c>
      <c r="D24" s="218">
        <v>3</v>
      </c>
      <c r="E24" s="218"/>
      <c r="F24" s="218"/>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Q24" s="216"/>
      <c r="AR24" s="216"/>
      <c r="AS24" s="216"/>
    </row>
    <row r="25" spans="1:45" ht="27" customHeight="1" x14ac:dyDescent="0.3">
      <c r="A25" s="691">
        <f ca="1">IFERROR(IF(INDEX('Overview - Section A'!A$45:A$53,MATCH($D25,'Overview - Section A'!$B$45:$B$53,0))&lt;&gt;0,(INDEX('Overview - Section A'!A$45:A$53,MATCH($D25,'Overview - Section A'!$B$45:$B$53,0))),""),"")</f>
        <v>44562</v>
      </c>
      <c r="B25" s="692"/>
      <c r="C25" s="217">
        <f ca="1">IFERROR(IF(INDEX('Overview - Section A'!E$45:E$53,MATCH($D25,'Overview - Section A'!$B$45:$B$53,0))&lt;&gt;0,(INDEX('Overview - Section A'!E$45:E$53,MATCH($D25,'Overview - Section A'!$B$45:$B$53,0))),""),"")</f>
        <v>44742</v>
      </c>
      <c r="D25" s="218">
        <v>4</v>
      </c>
      <c r="E25" s="218"/>
      <c r="F25" s="218"/>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Q25" s="216"/>
      <c r="AR25" s="216"/>
      <c r="AS25" s="216"/>
    </row>
    <row r="26" spans="1:45" ht="27" customHeight="1" x14ac:dyDescent="0.3">
      <c r="A26" s="691">
        <f ca="1">IFERROR(IF(INDEX('Overview - Section A'!A$45:A$53,MATCH($D26,'Overview - Section A'!$B$45:$B$53,0))&lt;&gt;0,(INDEX('Overview - Section A'!A$45:A$53,MATCH($D26,'Overview - Section A'!$B$45:$B$53,0))),""),"")</f>
        <v>44743</v>
      </c>
      <c r="B26" s="692"/>
      <c r="C26" s="217">
        <f ca="1">IFERROR(IF(INDEX('Overview - Section A'!E$45:E$53,MATCH($D26,'Overview - Section A'!$B$45:$B$53,0))&lt;&gt;0,(INDEX('Overview - Section A'!E$45:E$53,MATCH($D26,'Overview - Section A'!$B$45:$B$53,0))),""),"")</f>
        <v>44926</v>
      </c>
      <c r="D26" s="218">
        <v>5</v>
      </c>
      <c r="E26" s="218"/>
      <c r="F26" s="218"/>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Q26" s="216"/>
      <c r="AR26" s="216"/>
      <c r="AS26" s="216"/>
    </row>
    <row r="27" spans="1:45" ht="27" customHeight="1" x14ac:dyDescent="0.3">
      <c r="A27" s="691">
        <f ca="1">IFERROR(IF(INDEX('Overview - Section A'!A$45:A$53,MATCH($D27,'Overview - Section A'!$B$45:$B$53,0))&lt;&gt;0,(INDEX('Overview - Section A'!A$45:A$53,MATCH($D27,'Overview - Section A'!$B$45:$B$53,0))),""),"")</f>
        <v>44927</v>
      </c>
      <c r="B27" s="692"/>
      <c r="C27" s="217">
        <f ca="1">IFERROR(IF(INDEX('Overview - Section A'!E$45:E$53,MATCH($D27,'Overview - Section A'!$B$45:$B$53,0))&lt;&gt;0,(INDEX('Overview - Section A'!E$45:E$53,MATCH($D27,'Overview - Section A'!$B$45:$B$53,0))),""),"")</f>
        <v>45107</v>
      </c>
      <c r="D27" s="218">
        <v>6</v>
      </c>
      <c r="E27" s="218"/>
      <c r="F27" s="218"/>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Q27" s="216"/>
      <c r="AR27" s="216"/>
      <c r="AS27" s="216"/>
    </row>
    <row r="28" spans="1:45" ht="27" customHeight="1" x14ac:dyDescent="0.3">
      <c r="A28" s="691">
        <f ca="1">IFERROR(IF(INDEX('Overview - Section A'!A$45:A$53,MATCH($D28,'Overview - Section A'!$B$45:$B$53,0))&lt;&gt;0,(INDEX('Overview - Section A'!A$45:A$53,MATCH($D28,'Overview - Section A'!$B$45:$B$53,0))),""),"")</f>
        <v>45108</v>
      </c>
      <c r="B28" s="692"/>
      <c r="C28" s="217">
        <f ca="1">IFERROR(IF(INDEX('Overview - Section A'!E$45:E$53,MATCH($D28,'Overview - Section A'!$B$45:$B$53,0))&lt;&gt;0,(INDEX('Overview - Section A'!E$45:E$53,MATCH($D28,'Overview - Section A'!$B$45:$B$53,0))),""),"")</f>
        <v>45291</v>
      </c>
      <c r="D28" s="218">
        <v>7</v>
      </c>
      <c r="E28" s="218"/>
      <c r="F28" s="218"/>
      <c r="G28" s="216"/>
      <c r="H28" s="216"/>
      <c r="I28" s="216"/>
      <c r="J28" s="216"/>
      <c r="K28" s="216"/>
      <c r="L28" s="216"/>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Q28" s="216"/>
      <c r="AR28" s="216"/>
      <c r="AS28" s="216"/>
    </row>
    <row r="29" spans="1:45" ht="27" customHeight="1" x14ac:dyDescent="0.3">
      <c r="A29" s="691" t="str">
        <f>IFERROR(IF(INDEX('Overview - Section A'!A$45:A$53,MATCH($D29,'Overview - Section A'!$B$45:$B$53,0))&lt;&gt;0,(INDEX('Overview - Section A'!A$45:A$53,MATCH($D29,'Overview - Section A'!$B$45:$B$53,0))),""),"")</f>
        <v/>
      </c>
      <c r="B29" s="692"/>
      <c r="C29" s="217" t="str">
        <f>IFERROR(IF(INDEX('Overview - Section A'!E$45:E$53,MATCH($D29,'Overview - Section A'!$B$45:$B$53,0))&lt;&gt;0,(INDEX('Overview - Section A'!E$45:E$53,MATCH($D29,'Overview - Section A'!$B$45:$B$53,0))),""),"")</f>
        <v/>
      </c>
      <c r="D29" s="218">
        <v>8</v>
      </c>
      <c r="E29" s="218"/>
      <c r="F29" s="218"/>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Q29" s="216"/>
      <c r="AR29" s="216"/>
      <c r="AS29" s="216"/>
    </row>
    <row r="30" spans="1:45" ht="27" customHeight="1" x14ac:dyDescent="0.3">
      <c r="A30" s="691" t="str">
        <f>IFERROR(IF(INDEX('Overview - Section A'!A$45:A$53,MATCH($D30,'Overview - Section A'!$B$45:$B$53,0))&lt;&gt;0,(INDEX('Overview - Section A'!A$45:A$53,MATCH($D30,'Overview - Section A'!$B$45:$B$53,0))),""),"")</f>
        <v/>
      </c>
      <c r="B30" s="692"/>
      <c r="C30" s="217" t="str">
        <f>IFERROR(IF(INDEX('Overview - Section A'!E$45:E$53,MATCH($D30,'Overview - Section A'!$B$45:$B$53,0))&lt;&gt;0,(INDEX('Overview - Section A'!E$45:E$53,MATCH($D30,'Overview - Section A'!$B$45:$B$53,0))),""),"")</f>
        <v/>
      </c>
      <c r="D30" s="218">
        <v>9</v>
      </c>
      <c r="E30" s="218"/>
      <c r="F30" s="218"/>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Q30" s="216"/>
      <c r="AR30" s="216"/>
      <c r="AS30" s="216"/>
    </row>
    <row r="31" spans="1:45" ht="23.4" x14ac:dyDescent="0.3">
      <c r="A31" s="216"/>
      <c r="B31" s="219"/>
      <c r="C31" s="219"/>
      <c r="D31" s="219"/>
      <c r="E31" s="219"/>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Q31" s="216"/>
      <c r="AR31" s="216"/>
      <c r="AS31" s="216"/>
    </row>
    <row r="32" spans="1:45" ht="55.2" customHeight="1" x14ac:dyDescent="0.3">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Q32" s="216"/>
      <c r="AR32" s="216"/>
      <c r="AS32" s="216"/>
    </row>
    <row r="33" spans="1:45" ht="46.5" customHeight="1" x14ac:dyDescent="0.3">
      <c r="A33" s="750" t="str">
        <f ca="1">Translations!A22</f>
        <v>Buts</v>
      </c>
      <c r="B33" s="750"/>
      <c r="C33" s="750"/>
      <c r="D33" s="750"/>
      <c r="E33" s="750"/>
      <c r="F33" s="750"/>
      <c r="G33" s="750"/>
      <c r="H33" s="750"/>
      <c r="I33" s="750"/>
      <c r="J33" s="750"/>
      <c r="K33" s="750"/>
      <c r="L33" s="750"/>
      <c r="M33" s="750"/>
      <c r="N33" s="750"/>
      <c r="O33" s="750"/>
      <c r="P33" s="750"/>
      <c r="Q33" s="750"/>
      <c r="R33" s="750"/>
      <c r="S33" s="750"/>
      <c r="T33" s="361"/>
      <c r="U33" s="216"/>
      <c r="V33" s="216"/>
      <c r="W33" s="216"/>
      <c r="X33" s="216"/>
      <c r="Y33" s="216"/>
      <c r="Z33" s="216"/>
      <c r="AA33" s="216"/>
      <c r="AB33" s="216"/>
      <c r="AC33" s="216"/>
      <c r="AD33" s="216"/>
      <c r="AE33" s="216"/>
      <c r="AF33" s="216"/>
      <c r="AG33" s="216"/>
      <c r="AH33" s="216"/>
      <c r="AI33" s="216"/>
      <c r="AJ33" s="216"/>
      <c r="AK33" s="216"/>
      <c r="AL33" s="216"/>
      <c r="AM33" s="216"/>
      <c r="AN33" s="216"/>
      <c r="AO33" s="216"/>
      <c r="AQ33" s="216"/>
      <c r="AR33" s="216"/>
      <c r="AS33" s="216"/>
    </row>
    <row r="34" spans="1:45" ht="49.5" customHeight="1" x14ac:dyDescent="0.3">
      <c r="A34" s="367">
        <v>1</v>
      </c>
      <c r="B34" s="753" t="str">
        <f ca="1">IFERROR(IF(INDEX('Overview - Section A'!$E$58:$E$72,MATCH($A34,'Overview - Section A'!$A$58:$A$72,0))&lt;&gt;0,INDEX('Overview - Section A'!$E$58:$E$72,MATCH($A34,'Overview - Section A'!$A$58:$A$72,0)),""),"")</f>
        <v>Intensifier et améliorer la qualité des interventions en vue de l'atteinte des 95-95-95 d'ici 2025 / Accelerate and improve the quality of interventions to achieve the 95-95-95 by 2025</v>
      </c>
      <c r="C34" s="754"/>
      <c r="D34" s="754"/>
      <c r="E34" s="754"/>
      <c r="F34" s="754"/>
      <c r="G34" s="754"/>
      <c r="H34" s="754"/>
      <c r="I34" s="754"/>
      <c r="J34" s="754"/>
      <c r="K34" s="754"/>
      <c r="L34" s="754"/>
      <c r="M34" s="754"/>
      <c r="N34" s="754"/>
      <c r="O34" s="754"/>
      <c r="P34" s="754"/>
      <c r="Q34" s="754"/>
      <c r="R34" s="754"/>
      <c r="S34" s="755"/>
      <c r="T34" s="368"/>
      <c r="U34" s="216"/>
      <c r="V34" s="216"/>
      <c r="W34" s="216"/>
      <c r="X34" s="216"/>
      <c r="Y34" s="216"/>
      <c r="Z34" s="216"/>
      <c r="AA34" s="216"/>
      <c r="AB34" s="216"/>
      <c r="AC34" s="216"/>
      <c r="AD34" s="216"/>
      <c r="AE34" s="216"/>
      <c r="AF34" s="216"/>
      <c r="AG34" s="216"/>
      <c r="AH34" s="216"/>
      <c r="AI34" s="216"/>
      <c r="AJ34" s="216"/>
      <c r="AK34" s="216"/>
      <c r="AL34" s="216"/>
      <c r="AM34" s="216"/>
      <c r="AN34" s="216"/>
      <c r="AO34" s="216"/>
      <c r="AQ34" s="216"/>
      <c r="AR34" s="216"/>
      <c r="AS34" s="216"/>
    </row>
    <row r="35" spans="1:45" ht="49.5" customHeight="1" x14ac:dyDescent="0.3">
      <c r="A35" s="367">
        <v>2</v>
      </c>
      <c r="B35" s="753" t="str">
        <f ca="1">IFERROR(IF(INDEX('Overview - Section A'!$E$58:$E$72,MATCH($A35,'Overview - Section A'!$A$58:$A$72,0))&lt;&gt;0,INDEX('Overview - Section A'!$E$58:$E$72,MATCH($A35,'Overview - Section A'!$A$58:$A$72,0)),""),"")</f>
        <v/>
      </c>
      <c r="C35" s="754"/>
      <c r="D35" s="754"/>
      <c r="E35" s="754"/>
      <c r="F35" s="754"/>
      <c r="G35" s="754"/>
      <c r="H35" s="754"/>
      <c r="I35" s="754"/>
      <c r="J35" s="754"/>
      <c r="K35" s="754"/>
      <c r="L35" s="754"/>
      <c r="M35" s="754"/>
      <c r="N35" s="754"/>
      <c r="O35" s="754"/>
      <c r="P35" s="754"/>
      <c r="Q35" s="754"/>
      <c r="R35" s="754"/>
      <c r="S35" s="755"/>
      <c r="T35" s="368"/>
      <c r="U35" s="216"/>
      <c r="V35" s="216"/>
      <c r="W35" s="216"/>
      <c r="X35" s="216"/>
      <c r="Y35" s="216"/>
      <c r="Z35" s="216"/>
      <c r="AA35" s="216"/>
      <c r="AB35" s="216"/>
      <c r="AC35" s="216"/>
      <c r="AD35" s="216"/>
      <c r="AE35" s="216"/>
      <c r="AF35" s="216"/>
      <c r="AG35" s="216"/>
      <c r="AH35" s="216"/>
      <c r="AI35" s="216"/>
      <c r="AJ35" s="216"/>
      <c r="AK35" s="216"/>
      <c r="AL35" s="216"/>
      <c r="AM35" s="216"/>
      <c r="AN35" s="216"/>
      <c r="AO35" s="216"/>
      <c r="AQ35" s="216"/>
      <c r="AR35" s="216"/>
      <c r="AS35" s="216"/>
    </row>
    <row r="36" spans="1:45" ht="49.5" customHeight="1" x14ac:dyDescent="0.3">
      <c r="A36" s="367">
        <v>3</v>
      </c>
      <c r="B36" s="753" t="str">
        <f ca="1">IFERROR(IF(INDEX('Overview - Section A'!$E$58:$E$72,MATCH($A36,'Overview - Section A'!$A$58:$A$72,0))&lt;&gt;0,INDEX('Overview - Section A'!$E$58:$E$72,MATCH($A36,'Overview - Section A'!$A$58:$A$72,0)),""),"")</f>
        <v/>
      </c>
      <c r="C36" s="754"/>
      <c r="D36" s="754"/>
      <c r="E36" s="754"/>
      <c r="F36" s="754"/>
      <c r="G36" s="754"/>
      <c r="H36" s="754"/>
      <c r="I36" s="754"/>
      <c r="J36" s="754"/>
      <c r="K36" s="754"/>
      <c r="L36" s="754"/>
      <c r="M36" s="754"/>
      <c r="N36" s="754"/>
      <c r="O36" s="754"/>
      <c r="P36" s="754"/>
      <c r="Q36" s="754"/>
      <c r="R36" s="754"/>
      <c r="S36" s="755"/>
      <c r="T36" s="368"/>
      <c r="U36" s="216"/>
      <c r="V36" s="216"/>
      <c r="W36" s="216"/>
      <c r="X36" s="216"/>
      <c r="Y36" s="216"/>
      <c r="Z36" s="216"/>
      <c r="AA36" s="216"/>
      <c r="AB36" s="216"/>
      <c r="AC36" s="216"/>
      <c r="AD36" s="216"/>
      <c r="AE36" s="216"/>
      <c r="AF36" s="216"/>
      <c r="AG36" s="216"/>
      <c r="AH36" s="216"/>
      <c r="AI36" s="216"/>
      <c r="AJ36" s="216"/>
      <c r="AK36" s="216"/>
      <c r="AL36" s="216"/>
      <c r="AM36" s="216"/>
      <c r="AN36" s="216"/>
      <c r="AO36" s="216"/>
      <c r="AQ36" s="216"/>
      <c r="AR36" s="216"/>
      <c r="AS36" s="216"/>
    </row>
    <row r="37" spans="1:45" ht="49.5" customHeight="1" x14ac:dyDescent="0.3">
      <c r="A37" s="367">
        <v>4</v>
      </c>
      <c r="B37" s="753" t="str">
        <f ca="1">IFERROR(IF(INDEX('Overview - Section A'!$E$58:$E$72,MATCH($A37,'Overview - Section A'!$A$58:$A$72,0))&lt;&gt;0,INDEX('Overview - Section A'!$E$58:$E$72,MATCH($A37,'Overview - Section A'!$A$58:$A$72,0)),""),"")</f>
        <v/>
      </c>
      <c r="C37" s="754"/>
      <c r="D37" s="754"/>
      <c r="E37" s="754"/>
      <c r="F37" s="754"/>
      <c r="G37" s="754"/>
      <c r="H37" s="754"/>
      <c r="I37" s="754"/>
      <c r="J37" s="754"/>
      <c r="K37" s="754"/>
      <c r="L37" s="754"/>
      <c r="M37" s="754"/>
      <c r="N37" s="754"/>
      <c r="O37" s="754"/>
      <c r="P37" s="754"/>
      <c r="Q37" s="754"/>
      <c r="R37" s="754"/>
      <c r="S37" s="755"/>
      <c r="T37" s="368"/>
      <c r="U37" s="216"/>
      <c r="V37" s="216"/>
      <c r="W37" s="216"/>
      <c r="X37" s="216"/>
      <c r="Y37" s="216"/>
      <c r="Z37" s="216"/>
      <c r="AA37" s="216"/>
      <c r="AB37" s="216"/>
      <c r="AC37" s="216"/>
      <c r="AD37" s="216"/>
      <c r="AE37" s="216"/>
      <c r="AF37" s="216"/>
      <c r="AG37" s="216"/>
      <c r="AH37" s="216"/>
      <c r="AI37" s="216"/>
      <c r="AJ37" s="216"/>
      <c r="AK37" s="216"/>
      <c r="AL37" s="216"/>
      <c r="AM37" s="216"/>
      <c r="AN37" s="216"/>
      <c r="AO37" s="216"/>
      <c r="AQ37" s="216"/>
      <c r="AR37" s="216"/>
      <c r="AS37" s="216"/>
    </row>
    <row r="38" spans="1:45" ht="49.5" customHeight="1" x14ac:dyDescent="0.3">
      <c r="A38" s="367">
        <v>5</v>
      </c>
      <c r="B38" s="753" t="str">
        <f ca="1">IFERROR(IF(INDEX('Overview - Section A'!$E$58:$E$72,MATCH($A38,'Overview - Section A'!$A$58:$A$72,0))&lt;&gt;0,INDEX('Overview - Section A'!$E$58:$E$72,MATCH($A38,'Overview - Section A'!$A$58:$A$72,0)),""),"")</f>
        <v/>
      </c>
      <c r="C38" s="754"/>
      <c r="D38" s="754"/>
      <c r="E38" s="754"/>
      <c r="F38" s="754"/>
      <c r="G38" s="754"/>
      <c r="H38" s="754"/>
      <c r="I38" s="754"/>
      <c r="J38" s="754"/>
      <c r="K38" s="754"/>
      <c r="L38" s="754"/>
      <c r="M38" s="754"/>
      <c r="N38" s="754"/>
      <c r="O38" s="754"/>
      <c r="P38" s="754"/>
      <c r="Q38" s="754"/>
      <c r="R38" s="754"/>
      <c r="S38" s="755"/>
      <c r="T38" s="368"/>
      <c r="U38" s="216"/>
      <c r="V38" s="216"/>
      <c r="W38" s="216"/>
      <c r="X38" s="216"/>
      <c r="Y38" s="216"/>
      <c r="Z38" s="216"/>
      <c r="AA38" s="216"/>
      <c r="AB38" s="216"/>
      <c r="AC38" s="216"/>
      <c r="AD38" s="216"/>
      <c r="AE38" s="216"/>
      <c r="AF38" s="216"/>
      <c r="AG38" s="216"/>
      <c r="AH38" s="216"/>
      <c r="AI38" s="216"/>
      <c r="AJ38" s="216"/>
      <c r="AK38" s="216"/>
      <c r="AL38" s="216"/>
      <c r="AM38" s="216"/>
      <c r="AN38" s="216"/>
      <c r="AO38" s="216"/>
      <c r="AQ38" s="216"/>
      <c r="AR38" s="216"/>
      <c r="AS38" s="216"/>
    </row>
    <row r="39" spans="1:45" ht="49.5" customHeight="1" x14ac:dyDescent="0.3">
      <c r="A39" s="367">
        <v>6</v>
      </c>
      <c r="B39" s="753" t="str">
        <f ca="1">IFERROR(IF(INDEX('Overview - Section A'!$E$58:$E$72,MATCH($A39,'Overview - Section A'!$A$58:$A$72,0))&lt;&gt;0,INDEX('Overview - Section A'!$E$58:$E$72,MATCH($A39,'Overview - Section A'!$A$58:$A$72,0)),""),"")</f>
        <v/>
      </c>
      <c r="C39" s="754"/>
      <c r="D39" s="754"/>
      <c r="E39" s="754"/>
      <c r="F39" s="754"/>
      <c r="G39" s="754"/>
      <c r="H39" s="754"/>
      <c r="I39" s="754"/>
      <c r="J39" s="754"/>
      <c r="K39" s="754"/>
      <c r="L39" s="754"/>
      <c r="M39" s="754"/>
      <c r="N39" s="754"/>
      <c r="O39" s="754"/>
      <c r="P39" s="754"/>
      <c r="Q39" s="754"/>
      <c r="R39" s="754"/>
      <c r="S39" s="755"/>
      <c r="T39" s="368"/>
      <c r="U39" s="216"/>
      <c r="V39" s="216"/>
      <c r="W39" s="216"/>
      <c r="X39" s="216"/>
      <c r="Y39" s="216"/>
      <c r="Z39" s="216"/>
      <c r="AA39" s="216"/>
      <c r="AB39" s="216"/>
      <c r="AC39" s="216"/>
      <c r="AD39" s="216"/>
      <c r="AE39" s="216"/>
      <c r="AF39" s="216"/>
      <c r="AG39" s="216"/>
      <c r="AH39" s="216"/>
      <c r="AI39" s="216"/>
      <c r="AJ39" s="216"/>
      <c r="AK39" s="216"/>
      <c r="AL39" s="216"/>
      <c r="AM39" s="216"/>
      <c r="AN39" s="216"/>
      <c r="AO39" s="216"/>
      <c r="AQ39" s="216"/>
      <c r="AR39" s="216"/>
      <c r="AS39" s="216"/>
    </row>
    <row r="40" spans="1:45" ht="49.5" customHeight="1" x14ac:dyDescent="0.3">
      <c r="A40" s="367">
        <v>7</v>
      </c>
      <c r="B40" s="753" t="str">
        <f ca="1">IFERROR(IF(INDEX('Overview - Section A'!$E$58:$E$72,MATCH($A40,'Overview - Section A'!$A$58:$A$72,0))&lt;&gt;0,INDEX('Overview - Section A'!$E$58:$E$72,MATCH($A40,'Overview - Section A'!$A$58:$A$72,0)),""),"")</f>
        <v/>
      </c>
      <c r="C40" s="754"/>
      <c r="D40" s="754"/>
      <c r="E40" s="754"/>
      <c r="F40" s="754"/>
      <c r="G40" s="754"/>
      <c r="H40" s="754"/>
      <c r="I40" s="754"/>
      <c r="J40" s="754"/>
      <c r="K40" s="754"/>
      <c r="L40" s="754"/>
      <c r="M40" s="754"/>
      <c r="N40" s="754"/>
      <c r="O40" s="754"/>
      <c r="P40" s="754"/>
      <c r="Q40" s="754"/>
      <c r="R40" s="754"/>
      <c r="S40" s="755"/>
      <c r="T40" s="368"/>
      <c r="U40" s="216"/>
      <c r="V40" s="216"/>
      <c r="W40" s="216"/>
      <c r="X40" s="216"/>
      <c r="Y40" s="216"/>
      <c r="Z40" s="216"/>
      <c r="AA40" s="216"/>
      <c r="AB40" s="216"/>
      <c r="AC40" s="216"/>
      <c r="AD40" s="216"/>
      <c r="AE40" s="216"/>
      <c r="AF40" s="216"/>
      <c r="AG40" s="216"/>
      <c r="AH40" s="216"/>
      <c r="AI40" s="216"/>
      <c r="AJ40" s="216"/>
      <c r="AK40" s="216"/>
      <c r="AL40" s="216"/>
      <c r="AM40" s="216"/>
      <c r="AN40" s="216"/>
      <c r="AO40" s="216"/>
      <c r="AQ40" s="216"/>
      <c r="AR40" s="216"/>
      <c r="AS40" s="216"/>
    </row>
    <row r="41" spans="1:45" ht="49.5" customHeight="1" x14ac:dyDescent="0.3">
      <c r="A41" s="367">
        <v>8</v>
      </c>
      <c r="B41" s="753" t="str">
        <f ca="1">IFERROR(IF(INDEX('Overview - Section A'!$E$58:$E$72,MATCH($A41,'Overview - Section A'!$A$58:$A$72,0))&lt;&gt;0,INDEX('Overview - Section A'!$E$58:$E$72,MATCH($A41,'Overview - Section A'!$A$58:$A$72,0)),""),"")</f>
        <v/>
      </c>
      <c r="C41" s="754"/>
      <c r="D41" s="754"/>
      <c r="E41" s="754"/>
      <c r="F41" s="754"/>
      <c r="G41" s="754"/>
      <c r="H41" s="754"/>
      <c r="I41" s="754"/>
      <c r="J41" s="754"/>
      <c r="K41" s="754"/>
      <c r="L41" s="754"/>
      <c r="M41" s="754"/>
      <c r="N41" s="754"/>
      <c r="O41" s="754"/>
      <c r="P41" s="754"/>
      <c r="Q41" s="754"/>
      <c r="R41" s="754"/>
      <c r="S41" s="755"/>
      <c r="T41" s="368"/>
      <c r="U41" s="216"/>
      <c r="V41" s="216"/>
      <c r="W41" s="216"/>
      <c r="X41" s="216"/>
      <c r="Y41" s="216"/>
      <c r="Z41" s="216"/>
      <c r="AA41" s="216"/>
      <c r="AB41" s="216"/>
      <c r="AC41" s="216"/>
      <c r="AD41" s="216"/>
      <c r="AE41" s="216"/>
      <c r="AF41" s="216"/>
      <c r="AG41" s="216"/>
      <c r="AH41" s="216"/>
      <c r="AI41" s="216"/>
      <c r="AJ41" s="216"/>
      <c r="AK41" s="216"/>
      <c r="AL41" s="216"/>
      <c r="AM41" s="216"/>
      <c r="AN41" s="216"/>
      <c r="AO41" s="216"/>
      <c r="AQ41" s="216"/>
      <c r="AR41" s="216"/>
      <c r="AS41" s="216"/>
    </row>
    <row r="42" spans="1:45" ht="49.5" customHeight="1" x14ac:dyDescent="0.3">
      <c r="A42" s="367">
        <v>9</v>
      </c>
      <c r="B42" s="753" t="str">
        <f ca="1">IFERROR(IF(INDEX('Overview - Section A'!$E$58:$E$72,MATCH($A42,'Overview - Section A'!$A$58:$A$72,0))&lt;&gt;0,INDEX('Overview - Section A'!$E$58:$E$72,MATCH($A42,'Overview - Section A'!$A$58:$A$72,0)),""),"")</f>
        <v/>
      </c>
      <c r="C42" s="754"/>
      <c r="D42" s="754"/>
      <c r="E42" s="754"/>
      <c r="F42" s="754"/>
      <c r="G42" s="754"/>
      <c r="H42" s="754"/>
      <c r="I42" s="754"/>
      <c r="J42" s="754"/>
      <c r="K42" s="754"/>
      <c r="L42" s="754"/>
      <c r="M42" s="754"/>
      <c r="N42" s="754"/>
      <c r="O42" s="754"/>
      <c r="P42" s="754"/>
      <c r="Q42" s="754"/>
      <c r="R42" s="754"/>
      <c r="S42" s="755"/>
      <c r="T42" s="368"/>
      <c r="U42" s="216"/>
      <c r="V42" s="216"/>
      <c r="W42" s="216"/>
      <c r="X42" s="216"/>
      <c r="Y42" s="216"/>
      <c r="Z42" s="216"/>
      <c r="AA42" s="216"/>
      <c r="AB42" s="216"/>
      <c r="AC42" s="216"/>
      <c r="AD42" s="216"/>
      <c r="AE42" s="216"/>
      <c r="AF42" s="216"/>
      <c r="AG42" s="216"/>
      <c r="AH42" s="216"/>
      <c r="AI42" s="216"/>
      <c r="AJ42" s="216"/>
      <c r="AK42" s="216"/>
      <c r="AL42" s="216"/>
      <c r="AM42" s="216"/>
      <c r="AN42" s="216"/>
      <c r="AO42" s="216"/>
      <c r="AQ42" s="216"/>
      <c r="AR42" s="216"/>
      <c r="AS42" s="216"/>
    </row>
    <row r="43" spans="1:45" ht="49.5" customHeight="1" x14ac:dyDescent="0.3">
      <c r="A43" s="367">
        <v>10</v>
      </c>
      <c r="B43" s="753" t="str">
        <f ca="1">IFERROR(IF(INDEX('Overview - Section A'!$E$58:$E$72,MATCH($A43,'Overview - Section A'!$A$58:$A$72,0))&lt;&gt;0,INDEX('Overview - Section A'!$E$58:$E$72,MATCH($A43,'Overview - Section A'!$A$58:$A$72,0)),""),"")</f>
        <v/>
      </c>
      <c r="C43" s="754"/>
      <c r="D43" s="754"/>
      <c r="E43" s="754"/>
      <c r="F43" s="754"/>
      <c r="G43" s="754"/>
      <c r="H43" s="754"/>
      <c r="I43" s="754"/>
      <c r="J43" s="754"/>
      <c r="K43" s="754"/>
      <c r="L43" s="754"/>
      <c r="M43" s="754"/>
      <c r="N43" s="754"/>
      <c r="O43" s="754"/>
      <c r="P43" s="754"/>
      <c r="Q43" s="754"/>
      <c r="R43" s="754"/>
      <c r="S43" s="755"/>
      <c r="T43" s="368"/>
      <c r="U43" s="216"/>
      <c r="V43" s="216"/>
      <c r="W43" s="216"/>
      <c r="X43" s="216"/>
      <c r="Y43" s="216"/>
      <c r="Z43" s="216"/>
      <c r="AA43" s="216"/>
      <c r="AB43" s="216"/>
      <c r="AC43" s="216"/>
      <c r="AD43" s="216"/>
      <c r="AE43" s="216"/>
      <c r="AF43" s="216"/>
      <c r="AG43" s="216"/>
      <c r="AH43" s="216"/>
      <c r="AI43" s="216"/>
      <c r="AJ43" s="216"/>
      <c r="AK43" s="216"/>
      <c r="AL43" s="216"/>
      <c r="AM43" s="216"/>
      <c r="AN43" s="216"/>
      <c r="AO43" s="216"/>
      <c r="AQ43" s="216"/>
      <c r="AR43" s="216"/>
      <c r="AS43" s="216"/>
    </row>
    <row r="44" spans="1:45" ht="49.5" customHeight="1" x14ac:dyDescent="0.3">
      <c r="A44" s="367">
        <v>11</v>
      </c>
      <c r="B44" s="753" t="str">
        <f ca="1">IFERROR(IF(INDEX('Overview - Section A'!$E$58:$E$72,MATCH($A44,'Overview - Section A'!$A$58:$A$72,0))&lt;&gt;0,INDEX('Overview - Section A'!$E$58:$E$72,MATCH($A44,'Overview - Section A'!$A$58:$A$72,0)),""),"")</f>
        <v/>
      </c>
      <c r="C44" s="754"/>
      <c r="D44" s="754"/>
      <c r="E44" s="754"/>
      <c r="F44" s="754"/>
      <c r="G44" s="754"/>
      <c r="H44" s="754"/>
      <c r="I44" s="754"/>
      <c r="J44" s="754"/>
      <c r="K44" s="754"/>
      <c r="L44" s="754"/>
      <c r="M44" s="754"/>
      <c r="N44" s="754"/>
      <c r="O44" s="754"/>
      <c r="P44" s="754"/>
      <c r="Q44" s="754"/>
      <c r="R44" s="754"/>
      <c r="S44" s="755"/>
      <c r="T44" s="368"/>
      <c r="U44" s="216"/>
      <c r="V44" s="216"/>
      <c r="W44" s="216"/>
      <c r="X44" s="216"/>
      <c r="Y44" s="216"/>
      <c r="Z44" s="216"/>
      <c r="AA44" s="216"/>
      <c r="AB44" s="216"/>
      <c r="AC44" s="216"/>
      <c r="AD44" s="216"/>
      <c r="AE44" s="216"/>
      <c r="AF44" s="216"/>
      <c r="AG44" s="216"/>
      <c r="AH44" s="216"/>
      <c r="AI44" s="216"/>
      <c r="AJ44" s="216"/>
      <c r="AK44" s="216"/>
      <c r="AL44" s="216"/>
      <c r="AM44" s="216"/>
      <c r="AN44" s="216"/>
      <c r="AO44" s="216"/>
      <c r="AQ44" s="216"/>
      <c r="AR44" s="216"/>
      <c r="AS44" s="216"/>
    </row>
    <row r="45" spans="1:45" ht="49.5" customHeight="1" x14ac:dyDescent="0.3">
      <c r="A45" s="367">
        <v>12</v>
      </c>
      <c r="B45" s="753" t="str">
        <f ca="1">IFERROR(IF(INDEX('Overview - Section A'!$E$58:$E$72,MATCH($A45,'Overview - Section A'!$A$58:$A$72,0))&lt;&gt;0,INDEX('Overview - Section A'!$E$58:$E$72,MATCH($A45,'Overview - Section A'!$A$58:$A$72,0)),""),"")</f>
        <v/>
      </c>
      <c r="C45" s="754"/>
      <c r="D45" s="754"/>
      <c r="E45" s="754"/>
      <c r="F45" s="754"/>
      <c r="G45" s="754"/>
      <c r="H45" s="754"/>
      <c r="I45" s="754"/>
      <c r="J45" s="754"/>
      <c r="K45" s="754"/>
      <c r="L45" s="754"/>
      <c r="M45" s="754"/>
      <c r="N45" s="754"/>
      <c r="O45" s="754"/>
      <c r="P45" s="754"/>
      <c r="Q45" s="754"/>
      <c r="R45" s="754"/>
      <c r="S45" s="755"/>
      <c r="T45" s="368"/>
      <c r="U45" s="216"/>
      <c r="V45" s="216"/>
      <c r="W45" s="216"/>
      <c r="X45" s="216"/>
      <c r="Y45" s="216"/>
      <c r="Z45" s="216"/>
      <c r="AA45" s="216"/>
      <c r="AB45" s="216"/>
      <c r="AC45" s="216"/>
      <c r="AD45" s="216"/>
      <c r="AE45" s="216"/>
      <c r="AF45" s="216"/>
      <c r="AG45" s="216"/>
      <c r="AH45" s="216"/>
      <c r="AI45" s="216"/>
      <c r="AJ45" s="216"/>
      <c r="AK45" s="216"/>
      <c r="AL45" s="216"/>
      <c r="AM45" s="216"/>
      <c r="AN45" s="216"/>
      <c r="AO45" s="216"/>
      <c r="AQ45" s="216"/>
      <c r="AR45" s="216"/>
      <c r="AS45" s="216"/>
    </row>
    <row r="46" spans="1:45" x14ac:dyDescent="0.3">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Q46" s="216"/>
      <c r="AR46" s="216"/>
      <c r="AS46" s="216"/>
    </row>
    <row r="47" spans="1:45" x14ac:dyDescent="0.3">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Q47" s="216"/>
      <c r="AR47" s="216"/>
      <c r="AS47" s="216"/>
    </row>
    <row r="48" spans="1:45" x14ac:dyDescent="0.3">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Q48" s="216"/>
      <c r="AR48" s="216"/>
      <c r="AS48" s="216"/>
    </row>
    <row r="49" spans="1:55" x14ac:dyDescent="0.3">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Q49" s="216"/>
      <c r="AR49" s="216"/>
      <c r="AS49" s="216"/>
    </row>
    <row r="50" spans="1:55" ht="47.25" customHeight="1" x14ac:dyDescent="0.3">
      <c r="A50" s="771" t="str">
        <f ca="1">Translations!A90</f>
        <v>Indicateurs d’impact</v>
      </c>
      <c r="B50" s="772"/>
      <c r="C50" s="772"/>
      <c r="D50" s="772"/>
      <c r="E50" s="772"/>
      <c r="F50" s="772"/>
      <c r="G50" s="772"/>
      <c r="H50" s="772"/>
      <c r="I50" s="772"/>
      <c r="J50" s="772"/>
      <c r="K50" s="772"/>
      <c r="L50" s="772"/>
      <c r="M50" s="772"/>
      <c r="N50" s="772"/>
      <c r="O50" s="772"/>
      <c r="P50" s="772"/>
      <c r="Q50" s="772"/>
      <c r="R50" s="772"/>
      <c r="S50" s="772"/>
      <c r="T50" s="369"/>
      <c r="U50" s="216"/>
      <c r="V50" s="216"/>
      <c r="W50" s="216"/>
      <c r="X50" s="216"/>
      <c r="Y50" s="216"/>
      <c r="Z50" s="216"/>
      <c r="AA50" s="216"/>
      <c r="AB50" s="216"/>
      <c r="AC50" s="216"/>
      <c r="AD50" s="216"/>
      <c r="AE50" s="216"/>
      <c r="AF50" s="216"/>
      <c r="AG50" s="216"/>
      <c r="AH50" s="216"/>
      <c r="AI50" s="216"/>
      <c r="AJ50" s="216"/>
      <c r="AK50" s="216"/>
      <c r="AL50" s="216"/>
      <c r="AM50" s="216"/>
      <c r="AN50" s="216"/>
      <c r="AO50" s="216"/>
      <c r="AQ50" s="216"/>
      <c r="AR50" s="216"/>
      <c r="AS50" s="216"/>
    </row>
    <row r="51" spans="1:55" ht="16.2" thickBot="1" x14ac:dyDescent="0.35">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Q51" s="216"/>
      <c r="AR51" s="216"/>
      <c r="AS51" s="216"/>
    </row>
    <row r="52" spans="1:55" ht="31.95" customHeight="1" thickBot="1" x14ac:dyDescent="0.35">
      <c r="A52" s="370"/>
      <c r="B52" s="371"/>
      <c r="C52" s="371"/>
      <c r="D52" s="371"/>
      <c r="E52" s="371"/>
      <c r="F52" s="371"/>
      <c r="G52" s="371"/>
      <c r="H52" s="371"/>
      <c r="I52" s="371"/>
      <c r="J52" s="371"/>
      <c r="K52" s="371"/>
      <c r="L52" s="371"/>
      <c r="M52" s="371"/>
      <c r="N52" s="371"/>
      <c r="O52" s="372"/>
      <c r="P52" s="373">
        <f ca="1">IFERROR(IF(YEAR(INDEX('Overview - Section A'!$A$46:$A$53,MATCH(D23,'Overview - Section A'!$B$46:$B$53,0)))&lt;=YEAR('Overview - Section A'!$E$11),YEAR(INDEX('Overview - Section A'!$A$46:$A$53,MATCH($D$23,'Overview - Section A'!$B$46:$B$53,0))),""),"")</f>
        <v>2021</v>
      </c>
      <c r="Q52" s="373">
        <f ca="1">IFERROR(IF(P52+1&lt;=YEAR('Overview - Section A'!$E$11),P52+1,""),"")</f>
        <v>2022</v>
      </c>
      <c r="R52" s="373">
        <f ca="1">IFERROR(IF(Q52+1&lt;=YEAR('Overview - Section A'!$E$11),Q52+1,""),"")</f>
        <v>2023</v>
      </c>
      <c r="S52" s="373" t="str">
        <f ca="1">IFERROR(IF(R52+1&lt;=YEAR('Overview - Section A'!$E$11),R52+1,""),"")</f>
        <v/>
      </c>
      <c r="T52" s="374"/>
      <c r="U52" s="216"/>
      <c r="V52" s="216"/>
      <c r="W52" s="216"/>
      <c r="X52" s="216"/>
      <c r="Y52" s="216"/>
      <c r="Z52" s="216"/>
      <c r="AA52" s="216"/>
      <c r="AB52" s="216"/>
      <c r="AC52" s="216"/>
      <c r="AD52" s="216"/>
      <c r="AE52" s="216"/>
      <c r="AF52" s="216"/>
      <c r="AG52" s="216"/>
      <c r="AH52" s="216"/>
      <c r="AI52" s="216"/>
      <c r="AJ52" s="216"/>
      <c r="AK52" s="216"/>
      <c r="AL52" s="216"/>
      <c r="AM52" s="216"/>
      <c r="AN52" s="216"/>
      <c r="AO52" s="216"/>
      <c r="AQ52" s="216"/>
      <c r="AR52" s="216"/>
      <c r="AS52" s="216"/>
      <c r="AT52" s="216"/>
      <c r="AU52" s="216"/>
      <c r="AV52" s="216"/>
      <c r="AW52" s="216"/>
      <c r="AX52" s="216"/>
      <c r="AY52" s="216"/>
      <c r="AZ52" s="216"/>
      <c r="BA52" s="216"/>
      <c r="BB52" s="216"/>
      <c r="BC52" s="216"/>
    </row>
    <row r="53" spans="1:55" ht="100.2" customHeight="1" x14ac:dyDescent="0.3">
      <c r="A53" s="375" t="str">
        <f ca="1">Translations!$A$91</f>
        <v>No.</v>
      </c>
      <c r="B53" s="773" t="str">
        <f ca="1">Translations!A38</f>
        <v>Indicateur standard</v>
      </c>
      <c r="C53" s="774"/>
      <c r="D53" s="775"/>
      <c r="E53" s="776" t="str">
        <f ca="1">Translations!A92</f>
        <v>Indicateur d’impact personnalisé</v>
      </c>
      <c r="F53" s="777"/>
      <c r="G53" s="778"/>
      <c r="H53" s="237" t="str">
        <f ca="1">Translations!A93</f>
        <v>Valeur de référence</v>
      </c>
      <c r="I53" s="236" t="str">
        <f ca="1">Translations!A94</f>
        <v>Année de la référence &amp; Source</v>
      </c>
      <c r="J53" s="779" t="str">
        <f ca="1">Translations!A51</f>
        <v>Désaggrégation obligatoire</v>
      </c>
      <c r="K53" s="780"/>
      <c r="L53" s="780"/>
      <c r="M53" s="781"/>
      <c r="N53" s="236" t="str">
        <f ca="1">Translations!A52</f>
        <v xml:space="preserve">Récipiendaire principal responsable </v>
      </c>
      <c r="O53" s="376" t="str">
        <f ca="1">Translations!A53</f>
        <v>Pays</v>
      </c>
      <c r="P53" s="376" t="str">
        <f ca="1">Translations!$A$95</f>
        <v>Valeur de la cible</v>
      </c>
      <c r="Q53" s="376" t="str">
        <f ca="1">Translations!$A$95</f>
        <v>Valeur de la cible</v>
      </c>
      <c r="R53" s="376" t="str">
        <f ca="1">Translations!$A$95</f>
        <v>Valeur de la cible</v>
      </c>
      <c r="S53" s="376" t="str">
        <f ca="1">Translations!$A$95</f>
        <v>Valeur de la cible</v>
      </c>
      <c r="T53" s="377"/>
      <c r="U53" s="216"/>
      <c r="V53" s="216"/>
      <c r="W53" s="216"/>
      <c r="X53" s="216"/>
      <c r="Y53" s="216"/>
      <c r="Z53" s="216"/>
      <c r="AA53" s="216"/>
      <c r="AB53" s="216"/>
      <c r="AC53" s="216"/>
      <c r="AD53" s="216"/>
      <c r="AE53" s="216"/>
      <c r="AF53" s="216"/>
      <c r="AG53" s="216"/>
      <c r="AH53" s="216"/>
      <c r="AI53" s="216"/>
      <c r="AJ53" s="216"/>
      <c r="AK53" s="216"/>
      <c r="AL53" s="216"/>
      <c r="AM53" s="216"/>
      <c r="AN53" s="216"/>
      <c r="AO53" s="216"/>
      <c r="AQ53" s="216"/>
      <c r="AR53" s="216"/>
      <c r="AS53" s="216"/>
      <c r="AT53" s="216"/>
      <c r="AU53" s="216"/>
      <c r="AV53" s="216"/>
      <c r="AW53" s="216"/>
      <c r="AX53" s="216"/>
      <c r="AY53" s="216"/>
      <c r="AZ53" s="216"/>
      <c r="BA53" s="216"/>
      <c r="BB53" s="216"/>
      <c r="BC53" s="216"/>
    </row>
    <row r="54" spans="1:55" s="384" customFormat="1" ht="145.19999999999999" customHeight="1" x14ac:dyDescent="0.4">
      <c r="A54" s="747">
        <v>1</v>
      </c>
      <c r="B54" s="762" t="str">
        <f ca="1">IFERROR(IF(INDEX('Impact Indicators - Section B '!B$1:B$82,MATCH($A54,'Impact Indicators - Section B '!$A$1:$A$82,0))&lt;&gt;0,INDEX('Impact Indicators - Section B '!B$1:B$82,MATCH($A54,'Impact Indicators - Section B '!$A$1:$A$82,0)),""),"")</f>
        <v>HIV I-14 Nombre de nouvelles infections par le VIH pour 1000 habitants non infectés</v>
      </c>
      <c r="C54" s="763"/>
      <c r="D54" s="764"/>
      <c r="E54" s="762" t="str">
        <f ca="1">IFERROR(IF(INDEX('Impact Indicators - Section B '!C$1:C$82,MATCH($A54,'Impact Indicators - Section B '!$A$1:$A$82,0))&lt;&gt;0,INDEX('Impact Indicators - Section B '!C$1:C$82,MATCH($A54,'Impact Indicators - Section B '!$A$1:$A$82,0)),""),"")</f>
        <v/>
      </c>
      <c r="F54" s="763"/>
      <c r="G54" s="764"/>
      <c r="H54" s="378" t="str">
        <f ca="1">IFERROR(IF(INDEX('Impact Indicators - Section B '!D$1:D$82,MATCH($A54,'Impact Indicators - Section B '!$A$1:$A$82,0))&lt;&gt;0,TEXT(INDEX('Impact Indicators - Section B '!D$1:D$82,MATCH($A54,'Impact Indicators - Section B '!$A$1:$A$82,0)),"#'##0.00"),""),"")&amp;"/"&amp;IFERROR(IF(INDEX('Impact Indicators - Section B '!D$1:D$82,MATCH($A54,'Impact Indicators - Section B '!$A$1:$A$82,0)+1)&lt;&gt;0,TEXT(INDEX('Impact Indicators - Section B '!D$1:D$82,MATCH($A54,'Impact Indicators - Section B '!$A$1:$A$82,0)+1),"#'##0.00"),""),"")&amp;CHAR(10)&amp;IFERROR(IF(INDEX('Impact Indicators - Section B '!E$1:E$82,MATCH($A54,'Impact Indicators - Section B '!$A$1:$A$82,0))&lt;&gt;0,TEXT(INDEX('Impact Indicators - Section B '!E$1:E$82,MATCH($A54,'Impact Indicators - Section B '!$A$1:$A$82,0)),"0.0%"),""),"")</f>
        <v xml:space="preserve">12'187.00/
</v>
      </c>
      <c r="I54" s="379"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2019
Spectrum 2020</v>
      </c>
      <c r="J54" s="768" t="str">
        <f ca="1">IFERROR(IF(INDEX('Impact Indicators - Section B '!H$1:H$82,MATCH($A54,'Impact Indicators - Section B '!$A$1:$A$82,0))&lt;&gt;0,INDEX('Impact Indicators - Section B '!H$1:H$82,MATCH($A54,'Impact Indicators - Section B '!$A$1:$A$82,0)),""),"")</f>
        <v>Sexe,Age</v>
      </c>
      <c r="K54" s="769"/>
      <c r="L54" s="769"/>
      <c r="M54" s="770"/>
      <c r="N54" s="380" t="str">
        <f ca="1">IFERROR(IF(INDEX('Impact Indicators - Section B '!I$1:I$82,MATCH($A54,'Impact Indicators - Section B '!$A$1:$A$82,0))&lt;&gt;0,INDEX('Impact Indicators - Section B '!I$1:I$82,MATCH($A54,'Impact Indicators - Section B '!$A$1:$A$82,0)),""),"")</f>
        <v>Programme National de Lutte contre le SIDA de la République de Côte d'Ivoire</v>
      </c>
      <c r="O54" s="379" t="str">
        <f ca="1">IFERROR(IF(INDEX('Impact Indicators - Section B '!J$1:J$82,MATCH($A54,'Impact Indicators - Section B '!$A$1:$A$82,0))&lt;&gt;0,INDEX('Impact Indicators - Section B '!J$1:J$82,MATCH($A54,'Impact Indicators - Section B '!$A$1:$A$82,0)),""),"")</f>
        <v>Côte d'Ivoire</v>
      </c>
      <c r="P54" s="381" t="str">
        <f ca="1">IFERROR(IF(INDEX('Impact Indicators - Section B '!K$1:K$82,MATCH($A54,'Impact Indicators - Section B '!$A$1:$A$82,0))&lt;&gt;0,TEXT(INDEX('Impact Indicators - Section B '!K$1:K$82,MATCH($A54,'Impact Indicators - Section B '!$A$1:$A$82,0)),"#'##0.00"),""),"")&amp;"/"&amp;IFERROR(IF(INDEX('Impact Indicators - Section B '!K$1:K$82,MATCH($A54,'Impact Indicators - Section B '!$A$1:$A$82,0)+1)&lt;&gt;0,TEXT(INDEX('Impact Indicators - Section B '!K$1:K$82,MATCH($A54,'Impact Indicators - Section B '!$A$1:$A$82,0)+1),"#'##0.00"),""),"")&amp;CHAR(10)&amp;IFERROR(IF(INDEX('Impact Indicators - Section B '!L$1:L$82,MATCH($A54,'Impact Indicators - Section B '!$A$1:$A$82,0))&lt;&gt;0,TEXT(INDEX('Impact Indicators - Section B '!L$1:L$82,MATCH($A54,'Impact Indicators - Section B '!$A$1:$A$82,0)),"0.0%"),""),"")&amp;CHAR(10)&amp;IFERROR(IF(INDEX('Impact Indicators - Section B '!N$1:N$82,MATCH($A54,'Impact Indicators - Section B '!$A$1:$A$82,0))&lt;&gt;0,INDEX('Impact Indicators - Section B '!N$1:N$82,MATCH($A54,'Impact Indicators - Section B '!$A$1:$A$82,0)),""),"")&amp;CHAR(10)&amp;IFERROR(IF(INDEX('Impact Indicators - Section B '!M$1:M$82,MATCH($A54,'Impact Indicators - Section B '!$A$1:$A$82,0))&lt;&gt;0,TEXT(INDEX('Impact Indicators - Section B '!M$1:M$82,MATCH($A54,'Impact Indicators - Section B '!$A$1:$A$82,0)),Setup!$A$33),""),"")</f>
        <v>9'166.00/
30-Jun-22</v>
      </c>
      <c r="Q54" s="381" t="str">
        <f ca="1">IFERROR(IF(INDEX('Impact Indicators - Section B '!O$1:O$82,MATCH($A54,'Impact Indicators - Section B '!$A$1:$A$82,0))&lt;&gt;0,TEXT(INDEX('Impact Indicators - Section B '!O$1:O$82,MATCH($A54,'Impact Indicators - Section B '!$A$1:$A$82,0)),"#'##0.00"),""),"")&amp;"/"&amp;IFERROR(IF(INDEX('Impact Indicators - Section B '!O$1:O$82,MATCH($A54,'Impact Indicators - Section B '!$A$1:$A$82,0)+1)&lt;&gt;0,TEXT(INDEX('Impact Indicators - Section B '!O$1:O$82,MATCH($A54,'Impact Indicators - Section B '!$A$1:$A$82,0)+1),"#'##0.00"),""),"")&amp;CHAR(10)&amp;IFERROR(IF(INDEX('Impact Indicators - Section B '!P$1:P$82,MATCH($A54,'Impact Indicators - Section B '!$A$1:$A$82,0))&lt;&gt;0,TEXT(INDEX('Impact Indicators - Section B '!P$1:P$82,MATCH($A54,'Impact Indicators - Section B '!$A$1:$A$82,0)),"0.0%"),""),"")&amp;CHAR(10)&amp;IFERROR(IF(INDEX('Impact Indicators - Section B '!R$1:R$82,MATCH($A54,'Impact Indicators - Section B '!$A$1:$A$82,0))&lt;&gt;0,INDEX('Impact Indicators - Section B '!R$1:R$82,MATCH($A54,'Impact Indicators - Section B '!$A$1:$A$82,0)),""),"")&amp;CHAR(10)&amp;IFERROR(IF(INDEX('Impact Indicators - Section B '!Q$1:Q$82,MATCH($A54,'Impact Indicators - Section B '!$A$1:$A$82,0))&lt;&gt;0,TEXT(INDEX('Impact Indicators - Section B '!Q$1:Q$82,MATCH($A54,'Impact Indicators - Section B '!$A$1:$A$82,0)),Setup!$A$33),""),"")</f>
        <v>7'670.00/
30-Jun-23</v>
      </c>
      <c r="R54" s="381" t="str">
        <f ca="1">IFERROR(IF(INDEX('Impact Indicators - Section B '!S$1:S$82,MATCH($A54,'Impact Indicators - Section B '!$A$1:$A$82,0))&lt;&gt;0,TEXT(INDEX('Impact Indicators - Section B '!S$1:S$82,MATCH($A54,'Impact Indicators - Section B '!$A$1:$A$82,0)),"#'##0.00"),""),"")&amp;"/"&amp;IFERROR(IF(INDEX('Impact Indicators - Section B '!S$1:S$82,MATCH($A54,'Impact Indicators - Section B '!$A$1:$A$82,0)+1)&lt;&gt;0,TEXT(INDEX('Impact Indicators - Section B '!S$1:S$82,MATCH($A54,'Impact Indicators - Section B '!$A$1:$A$82,0)+1),"#'##0.00"),""),"")&amp;CHAR(10)&amp;IFERROR(IF(INDEX('Impact Indicators - Section B '!T$1:T$82,MATCH($A54,'Impact Indicators - Section B '!$A$1:$A$82,0))&lt;&gt;0,TEXT(INDEX('Impact Indicators - Section B '!T$1:T$82,MATCH($A54,'Impact Indicators - Section B '!$A$1:$A$82,0)),"0.0%"),""),"")&amp;CHAR(10)&amp;IFERROR(IF(INDEX('Impact Indicators - Section B '!V$1:V$82,MATCH($A54,'Impact Indicators - Section B '!$A$1:$A$82,0))&lt;&gt;0,TEXT(INDEX('Impact Indicators - Section B '!V$1:V$82,MATCH($A54,'Impact Indicators - Section B '!$A$1:$A$82,0)),Setup!$A$33),""),"")&amp;CHAR(10)&amp;IFERROR(IF(INDEX('Impact Indicators - Section B '!U$1:U$82,MATCH($A54,'Impact Indicators - Section B '!$A$1:$A$82,0))&lt;&gt;0,TEXT(INDEX('Impact Indicators - Section B '!U$1:U$82,MATCH($A54,'Impact Indicators - Section B '!$A$1:$A$82,0)),Setup!$A$33),""),"")</f>
        <v>6'174.00/
30-Jun-24</v>
      </c>
      <c r="S54" s="381" t="str">
        <f ca="1">IFERROR(IF(INDEX('Impact Indicators - Section B '!W$1:W$82,MATCH($A54,'Impact Indicators - Section B '!$A$1:$A$82,0))&lt;&gt;0,TEXT(INDEX('Impact Indicators - Section B '!W$1:W$82,MATCH($A54,'Impact Indicators - Section B '!$A$1:$A$82,0)),"#'##0.00"),""),"")&amp;"/"&amp;IFERROR(IF(INDEX('Impact Indicators - Section B '!W$1:W$82,MATCH($A54,'Impact Indicators - Section B '!$A$1:$A$82,0)+1)&lt;&gt;0,TEXT(INDEX('Impact Indicators - Section B '!W$1:W$82,MATCH($A54,'Impact Indicators - Section B '!$A$1:$A$82,0)+1),"#'##0.00"),""),"")&amp;CHAR(10)&amp;IFERROR(IF(INDEX('Impact Indicators - Section B '!X$1:X$82,MATCH($A54,'Impact Indicators - Section B '!$A$1:$A$82,0))&lt;&gt;0,TEXT(INDEX('Impact Indicators - Section B '!X$1:X$82,MATCH($A54,'Impact Indicators - Section B '!$A$1:$A$82,0)),"0.0%"),""),"")&amp;CHAR(10)&amp;IFERROR(IF(INDEX('Impact Indicators - Section B '!Z$1:Z$82,MATCH($A54,'Impact Indicators - Section B '!$A$1:$A$82,0))&lt;&gt;0,INDEX('Impact Indicators - Section B '!Z$1:Z$82,MATCH($A54,'Impact Indicators - Section B '!$A$1:$A$82,0)),""),"")&amp;CHAR(10)&amp;IFERROR(IF(INDEX('Impact Indicators - Section B '!Y$1:Y$82,MATCH($A54,'Impact Indicators - Section B '!$A$1:$A$82,0))&lt;&gt;0,TEXT(INDEX('Impact Indicators - Section B '!Y$1:Y$82,MATCH($A54,'Impact Indicators - Section B '!$A$1:$A$82,0)),Setup!$A$33),""),"")</f>
        <v xml:space="preserve">/
</v>
      </c>
      <c r="T54" s="382"/>
      <c r="U54" s="216"/>
      <c r="V54" s="216"/>
      <c r="W54" s="216"/>
      <c r="X54" s="216"/>
      <c r="Y54" s="216"/>
      <c r="Z54" s="216"/>
      <c r="AA54" s="216"/>
      <c r="AB54" s="216"/>
      <c r="AC54" s="216"/>
      <c r="AD54" s="216"/>
      <c r="AE54" s="216"/>
      <c r="AF54" s="216"/>
      <c r="AG54" s="216"/>
      <c r="AH54" s="216"/>
      <c r="AI54" s="216"/>
      <c r="AJ54" s="216"/>
      <c r="AK54" s="216"/>
      <c r="AL54" s="216"/>
      <c r="AM54" s="216"/>
      <c r="AN54" s="216"/>
      <c r="AO54" s="216" t="str">
        <f ca="1">IFERROR(IF(INDEX('Impact Indicators - Section B '!AA$1:AA$82,MATCH($A54,'Impact Indicators - Section B '!$A$1:$A$82,0))&lt;&gt;0,INDEX('Impact Indicators - Section B '!AA$1:AA$82,MATCH($A54,'Impact Indicators - Section B '!$A$1:$A$82,0)),""),"")</f>
        <v xml:space="preserve">Les cibles du PSN 2021-2025 des nouvelles infections sont 9 166 en 2021, 7670 en 2022 et 6174 en 2023. 
Les données seront collectées à partir de spectrum 
Le rapportage se fera en 2022 et 2023 pour les cibles de 2021 et 2022. </v>
      </c>
      <c r="AP54" s="216"/>
      <c r="AQ54" s="216"/>
      <c r="AR54" s="216"/>
      <c r="AS54" s="216"/>
      <c r="AT54" s="216" t="str">
        <f>CONCATENATE($A54,J$52)</f>
        <v>1</v>
      </c>
      <c r="AU54" s="216" t="str">
        <f>CONCATENATE($A54,O$52)</f>
        <v>1</v>
      </c>
      <c r="AV54" s="216"/>
      <c r="AW54" s="216" t="str">
        <f>CONCATENATE($A54,X$52)</f>
        <v>1</v>
      </c>
      <c r="AX54" s="216" t="str">
        <f>CONCATENATE($A54,AB$52)</f>
        <v>1</v>
      </c>
      <c r="AY54" s="216"/>
      <c r="AZ54" s="216"/>
      <c r="BA54" s="216"/>
      <c r="BB54" s="216"/>
      <c r="BC54" s="383"/>
    </row>
    <row r="55" spans="1:55" s="384" customFormat="1" ht="100.2" customHeight="1" x14ac:dyDescent="0.4">
      <c r="A55" s="747"/>
      <c r="B55" s="727" t="str">
        <f ca="1">IFERROR(IF(INDEX('Impact Indicators - Section B '!AA$1:AA$82,MATCH($A54,'Impact Indicators - Section B '!$A$1:$A$82,0))&lt;&gt;0,INDEX('Impact Indicators - Section B '!AA$1:AA$82,MATCH($A54,'Impact Indicators - Section B '!$A$1:$A$82,0)),""),"")</f>
        <v xml:space="preserve">Les cibles du PSN 2021-2025 des nouvelles infections sont 9 166 en 2021, 7670 en 2022 et 6174 en 2023. 
Les données seront collectées à partir de spectrum 
Le rapportage se fera en 2022 et 2023 pour les cibles de 2021 et 2022. </v>
      </c>
      <c r="C55" s="728"/>
      <c r="D55" s="728"/>
      <c r="E55" s="728"/>
      <c r="F55" s="728"/>
      <c r="G55" s="728"/>
      <c r="H55" s="728"/>
      <c r="I55" s="728"/>
      <c r="J55" s="728"/>
      <c r="K55" s="728"/>
      <c r="L55" s="728"/>
      <c r="M55" s="728"/>
      <c r="N55" s="728"/>
      <c r="O55" s="728"/>
      <c r="P55" s="728"/>
      <c r="Q55" s="728"/>
      <c r="R55" s="728"/>
      <c r="S55" s="729"/>
      <c r="T55" s="385"/>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383"/>
    </row>
    <row r="56" spans="1:55" s="384" customFormat="1" ht="145.19999999999999" customHeight="1" x14ac:dyDescent="0.4">
      <c r="A56" s="747">
        <v>2</v>
      </c>
      <c r="B56" s="762" t="str">
        <f ca="1">IFERROR(IF(INDEX('Impact Indicators - Section B '!B$1:B$82,MATCH($A56,'Impact Indicators - Section B '!$A$1:$A$82,0))&lt;&gt;0,INDEX('Impact Indicators - Section B '!B$1:B$82,MATCH($A56,'Impact Indicators - Section B '!$A$1:$A$82,0)),""),"")</f>
        <v>HIV I-4 Nombre de décès liés au sida pour 100,000 habitants</v>
      </c>
      <c r="C56" s="763"/>
      <c r="D56" s="764"/>
      <c r="E56" s="762" t="str">
        <f ca="1">IFERROR(IF(INDEX('Impact Indicators - Section B '!C$1:C$82,MATCH($A56,'Impact Indicators - Section B '!$A$1:$A$82,0))&lt;&gt;0,INDEX('Impact Indicators - Section B '!C$1:C$82,MATCH($A56,'Impact Indicators - Section B '!$A$1:$A$82,0)),""),"")</f>
        <v/>
      </c>
      <c r="F56" s="763"/>
      <c r="G56" s="764"/>
      <c r="H56" s="378" t="str">
        <f ca="1">IFERROR(IF(INDEX('Impact Indicators - Section B '!D$1:D$82,MATCH($A56,'Impact Indicators - Section B '!$A$1:$A$82,0))&lt;&gt;0,TEXT(INDEX('Impact Indicators - Section B '!D$1:D$82,MATCH($A56,'Impact Indicators - Section B '!$A$1:$A$82,0)),"#'##0.00"),""),"")&amp;"/"&amp;IFERROR(IF(INDEX('Impact Indicators - Section B '!D$1:D$82,MATCH($A56,'Impact Indicators - Section B '!$A$1:$A$82,0)+1)&lt;&gt;0,TEXT(INDEX('Impact Indicators - Section B '!D$1:D$82,MATCH($A56,'Impact Indicators - Section B '!$A$1:$A$82,0)+1),"#'##0.00"),""),"")&amp;CHAR(10)&amp;IFERROR(IF(INDEX('Impact Indicators - Section B '!E$1:E$82,MATCH($A56,'Impact Indicators - Section B '!$A$1:$A$82,0))&lt;&gt;0,TEXT(INDEX('Impact Indicators - Section B '!E$1:E$82,MATCH($A56,'Impact Indicators - Section B '!$A$1:$A$82,0)),"0.0%"),""),"")</f>
        <v xml:space="preserve">12'893.00/
</v>
      </c>
      <c r="I56" s="379"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2019
Spectrum 2020</v>
      </c>
      <c r="J56" s="762" t="str">
        <f ca="1">IFERROR(IF(INDEX('Impact Indicators - Section B '!H$1:H$82,MATCH($A56,'Impact Indicators - Section B '!$A$1:$A$82,0))&lt;&gt;0,INDEX('Impact Indicators - Section B '!H$1:H$82,MATCH($A56,'Impact Indicators - Section B '!$A$1:$A$82,0)),""),"")</f>
        <v>Age,Sexe</v>
      </c>
      <c r="K56" s="763"/>
      <c r="L56" s="763"/>
      <c r="M56" s="764"/>
      <c r="N56" s="380" t="str">
        <f ca="1">IFERROR(IF(INDEX('Impact Indicators - Section B '!I$1:I$82,MATCH($A56,'Impact Indicators - Section B '!$A$1:$A$82,0))&lt;&gt;0,INDEX('Impact Indicators - Section B '!I$1:I$82,MATCH($A56,'Impact Indicators - Section B '!$A$1:$A$82,0)),""),"")</f>
        <v>Programme National de Lutte contre le SIDA de la République de Côte d'Ivoire</v>
      </c>
      <c r="O56" s="379" t="str">
        <f ca="1">IFERROR(IF(INDEX('Impact Indicators - Section B '!J$1:J$82,MATCH($A56,'Impact Indicators - Section B '!$A$1:$A$82,0))&lt;&gt;0,INDEX('Impact Indicators - Section B '!J$1:J$82,MATCH($A56,'Impact Indicators - Section B '!$A$1:$A$82,0)),""),"")</f>
        <v>Côte d'Ivoire</v>
      </c>
      <c r="P56" s="381" t="str">
        <f ca="1">IFERROR(IF(INDEX('Impact Indicators - Section B '!K$1:K$82,MATCH($A56,'Impact Indicators - Section B '!$A$1:$A$82,0))&lt;&gt;0,TEXT(INDEX('Impact Indicators - Section B '!K$1:K$82,MATCH($A56,'Impact Indicators - Section B '!$A$1:$A$82,0)),"#'##0.00"),""),"")&amp;"/"&amp;IFERROR(IF(INDEX('Impact Indicators - Section B '!K$1:K$82,MATCH($A56,'Impact Indicators - Section B '!$A$1:$A$82,0)+1)&lt;&gt;0,TEXT(INDEX('Impact Indicators - Section B '!K$1:K$82,MATCH($A56,'Impact Indicators - Section B '!$A$1:$A$82,0)+1),"#'##0.00"),""),"")&amp;CHAR(10)&amp;IFERROR(IF(INDEX('Impact Indicators - Section B '!L$1:L$82,MATCH($A56,'Impact Indicators - Section B '!$A$1:$A$82,0))&lt;&gt;0,TEXT(INDEX('Impact Indicators - Section B '!L$1:L$82,MATCH($A56,'Impact Indicators - Section B '!$A$1:$A$82,0)),"0.0%"),""),"")&amp;CHAR(10)&amp;IFERROR(IF(INDEX('Impact Indicators - Section B '!N$1:N$82,MATCH($A56,'Impact Indicators - Section B '!$A$1:$A$82,0))&lt;&gt;0,INDEX('Impact Indicators - Section B '!N$1:N$82,MATCH($A56,'Impact Indicators - Section B '!$A$1:$A$82,0)),""),"")&amp;CHAR(10)&amp;IFERROR(IF(INDEX('Impact Indicators - Section B '!M$1:M$82,MATCH($A56,'Impact Indicators - Section B '!$A$1:$A$82,0))&lt;&gt;0,TEXT(INDEX('Impact Indicators - Section B '!M$1:M$82,MATCH($A56,'Impact Indicators - Section B '!$A$1:$A$82,0)),Setup!$A$33),""),"")</f>
        <v>9'849.00/
30-Jun-22</v>
      </c>
      <c r="Q56" s="381" t="str">
        <f ca="1">IFERROR(IF(INDEX('Impact Indicators - Section B '!O$1:O$82,MATCH($A56,'Impact Indicators - Section B '!$A$1:$A$82,0))&lt;&gt;0,TEXT(INDEX('Impact Indicators - Section B '!O$1:O$82,MATCH($A56,'Impact Indicators - Section B '!$A$1:$A$82,0)),"#'##0.00"),""),"")&amp;"/"&amp;IFERROR(IF(INDEX('Impact Indicators - Section B '!O$1:O$82,MATCH($A56,'Impact Indicators - Section B '!$A$1:$A$82,0)+1)&lt;&gt;0,TEXT(INDEX('Impact Indicators - Section B '!O$1:O$82,MATCH($A56,'Impact Indicators - Section B '!$A$1:$A$82,0)+1),"#'##0.00"),""),"")&amp;CHAR(10)&amp;IFERROR(IF(INDEX('Impact Indicators - Section B '!P$1:P$82,MATCH($A56,'Impact Indicators - Section B '!$A$1:$A$82,0))&lt;&gt;0,TEXT(INDEX('Impact Indicators - Section B '!P$1:P$82,MATCH($A56,'Impact Indicators - Section B '!$A$1:$A$82,0)),"0.0%"),""),"")&amp;CHAR(10)&amp;IFERROR(IF(INDEX('Impact Indicators - Section B '!R$1:R$82,MATCH($A56,'Impact Indicators - Section B '!$A$1:$A$82,0))&lt;&gt;0,INDEX('Impact Indicators - Section B '!R$1:R$82,MATCH($A56,'Impact Indicators - Section B '!$A$1:$A$82,0)),""),"")&amp;CHAR(10)&amp;IFERROR(IF(INDEX('Impact Indicators - Section B '!Q$1:Q$82,MATCH($A56,'Impact Indicators - Section B '!$A$1:$A$82,0))&lt;&gt;0,TEXT(INDEX('Impact Indicators - Section B '!Q$1:Q$82,MATCH($A56,'Impact Indicators - Section B '!$A$1:$A$82,0)),Setup!$A$33),""),"")</f>
        <v>9'352.00/
30-Jun-23</v>
      </c>
      <c r="R56" s="381" t="str">
        <f ca="1">IFERROR(IF(INDEX('Impact Indicators - Section B '!S$1:S$82,MATCH($A56,'Impact Indicators - Section B '!$A$1:$A$82,0))&lt;&gt;0,TEXT(INDEX('Impact Indicators - Section B '!S$1:S$82,MATCH($A56,'Impact Indicators - Section B '!$A$1:$A$82,0)),"#'##0.00"),""),"")&amp;"/"&amp;IFERROR(IF(INDEX('Impact Indicators - Section B '!S$1:S$82,MATCH($A56,'Impact Indicators - Section B '!$A$1:$A$82,0)+1)&lt;&gt;0,TEXT(INDEX('Impact Indicators - Section B '!S$1:S$82,MATCH($A56,'Impact Indicators - Section B '!$A$1:$A$82,0)+1),"#'##0.00"),""),"")&amp;CHAR(10)&amp;IFERROR(IF(INDEX('Impact Indicators - Section B '!T$1:T$82,MATCH($A56,'Impact Indicators - Section B '!$A$1:$A$82,0))&lt;&gt;0,TEXT(INDEX('Impact Indicators - Section B '!T$1:T$82,MATCH($A56,'Impact Indicators - Section B '!$A$1:$A$82,0)),"0.0%"),""),"")&amp;CHAR(10)&amp;IFERROR(IF(INDEX('Impact Indicators - Section B '!V$1:V$82,MATCH($A56,'Impact Indicators - Section B '!$A$1:$A$82,0))&lt;&gt;0,TEXT(INDEX('Impact Indicators - Section B '!V$1:V$82,MATCH($A56,'Impact Indicators - Section B '!$A$1:$A$82,0)),Setup!$A$33),""),"")&amp;CHAR(10)&amp;IFERROR(IF(INDEX('Impact Indicators - Section B '!U$1:U$82,MATCH($A56,'Impact Indicators - Section B '!$A$1:$A$82,0))&lt;&gt;0,TEXT(INDEX('Impact Indicators - Section B '!U$1:U$82,MATCH($A56,'Impact Indicators - Section B '!$A$1:$A$82,0)),Setup!$A$33),""),"")</f>
        <v>8'973.00/
30-Jun-24</v>
      </c>
      <c r="S56" s="381" t="str">
        <f ca="1">IFERROR(IF(INDEX('Impact Indicators - Section B '!W$1:W$82,MATCH($A56,'Impact Indicators - Section B '!$A$1:$A$82,0))&lt;&gt;0,TEXT(INDEX('Impact Indicators - Section B '!W$1:W$82,MATCH($A56,'Impact Indicators - Section B '!$A$1:$A$82,0)),"#'##0.00"),""),"")&amp;"/"&amp;IFERROR(IF(INDEX('Impact Indicators - Section B '!W$1:W$82,MATCH($A56,'Impact Indicators - Section B '!$A$1:$A$82,0)+1)&lt;&gt;0,TEXT(INDEX('Impact Indicators - Section B '!W$1:W$82,MATCH($A56,'Impact Indicators - Section B '!$A$1:$A$82,0)+1),"#'##0.00"),""),"")&amp;CHAR(10)&amp;IFERROR(IF(INDEX('Impact Indicators - Section B '!X$1:X$82,MATCH($A56,'Impact Indicators - Section B '!$A$1:$A$82,0))&lt;&gt;0,TEXT(INDEX('Impact Indicators - Section B '!X$1:X$82,MATCH($A56,'Impact Indicators - Section B '!$A$1:$A$82,0)),"0.0%"),""),"")&amp;CHAR(10)&amp;IFERROR(IF(INDEX('Impact Indicators - Section B '!Z$1:Z$82,MATCH($A56,'Impact Indicators - Section B '!$A$1:$A$82,0))&lt;&gt;0,INDEX('Impact Indicators - Section B '!Z$1:Z$82,MATCH($A56,'Impact Indicators - Section B '!$A$1:$A$82,0)),""),"")&amp;CHAR(10)&amp;IFERROR(IF(INDEX('Impact Indicators - Section B '!Y$1:Y$82,MATCH($A56,'Impact Indicators - Section B '!$A$1:$A$82,0))&lt;&gt;0,TEXT(INDEX('Impact Indicators - Section B '!Y$1:Y$82,MATCH($A56,'Impact Indicators - Section B '!$A$1:$A$82,0)),Setup!$A$33),""),"")</f>
        <v xml:space="preserve">/
</v>
      </c>
      <c r="T56" s="382"/>
      <c r="U56" s="216"/>
      <c r="V56" s="216"/>
      <c r="W56" s="216"/>
      <c r="X56" s="216"/>
      <c r="Y56" s="216"/>
      <c r="Z56" s="216"/>
      <c r="AA56" s="216"/>
      <c r="AB56" s="216"/>
      <c r="AC56" s="216"/>
      <c r="AD56" s="216"/>
      <c r="AE56" s="216"/>
      <c r="AF56" s="216"/>
      <c r="AG56" s="216"/>
      <c r="AH56" s="216"/>
      <c r="AI56" s="216"/>
      <c r="AJ56" s="216"/>
      <c r="AK56" s="216"/>
      <c r="AL56" s="216"/>
      <c r="AM56" s="216"/>
      <c r="AN56" s="216"/>
      <c r="AO56" s="216" t="str">
        <f ca="1">IFERROR(IF(INDEX('Impact Indicators - Section B '!AA$1:AA$82,MATCH($A56,'Impact Indicators - Section B '!$A$1:$A$82,0))&lt;&gt;0,INDEX('Impact Indicators - Section B '!AA$1:AA$82,MATCH($A56,'Impact Indicators - Section B '!$A$1:$A$82,0)),""),"")</f>
        <v xml:space="preserve">Les cibles du PSN 2021-2025 des décès dûs au sida sont 9849 en 2021, 9352 en 2022 et 8973 en 2023. 
Le rapportage se fera en 2022 et 2023 pour les cibles de 2021 et 2022. 
Les données seront collectées à partir de spectrum  </v>
      </c>
      <c r="AP56" s="216"/>
      <c r="AQ56" s="216"/>
      <c r="AR56" s="216"/>
      <c r="AS56" s="216"/>
      <c r="AT56" s="216" t="str">
        <f>CONCATENATE($A56,J$52)</f>
        <v>2</v>
      </c>
      <c r="AU56" s="216" t="str">
        <f>CONCATENATE($A56,O$52)</f>
        <v>2</v>
      </c>
      <c r="AV56" s="216"/>
      <c r="AW56" s="216" t="str">
        <f t="shared" ref="AW56" si="0">CONCATENATE($A56,X$52)</f>
        <v>2</v>
      </c>
      <c r="AX56" s="216" t="str">
        <f t="shared" ref="AX56" si="1">CONCATENATE($A56,AB$52)</f>
        <v>2</v>
      </c>
      <c r="AY56" s="216"/>
      <c r="AZ56" s="216"/>
      <c r="BA56" s="216"/>
      <c r="BB56" s="216"/>
      <c r="BC56" s="383"/>
    </row>
    <row r="57" spans="1:55" s="384" customFormat="1" ht="100.2" customHeight="1" x14ac:dyDescent="0.4">
      <c r="A57" s="747"/>
      <c r="B57" s="717" t="str">
        <f ca="1">IFERROR(IF(INDEX('Impact Indicators - Section B '!AA$1:AA$82,MATCH($A56,'Impact Indicators - Section B '!$A$1:$A$82,0))&lt;&gt;0,INDEX('Impact Indicators - Section B '!AA$1:AA$82,MATCH($A56,'Impact Indicators - Section B '!$A$1:$A$82,0)),""),"")</f>
        <v xml:space="preserve">Les cibles du PSN 2021-2025 des décès dûs au sida sont 9849 en 2021, 9352 en 2022 et 8973 en 2023. 
Le rapportage se fera en 2022 et 2023 pour les cibles de 2021 et 2022. 
Les données seront collectées à partir de spectrum  </v>
      </c>
      <c r="C57" s="718"/>
      <c r="D57" s="718"/>
      <c r="E57" s="718"/>
      <c r="F57" s="718"/>
      <c r="G57" s="718"/>
      <c r="H57" s="718"/>
      <c r="I57" s="719"/>
      <c r="J57" s="719"/>
      <c r="K57" s="719"/>
      <c r="L57" s="719"/>
      <c r="M57" s="719"/>
      <c r="N57" s="719"/>
      <c r="O57" s="719"/>
      <c r="P57" s="719"/>
      <c r="Q57" s="719"/>
      <c r="R57" s="719"/>
      <c r="S57" s="720"/>
      <c r="T57" s="385"/>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383"/>
    </row>
    <row r="58" spans="1:55" s="384" customFormat="1" ht="145.19999999999999" customHeight="1" x14ac:dyDescent="0.4">
      <c r="A58" s="747">
        <v>3</v>
      </c>
      <c r="B58" s="762" t="str">
        <f ca="1">IFERROR(IF(INDEX('Impact Indicators - Section B '!B$1:B$82,MATCH($A58,'Impact Indicators - Section B '!$A$1:$A$82,0))&lt;&gt;0,INDEX('Impact Indicators - Section B '!B$1:B$82,MATCH($A58,'Impact Indicators - Section B '!$A$1:$A$82,0)),""),"")</f>
        <v>HIV I-6 Pourcentage estimé d’enfants ayant été nouvellement infectés par le VIH dans le cadre de la transmission de la mère à l’enfant chez les femmes séropositives ayant accouché au cours des 12 derniers mois</v>
      </c>
      <c r="C58" s="763"/>
      <c r="D58" s="764"/>
      <c r="E58" s="762" t="str">
        <f ca="1">IFERROR(IF(INDEX('Impact Indicators - Section B '!C$1:C$82,MATCH($A58,'Impact Indicators - Section B '!$A$1:$A$82,0))&lt;&gt;0,INDEX('Impact Indicators - Section B '!C$1:C$82,MATCH($A58,'Impact Indicators - Section B '!$A$1:$A$82,0)),""),"")</f>
        <v/>
      </c>
      <c r="F58" s="763"/>
      <c r="G58" s="764"/>
      <c r="H58" s="378" t="str">
        <f ca="1">IFERROR(IF(INDEX('Impact Indicators - Section B '!D$1:D$82,MATCH($A58,'Impact Indicators - Section B '!$A$1:$A$82,0))&lt;&gt;0,TEXT(INDEX('Impact Indicators - Section B '!D$1:D$82,MATCH($A58,'Impact Indicators - Section B '!$A$1:$A$82,0)),"#'##0.00"),""),"")&amp;"/"&amp;IFERROR(IF(INDEX('Impact Indicators - Section B '!D$1:D$82,MATCH($A58,'Impact Indicators - Section B '!$A$1:$A$82,0)+1)&lt;&gt;0,TEXT(INDEX('Impact Indicators - Section B '!D$1:D$82,MATCH($A58,'Impact Indicators - Section B '!$A$1:$A$82,0)+1),"#'##0.00"),""),"")&amp;CHAR(10)&amp;IFERROR(IF(INDEX('Impact Indicators - Section B '!E$1:E$82,MATCH($A58,'Impact Indicators - Section B '!$A$1:$A$82,0))&lt;&gt;0,TEXT(INDEX('Impact Indicators - Section B '!E$1:E$82,MATCH($A58,'Impact Indicators - Section B '!$A$1:$A$82,0)),"0.0%"),""),"")</f>
        <v>/
10.1%</v>
      </c>
      <c r="I58" s="379"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2019
Spectrum 2020</v>
      </c>
      <c r="J58" s="762" t="str">
        <f ca="1">IFERROR(IF(INDEX('Impact Indicators - Section B '!H$1:H$82,MATCH($A58,'Impact Indicators - Section B '!$A$1:$A$82,0))&lt;&gt;0,INDEX('Impact Indicators - Section B '!H$1:H$82,MATCH($A58,'Impact Indicators - Section B '!$A$1:$A$82,0)),""),"")</f>
        <v/>
      </c>
      <c r="K58" s="763"/>
      <c r="L58" s="763"/>
      <c r="M58" s="764"/>
      <c r="N58" s="380" t="str">
        <f ca="1">IFERROR(IF(INDEX('Impact Indicators - Section B '!I$1:I$82,MATCH($A58,'Impact Indicators - Section B '!$A$1:$A$82,0))&lt;&gt;0,INDEX('Impact Indicators - Section B '!I$1:I$82,MATCH($A58,'Impact Indicators - Section B '!$A$1:$A$82,0)),""),"")</f>
        <v>Programme National de Lutte contre le SIDA de la République de Côte d'Ivoire</v>
      </c>
      <c r="O58" s="379" t="str">
        <f ca="1">IFERROR(IF(INDEX('Impact Indicators - Section B '!J$1:J$82,MATCH($A58,'Impact Indicators - Section B '!$A$1:$A$82,0))&lt;&gt;0,INDEX('Impact Indicators - Section B '!J$1:J$82,MATCH($A58,'Impact Indicators - Section B '!$A$1:$A$82,0)),""),"")</f>
        <v>Côte d'Ivoire</v>
      </c>
      <c r="P58" s="381" t="str">
        <f ca="1">IFERROR(IF(INDEX('Impact Indicators - Section B '!K$1:K$82,MATCH($A58,'Impact Indicators - Section B '!$A$1:$A$82,0))&lt;&gt;0,TEXT(INDEX('Impact Indicators - Section B '!K$1:K$82,MATCH($A58,'Impact Indicators - Section B '!$A$1:$A$82,0)),"#'##0.00"),""),"")&amp;"/"&amp;IFERROR(IF(INDEX('Impact Indicators - Section B '!K$1:K$82,MATCH($A58,'Impact Indicators - Section B '!$A$1:$A$82,0)+1)&lt;&gt;0,TEXT(INDEX('Impact Indicators - Section B '!K$1:K$82,MATCH($A58,'Impact Indicators - Section B '!$A$1:$A$82,0)+1),"#'##0.00"),""),"")&amp;CHAR(10)&amp;IFERROR(IF(INDEX('Impact Indicators - Section B '!L$1:L$82,MATCH($A58,'Impact Indicators - Section B '!$A$1:$A$82,0))&lt;&gt;0,TEXT(INDEX('Impact Indicators - Section B '!L$1:L$82,MATCH($A58,'Impact Indicators - Section B '!$A$1:$A$82,0)),"0.0%"),""),"")&amp;CHAR(10)&amp;IFERROR(IF(INDEX('Impact Indicators - Section B '!N$1:N$82,MATCH($A58,'Impact Indicators - Section B '!$A$1:$A$82,0))&lt;&gt;0,INDEX('Impact Indicators - Section B '!N$1:N$82,MATCH($A58,'Impact Indicators - Section B '!$A$1:$A$82,0)),""),"")&amp;CHAR(10)&amp;IFERROR(IF(INDEX('Impact Indicators - Section B '!M$1:M$82,MATCH($A58,'Impact Indicators - Section B '!$A$1:$A$82,0))&lt;&gt;0,TEXT(INDEX('Impact Indicators - Section B '!M$1:M$82,MATCH($A58,'Impact Indicators - Section B '!$A$1:$A$82,0)),Setup!$A$33),""),"")</f>
        <v>/
6.1%
30-Jun-22</v>
      </c>
      <c r="Q58" s="381" t="str">
        <f ca="1">IFERROR(IF(INDEX('Impact Indicators - Section B '!O$1:O$82,MATCH($A58,'Impact Indicators - Section B '!$A$1:$A$82,0))&lt;&gt;0,TEXT(INDEX('Impact Indicators - Section B '!O$1:O$82,MATCH($A58,'Impact Indicators - Section B '!$A$1:$A$82,0)),"#'##0.00"),""),"")&amp;"/"&amp;IFERROR(IF(INDEX('Impact Indicators - Section B '!O$1:O$82,MATCH($A58,'Impact Indicators - Section B '!$A$1:$A$82,0)+1)&lt;&gt;0,TEXT(INDEX('Impact Indicators - Section B '!O$1:O$82,MATCH($A58,'Impact Indicators - Section B '!$A$1:$A$82,0)+1),"#'##0.00"),""),"")&amp;CHAR(10)&amp;IFERROR(IF(INDEX('Impact Indicators - Section B '!P$1:P$82,MATCH($A58,'Impact Indicators - Section B '!$A$1:$A$82,0))&lt;&gt;0,TEXT(INDEX('Impact Indicators - Section B '!P$1:P$82,MATCH($A58,'Impact Indicators - Section B '!$A$1:$A$82,0)),"0.0%"),""),"")&amp;CHAR(10)&amp;IFERROR(IF(INDEX('Impact Indicators - Section B '!R$1:R$82,MATCH($A58,'Impact Indicators - Section B '!$A$1:$A$82,0))&lt;&gt;0,INDEX('Impact Indicators - Section B '!R$1:R$82,MATCH($A58,'Impact Indicators - Section B '!$A$1:$A$82,0)),""),"")&amp;CHAR(10)&amp;IFERROR(IF(INDEX('Impact Indicators - Section B '!Q$1:Q$82,MATCH($A58,'Impact Indicators - Section B '!$A$1:$A$82,0))&lt;&gt;0,TEXT(INDEX('Impact Indicators - Section B '!Q$1:Q$82,MATCH($A58,'Impact Indicators - Section B '!$A$1:$A$82,0)),Setup!$A$33),""),"")</f>
        <v>/
5.0%
30-Jun-23</v>
      </c>
      <c r="R58" s="381" t="str">
        <f ca="1">IFERROR(IF(INDEX('Impact Indicators - Section B '!S$1:S$82,MATCH($A58,'Impact Indicators - Section B '!$A$1:$A$82,0))&lt;&gt;0,TEXT(INDEX('Impact Indicators - Section B '!S$1:S$82,MATCH($A58,'Impact Indicators - Section B '!$A$1:$A$82,0)),"#'##0.00"),""),"")&amp;"/"&amp;IFERROR(IF(INDEX('Impact Indicators - Section B '!S$1:S$82,MATCH($A58,'Impact Indicators - Section B '!$A$1:$A$82,0)+1)&lt;&gt;0,TEXT(INDEX('Impact Indicators - Section B '!S$1:S$82,MATCH($A58,'Impact Indicators - Section B '!$A$1:$A$82,0)+1),"#'##0.00"),""),"")&amp;CHAR(10)&amp;IFERROR(IF(INDEX('Impact Indicators - Section B '!T$1:T$82,MATCH($A58,'Impact Indicators - Section B '!$A$1:$A$82,0))&lt;&gt;0,TEXT(INDEX('Impact Indicators - Section B '!T$1:T$82,MATCH($A58,'Impact Indicators - Section B '!$A$1:$A$82,0)),"0.0%"),""),"")&amp;CHAR(10)&amp;IFERROR(IF(INDEX('Impact Indicators - Section B '!V$1:V$82,MATCH($A58,'Impact Indicators - Section B '!$A$1:$A$82,0))&lt;&gt;0,TEXT(INDEX('Impact Indicators - Section B '!V$1:V$82,MATCH($A58,'Impact Indicators - Section B '!$A$1:$A$82,0)),Setup!$A$33),""),"")&amp;CHAR(10)&amp;IFERROR(IF(INDEX('Impact Indicators - Section B '!U$1:U$82,MATCH($A58,'Impact Indicators - Section B '!$A$1:$A$82,0))&lt;&gt;0,TEXT(INDEX('Impact Indicators - Section B '!U$1:U$82,MATCH($A58,'Impact Indicators - Section B '!$A$1:$A$82,0)),Setup!$A$33),""),"")</f>
        <v>/
4.0%
30-Jun-24</v>
      </c>
      <c r="S58" s="381" t="str">
        <f ca="1">IFERROR(IF(INDEX('Impact Indicators - Section B '!W$1:W$82,MATCH($A58,'Impact Indicators - Section B '!$A$1:$A$82,0))&lt;&gt;0,TEXT(INDEX('Impact Indicators - Section B '!W$1:W$82,MATCH($A58,'Impact Indicators - Section B '!$A$1:$A$82,0)),"#'##0.00"),""),"")&amp;"/"&amp;IFERROR(IF(INDEX('Impact Indicators - Section B '!W$1:W$82,MATCH($A58,'Impact Indicators - Section B '!$A$1:$A$82,0)+1)&lt;&gt;0,TEXT(INDEX('Impact Indicators - Section B '!W$1:W$82,MATCH($A58,'Impact Indicators - Section B '!$A$1:$A$82,0)+1),"#'##0.00"),""),"")&amp;CHAR(10)&amp;IFERROR(IF(INDEX('Impact Indicators - Section B '!X$1:X$82,MATCH($A58,'Impact Indicators - Section B '!$A$1:$A$82,0))&lt;&gt;0,TEXT(INDEX('Impact Indicators - Section B '!X$1:X$82,MATCH($A58,'Impact Indicators - Section B '!$A$1:$A$82,0)),"0.0%"),""),"")&amp;CHAR(10)&amp;IFERROR(IF(INDEX('Impact Indicators - Section B '!Z$1:Z$82,MATCH($A58,'Impact Indicators - Section B '!$A$1:$A$82,0))&lt;&gt;0,INDEX('Impact Indicators - Section B '!Z$1:Z$82,MATCH($A58,'Impact Indicators - Section B '!$A$1:$A$82,0)),""),"")&amp;CHAR(10)&amp;IFERROR(IF(INDEX('Impact Indicators - Section B '!Y$1:Y$82,MATCH($A58,'Impact Indicators - Section B '!$A$1:$A$82,0))&lt;&gt;0,TEXT(INDEX('Impact Indicators - Section B '!Y$1:Y$82,MATCH($A58,'Impact Indicators - Section B '!$A$1:$A$82,0)),Setup!$A$33),""),"")</f>
        <v xml:space="preserve">/
</v>
      </c>
      <c r="T58" s="382"/>
      <c r="U58" s="216"/>
      <c r="V58" s="216"/>
      <c r="W58" s="216"/>
      <c r="X58" s="216"/>
      <c r="Y58" s="216"/>
      <c r="Z58" s="216"/>
      <c r="AA58" s="216"/>
      <c r="AB58" s="216"/>
      <c r="AC58" s="216"/>
      <c r="AD58" s="216"/>
      <c r="AE58" s="216"/>
      <c r="AF58" s="216"/>
      <c r="AG58" s="216"/>
      <c r="AH58" s="216"/>
      <c r="AI58" s="216"/>
      <c r="AJ58" s="216"/>
      <c r="AK58" s="216"/>
      <c r="AL58" s="216"/>
      <c r="AM58" s="216"/>
      <c r="AN58" s="216"/>
      <c r="AO58" s="216" t="str">
        <f ca="1">IFERROR(IF(INDEX('Impact Indicators - Section B '!AA$1:AA$82,MATCH($A58,'Impact Indicators - Section B '!$A$1:$A$82,0))&lt;&gt;0,INDEX('Impact Indicators - Section B '!AA$1:AA$82,MATCH($A58,'Impact Indicators - Section B '!$A$1:$A$82,0)),""),"")</f>
        <v xml:space="preserve">Les cibles du PSN du taux de transmissiondu VIH de la mère à l'enfant y compris la période d'allaitement sont de 6,05% en 2021, 5,04% en 2022 et 4,02% en 2023. 
Le rapportage se fera en 2022 et 2023 pour les cibles de 2021 et 2022. 
Les données seront collectées à partir de spectrum  </v>
      </c>
      <c r="AP58" s="216"/>
      <c r="AQ58" s="216"/>
      <c r="AR58" s="216"/>
      <c r="AS58" s="216"/>
      <c r="AT58" s="216" t="str">
        <f>CONCATENATE($A58,J$52)</f>
        <v>3</v>
      </c>
      <c r="AU58" s="216" t="str">
        <f>CONCATENATE($A58,O$52)</f>
        <v>3</v>
      </c>
      <c r="AV58" s="216"/>
      <c r="AW58" s="216" t="str">
        <f t="shared" ref="AW58" si="2">CONCATENATE($A58,X$52)</f>
        <v>3</v>
      </c>
      <c r="AX58" s="216" t="str">
        <f t="shared" ref="AX58" si="3">CONCATENATE($A58,AB$52)</f>
        <v>3</v>
      </c>
      <c r="AY58" s="216"/>
      <c r="AZ58" s="216"/>
      <c r="BA58" s="216"/>
      <c r="BB58" s="216"/>
      <c r="BC58" s="383"/>
    </row>
    <row r="59" spans="1:55" s="384" customFormat="1" ht="100.2" customHeight="1" x14ac:dyDescent="0.4">
      <c r="A59" s="747"/>
      <c r="B59" s="727" t="str">
        <f ca="1">IFERROR(IF(INDEX('Impact Indicators - Section B '!AA$1:AA$82,MATCH($A58,'Impact Indicators - Section B '!$A$1:$A$82,0))&lt;&gt;0,INDEX('Impact Indicators - Section B '!AA$1:AA$82,MATCH($A58,'Impact Indicators - Section B '!$A$1:$A$82,0)),""),"")</f>
        <v xml:space="preserve">Les cibles du PSN du taux de transmissiondu VIH de la mère à l'enfant y compris la période d'allaitement sont de 6,05% en 2021, 5,04% en 2022 et 4,02% en 2023. 
Le rapportage se fera en 2022 et 2023 pour les cibles de 2021 et 2022. 
Les données seront collectées à partir de spectrum  </v>
      </c>
      <c r="C59" s="728"/>
      <c r="D59" s="728"/>
      <c r="E59" s="728"/>
      <c r="F59" s="728"/>
      <c r="G59" s="728"/>
      <c r="H59" s="728"/>
      <c r="I59" s="728"/>
      <c r="J59" s="728"/>
      <c r="K59" s="728"/>
      <c r="L59" s="728"/>
      <c r="M59" s="728"/>
      <c r="N59" s="728"/>
      <c r="O59" s="728"/>
      <c r="P59" s="728"/>
      <c r="Q59" s="728"/>
      <c r="R59" s="728"/>
      <c r="S59" s="729"/>
      <c r="T59" s="385"/>
      <c r="U59" s="216"/>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383"/>
    </row>
    <row r="60" spans="1:55" s="384" customFormat="1" ht="145.19999999999999" customHeight="1" x14ac:dyDescent="0.4">
      <c r="A60" s="747">
        <v>4</v>
      </c>
      <c r="B60" s="762" t="str">
        <f ca="1">IFERROR(IF(INDEX('Impact Indicators - Section B '!B$1:B$82,MATCH($A60,'Impact Indicators - Section B '!$A$1:$A$82,0))&lt;&gt;0,INDEX('Impact Indicators - Section B '!B$1:B$82,MATCH($A60,'Impact Indicators - Section B '!$A$1:$A$82,0)),""),"")</f>
        <v>TB/HIV I-1 Taux de mortalité par tuberculose/VIH (pour 100 000 habitants)</v>
      </c>
      <c r="C60" s="763"/>
      <c r="D60" s="764"/>
      <c r="E60" s="762" t="str">
        <f ca="1">IFERROR(IF(INDEX('Impact Indicators - Section B '!C$1:C$82,MATCH($A60,'Impact Indicators - Section B '!$A$1:$A$82,0))&lt;&gt;0,INDEX('Impact Indicators - Section B '!C$1:C$82,MATCH($A60,'Impact Indicators - Section B '!$A$1:$A$82,0)),""),"")</f>
        <v/>
      </c>
      <c r="F60" s="763"/>
      <c r="G60" s="764"/>
      <c r="H60" s="378" t="str">
        <f ca="1">IFERROR(IF(INDEX('Impact Indicators - Section B '!D$1:D$82,MATCH($A60,'Impact Indicators - Section B '!$A$1:$A$82,0))&lt;&gt;0,TEXT(INDEX('Impact Indicators - Section B '!D$1:D$82,MATCH($A60,'Impact Indicators - Section B '!$A$1:$A$82,0)),"#'##0.00"),""),"")&amp;"/"&amp;IFERROR(IF(INDEX('Impact Indicators - Section B '!D$1:D$82,MATCH($A60,'Impact Indicators - Section B '!$A$1:$A$82,0)+1)&lt;&gt;0,TEXT(INDEX('Impact Indicators - Section B '!D$1:D$82,MATCH($A60,'Impact Indicators - Section B '!$A$1:$A$82,0)+1),"#'##0.00"),""),"")&amp;CHAR(10)&amp;IFERROR(IF(INDEX('Impact Indicators - Section B '!E$1:E$82,MATCH($A60,'Impact Indicators - Section B '!$A$1:$A$82,0))&lt;&gt;0,TEXT(INDEX('Impact Indicators - Section B '!E$1:E$82,MATCH($A60,'Impact Indicators - Section B '!$A$1:$A$82,0)),"0.0%"),""),"")</f>
        <v xml:space="preserve">10.00/
</v>
      </c>
      <c r="I60" s="379"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2018
Les données sont extraites du site de l'OMS (www.who.int/tb/data)
Profil pays OMS </v>
      </c>
      <c r="J60" s="762" t="str">
        <f ca="1">IFERROR(IF(INDEX('Impact Indicators - Section B '!H$1:H$82,MATCH($A60,'Impact Indicators - Section B '!$A$1:$A$82,0))&lt;&gt;0,INDEX('Impact Indicators - Section B '!H$1:H$82,MATCH($A60,'Impact Indicators - Section B '!$A$1:$A$82,0)),""),"")</f>
        <v/>
      </c>
      <c r="K60" s="763"/>
      <c r="L60" s="763"/>
      <c r="M60" s="764"/>
      <c r="N60" s="380" t="str">
        <f ca="1">IFERROR(IF(INDEX('Impact Indicators - Section B '!I$1:I$82,MATCH($A60,'Impact Indicators - Section B '!$A$1:$A$82,0))&lt;&gt;0,INDEX('Impact Indicators - Section B '!I$1:I$82,MATCH($A60,'Impact Indicators - Section B '!$A$1:$A$82,0)),""),"")</f>
        <v>Programme National de Lutte contre le SIDA de la République de Côte d'Ivoire</v>
      </c>
      <c r="O60" s="379" t="str">
        <f ca="1">IFERROR(IF(INDEX('Impact Indicators - Section B '!J$1:J$82,MATCH($A60,'Impact Indicators - Section B '!$A$1:$A$82,0))&lt;&gt;0,INDEX('Impact Indicators - Section B '!J$1:J$82,MATCH($A60,'Impact Indicators - Section B '!$A$1:$A$82,0)),""),"")</f>
        <v>Côte d'Ivoire</v>
      </c>
      <c r="P60" s="381" t="str">
        <f ca="1">IFERROR(IF(INDEX('Impact Indicators - Section B '!K$1:K$82,MATCH($A60,'Impact Indicators - Section B '!$A$1:$A$82,0))&lt;&gt;0,TEXT(INDEX('Impact Indicators - Section B '!K$1:K$82,MATCH($A60,'Impact Indicators - Section B '!$A$1:$A$82,0)),"#'##0.00"),""),"")&amp;"/"&amp;IFERROR(IF(INDEX('Impact Indicators - Section B '!K$1:K$82,MATCH($A60,'Impact Indicators - Section B '!$A$1:$A$82,0)+1)&lt;&gt;0,TEXT(INDEX('Impact Indicators - Section B '!K$1:K$82,MATCH($A60,'Impact Indicators - Section B '!$A$1:$A$82,0)+1),"#'##0.00"),""),"")&amp;CHAR(10)&amp;IFERROR(IF(INDEX('Impact Indicators - Section B '!L$1:L$82,MATCH($A60,'Impact Indicators - Section B '!$A$1:$A$82,0))&lt;&gt;0,TEXT(INDEX('Impact Indicators - Section B '!L$1:L$82,MATCH($A60,'Impact Indicators - Section B '!$A$1:$A$82,0)),"0.0%"),""),"")&amp;CHAR(10)&amp;IFERROR(IF(INDEX('Impact Indicators - Section B '!N$1:N$82,MATCH($A60,'Impact Indicators - Section B '!$A$1:$A$82,0))&lt;&gt;0,INDEX('Impact Indicators - Section B '!N$1:N$82,MATCH($A60,'Impact Indicators - Section B '!$A$1:$A$82,0)),""),"")&amp;CHAR(10)&amp;IFERROR(IF(INDEX('Impact Indicators - Section B '!M$1:M$82,MATCH($A60,'Impact Indicators - Section B '!$A$1:$A$82,0))&lt;&gt;0,TEXT(INDEX('Impact Indicators - Section B '!M$1:M$82,MATCH($A60,'Impact Indicators - Section B '!$A$1:$A$82,0)),Setup!$A$33),""),"")</f>
        <v>0.01/
30-Jun-22</v>
      </c>
      <c r="Q60" s="381" t="str">
        <f ca="1">IFERROR(IF(INDEX('Impact Indicators - Section B '!O$1:O$82,MATCH($A60,'Impact Indicators - Section B '!$A$1:$A$82,0))&lt;&gt;0,TEXT(INDEX('Impact Indicators - Section B '!O$1:O$82,MATCH($A60,'Impact Indicators - Section B '!$A$1:$A$82,0)),"#'##0.00"),""),"")&amp;"/"&amp;IFERROR(IF(INDEX('Impact Indicators - Section B '!O$1:O$82,MATCH($A60,'Impact Indicators - Section B '!$A$1:$A$82,0)+1)&lt;&gt;0,TEXT(INDEX('Impact Indicators - Section B '!O$1:O$82,MATCH($A60,'Impact Indicators - Section B '!$A$1:$A$82,0)+1),"#'##0.00"),""),"")&amp;CHAR(10)&amp;IFERROR(IF(INDEX('Impact Indicators - Section B '!P$1:P$82,MATCH($A60,'Impact Indicators - Section B '!$A$1:$A$82,0))&lt;&gt;0,TEXT(INDEX('Impact Indicators - Section B '!P$1:P$82,MATCH($A60,'Impact Indicators - Section B '!$A$1:$A$82,0)),"0.0%"),""),"")&amp;CHAR(10)&amp;IFERROR(IF(INDEX('Impact Indicators - Section B '!R$1:R$82,MATCH($A60,'Impact Indicators - Section B '!$A$1:$A$82,0))&lt;&gt;0,INDEX('Impact Indicators - Section B '!R$1:R$82,MATCH($A60,'Impact Indicators - Section B '!$A$1:$A$82,0)),""),"")&amp;CHAR(10)&amp;IFERROR(IF(INDEX('Impact Indicators - Section B '!Q$1:Q$82,MATCH($A60,'Impact Indicators - Section B '!$A$1:$A$82,0))&lt;&gt;0,TEXT(INDEX('Impact Indicators - Section B '!Q$1:Q$82,MATCH($A60,'Impact Indicators - Section B '!$A$1:$A$82,0)),Setup!$A$33),""),"")</f>
        <v>0.01/
30-Jun-23</v>
      </c>
      <c r="R60" s="381" t="str">
        <f ca="1">IFERROR(IF(INDEX('Impact Indicators - Section B '!S$1:S$82,MATCH($A60,'Impact Indicators - Section B '!$A$1:$A$82,0))&lt;&gt;0,TEXT(INDEX('Impact Indicators - Section B '!S$1:S$82,MATCH($A60,'Impact Indicators - Section B '!$A$1:$A$82,0)),"#'##0.00"),""),"")&amp;"/"&amp;IFERROR(IF(INDEX('Impact Indicators - Section B '!S$1:S$82,MATCH($A60,'Impact Indicators - Section B '!$A$1:$A$82,0)+1)&lt;&gt;0,TEXT(INDEX('Impact Indicators - Section B '!S$1:S$82,MATCH($A60,'Impact Indicators - Section B '!$A$1:$A$82,0)+1),"#'##0.00"),""),"")&amp;CHAR(10)&amp;IFERROR(IF(INDEX('Impact Indicators - Section B '!T$1:T$82,MATCH($A60,'Impact Indicators - Section B '!$A$1:$A$82,0))&lt;&gt;0,TEXT(INDEX('Impact Indicators - Section B '!T$1:T$82,MATCH($A60,'Impact Indicators - Section B '!$A$1:$A$82,0)),"0.0%"),""),"")&amp;CHAR(10)&amp;IFERROR(IF(INDEX('Impact Indicators - Section B '!V$1:V$82,MATCH($A60,'Impact Indicators - Section B '!$A$1:$A$82,0))&lt;&gt;0,TEXT(INDEX('Impact Indicators - Section B '!V$1:V$82,MATCH($A60,'Impact Indicators - Section B '!$A$1:$A$82,0)),Setup!$A$33),""),"")&amp;CHAR(10)&amp;IFERROR(IF(INDEX('Impact Indicators - Section B '!U$1:U$82,MATCH($A60,'Impact Indicators - Section B '!$A$1:$A$82,0))&lt;&gt;0,TEXT(INDEX('Impact Indicators - Section B '!U$1:U$82,MATCH($A60,'Impact Indicators - Section B '!$A$1:$A$82,0)),Setup!$A$33),""),"")</f>
        <v>0.01/
30-Jun-24</v>
      </c>
      <c r="S60" s="381" t="str">
        <f ca="1">IFERROR(IF(INDEX('Impact Indicators - Section B '!W$1:W$82,MATCH($A60,'Impact Indicators - Section B '!$A$1:$A$82,0))&lt;&gt;0,TEXT(INDEX('Impact Indicators - Section B '!W$1:W$82,MATCH($A60,'Impact Indicators - Section B '!$A$1:$A$82,0)),"#'##0.00"),""),"")&amp;"/"&amp;IFERROR(IF(INDEX('Impact Indicators - Section B '!W$1:W$82,MATCH($A60,'Impact Indicators - Section B '!$A$1:$A$82,0)+1)&lt;&gt;0,TEXT(INDEX('Impact Indicators - Section B '!W$1:W$82,MATCH($A60,'Impact Indicators - Section B '!$A$1:$A$82,0)+1),"#'##0.00"),""),"")&amp;CHAR(10)&amp;IFERROR(IF(INDEX('Impact Indicators - Section B '!X$1:X$82,MATCH($A60,'Impact Indicators - Section B '!$A$1:$A$82,0))&lt;&gt;0,TEXT(INDEX('Impact Indicators - Section B '!X$1:X$82,MATCH($A60,'Impact Indicators - Section B '!$A$1:$A$82,0)),"0.0%"),""),"")&amp;CHAR(10)&amp;IFERROR(IF(INDEX('Impact Indicators - Section B '!Z$1:Z$82,MATCH($A60,'Impact Indicators - Section B '!$A$1:$A$82,0))&lt;&gt;0,INDEX('Impact Indicators - Section B '!Z$1:Z$82,MATCH($A60,'Impact Indicators - Section B '!$A$1:$A$82,0)),""),"")&amp;CHAR(10)&amp;IFERROR(IF(INDEX('Impact Indicators - Section B '!Y$1:Y$82,MATCH($A60,'Impact Indicators - Section B '!$A$1:$A$82,0))&lt;&gt;0,TEXT(INDEX('Impact Indicators - Section B '!Y$1:Y$82,MATCH($A60,'Impact Indicators - Section B '!$A$1:$A$82,0)),Setup!$A$33),""),"")</f>
        <v xml:space="preserve">/
</v>
      </c>
      <c r="T60" s="382"/>
      <c r="U60" s="216"/>
      <c r="V60" s="216"/>
      <c r="W60" s="216"/>
      <c r="X60" s="216"/>
      <c r="Y60" s="216"/>
      <c r="Z60" s="216"/>
      <c r="AA60" s="216"/>
      <c r="AB60" s="216"/>
      <c r="AC60" s="216"/>
      <c r="AD60" s="216"/>
      <c r="AE60" s="216"/>
      <c r="AF60" s="216"/>
      <c r="AG60" s="216"/>
      <c r="AH60" s="216"/>
      <c r="AI60" s="216"/>
      <c r="AJ60" s="216"/>
      <c r="AK60" s="216"/>
      <c r="AL60" s="216"/>
      <c r="AM60" s="216"/>
      <c r="AN60" s="216"/>
      <c r="AO60" s="216" t="str">
        <f ca="1">IFERROR(IF(INDEX('Impact Indicators - Section B '!AA$1:AA$82,MATCH($A60,'Impact Indicators - Section B '!$A$1:$A$82,0))&lt;&gt;0,INDEX('Impact Indicators - Section B '!AA$1:AA$82,MATCH($A60,'Impact Indicators - Section B '!$A$1:$A$82,0)),""),"")</f>
        <v xml:space="preserve">Les données de base donne 10 décès pour 100 000 habitants soit 2 500 décès pour 24 867 843. Selon le PSN 2021-2025, il faut réduire de 50% la mortalité liée au VIH. Les projections donnent 8 décès pour 2021, 8 décès pour 2022 et 7 décès en 2023 pour 100 000 habitants
Le rapportage se fera en 2022 et 2023 pour les cibles de 2021 et 2022. 
Les données seront renseignées à partir du profil pays de l'OMS . 
</v>
      </c>
      <c r="AP60" s="216"/>
      <c r="AQ60" s="216"/>
      <c r="AR60" s="216"/>
      <c r="AS60" s="216"/>
      <c r="AT60" s="216" t="str">
        <f>CONCATENATE($A60,J$52)</f>
        <v>4</v>
      </c>
      <c r="AU60" s="216" t="str">
        <f>CONCATENATE($A60,O$52)</f>
        <v>4</v>
      </c>
      <c r="AV60" s="216"/>
      <c r="AW60" s="216" t="str">
        <f t="shared" ref="AW60" si="4">CONCATENATE($A60,X$52)</f>
        <v>4</v>
      </c>
      <c r="AX60" s="216" t="str">
        <f t="shared" ref="AX60" si="5">CONCATENATE($A60,AB$52)</f>
        <v>4</v>
      </c>
      <c r="AY60" s="216"/>
      <c r="AZ60" s="216"/>
      <c r="BA60" s="216"/>
      <c r="BB60" s="216"/>
      <c r="BC60" s="383"/>
    </row>
    <row r="61" spans="1:55" s="384" customFormat="1" ht="100.2" customHeight="1" x14ac:dyDescent="0.4">
      <c r="A61" s="747"/>
      <c r="B61" s="717" t="str">
        <f ca="1">IFERROR(IF(INDEX('Impact Indicators - Section B '!AA$1:AA$82,MATCH($A60,'Impact Indicators - Section B '!$A$1:$A$82,0))&lt;&gt;0,INDEX('Impact Indicators - Section B '!AA$1:AA$82,MATCH($A60,'Impact Indicators - Section B '!$A$1:$A$82,0)),""),"")</f>
        <v xml:space="preserve">Les données de base donne 10 décès pour 100 000 habitants soit 2 500 décès pour 24 867 843. Selon le PSN 2021-2025, il faut réduire de 50% la mortalité liée au VIH. Les projections donnent 8 décès pour 2021, 8 décès pour 2022 et 7 décès en 2023 pour 100 000 habitants
Le rapportage se fera en 2022 et 2023 pour les cibles de 2021 et 2022. 
Les données seront renseignées à partir du profil pays de l'OMS . 
</v>
      </c>
      <c r="C61" s="718"/>
      <c r="D61" s="718"/>
      <c r="E61" s="718"/>
      <c r="F61" s="718"/>
      <c r="G61" s="718"/>
      <c r="H61" s="718"/>
      <c r="I61" s="719"/>
      <c r="J61" s="719"/>
      <c r="K61" s="719"/>
      <c r="L61" s="719"/>
      <c r="M61" s="719"/>
      <c r="N61" s="719"/>
      <c r="O61" s="719"/>
      <c r="P61" s="719"/>
      <c r="Q61" s="719"/>
      <c r="R61" s="719"/>
      <c r="S61" s="720"/>
      <c r="T61" s="385"/>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383"/>
    </row>
    <row r="62" spans="1:55" s="384" customFormat="1" ht="145.19999999999999" customHeight="1" x14ac:dyDescent="0.4">
      <c r="A62" s="747">
        <v>5</v>
      </c>
      <c r="B62" s="762" t="str">
        <f ca="1">IFERROR(IF(INDEX('Impact Indicators - Section B '!B$1:B$82,MATCH($A62,'Impact Indicators - Section B '!$A$1:$A$82,0))&lt;&gt;0,INDEX('Impact Indicators - Section B '!B$1:B$82,MATCH($A62,'Impact Indicators - Section B '!$A$1:$A$82,0)),""),"")</f>
        <v/>
      </c>
      <c r="C62" s="763"/>
      <c r="D62" s="764"/>
      <c r="E62" s="762" t="str">
        <f ca="1">IFERROR(IF(INDEX('Impact Indicators - Section B '!C$1:C$82,MATCH($A62,'Impact Indicators - Section B '!$A$1:$A$82,0))&lt;&gt;0,INDEX('Impact Indicators - Section B '!C$1:C$82,MATCH($A62,'Impact Indicators - Section B '!$A$1:$A$82,0)),""),"")</f>
        <v/>
      </c>
      <c r="F62" s="763"/>
      <c r="G62" s="764"/>
      <c r="H62" s="378" t="str">
        <f ca="1">IFERROR(IF(INDEX('Impact Indicators - Section B '!D$1:D$82,MATCH($A62,'Impact Indicators - Section B '!$A$1:$A$82,0))&lt;&gt;0,TEXT(INDEX('Impact Indicators - Section B '!D$1:D$82,MATCH($A62,'Impact Indicators - Section B '!$A$1:$A$82,0)),"#'##0.00"),""),"")&amp;"/"&amp;IFERROR(IF(INDEX('Impact Indicators - Section B '!D$1:D$82,MATCH($A62,'Impact Indicators - Section B '!$A$1:$A$82,0)+1)&lt;&gt;0,TEXT(INDEX('Impact Indicators - Section B '!D$1:D$82,MATCH($A62,'Impact Indicators - Section B '!$A$1:$A$82,0)+1),"#'##0.00"),""),"")&amp;CHAR(10)&amp;IFERROR(IF(INDEX('Impact Indicators - Section B '!E$1:E$82,MATCH($A62,'Impact Indicators - Section B '!$A$1:$A$82,0))&lt;&gt;0,TEXT(INDEX('Impact Indicators - Section B '!E$1:E$82,MATCH($A62,'Impact Indicators - Section B '!$A$1:$A$82,0)),"0.0%"),""),"")</f>
        <v xml:space="preserve">/
</v>
      </c>
      <c r="I62" s="379"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762" t="str">
        <f ca="1">IFERROR(IF(INDEX('Impact Indicators - Section B '!H$1:H$82,MATCH($A62,'Impact Indicators - Section B '!$A$1:$A$82,0))&lt;&gt;0,INDEX('Impact Indicators - Section B '!H$1:H$82,MATCH($A62,'Impact Indicators - Section B '!$A$1:$A$82,0)),""),"")</f>
        <v/>
      </c>
      <c r="K62" s="763"/>
      <c r="L62" s="763"/>
      <c r="M62" s="764"/>
      <c r="N62" s="380" t="str">
        <f ca="1">IFERROR(IF(INDEX('Impact Indicators - Section B '!I$1:I$82,MATCH($A62,'Impact Indicators - Section B '!$A$1:$A$82,0))&lt;&gt;0,INDEX('Impact Indicators - Section B '!I$1:I$82,MATCH($A62,'Impact Indicators - Section B '!$A$1:$A$82,0)),""),"")</f>
        <v/>
      </c>
      <c r="O62" s="379" t="str">
        <f ca="1">IFERROR(IF(INDEX('Impact Indicators - Section B '!J$1:J$82,MATCH($A62,'Impact Indicators - Section B '!$A$1:$A$82,0))&lt;&gt;0,INDEX('Impact Indicators - Section B '!J$1:J$82,MATCH($A62,'Impact Indicators - Section B '!$A$1:$A$82,0)),""),"")</f>
        <v/>
      </c>
      <c r="P62" s="381" t="str">
        <f ca="1">IFERROR(IF(INDEX('Impact Indicators - Section B '!K$1:K$82,MATCH($A62,'Impact Indicators - Section B '!$A$1:$A$82,0))&lt;&gt;0,TEXT(INDEX('Impact Indicators - Section B '!K$1:K$82,MATCH($A62,'Impact Indicators - Section B '!$A$1:$A$82,0)),"#'##0.00"),""),"")&amp;"/"&amp;IFERROR(IF(INDEX('Impact Indicators - Section B '!K$1:K$82,MATCH($A62,'Impact Indicators - Section B '!$A$1:$A$82,0)+1)&lt;&gt;0,TEXT(INDEX('Impact Indicators - Section B '!K$1:K$82,MATCH($A62,'Impact Indicators - Section B '!$A$1:$A$82,0)+1),"#'##0.00"),""),"")&amp;CHAR(10)&amp;IFERROR(IF(INDEX('Impact Indicators - Section B '!L$1:L$82,MATCH($A62,'Impact Indicators - Section B '!$A$1:$A$82,0))&lt;&gt;0,TEXT(INDEX('Impact Indicators - Section B '!L$1:L$82,MATCH($A62,'Impact Indicators - Section B '!$A$1:$A$82,0)),"0.0%"),""),"")&amp;CHAR(10)&amp;IFERROR(IF(INDEX('Impact Indicators - Section B '!N$1:N$82,MATCH($A62,'Impact Indicators - Section B '!$A$1:$A$82,0))&lt;&gt;0,INDEX('Impact Indicators - Section B '!N$1:N$82,MATCH($A62,'Impact Indicators - Section B '!$A$1:$A$82,0)),""),"")&amp;CHAR(10)&amp;IFERROR(IF(INDEX('Impact Indicators - Section B '!M$1:M$82,MATCH($A62,'Impact Indicators - Section B '!$A$1:$A$82,0))&lt;&gt;0,TEXT(INDEX('Impact Indicators - Section B '!M$1:M$82,MATCH($A62,'Impact Indicators - Section B '!$A$1:$A$82,0)),Setup!$A$33),""),"")</f>
        <v xml:space="preserve">/
</v>
      </c>
      <c r="Q62" s="381" t="str">
        <f ca="1">IFERROR(IF(INDEX('Impact Indicators - Section B '!O$1:O$82,MATCH($A62,'Impact Indicators - Section B '!$A$1:$A$82,0))&lt;&gt;0,TEXT(INDEX('Impact Indicators - Section B '!O$1:O$82,MATCH($A62,'Impact Indicators - Section B '!$A$1:$A$82,0)),"#'##0.00"),""),"")&amp;"/"&amp;IFERROR(IF(INDEX('Impact Indicators - Section B '!O$1:O$82,MATCH($A62,'Impact Indicators - Section B '!$A$1:$A$82,0)+1)&lt;&gt;0,TEXT(INDEX('Impact Indicators - Section B '!O$1:O$82,MATCH($A62,'Impact Indicators - Section B '!$A$1:$A$82,0)+1),"#'##0.00"),""),"")&amp;CHAR(10)&amp;IFERROR(IF(INDEX('Impact Indicators - Section B '!P$1:P$82,MATCH($A62,'Impact Indicators - Section B '!$A$1:$A$82,0))&lt;&gt;0,TEXT(INDEX('Impact Indicators - Section B '!P$1:P$82,MATCH($A62,'Impact Indicators - Section B '!$A$1:$A$82,0)),"0.0%"),""),"")&amp;CHAR(10)&amp;IFERROR(IF(INDEX('Impact Indicators - Section B '!R$1:R$82,MATCH($A62,'Impact Indicators - Section B '!$A$1:$A$82,0))&lt;&gt;0,INDEX('Impact Indicators - Section B '!R$1:R$82,MATCH($A62,'Impact Indicators - Section B '!$A$1:$A$82,0)),""),"")&amp;CHAR(10)&amp;IFERROR(IF(INDEX('Impact Indicators - Section B '!Q$1:Q$82,MATCH($A62,'Impact Indicators - Section B '!$A$1:$A$82,0))&lt;&gt;0,TEXT(INDEX('Impact Indicators - Section B '!Q$1:Q$82,MATCH($A62,'Impact Indicators - Section B '!$A$1:$A$82,0)),Setup!$A$33),""),"")</f>
        <v xml:space="preserve">/
</v>
      </c>
      <c r="R62" s="381" t="str">
        <f ca="1">IFERROR(IF(INDEX('Impact Indicators - Section B '!S$1:S$82,MATCH($A62,'Impact Indicators - Section B '!$A$1:$A$82,0))&lt;&gt;0,TEXT(INDEX('Impact Indicators - Section B '!S$1:S$82,MATCH($A62,'Impact Indicators - Section B '!$A$1:$A$82,0)),"#'##0.00"),""),"")&amp;"/"&amp;IFERROR(IF(INDEX('Impact Indicators - Section B '!S$1:S$82,MATCH($A62,'Impact Indicators - Section B '!$A$1:$A$82,0)+1)&lt;&gt;0,TEXT(INDEX('Impact Indicators - Section B '!S$1:S$82,MATCH($A62,'Impact Indicators - Section B '!$A$1:$A$82,0)+1),"#'##0.00"),""),"")&amp;CHAR(10)&amp;IFERROR(IF(INDEX('Impact Indicators - Section B '!T$1:T$82,MATCH($A62,'Impact Indicators - Section B '!$A$1:$A$82,0))&lt;&gt;0,TEXT(INDEX('Impact Indicators - Section B '!T$1:T$82,MATCH($A62,'Impact Indicators - Section B '!$A$1:$A$82,0)),"0.0%"),""),"")&amp;CHAR(10)&amp;IFERROR(IF(INDEX('Impact Indicators - Section B '!V$1:V$82,MATCH($A62,'Impact Indicators - Section B '!$A$1:$A$82,0))&lt;&gt;0,TEXT(INDEX('Impact Indicators - Section B '!V$1:V$82,MATCH($A62,'Impact Indicators - Section B '!$A$1:$A$82,0)),Setup!$A$33),""),"")&amp;CHAR(10)&amp;IFERROR(IF(INDEX('Impact Indicators - Section B '!U$1:U$82,MATCH($A62,'Impact Indicators - Section B '!$A$1:$A$82,0))&lt;&gt;0,TEXT(INDEX('Impact Indicators - Section B '!U$1:U$82,MATCH($A62,'Impact Indicators - Section B '!$A$1:$A$82,0)),Setup!$A$33),""),"")</f>
        <v xml:space="preserve">/
</v>
      </c>
      <c r="S62" s="381" t="str">
        <f ca="1">IFERROR(IF(INDEX('Impact Indicators - Section B '!W$1:W$82,MATCH($A62,'Impact Indicators - Section B '!$A$1:$A$82,0))&lt;&gt;0,TEXT(INDEX('Impact Indicators - Section B '!W$1:W$82,MATCH($A62,'Impact Indicators - Section B '!$A$1:$A$82,0)),"#'##0.00"),""),"")&amp;"/"&amp;IFERROR(IF(INDEX('Impact Indicators - Section B '!W$1:W$82,MATCH($A62,'Impact Indicators - Section B '!$A$1:$A$82,0)+1)&lt;&gt;0,TEXT(INDEX('Impact Indicators - Section B '!W$1:W$82,MATCH($A62,'Impact Indicators - Section B '!$A$1:$A$82,0)+1),"#'##0.00"),""),"")&amp;CHAR(10)&amp;IFERROR(IF(INDEX('Impact Indicators - Section B '!X$1:X$82,MATCH($A62,'Impact Indicators - Section B '!$A$1:$A$82,0))&lt;&gt;0,TEXT(INDEX('Impact Indicators - Section B '!X$1:X$82,MATCH($A62,'Impact Indicators - Section B '!$A$1:$A$82,0)),"0.0%"),""),"")&amp;CHAR(10)&amp;IFERROR(IF(INDEX('Impact Indicators - Section B '!Z$1:Z$82,MATCH($A62,'Impact Indicators - Section B '!$A$1:$A$82,0))&lt;&gt;0,INDEX('Impact Indicators - Section B '!Z$1:Z$82,MATCH($A62,'Impact Indicators - Section B '!$A$1:$A$82,0)),""),"")&amp;CHAR(10)&amp;IFERROR(IF(INDEX('Impact Indicators - Section B '!Y$1:Y$82,MATCH($A62,'Impact Indicators - Section B '!$A$1:$A$82,0))&lt;&gt;0,TEXT(INDEX('Impact Indicators - Section B '!Y$1:Y$82,MATCH($A62,'Impact Indicators - Section B '!$A$1:$A$82,0)),Setup!$A$33),""),"")</f>
        <v xml:space="preserve">/
</v>
      </c>
      <c r="T62" s="382"/>
      <c r="U62" s="216"/>
      <c r="V62" s="216"/>
      <c r="W62" s="216"/>
      <c r="X62" s="216"/>
      <c r="Y62" s="216"/>
      <c r="Z62" s="216"/>
      <c r="AA62" s="216"/>
      <c r="AB62" s="216"/>
      <c r="AC62" s="216"/>
      <c r="AD62" s="216"/>
      <c r="AE62" s="216"/>
      <c r="AF62" s="216"/>
      <c r="AG62" s="216"/>
      <c r="AH62" s="216"/>
      <c r="AI62" s="216"/>
      <c r="AJ62" s="216"/>
      <c r="AK62" s="216"/>
      <c r="AL62" s="216"/>
      <c r="AM62" s="216"/>
      <c r="AN62" s="216"/>
      <c r="AO62" s="216" t="str">
        <f ca="1">IFERROR(IF(INDEX('Impact Indicators - Section B '!AA$1:AA$82,MATCH($A62,'Impact Indicators - Section B '!$A$1:$A$82,0))&lt;&gt;0,INDEX('Impact Indicators - Section B '!AA$1:AA$82,MATCH($A62,'Impact Indicators - Section B '!$A$1:$A$82,0)),""),"")</f>
        <v/>
      </c>
      <c r="AP62" s="216"/>
      <c r="AQ62" s="216"/>
      <c r="AR62" s="216"/>
      <c r="AS62" s="216"/>
      <c r="AT62" s="216" t="str">
        <f>CONCATENATE($A62,J$52)</f>
        <v>5</v>
      </c>
      <c r="AU62" s="216" t="str">
        <f>CONCATENATE($A62,O$52)</f>
        <v>5</v>
      </c>
      <c r="AV62" s="216"/>
      <c r="AW62" s="216" t="str">
        <f t="shared" ref="AW62" si="6">CONCATENATE($A62,X$52)</f>
        <v>5</v>
      </c>
      <c r="AX62" s="216" t="str">
        <f t="shared" ref="AX62" si="7">CONCATENATE($A62,AB$52)</f>
        <v>5</v>
      </c>
      <c r="AY62" s="216"/>
      <c r="AZ62" s="216"/>
      <c r="BA62" s="216"/>
      <c r="BB62" s="216"/>
      <c r="BC62" s="383"/>
    </row>
    <row r="63" spans="1:55" s="384" customFormat="1" ht="100.2" customHeight="1" x14ac:dyDescent="0.4">
      <c r="A63" s="747"/>
      <c r="B63" s="765" t="str">
        <f ca="1">IFERROR(IF(INDEX('Impact Indicators - Section B '!AA$1:AA$82,MATCH($A62,'Impact Indicators - Section B '!$A$1:$A$82,0))&lt;&gt;0,INDEX('Impact Indicators - Section B '!AA$1:AA$82,MATCH($A62,'Impact Indicators - Section B '!$A$1:$A$82,0)),""),"")</f>
        <v/>
      </c>
      <c r="C63" s="766"/>
      <c r="D63" s="766"/>
      <c r="E63" s="766"/>
      <c r="F63" s="766"/>
      <c r="G63" s="766"/>
      <c r="H63" s="766"/>
      <c r="I63" s="766"/>
      <c r="J63" s="766"/>
      <c r="K63" s="766"/>
      <c r="L63" s="766"/>
      <c r="M63" s="766"/>
      <c r="N63" s="766"/>
      <c r="O63" s="766"/>
      <c r="P63" s="766"/>
      <c r="Q63" s="766"/>
      <c r="R63" s="766"/>
      <c r="S63" s="767"/>
      <c r="T63" s="385"/>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383"/>
    </row>
    <row r="64" spans="1:55" s="384" customFormat="1" ht="145.19999999999999" customHeight="1" x14ac:dyDescent="0.4">
      <c r="A64" s="747">
        <v>6</v>
      </c>
      <c r="B64" s="762" t="str">
        <f ca="1">IFERROR(IF(INDEX('Impact Indicators - Section B '!B$1:B$82,MATCH($A64,'Impact Indicators - Section B '!$A$1:$A$82,0))&lt;&gt;0,INDEX('Impact Indicators - Section B '!B$1:B$82,MATCH($A64,'Impact Indicators - Section B '!$A$1:$A$82,0)),""),"")</f>
        <v/>
      </c>
      <c r="C64" s="763"/>
      <c r="D64" s="764"/>
      <c r="E64" s="762" t="str">
        <f ca="1">IFERROR(IF(INDEX('Impact Indicators - Section B '!C$1:C$82,MATCH($A64,'Impact Indicators - Section B '!$A$1:$A$82,0))&lt;&gt;0,INDEX('Impact Indicators - Section B '!C$1:C$82,MATCH($A64,'Impact Indicators - Section B '!$A$1:$A$82,0)),""),"")</f>
        <v/>
      </c>
      <c r="F64" s="763"/>
      <c r="G64" s="764"/>
      <c r="H64" s="378" t="str">
        <f ca="1">IFERROR(IF(INDEX('Impact Indicators - Section B '!D$1:D$82,MATCH($A64,'Impact Indicators - Section B '!$A$1:$A$82,0))&lt;&gt;0,TEXT(INDEX('Impact Indicators - Section B '!D$1:D$82,MATCH($A64,'Impact Indicators - Section B '!$A$1:$A$82,0)),"#'##0.00"),""),"")&amp;"/"&amp;IFERROR(IF(INDEX('Impact Indicators - Section B '!D$1:D$82,MATCH($A64,'Impact Indicators - Section B '!$A$1:$A$82,0)+1)&lt;&gt;0,TEXT(INDEX('Impact Indicators - Section B '!D$1:D$82,MATCH($A64,'Impact Indicators - Section B '!$A$1:$A$82,0)+1),"#'##0.00"),""),"")&amp;CHAR(10)&amp;IFERROR(IF(INDEX('Impact Indicators - Section B '!E$1:E$82,MATCH($A64,'Impact Indicators - Section B '!$A$1:$A$82,0))&lt;&gt;0,TEXT(INDEX('Impact Indicators - Section B '!E$1:E$82,MATCH($A64,'Impact Indicators - Section B '!$A$1:$A$82,0)),"0.0%"),""),"")</f>
        <v xml:space="preserve">/
</v>
      </c>
      <c r="I64" s="379"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762" t="str">
        <f ca="1">IFERROR(IF(INDEX('Impact Indicators - Section B '!H$1:H$82,MATCH($A64,'Impact Indicators - Section B '!$A$1:$A$82,0))&lt;&gt;0,INDEX('Impact Indicators - Section B '!H$1:H$82,MATCH($A64,'Impact Indicators - Section B '!$A$1:$A$82,0)),""),"")</f>
        <v/>
      </c>
      <c r="K64" s="763"/>
      <c r="L64" s="763"/>
      <c r="M64" s="764"/>
      <c r="N64" s="380" t="str">
        <f ca="1">IFERROR(IF(INDEX('Impact Indicators - Section B '!I$1:I$82,MATCH($A64,'Impact Indicators - Section B '!$A$1:$A$82,0))&lt;&gt;0,INDEX('Impact Indicators - Section B '!I$1:I$82,MATCH($A64,'Impact Indicators - Section B '!$A$1:$A$82,0)),""),"")</f>
        <v/>
      </c>
      <c r="O64" s="379" t="str">
        <f ca="1">IFERROR(IF(INDEX('Impact Indicators - Section B '!J$1:J$82,MATCH($A64,'Impact Indicators - Section B '!$A$1:$A$82,0))&lt;&gt;0,INDEX('Impact Indicators - Section B '!J$1:J$82,MATCH($A64,'Impact Indicators - Section B '!$A$1:$A$82,0)),""),"")</f>
        <v/>
      </c>
      <c r="P64" s="381" t="str">
        <f ca="1">IFERROR(IF(INDEX('Impact Indicators - Section B '!K$1:K$82,MATCH($A64,'Impact Indicators - Section B '!$A$1:$A$82,0))&lt;&gt;0,TEXT(INDEX('Impact Indicators - Section B '!K$1:K$82,MATCH($A64,'Impact Indicators - Section B '!$A$1:$A$82,0)),"#'##0.00"),""),"")&amp;"/"&amp;IFERROR(IF(INDEX('Impact Indicators - Section B '!K$1:K$82,MATCH($A64,'Impact Indicators - Section B '!$A$1:$A$82,0)+1)&lt;&gt;0,TEXT(INDEX('Impact Indicators - Section B '!K$1:K$82,MATCH($A64,'Impact Indicators - Section B '!$A$1:$A$82,0)+1),"#'##0.00"),""),"")&amp;CHAR(10)&amp;IFERROR(IF(INDEX('Impact Indicators - Section B '!L$1:L$82,MATCH($A64,'Impact Indicators - Section B '!$A$1:$A$82,0))&lt;&gt;0,TEXT(INDEX('Impact Indicators - Section B '!L$1:L$82,MATCH($A64,'Impact Indicators - Section B '!$A$1:$A$82,0)),"0.0%"),""),"")&amp;CHAR(10)&amp;IFERROR(IF(INDEX('Impact Indicators - Section B '!N$1:N$82,MATCH($A64,'Impact Indicators - Section B '!$A$1:$A$82,0))&lt;&gt;0,INDEX('Impact Indicators - Section B '!N$1:N$82,MATCH($A64,'Impact Indicators - Section B '!$A$1:$A$82,0)),""),"")&amp;CHAR(10)&amp;IFERROR(IF(INDEX('Impact Indicators - Section B '!M$1:M$82,MATCH($A64,'Impact Indicators - Section B '!$A$1:$A$82,0))&lt;&gt;0,TEXT(INDEX('Impact Indicators - Section B '!M$1:M$82,MATCH($A64,'Impact Indicators - Section B '!$A$1:$A$82,0)),Setup!$A$33),""),"")</f>
        <v xml:space="preserve">/
</v>
      </c>
      <c r="Q64" s="381" t="str">
        <f ca="1">IFERROR(IF(INDEX('Impact Indicators - Section B '!O$1:O$82,MATCH($A64,'Impact Indicators - Section B '!$A$1:$A$82,0))&lt;&gt;0,TEXT(INDEX('Impact Indicators - Section B '!O$1:O$82,MATCH($A64,'Impact Indicators - Section B '!$A$1:$A$82,0)),"#'##0.00"),""),"")&amp;"/"&amp;IFERROR(IF(INDEX('Impact Indicators - Section B '!O$1:O$82,MATCH($A64,'Impact Indicators - Section B '!$A$1:$A$82,0)+1)&lt;&gt;0,TEXT(INDEX('Impact Indicators - Section B '!O$1:O$82,MATCH($A64,'Impact Indicators - Section B '!$A$1:$A$82,0)+1),"#'##0.00"),""),"")&amp;CHAR(10)&amp;IFERROR(IF(INDEX('Impact Indicators - Section B '!P$1:P$82,MATCH($A64,'Impact Indicators - Section B '!$A$1:$A$82,0))&lt;&gt;0,TEXT(INDEX('Impact Indicators - Section B '!P$1:P$82,MATCH($A64,'Impact Indicators - Section B '!$A$1:$A$82,0)),"0.0%"),""),"")&amp;CHAR(10)&amp;IFERROR(IF(INDEX('Impact Indicators - Section B '!R$1:R$82,MATCH($A64,'Impact Indicators - Section B '!$A$1:$A$82,0))&lt;&gt;0,INDEX('Impact Indicators - Section B '!R$1:R$82,MATCH($A64,'Impact Indicators - Section B '!$A$1:$A$82,0)),""),"")&amp;CHAR(10)&amp;IFERROR(IF(INDEX('Impact Indicators - Section B '!Q$1:Q$82,MATCH($A64,'Impact Indicators - Section B '!$A$1:$A$82,0))&lt;&gt;0,TEXT(INDEX('Impact Indicators - Section B '!Q$1:Q$82,MATCH($A64,'Impact Indicators - Section B '!$A$1:$A$82,0)),Setup!$A$33),""),"")</f>
        <v xml:space="preserve">/
</v>
      </c>
      <c r="R64" s="381" t="str">
        <f ca="1">IFERROR(IF(INDEX('Impact Indicators - Section B '!S$1:S$82,MATCH($A64,'Impact Indicators - Section B '!$A$1:$A$82,0))&lt;&gt;0,TEXT(INDEX('Impact Indicators - Section B '!S$1:S$82,MATCH($A64,'Impact Indicators - Section B '!$A$1:$A$82,0)),"#'##0.00"),""),"")&amp;"/"&amp;IFERROR(IF(INDEX('Impact Indicators - Section B '!S$1:S$82,MATCH($A64,'Impact Indicators - Section B '!$A$1:$A$82,0)+1)&lt;&gt;0,TEXT(INDEX('Impact Indicators - Section B '!S$1:S$82,MATCH($A64,'Impact Indicators - Section B '!$A$1:$A$82,0)+1),"#'##0.00"),""),"")&amp;CHAR(10)&amp;IFERROR(IF(INDEX('Impact Indicators - Section B '!T$1:T$82,MATCH($A64,'Impact Indicators - Section B '!$A$1:$A$82,0))&lt;&gt;0,TEXT(INDEX('Impact Indicators - Section B '!T$1:T$82,MATCH($A64,'Impact Indicators - Section B '!$A$1:$A$82,0)),"0.0%"),""),"")&amp;CHAR(10)&amp;IFERROR(IF(INDEX('Impact Indicators - Section B '!V$1:V$82,MATCH($A64,'Impact Indicators - Section B '!$A$1:$A$82,0))&lt;&gt;0,TEXT(INDEX('Impact Indicators - Section B '!V$1:V$82,MATCH($A64,'Impact Indicators - Section B '!$A$1:$A$82,0)),Setup!$A$33),""),"")&amp;CHAR(10)&amp;IFERROR(IF(INDEX('Impact Indicators - Section B '!U$1:U$82,MATCH($A64,'Impact Indicators - Section B '!$A$1:$A$82,0))&lt;&gt;0,TEXT(INDEX('Impact Indicators - Section B '!U$1:U$82,MATCH($A64,'Impact Indicators - Section B '!$A$1:$A$82,0)),Setup!$A$33),""),"")</f>
        <v xml:space="preserve">/
</v>
      </c>
      <c r="S64" s="381" t="str">
        <f ca="1">IFERROR(IF(INDEX('Impact Indicators - Section B '!W$1:W$82,MATCH($A64,'Impact Indicators - Section B '!$A$1:$A$82,0))&lt;&gt;0,TEXT(INDEX('Impact Indicators - Section B '!W$1:W$82,MATCH($A64,'Impact Indicators - Section B '!$A$1:$A$82,0)),"#'##0.00"),""),"")&amp;"/"&amp;IFERROR(IF(INDEX('Impact Indicators - Section B '!W$1:W$82,MATCH($A64,'Impact Indicators - Section B '!$A$1:$A$82,0)+1)&lt;&gt;0,TEXT(INDEX('Impact Indicators - Section B '!W$1:W$82,MATCH($A64,'Impact Indicators - Section B '!$A$1:$A$82,0)+1),"#'##0.00"),""),"")&amp;CHAR(10)&amp;IFERROR(IF(INDEX('Impact Indicators - Section B '!X$1:X$82,MATCH($A64,'Impact Indicators - Section B '!$A$1:$A$82,0))&lt;&gt;0,TEXT(INDEX('Impact Indicators - Section B '!X$1:X$82,MATCH($A64,'Impact Indicators - Section B '!$A$1:$A$82,0)),"0.0%"),""),"")&amp;CHAR(10)&amp;IFERROR(IF(INDEX('Impact Indicators - Section B '!Z$1:Z$82,MATCH($A64,'Impact Indicators - Section B '!$A$1:$A$82,0))&lt;&gt;0,INDEX('Impact Indicators - Section B '!Z$1:Z$82,MATCH($A64,'Impact Indicators - Section B '!$A$1:$A$82,0)),""),"")&amp;CHAR(10)&amp;IFERROR(IF(INDEX('Impact Indicators - Section B '!Y$1:Y$82,MATCH($A64,'Impact Indicators - Section B '!$A$1:$A$82,0))&lt;&gt;0,TEXT(INDEX('Impact Indicators - Section B '!Y$1:Y$82,MATCH($A64,'Impact Indicators - Section B '!$A$1:$A$82,0)),Setup!$A$33),""),"")</f>
        <v xml:space="preserve">/
</v>
      </c>
      <c r="T64" s="382"/>
      <c r="U64" s="216"/>
      <c r="V64" s="216"/>
      <c r="W64" s="216"/>
      <c r="X64" s="216"/>
      <c r="Y64" s="216"/>
      <c r="Z64" s="216"/>
      <c r="AA64" s="216"/>
      <c r="AB64" s="216"/>
      <c r="AC64" s="216"/>
      <c r="AD64" s="216"/>
      <c r="AE64" s="216"/>
      <c r="AF64" s="216"/>
      <c r="AG64" s="216"/>
      <c r="AH64" s="216"/>
      <c r="AI64" s="216"/>
      <c r="AJ64" s="216"/>
      <c r="AK64" s="216"/>
      <c r="AL64" s="216"/>
      <c r="AM64" s="216"/>
      <c r="AN64" s="216"/>
      <c r="AO64" s="216" t="str">
        <f ca="1">IFERROR(IF(INDEX('Impact Indicators - Section B '!AA$1:AA$82,MATCH($A64,'Impact Indicators - Section B '!$A$1:$A$82,0))&lt;&gt;0,INDEX('Impact Indicators - Section B '!AA$1:AA$82,MATCH($A64,'Impact Indicators - Section B '!$A$1:$A$82,0)),""),"")</f>
        <v/>
      </c>
      <c r="AP64" s="216"/>
      <c r="AQ64" s="216"/>
      <c r="AR64" s="216"/>
      <c r="AS64" s="216"/>
      <c r="AT64" s="216" t="str">
        <f>CONCATENATE($A64,J$52)</f>
        <v>6</v>
      </c>
      <c r="AU64" s="216" t="str">
        <f>CONCATENATE($A64,O$52)</f>
        <v>6</v>
      </c>
      <c r="AV64" s="216"/>
      <c r="AW64" s="216" t="str">
        <f t="shared" ref="AW64" si="8">CONCATENATE($A64,X$52)</f>
        <v>6</v>
      </c>
      <c r="AX64" s="216" t="str">
        <f t="shared" ref="AX64" si="9">CONCATENATE($A64,AB$52)</f>
        <v>6</v>
      </c>
      <c r="AY64" s="216"/>
      <c r="AZ64" s="216"/>
      <c r="BA64" s="216"/>
      <c r="BB64" s="216"/>
      <c r="BC64" s="383"/>
    </row>
    <row r="65" spans="1:55" s="384" customFormat="1" ht="100.2" customHeight="1" x14ac:dyDescent="0.4">
      <c r="A65" s="747"/>
      <c r="B65" s="717" t="str">
        <f ca="1">IFERROR(IF(INDEX('Impact Indicators - Section B '!AA$1:AA$82,MATCH($A64,'Impact Indicators - Section B '!$A$1:$A$82,0))&lt;&gt;0,INDEX('Impact Indicators - Section B '!AA$1:AA$82,MATCH($A64,'Impact Indicators - Section B '!$A$1:$A$82,0)),""),"")</f>
        <v/>
      </c>
      <c r="C65" s="718"/>
      <c r="D65" s="718"/>
      <c r="E65" s="718"/>
      <c r="F65" s="718"/>
      <c r="G65" s="718"/>
      <c r="H65" s="718"/>
      <c r="I65" s="719"/>
      <c r="J65" s="719"/>
      <c r="K65" s="719"/>
      <c r="L65" s="719"/>
      <c r="M65" s="719"/>
      <c r="N65" s="719"/>
      <c r="O65" s="719"/>
      <c r="P65" s="719"/>
      <c r="Q65" s="719"/>
      <c r="R65" s="719"/>
      <c r="S65" s="720"/>
      <c r="T65" s="385"/>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383"/>
    </row>
    <row r="66" spans="1:55" s="384" customFormat="1" ht="145.19999999999999" customHeight="1" x14ac:dyDescent="0.4">
      <c r="A66" s="747">
        <v>7</v>
      </c>
      <c r="B66" s="762" t="str">
        <f ca="1">IFERROR(IF(INDEX('Impact Indicators - Section B '!B$1:B$82,MATCH($A66,'Impact Indicators - Section B '!$A$1:$A$82,0))&lt;&gt;0,INDEX('Impact Indicators - Section B '!B$1:B$82,MATCH($A66,'Impact Indicators - Section B '!$A$1:$A$82,0)),""),"")</f>
        <v/>
      </c>
      <c r="C66" s="763"/>
      <c r="D66" s="764"/>
      <c r="E66" s="762" t="str">
        <f ca="1">IFERROR(IF(INDEX('Impact Indicators - Section B '!C$1:C$82,MATCH($A66,'Impact Indicators - Section B '!$A$1:$A$82,0))&lt;&gt;0,INDEX('Impact Indicators - Section B '!C$1:C$82,MATCH($A66,'Impact Indicators - Section B '!$A$1:$A$82,0)),""),"")</f>
        <v/>
      </c>
      <c r="F66" s="763"/>
      <c r="G66" s="764"/>
      <c r="H66" s="378" t="str">
        <f ca="1">IFERROR(IF(INDEX('Impact Indicators - Section B '!D$1:D$82,MATCH($A66,'Impact Indicators - Section B '!$A$1:$A$82,0))&lt;&gt;0,TEXT(INDEX('Impact Indicators - Section B '!D$1:D$82,MATCH($A66,'Impact Indicators - Section B '!$A$1:$A$82,0)),"#'##0.00"),""),"")&amp;"/"&amp;IFERROR(IF(INDEX('Impact Indicators - Section B '!D$1:D$82,MATCH($A66,'Impact Indicators - Section B '!$A$1:$A$82,0)+1)&lt;&gt;0,TEXT(INDEX('Impact Indicators - Section B '!D$1:D$82,MATCH($A66,'Impact Indicators - Section B '!$A$1:$A$82,0)+1),"#'##0.00"),""),"")&amp;CHAR(10)&amp;IFERROR(IF(INDEX('Impact Indicators - Section B '!E$1:E$82,MATCH($A66,'Impact Indicators - Section B '!$A$1:$A$82,0))&lt;&gt;0,TEXT(INDEX('Impact Indicators - Section B '!E$1:E$82,MATCH($A66,'Impact Indicators - Section B '!$A$1:$A$82,0)),"0.0%"),""),"")</f>
        <v xml:space="preserve">/
</v>
      </c>
      <c r="I66" s="379"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762" t="str">
        <f ca="1">IFERROR(IF(INDEX('Impact Indicators - Section B '!H$1:H$82,MATCH($A66,'Impact Indicators - Section B '!$A$1:$A$82,0))&lt;&gt;0,INDEX('Impact Indicators - Section B '!H$1:H$82,MATCH($A66,'Impact Indicators - Section B '!$A$1:$A$82,0)),""),"")</f>
        <v/>
      </c>
      <c r="K66" s="763"/>
      <c r="L66" s="763"/>
      <c r="M66" s="764"/>
      <c r="N66" s="380" t="str">
        <f ca="1">IFERROR(IF(INDEX('Impact Indicators - Section B '!I$1:I$82,MATCH($A66,'Impact Indicators - Section B '!$A$1:$A$82,0))&lt;&gt;0,INDEX('Impact Indicators - Section B '!I$1:I$82,MATCH($A66,'Impact Indicators - Section B '!$A$1:$A$82,0)),""),"")</f>
        <v/>
      </c>
      <c r="O66" s="379" t="str">
        <f ca="1">IFERROR(IF(INDEX('Impact Indicators - Section B '!J$1:J$82,MATCH($A66,'Impact Indicators - Section B '!$A$1:$A$82,0))&lt;&gt;0,INDEX('Impact Indicators - Section B '!J$1:J$82,MATCH($A66,'Impact Indicators - Section B '!$A$1:$A$82,0)),""),"")</f>
        <v/>
      </c>
      <c r="P66" s="381" t="str">
        <f ca="1">IFERROR(IF(INDEX('Impact Indicators - Section B '!K$1:K$82,MATCH($A66,'Impact Indicators - Section B '!$A$1:$A$82,0))&lt;&gt;0,TEXT(INDEX('Impact Indicators - Section B '!K$1:K$82,MATCH($A66,'Impact Indicators - Section B '!$A$1:$A$82,0)),"#'##0.00"),""),"")&amp;"/"&amp;IFERROR(IF(INDEX('Impact Indicators - Section B '!K$1:K$82,MATCH($A66,'Impact Indicators - Section B '!$A$1:$A$82,0)+1)&lt;&gt;0,TEXT(INDEX('Impact Indicators - Section B '!K$1:K$82,MATCH($A66,'Impact Indicators - Section B '!$A$1:$A$82,0)+1),"#'##0.00"),""),"")&amp;CHAR(10)&amp;IFERROR(IF(INDEX('Impact Indicators - Section B '!L$1:L$82,MATCH($A66,'Impact Indicators - Section B '!$A$1:$A$82,0))&lt;&gt;0,TEXT(INDEX('Impact Indicators - Section B '!L$1:L$82,MATCH($A66,'Impact Indicators - Section B '!$A$1:$A$82,0)),"0.0%"),""),"")&amp;CHAR(10)&amp;IFERROR(IF(INDEX('Impact Indicators - Section B '!N$1:N$82,MATCH($A66,'Impact Indicators - Section B '!$A$1:$A$82,0))&lt;&gt;0,INDEX('Impact Indicators - Section B '!N$1:N$82,MATCH($A66,'Impact Indicators - Section B '!$A$1:$A$82,0)),""),"")&amp;CHAR(10)&amp;IFERROR(IF(INDEX('Impact Indicators - Section B '!M$1:M$82,MATCH($A66,'Impact Indicators - Section B '!$A$1:$A$82,0))&lt;&gt;0,TEXT(INDEX('Impact Indicators - Section B '!M$1:M$82,MATCH($A66,'Impact Indicators - Section B '!$A$1:$A$82,0)),Setup!$A$33),""),"")</f>
        <v xml:space="preserve">/
</v>
      </c>
      <c r="Q66" s="381" t="str">
        <f ca="1">IFERROR(IF(INDEX('Impact Indicators - Section B '!O$1:O$82,MATCH($A66,'Impact Indicators - Section B '!$A$1:$A$82,0))&lt;&gt;0,TEXT(INDEX('Impact Indicators - Section B '!O$1:O$82,MATCH($A66,'Impact Indicators - Section B '!$A$1:$A$82,0)),"#'##0.00"),""),"")&amp;"/"&amp;IFERROR(IF(INDEX('Impact Indicators - Section B '!O$1:O$82,MATCH($A66,'Impact Indicators - Section B '!$A$1:$A$82,0)+1)&lt;&gt;0,TEXT(INDEX('Impact Indicators - Section B '!O$1:O$82,MATCH($A66,'Impact Indicators - Section B '!$A$1:$A$82,0)+1),"#'##0.00"),""),"")&amp;CHAR(10)&amp;IFERROR(IF(INDEX('Impact Indicators - Section B '!P$1:P$82,MATCH($A66,'Impact Indicators - Section B '!$A$1:$A$82,0))&lt;&gt;0,TEXT(INDEX('Impact Indicators - Section B '!P$1:P$82,MATCH($A66,'Impact Indicators - Section B '!$A$1:$A$82,0)),"0.0%"),""),"")&amp;CHAR(10)&amp;IFERROR(IF(INDEX('Impact Indicators - Section B '!R$1:R$82,MATCH($A66,'Impact Indicators - Section B '!$A$1:$A$82,0))&lt;&gt;0,INDEX('Impact Indicators - Section B '!R$1:R$82,MATCH($A66,'Impact Indicators - Section B '!$A$1:$A$82,0)),""),"")&amp;CHAR(10)&amp;IFERROR(IF(INDEX('Impact Indicators - Section B '!Q$1:Q$82,MATCH($A66,'Impact Indicators - Section B '!$A$1:$A$82,0))&lt;&gt;0,TEXT(INDEX('Impact Indicators - Section B '!Q$1:Q$82,MATCH($A66,'Impact Indicators - Section B '!$A$1:$A$82,0)),Setup!$A$33),""),"")</f>
        <v xml:space="preserve">/
</v>
      </c>
      <c r="R66" s="381" t="str">
        <f ca="1">IFERROR(IF(INDEX('Impact Indicators - Section B '!S$1:S$82,MATCH($A66,'Impact Indicators - Section B '!$A$1:$A$82,0))&lt;&gt;0,TEXT(INDEX('Impact Indicators - Section B '!S$1:S$82,MATCH($A66,'Impact Indicators - Section B '!$A$1:$A$82,0)),"#'##0.00"),""),"")&amp;"/"&amp;IFERROR(IF(INDEX('Impact Indicators - Section B '!S$1:S$82,MATCH($A66,'Impact Indicators - Section B '!$A$1:$A$82,0)+1)&lt;&gt;0,TEXT(INDEX('Impact Indicators - Section B '!S$1:S$82,MATCH($A66,'Impact Indicators - Section B '!$A$1:$A$82,0)+1),"#'##0.00"),""),"")&amp;CHAR(10)&amp;IFERROR(IF(INDEX('Impact Indicators - Section B '!T$1:T$82,MATCH($A66,'Impact Indicators - Section B '!$A$1:$A$82,0))&lt;&gt;0,TEXT(INDEX('Impact Indicators - Section B '!T$1:T$82,MATCH($A66,'Impact Indicators - Section B '!$A$1:$A$82,0)),"0.0%"),""),"")&amp;CHAR(10)&amp;IFERROR(IF(INDEX('Impact Indicators - Section B '!V$1:V$82,MATCH($A66,'Impact Indicators - Section B '!$A$1:$A$82,0))&lt;&gt;0,TEXT(INDEX('Impact Indicators - Section B '!V$1:V$82,MATCH($A66,'Impact Indicators - Section B '!$A$1:$A$82,0)),Setup!$A$33),""),"")&amp;CHAR(10)&amp;IFERROR(IF(INDEX('Impact Indicators - Section B '!U$1:U$82,MATCH($A66,'Impact Indicators - Section B '!$A$1:$A$82,0))&lt;&gt;0,TEXT(INDEX('Impact Indicators - Section B '!U$1:U$82,MATCH($A66,'Impact Indicators - Section B '!$A$1:$A$82,0)),Setup!$A$33),""),"")</f>
        <v xml:space="preserve">/
</v>
      </c>
      <c r="S66" s="381" t="str">
        <f ca="1">IFERROR(IF(INDEX('Impact Indicators - Section B '!W$1:W$82,MATCH($A66,'Impact Indicators - Section B '!$A$1:$A$82,0))&lt;&gt;0,TEXT(INDEX('Impact Indicators - Section B '!W$1:W$82,MATCH($A66,'Impact Indicators - Section B '!$A$1:$A$82,0)),"#'##0.00"),""),"")&amp;"/"&amp;IFERROR(IF(INDEX('Impact Indicators - Section B '!W$1:W$82,MATCH($A66,'Impact Indicators - Section B '!$A$1:$A$82,0)+1)&lt;&gt;0,TEXT(INDEX('Impact Indicators - Section B '!W$1:W$82,MATCH($A66,'Impact Indicators - Section B '!$A$1:$A$82,0)+1),"#'##0.00"),""),"")&amp;CHAR(10)&amp;IFERROR(IF(INDEX('Impact Indicators - Section B '!X$1:X$82,MATCH($A66,'Impact Indicators - Section B '!$A$1:$A$82,0))&lt;&gt;0,TEXT(INDEX('Impact Indicators - Section B '!X$1:X$82,MATCH($A66,'Impact Indicators - Section B '!$A$1:$A$82,0)),"0.0%"),""),"")&amp;CHAR(10)&amp;IFERROR(IF(INDEX('Impact Indicators - Section B '!Z$1:Z$82,MATCH($A66,'Impact Indicators - Section B '!$A$1:$A$82,0))&lt;&gt;0,INDEX('Impact Indicators - Section B '!Z$1:Z$82,MATCH($A66,'Impact Indicators - Section B '!$A$1:$A$82,0)),""),"")&amp;CHAR(10)&amp;IFERROR(IF(INDEX('Impact Indicators - Section B '!Y$1:Y$82,MATCH($A66,'Impact Indicators - Section B '!$A$1:$A$82,0))&lt;&gt;0,TEXT(INDEX('Impact Indicators - Section B '!Y$1:Y$82,MATCH($A66,'Impact Indicators - Section B '!$A$1:$A$82,0)),Setup!$A$33),""),"")</f>
        <v xml:space="preserve">/
</v>
      </c>
      <c r="T66" s="382"/>
      <c r="U66" s="216"/>
      <c r="V66" s="216"/>
      <c r="W66" s="216"/>
      <c r="X66" s="216"/>
      <c r="Y66" s="216"/>
      <c r="Z66" s="216"/>
      <c r="AA66" s="216"/>
      <c r="AB66" s="216"/>
      <c r="AC66" s="216"/>
      <c r="AD66" s="216"/>
      <c r="AE66" s="216"/>
      <c r="AF66" s="216"/>
      <c r="AG66" s="216"/>
      <c r="AH66" s="216"/>
      <c r="AI66" s="216"/>
      <c r="AJ66" s="216"/>
      <c r="AK66" s="216"/>
      <c r="AL66" s="216"/>
      <c r="AM66" s="216"/>
      <c r="AN66" s="216"/>
      <c r="AO66" s="216" t="str">
        <f ca="1">IFERROR(IF(INDEX('Impact Indicators - Section B '!AA$1:AA$82,MATCH($A66,'Impact Indicators - Section B '!$A$1:$A$82,0))&lt;&gt;0,INDEX('Impact Indicators - Section B '!AA$1:AA$82,MATCH($A66,'Impact Indicators - Section B '!$A$1:$A$82,0)),""),"")</f>
        <v/>
      </c>
      <c r="AP66" s="216"/>
      <c r="AQ66" s="216"/>
      <c r="AR66" s="216"/>
      <c r="AS66" s="216"/>
      <c r="AT66" s="216" t="str">
        <f>CONCATENATE($A66,J$52)</f>
        <v>7</v>
      </c>
      <c r="AU66" s="216" t="str">
        <f>CONCATENATE($A66,O$52)</f>
        <v>7</v>
      </c>
      <c r="AV66" s="216"/>
      <c r="AW66" s="216" t="str">
        <f t="shared" ref="AW66" si="10">CONCATENATE($A66,X$52)</f>
        <v>7</v>
      </c>
      <c r="AX66" s="216" t="str">
        <f t="shared" ref="AX66" si="11">CONCATENATE($A66,AB$52)</f>
        <v>7</v>
      </c>
      <c r="AY66" s="216"/>
      <c r="AZ66" s="216"/>
      <c r="BA66" s="216"/>
      <c r="BB66" s="216"/>
      <c r="BC66" s="383"/>
    </row>
    <row r="67" spans="1:55" s="384" customFormat="1" ht="100.2" customHeight="1" x14ac:dyDescent="0.4">
      <c r="A67" s="747"/>
      <c r="B67" s="765" t="str">
        <f ca="1">IFERROR(IF(INDEX('Impact Indicators - Section B '!AA$1:AA$82,MATCH($A66,'Impact Indicators - Section B '!$A$1:$A$82,0))&lt;&gt;0,INDEX('Impact Indicators - Section B '!AA$1:AA$82,MATCH($A66,'Impact Indicators - Section B '!$A$1:$A$82,0)),""),"")</f>
        <v/>
      </c>
      <c r="C67" s="766"/>
      <c r="D67" s="766"/>
      <c r="E67" s="766"/>
      <c r="F67" s="766"/>
      <c r="G67" s="766"/>
      <c r="H67" s="766"/>
      <c r="I67" s="766"/>
      <c r="J67" s="766"/>
      <c r="K67" s="766"/>
      <c r="L67" s="766"/>
      <c r="M67" s="766"/>
      <c r="N67" s="766"/>
      <c r="O67" s="766"/>
      <c r="P67" s="766"/>
      <c r="Q67" s="766"/>
      <c r="R67" s="766"/>
      <c r="S67" s="767"/>
      <c r="T67" s="385"/>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383"/>
    </row>
    <row r="68" spans="1:55" s="384" customFormat="1" ht="145.19999999999999" customHeight="1" x14ac:dyDescent="0.4">
      <c r="A68" s="747">
        <v>8</v>
      </c>
      <c r="B68" s="762" t="str">
        <f ca="1">IFERROR(IF(INDEX('Impact Indicators - Section B '!B$1:B$82,MATCH($A68,'Impact Indicators - Section B '!$A$1:$A$82,0))&lt;&gt;0,INDEX('Impact Indicators - Section B '!B$1:B$82,MATCH($A68,'Impact Indicators - Section B '!$A$1:$A$82,0)),""),"")</f>
        <v/>
      </c>
      <c r="C68" s="763"/>
      <c r="D68" s="764"/>
      <c r="E68" s="762" t="str">
        <f ca="1">IFERROR(IF(INDEX('Impact Indicators - Section B '!C$1:C$82,MATCH($A68,'Impact Indicators - Section B '!$A$1:$A$82,0))&lt;&gt;0,INDEX('Impact Indicators - Section B '!C$1:C$82,MATCH($A68,'Impact Indicators - Section B '!$A$1:$A$82,0)),""),"")</f>
        <v/>
      </c>
      <c r="F68" s="763"/>
      <c r="G68" s="764"/>
      <c r="H68" s="378" t="str">
        <f ca="1">IFERROR(IF(INDEX('Impact Indicators - Section B '!D$1:D$82,MATCH($A68,'Impact Indicators - Section B '!$A$1:$A$82,0))&lt;&gt;0,TEXT(INDEX('Impact Indicators - Section B '!D$1:D$82,MATCH($A68,'Impact Indicators - Section B '!$A$1:$A$82,0)),"#'##0.00"),""),"")&amp;"/"&amp;IFERROR(IF(INDEX('Impact Indicators - Section B '!D$1:D$82,MATCH($A68,'Impact Indicators - Section B '!$A$1:$A$82,0)+1)&lt;&gt;0,TEXT(INDEX('Impact Indicators - Section B '!D$1:D$82,MATCH($A68,'Impact Indicators - Section B '!$A$1:$A$82,0)+1),"#'##0.00"),""),"")&amp;CHAR(10)&amp;IFERROR(IF(INDEX('Impact Indicators - Section B '!E$1:E$82,MATCH($A68,'Impact Indicators - Section B '!$A$1:$A$82,0))&lt;&gt;0,TEXT(INDEX('Impact Indicators - Section B '!E$1:E$82,MATCH($A68,'Impact Indicators - Section B '!$A$1:$A$82,0)),"0.0%"),""),"")</f>
        <v xml:space="preserve">/
</v>
      </c>
      <c r="I68" s="379"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762" t="str">
        <f ca="1">IFERROR(IF(INDEX('Impact Indicators - Section B '!H$1:H$82,MATCH($A68,'Impact Indicators - Section B '!$A$1:$A$82,0))&lt;&gt;0,INDEX('Impact Indicators - Section B '!H$1:H$82,MATCH($A68,'Impact Indicators - Section B '!$A$1:$A$82,0)),""),"")</f>
        <v/>
      </c>
      <c r="K68" s="763"/>
      <c r="L68" s="763"/>
      <c r="M68" s="764"/>
      <c r="N68" s="380" t="str">
        <f ca="1">IFERROR(IF(INDEX('Impact Indicators - Section B '!I$1:I$82,MATCH($A68,'Impact Indicators - Section B '!$A$1:$A$82,0))&lt;&gt;0,INDEX('Impact Indicators - Section B '!I$1:I$82,MATCH($A68,'Impact Indicators - Section B '!$A$1:$A$82,0)),""),"")</f>
        <v/>
      </c>
      <c r="O68" s="379" t="str">
        <f ca="1">IFERROR(IF(INDEX('Impact Indicators - Section B '!J$1:J$82,MATCH($A68,'Impact Indicators - Section B '!$A$1:$A$82,0))&lt;&gt;0,INDEX('Impact Indicators - Section B '!J$1:J$82,MATCH($A68,'Impact Indicators - Section B '!$A$1:$A$82,0)),""),"")</f>
        <v/>
      </c>
      <c r="P68" s="381" t="str">
        <f ca="1">IFERROR(IF(INDEX('Impact Indicators - Section B '!K$1:K$82,MATCH($A68,'Impact Indicators - Section B '!$A$1:$A$82,0))&lt;&gt;0,TEXT(INDEX('Impact Indicators - Section B '!K$1:K$82,MATCH($A68,'Impact Indicators - Section B '!$A$1:$A$82,0)),"#'##0.00"),""),"")&amp;"/"&amp;IFERROR(IF(INDEX('Impact Indicators - Section B '!K$1:K$82,MATCH($A68,'Impact Indicators - Section B '!$A$1:$A$82,0)+1)&lt;&gt;0,TEXT(INDEX('Impact Indicators - Section B '!K$1:K$82,MATCH($A68,'Impact Indicators - Section B '!$A$1:$A$82,0)+1),"#'##0.00"),""),"")&amp;CHAR(10)&amp;IFERROR(IF(INDEX('Impact Indicators - Section B '!L$1:L$82,MATCH($A68,'Impact Indicators - Section B '!$A$1:$A$82,0))&lt;&gt;0,TEXT(INDEX('Impact Indicators - Section B '!L$1:L$82,MATCH($A68,'Impact Indicators - Section B '!$A$1:$A$82,0)),"0.0%"),""),"")&amp;CHAR(10)&amp;IFERROR(IF(INDEX('Impact Indicators - Section B '!N$1:N$82,MATCH($A68,'Impact Indicators - Section B '!$A$1:$A$82,0))&lt;&gt;0,INDEX('Impact Indicators - Section B '!N$1:N$82,MATCH($A68,'Impact Indicators - Section B '!$A$1:$A$82,0)),""),"")&amp;CHAR(10)&amp;IFERROR(IF(INDEX('Impact Indicators - Section B '!M$1:M$82,MATCH($A68,'Impact Indicators - Section B '!$A$1:$A$82,0))&lt;&gt;0,TEXT(INDEX('Impact Indicators - Section B '!M$1:M$82,MATCH($A68,'Impact Indicators - Section B '!$A$1:$A$82,0)),Setup!$A$33),""),"")</f>
        <v xml:space="preserve">/
</v>
      </c>
      <c r="Q68" s="381" t="str">
        <f ca="1">IFERROR(IF(INDEX('Impact Indicators - Section B '!O$1:O$82,MATCH($A68,'Impact Indicators - Section B '!$A$1:$A$82,0))&lt;&gt;0,TEXT(INDEX('Impact Indicators - Section B '!O$1:O$82,MATCH($A68,'Impact Indicators - Section B '!$A$1:$A$82,0)),"#'##0.00"),""),"")&amp;"/"&amp;IFERROR(IF(INDEX('Impact Indicators - Section B '!O$1:O$82,MATCH($A68,'Impact Indicators - Section B '!$A$1:$A$82,0)+1)&lt;&gt;0,TEXT(INDEX('Impact Indicators - Section B '!O$1:O$82,MATCH($A68,'Impact Indicators - Section B '!$A$1:$A$82,0)+1),"#'##0.00"),""),"")&amp;CHAR(10)&amp;IFERROR(IF(INDEX('Impact Indicators - Section B '!P$1:P$82,MATCH($A68,'Impact Indicators - Section B '!$A$1:$A$82,0))&lt;&gt;0,TEXT(INDEX('Impact Indicators - Section B '!P$1:P$82,MATCH($A68,'Impact Indicators - Section B '!$A$1:$A$82,0)),"0.0%"),""),"")&amp;CHAR(10)&amp;IFERROR(IF(INDEX('Impact Indicators - Section B '!R$1:R$82,MATCH($A68,'Impact Indicators - Section B '!$A$1:$A$82,0))&lt;&gt;0,INDEX('Impact Indicators - Section B '!R$1:R$82,MATCH($A68,'Impact Indicators - Section B '!$A$1:$A$82,0)),""),"")&amp;CHAR(10)&amp;IFERROR(IF(INDEX('Impact Indicators - Section B '!Q$1:Q$82,MATCH($A68,'Impact Indicators - Section B '!$A$1:$A$82,0))&lt;&gt;0,TEXT(INDEX('Impact Indicators - Section B '!Q$1:Q$82,MATCH($A68,'Impact Indicators - Section B '!$A$1:$A$82,0)),Setup!$A$33),""),"")</f>
        <v xml:space="preserve">/
</v>
      </c>
      <c r="R68" s="381" t="str">
        <f ca="1">IFERROR(IF(INDEX('Impact Indicators - Section B '!S$1:S$82,MATCH($A68,'Impact Indicators - Section B '!$A$1:$A$82,0))&lt;&gt;0,TEXT(INDEX('Impact Indicators - Section B '!S$1:S$82,MATCH($A68,'Impact Indicators - Section B '!$A$1:$A$82,0)),"#'##0.00"),""),"")&amp;"/"&amp;IFERROR(IF(INDEX('Impact Indicators - Section B '!S$1:S$82,MATCH($A68,'Impact Indicators - Section B '!$A$1:$A$82,0)+1)&lt;&gt;0,TEXT(INDEX('Impact Indicators - Section B '!S$1:S$82,MATCH($A68,'Impact Indicators - Section B '!$A$1:$A$82,0)+1),"#'##0.00"),""),"")&amp;CHAR(10)&amp;IFERROR(IF(INDEX('Impact Indicators - Section B '!T$1:T$82,MATCH($A68,'Impact Indicators - Section B '!$A$1:$A$82,0))&lt;&gt;0,TEXT(INDEX('Impact Indicators - Section B '!T$1:T$82,MATCH($A68,'Impact Indicators - Section B '!$A$1:$A$82,0)),"0.0%"),""),"")&amp;CHAR(10)&amp;IFERROR(IF(INDEX('Impact Indicators - Section B '!V$1:V$82,MATCH($A68,'Impact Indicators - Section B '!$A$1:$A$82,0))&lt;&gt;0,TEXT(INDEX('Impact Indicators - Section B '!V$1:V$82,MATCH($A68,'Impact Indicators - Section B '!$A$1:$A$82,0)),Setup!$A$33),""),"")&amp;CHAR(10)&amp;IFERROR(IF(INDEX('Impact Indicators - Section B '!U$1:U$82,MATCH($A68,'Impact Indicators - Section B '!$A$1:$A$82,0))&lt;&gt;0,TEXT(INDEX('Impact Indicators - Section B '!U$1:U$82,MATCH($A68,'Impact Indicators - Section B '!$A$1:$A$82,0)),Setup!$A$33),""),"")</f>
        <v xml:space="preserve">/
</v>
      </c>
      <c r="S68" s="381" t="str">
        <f ca="1">IFERROR(IF(INDEX('Impact Indicators - Section B '!W$1:W$82,MATCH($A68,'Impact Indicators - Section B '!$A$1:$A$82,0))&lt;&gt;0,TEXT(INDEX('Impact Indicators - Section B '!W$1:W$82,MATCH($A68,'Impact Indicators - Section B '!$A$1:$A$82,0)),"#'##0.00"),""),"")&amp;"/"&amp;IFERROR(IF(INDEX('Impact Indicators - Section B '!W$1:W$82,MATCH($A68,'Impact Indicators - Section B '!$A$1:$A$82,0)+1)&lt;&gt;0,TEXT(INDEX('Impact Indicators - Section B '!W$1:W$82,MATCH($A68,'Impact Indicators - Section B '!$A$1:$A$82,0)+1),"#'##0.00"),""),"")&amp;CHAR(10)&amp;IFERROR(IF(INDEX('Impact Indicators - Section B '!X$1:X$82,MATCH($A68,'Impact Indicators - Section B '!$A$1:$A$82,0))&lt;&gt;0,TEXT(INDEX('Impact Indicators - Section B '!X$1:X$82,MATCH($A68,'Impact Indicators - Section B '!$A$1:$A$82,0)),"0.0%"),""),"")&amp;CHAR(10)&amp;IFERROR(IF(INDEX('Impact Indicators - Section B '!Z$1:Z$82,MATCH($A68,'Impact Indicators - Section B '!$A$1:$A$82,0))&lt;&gt;0,INDEX('Impact Indicators - Section B '!Z$1:Z$82,MATCH($A68,'Impact Indicators - Section B '!$A$1:$A$82,0)),""),"")&amp;CHAR(10)&amp;IFERROR(IF(INDEX('Impact Indicators - Section B '!Y$1:Y$82,MATCH($A68,'Impact Indicators - Section B '!$A$1:$A$82,0))&lt;&gt;0,TEXT(INDEX('Impact Indicators - Section B '!Y$1:Y$82,MATCH($A68,'Impact Indicators - Section B '!$A$1:$A$82,0)),Setup!$A$33),""),"")</f>
        <v xml:space="preserve">/
</v>
      </c>
      <c r="T68" s="382"/>
      <c r="U68" s="216"/>
      <c r="V68" s="216"/>
      <c r="W68" s="216"/>
      <c r="X68" s="216"/>
      <c r="Y68" s="216"/>
      <c r="Z68" s="216"/>
      <c r="AA68" s="216"/>
      <c r="AB68" s="216"/>
      <c r="AC68" s="216"/>
      <c r="AD68" s="216"/>
      <c r="AE68" s="216"/>
      <c r="AF68" s="216"/>
      <c r="AG68" s="216"/>
      <c r="AH68" s="216"/>
      <c r="AI68" s="216"/>
      <c r="AJ68" s="216"/>
      <c r="AK68" s="216"/>
      <c r="AL68" s="216"/>
      <c r="AM68" s="216"/>
      <c r="AN68" s="216"/>
      <c r="AO68" s="216" t="str">
        <f ca="1">IFERROR(IF(INDEX('Impact Indicators - Section B '!AA$1:AA$82,MATCH($A68,'Impact Indicators - Section B '!$A$1:$A$82,0))&lt;&gt;0,INDEX('Impact Indicators - Section B '!AA$1:AA$82,MATCH($A68,'Impact Indicators - Section B '!$A$1:$A$82,0)),""),"")</f>
        <v/>
      </c>
      <c r="AP68" s="216"/>
      <c r="AQ68" s="216"/>
      <c r="AR68" s="216"/>
      <c r="AS68" s="216"/>
      <c r="AT68" s="216" t="str">
        <f>CONCATENATE($A68,J$52)</f>
        <v>8</v>
      </c>
      <c r="AU68" s="216" t="str">
        <f>CONCATENATE($A68,O$52)</f>
        <v>8</v>
      </c>
      <c r="AV68" s="216"/>
      <c r="AW68" s="216" t="str">
        <f t="shared" ref="AW68" si="12">CONCATENATE($A68,X$52)</f>
        <v>8</v>
      </c>
      <c r="AX68" s="216" t="str">
        <f t="shared" ref="AX68" si="13">CONCATENATE($A68,AB$52)</f>
        <v>8</v>
      </c>
      <c r="AY68" s="216"/>
      <c r="AZ68" s="216"/>
      <c r="BA68" s="216"/>
      <c r="BB68" s="216"/>
      <c r="BC68" s="383"/>
    </row>
    <row r="69" spans="1:55" s="384" customFormat="1" ht="100.2" customHeight="1" x14ac:dyDescent="0.4">
      <c r="A69" s="747"/>
      <c r="B69" s="717" t="str">
        <f ca="1">IFERROR(IF(INDEX('Impact Indicators - Section B '!AA$1:AA$82,MATCH($A68,'Impact Indicators - Section B '!$A$1:$A$82,0))&lt;&gt;0,INDEX('Impact Indicators - Section B '!AA$1:AA$82,MATCH($A68,'Impact Indicators - Section B '!$A$1:$A$82,0)),""),"")</f>
        <v/>
      </c>
      <c r="C69" s="718"/>
      <c r="D69" s="718"/>
      <c r="E69" s="718"/>
      <c r="F69" s="718"/>
      <c r="G69" s="718"/>
      <c r="H69" s="718"/>
      <c r="I69" s="719"/>
      <c r="J69" s="719"/>
      <c r="K69" s="719"/>
      <c r="L69" s="719"/>
      <c r="M69" s="719"/>
      <c r="N69" s="719"/>
      <c r="O69" s="719"/>
      <c r="P69" s="719"/>
      <c r="Q69" s="719"/>
      <c r="R69" s="719"/>
      <c r="S69" s="720"/>
      <c r="T69" s="385"/>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383"/>
    </row>
    <row r="70" spans="1:55" s="384" customFormat="1" ht="145.19999999999999" customHeight="1" x14ac:dyDescent="0.4">
      <c r="A70" s="747">
        <v>9</v>
      </c>
      <c r="B70" s="762" t="str">
        <f ca="1">IFERROR(IF(INDEX('Impact Indicators - Section B '!B$1:B$82,MATCH($A70,'Impact Indicators - Section B '!$A$1:$A$82,0))&lt;&gt;0,INDEX('Impact Indicators - Section B '!B$1:B$82,MATCH($A70,'Impact Indicators - Section B '!$A$1:$A$82,0)),""),"")</f>
        <v/>
      </c>
      <c r="C70" s="763"/>
      <c r="D70" s="764"/>
      <c r="E70" s="762" t="str">
        <f ca="1">IFERROR(IF(INDEX('Impact Indicators - Section B '!C$1:C$82,MATCH($A70,'Impact Indicators - Section B '!$A$1:$A$82,0))&lt;&gt;0,INDEX('Impact Indicators - Section B '!C$1:C$82,MATCH($A70,'Impact Indicators - Section B '!$A$1:$A$82,0)),""),"")</f>
        <v/>
      </c>
      <c r="F70" s="763"/>
      <c r="G70" s="764"/>
      <c r="H70" s="378" t="str">
        <f ca="1">IFERROR(IF(INDEX('Impact Indicators - Section B '!D$1:D$82,MATCH($A70,'Impact Indicators - Section B '!$A$1:$A$82,0))&lt;&gt;0,TEXT(INDEX('Impact Indicators - Section B '!D$1:D$82,MATCH($A70,'Impact Indicators - Section B '!$A$1:$A$82,0)),"#'##0.00"),""),"")&amp;"/"&amp;IFERROR(IF(INDEX('Impact Indicators - Section B '!D$1:D$82,MATCH($A70,'Impact Indicators - Section B '!$A$1:$A$82,0)+1)&lt;&gt;0,TEXT(INDEX('Impact Indicators - Section B '!D$1:D$82,MATCH($A70,'Impact Indicators - Section B '!$A$1:$A$82,0)+1),"#'##0.00"),""),"")&amp;CHAR(10)&amp;IFERROR(IF(INDEX('Impact Indicators - Section B '!E$1:E$82,MATCH($A70,'Impact Indicators - Section B '!$A$1:$A$82,0))&lt;&gt;0,TEXT(INDEX('Impact Indicators - Section B '!E$1:E$82,MATCH($A70,'Impact Indicators - Section B '!$A$1:$A$82,0)),"0.0%"),""),"")</f>
        <v xml:space="preserve">/
</v>
      </c>
      <c r="I70" s="379"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762" t="str">
        <f ca="1">IFERROR(IF(INDEX('Impact Indicators - Section B '!H$1:H$82,MATCH($A70,'Impact Indicators - Section B '!$A$1:$A$82,0))&lt;&gt;0,INDEX('Impact Indicators - Section B '!H$1:H$82,MATCH($A70,'Impact Indicators - Section B '!$A$1:$A$82,0)),""),"")</f>
        <v/>
      </c>
      <c r="K70" s="763"/>
      <c r="L70" s="763"/>
      <c r="M70" s="764"/>
      <c r="N70" s="380" t="str">
        <f ca="1">IFERROR(IF(INDEX('Impact Indicators - Section B '!I$1:I$82,MATCH($A70,'Impact Indicators - Section B '!$A$1:$A$82,0))&lt;&gt;0,INDEX('Impact Indicators - Section B '!I$1:I$82,MATCH($A70,'Impact Indicators - Section B '!$A$1:$A$82,0)),""),"")</f>
        <v/>
      </c>
      <c r="O70" s="379" t="str">
        <f ca="1">IFERROR(IF(INDEX('Impact Indicators - Section B '!J$1:J$82,MATCH($A70,'Impact Indicators - Section B '!$A$1:$A$82,0))&lt;&gt;0,INDEX('Impact Indicators - Section B '!J$1:J$82,MATCH($A70,'Impact Indicators - Section B '!$A$1:$A$82,0)),""),"")</f>
        <v/>
      </c>
      <c r="P70" s="381" t="str">
        <f ca="1">IFERROR(IF(INDEX('Impact Indicators - Section B '!K$1:K$82,MATCH($A70,'Impact Indicators - Section B '!$A$1:$A$82,0))&lt;&gt;0,TEXT(INDEX('Impact Indicators - Section B '!K$1:K$82,MATCH($A70,'Impact Indicators - Section B '!$A$1:$A$82,0)),"#'##0.00"),""),"")&amp;"/"&amp;IFERROR(IF(INDEX('Impact Indicators - Section B '!K$1:K$82,MATCH($A70,'Impact Indicators - Section B '!$A$1:$A$82,0)+1)&lt;&gt;0,TEXT(INDEX('Impact Indicators - Section B '!K$1:K$82,MATCH($A70,'Impact Indicators - Section B '!$A$1:$A$82,0)+1),"#'##0.00"),""),"")&amp;CHAR(10)&amp;IFERROR(IF(INDEX('Impact Indicators - Section B '!L$1:L$82,MATCH($A70,'Impact Indicators - Section B '!$A$1:$A$82,0))&lt;&gt;0,TEXT(INDEX('Impact Indicators - Section B '!L$1:L$82,MATCH($A70,'Impact Indicators - Section B '!$A$1:$A$82,0)),"0.0%"),""),"")&amp;CHAR(10)&amp;IFERROR(IF(INDEX('Impact Indicators - Section B '!N$1:N$82,MATCH($A70,'Impact Indicators - Section B '!$A$1:$A$82,0))&lt;&gt;0,INDEX('Impact Indicators - Section B '!N$1:N$82,MATCH($A70,'Impact Indicators - Section B '!$A$1:$A$82,0)),""),"")&amp;CHAR(10)&amp;IFERROR(IF(INDEX('Impact Indicators - Section B '!M$1:M$82,MATCH($A70,'Impact Indicators - Section B '!$A$1:$A$82,0))&lt;&gt;0,TEXT(INDEX('Impact Indicators - Section B '!M$1:M$82,MATCH($A70,'Impact Indicators - Section B '!$A$1:$A$82,0)),Setup!$A$33),""),"")</f>
        <v xml:space="preserve">/
</v>
      </c>
      <c r="Q70" s="381" t="str">
        <f ca="1">IFERROR(IF(INDEX('Impact Indicators - Section B '!O$1:O$82,MATCH($A70,'Impact Indicators - Section B '!$A$1:$A$82,0))&lt;&gt;0,TEXT(INDEX('Impact Indicators - Section B '!O$1:O$82,MATCH($A70,'Impact Indicators - Section B '!$A$1:$A$82,0)),"#'##0.00"),""),"")&amp;"/"&amp;IFERROR(IF(INDEX('Impact Indicators - Section B '!O$1:O$82,MATCH($A70,'Impact Indicators - Section B '!$A$1:$A$82,0)+1)&lt;&gt;0,TEXT(INDEX('Impact Indicators - Section B '!O$1:O$82,MATCH($A70,'Impact Indicators - Section B '!$A$1:$A$82,0)+1),"#'##0.00"),""),"")&amp;CHAR(10)&amp;IFERROR(IF(INDEX('Impact Indicators - Section B '!P$1:P$82,MATCH($A70,'Impact Indicators - Section B '!$A$1:$A$82,0))&lt;&gt;0,TEXT(INDEX('Impact Indicators - Section B '!P$1:P$82,MATCH($A70,'Impact Indicators - Section B '!$A$1:$A$82,0)),"0.0%"),""),"")&amp;CHAR(10)&amp;IFERROR(IF(INDEX('Impact Indicators - Section B '!R$1:R$82,MATCH($A70,'Impact Indicators - Section B '!$A$1:$A$82,0))&lt;&gt;0,INDEX('Impact Indicators - Section B '!R$1:R$82,MATCH($A70,'Impact Indicators - Section B '!$A$1:$A$82,0)),""),"")&amp;CHAR(10)&amp;IFERROR(IF(INDEX('Impact Indicators - Section B '!Q$1:Q$82,MATCH($A70,'Impact Indicators - Section B '!$A$1:$A$82,0))&lt;&gt;0,TEXT(INDEX('Impact Indicators - Section B '!Q$1:Q$82,MATCH($A70,'Impact Indicators - Section B '!$A$1:$A$82,0)),Setup!$A$33),""),"")</f>
        <v xml:space="preserve">/
</v>
      </c>
      <c r="R70" s="381" t="str">
        <f ca="1">IFERROR(IF(INDEX('Impact Indicators - Section B '!S$1:S$82,MATCH($A70,'Impact Indicators - Section B '!$A$1:$A$82,0))&lt;&gt;0,TEXT(INDEX('Impact Indicators - Section B '!S$1:S$82,MATCH($A70,'Impact Indicators - Section B '!$A$1:$A$82,0)),"#'##0.00"),""),"")&amp;"/"&amp;IFERROR(IF(INDEX('Impact Indicators - Section B '!S$1:S$82,MATCH($A70,'Impact Indicators - Section B '!$A$1:$A$82,0)+1)&lt;&gt;0,TEXT(INDEX('Impact Indicators - Section B '!S$1:S$82,MATCH($A70,'Impact Indicators - Section B '!$A$1:$A$82,0)+1),"#'##0.00"),""),"")&amp;CHAR(10)&amp;IFERROR(IF(INDEX('Impact Indicators - Section B '!T$1:T$82,MATCH($A70,'Impact Indicators - Section B '!$A$1:$A$82,0))&lt;&gt;0,TEXT(INDEX('Impact Indicators - Section B '!T$1:T$82,MATCH($A70,'Impact Indicators - Section B '!$A$1:$A$82,0)),"0.0%"),""),"")&amp;CHAR(10)&amp;IFERROR(IF(INDEX('Impact Indicators - Section B '!V$1:V$82,MATCH($A70,'Impact Indicators - Section B '!$A$1:$A$82,0))&lt;&gt;0,TEXT(INDEX('Impact Indicators - Section B '!V$1:V$82,MATCH($A70,'Impact Indicators - Section B '!$A$1:$A$82,0)),Setup!$A$33),""),"")&amp;CHAR(10)&amp;IFERROR(IF(INDEX('Impact Indicators - Section B '!U$1:U$82,MATCH($A70,'Impact Indicators - Section B '!$A$1:$A$82,0))&lt;&gt;0,TEXT(INDEX('Impact Indicators - Section B '!U$1:U$82,MATCH($A70,'Impact Indicators - Section B '!$A$1:$A$82,0)),Setup!$A$33),""),"")</f>
        <v xml:space="preserve">/
</v>
      </c>
      <c r="S70" s="381" t="str">
        <f ca="1">IFERROR(IF(INDEX('Impact Indicators - Section B '!W$1:W$82,MATCH($A70,'Impact Indicators - Section B '!$A$1:$A$82,0))&lt;&gt;0,TEXT(INDEX('Impact Indicators - Section B '!W$1:W$82,MATCH($A70,'Impact Indicators - Section B '!$A$1:$A$82,0)),"#'##0.00"),""),"")&amp;"/"&amp;IFERROR(IF(INDEX('Impact Indicators - Section B '!W$1:W$82,MATCH($A70,'Impact Indicators - Section B '!$A$1:$A$82,0)+1)&lt;&gt;0,TEXT(INDEX('Impact Indicators - Section B '!W$1:W$82,MATCH($A70,'Impact Indicators - Section B '!$A$1:$A$82,0)+1),"#'##0.00"),""),"")&amp;CHAR(10)&amp;IFERROR(IF(INDEX('Impact Indicators - Section B '!X$1:X$82,MATCH($A70,'Impact Indicators - Section B '!$A$1:$A$82,0))&lt;&gt;0,TEXT(INDEX('Impact Indicators - Section B '!X$1:X$82,MATCH($A70,'Impact Indicators - Section B '!$A$1:$A$82,0)),"0.0%"),""),"")&amp;CHAR(10)&amp;IFERROR(IF(INDEX('Impact Indicators - Section B '!Z$1:Z$82,MATCH($A70,'Impact Indicators - Section B '!$A$1:$A$82,0))&lt;&gt;0,INDEX('Impact Indicators - Section B '!Z$1:Z$82,MATCH($A70,'Impact Indicators - Section B '!$A$1:$A$82,0)),""),"")&amp;CHAR(10)&amp;IFERROR(IF(INDEX('Impact Indicators - Section B '!Y$1:Y$82,MATCH($A70,'Impact Indicators - Section B '!$A$1:$A$82,0))&lt;&gt;0,TEXT(INDEX('Impact Indicators - Section B '!Y$1:Y$82,MATCH($A70,'Impact Indicators - Section B '!$A$1:$A$82,0)),Setup!$A$33),""),"")</f>
        <v xml:space="preserve">/
</v>
      </c>
      <c r="T70" s="382"/>
      <c r="U70" s="216"/>
      <c r="V70" s="216"/>
      <c r="W70" s="216"/>
      <c r="X70" s="216"/>
      <c r="Y70" s="216"/>
      <c r="Z70" s="216"/>
      <c r="AA70" s="216"/>
      <c r="AB70" s="216"/>
      <c r="AC70" s="216"/>
      <c r="AD70" s="216"/>
      <c r="AE70" s="216"/>
      <c r="AF70" s="216"/>
      <c r="AG70" s="216"/>
      <c r="AH70" s="216"/>
      <c r="AI70" s="216"/>
      <c r="AJ70" s="216"/>
      <c r="AK70" s="216"/>
      <c r="AL70" s="216"/>
      <c r="AM70" s="216"/>
      <c r="AN70" s="216"/>
      <c r="AO70" s="216" t="str">
        <f ca="1">IFERROR(IF(INDEX('Impact Indicators - Section B '!AA$1:AA$82,MATCH($A70,'Impact Indicators - Section B '!$A$1:$A$82,0))&lt;&gt;0,INDEX('Impact Indicators - Section B '!AA$1:AA$82,MATCH($A70,'Impact Indicators - Section B '!$A$1:$A$82,0)),""),"")</f>
        <v/>
      </c>
      <c r="AP70" s="216"/>
      <c r="AQ70" s="216"/>
      <c r="AR70" s="216"/>
      <c r="AS70" s="216"/>
      <c r="AT70" s="216" t="str">
        <f>CONCATENATE($A70,J$52)</f>
        <v>9</v>
      </c>
      <c r="AU70" s="216" t="str">
        <f>CONCATENATE($A70,O$52)</f>
        <v>9</v>
      </c>
      <c r="AV70" s="216"/>
      <c r="AW70" s="216" t="str">
        <f t="shared" ref="AW70" si="14">CONCATENATE($A70,X$52)</f>
        <v>9</v>
      </c>
      <c r="AX70" s="216" t="str">
        <f t="shared" ref="AX70" si="15">CONCATENATE($A70,AB$52)</f>
        <v>9</v>
      </c>
      <c r="AY70" s="216"/>
      <c r="AZ70" s="216"/>
      <c r="BA70" s="216"/>
      <c r="BB70" s="216"/>
      <c r="BC70" s="383"/>
    </row>
    <row r="71" spans="1:55" s="384" customFormat="1" ht="100.2" customHeight="1" x14ac:dyDescent="0.4">
      <c r="A71" s="747"/>
      <c r="B71" s="765" t="str">
        <f ca="1">IFERROR(IF(INDEX('Impact Indicators - Section B '!AA$1:AA$82,MATCH($A70,'Impact Indicators - Section B '!$A$1:$A$82,0))&lt;&gt;0,INDEX('Impact Indicators - Section B '!AA$1:AA$82,MATCH($A70,'Impact Indicators - Section B '!$A$1:$A$82,0)),""),"")</f>
        <v/>
      </c>
      <c r="C71" s="766"/>
      <c r="D71" s="766"/>
      <c r="E71" s="766"/>
      <c r="F71" s="766"/>
      <c r="G71" s="766"/>
      <c r="H71" s="766"/>
      <c r="I71" s="766"/>
      <c r="J71" s="766"/>
      <c r="K71" s="766"/>
      <c r="L71" s="766"/>
      <c r="M71" s="766"/>
      <c r="N71" s="766"/>
      <c r="O71" s="766"/>
      <c r="P71" s="766"/>
      <c r="Q71" s="766"/>
      <c r="R71" s="766"/>
      <c r="S71" s="767"/>
      <c r="T71" s="385"/>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383"/>
    </row>
    <row r="72" spans="1:55" s="384" customFormat="1" ht="145.19999999999999" customHeight="1" x14ac:dyDescent="0.4">
      <c r="A72" s="747">
        <v>10</v>
      </c>
      <c r="B72" s="762" t="str">
        <f ca="1">IFERROR(IF(INDEX('Impact Indicators - Section B '!B$1:B$82,MATCH($A72,'Impact Indicators - Section B '!$A$1:$A$82,0))&lt;&gt;0,INDEX('Impact Indicators - Section B '!B$1:B$82,MATCH($A72,'Impact Indicators - Section B '!$A$1:$A$82,0)),""),"")</f>
        <v/>
      </c>
      <c r="C72" s="763"/>
      <c r="D72" s="764"/>
      <c r="E72" s="762" t="str">
        <f ca="1">IFERROR(IF(INDEX('Impact Indicators - Section B '!C$1:C$82,MATCH($A72,'Impact Indicators - Section B '!$A$1:$A$82,0))&lt;&gt;0,INDEX('Impact Indicators - Section B '!C$1:C$82,MATCH($A72,'Impact Indicators - Section B '!$A$1:$A$82,0)),""),"")</f>
        <v/>
      </c>
      <c r="F72" s="763"/>
      <c r="G72" s="764"/>
      <c r="H72" s="378" t="str">
        <f ca="1">IFERROR(IF(INDEX('Impact Indicators - Section B '!D$1:D$82,MATCH($A72,'Impact Indicators - Section B '!$A$1:$A$82,0))&lt;&gt;0,TEXT(INDEX('Impact Indicators - Section B '!D$1:D$82,MATCH($A72,'Impact Indicators - Section B '!$A$1:$A$82,0)),"#'##0.00"),""),"")&amp;"/"&amp;IFERROR(IF(INDEX('Impact Indicators - Section B '!D$1:D$82,MATCH($A72,'Impact Indicators - Section B '!$A$1:$A$82,0)+1)&lt;&gt;0,TEXT(INDEX('Impact Indicators - Section B '!D$1:D$82,MATCH($A72,'Impact Indicators - Section B '!$A$1:$A$82,0)+1),"#'##0.00"),""),"")&amp;CHAR(10)&amp;IFERROR(IF(INDEX('Impact Indicators - Section B '!E$1:E$82,MATCH($A72,'Impact Indicators - Section B '!$A$1:$A$82,0))&lt;&gt;0,TEXT(INDEX('Impact Indicators - Section B '!E$1:E$82,MATCH($A72,'Impact Indicators - Section B '!$A$1:$A$82,0)),"0.0%"),""),"")</f>
        <v xml:space="preserve">/
</v>
      </c>
      <c r="I72" s="379"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762" t="str">
        <f ca="1">IFERROR(IF(INDEX('Impact Indicators - Section B '!H$1:H$82,MATCH($A72,'Impact Indicators - Section B '!$A$1:$A$82,0))&lt;&gt;0,INDEX('Impact Indicators - Section B '!H$1:H$82,MATCH($A72,'Impact Indicators - Section B '!$A$1:$A$82,0)),""),"")</f>
        <v/>
      </c>
      <c r="K72" s="763"/>
      <c r="L72" s="763"/>
      <c r="M72" s="764"/>
      <c r="N72" s="380" t="str">
        <f ca="1">IFERROR(IF(INDEX('Impact Indicators - Section B '!I$1:I$82,MATCH($A72,'Impact Indicators - Section B '!$A$1:$A$82,0))&lt;&gt;0,INDEX('Impact Indicators - Section B '!I$1:I$82,MATCH($A72,'Impact Indicators - Section B '!$A$1:$A$82,0)),""),"")</f>
        <v/>
      </c>
      <c r="O72" s="379" t="str">
        <f ca="1">IFERROR(IF(INDEX('Impact Indicators - Section B '!J$1:J$82,MATCH($A72,'Impact Indicators - Section B '!$A$1:$A$82,0))&lt;&gt;0,INDEX('Impact Indicators - Section B '!J$1:J$82,MATCH($A72,'Impact Indicators - Section B '!$A$1:$A$82,0)),""),"")</f>
        <v/>
      </c>
      <c r="P72" s="381" t="str">
        <f ca="1">IFERROR(IF(INDEX('Impact Indicators - Section B '!K$1:K$82,MATCH($A72,'Impact Indicators - Section B '!$A$1:$A$82,0))&lt;&gt;0,TEXT(INDEX('Impact Indicators - Section B '!K$1:K$82,MATCH($A72,'Impact Indicators - Section B '!$A$1:$A$82,0)),"#'##0.00"),""),"")&amp;"/"&amp;IFERROR(IF(INDEX('Impact Indicators - Section B '!K$1:K$82,MATCH($A72,'Impact Indicators - Section B '!$A$1:$A$82,0)+1)&lt;&gt;0,TEXT(INDEX('Impact Indicators - Section B '!K$1:K$82,MATCH($A72,'Impact Indicators - Section B '!$A$1:$A$82,0)+1),"#'##0.00"),""),"")&amp;CHAR(10)&amp;IFERROR(IF(INDEX('Impact Indicators - Section B '!L$1:L$82,MATCH($A72,'Impact Indicators - Section B '!$A$1:$A$82,0))&lt;&gt;0,TEXT(INDEX('Impact Indicators - Section B '!L$1:L$82,MATCH($A72,'Impact Indicators - Section B '!$A$1:$A$82,0)),"0.0%"),""),"")&amp;CHAR(10)&amp;IFERROR(IF(INDEX('Impact Indicators - Section B '!N$1:N$82,MATCH($A72,'Impact Indicators - Section B '!$A$1:$A$82,0))&lt;&gt;0,INDEX('Impact Indicators - Section B '!N$1:N$82,MATCH($A72,'Impact Indicators - Section B '!$A$1:$A$82,0)),""),"")&amp;CHAR(10)&amp;IFERROR(IF(INDEX('Impact Indicators - Section B '!M$1:M$82,MATCH($A72,'Impact Indicators - Section B '!$A$1:$A$82,0))&lt;&gt;0,TEXT(INDEX('Impact Indicators - Section B '!M$1:M$82,MATCH($A72,'Impact Indicators - Section B '!$A$1:$A$82,0)),Setup!$A$33),""),"")</f>
        <v xml:space="preserve">/
</v>
      </c>
      <c r="Q72" s="381" t="str">
        <f ca="1">IFERROR(IF(INDEX('Impact Indicators - Section B '!O$1:O$82,MATCH($A72,'Impact Indicators - Section B '!$A$1:$A$82,0))&lt;&gt;0,TEXT(INDEX('Impact Indicators - Section B '!O$1:O$82,MATCH($A72,'Impact Indicators - Section B '!$A$1:$A$82,0)),"#'##0.00"),""),"")&amp;"/"&amp;IFERROR(IF(INDEX('Impact Indicators - Section B '!O$1:O$82,MATCH($A72,'Impact Indicators - Section B '!$A$1:$A$82,0)+1)&lt;&gt;0,TEXT(INDEX('Impact Indicators - Section B '!O$1:O$82,MATCH($A72,'Impact Indicators - Section B '!$A$1:$A$82,0)+1),"#'##0.00"),""),"")&amp;CHAR(10)&amp;IFERROR(IF(INDEX('Impact Indicators - Section B '!P$1:P$82,MATCH($A72,'Impact Indicators - Section B '!$A$1:$A$82,0))&lt;&gt;0,TEXT(INDEX('Impact Indicators - Section B '!P$1:P$82,MATCH($A72,'Impact Indicators - Section B '!$A$1:$A$82,0)),"0.0%"),""),"")&amp;CHAR(10)&amp;IFERROR(IF(INDEX('Impact Indicators - Section B '!R$1:R$82,MATCH($A72,'Impact Indicators - Section B '!$A$1:$A$82,0))&lt;&gt;0,INDEX('Impact Indicators - Section B '!R$1:R$82,MATCH($A72,'Impact Indicators - Section B '!$A$1:$A$82,0)),""),"")&amp;CHAR(10)&amp;IFERROR(IF(INDEX('Impact Indicators - Section B '!Q$1:Q$82,MATCH($A72,'Impact Indicators - Section B '!$A$1:$A$82,0))&lt;&gt;0,TEXT(INDEX('Impact Indicators - Section B '!Q$1:Q$82,MATCH($A72,'Impact Indicators - Section B '!$A$1:$A$82,0)),Setup!$A$33),""),"")</f>
        <v xml:space="preserve">/
</v>
      </c>
      <c r="R72" s="381" t="str">
        <f ca="1">IFERROR(IF(INDEX('Impact Indicators - Section B '!S$1:S$82,MATCH($A72,'Impact Indicators - Section B '!$A$1:$A$82,0))&lt;&gt;0,TEXT(INDEX('Impact Indicators - Section B '!S$1:S$82,MATCH($A72,'Impact Indicators - Section B '!$A$1:$A$82,0)),"#'##0.00"),""),"")&amp;"/"&amp;IFERROR(IF(INDEX('Impact Indicators - Section B '!S$1:S$82,MATCH($A72,'Impact Indicators - Section B '!$A$1:$A$82,0)+1)&lt;&gt;0,TEXT(INDEX('Impact Indicators - Section B '!S$1:S$82,MATCH($A72,'Impact Indicators - Section B '!$A$1:$A$82,0)+1),"#'##0.00"),""),"")&amp;CHAR(10)&amp;IFERROR(IF(INDEX('Impact Indicators - Section B '!T$1:T$82,MATCH($A72,'Impact Indicators - Section B '!$A$1:$A$82,0))&lt;&gt;0,TEXT(INDEX('Impact Indicators - Section B '!T$1:T$82,MATCH($A72,'Impact Indicators - Section B '!$A$1:$A$82,0)),"0.0%"),""),"")&amp;CHAR(10)&amp;IFERROR(IF(INDEX('Impact Indicators - Section B '!V$1:V$82,MATCH($A72,'Impact Indicators - Section B '!$A$1:$A$82,0))&lt;&gt;0,TEXT(INDEX('Impact Indicators - Section B '!V$1:V$82,MATCH($A72,'Impact Indicators - Section B '!$A$1:$A$82,0)),Setup!$A$33),""),"")&amp;CHAR(10)&amp;IFERROR(IF(INDEX('Impact Indicators - Section B '!U$1:U$82,MATCH($A72,'Impact Indicators - Section B '!$A$1:$A$82,0))&lt;&gt;0,TEXT(INDEX('Impact Indicators - Section B '!U$1:U$82,MATCH($A72,'Impact Indicators - Section B '!$A$1:$A$82,0)),Setup!$A$33),""),"")</f>
        <v xml:space="preserve">/
</v>
      </c>
      <c r="S72" s="381" t="str">
        <f ca="1">IFERROR(IF(INDEX('Impact Indicators - Section B '!W$1:W$82,MATCH($A72,'Impact Indicators - Section B '!$A$1:$A$82,0))&lt;&gt;0,TEXT(INDEX('Impact Indicators - Section B '!W$1:W$82,MATCH($A72,'Impact Indicators - Section B '!$A$1:$A$82,0)),"#'##0.00"),""),"")&amp;"/"&amp;IFERROR(IF(INDEX('Impact Indicators - Section B '!W$1:W$82,MATCH($A72,'Impact Indicators - Section B '!$A$1:$A$82,0)+1)&lt;&gt;0,TEXT(INDEX('Impact Indicators - Section B '!W$1:W$82,MATCH($A72,'Impact Indicators - Section B '!$A$1:$A$82,0)+1),"#'##0.00"),""),"")&amp;CHAR(10)&amp;IFERROR(IF(INDEX('Impact Indicators - Section B '!X$1:X$82,MATCH($A72,'Impact Indicators - Section B '!$A$1:$A$82,0))&lt;&gt;0,TEXT(INDEX('Impact Indicators - Section B '!X$1:X$82,MATCH($A72,'Impact Indicators - Section B '!$A$1:$A$82,0)),"0.0%"),""),"")&amp;CHAR(10)&amp;IFERROR(IF(INDEX('Impact Indicators - Section B '!Z$1:Z$82,MATCH($A72,'Impact Indicators - Section B '!$A$1:$A$82,0))&lt;&gt;0,INDEX('Impact Indicators - Section B '!Z$1:Z$82,MATCH($A72,'Impact Indicators - Section B '!$A$1:$A$82,0)),""),"")&amp;CHAR(10)&amp;IFERROR(IF(INDEX('Impact Indicators - Section B '!Y$1:Y$82,MATCH($A72,'Impact Indicators - Section B '!$A$1:$A$82,0))&lt;&gt;0,TEXT(INDEX('Impact Indicators - Section B '!Y$1:Y$82,MATCH($A72,'Impact Indicators - Section B '!$A$1:$A$82,0)),Setup!$A$33),""),"")</f>
        <v xml:space="preserve">/
</v>
      </c>
      <c r="T72" s="382"/>
      <c r="U72" s="216"/>
      <c r="V72" s="216"/>
      <c r="W72" s="216"/>
      <c r="X72" s="216"/>
      <c r="Y72" s="216"/>
      <c r="Z72" s="216"/>
      <c r="AA72" s="216"/>
      <c r="AB72" s="216"/>
      <c r="AC72" s="216"/>
      <c r="AD72" s="216"/>
      <c r="AE72" s="216"/>
      <c r="AF72" s="216"/>
      <c r="AG72" s="216"/>
      <c r="AH72" s="216"/>
      <c r="AI72" s="216"/>
      <c r="AJ72" s="216"/>
      <c r="AK72" s="216"/>
      <c r="AL72" s="216"/>
      <c r="AM72" s="216"/>
      <c r="AN72" s="216"/>
      <c r="AO72" s="216" t="str">
        <f ca="1">IFERROR(IF(INDEX('Impact Indicators - Section B '!AA$1:AA$82,MATCH($A72,'Impact Indicators - Section B '!$A$1:$A$82,0))&lt;&gt;0,INDEX('Impact Indicators - Section B '!AA$1:AA$82,MATCH($A72,'Impact Indicators - Section B '!$A$1:$A$82,0)),""),"")</f>
        <v/>
      </c>
      <c r="AP72" s="216"/>
      <c r="AQ72" s="216"/>
      <c r="AR72" s="216"/>
      <c r="AS72" s="216"/>
      <c r="AT72" s="216" t="str">
        <f>CONCATENATE($A72,J$52)</f>
        <v>10</v>
      </c>
      <c r="AU72" s="216" t="str">
        <f>CONCATENATE($A72,O$52)</f>
        <v>10</v>
      </c>
      <c r="AV72" s="216"/>
      <c r="AW72" s="216" t="str">
        <f t="shared" ref="AW72" si="16">CONCATENATE($A72,X$52)</f>
        <v>10</v>
      </c>
      <c r="AX72" s="216" t="str">
        <f t="shared" ref="AX72" si="17">CONCATENATE($A72,AB$52)</f>
        <v>10</v>
      </c>
      <c r="AY72" s="216"/>
      <c r="AZ72" s="216"/>
      <c r="BA72" s="216"/>
      <c r="BB72" s="216"/>
      <c r="BC72" s="383"/>
    </row>
    <row r="73" spans="1:55" s="384" customFormat="1" ht="100.2" customHeight="1" x14ac:dyDescent="0.4">
      <c r="A73" s="747"/>
      <c r="B73" s="717" t="str">
        <f ca="1">IFERROR(IF(INDEX('Impact Indicators - Section B '!AA$1:AA$82,MATCH($A72,'Impact Indicators - Section B '!$A$1:$A$82,0))&lt;&gt;0,INDEX('Impact Indicators - Section B '!AA$1:AA$82,MATCH($A72,'Impact Indicators - Section B '!$A$1:$A$82,0)),""),"")</f>
        <v/>
      </c>
      <c r="C73" s="718"/>
      <c r="D73" s="718"/>
      <c r="E73" s="718"/>
      <c r="F73" s="718"/>
      <c r="G73" s="718"/>
      <c r="H73" s="718"/>
      <c r="I73" s="719"/>
      <c r="J73" s="719"/>
      <c r="K73" s="719"/>
      <c r="L73" s="719"/>
      <c r="M73" s="719"/>
      <c r="N73" s="719"/>
      <c r="O73" s="719"/>
      <c r="P73" s="719"/>
      <c r="Q73" s="719"/>
      <c r="R73" s="719"/>
      <c r="S73" s="720"/>
      <c r="T73" s="385"/>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383"/>
    </row>
    <row r="74" spans="1:55" s="384" customFormat="1" ht="145.19999999999999" customHeight="1" x14ac:dyDescent="0.4">
      <c r="A74" s="747">
        <v>11</v>
      </c>
      <c r="B74" s="762" t="str">
        <f ca="1">IFERROR(IF(INDEX('Impact Indicators - Section B '!B$1:B$82,MATCH($A74,'Impact Indicators - Section B '!$A$1:$A$82,0))&lt;&gt;0,INDEX('Impact Indicators - Section B '!B$1:B$82,MATCH($A74,'Impact Indicators - Section B '!$A$1:$A$82,0)),""),"")</f>
        <v/>
      </c>
      <c r="C74" s="763"/>
      <c r="D74" s="764"/>
      <c r="E74" s="762" t="str">
        <f ca="1">IFERROR(IF(INDEX('Impact Indicators - Section B '!C$1:C$82,MATCH($A74,'Impact Indicators - Section B '!$A$1:$A$82,0))&lt;&gt;0,INDEX('Impact Indicators - Section B '!C$1:C$82,MATCH($A74,'Impact Indicators - Section B '!$A$1:$A$82,0)),""),"")</f>
        <v/>
      </c>
      <c r="F74" s="763"/>
      <c r="G74" s="764"/>
      <c r="H74" s="378" t="str">
        <f ca="1">IFERROR(IF(INDEX('Impact Indicators - Section B '!D$1:D$82,MATCH($A74,'Impact Indicators - Section B '!$A$1:$A$82,0))&lt;&gt;0,TEXT(INDEX('Impact Indicators - Section B '!D$1:D$82,MATCH($A74,'Impact Indicators - Section B '!$A$1:$A$82,0)),"#'##0.00"),""),"")&amp;"/"&amp;IFERROR(IF(INDEX('Impact Indicators - Section B '!D$1:D$82,MATCH($A74,'Impact Indicators - Section B '!$A$1:$A$82,0)+1)&lt;&gt;0,TEXT(INDEX('Impact Indicators - Section B '!D$1:D$82,MATCH($A74,'Impact Indicators - Section B '!$A$1:$A$82,0)+1),"#'##0.00"),""),"")&amp;CHAR(10)&amp;IFERROR(IF(INDEX('Impact Indicators - Section B '!E$1:E$82,MATCH($A74,'Impact Indicators - Section B '!$A$1:$A$82,0))&lt;&gt;0,TEXT(INDEX('Impact Indicators - Section B '!E$1:E$82,MATCH($A74,'Impact Indicators - Section B '!$A$1:$A$82,0)),"0.0%"),""),"")</f>
        <v xml:space="preserve">/
</v>
      </c>
      <c r="I74" s="379"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762" t="str">
        <f ca="1">IFERROR(IF(INDEX('Impact Indicators - Section B '!H$1:H$82,MATCH($A74,'Impact Indicators - Section B '!$A$1:$A$82,0))&lt;&gt;0,INDEX('Impact Indicators - Section B '!H$1:H$82,MATCH($A74,'Impact Indicators - Section B '!$A$1:$A$82,0)),""),"")</f>
        <v/>
      </c>
      <c r="K74" s="763"/>
      <c r="L74" s="763"/>
      <c r="M74" s="764"/>
      <c r="N74" s="380" t="str">
        <f ca="1">IFERROR(IF(INDEX('Impact Indicators - Section B '!I$1:I$82,MATCH($A74,'Impact Indicators - Section B '!$A$1:$A$82,0))&lt;&gt;0,INDEX('Impact Indicators - Section B '!I$1:I$82,MATCH($A74,'Impact Indicators - Section B '!$A$1:$A$82,0)),""),"")</f>
        <v/>
      </c>
      <c r="O74" s="379" t="str">
        <f ca="1">IFERROR(IF(INDEX('Impact Indicators - Section B '!J$1:J$82,MATCH($A74,'Impact Indicators - Section B '!$A$1:$A$82,0))&lt;&gt;0,INDEX('Impact Indicators - Section B '!J$1:J$82,MATCH($A74,'Impact Indicators - Section B '!$A$1:$A$82,0)),""),"")</f>
        <v/>
      </c>
      <c r="P74" s="381" t="str">
        <f ca="1">IFERROR(IF(INDEX('Impact Indicators - Section B '!K$1:K$82,MATCH($A74,'Impact Indicators - Section B '!$A$1:$A$82,0))&lt;&gt;0,TEXT(INDEX('Impact Indicators - Section B '!K$1:K$82,MATCH($A74,'Impact Indicators - Section B '!$A$1:$A$82,0)),"#'##0.00"),""),"")&amp;"/"&amp;IFERROR(IF(INDEX('Impact Indicators - Section B '!K$1:K$82,MATCH($A74,'Impact Indicators - Section B '!$A$1:$A$82,0)+1)&lt;&gt;0,TEXT(INDEX('Impact Indicators - Section B '!K$1:K$82,MATCH($A74,'Impact Indicators - Section B '!$A$1:$A$82,0)+1),"#'##0.00"),""),"")&amp;CHAR(10)&amp;IFERROR(IF(INDEX('Impact Indicators - Section B '!L$1:L$82,MATCH($A74,'Impact Indicators - Section B '!$A$1:$A$82,0))&lt;&gt;0,TEXT(INDEX('Impact Indicators - Section B '!L$1:L$82,MATCH($A74,'Impact Indicators - Section B '!$A$1:$A$82,0)),"0.0%"),""),"")&amp;CHAR(10)&amp;IFERROR(IF(INDEX('Impact Indicators - Section B '!N$1:N$82,MATCH($A74,'Impact Indicators - Section B '!$A$1:$A$82,0))&lt;&gt;0,INDEX('Impact Indicators - Section B '!N$1:N$82,MATCH($A74,'Impact Indicators - Section B '!$A$1:$A$82,0)),""),"")&amp;CHAR(10)&amp;IFERROR(IF(INDEX('Impact Indicators - Section B '!M$1:M$82,MATCH($A74,'Impact Indicators - Section B '!$A$1:$A$82,0))&lt;&gt;0,TEXT(INDEX('Impact Indicators - Section B '!M$1:M$82,MATCH($A74,'Impact Indicators - Section B '!$A$1:$A$82,0)),Setup!$A$33),""),"")</f>
        <v xml:space="preserve">/
</v>
      </c>
      <c r="Q74" s="381" t="str">
        <f ca="1">IFERROR(IF(INDEX('Impact Indicators - Section B '!O$1:O$82,MATCH($A74,'Impact Indicators - Section B '!$A$1:$A$82,0))&lt;&gt;0,TEXT(INDEX('Impact Indicators - Section B '!O$1:O$82,MATCH($A74,'Impact Indicators - Section B '!$A$1:$A$82,0)),"#'##0.00"),""),"")&amp;"/"&amp;IFERROR(IF(INDEX('Impact Indicators - Section B '!O$1:O$82,MATCH($A74,'Impact Indicators - Section B '!$A$1:$A$82,0)+1)&lt;&gt;0,TEXT(INDEX('Impact Indicators - Section B '!O$1:O$82,MATCH($A74,'Impact Indicators - Section B '!$A$1:$A$82,0)+1),"#'##0.00"),""),"")&amp;CHAR(10)&amp;IFERROR(IF(INDEX('Impact Indicators - Section B '!P$1:P$82,MATCH($A74,'Impact Indicators - Section B '!$A$1:$A$82,0))&lt;&gt;0,TEXT(INDEX('Impact Indicators - Section B '!P$1:P$82,MATCH($A74,'Impact Indicators - Section B '!$A$1:$A$82,0)),"0.0%"),""),"")&amp;CHAR(10)&amp;IFERROR(IF(INDEX('Impact Indicators - Section B '!R$1:R$82,MATCH($A74,'Impact Indicators - Section B '!$A$1:$A$82,0))&lt;&gt;0,INDEX('Impact Indicators - Section B '!R$1:R$82,MATCH($A74,'Impact Indicators - Section B '!$A$1:$A$82,0)),""),"")&amp;CHAR(10)&amp;IFERROR(IF(INDEX('Impact Indicators - Section B '!Q$1:Q$82,MATCH($A74,'Impact Indicators - Section B '!$A$1:$A$82,0))&lt;&gt;0,TEXT(INDEX('Impact Indicators - Section B '!Q$1:Q$82,MATCH($A74,'Impact Indicators - Section B '!$A$1:$A$82,0)),Setup!$A$33),""),"")</f>
        <v xml:space="preserve">/
</v>
      </c>
      <c r="R74" s="381" t="str">
        <f ca="1">IFERROR(IF(INDEX('Impact Indicators - Section B '!S$1:S$82,MATCH($A74,'Impact Indicators - Section B '!$A$1:$A$82,0))&lt;&gt;0,TEXT(INDEX('Impact Indicators - Section B '!S$1:S$82,MATCH($A74,'Impact Indicators - Section B '!$A$1:$A$82,0)),"#'##0.00"),""),"")&amp;"/"&amp;IFERROR(IF(INDEX('Impact Indicators - Section B '!S$1:S$82,MATCH($A74,'Impact Indicators - Section B '!$A$1:$A$82,0)+1)&lt;&gt;0,TEXT(INDEX('Impact Indicators - Section B '!S$1:S$82,MATCH($A74,'Impact Indicators - Section B '!$A$1:$A$82,0)+1),"#'##0.00"),""),"")&amp;CHAR(10)&amp;IFERROR(IF(INDEX('Impact Indicators - Section B '!T$1:T$82,MATCH($A74,'Impact Indicators - Section B '!$A$1:$A$82,0))&lt;&gt;0,TEXT(INDEX('Impact Indicators - Section B '!T$1:T$82,MATCH($A74,'Impact Indicators - Section B '!$A$1:$A$82,0)),"0.0%"),""),"")&amp;CHAR(10)&amp;IFERROR(IF(INDEX('Impact Indicators - Section B '!V$1:V$82,MATCH($A74,'Impact Indicators - Section B '!$A$1:$A$82,0))&lt;&gt;0,TEXT(INDEX('Impact Indicators - Section B '!V$1:V$82,MATCH($A74,'Impact Indicators - Section B '!$A$1:$A$82,0)),Setup!$A$33),""),"")&amp;CHAR(10)&amp;IFERROR(IF(INDEX('Impact Indicators - Section B '!U$1:U$82,MATCH($A74,'Impact Indicators - Section B '!$A$1:$A$82,0))&lt;&gt;0,TEXT(INDEX('Impact Indicators - Section B '!U$1:U$82,MATCH($A74,'Impact Indicators - Section B '!$A$1:$A$82,0)),Setup!$A$33),""),"")</f>
        <v xml:space="preserve">/
</v>
      </c>
      <c r="S74" s="381" t="str">
        <f ca="1">IFERROR(IF(INDEX('Impact Indicators - Section B '!W$1:W$82,MATCH($A74,'Impact Indicators - Section B '!$A$1:$A$82,0))&lt;&gt;0,TEXT(INDEX('Impact Indicators - Section B '!W$1:W$82,MATCH($A74,'Impact Indicators - Section B '!$A$1:$A$82,0)),"#'##0.00"),""),"")&amp;"/"&amp;IFERROR(IF(INDEX('Impact Indicators - Section B '!W$1:W$82,MATCH($A74,'Impact Indicators - Section B '!$A$1:$A$82,0)+1)&lt;&gt;0,TEXT(INDEX('Impact Indicators - Section B '!W$1:W$82,MATCH($A74,'Impact Indicators - Section B '!$A$1:$A$82,0)+1),"#'##0.00"),""),"")&amp;CHAR(10)&amp;IFERROR(IF(INDEX('Impact Indicators - Section B '!X$1:X$82,MATCH($A74,'Impact Indicators - Section B '!$A$1:$A$82,0))&lt;&gt;0,TEXT(INDEX('Impact Indicators - Section B '!X$1:X$82,MATCH($A74,'Impact Indicators - Section B '!$A$1:$A$82,0)),"0.0%"),""),"")&amp;CHAR(10)&amp;IFERROR(IF(INDEX('Impact Indicators - Section B '!Z$1:Z$82,MATCH($A74,'Impact Indicators - Section B '!$A$1:$A$82,0))&lt;&gt;0,INDEX('Impact Indicators - Section B '!Z$1:Z$82,MATCH($A74,'Impact Indicators - Section B '!$A$1:$A$82,0)),""),"")&amp;CHAR(10)&amp;IFERROR(IF(INDEX('Impact Indicators - Section B '!Y$1:Y$82,MATCH($A74,'Impact Indicators - Section B '!$A$1:$A$82,0))&lt;&gt;0,TEXT(INDEX('Impact Indicators - Section B '!Y$1:Y$82,MATCH($A74,'Impact Indicators - Section B '!$A$1:$A$82,0)),Setup!$A$33),""),"")</f>
        <v xml:space="preserve">/
</v>
      </c>
      <c r="T74" s="382"/>
      <c r="U74" s="216"/>
      <c r="V74" s="216"/>
      <c r="W74" s="216"/>
      <c r="X74" s="216"/>
      <c r="Y74" s="216"/>
      <c r="Z74" s="216"/>
      <c r="AA74" s="216"/>
      <c r="AB74" s="216"/>
      <c r="AC74" s="216"/>
      <c r="AD74" s="216"/>
      <c r="AE74" s="216"/>
      <c r="AF74" s="216"/>
      <c r="AG74" s="216"/>
      <c r="AH74" s="216"/>
      <c r="AI74" s="216"/>
      <c r="AJ74" s="216"/>
      <c r="AK74" s="216"/>
      <c r="AL74" s="216"/>
      <c r="AM74" s="216"/>
      <c r="AN74" s="216"/>
      <c r="AO74" s="216" t="str">
        <f ca="1">IFERROR(IF(INDEX('Impact Indicators - Section B '!AA$1:AA$82,MATCH($A74,'Impact Indicators - Section B '!$A$1:$A$82,0))&lt;&gt;0,INDEX('Impact Indicators - Section B '!AA$1:AA$82,MATCH($A74,'Impact Indicators - Section B '!$A$1:$A$82,0)),""),"")</f>
        <v/>
      </c>
      <c r="AP74" s="216"/>
      <c r="AQ74" s="216"/>
      <c r="AR74" s="216"/>
      <c r="AS74" s="216"/>
      <c r="AT74" s="216" t="str">
        <f>CONCATENATE($A74,J$52)</f>
        <v>11</v>
      </c>
      <c r="AU74" s="216" t="str">
        <f>CONCATENATE($A74,O$52)</f>
        <v>11</v>
      </c>
      <c r="AV74" s="216"/>
      <c r="AW74" s="216" t="str">
        <f t="shared" ref="AW74" si="18">CONCATENATE($A74,X$52)</f>
        <v>11</v>
      </c>
      <c r="AX74" s="216" t="str">
        <f t="shared" ref="AX74" si="19">CONCATENATE($A74,AB$52)</f>
        <v>11</v>
      </c>
      <c r="AY74" s="216"/>
      <c r="AZ74" s="216"/>
      <c r="BA74" s="216"/>
      <c r="BB74" s="216"/>
      <c r="BC74" s="383"/>
    </row>
    <row r="75" spans="1:55" s="384" customFormat="1" ht="100.2" customHeight="1" x14ac:dyDescent="0.4">
      <c r="A75" s="747"/>
      <c r="B75" s="765" t="str">
        <f ca="1">IFERROR(IF(INDEX('Impact Indicators - Section B '!AA$1:AA$82,MATCH($A74,'Impact Indicators - Section B '!$A$1:$A$82,0))&lt;&gt;0,INDEX('Impact Indicators - Section B '!AA$1:AA$82,MATCH($A74,'Impact Indicators - Section B '!$A$1:$A$82,0)),""),"")</f>
        <v/>
      </c>
      <c r="C75" s="766"/>
      <c r="D75" s="766"/>
      <c r="E75" s="766"/>
      <c r="F75" s="766"/>
      <c r="G75" s="766"/>
      <c r="H75" s="766"/>
      <c r="I75" s="766"/>
      <c r="J75" s="766"/>
      <c r="K75" s="766"/>
      <c r="L75" s="766"/>
      <c r="M75" s="766"/>
      <c r="N75" s="766"/>
      <c r="O75" s="766"/>
      <c r="P75" s="766"/>
      <c r="Q75" s="766"/>
      <c r="R75" s="766"/>
      <c r="S75" s="767"/>
      <c r="T75" s="385"/>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383"/>
    </row>
    <row r="76" spans="1:55" s="384" customFormat="1" ht="145.19999999999999" customHeight="1" x14ac:dyDescent="0.4">
      <c r="A76" s="747">
        <v>12</v>
      </c>
      <c r="B76" s="762" t="str">
        <f ca="1">IFERROR(IF(INDEX('Impact Indicators - Section B '!B$1:B$82,MATCH($A76,'Impact Indicators - Section B '!$A$1:$A$82,0))&lt;&gt;0,INDEX('Impact Indicators - Section B '!B$1:B$82,MATCH($A76,'Impact Indicators - Section B '!$A$1:$A$82,0)),""),"")</f>
        <v/>
      </c>
      <c r="C76" s="763"/>
      <c r="D76" s="764"/>
      <c r="E76" s="762" t="str">
        <f ca="1">IFERROR(IF(INDEX('Impact Indicators - Section B '!C$1:C$82,MATCH($A76,'Impact Indicators - Section B '!$A$1:$A$82,0))&lt;&gt;0,INDEX('Impact Indicators - Section B '!C$1:C$82,MATCH($A76,'Impact Indicators - Section B '!$A$1:$A$82,0)),""),"")</f>
        <v/>
      </c>
      <c r="F76" s="763"/>
      <c r="G76" s="764"/>
      <c r="H76" s="378" t="str">
        <f ca="1">IFERROR(IF(INDEX('Impact Indicators - Section B '!D$1:D$82,MATCH($A76,'Impact Indicators - Section B '!$A$1:$A$82,0))&lt;&gt;0,TEXT(INDEX('Impact Indicators - Section B '!D$1:D$82,MATCH($A76,'Impact Indicators - Section B '!$A$1:$A$82,0)),"#'##0.00"),""),"")&amp;"/"&amp;IFERROR(IF(INDEX('Impact Indicators - Section B '!D$1:D$82,MATCH($A76,'Impact Indicators - Section B '!$A$1:$A$82,0)+1)&lt;&gt;0,TEXT(INDEX('Impact Indicators - Section B '!D$1:D$82,MATCH($A76,'Impact Indicators - Section B '!$A$1:$A$82,0)+1),"#'##0.00"),""),"")&amp;CHAR(10)&amp;IFERROR(IF(INDEX('Impact Indicators - Section B '!E$1:E$82,MATCH($A76,'Impact Indicators - Section B '!$A$1:$A$82,0))&lt;&gt;0,TEXT(INDEX('Impact Indicators - Section B '!E$1:E$82,MATCH($A76,'Impact Indicators - Section B '!$A$1:$A$82,0)),"0.0%"),""),"")</f>
        <v xml:space="preserve">/
</v>
      </c>
      <c r="I76" s="379"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762" t="str">
        <f ca="1">IFERROR(IF(INDEX('Impact Indicators - Section B '!H$1:H$82,MATCH($A76,'Impact Indicators - Section B '!$A$1:$A$82,0))&lt;&gt;0,INDEX('Impact Indicators - Section B '!H$1:H$82,MATCH($A76,'Impact Indicators - Section B '!$A$1:$A$82,0)),""),"")</f>
        <v/>
      </c>
      <c r="K76" s="763"/>
      <c r="L76" s="763"/>
      <c r="M76" s="764"/>
      <c r="N76" s="380" t="str">
        <f ca="1">IFERROR(IF(INDEX('Impact Indicators - Section B '!I$1:I$82,MATCH($A76,'Impact Indicators - Section B '!$A$1:$A$82,0))&lt;&gt;0,INDEX('Impact Indicators - Section B '!I$1:I$82,MATCH($A76,'Impact Indicators - Section B '!$A$1:$A$82,0)),""),"")</f>
        <v/>
      </c>
      <c r="O76" s="379" t="str">
        <f ca="1">IFERROR(IF(INDEX('Impact Indicators - Section B '!J$1:J$82,MATCH($A76,'Impact Indicators - Section B '!$A$1:$A$82,0))&lt;&gt;0,INDEX('Impact Indicators - Section B '!J$1:J$82,MATCH($A76,'Impact Indicators - Section B '!$A$1:$A$82,0)),""),"")</f>
        <v/>
      </c>
      <c r="P76" s="381" t="str">
        <f ca="1">IFERROR(IF(INDEX('Impact Indicators - Section B '!K$1:K$82,MATCH($A76,'Impact Indicators - Section B '!$A$1:$A$82,0))&lt;&gt;0,TEXT(INDEX('Impact Indicators - Section B '!K$1:K$82,MATCH($A76,'Impact Indicators - Section B '!$A$1:$A$82,0)),"#'##0.00"),""),"")&amp;"/"&amp;IFERROR(IF(INDEX('Impact Indicators - Section B '!K$1:K$82,MATCH($A76,'Impact Indicators - Section B '!$A$1:$A$82,0)+1)&lt;&gt;0,TEXT(INDEX('Impact Indicators - Section B '!K$1:K$82,MATCH($A76,'Impact Indicators - Section B '!$A$1:$A$82,0)+1),"#'##0.00"),""),"")&amp;CHAR(10)&amp;IFERROR(IF(INDEX('Impact Indicators - Section B '!L$1:L$82,MATCH($A76,'Impact Indicators - Section B '!$A$1:$A$82,0))&lt;&gt;0,TEXT(INDEX('Impact Indicators - Section B '!L$1:L$82,MATCH($A76,'Impact Indicators - Section B '!$A$1:$A$82,0)),"0.0%"),""),"")&amp;CHAR(10)&amp;IFERROR(IF(INDEX('Impact Indicators - Section B '!N$1:N$82,MATCH($A76,'Impact Indicators - Section B '!$A$1:$A$82,0))&lt;&gt;0,INDEX('Impact Indicators - Section B '!N$1:N$82,MATCH($A76,'Impact Indicators - Section B '!$A$1:$A$82,0)),""),"")&amp;CHAR(10)&amp;IFERROR(IF(INDEX('Impact Indicators - Section B '!M$1:M$82,MATCH($A76,'Impact Indicators - Section B '!$A$1:$A$82,0))&lt;&gt;0,TEXT(INDEX('Impact Indicators - Section B '!M$1:M$82,MATCH($A76,'Impact Indicators - Section B '!$A$1:$A$82,0)),Setup!$A$33),""),"")</f>
        <v xml:space="preserve">/
</v>
      </c>
      <c r="Q76" s="381" t="str">
        <f ca="1">IFERROR(IF(INDEX('Impact Indicators - Section B '!O$1:O$82,MATCH($A76,'Impact Indicators - Section B '!$A$1:$A$82,0))&lt;&gt;0,TEXT(INDEX('Impact Indicators - Section B '!O$1:O$82,MATCH($A76,'Impact Indicators - Section B '!$A$1:$A$82,0)),"#'##0.00"),""),"")&amp;"/"&amp;IFERROR(IF(INDEX('Impact Indicators - Section B '!O$1:O$82,MATCH($A76,'Impact Indicators - Section B '!$A$1:$A$82,0)+1)&lt;&gt;0,TEXT(INDEX('Impact Indicators - Section B '!O$1:O$82,MATCH($A76,'Impact Indicators - Section B '!$A$1:$A$82,0)+1),"#'##0.00"),""),"")&amp;CHAR(10)&amp;IFERROR(IF(INDEX('Impact Indicators - Section B '!P$1:P$82,MATCH($A76,'Impact Indicators - Section B '!$A$1:$A$82,0))&lt;&gt;0,TEXT(INDEX('Impact Indicators - Section B '!P$1:P$82,MATCH($A76,'Impact Indicators - Section B '!$A$1:$A$82,0)),"0.0%"),""),"")&amp;CHAR(10)&amp;IFERROR(IF(INDEX('Impact Indicators - Section B '!R$1:R$82,MATCH($A76,'Impact Indicators - Section B '!$A$1:$A$82,0))&lt;&gt;0,INDEX('Impact Indicators - Section B '!R$1:R$82,MATCH($A76,'Impact Indicators - Section B '!$A$1:$A$82,0)),""),"")&amp;CHAR(10)&amp;IFERROR(IF(INDEX('Impact Indicators - Section B '!Q$1:Q$82,MATCH($A76,'Impact Indicators - Section B '!$A$1:$A$82,0))&lt;&gt;0,TEXT(INDEX('Impact Indicators - Section B '!Q$1:Q$82,MATCH($A76,'Impact Indicators - Section B '!$A$1:$A$82,0)),Setup!$A$33),""),"")</f>
        <v xml:space="preserve">/
</v>
      </c>
      <c r="R76" s="381" t="str">
        <f ca="1">IFERROR(IF(INDEX('Impact Indicators - Section B '!S$1:S$82,MATCH($A76,'Impact Indicators - Section B '!$A$1:$A$82,0))&lt;&gt;0,TEXT(INDEX('Impact Indicators - Section B '!S$1:S$82,MATCH($A76,'Impact Indicators - Section B '!$A$1:$A$82,0)),"#'##0.00"),""),"")&amp;"/"&amp;IFERROR(IF(INDEX('Impact Indicators - Section B '!S$1:S$82,MATCH($A76,'Impact Indicators - Section B '!$A$1:$A$82,0)+1)&lt;&gt;0,TEXT(INDEX('Impact Indicators - Section B '!S$1:S$82,MATCH($A76,'Impact Indicators - Section B '!$A$1:$A$82,0)+1),"#'##0.00"),""),"")&amp;CHAR(10)&amp;IFERROR(IF(INDEX('Impact Indicators - Section B '!T$1:T$82,MATCH($A76,'Impact Indicators - Section B '!$A$1:$A$82,0))&lt;&gt;0,TEXT(INDEX('Impact Indicators - Section B '!T$1:T$82,MATCH($A76,'Impact Indicators - Section B '!$A$1:$A$82,0)),"0.0%"),""),"")&amp;CHAR(10)&amp;IFERROR(IF(INDEX('Impact Indicators - Section B '!V$1:V$82,MATCH($A76,'Impact Indicators - Section B '!$A$1:$A$82,0))&lt;&gt;0,TEXT(INDEX('Impact Indicators - Section B '!V$1:V$82,MATCH($A76,'Impact Indicators - Section B '!$A$1:$A$82,0)),Setup!$A$33),""),"")&amp;CHAR(10)&amp;IFERROR(IF(INDEX('Impact Indicators - Section B '!U$1:U$82,MATCH($A76,'Impact Indicators - Section B '!$A$1:$A$82,0))&lt;&gt;0,TEXT(INDEX('Impact Indicators - Section B '!U$1:U$82,MATCH($A76,'Impact Indicators - Section B '!$A$1:$A$82,0)),Setup!$A$33),""),"")</f>
        <v xml:space="preserve">/
</v>
      </c>
      <c r="S76" s="381" t="str">
        <f ca="1">IFERROR(IF(INDEX('Impact Indicators - Section B '!W$1:W$82,MATCH($A76,'Impact Indicators - Section B '!$A$1:$A$82,0))&lt;&gt;0,TEXT(INDEX('Impact Indicators - Section B '!W$1:W$82,MATCH($A76,'Impact Indicators - Section B '!$A$1:$A$82,0)),"#'##0.00"),""),"")&amp;"/"&amp;IFERROR(IF(INDEX('Impact Indicators - Section B '!W$1:W$82,MATCH($A76,'Impact Indicators - Section B '!$A$1:$A$82,0)+1)&lt;&gt;0,TEXT(INDEX('Impact Indicators - Section B '!W$1:W$82,MATCH($A76,'Impact Indicators - Section B '!$A$1:$A$82,0)+1),"#'##0.00"),""),"")&amp;CHAR(10)&amp;IFERROR(IF(INDEX('Impact Indicators - Section B '!X$1:X$82,MATCH($A76,'Impact Indicators - Section B '!$A$1:$A$82,0))&lt;&gt;0,TEXT(INDEX('Impact Indicators - Section B '!X$1:X$82,MATCH($A76,'Impact Indicators - Section B '!$A$1:$A$82,0)),"0.0%"),""),"")&amp;CHAR(10)&amp;IFERROR(IF(INDEX('Impact Indicators - Section B '!Z$1:Z$82,MATCH($A76,'Impact Indicators - Section B '!$A$1:$A$82,0))&lt;&gt;0,INDEX('Impact Indicators - Section B '!Z$1:Z$82,MATCH($A76,'Impact Indicators - Section B '!$A$1:$A$82,0)),""),"")&amp;CHAR(10)&amp;IFERROR(IF(INDEX('Impact Indicators - Section B '!Y$1:Y$82,MATCH($A76,'Impact Indicators - Section B '!$A$1:$A$82,0))&lt;&gt;0,TEXT(INDEX('Impact Indicators - Section B '!Y$1:Y$82,MATCH($A76,'Impact Indicators - Section B '!$A$1:$A$82,0)),Setup!$A$33),""),"")</f>
        <v xml:space="preserve">/
</v>
      </c>
      <c r="T76" s="382"/>
      <c r="U76" s="216"/>
      <c r="V76" s="216"/>
      <c r="W76" s="216"/>
      <c r="X76" s="216"/>
      <c r="Y76" s="216"/>
      <c r="Z76" s="216"/>
      <c r="AA76" s="216"/>
      <c r="AB76" s="216"/>
      <c r="AC76" s="216"/>
      <c r="AD76" s="216"/>
      <c r="AE76" s="216"/>
      <c r="AF76" s="216"/>
      <c r="AG76" s="216"/>
      <c r="AH76" s="216"/>
      <c r="AI76" s="216"/>
      <c r="AJ76" s="216"/>
      <c r="AK76" s="216"/>
      <c r="AL76" s="216"/>
      <c r="AM76" s="216"/>
      <c r="AN76" s="216"/>
      <c r="AO76" s="216" t="str">
        <f ca="1">IFERROR(IF(INDEX('Impact Indicators - Section B '!AA$1:AA$82,MATCH($A76,'Impact Indicators - Section B '!$A$1:$A$82,0))&lt;&gt;0,INDEX('Impact Indicators - Section B '!AA$1:AA$82,MATCH($A76,'Impact Indicators - Section B '!$A$1:$A$82,0)),""),"")</f>
        <v/>
      </c>
      <c r="AP76" s="216"/>
      <c r="AQ76" s="216"/>
      <c r="AR76" s="216"/>
      <c r="AS76" s="216"/>
      <c r="AT76" s="216" t="str">
        <f>CONCATENATE($A76,J$52)</f>
        <v>12</v>
      </c>
      <c r="AU76" s="216" t="str">
        <f>CONCATENATE($A76,O$52)</f>
        <v>12</v>
      </c>
      <c r="AV76" s="216"/>
      <c r="AW76" s="216" t="str">
        <f t="shared" ref="AW76" si="20">CONCATENATE($A76,X$52)</f>
        <v>12</v>
      </c>
      <c r="AX76" s="216" t="str">
        <f t="shared" ref="AX76" si="21">CONCATENATE($A76,AB$52)</f>
        <v>12</v>
      </c>
      <c r="AY76" s="216"/>
      <c r="AZ76" s="216"/>
      <c r="BA76" s="216"/>
      <c r="BB76" s="216"/>
      <c r="BC76" s="383"/>
    </row>
    <row r="77" spans="1:55" s="384" customFormat="1" ht="100.2" customHeight="1" x14ac:dyDescent="0.4">
      <c r="A77" s="747"/>
      <c r="B77" s="717" t="str">
        <f ca="1">IFERROR(IF(INDEX('Impact Indicators - Section B '!AA$1:AA$82,MATCH($A76,'Impact Indicators - Section B '!$A$1:$A$82,0))&lt;&gt;0,INDEX('Impact Indicators - Section B '!AA$1:AA$82,MATCH($A76,'Impact Indicators - Section B '!$A$1:$A$82,0)),""),"")</f>
        <v/>
      </c>
      <c r="C77" s="718"/>
      <c r="D77" s="718"/>
      <c r="E77" s="718"/>
      <c r="F77" s="718"/>
      <c r="G77" s="718"/>
      <c r="H77" s="718"/>
      <c r="I77" s="719"/>
      <c r="J77" s="719"/>
      <c r="K77" s="719"/>
      <c r="L77" s="719"/>
      <c r="M77" s="719"/>
      <c r="N77" s="719"/>
      <c r="O77" s="719"/>
      <c r="P77" s="719"/>
      <c r="Q77" s="719"/>
      <c r="R77" s="719"/>
      <c r="S77" s="720"/>
      <c r="T77" s="385"/>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383"/>
    </row>
    <row r="78" spans="1:55" s="384" customFormat="1" ht="145.19999999999999" customHeight="1" x14ac:dyDescent="0.4">
      <c r="A78" s="747">
        <v>13</v>
      </c>
      <c r="B78" s="762" t="str">
        <f ca="1">IFERROR(IF(INDEX('Impact Indicators - Section B '!B$1:B$82,MATCH($A78,'Impact Indicators - Section B '!$A$1:$A$82,0))&lt;&gt;0,INDEX('Impact Indicators - Section B '!B$1:B$82,MATCH($A78,'Impact Indicators - Section B '!$A$1:$A$82,0)),""),"")</f>
        <v/>
      </c>
      <c r="C78" s="763"/>
      <c r="D78" s="764"/>
      <c r="E78" s="762" t="str">
        <f ca="1">IFERROR(IF(INDEX('Impact Indicators - Section B '!C$1:C$82,MATCH($A78,'Impact Indicators - Section B '!$A$1:$A$82,0))&lt;&gt;0,INDEX('Impact Indicators - Section B '!C$1:C$82,MATCH($A78,'Impact Indicators - Section B '!$A$1:$A$82,0)),""),"")</f>
        <v/>
      </c>
      <c r="F78" s="763"/>
      <c r="G78" s="764"/>
      <c r="H78" s="378" t="str">
        <f ca="1">IFERROR(IF(INDEX('Impact Indicators - Section B '!D$1:D$82,MATCH($A78,'Impact Indicators - Section B '!$A$1:$A$82,0))&lt;&gt;0,TEXT(INDEX('Impact Indicators - Section B '!D$1:D$82,MATCH($A78,'Impact Indicators - Section B '!$A$1:$A$82,0)),"#'##0.00"),""),"")&amp;"/"&amp;IFERROR(IF(INDEX('Impact Indicators - Section B '!D$1:D$82,MATCH($A78,'Impact Indicators - Section B '!$A$1:$A$82,0)+1)&lt;&gt;0,TEXT(INDEX('Impact Indicators - Section B '!D$1:D$82,MATCH($A78,'Impact Indicators - Section B '!$A$1:$A$82,0)+1),"#'##0.00"),""),"")&amp;CHAR(10)&amp;IFERROR(IF(INDEX('Impact Indicators - Section B '!E$1:E$82,MATCH($A78,'Impact Indicators - Section B '!$A$1:$A$82,0))&lt;&gt;0,TEXT(INDEX('Impact Indicators - Section B '!E$1:E$82,MATCH($A78,'Impact Indicators - Section B '!$A$1:$A$82,0)),"0.0%"),""),"")</f>
        <v xml:space="preserve">/
</v>
      </c>
      <c r="I78" s="379"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762" t="str">
        <f ca="1">IFERROR(IF(INDEX('Impact Indicators - Section B '!H$1:H$82,MATCH($A78,'Impact Indicators - Section B '!$A$1:$A$82,0))&lt;&gt;0,INDEX('Impact Indicators - Section B '!H$1:H$82,MATCH($A78,'Impact Indicators - Section B '!$A$1:$A$82,0)),""),"")</f>
        <v/>
      </c>
      <c r="K78" s="763"/>
      <c r="L78" s="763"/>
      <c r="M78" s="764"/>
      <c r="N78" s="380" t="str">
        <f ca="1">IFERROR(IF(INDEX('Impact Indicators - Section B '!I$1:I$82,MATCH($A78,'Impact Indicators - Section B '!$A$1:$A$82,0))&lt;&gt;0,INDEX('Impact Indicators - Section B '!I$1:I$82,MATCH($A78,'Impact Indicators - Section B '!$A$1:$A$82,0)),""),"")</f>
        <v/>
      </c>
      <c r="O78" s="379" t="str">
        <f ca="1">IFERROR(IF(INDEX('Impact Indicators - Section B '!J$1:J$82,MATCH($A78,'Impact Indicators - Section B '!$A$1:$A$82,0))&lt;&gt;0,INDEX('Impact Indicators - Section B '!J$1:J$82,MATCH($A78,'Impact Indicators - Section B '!$A$1:$A$82,0)),""),"")</f>
        <v/>
      </c>
      <c r="P78" s="381" t="str">
        <f ca="1">IFERROR(IF(INDEX('Impact Indicators - Section B '!K$1:K$82,MATCH($A78,'Impact Indicators - Section B '!$A$1:$A$82,0))&lt;&gt;0,TEXT(INDEX('Impact Indicators - Section B '!K$1:K$82,MATCH($A78,'Impact Indicators - Section B '!$A$1:$A$82,0)),"#'##0.00"),""),"")&amp;"/"&amp;IFERROR(IF(INDEX('Impact Indicators - Section B '!K$1:K$82,MATCH($A78,'Impact Indicators - Section B '!$A$1:$A$82,0)+1)&lt;&gt;0,TEXT(INDEX('Impact Indicators - Section B '!K$1:K$82,MATCH($A78,'Impact Indicators - Section B '!$A$1:$A$82,0)+1),"#'##0.00"),""),"")&amp;CHAR(10)&amp;IFERROR(IF(INDEX('Impact Indicators - Section B '!L$1:L$82,MATCH($A78,'Impact Indicators - Section B '!$A$1:$A$82,0))&lt;&gt;0,TEXT(INDEX('Impact Indicators - Section B '!L$1:L$82,MATCH($A78,'Impact Indicators - Section B '!$A$1:$A$82,0)),"0.0%"),""),"")&amp;CHAR(10)&amp;IFERROR(IF(INDEX('Impact Indicators - Section B '!N$1:N$82,MATCH($A78,'Impact Indicators - Section B '!$A$1:$A$82,0))&lt;&gt;0,INDEX('Impact Indicators - Section B '!N$1:N$82,MATCH($A78,'Impact Indicators - Section B '!$A$1:$A$82,0)),""),"")&amp;CHAR(10)&amp;IFERROR(IF(INDEX('Impact Indicators - Section B '!M$1:M$82,MATCH($A78,'Impact Indicators - Section B '!$A$1:$A$82,0))&lt;&gt;0,TEXT(INDEX('Impact Indicators - Section B '!M$1:M$82,MATCH($A78,'Impact Indicators - Section B '!$A$1:$A$82,0)),Setup!$A$33),""),"")</f>
        <v xml:space="preserve">/
</v>
      </c>
      <c r="Q78" s="381" t="str">
        <f ca="1">IFERROR(IF(INDEX('Impact Indicators - Section B '!O$1:O$82,MATCH($A78,'Impact Indicators - Section B '!$A$1:$A$82,0))&lt;&gt;0,TEXT(INDEX('Impact Indicators - Section B '!O$1:O$82,MATCH($A78,'Impact Indicators - Section B '!$A$1:$A$82,0)),"#'##0.00"),""),"")&amp;"/"&amp;IFERROR(IF(INDEX('Impact Indicators - Section B '!O$1:O$82,MATCH($A78,'Impact Indicators - Section B '!$A$1:$A$82,0)+1)&lt;&gt;0,TEXT(INDEX('Impact Indicators - Section B '!O$1:O$82,MATCH($A78,'Impact Indicators - Section B '!$A$1:$A$82,0)+1),"#'##0.00"),""),"")&amp;CHAR(10)&amp;IFERROR(IF(INDEX('Impact Indicators - Section B '!P$1:P$82,MATCH($A78,'Impact Indicators - Section B '!$A$1:$A$82,0))&lt;&gt;0,TEXT(INDEX('Impact Indicators - Section B '!P$1:P$82,MATCH($A78,'Impact Indicators - Section B '!$A$1:$A$82,0)),"0.0%"),""),"")&amp;CHAR(10)&amp;IFERROR(IF(INDEX('Impact Indicators - Section B '!R$1:R$82,MATCH($A78,'Impact Indicators - Section B '!$A$1:$A$82,0))&lt;&gt;0,INDEX('Impact Indicators - Section B '!R$1:R$82,MATCH($A78,'Impact Indicators - Section B '!$A$1:$A$82,0)),""),"")&amp;CHAR(10)&amp;IFERROR(IF(INDEX('Impact Indicators - Section B '!Q$1:Q$82,MATCH($A78,'Impact Indicators - Section B '!$A$1:$A$82,0))&lt;&gt;0,TEXT(INDEX('Impact Indicators - Section B '!Q$1:Q$82,MATCH($A78,'Impact Indicators - Section B '!$A$1:$A$82,0)),Setup!$A$33),""),"")</f>
        <v xml:space="preserve">/
</v>
      </c>
      <c r="R78" s="381" t="str">
        <f ca="1">IFERROR(IF(INDEX('Impact Indicators - Section B '!S$1:S$82,MATCH($A78,'Impact Indicators - Section B '!$A$1:$A$82,0))&lt;&gt;0,TEXT(INDEX('Impact Indicators - Section B '!S$1:S$82,MATCH($A78,'Impact Indicators - Section B '!$A$1:$A$82,0)),"#'##0.00"),""),"")&amp;"/"&amp;IFERROR(IF(INDEX('Impact Indicators - Section B '!S$1:S$82,MATCH($A78,'Impact Indicators - Section B '!$A$1:$A$82,0)+1)&lt;&gt;0,TEXT(INDEX('Impact Indicators - Section B '!S$1:S$82,MATCH($A78,'Impact Indicators - Section B '!$A$1:$A$82,0)+1),"#'##0.00"),""),"")&amp;CHAR(10)&amp;IFERROR(IF(INDEX('Impact Indicators - Section B '!T$1:T$82,MATCH($A78,'Impact Indicators - Section B '!$A$1:$A$82,0))&lt;&gt;0,TEXT(INDEX('Impact Indicators - Section B '!T$1:T$82,MATCH($A78,'Impact Indicators - Section B '!$A$1:$A$82,0)),"0.0%"),""),"")&amp;CHAR(10)&amp;IFERROR(IF(INDEX('Impact Indicators - Section B '!V$1:V$82,MATCH($A78,'Impact Indicators - Section B '!$A$1:$A$82,0))&lt;&gt;0,TEXT(INDEX('Impact Indicators - Section B '!V$1:V$82,MATCH($A78,'Impact Indicators - Section B '!$A$1:$A$82,0)),Setup!$A$33),""),"")&amp;CHAR(10)&amp;IFERROR(IF(INDEX('Impact Indicators - Section B '!U$1:U$82,MATCH($A78,'Impact Indicators - Section B '!$A$1:$A$82,0))&lt;&gt;0,TEXT(INDEX('Impact Indicators - Section B '!U$1:U$82,MATCH($A78,'Impact Indicators - Section B '!$A$1:$A$82,0)),Setup!$A$33),""),"")</f>
        <v xml:space="preserve">/
</v>
      </c>
      <c r="S78" s="381" t="str">
        <f ca="1">IFERROR(IF(INDEX('Impact Indicators - Section B '!W$1:W$82,MATCH($A78,'Impact Indicators - Section B '!$A$1:$A$82,0))&lt;&gt;0,TEXT(INDEX('Impact Indicators - Section B '!W$1:W$82,MATCH($A78,'Impact Indicators - Section B '!$A$1:$A$82,0)),"#'##0.00"),""),"")&amp;"/"&amp;IFERROR(IF(INDEX('Impact Indicators - Section B '!W$1:W$82,MATCH($A78,'Impact Indicators - Section B '!$A$1:$A$82,0)+1)&lt;&gt;0,TEXT(INDEX('Impact Indicators - Section B '!W$1:W$82,MATCH($A78,'Impact Indicators - Section B '!$A$1:$A$82,0)+1),"#'##0.00"),""),"")&amp;CHAR(10)&amp;IFERROR(IF(INDEX('Impact Indicators - Section B '!X$1:X$82,MATCH($A78,'Impact Indicators - Section B '!$A$1:$A$82,0))&lt;&gt;0,TEXT(INDEX('Impact Indicators - Section B '!X$1:X$82,MATCH($A78,'Impact Indicators - Section B '!$A$1:$A$82,0)),"0.0%"),""),"")&amp;CHAR(10)&amp;IFERROR(IF(INDEX('Impact Indicators - Section B '!Z$1:Z$82,MATCH($A78,'Impact Indicators - Section B '!$A$1:$A$82,0))&lt;&gt;0,INDEX('Impact Indicators - Section B '!Z$1:Z$82,MATCH($A78,'Impact Indicators - Section B '!$A$1:$A$82,0)),""),"")&amp;CHAR(10)&amp;IFERROR(IF(INDEX('Impact Indicators - Section B '!Y$1:Y$82,MATCH($A78,'Impact Indicators - Section B '!$A$1:$A$82,0))&lt;&gt;0,TEXT(INDEX('Impact Indicators - Section B '!Y$1:Y$82,MATCH($A78,'Impact Indicators - Section B '!$A$1:$A$82,0)),Setup!$A$33),""),"")</f>
        <v xml:space="preserve">/
</v>
      </c>
      <c r="T78" s="382"/>
      <c r="U78" s="216"/>
      <c r="V78" s="216"/>
      <c r="W78" s="216"/>
      <c r="X78" s="216"/>
      <c r="Y78" s="216"/>
      <c r="Z78" s="216"/>
      <c r="AA78" s="216"/>
      <c r="AB78" s="216"/>
      <c r="AC78" s="216"/>
      <c r="AD78" s="216"/>
      <c r="AE78" s="216"/>
      <c r="AF78" s="216"/>
      <c r="AG78" s="216"/>
      <c r="AH78" s="216"/>
      <c r="AI78" s="216"/>
      <c r="AJ78" s="216"/>
      <c r="AK78" s="216"/>
      <c r="AL78" s="216"/>
      <c r="AM78" s="216"/>
      <c r="AN78" s="216"/>
      <c r="AO78" s="216" t="str">
        <f ca="1">IFERROR(IF(INDEX('Impact Indicators - Section B '!AA$1:AA$82,MATCH($A78,'Impact Indicators - Section B '!$A$1:$A$82,0))&lt;&gt;0,INDEX('Impact Indicators - Section B '!AA$1:AA$82,MATCH($A78,'Impact Indicators - Section B '!$A$1:$A$82,0)),""),"")</f>
        <v/>
      </c>
      <c r="AP78" s="216"/>
      <c r="AQ78" s="216"/>
      <c r="AR78" s="216"/>
      <c r="AS78" s="216"/>
      <c r="AT78" s="216" t="str">
        <f>CONCATENATE($A78,J$52)</f>
        <v>13</v>
      </c>
      <c r="AU78" s="216" t="str">
        <f>CONCATENATE($A78,O$52)</f>
        <v>13</v>
      </c>
      <c r="AV78" s="216"/>
      <c r="AW78" s="216" t="str">
        <f t="shared" ref="AW78" si="22">CONCATENATE($A78,X$52)</f>
        <v>13</v>
      </c>
      <c r="AX78" s="216" t="str">
        <f t="shared" ref="AX78" si="23">CONCATENATE($A78,AB$52)</f>
        <v>13</v>
      </c>
      <c r="AY78" s="216"/>
      <c r="AZ78" s="216"/>
      <c r="BA78" s="216"/>
      <c r="BB78" s="216"/>
      <c r="BC78" s="383"/>
    </row>
    <row r="79" spans="1:55" s="384" customFormat="1" ht="100.2" customHeight="1" x14ac:dyDescent="0.4">
      <c r="A79" s="747"/>
      <c r="B79" s="765" t="str">
        <f ca="1">IFERROR(IF(INDEX('Impact Indicators - Section B '!AA$1:AA$82,MATCH($A78,'Impact Indicators - Section B '!$A$1:$A$82,0))&lt;&gt;0,INDEX('Impact Indicators - Section B '!AA$1:AA$82,MATCH($A78,'Impact Indicators - Section B '!$A$1:$A$82,0)),""),"")</f>
        <v/>
      </c>
      <c r="C79" s="766"/>
      <c r="D79" s="766"/>
      <c r="E79" s="766"/>
      <c r="F79" s="766"/>
      <c r="G79" s="766"/>
      <c r="H79" s="766"/>
      <c r="I79" s="766"/>
      <c r="J79" s="766"/>
      <c r="K79" s="766"/>
      <c r="L79" s="766"/>
      <c r="M79" s="766"/>
      <c r="N79" s="766"/>
      <c r="O79" s="766"/>
      <c r="P79" s="766"/>
      <c r="Q79" s="766"/>
      <c r="R79" s="766"/>
      <c r="S79" s="767"/>
      <c r="T79" s="385"/>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383"/>
    </row>
    <row r="80" spans="1:55" s="384" customFormat="1" ht="145.19999999999999" customHeight="1" x14ac:dyDescent="0.4">
      <c r="A80" s="747">
        <v>14</v>
      </c>
      <c r="B80" s="762" t="str">
        <f ca="1">IFERROR(IF(INDEX('Impact Indicators - Section B '!B$1:B$82,MATCH($A80,'Impact Indicators - Section B '!$A$1:$A$82,0))&lt;&gt;0,INDEX('Impact Indicators - Section B '!B$1:B$82,MATCH($A80,'Impact Indicators - Section B '!$A$1:$A$82,0)),""),"")</f>
        <v/>
      </c>
      <c r="C80" s="763"/>
      <c r="D80" s="764"/>
      <c r="E80" s="762" t="str">
        <f ca="1">IFERROR(IF(INDEX('Impact Indicators - Section B '!C$1:C$82,MATCH($A80,'Impact Indicators - Section B '!$A$1:$A$82,0))&lt;&gt;0,INDEX('Impact Indicators - Section B '!C$1:C$82,MATCH($A80,'Impact Indicators - Section B '!$A$1:$A$82,0)),""),"")</f>
        <v/>
      </c>
      <c r="F80" s="763"/>
      <c r="G80" s="764"/>
      <c r="H80" s="378" t="str">
        <f ca="1">IFERROR(IF(INDEX('Impact Indicators - Section B '!D$1:D$82,MATCH($A80,'Impact Indicators - Section B '!$A$1:$A$82,0))&lt;&gt;0,TEXT(INDEX('Impact Indicators - Section B '!D$1:D$82,MATCH($A80,'Impact Indicators - Section B '!$A$1:$A$82,0)),"#'##0.00"),""),"")&amp;"/"&amp;IFERROR(IF(INDEX('Impact Indicators - Section B '!D$1:D$82,MATCH($A80,'Impact Indicators - Section B '!$A$1:$A$82,0)+1)&lt;&gt;0,TEXT(INDEX('Impact Indicators - Section B '!D$1:D$82,MATCH($A80,'Impact Indicators - Section B '!$A$1:$A$82,0)+1),"#'##0.00"),""),"")&amp;CHAR(10)&amp;IFERROR(IF(INDEX('Impact Indicators - Section B '!E$1:E$82,MATCH($A80,'Impact Indicators - Section B '!$A$1:$A$82,0))&lt;&gt;0,TEXT(INDEX('Impact Indicators - Section B '!E$1:E$82,MATCH($A80,'Impact Indicators - Section B '!$A$1:$A$82,0)),"0.0%"),""),"")</f>
        <v xml:space="preserve">/
</v>
      </c>
      <c r="I80" s="379"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762" t="str">
        <f ca="1">IFERROR(IF(INDEX('Impact Indicators - Section B '!H$1:H$82,MATCH($A80,'Impact Indicators - Section B '!$A$1:$A$82,0))&lt;&gt;0,INDEX('Impact Indicators - Section B '!H$1:H$82,MATCH($A80,'Impact Indicators - Section B '!$A$1:$A$82,0)),""),"")</f>
        <v/>
      </c>
      <c r="K80" s="763"/>
      <c r="L80" s="763"/>
      <c r="M80" s="764"/>
      <c r="N80" s="380" t="str">
        <f ca="1">IFERROR(IF(INDEX('Impact Indicators - Section B '!I$1:I$82,MATCH($A80,'Impact Indicators - Section B '!$A$1:$A$82,0))&lt;&gt;0,INDEX('Impact Indicators - Section B '!I$1:I$82,MATCH($A80,'Impact Indicators - Section B '!$A$1:$A$82,0)),""),"")</f>
        <v/>
      </c>
      <c r="O80" s="379" t="str">
        <f ca="1">IFERROR(IF(INDEX('Impact Indicators - Section B '!J$1:J$82,MATCH($A80,'Impact Indicators - Section B '!$A$1:$A$82,0))&lt;&gt;0,INDEX('Impact Indicators - Section B '!J$1:J$82,MATCH($A80,'Impact Indicators - Section B '!$A$1:$A$82,0)),""),"")</f>
        <v/>
      </c>
      <c r="P80" s="381" t="str">
        <f ca="1">IFERROR(IF(INDEX('Impact Indicators - Section B '!K$1:K$82,MATCH($A80,'Impact Indicators - Section B '!$A$1:$A$82,0))&lt;&gt;0,TEXT(INDEX('Impact Indicators - Section B '!K$1:K$82,MATCH($A80,'Impact Indicators - Section B '!$A$1:$A$82,0)),"#'##0.00"),""),"")&amp;"/"&amp;IFERROR(IF(INDEX('Impact Indicators - Section B '!K$1:K$82,MATCH($A80,'Impact Indicators - Section B '!$A$1:$A$82,0)+1)&lt;&gt;0,TEXT(INDEX('Impact Indicators - Section B '!K$1:K$82,MATCH($A80,'Impact Indicators - Section B '!$A$1:$A$82,0)+1),"#'##0.00"),""),"")&amp;CHAR(10)&amp;IFERROR(IF(INDEX('Impact Indicators - Section B '!L$1:L$82,MATCH($A80,'Impact Indicators - Section B '!$A$1:$A$82,0))&lt;&gt;0,TEXT(INDEX('Impact Indicators - Section B '!L$1:L$82,MATCH($A80,'Impact Indicators - Section B '!$A$1:$A$82,0)),"0.0%"),""),"")&amp;CHAR(10)&amp;IFERROR(IF(INDEX('Impact Indicators - Section B '!N$1:N$82,MATCH($A80,'Impact Indicators - Section B '!$A$1:$A$82,0))&lt;&gt;0,INDEX('Impact Indicators - Section B '!N$1:N$82,MATCH($A80,'Impact Indicators - Section B '!$A$1:$A$82,0)),""),"")&amp;CHAR(10)&amp;IFERROR(IF(INDEX('Impact Indicators - Section B '!M$1:M$82,MATCH($A80,'Impact Indicators - Section B '!$A$1:$A$82,0))&lt;&gt;0,TEXT(INDEX('Impact Indicators - Section B '!M$1:M$82,MATCH($A80,'Impact Indicators - Section B '!$A$1:$A$82,0)),Setup!$A$33),""),"")</f>
        <v xml:space="preserve">/
</v>
      </c>
      <c r="Q80" s="381" t="str">
        <f ca="1">IFERROR(IF(INDEX('Impact Indicators - Section B '!O$1:O$82,MATCH($A80,'Impact Indicators - Section B '!$A$1:$A$82,0))&lt;&gt;0,TEXT(INDEX('Impact Indicators - Section B '!O$1:O$82,MATCH($A80,'Impact Indicators - Section B '!$A$1:$A$82,0)),"#'##0.00"),""),"")&amp;"/"&amp;IFERROR(IF(INDEX('Impact Indicators - Section B '!O$1:O$82,MATCH($A80,'Impact Indicators - Section B '!$A$1:$A$82,0)+1)&lt;&gt;0,TEXT(INDEX('Impact Indicators - Section B '!O$1:O$82,MATCH($A80,'Impact Indicators - Section B '!$A$1:$A$82,0)+1),"#'##0.00"),""),"")&amp;CHAR(10)&amp;IFERROR(IF(INDEX('Impact Indicators - Section B '!P$1:P$82,MATCH($A80,'Impact Indicators - Section B '!$A$1:$A$82,0))&lt;&gt;0,TEXT(INDEX('Impact Indicators - Section B '!P$1:P$82,MATCH($A80,'Impact Indicators - Section B '!$A$1:$A$82,0)),"0.0%"),""),"")&amp;CHAR(10)&amp;IFERROR(IF(INDEX('Impact Indicators - Section B '!R$1:R$82,MATCH($A80,'Impact Indicators - Section B '!$A$1:$A$82,0))&lt;&gt;0,INDEX('Impact Indicators - Section B '!R$1:R$82,MATCH($A80,'Impact Indicators - Section B '!$A$1:$A$82,0)),""),"")&amp;CHAR(10)&amp;IFERROR(IF(INDEX('Impact Indicators - Section B '!Q$1:Q$82,MATCH($A80,'Impact Indicators - Section B '!$A$1:$A$82,0))&lt;&gt;0,TEXT(INDEX('Impact Indicators - Section B '!Q$1:Q$82,MATCH($A80,'Impact Indicators - Section B '!$A$1:$A$82,0)),Setup!$A$33),""),"")</f>
        <v xml:space="preserve">/
</v>
      </c>
      <c r="R80" s="381" t="str">
        <f ca="1">IFERROR(IF(INDEX('Impact Indicators - Section B '!S$1:S$82,MATCH($A80,'Impact Indicators - Section B '!$A$1:$A$82,0))&lt;&gt;0,TEXT(INDEX('Impact Indicators - Section B '!S$1:S$82,MATCH($A80,'Impact Indicators - Section B '!$A$1:$A$82,0)),"#'##0.00"),""),"")&amp;"/"&amp;IFERROR(IF(INDEX('Impact Indicators - Section B '!S$1:S$82,MATCH($A80,'Impact Indicators - Section B '!$A$1:$A$82,0)+1)&lt;&gt;0,TEXT(INDEX('Impact Indicators - Section B '!S$1:S$82,MATCH($A80,'Impact Indicators - Section B '!$A$1:$A$82,0)+1),"#'##0.00"),""),"")&amp;CHAR(10)&amp;IFERROR(IF(INDEX('Impact Indicators - Section B '!T$1:T$82,MATCH($A80,'Impact Indicators - Section B '!$A$1:$A$82,0))&lt;&gt;0,TEXT(INDEX('Impact Indicators - Section B '!T$1:T$82,MATCH($A80,'Impact Indicators - Section B '!$A$1:$A$82,0)),"0.0%"),""),"")&amp;CHAR(10)&amp;IFERROR(IF(INDEX('Impact Indicators - Section B '!V$1:V$82,MATCH($A80,'Impact Indicators - Section B '!$A$1:$A$82,0))&lt;&gt;0,TEXT(INDEX('Impact Indicators - Section B '!V$1:V$82,MATCH($A80,'Impact Indicators - Section B '!$A$1:$A$82,0)),Setup!$A$33),""),"")&amp;CHAR(10)&amp;IFERROR(IF(INDEX('Impact Indicators - Section B '!U$1:U$82,MATCH($A80,'Impact Indicators - Section B '!$A$1:$A$82,0))&lt;&gt;0,TEXT(INDEX('Impact Indicators - Section B '!U$1:U$82,MATCH($A80,'Impact Indicators - Section B '!$A$1:$A$82,0)),Setup!$A$33),""),"")</f>
        <v xml:space="preserve">/
</v>
      </c>
      <c r="S80" s="381" t="str">
        <f ca="1">IFERROR(IF(INDEX('Impact Indicators - Section B '!W$1:W$82,MATCH($A80,'Impact Indicators - Section B '!$A$1:$A$82,0))&lt;&gt;0,TEXT(INDEX('Impact Indicators - Section B '!W$1:W$82,MATCH($A80,'Impact Indicators - Section B '!$A$1:$A$82,0)),"#'##0.00"),""),"")&amp;"/"&amp;IFERROR(IF(INDEX('Impact Indicators - Section B '!W$1:W$82,MATCH($A80,'Impact Indicators - Section B '!$A$1:$A$82,0)+1)&lt;&gt;0,TEXT(INDEX('Impact Indicators - Section B '!W$1:W$82,MATCH($A80,'Impact Indicators - Section B '!$A$1:$A$82,0)+1),"#'##0.00"),""),"")&amp;CHAR(10)&amp;IFERROR(IF(INDEX('Impact Indicators - Section B '!X$1:X$82,MATCH($A80,'Impact Indicators - Section B '!$A$1:$A$82,0))&lt;&gt;0,TEXT(INDEX('Impact Indicators - Section B '!X$1:X$82,MATCH($A80,'Impact Indicators - Section B '!$A$1:$A$82,0)),"0.0%"),""),"")&amp;CHAR(10)&amp;IFERROR(IF(INDEX('Impact Indicators - Section B '!Z$1:Z$82,MATCH($A80,'Impact Indicators - Section B '!$A$1:$A$82,0))&lt;&gt;0,INDEX('Impact Indicators - Section B '!Z$1:Z$82,MATCH($A80,'Impact Indicators - Section B '!$A$1:$A$82,0)),""),"")&amp;CHAR(10)&amp;IFERROR(IF(INDEX('Impact Indicators - Section B '!Y$1:Y$82,MATCH($A80,'Impact Indicators - Section B '!$A$1:$A$82,0))&lt;&gt;0,TEXT(INDEX('Impact Indicators - Section B '!Y$1:Y$82,MATCH($A80,'Impact Indicators - Section B '!$A$1:$A$82,0)),Setup!$A$33),""),"")</f>
        <v xml:space="preserve">/
</v>
      </c>
      <c r="T80" s="382"/>
      <c r="U80" s="216"/>
      <c r="V80" s="216"/>
      <c r="W80" s="216"/>
      <c r="X80" s="216"/>
      <c r="Y80" s="216"/>
      <c r="Z80" s="216"/>
      <c r="AA80" s="216"/>
      <c r="AB80" s="216"/>
      <c r="AC80" s="216"/>
      <c r="AD80" s="216"/>
      <c r="AE80" s="216"/>
      <c r="AF80" s="216"/>
      <c r="AG80" s="216"/>
      <c r="AH80" s="216"/>
      <c r="AI80" s="216"/>
      <c r="AJ80" s="216"/>
      <c r="AK80" s="216"/>
      <c r="AL80" s="216"/>
      <c r="AM80" s="216"/>
      <c r="AN80" s="216"/>
      <c r="AO80" s="216" t="str">
        <f ca="1">IFERROR(IF(INDEX('Impact Indicators - Section B '!AA$1:AA$82,MATCH($A80,'Impact Indicators - Section B '!$A$1:$A$82,0))&lt;&gt;0,INDEX('Impact Indicators - Section B '!AA$1:AA$82,MATCH($A80,'Impact Indicators - Section B '!$A$1:$A$82,0)),""),"")</f>
        <v/>
      </c>
      <c r="AP80" s="216"/>
      <c r="AQ80" s="216"/>
      <c r="AR80" s="216"/>
      <c r="AS80" s="216"/>
      <c r="AT80" s="216" t="str">
        <f>CONCATENATE($A80,J$52)</f>
        <v>14</v>
      </c>
      <c r="AU80" s="216" t="str">
        <f>CONCATENATE($A80,O$52)</f>
        <v>14</v>
      </c>
      <c r="AV80" s="216"/>
      <c r="AW80" s="216" t="str">
        <f t="shared" ref="AW80" si="24">CONCATENATE($A80,X$52)</f>
        <v>14</v>
      </c>
      <c r="AX80" s="216" t="str">
        <f t="shared" ref="AX80" si="25">CONCATENATE($A80,AB$52)</f>
        <v>14</v>
      </c>
      <c r="AY80" s="216"/>
      <c r="AZ80" s="216"/>
      <c r="BA80" s="216"/>
      <c r="BB80" s="216"/>
      <c r="BC80" s="383"/>
    </row>
    <row r="81" spans="1:55" s="384" customFormat="1" ht="100.2" customHeight="1" x14ac:dyDescent="0.4">
      <c r="A81" s="747"/>
      <c r="B81" s="717" t="str">
        <f ca="1">IFERROR(IF(INDEX('Impact Indicators - Section B '!AA$1:AA$82,MATCH($A80,'Impact Indicators - Section B '!$A$1:$A$82,0))&lt;&gt;0,INDEX('Impact Indicators - Section B '!AA$1:AA$82,MATCH($A80,'Impact Indicators - Section B '!$A$1:$A$82,0)),""),"")</f>
        <v/>
      </c>
      <c r="C81" s="718"/>
      <c r="D81" s="718"/>
      <c r="E81" s="718"/>
      <c r="F81" s="718"/>
      <c r="G81" s="718"/>
      <c r="H81" s="718"/>
      <c r="I81" s="719"/>
      <c r="J81" s="719"/>
      <c r="K81" s="719"/>
      <c r="L81" s="719"/>
      <c r="M81" s="719"/>
      <c r="N81" s="719"/>
      <c r="O81" s="719"/>
      <c r="P81" s="719"/>
      <c r="Q81" s="719"/>
      <c r="R81" s="719"/>
      <c r="S81" s="720"/>
      <c r="T81" s="385"/>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383"/>
    </row>
    <row r="82" spans="1:55" s="384" customFormat="1" ht="145.19999999999999" customHeight="1" x14ac:dyDescent="0.4">
      <c r="A82" s="747">
        <v>15</v>
      </c>
      <c r="B82" s="762" t="str">
        <f ca="1">IFERROR(IF(INDEX('Impact Indicators - Section B '!B$1:B$82,MATCH($A82,'Impact Indicators - Section B '!$A$1:$A$82,0))&lt;&gt;0,INDEX('Impact Indicators - Section B '!B$1:B$82,MATCH($A82,'Impact Indicators - Section B '!$A$1:$A$82,0)),""),"")</f>
        <v/>
      </c>
      <c r="C82" s="763"/>
      <c r="D82" s="764"/>
      <c r="E82" s="762" t="str">
        <f ca="1">IFERROR(IF(INDEX('Impact Indicators - Section B '!C$1:C$82,MATCH($A82,'Impact Indicators - Section B '!$A$1:$A$82,0))&lt;&gt;0,INDEX('Impact Indicators - Section B '!C$1:C$82,MATCH($A82,'Impact Indicators - Section B '!$A$1:$A$82,0)),""),"")</f>
        <v/>
      </c>
      <c r="F82" s="763"/>
      <c r="G82" s="764"/>
      <c r="H82" s="378" t="str">
        <f ca="1">IFERROR(IF(INDEX('Impact Indicators - Section B '!D$1:D$82,MATCH($A82,'Impact Indicators - Section B '!$A$1:$A$82,0))&lt;&gt;0,TEXT(INDEX('Impact Indicators - Section B '!D$1:D$82,MATCH($A82,'Impact Indicators - Section B '!$A$1:$A$82,0)),"#'##0.00"),""),"")&amp;"/"&amp;IFERROR(IF(INDEX('Impact Indicators - Section B '!D$1:D$82,MATCH($A82,'Impact Indicators - Section B '!$A$1:$A$82,0)+1)&lt;&gt;0,TEXT(INDEX('Impact Indicators - Section B '!D$1:D$82,MATCH($A82,'Impact Indicators - Section B '!$A$1:$A$82,0)+1),"#'##0.00"),""),"")&amp;CHAR(10)&amp;IFERROR(IF(INDEX('Impact Indicators - Section B '!E$1:E$82,MATCH($A82,'Impact Indicators - Section B '!$A$1:$A$82,0))&lt;&gt;0,TEXT(INDEX('Impact Indicators - Section B '!E$1:E$82,MATCH($A82,'Impact Indicators - Section B '!$A$1:$A$82,0)),"0.0%"),""),"")</f>
        <v xml:space="preserve">/
</v>
      </c>
      <c r="I82" s="379"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762" t="str">
        <f ca="1">IFERROR(IF(INDEX('Impact Indicators - Section B '!H$1:H$82,MATCH($A82,'Impact Indicators - Section B '!$A$1:$A$82,0))&lt;&gt;0,INDEX('Impact Indicators - Section B '!H$1:H$82,MATCH($A82,'Impact Indicators - Section B '!$A$1:$A$82,0)),""),"")</f>
        <v/>
      </c>
      <c r="K82" s="763"/>
      <c r="L82" s="763"/>
      <c r="M82" s="764"/>
      <c r="N82" s="380" t="str">
        <f ca="1">IFERROR(IF(INDEX('Impact Indicators - Section B '!I$1:I$82,MATCH($A82,'Impact Indicators - Section B '!$A$1:$A$82,0))&lt;&gt;0,INDEX('Impact Indicators - Section B '!I$1:I$82,MATCH($A82,'Impact Indicators - Section B '!$A$1:$A$82,0)),""),"")</f>
        <v/>
      </c>
      <c r="O82" s="379" t="str">
        <f ca="1">IFERROR(IF(INDEX('Impact Indicators - Section B '!J$1:J$82,MATCH($A82,'Impact Indicators - Section B '!$A$1:$A$82,0))&lt;&gt;0,INDEX('Impact Indicators - Section B '!J$1:J$82,MATCH($A82,'Impact Indicators - Section B '!$A$1:$A$82,0)),""),"")</f>
        <v/>
      </c>
      <c r="P82" s="381" t="str">
        <f ca="1">IFERROR(IF(INDEX('Impact Indicators - Section B '!K$1:K$82,MATCH($A82,'Impact Indicators - Section B '!$A$1:$A$82,0))&lt;&gt;0,TEXT(INDEX('Impact Indicators - Section B '!K$1:K$82,MATCH($A82,'Impact Indicators - Section B '!$A$1:$A$82,0)),"#'##0.00"),""),"")&amp;"/"&amp;IFERROR(IF(INDEX('Impact Indicators - Section B '!K$1:K$82,MATCH($A82,'Impact Indicators - Section B '!$A$1:$A$82,0)+1)&lt;&gt;0,TEXT(INDEX('Impact Indicators - Section B '!K$1:K$82,MATCH($A82,'Impact Indicators - Section B '!$A$1:$A$82,0)+1),"#'##0.00"),""),"")&amp;CHAR(10)&amp;IFERROR(IF(INDEX('Impact Indicators - Section B '!L$1:L$82,MATCH($A82,'Impact Indicators - Section B '!$A$1:$A$82,0))&lt;&gt;0,TEXT(INDEX('Impact Indicators - Section B '!L$1:L$82,MATCH($A82,'Impact Indicators - Section B '!$A$1:$A$82,0)),"0.0%"),""),"")&amp;CHAR(10)&amp;IFERROR(IF(INDEX('Impact Indicators - Section B '!N$1:N$82,MATCH($A82,'Impact Indicators - Section B '!$A$1:$A$82,0))&lt;&gt;0,INDEX('Impact Indicators - Section B '!N$1:N$82,MATCH($A82,'Impact Indicators - Section B '!$A$1:$A$82,0)),""),"")&amp;CHAR(10)&amp;IFERROR(IF(INDEX('Impact Indicators - Section B '!M$1:M$82,MATCH($A82,'Impact Indicators - Section B '!$A$1:$A$82,0))&lt;&gt;0,TEXT(INDEX('Impact Indicators - Section B '!M$1:M$82,MATCH($A82,'Impact Indicators - Section B '!$A$1:$A$82,0)),Setup!$A$33),""),"")</f>
        <v xml:space="preserve">/
</v>
      </c>
      <c r="Q82" s="381" t="str">
        <f ca="1">IFERROR(IF(INDEX('Impact Indicators - Section B '!O$1:O$82,MATCH($A82,'Impact Indicators - Section B '!$A$1:$A$82,0))&lt;&gt;0,TEXT(INDEX('Impact Indicators - Section B '!O$1:O$82,MATCH($A82,'Impact Indicators - Section B '!$A$1:$A$82,0)),"#'##0.00"),""),"")&amp;"/"&amp;IFERROR(IF(INDEX('Impact Indicators - Section B '!O$1:O$82,MATCH($A82,'Impact Indicators - Section B '!$A$1:$A$82,0)+1)&lt;&gt;0,TEXT(INDEX('Impact Indicators - Section B '!O$1:O$82,MATCH($A82,'Impact Indicators - Section B '!$A$1:$A$82,0)+1),"#'##0.00"),""),"")&amp;CHAR(10)&amp;IFERROR(IF(INDEX('Impact Indicators - Section B '!P$1:P$82,MATCH($A82,'Impact Indicators - Section B '!$A$1:$A$82,0))&lt;&gt;0,TEXT(INDEX('Impact Indicators - Section B '!P$1:P$82,MATCH($A82,'Impact Indicators - Section B '!$A$1:$A$82,0)),"0.0%"),""),"")&amp;CHAR(10)&amp;IFERROR(IF(INDEX('Impact Indicators - Section B '!R$1:R$82,MATCH($A82,'Impact Indicators - Section B '!$A$1:$A$82,0))&lt;&gt;0,INDEX('Impact Indicators - Section B '!R$1:R$82,MATCH($A82,'Impact Indicators - Section B '!$A$1:$A$82,0)),""),"")&amp;CHAR(10)&amp;IFERROR(IF(INDEX('Impact Indicators - Section B '!Q$1:Q$82,MATCH($A82,'Impact Indicators - Section B '!$A$1:$A$82,0))&lt;&gt;0,TEXT(INDEX('Impact Indicators - Section B '!Q$1:Q$82,MATCH($A82,'Impact Indicators - Section B '!$A$1:$A$82,0)),Setup!$A$33),""),"")</f>
        <v xml:space="preserve">/
</v>
      </c>
      <c r="R82" s="381" t="str">
        <f ca="1">IFERROR(IF(INDEX('Impact Indicators - Section B '!S$1:S$82,MATCH($A82,'Impact Indicators - Section B '!$A$1:$A$82,0))&lt;&gt;0,TEXT(INDEX('Impact Indicators - Section B '!S$1:S$82,MATCH($A82,'Impact Indicators - Section B '!$A$1:$A$82,0)),"#'##0.00"),""),"")&amp;"/"&amp;IFERROR(IF(INDEX('Impact Indicators - Section B '!S$1:S$82,MATCH($A82,'Impact Indicators - Section B '!$A$1:$A$82,0)+1)&lt;&gt;0,TEXT(INDEX('Impact Indicators - Section B '!S$1:S$82,MATCH($A82,'Impact Indicators - Section B '!$A$1:$A$82,0)+1),"#'##0.00"),""),"")&amp;CHAR(10)&amp;IFERROR(IF(INDEX('Impact Indicators - Section B '!T$1:T$82,MATCH($A82,'Impact Indicators - Section B '!$A$1:$A$82,0))&lt;&gt;0,TEXT(INDEX('Impact Indicators - Section B '!T$1:T$82,MATCH($A82,'Impact Indicators - Section B '!$A$1:$A$82,0)),"0.0%"),""),"")&amp;CHAR(10)&amp;IFERROR(IF(INDEX('Impact Indicators - Section B '!V$1:V$82,MATCH($A82,'Impact Indicators - Section B '!$A$1:$A$82,0))&lt;&gt;0,TEXT(INDEX('Impact Indicators - Section B '!V$1:V$82,MATCH($A82,'Impact Indicators - Section B '!$A$1:$A$82,0)),Setup!$A$33),""),"")&amp;CHAR(10)&amp;IFERROR(IF(INDEX('Impact Indicators - Section B '!U$1:U$82,MATCH($A82,'Impact Indicators - Section B '!$A$1:$A$82,0))&lt;&gt;0,TEXT(INDEX('Impact Indicators - Section B '!U$1:U$82,MATCH($A82,'Impact Indicators - Section B '!$A$1:$A$82,0)),Setup!$A$33),""),"")</f>
        <v xml:space="preserve">/
</v>
      </c>
      <c r="S82" s="381" t="str">
        <f ca="1">IFERROR(IF(INDEX('Impact Indicators - Section B '!W$1:W$82,MATCH($A82,'Impact Indicators - Section B '!$A$1:$A$82,0))&lt;&gt;0,TEXT(INDEX('Impact Indicators - Section B '!W$1:W$82,MATCH($A82,'Impact Indicators - Section B '!$A$1:$A$82,0)),"#'##0.00"),""),"")&amp;"/"&amp;IFERROR(IF(INDEX('Impact Indicators - Section B '!W$1:W$82,MATCH($A82,'Impact Indicators - Section B '!$A$1:$A$82,0)+1)&lt;&gt;0,TEXT(INDEX('Impact Indicators - Section B '!W$1:W$82,MATCH($A82,'Impact Indicators - Section B '!$A$1:$A$82,0)+1),"#'##0.00"),""),"")&amp;CHAR(10)&amp;IFERROR(IF(INDEX('Impact Indicators - Section B '!X$1:X$82,MATCH($A82,'Impact Indicators - Section B '!$A$1:$A$82,0))&lt;&gt;0,TEXT(INDEX('Impact Indicators - Section B '!X$1:X$82,MATCH($A82,'Impact Indicators - Section B '!$A$1:$A$82,0)),"0.0%"),""),"")&amp;CHAR(10)&amp;IFERROR(IF(INDEX('Impact Indicators - Section B '!Z$1:Z$82,MATCH($A82,'Impact Indicators - Section B '!$A$1:$A$82,0))&lt;&gt;0,INDEX('Impact Indicators - Section B '!Z$1:Z$82,MATCH($A82,'Impact Indicators - Section B '!$A$1:$A$82,0)),""),"")&amp;CHAR(10)&amp;IFERROR(IF(INDEX('Impact Indicators - Section B '!Y$1:Y$82,MATCH($A82,'Impact Indicators - Section B '!$A$1:$A$82,0))&lt;&gt;0,TEXT(INDEX('Impact Indicators - Section B '!Y$1:Y$82,MATCH($A82,'Impact Indicators - Section B '!$A$1:$A$82,0)),Setup!$A$33),""),"")</f>
        <v xml:space="preserve">/
</v>
      </c>
      <c r="T82" s="382"/>
      <c r="U82" s="216"/>
      <c r="V82" s="216"/>
      <c r="W82" s="216"/>
      <c r="X82" s="216"/>
      <c r="Y82" s="216"/>
      <c r="Z82" s="216"/>
      <c r="AA82" s="216"/>
      <c r="AB82" s="216"/>
      <c r="AC82" s="216"/>
      <c r="AD82" s="216"/>
      <c r="AE82" s="216"/>
      <c r="AF82" s="216"/>
      <c r="AG82" s="216"/>
      <c r="AH82" s="216"/>
      <c r="AI82" s="216"/>
      <c r="AJ82" s="216"/>
      <c r="AK82" s="216"/>
      <c r="AL82" s="216"/>
      <c r="AM82" s="216"/>
      <c r="AN82" s="216"/>
      <c r="AO82" s="216" t="str">
        <f ca="1">IFERROR(IF(INDEX('Impact Indicators - Section B '!AA$1:AA$82,MATCH($A82,'Impact Indicators - Section B '!$A$1:$A$82,0))&lt;&gt;0,INDEX('Impact Indicators - Section B '!AA$1:AA$82,MATCH($A82,'Impact Indicators - Section B '!$A$1:$A$82,0)),""),"")</f>
        <v/>
      </c>
      <c r="AP82" s="216"/>
      <c r="AQ82" s="216"/>
      <c r="AR82" s="216"/>
      <c r="AS82" s="216"/>
      <c r="AT82" s="216" t="str">
        <f>CONCATENATE($A82,J$52)</f>
        <v>15</v>
      </c>
      <c r="AU82" s="216" t="str">
        <f>CONCATENATE($A82,O$52)</f>
        <v>15</v>
      </c>
      <c r="AV82" s="216"/>
      <c r="AW82" s="216" t="str">
        <f t="shared" ref="AW82" si="26">CONCATENATE($A82,X$52)</f>
        <v>15</v>
      </c>
      <c r="AX82" s="216" t="str">
        <f t="shared" ref="AX82" si="27">CONCATENATE($A82,AB$52)</f>
        <v>15</v>
      </c>
      <c r="AY82" s="216"/>
      <c r="AZ82" s="216"/>
      <c r="BA82" s="216"/>
      <c r="BB82" s="216"/>
      <c r="BC82" s="383"/>
    </row>
    <row r="83" spans="1:55" s="384" customFormat="1" ht="100.2" customHeight="1" x14ac:dyDescent="0.4">
      <c r="A83" s="747"/>
      <c r="B83" s="727" t="str">
        <f ca="1">IFERROR(IF(INDEX('Impact Indicators - Section B '!AA$1:AA$82,MATCH($A82,'Impact Indicators - Section B '!$A$1:$A$82,0))&lt;&gt;0,INDEX('Impact Indicators - Section B '!AA$1:AA$82,MATCH($A82,'Impact Indicators - Section B '!$A$1:$A$82,0)),""),"")</f>
        <v/>
      </c>
      <c r="C83" s="728"/>
      <c r="D83" s="728"/>
      <c r="E83" s="728"/>
      <c r="F83" s="728"/>
      <c r="G83" s="728"/>
      <c r="H83" s="728"/>
      <c r="I83" s="728"/>
      <c r="J83" s="728"/>
      <c r="K83" s="728"/>
      <c r="L83" s="728"/>
      <c r="M83" s="728"/>
      <c r="N83" s="728"/>
      <c r="O83" s="728"/>
      <c r="P83" s="728"/>
      <c r="Q83" s="728"/>
      <c r="R83" s="728"/>
      <c r="S83" s="729"/>
      <c r="T83" s="385"/>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383"/>
    </row>
    <row r="84" spans="1:55" x14ac:dyDescent="0.3">
      <c r="A84" s="386"/>
      <c r="B84" s="386"/>
      <c r="C84" s="386"/>
      <c r="D84" s="386"/>
      <c r="E84" s="386"/>
      <c r="F84" s="386"/>
      <c r="G84" s="386"/>
      <c r="H84" s="386"/>
      <c r="I84" s="386"/>
      <c r="J84" s="386"/>
      <c r="K84" s="386"/>
      <c r="L84" s="386"/>
      <c r="M84" s="386"/>
      <c r="N84" s="387"/>
      <c r="O84" s="386"/>
      <c r="P84" s="386"/>
      <c r="Q84" s="386"/>
      <c r="R84" s="386"/>
      <c r="S84" s="386"/>
      <c r="T84" s="386"/>
      <c r="U84" s="216"/>
      <c r="V84" s="216"/>
      <c r="W84" s="216"/>
      <c r="X84" s="216"/>
      <c r="Y84" s="216"/>
      <c r="Z84" s="216"/>
      <c r="AA84" s="216"/>
      <c r="AB84" s="216"/>
      <c r="AC84" s="216"/>
      <c r="AD84" s="216"/>
      <c r="AE84" s="216"/>
      <c r="AF84" s="216"/>
      <c r="AG84" s="216"/>
      <c r="AH84" s="216"/>
      <c r="AI84" s="216"/>
      <c r="AJ84" s="216"/>
      <c r="AK84" s="216"/>
      <c r="AL84" s="216"/>
      <c r="AM84" s="216"/>
      <c r="AN84" s="216"/>
      <c r="AO84" s="216"/>
      <c r="AQ84" s="216"/>
      <c r="AR84" s="216"/>
      <c r="AS84" s="216"/>
      <c r="AT84" s="216"/>
      <c r="AU84" s="216"/>
      <c r="AV84" s="216"/>
      <c r="AW84" s="216"/>
      <c r="AX84" s="216"/>
      <c r="AY84" s="216"/>
      <c r="AZ84" s="216"/>
      <c r="BA84" s="216"/>
      <c r="BB84" s="216"/>
    </row>
    <row r="85" spans="1:55" x14ac:dyDescent="0.3">
      <c r="A85" s="386"/>
      <c r="B85" s="386"/>
      <c r="C85" s="386"/>
      <c r="D85" s="386"/>
      <c r="E85" s="386"/>
      <c r="F85" s="386"/>
      <c r="G85" s="386"/>
      <c r="H85" s="386"/>
      <c r="I85" s="386"/>
      <c r="J85" s="386"/>
      <c r="K85" s="386"/>
      <c r="L85" s="386"/>
      <c r="M85" s="386"/>
      <c r="N85" s="387"/>
      <c r="O85" s="386"/>
      <c r="P85" s="386"/>
      <c r="Q85" s="386"/>
      <c r="R85" s="386"/>
      <c r="S85" s="386"/>
      <c r="T85" s="386"/>
      <c r="U85" s="216"/>
      <c r="V85" s="216"/>
      <c r="W85" s="216"/>
      <c r="X85" s="216"/>
      <c r="Y85" s="216"/>
      <c r="Z85" s="216"/>
      <c r="AA85" s="216"/>
      <c r="AB85" s="216"/>
      <c r="AC85" s="216"/>
      <c r="AD85" s="216"/>
      <c r="AE85" s="216"/>
      <c r="AF85" s="216"/>
      <c r="AG85" s="216"/>
      <c r="AH85" s="216"/>
      <c r="AI85" s="216"/>
      <c r="AJ85" s="216"/>
      <c r="AK85" s="216"/>
      <c r="AL85" s="216"/>
      <c r="AM85" s="216"/>
      <c r="AN85" s="216"/>
      <c r="AO85" s="216"/>
      <c r="AQ85" s="216"/>
      <c r="AR85" s="216"/>
      <c r="AS85" s="216"/>
      <c r="AT85" s="216"/>
      <c r="AU85" s="216"/>
      <c r="AV85" s="216"/>
      <c r="AW85" s="216"/>
      <c r="AX85" s="216"/>
      <c r="AY85" s="216"/>
      <c r="AZ85" s="216"/>
      <c r="BA85" s="216"/>
      <c r="BB85" s="216"/>
    </row>
    <row r="86" spans="1:55" x14ac:dyDescent="0.3">
      <c r="A86" s="386"/>
      <c r="B86" s="386"/>
      <c r="C86" s="386"/>
      <c r="D86" s="386"/>
      <c r="E86" s="386"/>
      <c r="F86" s="386"/>
      <c r="G86" s="386"/>
      <c r="H86" s="386"/>
      <c r="I86" s="386"/>
      <c r="J86" s="386"/>
      <c r="K86" s="386"/>
      <c r="L86" s="386"/>
      <c r="M86" s="386"/>
      <c r="N86" s="387"/>
      <c r="O86" s="386"/>
      <c r="P86" s="386"/>
      <c r="Q86" s="386"/>
      <c r="R86" s="386"/>
      <c r="S86" s="386"/>
      <c r="T86" s="386"/>
      <c r="U86" s="216"/>
      <c r="V86" s="216"/>
      <c r="W86" s="216"/>
      <c r="X86" s="216"/>
      <c r="Y86" s="216"/>
      <c r="Z86" s="216"/>
      <c r="AA86" s="216"/>
      <c r="AB86" s="216"/>
      <c r="AC86" s="216"/>
      <c r="AD86" s="216"/>
      <c r="AE86" s="216"/>
      <c r="AF86" s="216"/>
      <c r="AG86" s="216"/>
      <c r="AH86" s="216"/>
      <c r="AI86" s="216"/>
      <c r="AJ86" s="216"/>
      <c r="AK86" s="216"/>
      <c r="AL86" s="216"/>
      <c r="AM86" s="216"/>
      <c r="AN86" s="216"/>
      <c r="AO86" s="216"/>
      <c r="AQ86" s="216"/>
      <c r="AR86" s="216"/>
      <c r="AS86" s="216"/>
      <c r="AT86" s="216"/>
      <c r="AU86" s="216"/>
      <c r="AV86" s="216"/>
      <c r="AW86" s="216"/>
      <c r="AX86" s="216"/>
      <c r="AY86" s="216"/>
      <c r="AZ86" s="216"/>
      <c r="BA86" s="216"/>
      <c r="BB86" s="216"/>
    </row>
    <row r="87" spans="1:55" ht="27.6" customHeight="1" x14ac:dyDescent="0.3">
      <c r="A87" s="782" t="str">
        <f ca="1">Translations!A25</f>
        <v>Objectifs</v>
      </c>
      <c r="B87" s="783"/>
      <c r="C87" s="783"/>
      <c r="D87" s="783"/>
      <c r="E87" s="783"/>
      <c r="F87" s="783"/>
      <c r="G87" s="783"/>
      <c r="H87" s="783"/>
      <c r="I87" s="783"/>
      <c r="J87" s="783"/>
      <c r="K87" s="783"/>
      <c r="L87" s="783"/>
      <c r="M87" s="783"/>
      <c r="N87" s="783"/>
      <c r="O87" s="783"/>
      <c r="P87" s="783"/>
      <c r="Q87" s="783"/>
      <c r="R87" s="783"/>
      <c r="S87" s="783"/>
      <c r="T87" s="281"/>
      <c r="U87" s="216"/>
      <c r="V87" s="216"/>
      <c r="W87" s="216"/>
      <c r="X87" s="216"/>
      <c r="Y87" s="216"/>
      <c r="Z87" s="216"/>
      <c r="AA87" s="216"/>
      <c r="AB87" s="216"/>
      <c r="AC87" s="216"/>
      <c r="AD87" s="216"/>
      <c r="AE87" s="216"/>
      <c r="AF87" s="216"/>
      <c r="AG87" s="216"/>
      <c r="AH87" s="216"/>
      <c r="AI87" s="216"/>
      <c r="AJ87" s="216"/>
      <c r="AK87" s="216"/>
      <c r="AL87" s="216"/>
      <c r="AM87" s="216"/>
      <c r="AN87" s="216"/>
      <c r="AO87" s="216"/>
      <c r="AQ87" s="216"/>
      <c r="AR87" s="216"/>
      <c r="AS87" s="216"/>
      <c r="AT87" s="216"/>
      <c r="AU87" s="216"/>
      <c r="AV87" s="216"/>
      <c r="AW87" s="216"/>
      <c r="AX87" s="216"/>
      <c r="AY87" s="216"/>
      <c r="AZ87" s="216"/>
      <c r="BA87" s="216"/>
      <c r="BB87" s="216"/>
    </row>
    <row r="88" spans="1:55" ht="28.8" x14ac:dyDescent="0.3">
      <c r="A88" s="388">
        <v>1</v>
      </c>
      <c r="B88" s="731" t="str">
        <f ca="1">IFERROR(IF(INDEX('Overview - Section A'!$E$76:$E$90,MATCH($A88,'Overview - Section A'!$A$76:$A$90,0))&lt;&gt;0,INDEX('Overview - Section A'!$E$76:$E$90,MATCH($A88,'Overview - Section A'!$A$76:$A$90,0)),""),"")</f>
        <v>En 2025, les nouvelles infections à VIH sont réduites de 70% / In 2025, new HIV infections are reduced by 70%</v>
      </c>
      <c r="C88" s="732"/>
      <c r="D88" s="732"/>
      <c r="E88" s="732"/>
      <c r="F88" s="732"/>
      <c r="G88" s="732"/>
      <c r="H88" s="732"/>
      <c r="I88" s="732"/>
      <c r="J88" s="732"/>
      <c r="K88" s="732"/>
      <c r="L88" s="732"/>
      <c r="M88" s="732"/>
      <c r="N88" s="732"/>
      <c r="O88" s="732"/>
      <c r="P88" s="732"/>
      <c r="Q88" s="732"/>
      <c r="R88" s="732"/>
      <c r="S88" s="732"/>
      <c r="T88" s="389"/>
      <c r="U88" s="216"/>
      <c r="V88" s="216"/>
      <c r="W88" s="216"/>
      <c r="X88" s="216"/>
      <c r="Y88" s="216"/>
      <c r="Z88" s="216"/>
      <c r="AA88" s="216"/>
      <c r="AB88" s="216"/>
      <c r="AC88" s="216"/>
      <c r="AD88" s="216"/>
      <c r="AE88" s="216"/>
      <c r="AF88" s="216"/>
      <c r="AG88" s="216"/>
      <c r="AH88" s="216"/>
      <c r="AI88" s="216"/>
      <c r="AJ88" s="216"/>
      <c r="AK88" s="216"/>
      <c r="AL88" s="216"/>
      <c r="AM88" s="216"/>
      <c r="AN88" s="216"/>
      <c r="AO88" s="216"/>
      <c r="AQ88" s="216"/>
      <c r="AR88" s="216"/>
      <c r="AS88" s="216"/>
      <c r="AT88" s="216"/>
      <c r="AU88" s="216"/>
      <c r="AV88" s="216"/>
      <c r="AW88" s="216"/>
      <c r="AX88" s="216"/>
      <c r="AY88" s="216"/>
      <c r="AZ88" s="216"/>
      <c r="BA88" s="216"/>
      <c r="BB88" s="216"/>
    </row>
    <row r="89" spans="1:55" ht="28.8" x14ac:dyDescent="0.3">
      <c r="A89" s="388">
        <v>2</v>
      </c>
      <c r="B89" s="731" t="str">
        <f ca="1">IFERROR(IF(INDEX('Overview - Section A'!$E$76:$E$90,MATCH($A89,'Overview - Section A'!$A$76:$A$90,0))&lt;&gt;0,INDEX('Overview - Section A'!$E$76:$E$90,MATCH($A89,'Overview - Section A'!$A$76:$A$90,0)),""),"")</f>
        <v>En 2025, la mortalité liée au VIH est réduite de 50% / In 2025, HIV-related mortality is reduced by 50%</v>
      </c>
      <c r="C89" s="732"/>
      <c r="D89" s="732"/>
      <c r="E89" s="732"/>
      <c r="F89" s="732"/>
      <c r="G89" s="732"/>
      <c r="H89" s="732"/>
      <c r="I89" s="732"/>
      <c r="J89" s="732"/>
      <c r="K89" s="732"/>
      <c r="L89" s="732"/>
      <c r="M89" s="732"/>
      <c r="N89" s="732"/>
      <c r="O89" s="732"/>
      <c r="P89" s="732"/>
      <c r="Q89" s="732"/>
      <c r="R89" s="732"/>
      <c r="S89" s="732"/>
      <c r="T89" s="389"/>
      <c r="U89" s="216"/>
      <c r="V89" s="216"/>
      <c r="W89" s="216"/>
      <c r="X89" s="216"/>
      <c r="Y89" s="216"/>
      <c r="Z89" s="216"/>
      <c r="AA89" s="216"/>
      <c r="AB89" s="216"/>
      <c r="AC89" s="216"/>
      <c r="AD89" s="216"/>
      <c r="AE89" s="216"/>
      <c r="AF89" s="216"/>
      <c r="AG89" s="216"/>
      <c r="AH89" s="216"/>
      <c r="AI89" s="216"/>
      <c r="AJ89" s="216"/>
      <c r="AK89" s="216"/>
      <c r="AL89" s="216"/>
      <c r="AM89" s="216"/>
      <c r="AN89" s="216"/>
      <c r="AO89" s="216"/>
      <c r="AQ89" s="216"/>
      <c r="AR89" s="216"/>
      <c r="AS89" s="216"/>
    </row>
    <row r="90" spans="1:55" ht="28.8" x14ac:dyDescent="0.3">
      <c r="A90" s="388">
        <v>3</v>
      </c>
      <c r="B90" s="731" t="str">
        <f ca="1">IFERROR(IF(INDEX('Overview - Section A'!$E$76:$E$90,MATCH($A90,'Overview - Section A'!$A$76:$A$90,0))&lt;&gt;0,INDEX('Overview - Section A'!$E$76:$E$90,MATCH($A90,'Overview - Section A'!$A$76:$A$90,0)),""),"")</f>
        <v xml:space="preserve">La réduction de la stigmatisation et de la discrimination et le respect des droits humains renforcent l'ensemble des interventions de prévention et de prise en charge du VIH/sida / Reduced stigma and discrimination, and respect for human rights reinforce all HIV / AIDS prevention and care interventions </v>
      </c>
      <c r="C90" s="732"/>
      <c r="D90" s="732"/>
      <c r="E90" s="732"/>
      <c r="F90" s="732"/>
      <c r="G90" s="732"/>
      <c r="H90" s="732"/>
      <c r="I90" s="732"/>
      <c r="J90" s="732"/>
      <c r="K90" s="732"/>
      <c r="L90" s="732"/>
      <c r="M90" s="732"/>
      <c r="N90" s="732"/>
      <c r="O90" s="732"/>
      <c r="P90" s="732"/>
      <c r="Q90" s="732"/>
      <c r="R90" s="732"/>
      <c r="S90" s="732"/>
      <c r="T90" s="389"/>
      <c r="U90" s="216"/>
      <c r="V90" s="216"/>
      <c r="W90" s="216"/>
      <c r="X90" s="216"/>
      <c r="Y90" s="216"/>
      <c r="Z90" s="216"/>
      <c r="AA90" s="216"/>
      <c r="AB90" s="216"/>
      <c r="AC90" s="216"/>
      <c r="AD90" s="216"/>
      <c r="AE90" s="216"/>
      <c r="AF90" s="216"/>
      <c r="AG90" s="216"/>
      <c r="AH90" s="216"/>
      <c r="AI90" s="216"/>
      <c r="AJ90" s="216"/>
      <c r="AK90" s="216"/>
      <c r="AL90" s="216"/>
      <c r="AM90" s="216"/>
      <c r="AN90" s="216"/>
      <c r="AO90" s="216"/>
      <c r="AQ90" s="216"/>
      <c r="AR90" s="216"/>
      <c r="AS90" s="216"/>
    </row>
    <row r="91" spans="1:55" ht="28.8" x14ac:dyDescent="0.3">
      <c r="A91" s="388">
        <v>4</v>
      </c>
      <c r="B91" s="731" t="str">
        <f ca="1">IFERROR(IF(INDEX('Overview - Section A'!$E$76:$E$90,MATCH($A91,'Overview - Section A'!$A$76:$A$90,0))&lt;&gt;0,INDEX('Overview - Section A'!$E$76:$E$90,MATCH($A91,'Overview - Section A'!$A$76:$A$90,0)),""),"")</f>
        <v>La gouvernance de la réponse au VIH/sida et aux IST est renforcée à tous les niveaux pour en assurer l’accélération, l'efficience, la redevabilité et la durabilité / The governance of the HIV / AIDS response and STIs is strengthened at all levels to ensure acceleration, efficiency, accountability and sustainability</v>
      </c>
      <c r="C91" s="732"/>
      <c r="D91" s="732"/>
      <c r="E91" s="732"/>
      <c r="F91" s="732"/>
      <c r="G91" s="732"/>
      <c r="H91" s="732"/>
      <c r="I91" s="732"/>
      <c r="J91" s="732"/>
      <c r="K91" s="732"/>
      <c r="L91" s="732"/>
      <c r="M91" s="732"/>
      <c r="N91" s="732"/>
      <c r="O91" s="732"/>
      <c r="P91" s="732"/>
      <c r="Q91" s="732"/>
      <c r="R91" s="732"/>
      <c r="S91" s="732"/>
      <c r="T91" s="389"/>
      <c r="U91" s="216"/>
      <c r="V91" s="216"/>
      <c r="W91" s="216"/>
      <c r="X91" s="216"/>
      <c r="Y91" s="216"/>
      <c r="Z91" s="216"/>
      <c r="AA91" s="216"/>
      <c r="AB91" s="216"/>
      <c r="AC91" s="216"/>
      <c r="AD91" s="216"/>
      <c r="AE91" s="216"/>
      <c r="AF91" s="216"/>
      <c r="AG91" s="216"/>
      <c r="AH91" s="216"/>
      <c r="AI91" s="216"/>
      <c r="AJ91" s="216"/>
      <c r="AK91" s="216"/>
      <c r="AL91" s="216"/>
      <c r="AM91" s="216"/>
      <c r="AN91" s="216"/>
      <c r="AO91" s="216"/>
      <c r="AQ91" s="216"/>
      <c r="AR91" s="216"/>
      <c r="AS91" s="216"/>
    </row>
    <row r="92" spans="1:55" ht="28.8" x14ac:dyDescent="0.3">
      <c r="A92" s="388">
        <v>5</v>
      </c>
      <c r="B92" s="731" t="str">
        <f ca="1">IFERROR(IF(INDEX('Overview - Section A'!$E$76:$E$90,MATCH($A92,'Overview - Section A'!$A$76:$A$90,0))&lt;&gt;0,INDEX('Overview - Section A'!$E$76:$E$90,MATCH($A92,'Overview - Section A'!$A$76:$A$90,0)),""),"")</f>
        <v/>
      </c>
      <c r="C92" s="732"/>
      <c r="D92" s="732"/>
      <c r="E92" s="732"/>
      <c r="F92" s="732"/>
      <c r="G92" s="732"/>
      <c r="H92" s="732"/>
      <c r="I92" s="732"/>
      <c r="J92" s="732"/>
      <c r="K92" s="732"/>
      <c r="L92" s="732"/>
      <c r="M92" s="732"/>
      <c r="N92" s="732"/>
      <c r="O92" s="732"/>
      <c r="P92" s="732"/>
      <c r="Q92" s="732"/>
      <c r="R92" s="732"/>
      <c r="S92" s="732"/>
      <c r="T92" s="389"/>
      <c r="U92" s="216"/>
      <c r="V92" s="216"/>
      <c r="W92" s="216"/>
      <c r="X92" s="216"/>
      <c r="Y92" s="216"/>
      <c r="Z92" s="216"/>
      <c r="AA92" s="216"/>
      <c r="AB92" s="216"/>
      <c r="AC92" s="216"/>
      <c r="AD92" s="216"/>
      <c r="AE92" s="216"/>
      <c r="AF92" s="216"/>
      <c r="AG92" s="216"/>
      <c r="AH92" s="216"/>
      <c r="AI92" s="216"/>
      <c r="AJ92" s="216"/>
      <c r="AK92" s="216"/>
      <c r="AL92" s="216"/>
      <c r="AM92" s="216"/>
      <c r="AN92" s="216"/>
      <c r="AO92" s="216"/>
      <c r="AQ92" s="216"/>
      <c r="AR92" s="216"/>
      <c r="AS92" s="216"/>
    </row>
    <row r="93" spans="1:55" ht="28.8" x14ac:dyDescent="0.3">
      <c r="A93" s="388">
        <v>6</v>
      </c>
      <c r="B93" s="731" t="str">
        <f ca="1">IFERROR(IF(INDEX('Overview - Section A'!$E$76:$E$90,MATCH($A93,'Overview - Section A'!$A$76:$A$90,0))&lt;&gt;0,INDEX('Overview - Section A'!$E$76:$E$90,MATCH($A93,'Overview - Section A'!$A$76:$A$90,0)),""),"")</f>
        <v/>
      </c>
      <c r="C93" s="732"/>
      <c r="D93" s="732"/>
      <c r="E93" s="732"/>
      <c r="F93" s="732"/>
      <c r="G93" s="732"/>
      <c r="H93" s="732"/>
      <c r="I93" s="732"/>
      <c r="J93" s="732"/>
      <c r="K93" s="732"/>
      <c r="L93" s="732"/>
      <c r="M93" s="732"/>
      <c r="N93" s="732"/>
      <c r="O93" s="732"/>
      <c r="P93" s="732"/>
      <c r="Q93" s="732"/>
      <c r="R93" s="732"/>
      <c r="S93" s="732"/>
      <c r="T93" s="389"/>
      <c r="U93" s="216"/>
      <c r="V93" s="216"/>
      <c r="W93" s="216"/>
      <c r="X93" s="216"/>
      <c r="Y93" s="216"/>
      <c r="Z93" s="216"/>
      <c r="AA93" s="216"/>
      <c r="AB93" s="216"/>
      <c r="AC93" s="216"/>
      <c r="AD93" s="216"/>
      <c r="AE93" s="216"/>
      <c r="AF93" s="216"/>
      <c r="AG93" s="216"/>
      <c r="AH93" s="216"/>
      <c r="AI93" s="216"/>
      <c r="AJ93" s="216"/>
      <c r="AK93" s="216"/>
      <c r="AL93" s="216"/>
      <c r="AM93" s="216"/>
      <c r="AN93" s="216"/>
      <c r="AO93" s="216"/>
      <c r="AQ93" s="216"/>
      <c r="AR93" s="216"/>
      <c r="AS93" s="216"/>
    </row>
    <row r="94" spans="1:55" ht="28.8" x14ac:dyDescent="0.3">
      <c r="A94" s="388">
        <v>7</v>
      </c>
      <c r="B94" s="731" t="str">
        <f ca="1">IFERROR(IF(INDEX('Overview - Section A'!$E$76:$E$90,MATCH($A94,'Overview - Section A'!$A$76:$A$90,0))&lt;&gt;0,INDEX('Overview - Section A'!$E$76:$E$90,MATCH($A94,'Overview - Section A'!$A$76:$A$90,0)),""),"")</f>
        <v/>
      </c>
      <c r="C94" s="732"/>
      <c r="D94" s="732"/>
      <c r="E94" s="732"/>
      <c r="F94" s="732"/>
      <c r="G94" s="732"/>
      <c r="H94" s="732"/>
      <c r="I94" s="732"/>
      <c r="J94" s="732"/>
      <c r="K94" s="732"/>
      <c r="L94" s="732"/>
      <c r="M94" s="732"/>
      <c r="N94" s="732"/>
      <c r="O94" s="732"/>
      <c r="P94" s="732"/>
      <c r="Q94" s="732"/>
      <c r="R94" s="732"/>
      <c r="S94" s="732"/>
      <c r="T94" s="389"/>
      <c r="U94" s="216"/>
      <c r="V94" s="216"/>
      <c r="W94" s="216"/>
      <c r="X94" s="216"/>
      <c r="Y94" s="216"/>
      <c r="Z94" s="216"/>
      <c r="AA94" s="216"/>
      <c r="AB94" s="216"/>
      <c r="AC94" s="216"/>
      <c r="AD94" s="216"/>
      <c r="AE94" s="216"/>
      <c r="AF94" s="216"/>
      <c r="AG94" s="216"/>
      <c r="AH94" s="216"/>
      <c r="AI94" s="216"/>
      <c r="AJ94" s="216"/>
      <c r="AK94" s="216"/>
      <c r="AL94" s="216"/>
      <c r="AM94" s="216"/>
      <c r="AN94" s="216"/>
      <c r="AO94" s="216"/>
      <c r="AQ94" s="216"/>
      <c r="AR94" s="216"/>
      <c r="AS94" s="216"/>
    </row>
    <row r="95" spans="1:55" ht="28.8" x14ac:dyDescent="0.3">
      <c r="A95" s="388">
        <v>8</v>
      </c>
      <c r="B95" s="731" t="str">
        <f ca="1">IFERROR(IF(INDEX('Overview - Section A'!$E$76:$E$90,MATCH($A95,'Overview - Section A'!$A$76:$A$90,0))&lt;&gt;0,INDEX('Overview - Section A'!$E$76:$E$90,MATCH($A95,'Overview - Section A'!$A$76:$A$90,0)),""),"")</f>
        <v/>
      </c>
      <c r="C95" s="732"/>
      <c r="D95" s="732"/>
      <c r="E95" s="732"/>
      <c r="F95" s="732"/>
      <c r="G95" s="732"/>
      <c r="H95" s="732"/>
      <c r="I95" s="732"/>
      <c r="J95" s="732"/>
      <c r="K95" s="732"/>
      <c r="L95" s="732"/>
      <c r="M95" s="732"/>
      <c r="N95" s="732"/>
      <c r="O95" s="732"/>
      <c r="P95" s="732"/>
      <c r="Q95" s="732"/>
      <c r="R95" s="732"/>
      <c r="S95" s="732"/>
      <c r="T95" s="389"/>
      <c r="U95" s="216"/>
      <c r="V95" s="216"/>
      <c r="W95" s="216"/>
      <c r="X95" s="216"/>
      <c r="Y95" s="216"/>
      <c r="Z95" s="216"/>
      <c r="AA95" s="216"/>
      <c r="AB95" s="216"/>
      <c r="AC95" s="216"/>
      <c r="AD95" s="216"/>
      <c r="AE95" s="216"/>
      <c r="AF95" s="216"/>
      <c r="AG95" s="216"/>
      <c r="AH95" s="216"/>
      <c r="AI95" s="216"/>
      <c r="AJ95" s="216"/>
      <c r="AK95" s="216"/>
      <c r="AL95" s="216"/>
      <c r="AM95" s="216"/>
      <c r="AN95" s="216"/>
      <c r="AO95" s="216"/>
      <c r="AQ95" s="216"/>
      <c r="AR95" s="216"/>
      <c r="AS95" s="216"/>
    </row>
    <row r="96" spans="1:55" ht="28.8" x14ac:dyDescent="0.3">
      <c r="A96" s="388">
        <v>9</v>
      </c>
      <c r="B96" s="731" t="str">
        <f ca="1">IFERROR(IF(INDEX('Overview - Section A'!$E$76:$E$90,MATCH($A96,'Overview - Section A'!$A$76:$A$90,0))&lt;&gt;0,INDEX('Overview - Section A'!$E$76:$E$90,MATCH($A96,'Overview - Section A'!$A$76:$A$90,0)),""),"")</f>
        <v/>
      </c>
      <c r="C96" s="732"/>
      <c r="D96" s="732"/>
      <c r="E96" s="732"/>
      <c r="F96" s="732"/>
      <c r="G96" s="732"/>
      <c r="H96" s="732"/>
      <c r="I96" s="732"/>
      <c r="J96" s="732"/>
      <c r="K96" s="732"/>
      <c r="L96" s="732"/>
      <c r="M96" s="732"/>
      <c r="N96" s="732"/>
      <c r="O96" s="732"/>
      <c r="P96" s="732"/>
      <c r="Q96" s="732"/>
      <c r="R96" s="732"/>
      <c r="S96" s="732"/>
      <c r="T96" s="389"/>
      <c r="U96" s="216"/>
      <c r="V96" s="216"/>
      <c r="W96" s="216"/>
      <c r="X96" s="216"/>
      <c r="Y96" s="216"/>
      <c r="Z96" s="216"/>
      <c r="AA96" s="216"/>
      <c r="AB96" s="216"/>
      <c r="AC96" s="216"/>
      <c r="AD96" s="216"/>
      <c r="AE96" s="216"/>
      <c r="AF96" s="216"/>
      <c r="AG96" s="216"/>
      <c r="AH96" s="216"/>
      <c r="AI96" s="216"/>
      <c r="AJ96" s="216"/>
      <c r="AK96" s="216"/>
      <c r="AL96" s="216"/>
      <c r="AM96" s="216"/>
      <c r="AN96" s="216"/>
      <c r="AO96" s="216"/>
      <c r="AQ96" s="216"/>
      <c r="AR96" s="216"/>
      <c r="AS96" s="216"/>
    </row>
    <row r="97" spans="1:50" ht="28.8" x14ac:dyDescent="0.3">
      <c r="A97" s="388">
        <v>10</v>
      </c>
      <c r="B97" s="731" t="str">
        <f ca="1">IFERROR(IF(INDEX('Overview - Section A'!$E$76:$E$90,MATCH($A97,'Overview - Section A'!$A$76:$A$90,0))&lt;&gt;0,INDEX('Overview - Section A'!$E$76:$E$90,MATCH($A97,'Overview - Section A'!$A$76:$A$90,0)),""),"")</f>
        <v/>
      </c>
      <c r="C97" s="732"/>
      <c r="D97" s="732"/>
      <c r="E97" s="732"/>
      <c r="F97" s="732"/>
      <c r="G97" s="732"/>
      <c r="H97" s="732"/>
      <c r="I97" s="732"/>
      <c r="J97" s="732"/>
      <c r="K97" s="732"/>
      <c r="L97" s="732"/>
      <c r="M97" s="732"/>
      <c r="N97" s="732"/>
      <c r="O97" s="732"/>
      <c r="P97" s="732"/>
      <c r="Q97" s="732"/>
      <c r="R97" s="732"/>
      <c r="S97" s="732"/>
      <c r="T97" s="389"/>
      <c r="U97" s="216"/>
      <c r="V97" s="216"/>
      <c r="W97" s="216"/>
      <c r="X97" s="216"/>
      <c r="Y97" s="216"/>
      <c r="Z97" s="216"/>
      <c r="AA97" s="216"/>
      <c r="AB97" s="216"/>
      <c r="AC97" s="216"/>
      <c r="AD97" s="216"/>
      <c r="AE97" s="216"/>
      <c r="AF97" s="216"/>
      <c r="AG97" s="216"/>
      <c r="AH97" s="216"/>
      <c r="AI97" s="216"/>
      <c r="AJ97" s="216"/>
      <c r="AK97" s="216"/>
      <c r="AL97" s="216"/>
      <c r="AM97" s="216"/>
      <c r="AN97" s="216"/>
      <c r="AO97" s="216"/>
      <c r="AQ97" s="216"/>
      <c r="AR97" s="216"/>
      <c r="AS97" s="216"/>
    </row>
    <row r="98" spans="1:50" ht="28.8" x14ac:dyDescent="0.3">
      <c r="A98" s="388">
        <v>11</v>
      </c>
      <c r="B98" s="731" t="str">
        <f ca="1">IFERROR(IF(INDEX('Overview - Section A'!$E$76:$E$90,MATCH($A98,'Overview - Section A'!$A$76:$A$90,0))&lt;&gt;0,INDEX('Overview - Section A'!$E$76:$E$90,MATCH($A98,'Overview - Section A'!$A$76:$A$90,0)),""),"")</f>
        <v/>
      </c>
      <c r="C98" s="732"/>
      <c r="D98" s="732"/>
      <c r="E98" s="732"/>
      <c r="F98" s="732"/>
      <c r="G98" s="732"/>
      <c r="H98" s="732"/>
      <c r="I98" s="732"/>
      <c r="J98" s="732"/>
      <c r="K98" s="732"/>
      <c r="L98" s="732"/>
      <c r="M98" s="732"/>
      <c r="N98" s="732"/>
      <c r="O98" s="732"/>
      <c r="P98" s="732"/>
      <c r="Q98" s="732"/>
      <c r="R98" s="732"/>
      <c r="S98" s="732"/>
      <c r="T98" s="389"/>
      <c r="U98" s="216"/>
      <c r="V98" s="216"/>
      <c r="W98" s="216"/>
      <c r="X98" s="216"/>
      <c r="Y98" s="216"/>
      <c r="Z98" s="216"/>
      <c r="AA98" s="216"/>
      <c r="AB98" s="216"/>
      <c r="AC98" s="216"/>
      <c r="AD98" s="216"/>
      <c r="AE98" s="216"/>
      <c r="AF98" s="216"/>
      <c r="AG98" s="216"/>
      <c r="AH98" s="216"/>
      <c r="AI98" s="216"/>
      <c r="AJ98" s="216"/>
      <c r="AK98" s="216"/>
      <c r="AL98" s="216"/>
      <c r="AM98" s="216"/>
      <c r="AN98" s="216"/>
      <c r="AO98" s="216"/>
      <c r="AQ98" s="216"/>
      <c r="AR98" s="216"/>
      <c r="AS98" s="216"/>
    </row>
    <row r="99" spans="1:50" ht="28.8" x14ac:dyDescent="0.3">
      <c r="A99" s="388">
        <v>12</v>
      </c>
      <c r="B99" s="731" t="str">
        <f ca="1">IFERROR(IF(INDEX('Overview - Section A'!$E$76:$E$90,MATCH($A99,'Overview - Section A'!$A$76:$A$90,0))&lt;&gt;0,INDEX('Overview - Section A'!$E$76:$E$90,MATCH($A99,'Overview - Section A'!$A$76:$A$90,0)),""),"")</f>
        <v/>
      </c>
      <c r="C99" s="732"/>
      <c r="D99" s="732"/>
      <c r="E99" s="732"/>
      <c r="F99" s="732"/>
      <c r="G99" s="732"/>
      <c r="H99" s="732"/>
      <c r="I99" s="732"/>
      <c r="J99" s="732"/>
      <c r="K99" s="732"/>
      <c r="L99" s="732"/>
      <c r="M99" s="732"/>
      <c r="N99" s="732"/>
      <c r="O99" s="732"/>
      <c r="P99" s="732"/>
      <c r="Q99" s="732"/>
      <c r="R99" s="732"/>
      <c r="S99" s="732"/>
      <c r="T99" s="389"/>
      <c r="U99" s="216"/>
      <c r="V99" s="216"/>
      <c r="W99" s="216"/>
      <c r="X99" s="216"/>
      <c r="Y99" s="216"/>
      <c r="Z99" s="216"/>
      <c r="AA99" s="216"/>
      <c r="AB99" s="216"/>
      <c r="AC99" s="216"/>
      <c r="AD99" s="216"/>
      <c r="AE99" s="216"/>
      <c r="AF99" s="216"/>
      <c r="AG99" s="216"/>
      <c r="AH99" s="216"/>
      <c r="AI99" s="216"/>
      <c r="AJ99" s="216"/>
      <c r="AK99" s="216"/>
      <c r="AL99" s="216"/>
      <c r="AM99" s="216"/>
      <c r="AN99" s="216"/>
      <c r="AO99" s="216"/>
      <c r="AQ99" s="216"/>
      <c r="AR99" s="216"/>
      <c r="AS99" s="216"/>
    </row>
    <row r="100" spans="1:50" x14ac:dyDescent="0.3">
      <c r="A100" s="386"/>
      <c r="B100" s="386"/>
      <c r="C100" s="386"/>
      <c r="D100" s="386"/>
      <c r="E100" s="386"/>
      <c r="F100" s="386"/>
      <c r="G100" s="386"/>
      <c r="H100" s="386"/>
      <c r="I100" s="386"/>
      <c r="J100" s="386"/>
      <c r="K100" s="386"/>
      <c r="L100" s="386"/>
      <c r="M100" s="386"/>
      <c r="N100" s="387"/>
      <c r="O100" s="386"/>
      <c r="P100" s="386"/>
      <c r="Q100" s="386"/>
      <c r="R100" s="386"/>
      <c r="S100" s="386"/>
      <c r="T100" s="38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Q100" s="216"/>
      <c r="AR100" s="216"/>
      <c r="AS100" s="216"/>
    </row>
    <row r="101" spans="1:50" x14ac:dyDescent="0.3">
      <c r="A101" s="386"/>
      <c r="B101" s="386"/>
      <c r="C101" s="386"/>
      <c r="D101" s="386"/>
      <c r="E101" s="386"/>
      <c r="F101" s="386"/>
      <c r="G101" s="386"/>
      <c r="H101" s="386"/>
      <c r="I101" s="386"/>
      <c r="J101" s="386"/>
      <c r="K101" s="386"/>
      <c r="L101" s="386"/>
      <c r="M101" s="386"/>
      <c r="N101" s="387"/>
      <c r="O101" s="386"/>
      <c r="P101" s="386"/>
      <c r="Q101" s="386"/>
      <c r="R101" s="386"/>
      <c r="S101" s="386"/>
      <c r="T101" s="38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Q101" s="216"/>
      <c r="AR101" s="216"/>
      <c r="AS101" s="216"/>
    </row>
    <row r="102" spans="1:50" ht="8.4" customHeight="1" x14ac:dyDescent="0.3">
      <c r="A102" s="386"/>
      <c r="B102" s="386"/>
      <c r="C102" s="386"/>
      <c r="D102" s="386"/>
      <c r="E102" s="386"/>
      <c r="F102" s="386"/>
      <c r="G102" s="386"/>
      <c r="H102" s="386"/>
      <c r="I102" s="386"/>
      <c r="J102" s="386"/>
      <c r="K102" s="386"/>
      <c r="L102" s="386"/>
      <c r="M102" s="386"/>
      <c r="N102" s="387"/>
      <c r="O102" s="386"/>
      <c r="P102" s="386"/>
      <c r="Q102" s="386"/>
      <c r="R102" s="386"/>
      <c r="S102" s="386"/>
      <c r="T102" s="38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Q102" s="216"/>
      <c r="AR102" s="216"/>
      <c r="AS102" s="216"/>
    </row>
    <row r="103" spans="1:50" x14ac:dyDescent="0.3">
      <c r="A103" s="386"/>
      <c r="B103" s="386"/>
      <c r="C103" s="386"/>
      <c r="D103" s="386"/>
      <c r="E103" s="386"/>
      <c r="F103" s="386"/>
      <c r="G103" s="386"/>
      <c r="H103" s="386"/>
      <c r="I103" s="386"/>
      <c r="J103" s="386"/>
      <c r="K103" s="386"/>
      <c r="L103" s="386"/>
      <c r="M103" s="386"/>
      <c r="N103" s="387"/>
      <c r="O103" s="386"/>
      <c r="P103" s="386"/>
      <c r="Q103" s="386"/>
      <c r="R103" s="386"/>
      <c r="S103" s="386"/>
      <c r="T103" s="38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Q103" s="216"/>
      <c r="AR103" s="216"/>
      <c r="AS103" s="216"/>
    </row>
    <row r="104" spans="1:50" ht="47.25" customHeight="1" x14ac:dyDescent="0.3">
      <c r="A104" s="733" t="str">
        <f ca="1">Translations!A96</f>
        <v>Indicateurs de résultats</v>
      </c>
      <c r="B104" s="734"/>
      <c r="C104" s="734"/>
      <c r="D104" s="734"/>
      <c r="E104" s="734"/>
      <c r="F104" s="734"/>
      <c r="G104" s="734"/>
      <c r="H104" s="734"/>
      <c r="I104" s="734"/>
      <c r="J104" s="734"/>
      <c r="K104" s="734"/>
      <c r="L104" s="734"/>
      <c r="M104" s="734"/>
      <c r="N104" s="734"/>
      <c r="O104" s="734"/>
      <c r="P104" s="734"/>
      <c r="Q104" s="734"/>
      <c r="R104" s="734"/>
      <c r="S104" s="734"/>
      <c r="T104" s="360"/>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Q104" s="216"/>
      <c r="AR104" s="216"/>
      <c r="AS104" s="216"/>
    </row>
    <row r="105" spans="1:50" ht="16.2" thickBot="1" x14ac:dyDescent="0.35">
      <c r="A105" s="386"/>
      <c r="B105" s="386"/>
      <c r="C105" s="386"/>
      <c r="D105" s="386"/>
      <c r="E105" s="386"/>
      <c r="F105" s="386"/>
      <c r="G105" s="386"/>
      <c r="H105" s="386"/>
      <c r="I105" s="386"/>
      <c r="J105" s="386"/>
      <c r="K105" s="386"/>
      <c r="L105" s="386"/>
      <c r="M105" s="386"/>
      <c r="N105" s="387"/>
      <c r="O105" s="386"/>
      <c r="P105" s="386"/>
      <c r="Q105" s="386"/>
      <c r="R105" s="386"/>
      <c r="S105" s="386"/>
      <c r="T105" s="386"/>
      <c r="U105" s="216"/>
      <c r="V105" s="216"/>
      <c r="W105" s="216"/>
      <c r="X105" s="216"/>
      <c r="Y105" s="216"/>
      <c r="Z105" s="216"/>
      <c r="AA105" s="216"/>
      <c r="AB105" s="216"/>
      <c r="AC105" s="216"/>
      <c r="AD105" s="216"/>
      <c r="AE105" s="216"/>
      <c r="AF105" s="216"/>
      <c r="AG105" s="216"/>
      <c r="AH105" s="216"/>
      <c r="AI105" s="216"/>
      <c r="AJ105" s="216"/>
      <c r="AK105" s="216"/>
      <c r="AL105" s="216"/>
      <c r="AM105" s="216"/>
      <c r="AN105" s="216"/>
      <c r="AO105" s="216"/>
      <c r="AQ105" s="216"/>
      <c r="AR105" s="216"/>
      <c r="AS105" s="216"/>
    </row>
    <row r="106" spans="1:50" ht="31.95" customHeight="1" thickBot="1" x14ac:dyDescent="0.35">
      <c r="A106" s="370"/>
      <c r="B106" s="371"/>
      <c r="C106" s="371"/>
      <c r="D106" s="371"/>
      <c r="E106" s="371"/>
      <c r="F106" s="371"/>
      <c r="G106" s="371"/>
      <c r="H106" s="371"/>
      <c r="I106" s="371"/>
      <c r="J106" s="371"/>
      <c r="K106" s="371"/>
      <c r="L106" s="371"/>
      <c r="M106" s="371"/>
      <c r="N106" s="371"/>
      <c r="O106" s="371"/>
      <c r="P106" s="373">
        <f ca="1">P52</f>
        <v>2021</v>
      </c>
      <c r="Q106" s="373">
        <f ca="1">Q52</f>
        <v>2022</v>
      </c>
      <c r="R106" s="373">
        <f ca="1">R52</f>
        <v>2023</v>
      </c>
      <c r="S106" s="373" t="str">
        <f ca="1">S52</f>
        <v/>
      </c>
      <c r="T106" s="374"/>
      <c r="U106" s="216"/>
      <c r="V106" s="216"/>
      <c r="W106" s="216"/>
      <c r="X106" s="216"/>
      <c r="Y106" s="216"/>
      <c r="Z106" s="216"/>
      <c r="AA106" s="216"/>
      <c r="AB106" s="216"/>
      <c r="AC106" s="216"/>
      <c r="AD106" s="216"/>
      <c r="AE106" s="216"/>
      <c r="AF106" s="216"/>
      <c r="AG106" s="216"/>
      <c r="AH106" s="216"/>
      <c r="AI106" s="216"/>
      <c r="AJ106" s="216"/>
      <c r="AK106" s="216"/>
      <c r="AL106" s="216"/>
      <c r="AM106" s="216"/>
      <c r="AN106" s="216"/>
      <c r="AO106" s="216"/>
      <c r="AQ106" s="216"/>
      <c r="AR106" s="216"/>
      <c r="AS106" s="216"/>
      <c r="AT106" s="216"/>
    </row>
    <row r="107" spans="1:50" ht="148.5" customHeight="1" thickBot="1" x14ac:dyDescent="0.35">
      <c r="A107" s="375" t="str">
        <f ca="1">Translations!$A$91</f>
        <v>No.</v>
      </c>
      <c r="B107" s="735" t="str">
        <f ca="1">Translations!A38</f>
        <v>Indicateur standard</v>
      </c>
      <c r="C107" s="736"/>
      <c r="D107" s="737"/>
      <c r="E107" s="738" t="str">
        <f ca="1">Translations!A92</f>
        <v>Indicateur d’impact personnalisé</v>
      </c>
      <c r="F107" s="739"/>
      <c r="G107" s="740"/>
      <c r="H107" s="237" t="str">
        <f ca="1">Translations!A93</f>
        <v>Valeur de référence</v>
      </c>
      <c r="I107" s="236" t="str">
        <f ca="1">Translations!A94</f>
        <v>Année de la référence &amp; Source</v>
      </c>
      <c r="J107" s="822" t="str">
        <f ca="1">Translations!A51</f>
        <v>Désaggrégation obligatoire</v>
      </c>
      <c r="K107" s="823"/>
      <c r="L107" s="823"/>
      <c r="M107" s="824"/>
      <c r="N107" s="236" t="str">
        <f ca="1">Translations!A52</f>
        <v xml:space="preserve">Récipiendaire principal responsable </v>
      </c>
      <c r="O107" s="390" t="str">
        <f ca="1">Translations!A53</f>
        <v>Pays</v>
      </c>
      <c r="P107" s="375" t="str">
        <f ca="1">Translations!$A$95</f>
        <v>Valeur de la cible</v>
      </c>
      <c r="Q107" s="375" t="str">
        <f ca="1">Translations!$A$95</f>
        <v>Valeur de la cible</v>
      </c>
      <c r="R107" s="375" t="str">
        <f ca="1">Translations!$A$95</f>
        <v>Valeur de la cible</v>
      </c>
      <c r="S107" s="375" t="str">
        <f ca="1">Translations!$A$95</f>
        <v>Valeur de la cible</v>
      </c>
      <c r="T107" s="377"/>
      <c r="U107" s="216"/>
      <c r="V107" s="216"/>
      <c r="W107" s="216"/>
      <c r="X107" s="216"/>
      <c r="Y107" s="216"/>
      <c r="Z107" s="216"/>
      <c r="AA107" s="216"/>
      <c r="AB107" s="216"/>
      <c r="AC107" s="216"/>
      <c r="AD107" s="216"/>
      <c r="AE107" s="216"/>
      <c r="AF107" s="216"/>
      <c r="AG107" s="216"/>
      <c r="AH107" s="216"/>
      <c r="AI107" s="216"/>
      <c r="AJ107" s="216"/>
      <c r="AK107" s="216"/>
      <c r="AL107" s="216"/>
      <c r="AM107" s="216"/>
      <c r="AN107" s="216"/>
      <c r="AO107" s="216"/>
      <c r="AQ107" s="216"/>
      <c r="AR107" s="216"/>
      <c r="AS107" s="216"/>
      <c r="AT107" s="216"/>
    </row>
    <row r="108" spans="1:50" ht="172.2" customHeight="1" x14ac:dyDescent="0.3">
      <c r="A108" s="748">
        <v>1</v>
      </c>
      <c r="B108" s="741" t="str">
        <f ca="1">IFERROR(IF(INDEX('Outcome Indicators - Section C '!B$1:B$100,MATCH($A108,'Outcome Indicators - Section C '!$A$1:$A$100,0))&lt;&gt;0,INDEX('Outcome Indicators - Section C '!B$1:B$100,MATCH($A108,'Outcome Indicators - Section C '!$A$1:$A$100,0)),""),"")</f>
        <v>HIV O-4a⁽ᴹ⁾ Pourcentage d’hommes qui indiquent avoir utilisé un préservatif lors de leur dernier rapport anal avec un partenaire occasionel</v>
      </c>
      <c r="C108" s="742"/>
      <c r="D108" s="743"/>
      <c r="E108" s="744" t="str">
        <f ca="1">IFERROR(IF(INDEX('Outcome Indicators - Section C '!C$1:C$100,MATCH($A108,'Outcome Indicators - Section C '!$A$1:$A$100,0))&lt;&gt;0,INDEX('Outcome Indicators - Section C '!C$1:C$100,MATCH($A108,'Outcome Indicators - Section C '!$A$1:$A$100,0)),""),"")</f>
        <v/>
      </c>
      <c r="F108" s="745"/>
      <c r="G108" s="746"/>
      <c r="H108" s="391" t="str">
        <f ca="1">IFERROR(IF(INDEX('Outcome Indicators - Section C '!D$1:D$100,MATCH($A108,'Outcome Indicators - Section C '!$A$1:$A$100,0))&lt;&gt;0,TEXT(INDEX('Outcome Indicators - Section C '!D$1:D$100,MATCH($A108,'Outcome Indicators - Section C '!$A$1:$A$100,0)),"#'##0.00"),""),"")&amp;"/"&amp;IFERROR(IF(INDEX('Outcome Indicators - Section C '!D$1:D$100,MATCH($A108,'Outcome Indicators - Section C '!$A$1:$A$100,0)+1)&lt;&gt;0,TEXT(INDEX('Outcome Indicators - Section C '!D$1:D$100,MATCH($A108,'Outcome Indicators - Section C '!$A$1:$A$100,0)+1),"#'##0.00"),""),"")&amp;CHAR(10)&amp;IFERROR(IF(INDEX('Outcome Indicators - Section C '!E$1:E$100,MATCH($A108,'Outcome Indicators - Section C '!$A$1:$A$100,0))&lt;&gt;0,TEXT(INDEX('Outcome Indicators - Section C '!E$1:E$100,MATCH($A108,'Outcome Indicators - Section C '!$A$1:$A$100,0)),"0.0%"),""),"")</f>
        <v>/
60.2%</v>
      </c>
      <c r="I108" s="391" t="str">
        <f ca="1">IFERROR(IF(INDEX('Outcome Indicators - Section C '!F$1:F$100,MATCH($A108,'Outcome Indicators - Section C '!$A$1:$A$100,0))&lt;&gt;0,INDEX('Outcome Indicators - Section C '!F$1:F$100,MATCH($A108,'Outcome Indicators - Section C '!$A$1:$A$100,0)),""),"")&amp;CHAR(10)&amp;IFERROR(IF(INDEX('Outcome Indicators - Section C '!G$1:G$100,MATCH($A108,'Outcome Indicators - Section C '!$A$1:$A$100,0))&lt;&gt;0,INDEX('Outcome Indicators - Section C '!G$1:G$100,MATCH($A108,'Outcome Indicators - Section C '!$A$1:$A$100,0)),""),"")</f>
        <v>2017
Cartographie programmatique chez les HSH à Abidjan utilisant la méthode PLACE</v>
      </c>
      <c r="J108" s="741" t="str">
        <f ca="1">IFERROR(IF(INDEX('Outcome Indicators - Section C '!H$1:H$100,MATCH($A108,'Outcome Indicators - Section C '!$A$1:$A$100,0))&lt;&gt;0,INDEX('Outcome Indicators - Section C '!H$1:H$100,MATCH($A108,'Outcome Indicators - Section C '!$A$1:$A$100,0)),""),"")</f>
        <v>Age</v>
      </c>
      <c r="K108" s="742"/>
      <c r="L108" s="742"/>
      <c r="M108" s="743"/>
      <c r="N108" s="392" t="str">
        <f ca="1">IFERROR(IF(INDEX('Outcome Indicators - Section C '!I$1:I$100,MATCH($A108,'Outcome Indicators - Section C '!$A$1:$A$100,0))&lt;&gt;0,INDEX('Outcome Indicators - Section C '!I$1:I$100,MATCH($A108,'Outcome Indicators - Section C '!$A$1:$A$100,0)),""),"")</f>
        <v>Programme National de Lutte contre le SIDA de la République de Côte d'Ivoire</v>
      </c>
      <c r="O108" s="392" t="str">
        <f>IFERROR(IF(INDEX('Outcome Indicators - Section C '!J$9:J$38,MATCH($A108,'Outcome Indicators - Section C '!$A$9:$A$38,0))&lt;&gt;0,INDEX('Outcome Indicators - Section C '!J$9:J$38,MATCH($A108,'Outcome Indicators - Section C '!$A$9:$A$38,0)),""),"")</f>
        <v>Côte d'Ivoire</v>
      </c>
      <c r="P108" s="393" t="str">
        <f ca="1">IFERROR(IF(INDEX('Outcome Indicators - Section C '!K$1:K$100,MATCH($A108,'Outcome Indicators - Section C '!$A$1:$A$100,0))&lt;&gt;0,TEXT(INDEX('Outcome Indicators - Section C '!K$1:K$100,MATCH($A108,'Outcome Indicators - Section C '!$A$1:$A$100,0)),"#'##0.00"),""),"")&amp;"/"&amp;IFERROR(IF(INDEX('Outcome Indicators - Section C '!K$1:K$100,MATCH($A108,'Outcome Indicators - Section C '!$A$1:$A$100,0)+1)&lt;&gt;0,TEXT(INDEX('Outcome Indicators - Section C '!K$1:K$100,MATCH($A108,'Outcome Indicators - Section C '!$A$1:$A$100,0)+1),"#'##0.00"),""),"")&amp;CHAR(10)&amp;IFERROR(IF(INDEX('Outcome Indicators - Section C '!L$1:L$100,MATCH($A108,'Outcome Indicators - Section C '!$A$1:$A$100,0))&lt;&gt;0,TEXT(INDEX('Outcome Indicators - Section C '!L$1:L$100,MATCH($A108,'Outcome Indicators - Section C '!$A$1:$A$100,0)),"0.0%"),""),"")&amp;CHAR(10)&amp;IFERROR(IF(INDEX('Outcome Indicators - Section C '!N$1:N$100,MATCH($A108,'Outcome Indicators - Section C '!$A$1:$A$100,0))&lt;&gt;0,INDEX('Outcome Indicators - Section C '!N$1:N$100,MATCH($A108,'Outcome Indicators - Section C '!$A$1:$A$100,0)),""),"")&amp;CHAR(10)&amp;IFERROR(IF(INDEX('Outcome Indicators - Section C '!M$1:M$100,MATCH($A108,'Outcome Indicators - Section C '!$A$1:$A$100,0))&lt;&gt;0,TEXT(INDEX('Outcome Indicators - Section C '!M$1:M$100,MATCH($A108,'Outcome Indicators - Section C '!$A$1:$A$100,0)),Setup!$A$33),""),"")</f>
        <v xml:space="preserve">/
</v>
      </c>
      <c r="Q108" s="391" t="str">
        <f ca="1">IFERROR(IF(INDEX('Outcome Indicators - Section C '!O$1:O$38,MATCH($A108,'Outcome Indicators - Section C '!$A$1:$A$38,0))&lt;&gt;0,TEXT(INDEX('Outcome Indicators - Section C '!O$1:O$38,MATCH($A108,'Outcome Indicators - Section C '!$A$1:$A$38,0)),"#'##0.00"),""),"")&amp;"/"&amp;IFERROR(IF(INDEX('Outcome Indicators - Section C '!O$1:O$38,MATCH($A108,'Outcome Indicators - Section C '!$A$1:$A$38,0)+1)&lt;&gt;0,TEXT(INDEX('Outcome Indicators - Section C '!O$1:O$38,MATCH($A108,'Outcome Indicators - Section C '!$A$1:$A$38,0)+1),"#'##0.00"),""),"")&amp;CHAR(10)&amp;IFERROR(IF(INDEX('Outcome Indicators - Section C '!P$1:P$38,MATCH($A108,'Outcome Indicators - Section C '!$A$1:$A$38,0))&lt;&gt;0,TEXT(INDEX('Outcome Indicators - Section C '!P$1:P$38,MATCH($A108,'Outcome Indicators - Section C '!$A$1:$A$38,0)),"0.0%"),""),"")&amp;CHAR(10)&amp;IFERROR(IF(INDEX('Outcome Indicators - Section C '!R$1:R$38,MATCH($A108,'Outcome Indicators - Section C '!$A$1:$A$38,0))&lt;&gt;0,INDEX('Outcome Indicators - Section C '!R$1:R$38,MATCH($A108,'Outcome Indicators - Section C '!$A$1:$A$38,0)),""),"")&amp;CHAR(10)&amp;IFERROR(IF(INDEX('Outcome Indicators - Section C '!Q$1:Q$38,MATCH($A108,'Outcome Indicators - Section C '!$A$1:$A$38,0))&lt;&gt;0,TEXT(INDEX('Outcome Indicators - Section C '!Q$1:Q$38,MATCH($A108,'Outcome Indicators - Section C '!$A$1:$A$38,0)),Setup!$A$33),""),"")</f>
        <v xml:space="preserve">/
</v>
      </c>
      <c r="R108" s="391" t="str">
        <f ca="1">IFERROR(IF(INDEX('Outcome Indicators - Section C '!S$1:S$38,MATCH($A108,'Outcome Indicators - Section C '!$A$1:$A$38,0))&lt;&gt;0,TEXT(INDEX('Outcome Indicators - Section C '!S$1:S$38,MATCH($A108,'Outcome Indicators - Section C '!$A$1:$A$38,0)),"#'##0.00"),""),"")&amp;"/"&amp;IFERROR(IF(INDEX('Outcome Indicators - Section C '!S$1:S$38,MATCH($A108,'Outcome Indicators - Section C '!$A$1:$A$38,0)+1)&lt;&gt;0,TEXT(INDEX('Outcome Indicators - Section C '!S$1:S$38,MATCH($A108,'Outcome Indicators - Section C '!$A$1:$A$38,0)+1),"#'##0.00"),""),"")&amp;CHAR(10)&amp;IFERROR(IF(INDEX('Outcome Indicators - Section C '!T$1:T$38,MATCH($A108,'Outcome Indicators - Section C '!$A$1:$A$38,0))&lt;&gt;0,TEXT(INDEX('Outcome Indicators - Section C '!T$1:T$38,MATCH($A108,'Outcome Indicators - Section C '!$A$1:$A$38,0)),"0.0%"),""),"")&amp;CHAR(10)&amp;IFERROR(IF(INDEX('Outcome Indicators - Section C '!R$1:R$38,MATCH($A108,'Outcome Indicators - Section C '!$A$1:$A$38,0))&lt;&gt;0,INDEX('Outcome Indicators - Section C '!R$1:R$38,MATCH($A108,'Outcome Indicators - Section C '!$A$1:$A$38,0)),""),"")&amp;CHAR(10)&amp;IFERROR(IF(INDEX('Outcome Indicators - Section C '!U$1:U$38,MATCH($A108,'Outcome Indicators - Section C '!$A$1:$A$38,0))&lt;&gt;0,TEXT(INDEX('Outcome Indicators - Section C '!U$1:U$38,MATCH($A108,'Outcome Indicators - Section C '!$A$1:$A$38,0)),Setup!$A$33),""),"")</f>
        <v>/
75.0%
31-Dec-23</v>
      </c>
      <c r="S108" s="391" t="str">
        <f ca="1">IFERROR(IF(INDEX('Outcome Indicators - Section C '!W$9:W$38,MATCH($A108,'Outcome Indicators - Section C '!$A$9:$A$38,0))&lt;&gt;0,TEXT(INDEX('Outcome Indicators - Section C '!W$9:W$38,MATCH($A108,'Outcome Indicators - Section C '!$A$9:$A$38,0)),"#'##0.00"),""),"")&amp;"/"&amp;IFERROR(IF(INDEX('Outcome Indicators - Section C '!W$9:W$38,MATCH($A108,'Outcome Indicators - Section C '!$A$9:$A$38,0)+1)&lt;&gt;0,TEXT(INDEX('Outcome Indicators - Section C '!W$9:W$38,MATCH($A108,'Outcome Indicators - Section C '!$A$9:$A$38,0)+1),"#'##0.00"),""),"")&amp;CHAR(10)&amp;IFERROR(IF(INDEX('Outcome Indicators - Section C '!X$9:X$38,MATCH($A108,'Outcome Indicators - Section C '!$A$9:$A$38,0))&lt;&gt;0,TEXT(INDEX('Outcome Indicators - Section C '!X$9:X$38,MATCH($A108,'Outcome Indicators - Section C '!$A$9:$A$38,0)),"0.0%"),""),"")&amp;CHAR(10)&amp;IFERROR(IF(INDEX('Outcome Indicators - Section C '!Z$9:Z$38,MATCH($A108,'Outcome Indicators - Section C '!$A$9:$A$38,0))&lt;&gt;0,INDEX('Outcome Indicators - Section C '!Z$9:Z$38,MATCH($A108,'Outcome Indicators - Section C '!$A$9:$A$38,0)),""),"")&amp;CHAR(10)&amp;IFERROR(IF(INDEX('Outcome Indicators - Section C '!Y$9:Y$38,MATCH($A108,'Outcome Indicators - Section C '!$A$9:$A$38,0))&lt;&gt;0,TEXT(INDEX('Outcome Indicators - Section C '!Y$9:Y$38,MATCH($A108,'Outcome Indicators - Section C '!$A$9:$A$38,0)),Setup!$A$33),""),"")</f>
        <v xml:space="preserve">/
</v>
      </c>
      <c r="T108" s="394"/>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Q108" s="216"/>
      <c r="AR108" s="216"/>
      <c r="AS108" s="216"/>
      <c r="AT108" s="216"/>
      <c r="AU108" s="721"/>
      <c r="AV108" s="721"/>
      <c r="AW108" s="721"/>
      <c r="AX108" s="721"/>
    </row>
    <row r="109" spans="1:50" ht="96" customHeight="1" thickBot="1" x14ac:dyDescent="0.35">
      <c r="A109" s="748">
        <v>2</v>
      </c>
      <c r="B109" s="717" t="str">
        <f ca="1">IFERROR(IF(INDEX('Outcome Indicators - Section C '!AA$1:AA$100,MATCH($A108,'Outcome Indicators - Section C '!$A$1:$A$100,0))&lt;&gt;0,INDEX('Outcome Indicators - Section C '!AA$1:AA$100,MATCH($A108,'Outcome Indicators - Section C '!$A$1:$A$100,0)),""),"")</f>
        <v>Selon le rapport de la modélisation, l'utilisation du préservatif en 2025 est projeté à 90%. Selon cette base et en se basant des données historiques, le PSN 2021-2025, cible à 75% le pourcentage d’hommes qui indiquent avoir utilisé un préservatif lors de leur dernier rapport anal avec un partenaire occasionel
Une enquête IBBS sera réalisé en 2022 pour renseigner l'indicateur en 2023</v>
      </c>
      <c r="C109" s="718"/>
      <c r="D109" s="718"/>
      <c r="E109" s="718"/>
      <c r="F109" s="718"/>
      <c r="G109" s="718"/>
      <c r="H109" s="718"/>
      <c r="I109" s="719"/>
      <c r="J109" s="719"/>
      <c r="K109" s="719"/>
      <c r="L109" s="719"/>
      <c r="M109" s="719"/>
      <c r="N109" s="719"/>
      <c r="O109" s="719"/>
      <c r="P109" s="719"/>
      <c r="Q109" s="719"/>
      <c r="R109" s="719"/>
      <c r="S109" s="720"/>
      <c r="T109" s="382"/>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Q109" s="216"/>
      <c r="AR109" s="216"/>
      <c r="AS109" s="216"/>
      <c r="AT109" s="216"/>
      <c r="AU109" s="721"/>
      <c r="AV109" s="721"/>
      <c r="AW109" s="721"/>
      <c r="AX109" s="721"/>
    </row>
    <row r="110" spans="1:50" ht="172.2" customHeight="1" x14ac:dyDescent="0.3">
      <c r="A110" s="722">
        <v>2</v>
      </c>
      <c r="B110" s="724" t="str">
        <f ca="1">IFERROR(IF(INDEX('Outcome Indicators - Section C '!B$1:B$100,MATCH($A110,'Outcome Indicators - Section C '!$A$1:$A$100,0))&lt;&gt;0,INDEX('Outcome Indicators - Section C '!B$1:B$100,MATCH($A110,'Outcome Indicators - Section C '!$A$1:$A$100,0)),""),"")</f>
        <v>HIV O-5⁽ᴹ⁾ Pourcentage de professionnels du sexe qui indiquent avoir utilisé un préservatif avec leur dernier client</v>
      </c>
      <c r="C110" s="725"/>
      <c r="D110" s="726"/>
      <c r="E110" s="724" t="str">
        <f ca="1">IFERROR(IF(INDEX('Outcome Indicators - Section C '!C$1:C$100,MATCH($A110,'Outcome Indicators - Section C '!$A$1:$A$100,0))&lt;&gt;0,INDEX('Outcome Indicators - Section C '!C$1:C$100,MATCH($A110,'Outcome Indicators - Section C '!$A$1:$A$100,0)),""),"")</f>
        <v/>
      </c>
      <c r="F110" s="725"/>
      <c r="G110" s="726"/>
      <c r="H110" s="391" t="str">
        <f ca="1">IFERROR(IF(INDEX('Outcome Indicators - Section C '!D$1:D$100,MATCH($A110,'Outcome Indicators - Section C '!$A$1:$A$100,0))&lt;&gt;0,TEXT(INDEX('Outcome Indicators - Section C '!D$1:D$100,MATCH($A110,'Outcome Indicators - Section C '!$A$1:$A$100,0)),"#'##0.00"),""),"")&amp;"/"&amp;IFERROR(IF(INDEX('Outcome Indicators - Section C '!D$1:D$100,MATCH($A110,'Outcome Indicators - Section C '!$A$1:$A$100,0)+1)&lt;&gt;0,TEXT(INDEX('Outcome Indicators - Section C '!D$1:D$100,MATCH($A110,'Outcome Indicators - Section C '!$A$1:$A$100,0)+1),"#'##0.00"),""),"")&amp;CHAR(10)&amp;IFERROR(IF(INDEX('Outcome Indicators - Section C '!E$1:E$100,MATCH($A110,'Outcome Indicators - Section C '!$A$1:$A$100,0))&lt;&gt;0,TEXT(INDEX('Outcome Indicators - Section C '!E$1:E$100,MATCH($A110,'Outcome Indicators - Section C '!$A$1:$A$100,0)),"0.0%"),""),"")</f>
        <v>/
82.0%</v>
      </c>
      <c r="I110" s="391" t="str">
        <f ca="1">IFERROR(IF(INDEX('Outcome Indicators - Section C '!F$1:F$100,MATCH($A110,'Outcome Indicators - Section C '!$A$1:$A$100,0))&lt;&gt;0,INDEX('Outcome Indicators - Section C '!F$1:F$100,MATCH($A110,'Outcome Indicators - Section C '!$A$1:$A$100,0)),""),"")&amp;CHAR(10)&amp;IFERROR(IF(INDEX('Outcome Indicators - Section C '!G$1:G$100,MATCH($A110,'Outcome Indicators - Section C '!$A$1:$A$100,0))&lt;&gt;0,INDEX('Outcome Indicators - Section C '!G$1:G$100,MATCH($A110,'Outcome Indicators - Section C '!$A$1:$A$100,0)),""),"")</f>
        <v>2017
Cartographie programmatique chez les HSH à Abidjan utilisant la méthode PLACE</v>
      </c>
      <c r="J110" s="724" t="str">
        <f ca="1">IFERROR(IF(INDEX('Outcome Indicators - Section C '!H$1:H$100,MATCH($A110,'Outcome Indicators - Section C '!$A$1:$A$100,0))&lt;&gt;0,INDEX('Outcome Indicators - Section C '!H$1:H$100,MATCH($A110,'Outcome Indicators - Section C '!$A$1:$A$100,0)),""),"")</f>
        <v>Sexe,Age</v>
      </c>
      <c r="K110" s="725"/>
      <c r="L110" s="725"/>
      <c r="M110" s="726"/>
      <c r="N110" s="392" t="str">
        <f ca="1">IFERROR(IF(INDEX('Outcome Indicators - Section C '!I$1:I$100,MATCH($A110,'Outcome Indicators - Section C '!$A$1:$A$100,0))&lt;&gt;0,INDEX('Outcome Indicators - Section C '!I$1:I$100,MATCH($A110,'Outcome Indicators - Section C '!$A$1:$A$100,0)),""),"")</f>
        <v>Programme National de Lutte contre le SIDA de la République de Côte d'Ivoire</v>
      </c>
      <c r="O110" s="392" t="str">
        <f>IFERROR(IF(INDEX('Outcome Indicators - Section C '!J$9:J$38,MATCH($A110,'Outcome Indicators - Section C '!$A$9:$A$38,0))&lt;&gt;0,INDEX('Outcome Indicators - Section C '!J$9:J$38,MATCH($A110,'Outcome Indicators - Section C '!$A$9:$A$38,0)),""),"")</f>
        <v>Côte d'Ivoire</v>
      </c>
      <c r="P110" s="393" t="str">
        <f ca="1">IFERROR(IF(INDEX('Outcome Indicators - Section C '!K$1:K$100,MATCH($A110,'Outcome Indicators - Section C '!$A$1:$A$100,0))&lt;&gt;0,TEXT(INDEX('Outcome Indicators - Section C '!K$1:K$100,MATCH($A110,'Outcome Indicators - Section C '!$A$1:$A$100,0)),"#'##0.00"),""),"")&amp;"/"&amp;IFERROR(IF(INDEX('Outcome Indicators - Section C '!K$1:K$100,MATCH($A110,'Outcome Indicators - Section C '!$A$1:$A$100,0)+1)&lt;&gt;0,TEXT(INDEX('Outcome Indicators - Section C '!K$1:K$100,MATCH($A110,'Outcome Indicators - Section C '!$A$1:$A$100,0)+1),"#'##0.00"),""),"")&amp;CHAR(10)&amp;IFERROR(IF(INDEX('Outcome Indicators - Section C '!L$1:L$100,MATCH($A110,'Outcome Indicators - Section C '!$A$1:$A$100,0))&lt;&gt;0,TEXT(INDEX('Outcome Indicators - Section C '!L$1:L$100,MATCH($A110,'Outcome Indicators - Section C '!$A$1:$A$100,0)),"0.0%"),""),"")&amp;CHAR(10)&amp;IFERROR(IF(INDEX('Outcome Indicators - Section C '!N$1:N$100,MATCH($A110,'Outcome Indicators - Section C '!$A$1:$A$100,0))&lt;&gt;0,INDEX('Outcome Indicators - Section C '!N$1:N$100,MATCH($A110,'Outcome Indicators - Section C '!$A$1:$A$100,0)),""),"")&amp;CHAR(10)&amp;IFERROR(IF(INDEX('Outcome Indicators - Section C '!M$1:M$100,MATCH($A110,'Outcome Indicators - Section C '!$A$1:$A$100,0))&lt;&gt;0,TEXT(INDEX('Outcome Indicators - Section C '!M$1:M$100,MATCH($A110,'Outcome Indicators - Section C '!$A$1:$A$100,0)),Setup!$A$33),""),"")</f>
        <v xml:space="preserve">/
</v>
      </c>
      <c r="Q110" s="391" t="str">
        <f ca="1">IFERROR(IF(INDEX('Outcome Indicators - Section C '!O$1:O$38,MATCH($A110,'Outcome Indicators - Section C '!$A$1:$A$38,0))&lt;&gt;0,TEXT(INDEX('Outcome Indicators - Section C '!O$1:O$38,MATCH($A110,'Outcome Indicators - Section C '!$A$1:$A$38,0)),"#'##0.00"),""),"")&amp;"/"&amp;IFERROR(IF(INDEX('Outcome Indicators - Section C '!O$1:O$38,MATCH($A110,'Outcome Indicators - Section C '!$A$1:$A$38,0)+1)&lt;&gt;0,TEXT(INDEX('Outcome Indicators - Section C '!O$1:O$38,MATCH($A110,'Outcome Indicators - Section C '!$A$1:$A$38,0)+1),"#'##0.00"),""),"")&amp;CHAR(10)&amp;IFERROR(IF(INDEX('Outcome Indicators - Section C '!P$1:P$38,MATCH($A110,'Outcome Indicators - Section C '!$A$1:$A$38,0))&lt;&gt;0,TEXT(INDEX('Outcome Indicators - Section C '!P$1:P$38,MATCH($A110,'Outcome Indicators - Section C '!$A$1:$A$38,0)),"0.0%"),""),"")&amp;CHAR(10)&amp;IFERROR(IF(INDEX('Outcome Indicators - Section C '!R$1:R$38,MATCH($A110,'Outcome Indicators - Section C '!$A$1:$A$38,0))&lt;&gt;0,INDEX('Outcome Indicators - Section C '!R$1:R$38,MATCH($A110,'Outcome Indicators - Section C '!$A$1:$A$38,0)),""),"")&amp;CHAR(10)&amp;IFERROR(IF(INDEX('Outcome Indicators - Section C '!Q$1:Q$38,MATCH($A110,'Outcome Indicators - Section C '!$A$1:$A$38,0))&lt;&gt;0,TEXT(INDEX('Outcome Indicators - Section C '!Q$1:Q$38,MATCH($A110,'Outcome Indicators - Section C '!$A$1:$A$38,0)),Setup!$A$33),""),"")</f>
        <v xml:space="preserve">/
</v>
      </c>
      <c r="R110" s="391" t="str">
        <f ca="1">IFERROR(IF(INDEX('Outcome Indicators - Section C '!S$1:S$38,MATCH($A110,'Outcome Indicators - Section C '!$A$1:$A$38,0))&lt;&gt;0,TEXT(INDEX('Outcome Indicators - Section C '!S$1:S$38,MATCH($A110,'Outcome Indicators - Section C '!$A$1:$A$38,0)),"#'##0.00"),""),"")&amp;"/"&amp;IFERROR(IF(INDEX('Outcome Indicators - Section C '!S$1:S$38,MATCH($A110,'Outcome Indicators - Section C '!$A$1:$A$38,0)+1)&lt;&gt;0,TEXT(INDEX('Outcome Indicators - Section C '!S$1:S$38,MATCH($A110,'Outcome Indicators - Section C '!$A$1:$A$38,0)+1),"#'##0.00"),""),"")&amp;CHAR(10)&amp;IFERROR(IF(INDEX('Outcome Indicators - Section C '!T$1:T$38,MATCH($A110,'Outcome Indicators - Section C '!$A$1:$A$38,0))&lt;&gt;0,TEXT(INDEX('Outcome Indicators - Section C '!T$1:T$38,MATCH($A110,'Outcome Indicators - Section C '!$A$1:$A$38,0)),"0.0%"),""),"")&amp;CHAR(10)&amp;IFERROR(IF(INDEX('Outcome Indicators - Section C '!R$1:R$38,MATCH($A110,'Outcome Indicators - Section C '!$A$1:$A$38,0))&lt;&gt;0,INDEX('Outcome Indicators - Section C '!R$1:R$38,MATCH($A110,'Outcome Indicators - Section C '!$A$1:$A$38,0)),""),"")&amp;CHAR(10)&amp;IFERROR(IF(INDEX('Outcome Indicators - Section C '!U$1:U$38,MATCH($A110,'Outcome Indicators - Section C '!$A$1:$A$38,0))&lt;&gt;0,TEXT(INDEX('Outcome Indicators - Section C '!U$1:U$38,MATCH($A110,'Outcome Indicators - Section C '!$A$1:$A$38,0)),Setup!$A$33),""),"")</f>
        <v>/
86.0%
31-Dec-23</v>
      </c>
      <c r="S110" s="391" t="str">
        <f ca="1">IFERROR(IF(INDEX('Outcome Indicators - Section C '!W$9:W$38,MATCH($A110,'Outcome Indicators - Section C '!$A$9:$A$38,0))&lt;&gt;0,TEXT(INDEX('Outcome Indicators - Section C '!W$9:W$38,MATCH($A110,'Outcome Indicators - Section C '!$A$9:$A$38,0)),"#'##0.00"),""),"")&amp;"/"&amp;IFERROR(IF(INDEX('Outcome Indicators - Section C '!W$9:W$38,MATCH($A110,'Outcome Indicators - Section C '!$A$9:$A$38,0)+1)&lt;&gt;0,TEXT(INDEX('Outcome Indicators - Section C '!W$9:W$38,MATCH($A110,'Outcome Indicators - Section C '!$A$9:$A$38,0)+1),"#'##0.00"),""),"")&amp;CHAR(10)&amp;IFERROR(IF(INDEX('Outcome Indicators - Section C '!X$9:X$38,MATCH($A110,'Outcome Indicators - Section C '!$A$9:$A$38,0))&lt;&gt;0,TEXT(INDEX('Outcome Indicators - Section C '!X$9:X$38,MATCH($A110,'Outcome Indicators - Section C '!$A$9:$A$38,0)),"0.0%"),""),"")&amp;CHAR(10)&amp;IFERROR(IF(INDEX('Outcome Indicators - Section C '!Z$9:Z$38,MATCH($A110,'Outcome Indicators - Section C '!$A$9:$A$38,0))&lt;&gt;0,INDEX('Outcome Indicators - Section C '!Z$9:Z$38,MATCH($A110,'Outcome Indicators - Section C '!$A$9:$A$38,0)),""),"")&amp;CHAR(10)&amp;IFERROR(IF(INDEX('Outcome Indicators - Section C '!Y$9:Y$38,MATCH($A110,'Outcome Indicators - Section C '!$A$9:$A$38,0))&lt;&gt;0,TEXT(INDEX('Outcome Indicators - Section C '!Y$9:Y$38,MATCH($A110,'Outcome Indicators - Section C '!$A$9:$A$38,0)),Setup!$A$33),""),"")</f>
        <v xml:space="preserve">/
</v>
      </c>
      <c r="T110" s="394"/>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Q110" s="216"/>
      <c r="AR110" s="216"/>
      <c r="AS110" s="216"/>
      <c r="AT110" s="216"/>
      <c r="AU110" s="721"/>
      <c r="AV110" s="721"/>
      <c r="AW110" s="721"/>
      <c r="AX110" s="721"/>
    </row>
    <row r="111" spans="1:50" ht="96" customHeight="1" thickBot="1" x14ac:dyDescent="0.35">
      <c r="A111" s="723">
        <v>4</v>
      </c>
      <c r="B111" s="727" t="str">
        <f ca="1">IFERROR(IF(INDEX('Outcome Indicators - Section C '!AA$1:AA$100,MATCH($A110,'Outcome Indicators - Section C '!$A$1:$A$100,0))&lt;&gt;0,INDEX('Outcome Indicators - Section C '!AA$1:AA$100,MATCH($A110,'Outcome Indicators - Section C '!$A$1:$A$100,0)),""),"")</f>
        <v>Selon le rapport de la modélisation, l'utilisation du préservatif en 2025 est projeté à 90%. Selon cette base et en se basant des données historiques, le PSN 2021-2025, cible à 86% le pourcentage de professionnels du sexe qui indiquent avoir utilisé un préservatif avec leur dernier client
Une enquête IBBS sera réalisé en 2022 pour renseigner l'indicateur en 2023</v>
      </c>
      <c r="C111" s="728"/>
      <c r="D111" s="728"/>
      <c r="E111" s="728"/>
      <c r="F111" s="728"/>
      <c r="G111" s="728"/>
      <c r="H111" s="728"/>
      <c r="I111" s="728"/>
      <c r="J111" s="728"/>
      <c r="K111" s="728"/>
      <c r="L111" s="728"/>
      <c r="M111" s="728"/>
      <c r="N111" s="728"/>
      <c r="O111" s="728"/>
      <c r="P111" s="728"/>
      <c r="Q111" s="728"/>
      <c r="R111" s="728"/>
      <c r="S111" s="729"/>
      <c r="T111" s="385"/>
      <c r="U111" s="216"/>
      <c r="V111" s="216"/>
      <c r="W111" s="216"/>
      <c r="X111" s="216"/>
      <c r="Y111" s="216"/>
      <c r="Z111" s="216"/>
      <c r="AA111" s="216"/>
      <c r="AB111" s="216"/>
      <c r="AC111" s="216"/>
      <c r="AD111" s="216"/>
      <c r="AE111" s="216"/>
      <c r="AF111" s="216"/>
      <c r="AG111" s="216"/>
      <c r="AH111" s="216"/>
      <c r="AI111" s="216"/>
      <c r="AJ111" s="216"/>
      <c r="AK111" s="216"/>
      <c r="AL111" s="216"/>
      <c r="AM111" s="216"/>
      <c r="AN111" s="216"/>
      <c r="AO111" s="216"/>
      <c r="AQ111" s="216"/>
      <c r="AR111" s="216"/>
      <c r="AS111" s="216"/>
      <c r="AT111" s="216"/>
      <c r="AU111" s="721"/>
      <c r="AV111" s="721"/>
      <c r="AW111" s="721"/>
      <c r="AX111" s="721"/>
    </row>
    <row r="112" spans="1:50" ht="172.2" customHeight="1" x14ac:dyDescent="0.3">
      <c r="A112" s="722">
        <v>3</v>
      </c>
      <c r="B112" s="724" t="str">
        <f ca="1">IFERROR(IF(INDEX('Outcome Indicators - Section C '!B$1:B$100,MATCH($A112,'Outcome Indicators - Section C '!$A$1:$A$100,0))&lt;&gt;0,INDEX('Outcome Indicators - Section C '!B$1:B$100,MATCH($A112,'Outcome Indicators - Section C '!$A$1:$A$100,0)),""),"")</f>
        <v>HIV O-12 Pourcentage de personnes vivant avec le VIH sous traitement antirétroviral qui ont une charge virale indétectable</v>
      </c>
      <c r="C112" s="725"/>
      <c r="D112" s="726"/>
      <c r="E112" s="724" t="str">
        <f ca="1">IFERROR(IF(INDEX('Outcome Indicators - Section C '!C$1:C$100,MATCH($A112,'Outcome Indicators - Section C '!$A$1:$A$100,0))&lt;&gt;0,INDEX('Outcome Indicators - Section C '!C$1:C$100,MATCH($A112,'Outcome Indicators - Section C '!$A$1:$A$100,0)),""),"")</f>
        <v/>
      </c>
      <c r="F112" s="725"/>
      <c r="G112" s="726"/>
      <c r="H112" s="391" t="str">
        <f ca="1">IFERROR(IF(INDEX('Outcome Indicators - Section C '!D$1:D$100,MATCH($A112,'Outcome Indicators - Section C '!$A$1:$A$100,0))&lt;&gt;0,TEXT(INDEX('Outcome Indicators - Section C '!D$1:D$100,MATCH($A112,'Outcome Indicators - Section C '!$A$1:$A$100,0)),"#'##0.00"),""),"")&amp;"/"&amp;IFERROR(IF(INDEX('Outcome Indicators - Section C '!D$1:D$100,MATCH($A112,'Outcome Indicators - Section C '!$A$1:$A$100,0)+1)&lt;&gt;0,TEXT(INDEX('Outcome Indicators - Section C '!D$1:D$100,MATCH($A112,'Outcome Indicators - Section C '!$A$1:$A$100,0)+1),"#'##0.00"),""),"")&amp;CHAR(10)&amp;IFERROR(IF(INDEX('Outcome Indicators - Section C '!E$1:E$100,MATCH($A112,'Outcome Indicators - Section C '!$A$1:$A$100,0))&lt;&gt;0,TEXT(INDEX('Outcome Indicators - Section C '!E$1:E$100,MATCH($A112,'Outcome Indicators - Section C '!$A$1:$A$100,0)),"0.0%"),""),"")</f>
        <v>191'364.00/269'135.00
71.1%</v>
      </c>
      <c r="I112" s="391" t="str">
        <f ca="1">IFERROR(IF(INDEX('Outcome Indicators - Section C '!F$1:F$100,MATCH($A112,'Outcome Indicators - Section C '!$A$1:$A$100,0))&lt;&gt;0,INDEX('Outcome Indicators - Section C '!F$1:F$100,MATCH($A112,'Outcome Indicators - Section C '!$A$1:$A$100,0)),""),"")&amp;CHAR(10)&amp;IFERROR(IF(INDEX('Outcome Indicators - Section C '!G$1:G$100,MATCH($A112,'Outcome Indicators - Section C '!$A$1:$A$100,0))&lt;&gt;0,INDEX('Outcome Indicators - Section C '!G$1:G$100,MATCH($A112,'Outcome Indicators - Section C '!$A$1:$A$100,0)),""),"")</f>
        <v>2019
Données de routine PNLS</v>
      </c>
      <c r="J112" s="724" t="str">
        <f ca="1">IFERROR(IF(INDEX('Outcome Indicators - Section C '!H$1:H$100,MATCH($A112,'Outcome Indicators - Section C '!$A$1:$A$100,0))&lt;&gt;0,INDEX('Outcome Indicators - Section C '!H$1:H$100,MATCH($A112,'Outcome Indicators - Section C '!$A$1:$A$100,0)),""),"")</f>
        <v>Sexe</v>
      </c>
      <c r="K112" s="725"/>
      <c r="L112" s="725"/>
      <c r="M112" s="726"/>
      <c r="N112" s="392" t="str">
        <f ca="1">IFERROR(IF(INDEX('Outcome Indicators - Section C '!I$1:I$100,MATCH($A112,'Outcome Indicators - Section C '!$A$1:$A$100,0))&lt;&gt;0,INDEX('Outcome Indicators - Section C '!I$1:I$100,MATCH($A112,'Outcome Indicators - Section C '!$A$1:$A$100,0)),""),"")</f>
        <v>Programme National de Lutte contre le SIDA de la République de Côte d'Ivoire</v>
      </c>
      <c r="O112" s="392" t="str">
        <f>IFERROR(IF(INDEX('Outcome Indicators - Section C '!J$9:J$38,MATCH($A112,'Outcome Indicators - Section C '!$A$9:$A$38,0))&lt;&gt;0,INDEX('Outcome Indicators - Section C '!J$9:J$38,MATCH($A112,'Outcome Indicators - Section C '!$A$9:$A$38,0)),""),"")</f>
        <v>Côte d'Ivoire</v>
      </c>
      <c r="P112" s="393" t="str">
        <f ca="1">IFERROR(IF(INDEX('Outcome Indicators - Section C '!K$1:K$100,MATCH($A112,'Outcome Indicators - Section C '!$A$1:$A$100,0))&lt;&gt;0,TEXT(INDEX('Outcome Indicators - Section C '!K$1:K$100,MATCH($A112,'Outcome Indicators - Section C '!$A$1:$A$100,0)),"#'##0.00"),""),"")&amp;"/"&amp;IFERROR(IF(INDEX('Outcome Indicators - Section C '!K$1:K$100,MATCH($A112,'Outcome Indicators - Section C '!$A$1:$A$100,0)+1)&lt;&gt;0,TEXT(INDEX('Outcome Indicators - Section C '!K$1:K$100,MATCH($A112,'Outcome Indicators - Section C '!$A$1:$A$100,0)+1),"#'##0.00"),""),"")&amp;CHAR(10)&amp;IFERROR(IF(INDEX('Outcome Indicators - Section C '!L$1:L$100,MATCH($A112,'Outcome Indicators - Section C '!$A$1:$A$100,0))&lt;&gt;0,TEXT(INDEX('Outcome Indicators - Section C '!L$1:L$100,MATCH($A112,'Outcome Indicators - Section C '!$A$1:$A$100,0)),"0.0%"),""),"")&amp;CHAR(10)&amp;IFERROR(IF(INDEX('Outcome Indicators - Section C '!N$1:N$100,MATCH($A112,'Outcome Indicators - Section C '!$A$1:$A$100,0))&lt;&gt;0,INDEX('Outcome Indicators - Section C '!N$1:N$100,MATCH($A112,'Outcome Indicators - Section C '!$A$1:$A$100,0)),""),"")&amp;CHAR(10)&amp;IFERROR(IF(INDEX('Outcome Indicators - Section C '!M$1:M$100,MATCH($A112,'Outcome Indicators - Section C '!$A$1:$A$100,0))&lt;&gt;0,TEXT(INDEX('Outcome Indicators - Section C '!M$1:M$100,MATCH($A112,'Outcome Indicators - Section C '!$A$1:$A$100,0)),Setup!$A$33),""),"")</f>
        <v>/
78.3%
31-Dec-21</v>
      </c>
      <c r="Q112" s="391" t="str">
        <f ca="1">IFERROR(IF(INDEX('Outcome Indicators - Section C '!O$1:O$38,MATCH($A112,'Outcome Indicators - Section C '!$A$1:$A$38,0))&lt;&gt;0,TEXT(INDEX('Outcome Indicators - Section C '!O$1:O$38,MATCH($A112,'Outcome Indicators - Section C '!$A$1:$A$38,0)),"#'##0.00"),""),"")&amp;"/"&amp;IFERROR(IF(INDEX('Outcome Indicators - Section C '!O$1:O$38,MATCH($A112,'Outcome Indicators - Section C '!$A$1:$A$38,0)+1)&lt;&gt;0,TEXT(INDEX('Outcome Indicators - Section C '!O$1:O$38,MATCH($A112,'Outcome Indicators - Section C '!$A$1:$A$38,0)+1),"#'##0.00"),""),"")&amp;CHAR(10)&amp;IFERROR(IF(INDEX('Outcome Indicators - Section C '!P$1:P$38,MATCH($A112,'Outcome Indicators - Section C '!$A$1:$A$38,0))&lt;&gt;0,TEXT(INDEX('Outcome Indicators - Section C '!P$1:P$38,MATCH($A112,'Outcome Indicators - Section C '!$A$1:$A$38,0)),"0.0%"),""),"")&amp;CHAR(10)&amp;IFERROR(IF(INDEX('Outcome Indicators - Section C '!R$1:R$38,MATCH($A112,'Outcome Indicators - Section C '!$A$1:$A$38,0))&lt;&gt;0,INDEX('Outcome Indicators - Section C '!R$1:R$38,MATCH($A112,'Outcome Indicators - Section C '!$A$1:$A$38,0)),""),"")&amp;CHAR(10)&amp;IFERROR(IF(INDEX('Outcome Indicators - Section C '!Q$1:Q$38,MATCH($A112,'Outcome Indicators - Section C '!$A$1:$A$38,0))&lt;&gt;0,TEXT(INDEX('Outcome Indicators - Section C '!Q$1:Q$38,MATCH($A112,'Outcome Indicators - Section C '!$A$1:$A$38,0)),Setup!$A$33),""),"")</f>
        <v>/
82.0%
31-Dec-22</v>
      </c>
      <c r="R112" s="391" t="str">
        <f ca="1">IFERROR(IF(INDEX('Outcome Indicators - Section C '!S$1:S$38,MATCH($A112,'Outcome Indicators - Section C '!$A$1:$A$38,0))&lt;&gt;0,TEXT(INDEX('Outcome Indicators - Section C '!S$1:S$38,MATCH($A112,'Outcome Indicators - Section C '!$A$1:$A$38,0)),"#'##0.00"),""),"")&amp;"/"&amp;IFERROR(IF(INDEX('Outcome Indicators - Section C '!S$1:S$38,MATCH($A112,'Outcome Indicators - Section C '!$A$1:$A$38,0)+1)&lt;&gt;0,TEXT(INDEX('Outcome Indicators - Section C '!S$1:S$38,MATCH($A112,'Outcome Indicators - Section C '!$A$1:$A$38,0)+1),"#'##0.00"),""),"")&amp;CHAR(10)&amp;IFERROR(IF(INDEX('Outcome Indicators - Section C '!T$1:T$38,MATCH($A112,'Outcome Indicators - Section C '!$A$1:$A$38,0))&lt;&gt;0,TEXT(INDEX('Outcome Indicators - Section C '!T$1:T$38,MATCH($A112,'Outcome Indicators - Section C '!$A$1:$A$38,0)),"0.0%"),""),"")&amp;CHAR(10)&amp;IFERROR(IF(INDEX('Outcome Indicators - Section C '!R$1:R$38,MATCH($A112,'Outcome Indicators - Section C '!$A$1:$A$38,0))&lt;&gt;0,INDEX('Outcome Indicators - Section C '!R$1:R$38,MATCH($A112,'Outcome Indicators - Section C '!$A$1:$A$38,0)),""),"")&amp;CHAR(10)&amp;IFERROR(IF(INDEX('Outcome Indicators - Section C '!U$1:U$38,MATCH($A112,'Outcome Indicators - Section C '!$A$1:$A$38,0))&lt;&gt;0,TEXT(INDEX('Outcome Indicators - Section C '!U$1:U$38,MATCH($A112,'Outcome Indicators - Section C '!$A$1:$A$38,0)),Setup!$A$33),""),"")</f>
        <v>/
85.6%
31-Dec-23</v>
      </c>
      <c r="S112" s="391" t="str">
        <f ca="1">IFERROR(IF(INDEX('Outcome Indicators - Section C '!W$9:W$38,MATCH($A112,'Outcome Indicators - Section C '!$A$9:$A$38,0))&lt;&gt;0,TEXT(INDEX('Outcome Indicators - Section C '!W$9:W$38,MATCH($A112,'Outcome Indicators - Section C '!$A$9:$A$38,0)),"#'##0.00"),""),"")&amp;"/"&amp;IFERROR(IF(INDEX('Outcome Indicators - Section C '!W$9:W$38,MATCH($A112,'Outcome Indicators - Section C '!$A$9:$A$38,0)+1)&lt;&gt;0,TEXT(INDEX('Outcome Indicators - Section C '!W$9:W$38,MATCH($A112,'Outcome Indicators - Section C '!$A$9:$A$38,0)+1),"#'##0.00"),""),"")&amp;CHAR(10)&amp;IFERROR(IF(INDEX('Outcome Indicators - Section C '!X$9:X$38,MATCH($A112,'Outcome Indicators - Section C '!$A$9:$A$38,0))&lt;&gt;0,TEXT(INDEX('Outcome Indicators - Section C '!X$9:X$38,MATCH($A112,'Outcome Indicators - Section C '!$A$9:$A$38,0)),"0.0%"),""),"")&amp;CHAR(10)&amp;IFERROR(IF(INDEX('Outcome Indicators - Section C '!Z$9:Z$38,MATCH($A112,'Outcome Indicators - Section C '!$A$9:$A$38,0))&lt;&gt;0,INDEX('Outcome Indicators - Section C '!Z$9:Z$38,MATCH($A112,'Outcome Indicators - Section C '!$A$9:$A$38,0)),""),"")&amp;CHAR(10)&amp;IFERROR(IF(INDEX('Outcome Indicators - Section C '!Y$9:Y$38,MATCH($A112,'Outcome Indicators - Section C '!$A$9:$A$38,0))&lt;&gt;0,TEXT(INDEX('Outcome Indicators - Section C '!Y$9:Y$38,MATCH($A112,'Outcome Indicators - Section C '!$A$9:$A$38,0)),Setup!$A$33),""),"")</f>
        <v xml:space="preserve">/
</v>
      </c>
      <c r="T112" s="394"/>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Q112" s="216"/>
      <c r="AR112" s="216"/>
      <c r="AS112" s="216"/>
      <c r="AT112" s="216"/>
      <c r="AU112" s="721"/>
      <c r="AV112" s="721"/>
      <c r="AW112" s="721"/>
      <c r="AX112" s="721"/>
    </row>
    <row r="113" spans="1:50" ht="96" customHeight="1" thickBot="1" x14ac:dyDescent="0.35">
      <c r="A113" s="723">
        <v>6</v>
      </c>
      <c r="B113" s="717" t="str">
        <f ca="1">IFERROR(IF(INDEX('Outcome Indicators - Section C '!AA$1:AA$100,MATCH($A112,'Outcome Indicators - Section C '!$A$1:$A$100,0))&lt;&gt;0,INDEX('Outcome Indicators - Section C '!AA$1:AA$100,MATCH($A112,'Outcome Indicators - Section C '!$A$1:$A$100,0)),""),"")</f>
        <v>Selon le PSN les cibles de personnes qui doivent avoir une charge virale indétectable sont de 78,3% en 2021, 82% en 2022 et 85, 7% en 2023. 
Numérateur: Nombre de PVVIH sous ARV ayant une suppression virale indétectable 
Dénominateur: Nombre de PVVIH sous ARV (file active)</v>
      </c>
      <c r="C113" s="718"/>
      <c r="D113" s="718"/>
      <c r="E113" s="718"/>
      <c r="F113" s="718"/>
      <c r="G113" s="718"/>
      <c r="H113" s="718"/>
      <c r="I113" s="719"/>
      <c r="J113" s="719"/>
      <c r="K113" s="719"/>
      <c r="L113" s="719"/>
      <c r="M113" s="719"/>
      <c r="N113" s="719"/>
      <c r="O113" s="719"/>
      <c r="P113" s="719"/>
      <c r="Q113" s="719"/>
      <c r="R113" s="719"/>
      <c r="S113" s="720"/>
      <c r="T113" s="382"/>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Q113" s="216"/>
      <c r="AR113" s="216"/>
      <c r="AS113" s="216"/>
      <c r="AT113" s="216"/>
      <c r="AU113" s="721"/>
      <c r="AV113" s="721"/>
      <c r="AW113" s="721"/>
      <c r="AX113" s="721"/>
    </row>
    <row r="114" spans="1:50" ht="172.2" customHeight="1" x14ac:dyDescent="0.3">
      <c r="A114" s="722">
        <v>4</v>
      </c>
      <c r="B114" s="724" t="str">
        <f ca="1">IFERROR(IF(INDEX('Outcome Indicators - Section C '!B$1:B$100,MATCH($A114,'Outcome Indicators - Section C '!$A$1:$A$100,0))&lt;&gt;0,INDEX('Outcome Indicators - Section C '!B$1:B$100,MATCH($A114,'Outcome Indicators - Section C '!$A$1:$A$100,0)),""),"")</f>
        <v/>
      </c>
      <c r="C114" s="725"/>
      <c r="D114" s="726"/>
      <c r="E114" s="724" t="str">
        <f ca="1">IFERROR(IF(INDEX('Outcome Indicators - Section C '!C$1:C$100,MATCH($A114,'Outcome Indicators - Section C '!$A$1:$A$100,0))&lt;&gt;0,INDEX('Outcome Indicators - Section C '!C$1:C$100,MATCH($A114,'Outcome Indicators - Section C '!$A$1:$A$100,0)),""),"")</f>
        <v xml:space="preserve">HIV O-15-Other1: Pourcentage de personnes vivant avec le VIH déclarant avoir été victimes de discrimination liée au VIH </v>
      </c>
      <c r="F114" s="725"/>
      <c r="G114" s="726"/>
      <c r="H114" s="391" t="str">
        <f ca="1">IFERROR(IF(INDEX('Outcome Indicators - Section C '!D$1:D$100,MATCH($A114,'Outcome Indicators - Section C '!$A$1:$A$100,0))&lt;&gt;0,TEXT(INDEX('Outcome Indicators - Section C '!D$1:D$100,MATCH($A114,'Outcome Indicators - Section C '!$A$1:$A$100,0)),"#'##0.00"),""),"")&amp;"/"&amp;IFERROR(IF(INDEX('Outcome Indicators - Section C '!D$1:D$100,MATCH($A114,'Outcome Indicators - Section C '!$A$1:$A$100,0)+1)&lt;&gt;0,TEXT(INDEX('Outcome Indicators - Section C '!D$1:D$100,MATCH($A114,'Outcome Indicators - Section C '!$A$1:$A$100,0)+1),"#'##0.00"),""),"")&amp;CHAR(10)&amp;IFERROR(IF(INDEX('Outcome Indicators - Section C '!E$1:E$100,MATCH($A114,'Outcome Indicators - Section C '!$A$1:$A$100,0))&lt;&gt;0,TEXT(INDEX('Outcome Indicators - Section C '!E$1:E$100,MATCH($A114,'Outcome Indicators - Section C '!$A$1:$A$100,0)),"0.0%"),""),"")</f>
        <v>535.00/1'323.00
40.4%</v>
      </c>
      <c r="I114" s="391" t="str">
        <f ca="1">IFERROR(IF(INDEX('Outcome Indicators - Section C '!F$1:F$100,MATCH($A114,'Outcome Indicators - Section C '!$A$1:$A$100,0))&lt;&gt;0,INDEX('Outcome Indicators - Section C '!F$1:F$100,MATCH($A114,'Outcome Indicators - Section C '!$A$1:$A$100,0)),""),"")&amp;CHAR(10)&amp;IFERROR(IF(INDEX('Outcome Indicators - Section C '!G$1:G$100,MATCH($A114,'Outcome Indicators - Section C '!$A$1:$A$100,0))&lt;&gt;0,INDEX('Outcome Indicators - Section C '!G$1:G$100,MATCH($A114,'Outcome Indicators - Section C '!$A$1:$A$100,0)),""),"")</f>
        <v>2016
Rapport d'Etude Index Stigma 2016</v>
      </c>
      <c r="J114" s="724" t="str">
        <f ca="1">IFERROR(IF(INDEX('Outcome Indicators - Section C '!H$1:H$100,MATCH($A114,'Outcome Indicators - Section C '!$A$1:$A$100,0))&lt;&gt;0,INDEX('Outcome Indicators - Section C '!H$1:H$100,MATCH($A114,'Outcome Indicators - Section C '!$A$1:$A$100,0)),""),"")</f>
        <v/>
      </c>
      <c r="K114" s="725"/>
      <c r="L114" s="725"/>
      <c r="M114" s="726"/>
      <c r="N114" s="392" t="str">
        <f ca="1">IFERROR(IF(INDEX('Outcome Indicators - Section C '!I$1:I$100,MATCH($A114,'Outcome Indicators - Section C '!$A$1:$A$100,0))&lt;&gt;0,INDEX('Outcome Indicators - Section C '!I$1:I$100,MATCH($A114,'Outcome Indicators - Section C '!$A$1:$A$100,0)),""),"")</f>
        <v>Alliance Nationale Contre Le Sida en Cote D'Ivoire</v>
      </c>
      <c r="O114" s="392" t="str">
        <f>IFERROR(IF(INDEX('Outcome Indicators - Section C '!J$9:J$38,MATCH($A114,'Outcome Indicators - Section C '!$A$9:$A$38,0))&lt;&gt;0,INDEX('Outcome Indicators - Section C '!J$9:J$38,MATCH($A114,'Outcome Indicators - Section C '!$A$9:$A$38,0)),""),"")</f>
        <v>Côte d'Ivoire</v>
      </c>
      <c r="P114" s="393" t="str">
        <f ca="1">IFERROR(IF(INDEX('Outcome Indicators - Section C '!K$1:K$100,MATCH($A114,'Outcome Indicators - Section C '!$A$1:$A$100,0))&lt;&gt;0,TEXT(INDEX('Outcome Indicators - Section C '!K$1:K$100,MATCH($A114,'Outcome Indicators - Section C '!$A$1:$A$100,0)),"#'##0.00"),""),"")&amp;"/"&amp;IFERROR(IF(INDEX('Outcome Indicators - Section C '!K$1:K$100,MATCH($A114,'Outcome Indicators - Section C '!$A$1:$A$100,0)+1)&lt;&gt;0,TEXT(INDEX('Outcome Indicators - Section C '!K$1:K$100,MATCH($A114,'Outcome Indicators - Section C '!$A$1:$A$100,0)+1),"#'##0.00"),""),"")&amp;CHAR(10)&amp;IFERROR(IF(INDEX('Outcome Indicators - Section C '!L$1:L$100,MATCH($A114,'Outcome Indicators - Section C '!$A$1:$A$100,0))&lt;&gt;0,TEXT(INDEX('Outcome Indicators - Section C '!L$1:L$100,MATCH($A114,'Outcome Indicators - Section C '!$A$1:$A$100,0)),"0.0%"),""),"")&amp;CHAR(10)&amp;IFERROR(IF(INDEX('Outcome Indicators - Section C '!N$1:N$100,MATCH($A114,'Outcome Indicators - Section C '!$A$1:$A$100,0))&lt;&gt;0,INDEX('Outcome Indicators - Section C '!N$1:N$100,MATCH($A114,'Outcome Indicators - Section C '!$A$1:$A$100,0)),""),"")&amp;CHAR(10)&amp;IFERROR(IF(INDEX('Outcome Indicators - Section C '!M$1:M$100,MATCH($A114,'Outcome Indicators - Section C '!$A$1:$A$100,0))&lt;&gt;0,TEXT(INDEX('Outcome Indicators - Section C '!M$1:M$100,MATCH($A114,'Outcome Indicators - Section C '!$A$1:$A$100,0)),Setup!$A$33),""),"")</f>
        <v>/
25.0%
30-Jun-21</v>
      </c>
      <c r="Q114" s="391" t="str">
        <f ca="1">IFERROR(IF(INDEX('Outcome Indicators - Section C '!O$1:O$38,MATCH($A114,'Outcome Indicators - Section C '!$A$1:$A$38,0))&lt;&gt;0,TEXT(INDEX('Outcome Indicators - Section C '!O$1:O$38,MATCH($A114,'Outcome Indicators - Section C '!$A$1:$A$38,0)),"#'##0.00"),""),"")&amp;"/"&amp;IFERROR(IF(INDEX('Outcome Indicators - Section C '!O$1:O$38,MATCH($A114,'Outcome Indicators - Section C '!$A$1:$A$38,0)+1)&lt;&gt;0,TEXT(INDEX('Outcome Indicators - Section C '!O$1:O$38,MATCH($A114,'Outcome Indicators - Section C '!$A$1:$A$38,0)+1),"#'##0.00"),""),"")&amp;CHAR(10)&amp;IFERROR(IF(INDEX('Outcome Indicators - Section C '!P$1:P$38,MATCH($A114,'Outcome Indicators - Section C '!$A$1:$A$38,0))&lt;&gt;0,TEXT(INDEX('Outcome Indicators - Section C '!P$1:P$38,MATCH($A114,'Outcome Indicators - Section C '!$A$1:$A$38,0)),"0.0%"),""),"")&amp;CHAR(10)&amp;IFERROR(IF(INDEX('Outcome Indicators - Section C '!R$1:R$38,MATCH($A114,'Outcome Indicators - Section C '!$A$1:$A$38,0))&lt;&gt;0,INDEX('Outcome Indicators - Section C '!R$1:R$38,MATCH($A114,'Outcome Indicators - Section C '!$A$1:$A$38,0)),""),"")&amp;CHAR(10)&amp;IFERROR(IF(INDEX('Outcome Indicators - Section C '!Q$1:Q$38,MATCH($A114,'Outcome Indicators - Section C '!$A$1:$A$38,0))&lt;&gt;0,TEXT(INDEX('Outcome Indicators - Section C '!Q$1:Q$38,MATCH($A114,'Outcome Indicators - Section C '!$A$1:$A$38,0)),Setup!$A$33),""),"")</f>
        <v xml:space="preserve">/
</v>
      </c>
      <c r="R114" s="391" t="str">
        <f ca="1">IFERROR(IF(INDEX('Outcome Indicators - Section C '!S$1:S$38,MATCH($A114,'Outcome Indicators - Section C '!$A$1:$A$38,0))&lt;&gt;0,TEXT(INDEX('Outcome Indicators - Section C '!S$1:S$38,MATCH($A114,'Outcome Indicators - Section C '!$A$1:$A$38,0)),"#'##0.00"),""),"")&amp;"/"&amp;IFERROR(IF(INDEX('Outcome Indicators - Section C '!S$1:S$38,MATCH($A114,'Outcome Indicators - Section C '!$A$1:$A$38,0)+1)&lt;&gt;0,TEXT(INDEX('Outcome Indicators - Section C '!S$1:S$38,MATCH($A114,'Outcome Indicators - Section C '!$A$1:$A$38,0)+1),"#'##0.00"),""),"")&amp;CHAR(10)&amp;IFERROR(IF(INDEX('Outcome Indicators - Section C '!T$1:T$38,MATCH($A114,'Outcome Indicators - Section C '!$A$1:$A$38,0))&lt;&gt;0,TEXT(INDEX('Outcome Indicators - Section C '!T$1:T$38,MATCH($A114,'Outcome Indicators - Section C '!$A$1:$A$38,0)),"0.0%"),""),"")&amp;CHAR(10)&amp;IFERROR(IF(INDEX('Outcome Indicators - Section C '!R$1:R$38,MATCH($A114,'Outcome Indicators - Section C '!$A$1:$A$38,0))&lt;&gt;0,INDEX('Outcome Indicators - Section C '!R$1:R$38,MATCH($A114,'Outcome Indicators - Section C '!$A$1:$A$38,0)),""),"")&amp;CHAR(10)&amp;IFERROR(IF(INDEX('Outcome Indicators - Section C '!U$1:U$38,MATCH($A114,'Outcome Indicators - Section C '!$A$1:$A$38,0))&lt;&gt;0,TEXT(INDEX('Outcome Indicators - Section C '!U$1:U$38,MATCH($A114,'Outcome Indicators - Section C '!$A$1:$A$38,0)),Setup!$A$33),""),"")</f>
        <v>/
18.0%
31-Dec-23</v>
      </c>
      <c r="S114" s="391" t="str">
        <f ca="1">IFERROR(IF(INDEX('Outcome Indicators - Section C '!W$9:W$38,MATCH($A114,'Outcome Indicators - Section C '!$A$9:$A$38,0))&lt;&gt;0,TEXT(INDEX('Outcome Indicators - Section C '!W$9:W$38,MATCH($A114,'Outcome Indicators - Section C '!$A$9:$A$38,0)),"#'##0.00"),""),"")&amp;"/"&amp;IFERROR(IF(INDEX('Outcome Indicators - Section C '!W$9:W$38,MATCH($A114,'Outcome Indicators - Section C '!$A$9:$A$38,0)+1)&lt;&gt;0,TEXT(INDEX('Outcome Indicators - Section C '!W$9:W$38,MATCH($A114,'Outcome Indicators - Section C '!$A$9:$A$38,0)+1),"#'##0.00"),""),"")&amp;CHAR(10)&amp;IFERROR(IF(INDEX('Outcome Indicators - Section C '!X$9:X$38,MATCH($A114,'Outcome Indicators - Section C '!$A$9:$A$38,0))&lt;&gt;0,TEXT(INDEX('Outcome Indicators - Section C '!X$9:X$38,MATCH($A114,'Outcome Indicators - Section C '!$A$9:$A$38,0)),"0.0%"),""),"")&amp;CHAR(10)&amp;IFERROR(IF(INDEX('Outcome Indicators - Section C '!Z$9:Z$38,MATCH($A114,'Outcome Indicators - Section C '!$A$9:$A$38,0))&lt;&gt;0,INDEX('Outcome Indicators - Section C '!Z$9:Z$38,MATCH($A114,'Outcome Indicators - Section C '!$A$9:$A$38,0)),""),"")&amp;CHAR(10)&amp;IFERROR(IF(INDEX('Outcome Indicators - Section C '!Y$9:Y$38,MATCH($A114,'Outcome Indicators - Section C '!$A$9:$A$38,0))&lt;&gt;0,TEXT(INDEX('Outcome Indicators - Section C '!Y$9:Y$38,MATCH($A114,'Outcome Indicators - Section C '!$A$9:$A$38,0)),Setup!$A$33),""),"")</f>
        <v xml:space="preserve">/
</v>
      </c>
      <c r="T114" s="394"/>
      <c r="U114" s="216"/>
      <c r="V114" s="216"/>
      <c r="W114" s="216"/>
      <c r="X114" s="216"/>
      <c r="Y114" s="216"/>
      <c r="Z114" s="216"/>
      <c r="AA114" s="216"/>
      <c r="AB114" s="216"/>
      <c r="AC114" s="216"/>
      <c r="AD114" s="216"/>
      <c r="AE114" s="216"/>
      <c r="AF114" s="216"/>
      <c r="AG114" s="216"/>
      <c r="AH114" s="216"/>
      <c r="AI114" s="216"/>
      <c r="AJ114" s="216"/>
      <c r="AK114" s="216"/>
      <c r="AL114" s="216"/>
      <c r="AM114" s="216"/>
      <c r="AN114" s="216"/>
      <c r="AO114" s="216"/>
      <c r="AQ114" s="216"/>
      <c r="AR114" s="216"/>
      <c r="AS114" s="216"/>
      <c r="AT114" s="216"/>
      <c r="AU114" s="721"/>
      <c r="AV114" s="721"/>
      <c r="AW114" s="721"/>
      <c r="AX114" s="721"/>
    </row>
    <row r="115" spans="1:50" ht="96" customHeight="1" thickBot="1" x14ac:dyDescent="0.35">
      <c r="A115" s="723">
        <v>8</v>
      </c>
      <c r="B115" s="727" t="str">
        <f ca="1">IFERROR(IF(INDEX('Outcome Indicators - Section C '!AA$1:AA$100,MATCH($A114,'Outcome Indicators - Section C '!$A$1:$A$100,0))&lt;&gt;0,INDEX('Outcome Indicators - Section C '!AA$1:AA$100,MATCH($A114,'Outcome Indicators - Section C '!$A$1:$A$100,0)),""),"")</f>
        <v>Selon le rapport d'étude Index Sigma de 2016, ce sont 40,4% de personnes vivant avec le VIH qui ont déclaré avoir été victimes de discrimination liée au VIH.  
Selon le PSN, il faut réduire de 70% les nouvelles infections d'ici 2025. Partant de ces données de base nous comptons réduire la stigmation de 70% d'ici 2025, ce qui correspond une cible de 12,1% en 2025. Par interpollation linéaire on une baisse de 3% par an de 2016 à 2025.  
L'indicateur sera renseigné à partir des études d'index stigma prévu en 2020 et en 2023. 
N=Nombre de personnes vivant avec le VIH déclarant avoir exercé un recours judiciaire à la suite de la violation de leurs droits
D=Nombre de personnes vivant avec le VIH déclarant une violation de leurs droits</v>
      </c>
      <c r="C115" s="728"/>
      <c r="D115" s="728"/>
      <c r="E115" s="728"/>
      <c r="F115" s="728"/>
      <c r="G115" s="728"/>
      <c r="H115" s="728"/>
      <c r="I115" s="728"/>
      <c r="J115" s="728"/>
      <c r="K115" s="728"/>
      <c r="L115" s="728"/>
      <c r="M115" s="728"/>
      <c r="N115" s="728"/>
      <c r="O115" s="728"/>
      <c r="P115" s="728"/>
      <c r="Q115" s="728"/>
      <c r="R115" s="728"/>
      <c r="S115" s="729"/>
      <c r="T115" s="385"/>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Q115" s="216"/>
      <c r="AR115" s="216"/>
      <c r="AS115" s="216"/>
      <c r="AT115" s="216"/>
      <c r="AU115" s="721"/>
      <c r="AV115" s="721"/>
      <c r="AW115" s="721"/>
      <c r="AX115" s="721"/>
    </row>
    <row r="116" spans="1:50" ht="172.2" customHeight="1" x14ac:dyDescent="0.3">
      <c r="A116" s="722">
        <v>5</v>
      </c>
      <c r="B116" s="724" t="str">
        <f ca="1">IFERROR(IF(INDEX('Outcome Indicators - Section C '!B$1:B$100,MATCH($A116,'Outcome Indicators - Section C '!$A$1:$A$100,0))&lt;&gt;0,INDEX('Outcome Indicators - Section C '!B$1:B$100,MATCH($A116,'Outcome Indicators - Section C '!$A$1:$A$100,0)),""),"")</f>
        <v/>
      </c>
      <c r="C116" s="725"/>
      <c r="D116" s="726"/>
      <c r="E116" s="724" t="str">
        <f ca="1">IFERROR(IF(INDEX('Outcome Indicators - Section C '!C$1:C$100,MATCH($A116,'Outcome Indicators - Section C '!$A$1:$A$100,0))&lt;&gt;0,INDEX('Outcome Indicators - Section C '!C$1:C$100,MATCH($A116,'Outcome Indicators - Section C '!$A$1:$A$100,0)),""),"")</f>
        <v/>
      </c>
      <c r="F116" s="725"/>
      <c r="G116" s="726"/>
      <c r="H116" s="391" t="str">
        <f ca="1">IFERROR(IF(INDEX('Outcome Indicators - Section C '!D$1:D$100,MATCH($A116,'Outcome Indicators - Section C '!$A$1:$A$100,0))&lt;&gt;0,TEXT(INDEX('Outcome Indicators - Section C '!D$1:D$100,MATCH($A116,'Outcome Indicators - Section C '!$A$1:$A$100,0)),"#'##0.00"),""),"")&amp;"/"&amp;IFERROR(IF(INDEX('Outcome Indicators - Section C '!D$1:D$100,MATCH($A116,'Outcome Indicators - Section C '!$A$1:$A$100,0)+1)&lt;&gt;0,TEXT(INDEX('Outcome Indicators - Section C '!D$1:D$100,MATCH($A116,'Outcome Indicators - Section C '!$A$1:$A$100,0)+1),"#'##0.00"),""),"")&amp;CHAR(10)&amp;IFERROR(IF(INDEX('Outcome Indicators - Section C '!E$1:E$100,MATCH($A116,'Outcome Indicators - Section C '!$A$1:$A$100,0))&lt;&gt;0,TEXT(INDEX('Outcome Indicators - Section C '!E$1:E$100,MATCH($A116,'Outcome Indicators - Section C '!$A$1:$A$100,0)),"0.0%"),""),"")</f>
        <v xml:space="preserve">/
</v>
      </c>
      <c r="I116" s="391" t="str">
        <f ca="1">IFERROR(IF(INDEX('Outcome Indicators - Section C '!F$1:F$100,MATCH($A116,'Outcome Indicators - Section C '!$A$1:$A$100,0))&lt;&gt;0,INDEX('Outcome Indicators - Section C '!F$1:F$100,MATCH($A116,'Outcome Indicators - Section C '!$A$1:$A$100,0)),""),"")&amp;CHAR(10)&amp;IFERROR(IF(INDEX('Outcome Indicators - Section C '!G$1:G$100,MATCH($A116,'Outcome Indicators - Section C '!$A$1:$A$100,0))&lt;&gt;0,INDEX('Outcome Indicators - Section C '!G$1:G$100,MATCH($A116,'Outcome Indicators - Section C '!$A$1:$A$100,0)),""),"")</f>
        <v xml:space="preserve">
</v>
      </c>
      <c r="J116" s="724" t="str">
        <f ca="1">IFERROR(IF(INDEX('Outcome Indicators - Section C '!H$1:H$100,MATCH($A116,'Outcome Indicators - Section C '!$A$1:$A$100,0))&lt;&gt;0,INDEX('Outcome Indicators - Section C '!H$1:H$100,MATCH($A116,'Outcome Indicators - Section C '!$A$1:$A$100,0)),""),"")</f>
        <v/>
      </c>
      <c r="K116" s="725"/>
      <c r="L116" s="725"/>
      <c r="M116" s="726"/>
      <c r="N116" s="392" t="str">
        <f ca="1">IFERROR(IF(INDEX('Outcome Indicators - Section C '!I$1:I$100,MATCH($A116,'Outcome Indicators - Section C '!$A$1:$A$100,0))&lt;&gt;0,INDEX('Outcome Indicators - Section C '!I$1:I$100,MATCH($A116,'Outcome Indicators - Section C '!$A$1:$A$100,0)),""),"")</f>
        <v/>
      </c>
      <c r="O116" s="392" t="str">
        <f>IFERROR(IF(INDEX('Outcome Indicators - Section C '!J$9:J$38,MATCH($A116,'Outcome Indicators - Section C '!$A$9:$A$38,0))&lt;&gt;0,INDEX('Outcome Indicators - Section C '!J$9:J$38,MATCH($A116,'Outcome Indicators - Section C '!$A$9:$A$38,0)),""),"")</f>
        <v/>
      </c>
      <c r="P116" s="393" t="str">
        <f ca="1">IFERROR(IF(INDEX('Outcome Indicators - Section C '!K$1:K$100,MATCH($A116,'Outcome Indicators - Section C '!$A$1:$A$100,0))&lt;&gt;0,TEXT(INDEX('Outcome Indicators - Section C '!K$1:K$100,MATCH($A116,'Outcome Indicators - Section C '!$A$1:$A$100,0)),"#'##0.00"),""),"")&amp;"/"&amp;IFERROR(IF(INDEX('Outcome Indicators - Section C '!K$1:K$100,MATCH($A116,'Outcome Indicators - Section C '!$A$1:$A$100,0)+1)&lt;&gt;0,TEXT(INDEX('Outcome Indicators - Section C '!K$1:K$100,MATCH($A116,'Outcome Indicators - Section C '!$A$1:$A$100,0)+1),"#'##0.00"),""),"")&amp;CHAR(10)&amp;IFERROR(IF(INDEX('Outcome Indicators - Section C '!L$1:L$100,MATCH($A116,'Outcome Indicators - Section C '!$A$1:$A$100,0))&lt;&gt;0,TEXT(INDEX('Outcome Indicators - Section C '!L$1:L$100,MATCH($A116,'Outcome Indicators - Section C '!$A$1:$A$100,0)),"0.0%"),""),"")&amp;CHAR(10)&amp;IFERROR(IF(INDEX('Outcome Indicators - Section C '!N$1:N$100,MATCH($A116,'Outcome Indicators - Section C '!$A$1:$A$100,0))&lt;&gt;0,INDEX('Outcome Indicators - Section C '!N$1:N$100,MATCH($A116,'Outcome Indicators - Section C '!$A$1:$A$100,0)),""),"")&amp;CHAR(10)&amp;IFERROR(IF(INDEX('Outcome Indicators - Section C '!M$1:M$100,MATCH($A116,'Outcome Indicators - Section C '!$A$1:$A$100,0))&lt;&gt;0,TEXT(INDEX('Outcome Indicators - Section C '!M$1:M$100,MATCH($A116,'Outcome Indicators - Section C '!$A$1:$A$100,0)),Setup!$A$33),""),"")</f>
        <v xml:space="preserve">/
</v>
      </c>
      <c r="Q116" s="391" t="str">
        <f ca="1">IFERROR(IF(INDEX('Outcome Indicators - Section C '!O$1:O$38,MATCH($A116,'Outcome Indicators - Section C '!$A$1:$A$38,0))&lt;&gt;0,TEXT(INDEX('Outcome Indicators - Section C '!O$1:O$38,MATCH($A116,'Outcome Indicators - Section C '!$A$1:$A$38,0)),"#'##0.00"),""),"")&amp;"/"&amp;IFERROR(IF(INDEX('Outcome Indicators - Section C '!O$1:O$38,MATCH($A116,'Outcome Indicators - Section C '!$A$1:$A$38,0)+1)&lt;&gt;0,TEXT(INDEX('Outcome Indicators - Section C '!O$1:O$38,MATCH($A116,'Outcome Indicators - Section C '!$A$1:$A$38,0)+1),"#'##0.00"),""),"")&amp;CHAR(10)&amp;IFERROR(IF(INDEX('Outcome Indicators - Section C '!P$1:P$38,MATCH($A116,'Outcome Indicators - Section C '!$A$1:$A$38,0))&lt;&gt;0,TEXT(INDEX('Outcome Indicators - Section C '!P$1:P$38,MATCH($A116,'Outcome Indicators - Section C '!$A$1:$A$38,0)),"0.0%"),""),"")&amp;CHAR(10)&amp;IFERROR(IF(INDEX('Outcome Indicators - Section C '!R$1:R$38,MATCH($A116,'Outcome Indicators - Section C '!$A$1:$A$38,0))&lt;&gt;0,INDEX('Outcome Indicators - Section C '!R$1:R$38,MATCH($A116,'Outcome Indicators - Section C '!$A$1:$A$38,0)),""),"")&amp;CHAR(10)&amp;IFERROR(IF(INDEX('Outcome Indicators - Section C '!Q$1:Q$38,MATCH($A116,'Outcome Indicators - Section C '!$A$1:$A$38,0))&lt;&gt;0,TEXT(INDEX('Outcome Indicators - Section C '!Q$1:Q$38,MATCH($A116,'Outcome Indicators - Section C '!$A$1:$A$38,0)),Setup!$A$33),""),"")</f>
        <v xml:space="preserve">/
</v>
      </c>
      <c r="R116" s="391" t="str">
        <f ca="1">IFERROR(IF(INDEX('Outcome Indicators - Section C '!S$1:S$38,MATCH($A116,'Outcome Indicators - Section C '!$A$1:$A$38,0))&lt;&gt;0,TEXT(INDEX('Outcome Indicators - Section C '!S$1:S$38,MATCH($A116,'Outcome Indicators - Section C '!$A$1:$A$38,0)),"#'##0.00"),""),"")&amp;"/"&amp;IFERROR(IF(INDEX('Outcome Indicators - Section C '!S$1:S$38,MATCH($A116,'Outcome Indicators - Section C '!$A$1:$A$38,0)+1)&lt;&gt;0,TEXT(INDEX('Outcome Indicators - Section C '!S$1:S$38,MATCH($A116,'Outcome Indicators - Section C '!$A$1:$A$38,0)+1),"#'##0.00"),""),"")&amp;CHAR(10)&amp;IFERROR(IF(INDEX('Outcome Indicators - Section C '!T$1:T$38,MATCH($A116,'Outcome Indicators - Section C '!$A$1:$A$38,0))&lt;&gt;0,TEXT(INDEX('Outcome Indicators - Section C '!T$1:T$38,MATCH($A116,'Outcome Indicators - Section C '!$A$1:$A$38,0)),"0.0%"),""),"")&amp;CHAR(10)&amp;IFERROR(IF(INDEX('Outcome Indicators - Section C '!R$1:R$38,MATCH($A116,'Outcome Indicators - Section C '!$A$1:$A$38,0))&lt;&gt;0,INDEX('Outcome Indicators - Section C '!R$1:R$38,MATCH($A116,'Outcome Indicators - Section C '!$A$1:$A$38,0)),""),"")&amp;CHAR(10)&amp;IFERROR(IF(INDEX('Outcome Indicators - Section C '!U$1:U$38,MATCH($A116,'Outcome Indicators - Section C '!$A$1:$A$38,0))&lt;&gt;0,TEXT(INDEX('Outcome Indicators - Section C '!U$1:U$38,MATCH($A116,'Outcome Indicators - Section C '!$A$1:$A$38,0)),Setup!$A$33),""),"")</f>
        <v xml:space="preserve">/
</v>
      </c>
      <c r="S116" s="391" t="str">
        <f ca="1">IFERROR(IF(INDEX('Outcome Indicators - Section C '!W$9:W$38,MATCH($A116,'Outcome Indicators - Section C '!$A$9:$A$38,0))&lt;&gt;0,TEXT(INDEX('Outcome Indicators - Section C '!W$9:W$38,MATCH($A116,'Outcome Indicators - Section C '!$A$9:$A$38,0)),"#'##0.00"),""),"")&amp;"/"&amp;IFERROR(IF(INDEX('Outcome Indicators - Section C '!W$9:W$38,MATCH($A116,'Outcome Indicators - Section C '!$A$9:$A$38,0)+1)&lt;&gt;0,TEXT(INDEX('Outcome Indicators - Section C '!W$9:W$38,MATCH($A116,'Outcome Indicators - Section C '!$A$9:$A$38,0)+1),"#'##0.00"),""),"")&amp;CHAR(10)&amp;IFERROR(IF(INDEX('Outcome Indicators - Section C '!X$9:X$38,MATCH($A116,'Outcome Indicators - Section C '!$A$9:$A$38,0))&lt;&gt;0,TEXT(INDEX('Outcome Indicators - Section C '!X$9:X$38,MATCH($A116,'Outcome Indicators - Section C '!$A$9:$A$38,0)),"0.0%"),""),"")&amp;CHAR(10)&amp;IFERROR(IF(INDEX('Outcome Indicators - Section C '!Z$9:Z$38,MATCH($A116,'Outcome Indicators - Section C '!$A$9:$A$38,0))&lt;&gt;0,INDEX('Outcome Indicators - Section C '!Z$9:Z$38,MATCH($A116,'Outcome Indicators - Section C '!$A$9:$A$38,0)),""),"")&amp;CHAR(10)&amp;IFERROR(IF(INDEX('Outcome Indicators - Section C '!Y$9:Y$38,MATCH($A116,'Outcome Indicators - Section C '!$A$9:$A$38,0))&lt;&gt;0,TEXT(INDEX('Outcome Indicators - Section C '!Y$9:Y$38,MATCH($A116,'Outcome Indicators - Section C '!$A$9:$A$38,0)),Setup!$A$33),""),"")</f>
        <v xml:space="preserve">/
</v>
      </c>
      <c r="T116" s="394"/>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Q116" s="216"/>
      <c r="AR116" s="216"/>
      <c r="AS116" s="216"/>
      <c r="AT116" s="216"/>
      <c r="AU116" s="721"/>
      <c r="AV116" s="721"/>
      <c r="AW116" s="721"/>
      <c r="AX116" s="721"/>
    </row>
    <row r="117" spans="1:50" ht="96" customHeight="1" thickBot="1" x14ac:dyDescent="0.35">
      <c r="A117" s="723">
        <v>9.8000000000000007</v>
      </c>
      <c r="B117" s="717" t="str">
        <f ca="1">IFERROR(IF(INDEX('Outcome Indicators - Section C '!AA$1:AA$100,MATCH($A116,'Outcome Indicators - Section C '!$A$1:$A$100,0))&lt;&gt;0,INDEX('Outcome Indicators - Section C '!AA$1:AA$100,MATCH($A116,'Outcome Indicators - Section C '!$A$1:$A$100,0)),""),"")</f>
        <v/>
      </c>
      <c r="C117" s="718"/>
      <c r="D117" s="718"/>
      <c r="E117" s="718"/>
      <c r="F117" s="718"/>
      <c r="G117" s="718"/>
      <c r="H117" s="718"/>
      <c r="I117" s="719"/>
      <c r="J117" s="719"/>
      <c r="K117" s="719"/>
      <c r="L117" s="719"/>
      <c r="M117" s="719"/>
      <c r="N117" s="719"/>
      <c r="O117" s="719"/>
      <c r="P117" s="719"/>
      <c r="Q117" s="719"/>
      <c r="R117" s="719"/>
      <c r="S117" s="720"/>
      <c r="T117" s="382"/>
      <c r="U117" s="216"/>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Q117" s="216"/>
      <c r="AR117" s="216"/>
      <c r="AS117" s="216"/>
      <c r="AT117" s="216"/>
      <c r="AU117" s="721"/>
      <c r="AV117" s="721"/>
      <c r="AW117" s="721"/>
      <c r="AX117" s="721"/>
    </row>
    <row r="118" spans="1:50" ht="172.2" customHeight="1" x14ac:dyDescent="0.3">
      <c r="A118" s="722">
        <v>6</v>
      </c>
      <c r="B118" s="724" t="str">
        <f ca="1">IFERROR(IF(INDEX('Outcome Indicators - Section C '!B$1:B$100,MATCH($A118,'Outcome Indicators - Section C '!$A$1:$A$100,0))&lt;&gt;0,INDEX('Outcome Indicators - Section C '!B$1:B$100,MATCH($A118,'Outcome Indicators - Section C '!$A$1:$A$100,0)),""),"")</f>
        <v/>
      </c>
      <c r="C118" s="725"/>
      <c r="D118" s="726"/>
      <c r="E118" s="724" t="str">
        <f ca="1">IFERROR(IF(INDEX('Outcome Indicators - Section C '!C$1:C$100,MATCH($A118,'Outcome Indicators - Section C '!$A$1:$A$100,0))&lt;&gt;0,INDEX('Outcome Indicators - Section C '!C$1:C$100,MATCH($A118,'Outcome Indicators - Section C '!$A$1:$A$100,0)),""),"")</f>
        <v/>
      </c>
      <c r="F118" s="725"/>
      <c r="G118" s="726"/>
      <c r="H118" s="391" t="str">
        <f ca="1">IFERROR(IF(INDEX('Outcome Indicators - Section C '!D$1:D$100,MATCH($A118,'Outcome Indicators - Section C '!$A$1:$A$100,0))&lt;&gt;0,TEXT(INDEX('Outcome Indicators - Section C '!D$1:D$100,MATCH($A118,'Outcome Indicators - Section C '!$A$1:$A$100,0)),"#'##0.00"),""),"")&amp;"/"&amp;IFERROR(IF(INDEX('Outcome Indicators - Section C '!D$1:D$100,MATCH($A118,'Outcome Indicators - Section C '!$A$1:$A$100,0)+1)&lt;&gt;0,TEXT(INDEX('Outcome Indicators - Section C '!D$1:D$100,MATCH($A118,'Outcome Indicators - Section C '!$A$1:$A$100,0)+1),"#'##0.00"),""),"")&amp;CHAR(10)&amp;IFERROR(IF(INDEX('Outcome Indicators - Section C '!E$1:E$100,MATCH($A118,'Outcome Indicators - Section C '!$A$1:$A$100,0))&lt;&gt;0,TEXT(INDEX('Outcome Indicators - Section C '!E$1:E$100,MATCH($A118,'Outcome Indicators - Section C '!$A$1:$A$100,0)),"0.0%"),""),"")</f>
        <v xml:space="preserve">/
</v>
      </c>
      <c r="I118" s="391" t="str">
        <f ca="1">IFERROR(IF(INDEX('Outcome Indicators - Section C '!F$1:F$100,MATCH($A118,'Outcome Indicators - Section C '!$A$1:$A$100,0))&lt;&gt;0,INDEX('Outcome Indicators - Section C '!F$1:F$100,MATCH($A118,'Outcome Indicators - Section C '!$A$1:$A$100,0)),""),"")&amp;CHAR(10)&amp;IFERROR(IF(INDEX('Outcome Indicators - Section C '!G$1:G$100,MATCH($A118,'Outcome Indicators - Section C '!$A$1:$A$100,0))&lt;&gt;0,INDEX('Outcome Indicators - Section C '!G$1:G$100,MATCH($A118,'Outcome Indicators - Section C '!$A$1:$A$100,0)),""),"")</f>
        <v xml:space="preserve">
</v>
      </c>
      <c r="J118" s="724" t="str">
        <f ca="1">IFERROR(IF(INDEX('Outcome Indicators - Section C '!H$1:H$100,MATCH($A118,'Outcome Indicators - Section C '!$A$1:$A$100,0))&lt;&gt;0,INDEX('Outcome Indicators - Section C '!H$1:H$100,MATCH($A118,'Outcome Indicators - Section C '!$A$1:$A$100,0)),""),"")</f>
        <v/>
      </c>
      <c r="K118" s="725"/>
      <c r="L118" s="725"/>
      <c r="M118" s="726"/>
      <c r="N118" s="392" t="str">
        <f ca="1">IFERROR(IF(INDEX('Outcome Indicators - Section C '!I$1:I$100,MATCH($A118,'Outcome Indicators - Section C '!$A$1:$A$100,0))&lt;&gt;0,INDEX('Outcome Indicators - Section C '!I$1:I$100,MATCH($A118,'Outcome Indicators - Section C '!$A$1:$A$100,0)),""),"")</f>
        <v/>
      </c>
      <c r="O118" s="392" t="str">
        <f>IFERROR(IF(INDEX('Outcome Indicators - Section C '!J$9:J$38,MATCH($A118,'Outcome Indicators - Section C '!$A$9:$A$38,0))&lt;&gt;0,INDEX('Outcome Indicators - Section C '!J$9:J$38,MATCH($A118,'Outcome Indicators - Section C '!$A$9:$A$38,0)),""),"")</f>
        <v/>
      </c>
      <c r="P118" s="393" t="str">
        <f ca="1">IFERROR(IF(INDEX('Outcome Indicators - Section C '!K$1:K$100,MATCH($A118,'Outcome Indicators - Section C '!$A$1:$A$100,0))&lt;&gt;0,TEXT(INDEX('Outcome Indicators - Section C '!K$1:K$100,MATCH($A118,'Outcome Indicators - Section C '!$A$1:$A$100,0)),"#'##0.00"),""),"")&amp;"/"&amp;IFERROR(IF(INDEX('Outcome Indicators - Section C '!K$1:K$100,MATCH($A118,'Outcome Indicators - Section C '!$A$1:$A$100,0)+1)&lt;&gt;0,TEXT(INDEX('Outcome Indicators - Section C '!K$1:K$100,MATCH($A118,'Outcome Indicators - Section C '!$A$1:$A$100,0)+1),"#'##0.00"),""),"")&amp;CHAR(10)&amp;IFERROR(IF(INDEX('Outcome Indicators - Section C '!L$1:L$100,MATCH($A118,'Outcome Indicators - Section C '!$A$1:$A$100,0))&lt;&gt;0,TEXT(INDEX('Outcome Indicators - Section C '!L$1:L$100,MATCH($A118,'Outcome Indicators - Section C '!$A$1:$A$100,0)),"0.0%"),""),"")&amp;CHAR(10)&amp;IFERROR(IF(INDEX('Outcome Indicators - Section C '!N$1:N$100,MATCH($A118,'Outcome Indicators - Section C '!$A$1:$A$100,0))&lt;&gt;0,INDEX('Outcome Indicators - Section C '!N$1:N$100,MATCH($A118,'Outcome Indicators - Section C '!$A$1:$A$100,0)),""),"")&amp;CHAR(10)&amp;IFERROR(IF(INDEX('Outcome Indicators - Section C '!M$1:M$100,MATCH($A118,'Outcome Indicators - Section C '!$A$1:$A$100,0))&lt;&gt;0,TEXT(INDEX('Outcome Indicators - Section C '!M$1:M$100,MATCH($A118,'Outcome Indicators - Section C '!$A$1:$A$100,0)),Setup!$A$33),""),"")</f>
        <v xml:space="preserve">/
</v>
      </c>
      <c r="Q118" s="391" t="str">
        <f ca="1">IFERROR(IF(INDEX('Outcome Indicators - Section C '!O$1:O$38,MATCH($A118,'Outcome Indicators - Section C '!$A$1:$A$38,0))&lt;&gt;0,TEXT(INDEX('Outcome Indicators - Section C '!O$1:O$38,MATCH($A118,'Outcome Indicators - Section C '!$A$1:$A$38,0)),"#'##0.00"),""),"")&amp;"/"&amp;IFERROR(IF(INDEX('Outcome Indicators - Section C '!O$1:O$38,MATCH($A118,'Outcome Indicators - Section C '!$A$1:$A$38,0)+1)&lt;&gt;0,TEXT(INDEX('Outcome Indicators - Section C '!O$1:O$38,MATCH($A118,'Outcome Indicators - Section C '!$A$1:$A$38,0)+1),"#'##0.00"),""),"")&amp;CHAR(10)&amp;IFERROR(IF(INDEX('Outcome Indicators - Section C '!P$1:P$38,MATCH($A118,'Outcome Indicators - Section C '!$A$1:$A$38,0))&lt;&gt;0,TEXT(INDEX('Outcome Indicators - Section C '!P$1:P$38,MATCH($A118,'Outcome Indicators - Section C '!$A$1:$A$38,0)),"0.0%"),""),"")&amp;CHAR(10)&amp;IFERROR(IF(INDEX('Outcome Indicators - Section C '!R$1:R$38,MATCH($A118,'Outcome Indicators - Section C '!$A$1:$A$38,0))&lt;&gt;0,INDEX('Outcome Indicators - Section C '!R$1:R$38,MATCH($A118,'Outcome Indicators - Section C '!$A$1:$A$38,0)),""),"")&amp;CHAR(10)&amp;IFERROR(IF(INDEX('Outcome Indicators - Section C '!Q$1:Q$38,MATCH($A118,'Outcome Indicators - Section C '!$A$1:$A$38,0))&lt;&gt;0,TEXT(INDEX('Outcome Indicators - Section C '!Q$1:Q$38,MATCH($A118,'Outcome Indicators - Section C '!$A$1:$A$38,0)),Setup!$A$33),""),"")</f>
        <v xml:space="preserve">/
</v>
      </c>
      <c r="R118" s="391" t="str">
        <f ca="1">IFERROR(IF(INDEX('Outcome Indicators - Section C '!S$1:S$38,MATCH($A118,'Outcome Indicators - Section C '!$A$1:$A$38,0))&lt;&gt;0,TEXT(INDEX('Outcome Indicators - Section C '!S$1:S$38,MATCH($A118,'Outcome Indicators - Section C '!$A$1:$A$38,0)),"#'##0.00"),""),"")&amp;"/"&amp;IFERROR(IF(INDEX('Outcome Indicators - Section C '!S$1:S$38,MATCH($A118,'Outcome Indicators - Section C '!$A$1:$A$38,0)+1)&lt;&gt;0,TEXT(INDEX('Outcome Indicators - Section C '!S$1:S$38,MATCH($A118,'Outcome Indicators - Section C '!$A$1:$A$38,0)+1),"#'##0.00"),""),"")&amp;CHAR(10)&amp;IFERROR(IF(INDEX('Outcome Indicators - Section C '!T$1:T$38,MATCH($A118,'Outcome Indicators - Section C '!$A$1:$A$38,0))&lt;&gt;0,TEXT(INDEX('Outcome Indicators - Section C '!T$1:T$38,MATCH($A118,'Outcome Indicators - Section C '!$A$1:$A$38,0)),"0.0%"),""),"")&amp;CHAR(10)&amp;IFERROR(IF(INDEX('Outcome Indicators - Section C '!R$1:R$38,MATCH($A118,'Outcome Indicators - Section C '!$A$1:$A$38,0))&lt;&gt;0,INDEX('Outcome Indicators - Section C '!R$1:R$38,MATCH($A118,'Outcome Indicators - Section C '!$A$1:$A$38,0)),""),"")&amp;CHAR(10)&amp;IFERROR(IF(INDEX('Outcome Indicators - Section C '!U$1:U$38,MATCH($A118,'Outcome Indicators - Section C '!$A$1:$A$38,0))&lt;&gt;0,TEXT(INDEX('Outcome Indicators - Section C '!U$1:U$38,MATCH($A118,'Outcome Indicators - Section C '!$A$1:$A$38,0)),Setup!$A$33),""),"")</f>
        <v xml:space="preserve">/
</v>
      </c>
      <c r="S118" s="391" t="str">
        <f ca="1">IFERROR(IF(INDEX('Outcome Indicators - Section C '!W$9:W$38,MATCH($A118,'Outcome Indicators - Section C '!$A$9:$A$38,0))&lt;&gt;0,TEXT(INDEX('Outcome Indicators - Section C '!W$9:W$38,MATCH($A118,'Outcome Indicators - Section C '!$A$9:$A$38,0)),"#'##0.00"),""),"")&amp;"/"&amp;IFERROR(IF(INDEX('Outcome Indicators - Section C '!W$9:W$38,MATCH($A118,'Outcome Indicators - Section C '!$A$9:$A$38,0)+1)&lt;&gt;0,TEXT(INDEX('Outcome Indicators - Section C '!W$9:W$38,MATCH($A118,'Outcome Indicators - Section C '!$A$9:$A$38,0)+1),"#'##0.00"),""),"")&amp;CHAR(10)&amp;IFERROR(IF(INDEX('Outcome Indicators - Section C '!X$9:X$38,MATCH($A118,'Outcome Indicators - Section C '!$A$9:$A$38,0))&lt;&gt;0,TEXT(INDEX('Outcome Indicators - Section C '!X$9:X$38,MATCH($A118,'Outcome Indicators - Section C '!$A$9:$A$38,0)),"0.0%"),""),"")&amp;CHAR(10)&amp;IFERROR(IF(INDEX('Outcome Indicators - Section C '!Z$9:Z$38,MATCH($A118,'Outcome Indicators - Section C '!$A$9:$A$38,0))&lt;&gt;0,INDEX('Outcome Indicators - Section C '!Z$9:Z$38,MATCH($A118,'Outcome Indicators - Section C '!$A$9:$A$38,0)),""),"")&amp;CHAR(10)&amp;IFERROR(IF(INDEX('Outcome Indicators - Section C '!Y$9:Y$38,MATCH($A118,'Outcome Indicators - Section C '!$A$9:$A$38,0))&lt;&gt;0,TEXT(INDEX('Outcome Indicators - Section C '!Y$9:Y$38,MATCH($A118,'Outcome Indicators - Section C '!$A$9:$A$38,0)),Setup!$A$33),""),"")</f>
        <v xml:space="preserve">/
</v>
      </c>
      <c r="T118" s="394"/>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Q118" s="216"/>
      <c r="AR118" s="216"/>
      <c r="AS118" s="216"/>
      <c r="AT118" s="216"/>
      <c r="AU118" s="721"/>
      <c r="AV118" s="721"/>
      <c r="AW118" s="721"/>
      <c r="AX118" s="721"/>
    </row>
    <row r="119" spans="1:50" ht="96" customHeight="1" thickBot="1" x14ac:dyDescent="0.35">
      <c r="A119" s="723">
        <v>9.9999999999999893</v>
      </c>
      <c r="B119" s="727" t="str">
        <f ca="1">IFERROR(IF(INDEX('Outcome Indicators - Section C '!AA$1:AA$100,MATCH($A118,'Outcome Indicators - Section C '!$A$1:$A$100,0))&lt;&gt;0,INDEX('Outcome Indicators - Section C '!AA$1:AA$100,MATCH($A118,'Outcome Indicators - Section C '!$A$1:$A$100,0)),""),"")</f>
        <v/>
      </c>
      <c r="C119" s="728"/>
      <c r="D119" s="728"/>
      <c r="E119" s="728"/>
      <c r="F119" s="728"/>
      <c r="G119" s="728"/>
      <c r="H119" s="728"/>
      <c r="I119" s="728"/>
      <c r="J119" s="728"/>
      <c r="K119" s="728"/>
      <c r="L119" s="728"/>
      <c r="M119" s="728"/>
      <c r="N119" s="728"/>
      <c r="O119" s="728"/>
      <c r="P119" s="728"/>
      <c r="Q119" s="728"/>
      <c r="R119" s="728"/>
      <c r="S119" s="729"/>
      <c r="T119" s="385"/>
      <c r="U119" s="216"/>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Q119" s="216"/>
      <c r="AR119" s="216"/>
      <c r="AS119" s="216"/>
      <c r="AT119" s="216"/>
      <c r="AU119" s="721"/>
      <c r="AV119" s="721"/>
      <c r="AW119" s="721"/>
      <c r="AX119" s="721"/>
    </row>
    <row r="120" spans="1:50" ht="172.2" customHeight="1" x14ac:dyDescent="0.3">
      <c r="A120" s="722">
        <v>7</v>
      </c>
      <c r="B120" s="724" t="str">
        <f ca="1">IFERROR(IF(INDEX('Outcome Indicators - Section C '!B$1:B$100,MATCH($A120,'Outcome Indicators - Section C '!$A$1:$A$100,0))&lt;&gt;0,INDEX('Outcome Indicators - Section C '!B$1:B$100,MATCH($A120,'Outcome Indicators - Section C '!$A$1:$A$100,0)),""),"")</f>
        <v/>
      </c>
      <c r="C120" s="725"/>
      <c r="D120" s="726"/>
      <c r="E120" s="724" t="str">
        <f ca="1">IFERROR(IF(INDEX('Outcome Indicators - Section C '!C$1:C$100,MATCH($A120,'Outcome Indicators - Section C '!$A$1:$A$100,0))&lt;&gt;0,INDEX('Outcome Indicators - Section C '!C$1:C$100,MATCH($A120,'Outcome Indicators - Section C '!$A$1:$A$100,0)),""),"")</f>
        <v/>
      </c>
      <c r="F120" s="725"/>
      <c r="G120" s="726"/>
      <c r="H120" s="391" t="str">
        <f ca="1">IFERROR(IF(INDEX('Outcome Indicators - Section C '!D$1:D$100,MATCH($A120,'Outcome Indicators - Section C '!$A$1:$A$100,0))&lt;&gt;0,TEXT(INDEX('Outcome Indicators - Section C '!D$1:D$100,MATCH($A120,'Outcome Indicators - Section C '!$A$1:$A$100,0)),"#'##0.00"),""),"")&amp;"/"&amp;IFERROR(IF(INDEX('Outcome Indicators - Section C '!D$1:D$100,MATCH($A120,'Outcome Indicators - Section C '!$A$1:$A$100,0)+1)&lt;&gt;0,TEXT(INDEX('Outcome Indicators - Section C '!D$1:D$100,MATCH($A120,'Outcome Indicators - Section C '!$A$1:$A$100,0)+1),"#'##0.00"),""),"")&amp;CHAR(10)&amp;IFERROR(IF(INDEX('Outcome Indicators - Section C '!E$1:E$100,MATCH($A120,'Outcome Indicators - Section C '!$A$1:$A$100,0))&lt;&gt;0,TEXT(INDEX('Outcome Indicators - Section C '!E$1:E$100,MATCH($A120,'Outcome Indicators - Section C '!$A$1:$A$100,0)),"0.0%"),""),"")</f>
        <v xml:space="preserve">/
</v>
      </c>
      <c r="I120" s="391" t="str">
        <f ca="1">IFERROR(IF(INDEX('Outcome Indicators - Section C '!F$1:F$100,MATCH($A120,'Outcome Indicators - Section C '!$A$1:$A$100,0))&lt;&gt;0,INDEX('Outcome Indicators - Section C '!F$1:F$100,MATCH($A120,'Outcome Indicators - Section C '!$A$1:$A$100,0)),""),"")&amp;CHAR(10)&amp;IFERROR(IF(INDEX('Outcome Indicators - Section C '!G$1:G$100,MATCH($A120,'Outcome Indicators - Section C '!$A$1:$A$100,0))&lt;&gt;0,INDEX('Outcome Indicators - Section C '!G$1:G$100,MATCH($A120,'Outcome Indicators - Section C '!$A$1:$A$100,0)),""),"")</f>
        <v xml:space="preserve">
</v>
      </c>
      <c r="J120" s="724" t="str">
        <f ca="1">IFERROR(IF(INDEX('Outcome Indicators - Section C '!H$1:H$100,MATCH($A120,'Outcome Indicators - Section C '!$A$1:$A$100,0))&lt;&gt;0,INDEX('Outcome Indicators - Section C '!H$1:H$100,MATCH($A120,'Outcome Indicators - Section C '!$A$1:$A$100,0)),""),"")</f>
        <v/>
      </c>
      <c r="K120" s="725"/>
      <c r="L120" s="725"/>
      <c r="M120" s="726"/>
      <c r="N120" s="392" t="str">
        <f ca="1">IFERROR(IF(INDEX('Outcome Indicators - Section C '!I$1:I$100,MATCH($A120,'Outcome Indicators - Section C '!$A$1:$A$100,0))&lt;&gt;0,INDEX('Outcome Indicators - Section C '!I$1:I$100,MATCH($A120,'Outcome Indicators - Section C '!$A$1:$A$100,0)),""),"")</f>
        <v/>
      </c>
      <c r="O120" s="392" t="str">
        <f>IFERROR(IF(INDEX('Outcome Indicators - Section C '!J$9:J$38,MATCH($A120,'Outcome Indicators - Section C '!$A$9:$A$38,0))&lt;&gt;0,INDEX('Outcome Indicators - Section C '!J$9:J$38,MATCH($A120,'Outcome Indicators - Section C '!$A$9:$A$38,0)),""),"")</f>
        <v/>
      </c>
      <c r="P120" s="393" t="str">
        <f ca="1">IFERROR(IF(INDEX('Outcome Indicators - Section C '!K$1:K$100,MATCH($A120,'Outcome Indicators - Section C '!$A$1:$A$100,0))&lt;&gt;0,TEXT(INDEX('Outcome Indicators - Section C '!K$1:K$100,MATCH($A120,'Outcome Indicators - Section C '!$A$1:$A$100,0)),"#'##0.00"),""),"")&amp;"/"&amp;IFERROR(IF(INDEX('Outcome Indicators - Section C '!K$1:K$100,MATCH($A120,'Outcome Indicators - Section C '!$A$1:$A$100,0)+1)&lt;&gt;0,TEXT(INDEX('Outcome Indicators - Section C '!K$1:K$100,MATCH($A120,'Outcome Indicators - Section C '!$A$1:$A$100,0)+1),"#'##0.00"),""),"")&amp;CHAR(10)&amp;IFERROR(IF(INDEX('Outcome Indicators - Section C '!L$1:L$100,MATCH($A120,'Outcome Indicators - Section C '!$A$1:$A$100,0))&lt;&gt;0,TEXT(INDEX('Outcome Indicators - Section C '!L$1:L$100,MATCH($A120,'Outcome Indicators - Section C '!$A$1:$A$100,0)),"0.0%"),""),"")&amp;CHAR(10)&amp;IFERROR(IF(INDEX('Outcome Indicators - Section C '!N$1:N$100,MATCH($A120,'Outcome Indicators - Section C '!$A$1:$A$100,0))&lt;&gt;0,INDEX('Outcome Indicators - Section C '!N$1:N$100,MATCH($A120,'Outcome Indicators - Section C '!$A$1:$A$100,0)),""),"")&amp;CHAR(10)&amp;IFERROR(IF(INDEX('Outcome Indicators - Section C '!M$1:M$100,MATCH($A120,'Outcome Indicators - Section C '!$A$1:$A$100,0))&lt;&gt;0,TEXT(INDEX('Outcome Indicators - Section C '!M$1:M$100,MATCH($A120,'Outcome Indicators - Section C '!$A$1:$A$100,0)),Setup!$A$33),""),"")</f>
        <v xml:space="preserve">/
</v>
      </c>
      <c r="Q120" s="391" t="str">
        <f ca="1">IFERROR(IF(INDEX('Outcome Indicators - Section C '!O$1:O$38,MATCH($A120,'Outcome Indicators - Section C '!$A$1:$A$38,0))&lt;&gt;0,TEXT(INDEX('Outcome Indicators - Section C '!O$1:O$38,MATCH($A120,'Outcome Indicators - Section C '!$A$1:$A$38,0)),"#'##0.00"),""),"")&amp;"/"&amp;IFERROR(IF(INDEX('Outcome Indicators - Section C '!O$1:O$38,MATCH($A120,'Outcome Indicators - Section C '!$A$1:$A$38,0)+1)&lt;&gt;0,TEXT(INDEX('Outcome Indicators - Section C '!O$1:O$38,MATCH($A120,'Outcome Indicators - Section C '!$A$1:$A$38,0)+1),"#'##0.00"),""),"")&amp;CHAR(10)&amp;IFERROR(IF(INDEX('Outcome Indicators - Section C '!P$1:P$38,MATCH($A120,'Outcome Indicators - Section C '!$A$1:$A$38,0))&lt;&gt;0,TEXT(INDEX('Outcome Indicators - Section C '!P$1:P$38,MATCH($A120,'Outcome Indicators - Section C '!$A$1:$A$38,0)),"0.0%"),""),"")&amp;CHAR(10)&amp;IFERROR(IF(INDEX('Outcome Indicators - Section C '!R$1:R$38,MATCH($A120,'Outcome Indicators - Section C '!$A$1:$A$38,0))&lt;&gt;0,INDEX('Outcome Indicators - Section C '!R$1:R$38,MATCH($A120,'Outcome Indicators - Section C '!$A$1:$A$38,0)),""),"")&amp;CHAR(10)&amp;IFERROR(IF(INDEX('Outcome Indicators - Section C '!Q$1:Q$38,MATCH($A120,'Outcome Indicators - Section C '!$A$1:$A$38,0))&lt;&gt;0,TEXT(INDEX('Outcome Indicators - Section C '!Q$1:Q$38,MATCH($A120,'Outcome Indicators - Section C '!$A$1:$A$38,0)),Setup!$A$33),""),"")</f>
        <v xml:space="preserve">/
</v>
      </c>
      <c r="R120" s="391" t="str">
        <f ca="1">IFERROR(IF(INDEX('Outcome Indicators - Section C '!S$1:S$38,MATCH($A120,'Outcome Indicators - Section C '!$A$1:$A$38,0))&lt;&gt;0,TEXT(INDEX('Outcome Indicators - Section C '!S$1:S$38,MATCH($A120,'Outcome Indicators - Section C '!$A$1:$A$38,0)),"#'##0.00"),""),"")&amp;"/"&amp;IFERROR(IF(INDEX('Outcome Indicators - Section C '!S$1:S$38,MATCH($A120,'Outcome Indicators - Section C '!$A$1:$A$38,0)+1)&lt;&gt;0,TEXT(INDEX('Outcome Indicators - Section C '!S$1:S$38,MATCH($A120,'Outcome Indicators - Section C '!$A$1:$A$38,0)+1),"#'##0.00"),""),"")&amp;CHAR(10)&amp;IFERROR(IF(INDEX('Outcome Indicators - Section C '!T$1:T$38,MATCH($A120,'Outcome Indicators - Section C '!$A$1:$A$38,0))&lt;&gt;0,TEXT(INDEX('Outcome Indicators - Section C '!T$1:T$38,MATCH($A120,'Outcome Indicators - Section C '!$A$1:$A$38,0)),"0.0%"),""),"")&amp;CHAR(10)&amp;IFERROR(IF(INDEX('Outcome Indicators - Section C '!R$1:R$38,MATCH($A120,'Outcome Indicators - Section C '!$A$1:$A$38,0))&lt;&gt;0,INDEX('Outcome Indicators - Section C '!R$1:R$38,MATCH($A120,'Outcome Indicators - Section C '!$A$1:$A$38,0)),""),"")&amp;CHAR(10)&amp;IFERROR(IF(INDEX('Outcome Indicators - Section C '!U$1:U$38,MATCH($A120,'Outcome Indicators - Section C '!$A$1:$A$38,0))&lt;&gt;0,TEXT(INDEX('Outcome Indicators - Section C '!U$1:U$38,MATCH($A120,'Outcome Indicators - Section C '!$A$1:$A$38,0)),Setup!$A$33),""),"")</f>
        <v xml:space="preserve">/
</v>
      </c>
      <c r="S120" s="391" t="str">
        <f ca="1">IFERROR(IF(INDEX('Outcome Indicators - Section C '!W$9:W$38,MATCH($A120,'Outcome Indicators - Section C '!$A$9:$A$38,0))&lt;&gt;0,TEXT(INDEX('Outcome Indicators - Section C '!W$9:W$38,MATCH($A120,'Outcome Indicators - Section C '!$A$9:$A$38,0)),"#'##0.00"),""),"")&amp;"/"&amp;IFERROR(IF(INDEX('Outcome Indicators - Section C '!W$9:W$38,MATCH($A120,'Outcome Indicators - Section C '!$A$9:$A$38,0)+1)&lt;&gt;0,TEXT(INDEX('Outcome Indicators - Section C '!W$9:W$38,MATCH($A120,'Outcome Indicators - Section C '!$A$9:$A$38,0)+1),"#'##0.00"),""),"")&amp;CHAR(10)&amp;IFERROR(IF(INDEX('Outcome Indicators - Section C '!X$9:X$38,MATCH($A120,'Outcome Indicators - Section C '!$A$9:$A$38,0))&lt;&gt;0,TEXT(INDEX('Outcome Indicators - Section C '!X$9:X$38,MATCH($A120,'Outcome Indicators - Section C '!$A$9:$A$38,0)),"0.0%"),""),"")&amp;CHAR(10)&amp;IFERROR(IF(INDEX('Outcome Indicators - Section C '!Z$9:Z$38,MATCH($A120,'Outcome Indicators - Section C '!$A$9:$A$38,0))&lt;&gt;0,INDEX('Outcome Indicators - Section C '!Z$9:Z$38,MATCH($A120,'Outcome Indicators - Section C '!$A$9:$A$38,0)),""),"")&amp;CHAR(10)&amp;IFERROR(IF(INDEX('Outcome Indicators - Section C '!Y$9:Y$38,MATCH($A120,'Outcome Indicators - Section C '!$A$9:$A$38,0))&lt;&gt;0,TEXT(INDEX('Outcome Indicators - Section C '!Y$9:Y$38,MATCH($A120,'Outcome Indicators - Section C '!$A$9:$A$38,0)),Setup!$A$33),""),"")</f>
        <v xml:space="preserve">/
</v>
      </c>
      <c r="T120" s="394"/>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Q120" s="216"/>
      <c r="AR120" s="216"/>
      <c r="AS120" s="216"/>
      <c r="AT120" s="216"/>
      <c r="AU120" s="721"/>
      <c r="AV120" s="721"/>
      <c r="AW120" s="721"/>
      <c r="AX120" s="721"/>
    </row>
    <row r="121" spans="1:50" ht="96" customHeight="1" thickBot="1" x14ac:dyDescent="0.35">
      <c r="A121" s="723">
        <v>11.6666666666666</v>
      </c>
      <c r="B121" s="717" t="str">
        <f ca="1">IFERROR(IF(INDEX('Outcome Indicators - Section C '!AA$1:AA$100,MATCH($A120,'Outcome Indicators - Section C '!$A$1:$A$100,0))&lt;&gt;0,INDEX('Outcome Indicators - Section C '!AA$1:AA$100,MATCH($A120,'Outcome Indicators - Section C '!$A$1:$A$100,0)),""),"")</f>
        <v/>
      </c>
      <c r="C121" s="718"/>
      <c r="D121" s="718"/>
      <c r="E121" s="718"/>
      <c r="F121" s="718"/>
      <c r="G121" s="718"/>
      <c r="H121" s="718"/>
      <c r="I121" s="719"/>
      <c r="J121" s="719"/>
      <c r="K121" s="719"/>
      <c r="L121" s="719"/>
      <c r="M121" s="719"/>
      <c r="N121" s="719"/>
      <c r="O121" s="719"/>
      <c r="P121" s="719"/>
      <c r="Q121" s="719"/>
      <c r="R121" s="719"/>
      <c r="S121" s="720"/>
      <c r="T121" s="382"/>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Q121" s="216"/>
      <c r="AR121" s="216"/>
      <c r="AS121" s="216"/>
      <c r="AT121" s="216"/>
      <c r="AU121" s="721"/>
      <c r="AV121" s="721"/>
      <c r="AW121" s="721"/>
      <c r="AX121" s="721"/>
    </row>
    <row r="122" spans="1:50" ht="172.2" customHeight="1" x14ac:dyDescent="0.3">
      <c r="A122" s="722">
        <v>8</v>
      </c>
      <c r="B122" s="724" t="str">
        <f ca="1">IFERROR(IF(INDEX('Outcome Indicators - Section C '!B$1:B$100,MATCH($A122,'Outcome Indicators - Section C '!$A$1:$A$100,0))&lt;&gt;0,INDEX('Outcome Indicators - Section C '!B$1:B$100,MATCH($A122,'Outcome Indicators - Section C '!$A$1:$A$100,0)),""),"")</f>
        <v/>
      </c>
      <c r="C122" s="725"/>
      <c r="D122" s="726"/>
      <c r="E122" s="724" t="str">
        <f ca="1">IFERROR(IF(INDEX('Outcome Indicators - Section C '!C$1:C$100,MATCH($A122,'Outcome Indicators - Section C '!$A$1:$A$100,0))&lt;&gt;0,INDEX('Outcome Indicators - Section C '!C$1:C$100,MATCH($A122,'Outcome Indicators - Section C '!$A$1:$A$100,0)),""),"")</f>
        <v/>
      </c>
      <c r="F122" s="725"/>
      <c r="G122" s="726"/>
      <c r="H122" s="391" t="str">
        <f ca="1">IFERROR(IF(INDEX('Outcome Indicators - Section C '!D$1:D$100,MATCH($A122,'Outcome Indicators - Section C '!$A$1:$A$100,0))&lt;&gt;0,TEXT(INDEX('Outcome Indicators - Section C '!D$1:D$100,MATCH($A122,'Outcome Indicators - Section C '!$A$1:$A$100,0)),"#'##0.00"),""),"")&amp;"/"&amp;IFERROR(IF(INDEX('Outcome Indicators - Section C '!D$1:D$100,MATCH($A122,'Outcome Indicators - Section C '!$A$1:$A$100,0)+1)&lt;&gt;0,TEXT(INDEX('Outcome Indicators - Section C '!D$1:D$100,MATCH($A122,'Outcome Indicators - Section C '!$A$1:$A$100,0)+1),"#'##0.00"),""),"")&amp;CHAR(10)&amp;IFERROR(IF(INDEX('Outcome Indicators - Section C '!E$1:E$100,MATCH($A122,'Outcome Indicators - Section C '!$A$1:$A$100,0))&lt;&gt;0,TEXT(INDEX('Outcome Indicators - Section C '!E$1:E$100,MATCH($A122,'Outcome Indicators - Section C '!$A$1:$A$100,0)),"0.0%"),""),"")</f>
        <v xml:space="preserve">/
</v>
      </c>
      <c r="I122" s="391" t="str">
        <f ca="1">IFERROR(IF(INDEX('Outcome Indicators - Section C '!F$1:F$100,MATCH($A122,'Outcome Indicators - Section C '!$A$1:$A$100,0))&lt;&gt;0,INDEX('Outcome Indicators - Section C '!F$1:F$100,MATCH($A122,'Outcome Indicators - Section C '!$A$1:$A$100,0)),""),"")&amp;CHAR(10)&amp;IFERROR(IF(INDEX('Outcome Indicators - Section C '!G$1:G$100,MATCH($A122,'Outcome Indicators - Section C '!$A$1:$A$100,0))&lt;&gt;0,INDEX('Outcome Indicators - Section C '!G$1:G$100,MATCH($A122,'Outcome Indicators - Section C '!$A$1:$A$100,0)),""),"")</f>
        <v xml:space="preserve">
</v>
      </c>
      <c r="J122" s="724" t="str">
        <f ca="1">IFERROR(IF(INDEX('Outcome Indicators - Section C '!H$1:H$100,MATCH($A122,'Outcome Indicators - Section C '!$A$1:$A$100,0))&lt;&gt;0,INDEX('Outcome Indicators - Section C '!H$1:H$100,MATCH($A122,'Outcome Indicators - Section C '!$A$1:$A$100,0)),""),"")</f>
        <v/>
      </c>
      <c r="K122" s="725"/>
      <c r="L122" s="725"/>
      <c r="M122" s="726"/>
      <c r="N122" s="392" t="str">
        <f ca="1">IFERROR(IF(INDEX('Outcome Indicators - Section C '!I$1:I$100,MATCH($A122,'Outcome Indicators - Section C '!$A$1:$A$100,0))&lt;&gt;0,INDEX('Outcome Indicators - Section C '!I$1:I$100,MATCH($A122,'Outcome Indicators - Section C '!$A$1:$A$100,0)),""),"")</f>
        <v/>
      </c>
      <c r="O122" s="392" t="str">
        <f>IFERROR(IF(INDEX('Outcome Indicators - Section C '!J$9:J$38,MATCH($A122,'Outcome Indicators - Section C '!$A$9:$A$38,0))&lt;&gt;0,INDEX('Outcome Indicators - Section C '!J$9:J$38,MATCH($A122,'Outcome Indicators - Section C '!$A$9:$A$38,0)),""),"")</f>
        <v/>
      </c>
      <c r="P122" s="393" t="str">
        <f ca="1">IFERROR(IF(INDEX('Outcome Indicators - Section C '!K$1:K$100,MATCH($A122,'Outcome Indicators - Section C '!$A$1:$A$100,0))&lt;&gt;0,TEXT(INDEX('Outcome Indicators - Section C '!K$1:K$100,MATCH($A122,'Outcome Indicators - Section C '!$A$1:$A$100,0)),"#'##0.00"),""),"")&amp;"/"&amp;IFERROR(IF(INDEX('Outcome Indicators - Section C '!K$1:K$100,MATCH($A122,'Outcome Indicators - Section C '!$A$1:$A$100,0)+1)&lt;&gt;0,TEXT(INDEX('Outcome Indicators - Section C '!K$1:K$100,MATCH($A122,'Outcome Indicators - Section C '!$A$1:$A$100,0)+1),"#'##0.00"),""),"")&amp;CHAR(10)&amp;IFERROR(IF(INDEX('Outcome Indicators - Section C '!L$1:L$100,MATCH($A122,'Outcome Indicators - Section C '!$A$1:$A$100,0))&lt;&gt;0,TEXT(INDEX('Outcome Indicators - Section C '!L$1:L$100,MATCH($A122,'Outcome Indicators - Section C '!$A$1:$A$100,0)),"0.0%"),""),"")&amp;CHAR(10)&amp;IFERROR(IF(INDEX('Outcome Indicators - Section C '!N$1:N$100,MATCH($A122,'Outcome Indicators - Section C '!$A$1:$A$100,0))&lt;&gt;0,INDEX('Outcome Indicators - Section C '!N$1:N$100,MATCH($A122,'Outcome Indicators - Section C '!$A$1:$A$100,0)),""),"")&amp;CHAR(10)&amp;IFERROR(IF(INDEX('Outcome Indicators - Section C '!M$1:M$100,MATCH($A122,'Outcome Indicators - Section C '!$A$1:$A$100,0))&lt;&gt;0,TEXT(INDEX('Outcome Indicators - Section C '!M$1:M$100,MATCH($A122,'Outcome Indicators - Section C '!$A$1:$A$100,0)),Setup!$A$33),""),"")</f>
        <v xml:space="preserve">/
</v>
      </c>
      <c r="Q122" s="391" t="str">
        <f ca="1">IFERROR(IF(INDEX('Outcome Indicators - Section C '!O$1:O$38,MATCH($A122,'Outcome Indicators - Section C '!$A$1:$A$38,0))&lt;&gt;0,TEXT(INDEX('Outcome Indicators - Section C '!O$1:O$38,MATCH($A122,'Outcome Indicators - Section C '!$A$1:$A$38,0)),"#'##0.00"),""),"")&amp;"/"&amp;IFERROR(IF(INDEX('Outcome Indicators - Section C '!O$1:O$38,MATCH($A122,'Outcome Indicators - Section C '!$A$1:$A$38,0)+1)&lt;&gt;0,TEXT(INDEX('Outcome Indicators - Section C '!O$1:O$38,MATCH($A122,'Outcome Indicators - Section C '!$A$1:$A$38,0)+1),"#'##0.00"),""),"")&amp;CHAR(10)&amp;IFERROR(IF(INDEX('Outcome Indicators - Section C '!P$1:P$38,MATCH($A122,'Outcome Indicators - Section C '!$A$1:$A$38,0))&lt;&gt;0,TEXT(INDEX('Outcome Indicators - Section C '!P$1:P$38,MATCH($A122,'Outcome Indicators - Section C '!$A$1:$A$38,0)),"0.0%"),""),"")&amp;CHAR(10)&amp;IFERROR(IF(INDEX('Outcome Indicators - Section C '!R$1:R$38,MATCH($A122,'Outcome Indicators - Section C '!$A$1:$A$38,0))&lt;&gt;0,INDEX('Outcome Indicators - Section C '!R$1:R$38,MATCH($A122,'Outcome Indicators - Section C '!$A$1:$A$38,0)),""),"")&amp;CHAR(10)&amp;IFERROR(IF(INDEX('Outcome Indicators - Section C '!Q$1:Q$38,MATCH($A122,'Outcome Indicators - Section C '!$A$1:$A$38,0))&lt;&gt;0,TEXT(INDEX('Outcome Indicators - Section C '!Q$1:Q$38,MATCH($A122,'Outcome Indicators - Section C '!$A$1:$A$38,0)),Setup!$A$33),""),"")</f>
        <v xml:space="preserve">/
</v>
      </c>
      <c r="R122" s="391" t="str">
        <f ca="1">IFERROR(IF(INDEX('Outcome Indicators - Section C '!S$1:S$38,MATCH($A122,'Outcome Indicators - Section C '!$A$1:$A$38,0))&lt;&gt;0,TEXT(INDEX('Outcome Indicators - Section C '!S$1:S$38,MATCH($A122,'Outcome Indicators - Section C '!$A$1:$A$38,0)),"#'##0.00"),""),"")&amp;"/"&amp;IFERROR(IF(INDEX('Outcome Indicators - Section C '!S$1:S$38,MATCH($A122,'Outcome Indicators - Section C '!$A$1:$A$38,0)+1)&lt;&gt;0,TEXT(INDEX('Outcome Indicators - Section C '!S$1:S$38,MATCH($A122,'Outcome Indicators - Section C '!$A$1:$A$38,0)+1),"#'##0.00"),""),"")&amp;CHAR(10)&amp;IFERROR(IF(INDEX('Outcome Indicators - Section C '!T$1:T$38,MATCH($A122,'Outcome Indicators - Section C '!$A$1:$A$38,0))&lt;&gt;0,TEXT(INDEX('Outcome Indicators - Section C '!T$1:T$38,MATCH($A122,'Outcome Indicators - Section C '!$A$1:$A$38,0)),"0.0%"),""),"")&amp;CHAR(10)&amp;IFERROR(IF(INDEX('Outcome Indicators - Section C '!R$1:R$38,MATCH($A122,'Outcome Indicators - Section C '!$A$1:$A$38,0))&lt;&gt;0,INDEX('Outcome Indicators - Section C '!R$1:R$38,MATCH($A122,'Outcome Indicators - Section C '!$A$1:$A$38,0)),""),"")&amp;CHAR(10)&amp;IFERROR(IF(INDEX('Outcome Indicators - Section C '!U$1:U$38,MATCH($A122,'Outcome Indicators - Section C '!$A$1:$A$38,0))&lt;&gt;0,TEXT(INDEX('Outcome Indicators - Section C '!U$1:U$38,MATCH($A122,'Outcome Indicators - Section C '!$A$1:$A$38,0)),Setup!$A$33),""),"")</f>
        <v xml:space="preserve">/
</v>
      </c>
      <c r="S122" s="391" t="str">
        <f ca="1">IFERROR(IF(INDEX('Outcome Indicators - Section C '!W$9:W$38,MATCH($A122,'Outcome Indicators - Section C '!$A$9:$A$38,0))&lt;&gt;0,TEXT(INDEX('Outcome Indicators - Section C '!W$9:W$38,MATCH($A122,'Outcome Indicators - Section C '!$A$9:$A$38,0)),"#'##0.00"),""),"")&amp;"/"&amp;IFERROR(IF(INDEX('Outcome Indicators - Section C '!W$9:W$38,MATCH($A122,'Outcome Indicators - Section C '!$A$9:$A$38,0)+1)&lt;&gt;0,TEXT(INDEX('Outcome Indicators - Section C '!W$9:W$38,MATCH($A122,'Outcome Indicators - Section C '!$A$9:$A$38,0)+1),"#'##0.00"),""),"")&amp;CHAR(10)&amp;IFERROR(IF(INDEX('Outcome Indicators - Section C '!X$9:X$38,MATCH($A122,'Outcome Indicators - Section C '!$A$9:$A$38,0))&lt;&gt;0,TEXT(INDEX('Outcome Indicators - Section C '!X$9:X$38,MATCH($A122,'Outcome Indicators - Section C '!$A$9:$A$38,0)),"0.0%"),""),"")&amp;CHAR(10)&amp;IFERROR(IF(INDEX('Outcome Indicators - Section C '!Z$9:Z$38,MATCH($A122,'Outcome Indicators - Section C '!$A$9:$A$38,0))&lt;&gt;0,INDEX('Outcome Indicators - Section C '!Z$9:Z$38,MATCH($A122,'Outcome Indicators - Section C '!$A$9:$A$38,0)),""),"")&amp;CHAR(10)&amp;IFERROR(IF(INDEX('Outcome Indicators - Section C '!Y$9:Y$38,MATCH($A122,'Outcome Indicators - Section C '!$A$9:$A$38,0))&lt;&gt;0,TEXT(INDEX('Outcome Indicators - Section C '!Y$9:Y$38,MATCH($A122,'Outcome Indicators - Section C '!$A$9:$A$38,0)),Setup!$A$33),""),"")</f>
        <v xml:space="preserve">/
</v>
      </c>
      <c r="T122" s="394"/>
      <c r="U122" s="216"/>
      <c r="V122" s="216"/>
      <c r="W122" s="216"/>
      <c r="X122" s="216"/>
      <c r="Y122" s="216"/>
      <c r="Z122" s="216"/>
      <c r="AA122" s="216"/>
      <c r="AB122" s="216"/>
      <c r="AC122" s="216"/>
      <c r="AD122" s="216"/>
      <c r="AE122" s="216"/>
      <c r="AF122" s="216"/>
      <c r="AG122" s="216"/>
      <c r="AH122" s="216"/>
      <c r="AI122" s="216"/>
      <c r="AJ122" s="216"/>
      <c r="AK122" s="216"/>
      <c r="AL122" s="216"/>
      <c r="AM122" s="216"/>
      <c r="AN122" s="216"/>
      <c r="AO122" s="216"/>
      <c r="AQ122" s="216"/>
      <c r="AR122" s="216"/>
      <c r="AS122" s="216"/>
      <c r="AT122" s="216"/>
      <c r="AU122" s="721"/>
      <c r="AV122" s="721"/>
      <c r="AW122" s="721"/>
      <c r="AX122" s="721"/>
    </row>
    <row r="123" spans="1:50" ht="96" customHeight="1" thickBot="1" x14ac:dyDescent="0.35">
      <c r="A123" s="723"/>
      <c r="B123" s="727" t="str">
        <f ca="1">IFERROR(IF(INDEX('Outcome Indicators - Section C '!AA$1:AA$100,MATCH($A122,'Outcome Indicators - Section C '!$A$1:$A$100,0))&lt;&gt;0,INDEX('Outcome Indicators - Section C '!AA$1:AA$100,MATCH($A122,'Outcome Indicators - Section C '!$A$1:$A$100,0)),""),"")</f>
        <v/>
      </c>
      <c r="C123" s="728"/>
      <c r="D123" s="728"/>
      <c r="E123" s="728"/>
      <c r="F123" s="728"/>
      <c r="G123" s="728"/>
      <c r="H123" s="728"/>
      <c r="I123" s="728"/>
      <c r="J123" s="728"/>
      <c r="K123" s="728"/>
      <c r="L123" s="728"/>
      <c r="M123" s="728"/>
      <c r="N123" s="728"/>
      <c r="O123" s="728"/>
      <c r="P123" s="728"/>
      <c r="Q123" s="728"/>
      <c r="R123" s="728"/>
      <c r="S123" s="729"/>
      <c r="T123" s="385"/>
      <c r="U123" s="216"/>
      <c r="V123" s="216"/>
      <c r="W123" s="216"/>
      <c r="X123" s="216"/>
      <c r="Y123" s="216"/>
      <c r="Z123" s="216"/>
      <c r="AA123" s="216"/>
      <c r="AB123" s="216"/>
      <c r="AC123" s="216"/>
      <c r="AD123" s="216"/>
      <c r="AE123" s="216"/>
      <c r="AF123" s="216"/>
      <c r="AG123" s="216"/>
      <c r="AH123" s="216"/>
      <c r="AI123" s="216"/>
      <c r="AJ123" s="216"/>
      <c r="AK123" s="216"/>
      <c r="AL123" s="216"/>
      <c r="AM123" s="216"/>
      <c r="AN123" s="216"/>
      <c r="AO123" s="216"/>
      <c r="AQ123" s="216"/>
      <c r="AR123" s="216"/>
      <c r="AS123" s="216"/>
      <c r="AT123" s="216"/>
      <c r="AU123" s="721"/>
      <c r="AV123" s="721"/>
      <c r="AW123" s="721"/>
      <c r="AX123" s="721"/>
    </row>
    <row r="124" spans="1:50" ht="172.2" customHeight="1" x14ac:dyDescent="0.3">
      <c r="A124" s="722">
        <v>9</v>
      </c>
      <c r="B124" s="724" t="str">
        <f ca="1">IFERROR(IF(INDEX('Outcome Indicators - Section C '!B$1:B$100,MATCH($A124,'Outcome Indicators - Section C '!$A$1:$A$100,0))&lt;&gt;0,INDEX('Outcome Indicators - Section C '!B$1:B$100,MATCH($A124,'Outcome Indicators - Section C '!$A$1:$A$100,0)),""),"")</f>
        <v/>
      </c>
      <c r="C124" s="725"/>
      <c r="D124" s="726"/>
      <c r="E124" s="724" t="str">
        <f ca="1">IFERROR(IF(INDEX('Outcome Indicators - Section C '!C$1:C$100,MATCH($A124,'Outcome Indicators - Section C '!$A$1:$A$100,0))&lt;&gt;0,INDEX('Outcome Indicators - Section C '!C$1:C$100,MATCH($A124,'Outcome Indicators - Section C '!$A$1:$A$100,0)),""),"")</f>
        <v/>
      </c>
      <c r="F124" s="725"/>
      <c r="G124" s="726"/>
      <c r="H124" s="391" t="str">
        <f ca="1">IFERROR(IF(INDEX('Outcome Indicators - Section C '!D$1:D$100,MATCH($A124,'Outcome Indicators - Section C '!$A$1:$A$100,0))&lt;&gt;0,TEXT(INDEX('Outcome Indicators - Section C '!D$1:D$100,MATCH($A124,'Outcome Indicators - Section C '!$A$1:$A$100,0)),"#'##0.00"),""),"")&amp;"/"&amp;IFERROR(IF(INDEX('Outcome Indicators - Section C '!D$1:D$100,MATCH($A124,'Outcome Indicators - Section C '!$A$1:$A$100,0)+1)&lt;&gt;0,TEXT(INDEX('Outcome Indicators - Section C '!D$1:D$100,MATCH($A124,'Outcome Indicators - Section C '!$A$1:$A$100,0)+1),"#'##0.00"),""),"")&amp;CHAR(10)&amp;IFERROR(IF(INDEX('Outcome Indicators - Section C '!E$1:E$100,MATCH($A124,'Outcome Indicators - Section C '!$A$1:$A$100,0))&lt;&gt;0,TEXT(INDEX('Outcome Indicators - Section C '!E$1:E$100,MATCH($A124,'Outcome Indicators - Section C '!$A$1:$A$100,0)),"0.0%"),""),"")</f>
        <v xml:space="preserve">/
</v>
      </c>
      <c r="I124" s="391" t="str">
        <f ca="1">IFERROR(IF(INDEX('Outcome Indicators - Section C '!F$1:F$100,MATCH($A124,'Outcome Indicators - Section C '!$A$1:$A$100,0))&lt;&gt;0,INDEX('Outcome Indicators - Section C '!F$1:F$100,MATCH($A124,'Outcome Indicators - Section C '!$A$1:$A$100,0)),""),"")&amp;CHAR(10)&amp;IFERROR(IF(INDEX('Outcome Indicators - Section C '!G$1:G$100,MATCH($A124,'Outcome Indicators - Section C '!$A$1:$A$100,0))&lt;&gt;0,INDEX('Outcome Indicators - Section C '!G$1:G$100,MATCH($A124,'Outcome Indicators - Section C '!$A$1:$A$100,0)),""),"")</f>
        <v xml:space="preserve">
</v>
      </c>
      <c r="J124" s="724" t="str">
        <f ca="1">IFERROR(IF(INDEX('Outcome Indicators - Section C '!H$1:H$100,MATCH($A124,'Outcome Indicators - Section C '!$A$1:$A$100,0))&lt;&gt;0,INDEX('Outcome Indicators - Section C '!H$1:H$100,MATCH($A124,'Outcome Indicators - Section C '!$A$1:$A$100,0)),""),"")</f>
        <v/>
      </c>
      <c r="K124" s="725"/>
      <c r="L124" s="725"/>
      <c r="M124" s="726"/>
      <c r="N124" s="392" t="str">
        <f ca="1">IFERROR(IF(INDEX('Outcome Indicators - Section C '!I$1:I$100,MATCH($A124,'Outcome Indicators - Section C '!$A$1:$A$100,0))&lt;&gt;0,INDEX('Outcome Indicators - Section C '!I$1:I$100,MATCH($A124,'Outcome Indicators - Section C '!$A$1:$A$100,0)),""),"")</f>
        <v/>
      </c>
      <c r="O124" s="392" t="str">
        <f>IFERROR(IF(INDEX('Outcome Indicators - Section C '!J$9:J$38,MATCH($A124,'Outcome Indicators - Section C '!$A$9:$A$38,0))&lt;&gt;0,INDEX('Outcome Indicators - Section C '!J$9:J$38,MATCH($A124,'Outcome Indicators - Section C '!$A$9:$A$38,0)),""),"")</f>
        <v/>
      </c>
      <c r="P124" s="393" t="str">
        <f ca="1">IFERROR(IF(INDEX('Outcome Indicators - Section C '!K$1:K$100,MATCH($A124,'Outcome Indicators - Section C '!$A$1:$A$100,0))&lt;&gt;0,TEXT(INDEX('Outcome Indicators - Section C '!K$1:K$100,MATCH($A124,'Outcome Indicators - Section C '!$A$1:$A$100,0)),"#'##0.00"),""),"")&amp;"/"&amp;IFERROR(IF(INDEX('Outcome Indicators - Section C '!K$1:K$100,MATCH($A124,'Outcome Indicators - Section C '!$A$1:$A$100,0)+1)&lt;&gt;0,TEXT(INDEX('Outcome Indicators - Section C '!K$1:K$100,MATCH($A124,'Outcome Indicators - Section C '!$A$1:$A$100,0)+1),"#'##0.00"),""),"")&amp;CHAR(10)&amp;IFERROR(IF(INDEX('Outcome Indicators - Section C '!L$1:L$100,MATCH($A124,'Outcome Indicators - Section C '!$A$1:$A$100,0))&lt;&gt;0,TEXT(INDEX('Outcome Indicators - Section C '!L$1:L$100,MATCH($A124,'Outcome Indicators - Section C '!$A$1:$A$100,0)),"0.0%"),""),"")&amp;CHAR(10)&amp;IFERROR(IF(INDEX('Outcome Indicators - Section C '!N$1:N$100,MATCH($A124,'Outcome Indicators - Section C '!$A$1:$A$100,0))&lt;&gt;0,INDEX('Outcome Indicators - Section C '!N$1:N$100,MATCH($A124,'Outcome Indicators - Section C '!$A$1:$A$100,0)),""),"")&amp;CHAR(10)&amp;IFERROR(IF(INDEX('Outcome Indicators - Section C '!M$1:M$100,MATCH($A124,'Outcome Indicators - Section C '!$A$1:$A$100,0))&lt;&gt;0,TEXT(INDEX('Outcome Indicators - Section C '!M$1:M$100,MATCH($A124,'Outcome Indicators - Section C '!$A$1:$A$100,0)),Setup!$A$33),""),"")</f>
        <v xml:space="preserve">/
</v>
      </c>
      <c r="Q124" s="391" t="str">
        <f ca="1">IFERROR(IF(INDEX('Outcome Indicators - Section C '!O$1:O$38,MATCH($A124,'Outcome Indicators - Section C '!$A$1:$A$38,0))&lt;&gt;0,TEXT(INDEX('Outcome Indicators - Section C '!O$1:O$38,MATCH($A124,'Outcome Indicators - Section C '!$A$1:$A$38,0)),"#'##0.00"),""),"")&amp;"/"&amp;IFERROR(IF(INDEX('Outcome Indicators - Section C '!O$1:O$38,MATCH($A124,'Outcome Indicators - Section C '!$A$1:$A$38,0)+1)&lt;&gt;0,TEXT(INDEX('Outcome Indicators - Section C '!O$1:O$38,MATCH($A124,'Outcome Indicators - Section C '!$A$1:$A$38,0)+1),"#'##0.00"),""),"")&amp;CHAR(10)&amp;IFERROR(IF(INDEX('Outcome Indicators - Section C '!P$1:P$38,MATCH($A124,'Outcome Indicators - Section C '!$A$1:$A$38,0))&lt;&gt;0,TEXT(INDEX('Outcome Indicators - Section C '!P$1:P$38,MATCH($A124,'Outcome Indicators - Section C '!$A$1:$A$38,0)),"0.0%"),""),"")&amp;CHAR(10)&amp;IFERROR(IF(INDEX('Outcome Indicators - Section C '!R$1:R$38,MATCH($A124,'Outcome Indicators - Section C '!$A$1:$A$38,0))&lt;&gt;0,INDEX('Outcome Indicators - Section C '!R$1:R$38,MATCH($A124,'Outcome Indicators - Section C '!$A$1:$A$38,0)),""),"")&amp;CHAR(10)&amp;IFERROR(IF(INDEX('Outcome Indicators - Section C '!Q$1:Q$38,MATCH($A124,'Outcome Indicators - Section C '!$A$1:$A$38,0))&lt;&gt;0,TEXT(INDEX('Outcome Indicators - Section C '!Q$1:Q$38,MATCH($A124,'Outcome Indicators - Section C '!$A$1:$A$38,0)),Setup!$A$33),""),"")</f>
        <v xml:space="preserve">/
</v>
      </c>
      <c r="R124" s="391" t="str">
        <f ca="1">IFERROR(IF(INDEX('Outcome Indicators - Section C '!S$1:S$38,MATCH($A124,'Outcome Indicators - Section C '!$A$1:$A$38,0))&lt;&gt;0,TEXT(INDEX('Outcome Indicators - Section C '!S$1:S$38,MATCH($A124,'Outcome Indicators - Section C '!$A$1:$A$38,0)),"#'##0.00"),""),"")&amp;"/"&amp;IFERROR(IF(INDEX('Outcome Indicators - Section C '!S$1:S$38,MATCH($A124,'Outcome Indicators - Section C '!$A$1:$A$38,0)+1)&lt;&gt;0,TEXT(INDEX('Outcome Indicators - Section C '!S$1:S$38,MATCH($A124,'Outcome Indicators - Section C '!$A$1:$A$38,0)+1),"#'##0.00"),""),"")&amp;CHAR(10)&amp;IFERROR(IF(INDEX('Outcome Indicators - Section C '!T$1:T$38,MATCH($A124,'Outcome Indicators - Section C '!$A$1:$A$38,0))&lt;&gt;0,TEXT(INDEX('Outcome Indicators - Section C '!T$1:T$38,MATCH($A124,'Outcome Indicators - Section C '!$A$1:$A$38,0)),"0.0%"),""),"")&amp;CHAR(10)&amp;IFERROR(IF(INDEX('Outcome Indicators - Section C '!R$1:R$38,MATCH($A124,'Outcome Indicators - Section C '!$A$1:$A$38,0))&lt;&gt;0,INDEX('Outcome Indicators - Section C '!R$1:R$38,MATCH($A124,'Outcome Indicators - Section C '!$A$1:$A$38,0)),""),"")&amp;CHAR(10)&amp;IFERROR(IF(INDEX('Outcome Indicators - Section C '!U$1:U$38,MATCH($A124,'Outcome Indicators - Section C '!$A$1:$A$38,0))&lt;&gt;0,TEXT(INDEX('Outcome Indicators - Section C '!U$1:U$38,MATCH($A124,'Outcome Indicators - Section C '!$A$1:$A$38,0)),Setup!$A$33),""),"")</f>
        <v xml:space="preserve">/
</v>
      </c>
      <c r="S124" s="391" t="str">
        <f ca="1">IFERROR(IF(INDEX('Outcome Indicators - Section C '!W$9:W$38,MATCH($A124,'Outcome Indicators - Section C '!$A$9:$A$38,0))&lt;&gt;0,TEXT(INDEX('Outcome Indicators - Section C '!W$9:W$38,MATCH($A124,'Outcome Indicators - Section C '!$A$9:$A$38,0)),"#'##0.00"),""),"")&amp;"/"&amp;IFERROR(IF(INDEX('Outcome Indicators - Section C '!W$9:W$38,MATCH($A124,'Outcome Indicators - Section C '!$A$9:$A$38,0)+1)&lt;&gt;0,TEXT(INDEX('Outcome Indicators - Section C '!W$9:W$38,MATCH($A124,'Outcome Indicators - Section C '!$A$9:$A$38,0)+1),"#'##0.00"),""),"")&amp;CHAR(10)&amp;IFERROR(IF(INDEX('Outcome Indicators - Section C '!X$9:X$38,MATCH($A124,'Outcome Indicators - Section C '!$A$9:$A$38,0))&lt;&gt;0,TEXT(INDEX('Outcome Indicators - Section C '!X$9:X$38,MATCH($A124,'Outcome Indicators - Section C '!$A$9:$A$38,0)),"0.0%"),""),"")&amp;CHAR(10)&amp;IFERROR(IF(INDEX('Outcome Indicators - Section C '!Z$9:Z$38,MATCH($A124,'Outcome Indicators - Section C '!$A$9:$A$38,0))&lt;&gt;0,INDEX('Outcome Indicators - Section C '!Z$9:Z$38,MATCH($A124,'Outcome Indicators - Section C '!$A$9:$A$38,0)),""),"")&amp;CHAR(10)&amp;IFERROR(IF(INDEX('Outcome Indicators - Section C '!Y$9:Y$38,MATCH($A124,'Outcome Indicators - Section C '!$A$9:$A$38,0))&lt;&gt;0,TEXT(INDEX('Outcome Indicators - Section C '!Y$9:Y$38,MATCH($A124,'Outcome Indicators - Section C '!$A$9:$A$38,0)),Setup!$A$33),""),"")</f>
        <v xml:space="preserve">/
</v>
      </c>
      <c r="T124" s="394"/>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Q124" s="216"/>
      <c r="AR124" s="216"/>
      <c r="AS124" s="216"/>
      <c r="AT124" s="216"/>
      <c r="AU124" s="721"/>
      <c r="AV124" s="721"/>
      <c r="AW124" s="721"/>
      <c r="AX124" s="721"/>
    </row>
    <row r="125" spans="1:50" ht="96" customHeight="1" thickBot="1" x14ac:dyDescent="0.35">
      <c r="A125" s="723"/>
      <c r="B125" s="717" t="str">
        <f ca="1">IFERROR(IF(INDEX('Outcome Indicators - Section C '!AA$1:AA$100,MATCH($A124,'Outcome Indicators - Section C '!$A$1:$A$100,0))&lt;&gt;0,INDEX('Outcome Indicators - Section C '!AA$1:AA$100,MATCH($A124,'Outcome Indicators - Section C '!$A$1:$A$100,0)),""),"")</f>
        <v/>
      </c>
      <c r="C125" s="718"/>
      <c r="D125" s="718"/>
      <c r="E125" s="718"/>
      <c r="F125" s="718"/>
      <c r="G125" s="718"/>
      <c r="H125" s="718"/>
      <c r="I125" s="719"/>
      <c r="J125" s="719"/>
      <c r="K125" s="719"/>
      <c r="L125" s="719"/>
      <c r="M125" s="719"/>
      <c r="N125" s="719"/>
      <c r="O125" s="719"/>
      <c r="P125" s="719"/>
      <c r="Q125" s="719"/>
      <c r="R125" s="719"/>
      <c r="S125" s="720"/>
      <c r="T125" s="382"/>
      <c r="U125" s="216"/>
      <c r="V125" s="216"/>
      <c r="W125" s="216"/>
      <c r="X125" s="216"/>
      <c r="Y125" s="216"/>
      <c r="Z125" s="216"/>
      <c r="AA125" s="216"/>
      <c r="AB125" s="216"/>
      <c r="AC125" s="216"/>
      <c r="AD125" s="216"/>
      <c r="AE125" s="216"/>
      <c r="AF125" s="216"/>
      <c r="AG125" s="216"/>
      <c r="AH125" s="216"/>
      <c r="AI125" s="216"/>
      <c r="AJ125" s="216"/>
      <c r="AK125" s="216"/>
      <c r="AL125" s="216"/>
      <c r="AM125" s="216"/>
      <c r="AN125" s="216"/>
      <c r="AO125" s="216"/>
      <c r="AQ125" s="216"/>
      <c r="AR125" s="216"/>
      <c r="AS125" s="216"/>
      <c r="AT125" s="216"/>
      <c r="AU125" s="721"/>
      <c r="AV125" s="721"/>
      <c r="AW125" s="721"/>
      <c r="AX125" s="721"/>
    </row>
    <row r="126" spans="1:50" ht="172.2" customHeight="1" x14ac:dyDescent="0.3">
      <c r="A126" s="722">
        <v>10</v>
      </c>
      <c r="B126" s="741" t="str">
        <f ca="1">IFERROR(IF(INDEX('Outcome Indicators - Section C '!B$1:B$100,MATCH($A126,'Outcome Indicators - Section C '!$A$1:$A$100,0))&lt;&gt;0,INDEX('Outcome Indicators - Section C '!B$1:B$100,MATCH($A126,'Outcome Indicators - Section C '!$A$1:$A$100,0)),""),"")</f>
        <v/>
      </c>
      <c r="C126" s="742"/>
      <c r="D126" s="743"/>
      <c r="E126" s="741" t="str">
        <f ca="1">IFERROR(IF(INDEX('Outcome Indicators - Section C '!C$1:C$100,MATCH($A126,'Outcome Indicators - Section C '!$A$1:$A$100,0))&lt;&gt;0,INDEX('Outcome Indicators - Section C '!C$1:C$100,MATCH($A126,'Outcome Indicators - Section C '!$A$1:$A$100,0)),""),"")</f>
        <v/>
      </c>
      <c r="F126" s="742"/>
      <c r="G126" s="743"/>
      <c r="H126" s="391" t="str">
        <f ca="1">IFERROR(IF(INDEX('Outcome Indicators - Section C '!D$1:D$100,MATCH($A126,'Outcome Indicators - Section C '!$A$1:$A$100,0))&lt;&gt;0,TEXT(INDEX('Outcome Indicators - Section C '!D$1:D$100,MATCH($A126,'Outcome Indicators - Section C '!$A$1:$A$100,0)),"#'##0.00"),""),"")&amp;"/"&amp;IFERROR(IF(INDEX('Outcome Indicators - Section C '!D$1:D$100,MATCH($A126,'Outcome Indicators - Section C '!$A$1:$A$100,0)+1)&lt;&gt;0,TEXT(INDEX('Outcome Indicators - Section C '!D$1:D$100,MATCH($A126,'Outcome Indicators - Section C '!$A$1:$A$100,0)+1),"#'##0.00"),""),"")&amp;CHAR(10)&amp;IFERROR(IF(INDEX('Outcome Indicators - Section C '!E$1:E$100,MATCH($A126,'Outcome Indicators - Section C '!$A$1:$A$100,0))&lt;&gt;0,TEXT(INDEX('Outcome Indicators - Section C '!E$1:E$100,MATCH($A126,'Outcome Indicators - Section C '!$A$1:$A$100,0)),"0.0%"),""),"")</f>
        <v xml:space="preserve">/
</v>
      </c>
      <c r="I126" s="391" t="str">
        <f ca="1">IFERROR(IF(INDEX('Outcome Indicators - Section C '!F$1:F$100,MATCH($A126,'Outcome Indicators - Section C '!$A$1:$A$100,0))&lt;&gt;0,INDEX('Outcome Indicators - Section C '!F$1:F$100,MATCH($A126,'Outcome Indicators - Section C '!$A$1:$A$100,0)),""),"")&amp;CHAR(10)&amp;IFERROR(IF(INDEX('Outcome Indicators - Section C '!G$1:G$100,MATCH($A126,'Outcome Indicators - Section C '!$A$1:$A$100,0))&lt;&gt;0,INDEX('Outcome Indicators - Section C '!G$1:G$100,MATCH($A126,'Outcome Indicators - Section C '!$A$1:$A$100,0)),""),"")</f>
        <v xml:space="preserve">
</v>
      </c>
      <c r="J126" s="724" t="str">
        <f ca="1">IFERROR(IF(INDEX('Outcome Indicators - Section C '!H$1:H$100,MATCH($A126,'Outcome Indicators - Section C '!$A$1:$A$100,0))&lt;&gt;0,INDEX('Outcome Indicators - Section C '!H$1:H$100,MATCH($A126,'Outcome Indicators - Section C '!$A$1:$A$100,0)),""),"")</f>
        <v/>
      </c>
      <c r="K126" s="725"/>
      <c r="L126" s="725"/>
      <c r="M126" s="726"/>
      <c r="N126" s="392" t="str">
        <f ca="1">IFERROR(IF(INDEX('Outcome Indicators - Section C '!I$1:I$100,MATCH($A126,'Outcome Indicators - Section C '!$A$1:$A$100,0))&lt;&gt;0,INDEX('Outcome Indicators - Section C '!I$1:I$100,MATCH($A126,'Outcome Indicators - Section C '!$A$1:$A$100,0)),""),"")</f>
        <v/>
      </c>
      <c r="O126" s="392" t="str">
        <f>IFERROR(IF(INDEX('Outcome Indicators - Section C '!J$9:J$38,MATCH($A126,'Outcome Indicators - Section C '!$A$9:$A$38,0))&lt;&gt;0,INDEX('Outcome Indicators - Section C '!J$9:J$38,MATCH($A126,'Outcome Indicators - Section C '!$A$9:$A$38,0)),""),"")</f>
        <v/>
      </c>
      <c r="P126" s="393" t="str">
        <f ca="1">IFERROR(IF(INDEX('Outcome Indicators - Section C '!K$1:K$100,MATCH($A126,'Outcome Indicators - Section C '!$A$1:$A$100,0))&lt;&gt;0,TEXT(INDEX('Outcome Indicators - Section C '!K$1:K$100,MATCH($A126,'Outcome Indicators - Section C '!$A$1:$A$100,0)),"#'##0.00"),""),"")&amp;"/"&amp;IFERROR(IF(INDEX('Outcome Indicators - Section C '!K$1:K$100,MATCH($A126,'Outcome Indicators - Section C '!$A$1:$A$100,0)+1)&lt;&gt;0,TEXT(INDEX('Outcome Indicators - Section C '!K$1:K$100,MATCH($A126,'Outcome Indicators - Section C '!$A$1:$A$100,0)+1),"#'##0.00"),""),"")&amp;CHAR(10)&amp;IFERROR(IF(INDEX('Outcome Indicators - Section C '!L$1:L$100,MATCH($A126,'Outcome Indicators - Section C '!$A$1:$A$100,0))&lt;&gt;0,TEXT(INDEX('Outcome Indicators - Section C '!L$1:L$100,MATCH($A126,'Outcome Indicators - Section C '!$A$1:$A$100,0)),"0.0%"),""),"")&amp;CHAR(10)&amp;IFERROR(IF(INDEX('Outcome Indicators - Section C '!N$1:N$100,MATCH($A126,'Outcome Indicators - Section C '!$A$1:$A$100,0))&lt;&gt;0,INDEX('Outcome Indicators - Section C '!N$1:N$100,MATCH($A126,'Outcome Indicators - Section C '!$A$1:$A$100,0)),""),"")&amp;CHAR(10)&amp;IFERROR(IF(INDEX('Outcome Indicators - Section C '!M$1:M$100,MATCH($A126,'Outcome Indicators - Section C '!$A$1:$A$100,0))&lt;&gt;0,TEXT(INDEX('Outcome Indicators - Section C '!M$1:M$100,MATCH($A126,'Outcome Indicators - Section C '!$A$1:$A$100,0)),Setup!$A$33),""),"")</f>
        <v xml:space="preserve">/
</v>
      </c>
      <c r="Q126" s="391" t="str">
        <f ca="1">IFERROR(IF(INDEX('Outcome Indicators - Section C '!O$1:O$38,MATCH($A126,'Outcome Indicators - Section C '!$A$1:$A$38,0))&lt;&gt;0,TEXT(INDEX('Outcome Indicators - Section C '!O$1:O$38,MATCH($A126,'Outcome Indicators - Section C '!$A$1:$A$38,0)),"#'##0.00"),""),"")&amp;"/"&amp;IFERROR(IF(INDEX('Outcome Indicators - Section C '!O$1:O$38,MATCH($A126,'Outcome Indicators - Section C '!$A$1:$A$38,0)+1)&lt;&gt;0,TEXT(INDEX('Outcome Indicators - Section C '!O$1:O$38,MATCH($A126,'Outcome Indicators - Section C '!$A$1:$A$38,0)+1),"#'##0.00"),""),"")&amp;CHAR(10)&amp;IFERROR(IF(INDEX('Outcome Indicators - Section C '!P$1:P$38,MATCH($A126,'Outcome Indicators - Section C '!$A$1:$A$38,0))&lt;&gt;0,TEXT(INDEX('Outcome Indicators - Section C '!P$1:P$38,MATCH($A126,'Outcome Indicators - Section C '!$A$1:$A$38,0)),"0.0%"),""),"")&amp;CHAR(10)&amp;IFERROR(IF(INDEX('Outcome Indicators - Section C '!R$1:R$38,MATCH($A126,'Outcome Indicators - Section C '!$A$1:$A$38,0))&lt;&gt;0,INDEX('Outcome Indicators - Section C '!R$1:R$38,MATCH($A126,'Outcome Indicators - Section C '!$A$1:$A$38,0)),""),"")&amp;CHAR(10)&amp;IFERROR(IF(INDEX('Outcome Indicators - Section C '!Q$1:Q$38,MATCH($A126,'Outcome Indicators - Section C '!$A$1:$A$38,0))&lt;&gt;0,TEXT(INDEX('Outcome Indicators - Section C '!Q$1:Q$38,MATCH($A126,'Outcome Indicators - Section C '!$A$1:$A$38,0)),Setup!$A$33),""),"")</f>
        <v xml:space="preserve">/
</v>
      </c>
      <c r="R126" s="391" t="str">
        <f ca="1">IFERROR(IF(INDEX('Outcome Indicators - Section C '!S$1:S$38,MATCH($A126,'Outcome Indicators - Section C '!$A$1:$A$38,0))&lt;&gt;0,TEXT(INDEX('Outcome Indicators - Section C '!S$1:S$38,MATCH($A126,'Outcome Indicators - Section C '!$A$1:$A$38,0)),"#'##0.00"),""),"")&amp;"/"&amp;IFERROR(IF(INDEX('Outcome Indicators - Section C '!S$1:S$38,MATCH($A126,'Outcome Indicators - Section C '!$A$1:$A$38,0)+1)&lt;&gt;0,TEXT(INDEX('Outcome Indicators - Section C '!S$1:S$38,MATCH($A126,'Outcome Indicators - Section C '!$A$1:$A$38,0)+1),"#'##0.00"),""),"")&amp;CHAR(10)&amp;IFERROR(IF(INDEX('Outcome Indicators - Section C '!T$1:T$38,MATCH($A126,'Outcome Indicators - Section C '!$A$1:$A$38,0))&lt;&gt;0,TEXT(INDEX('Outcome Indicators - Section C '!T$1:T$38,MATCH($A126,'Outcome Indicators - Section C '!$A$1:$A$38,0)),"0.0%"),""),"")&amp;CHAR(10)&amp;IFERROR(IF(INDEX('Outcome Indicators - Section C '!R$1:R$38,MATCH($A126,'Outcome Indicators - Section C '!$A$1:$A$38,0))&lt;&gt;0,INDEX('Outcome Indicators - Section C '!R$1:R$38,MATCH($A126,'Outcome Indicators - Section C '!$A$1:$A$38,0)),""),"")&amp;CHAR(10)&amp;IFERROR(IF(INDEX('Outcome Indicators - Section C '!U$1:U$38,MATCH($A126,'Outcome Indicators - Section C '!$A$1:$A$38,0))&lt;&gt;0,TEXT(INDEX('Outcome Indicators - Section C '!U$1:U$38,MATCH($A126,'Outcome Indicators - Section C '!$A$1:$A$38,0)),Setup!$A$33),""),"")</f>
        <v xml:space="preserve">/
</v>
      </c>
      <c r="S126" s="391" t="str">
        <f ca="1">IFERROR(IF(INDEX('Outcome Indicators - Section C '!W$9:W$38,MATCH($A126,'Outcome Indicators - Section C '!$A$9:$A$38,0))&lt;&gt;0,TEXT(INDEX('Outcome Indicators - Section C '!W$9:W$38,MATCH($A126,'Outcome Indicators - Section C '!$A$9:$A$38,0)),"#'##0.00"),""),"")&amp;"/"&amp;IFERROR(IF(INDEX('Outcome Indicators - Section C '!W$9:W$38,MATCH($A126,'Outcome Indicators - Section C '!$A$9:$A$38,0)+1)&lt;&gt;0,TEXT(INDEX('Outcome Indicators - Section C '!W$9:W$38,MATCH($A126,'Outcome Indicators - Section C '!$A$9:$A$38,0)+1),"#'##0.00"),""),"")&amp;CHAR(10)&amp;IFERROR(IF(INDEX('Outcome Indicators - Section C '!X$9:X$38,MATCH($A126,'Outcome Indicators - Section C '!$A$9:$A$38,0))&lt;&gt;0,TEXT(INDEX('Outcome Indicators - Section C '!X$9:X$38,MATCH($A126,'Outcome Indicators - Section C '!$A$9:$A$38,0)),"0.0%"),""),"")&amp;CHAR(10)&amp;IFERROR(IF(INDEX('Outcome Indicators - Section C '!Z$9:Z$38,MATCH($A126,'Outcome Indicators - Section C '!$A$9:$A$38,0))&lt;&gt;0,INDEX('Outcome Indicators - Section C '!Z$9:Z$38,MATCH($A126,'Outcome Indicators - Section C '!$A$9:$A$38,0)),""),"")&amp;CHAR(10)&amp;IFERROR(IF(INDEX('Outcome Indicators - Section C '!Y$9:Y$38,MATCH($A126,'Outcome Indicators - Section C '!$A$9:$A$38,0))&lt;&gt;0,TEXT(INDEX('Outcome Indicators - Section C '!Y$9:Y$38,MATCH($A126,'Outcome Indicators - Section C '!$A$9:$A$38,0)),Setup!$A$33),""),"")</f>
        <v xml:space="preserve">/
</v>
      </c>
      <c r="T126" s="394"/>
      <c r="U126" s="216"/>
      <c r="V126" s="216"/>
      <c r="W126" s="216"/>
      <c r="X126" s="216"/>
      <c r="Y126" s="216"/>
      <c r="Z126" s="216"/>
      <c r="AA126" s="216"/>
      <c r="AB126" s="216"/>
      <c r="AC126" s="216"/>
      <c r="AD126" s="216"/>
      <c r="AE126" s="216"/>
      <c r="AF126" s="216"/>
      <c r="AG126" s="216"/>
      <c r="AH126" s="216"/>
      <c r="AI126" s="216"/>
      <c r="AJ126" s="216"/>
      <c r="AK126" s="216"/>
      <c r="AL126" s="216"/>
      <c r="AM126" s="216"/>
      <c r="AN126" s="216"/>
      <c r="AO126" s="216"/>
      <c r="AQ126" s="216"/>
      <c r="AR126" s="216"/>
      <c r="AS126" s="216"/>
      <c r="AT126" s="216"/>
      <c r="AU126" s="721"/>
      <c r="AV126" s="721"/>
      <c r="AW126" s="721"/>
      <c r="AX126" s="721"/>
    </row>
    <row r="127" spans="1:50" ht="96" customHeight="1" thickBot="1" x14ac:dyDescent="0.35">
      <c r="A127" s="723"/>
      <c r="B127" s="727" t="str">
        <f ca="1">IFERROR(IF(INDEX('Outcome Indicators - Section C '!AA$1:AA$100,MATCH($A126,'Outcome Indicators - Section C '!$A$1:$A$100,0))&lt;&gt;0,INDEX('Outcome Indicators - Section C '!AA$1:AA$100,MATCH($A126,'Outcome Indicators - Section C '!$A$1:$A$100,0)),""),"")</f>
        <v/>
      </c>
      <c r="C127" s="728"/>
      <c r="D127" s="728"/>
      <c r="E127" s="728"/>
      <c r="F127" s="728"/>
      <c r="G127" s="728"/>
      <c r="H127" s="728"/>
      <c r="I127" s="728"/>
      <c r="J127" s="728"/>
      <c r="K127" s="728"/>
      <c r="L127" s="728"/>
      <c r="M127" s="728"/>
      <c r="N127" s="728"/>
      <c r="O127" s="728"/>
      <c r="P127" s="728"/>
      <c r="Q127" s="728"/>
      <c r="R127" s="728"/>
      <c r="S127" s="729"/>
      <c r="T127" s="385"/>
      <c r="U127" s="216"/>
      <c r="V127" s="216"/>
      <c r="W127" s="216"/>
      <c r="X127" s="216"/>
      <c r="Y127" s="216"/>
      <c r="Z127" s="216"/>
      <c r="AA127" s="216"/>
      <c r="AB127" s="216"/>
      <c r="AC127" s="216"/>
      <c r="AD127" s="216"/>
      <c r="AE127" s="216"/>
      <c r="AF127" s="216"/>
      <c r="AG127" s="216"/>
      <c r="AH127" s="216"/>
      <c r="AI127" s="216"/>
      <c r="AJ127" s="216"/>
      <c r="AK127" s="216"/>
      <c r="AL127" s="216"/>
      <c r="AM127" s="216"/>
      <c r="AN127" s="216"/>
      <c r="AO127" s="216"/>
      <c r="AQ127" s="216"/>
      <c r="AR127" s="216"/>
      <c r="AS127" s="216"/>
      <c r="AT127" s="216"/>
      <c r="AU127" s="721"/>
      <c r="AV127" s="721"/>
      <c r="AW127" s="721"/>
      <c r="AX127" s="721"/>
    </row>
    <row r="128" spans="1:50" ht="172.2" customHeight="1" x14ac:dyDescent="0.3">
      <c r="A128" s="722">
        <v>11</v>
      </c>
      <c r="B128" s="724" t="str">
        <f ca="1">IFERROR(IF(INDEX('Outcome Indicators - Section C '!B$1:B$100,MATCH($A128,'Outcome Indicators - Section C '!$A$1:$A$100,0))&lt;&gt;0,INDEX('Outcome Indicators - Section C '!B$1:B$100,MATCH($A128,'Outcome Indicators - Section C '!$A$1:$A$100,0)),""),"")</f>
        <v/>
      </c>
      <c r="C128" s="725"/>
      <c r="D128" s="726"/>
      <c r="E128" s="724" t="str">
        <f ca="1">IFERROR(IF(INDEX('Outcome Indicators - Section C '!C$1:C$100,MATCH($A128,'Outcome Indicators - Section C '!$A$1:$A$100,0))&lt;&gt;0,INDEX('Outcome Indicators - Section C '!C$1:C$100,MATCH($A128,'Outcome Indicators - Section C '!$A$1:$A$100,0)),""),"")</f>
        <v/>
      </c>
      <c r="F128" s="725"/>
      <c r="G128" s="726"/>
      <c r="H128" s="391" t="str">
        <f ca="1">IFERROR(IF(INDEX('Outcome Indicators - Section C '!D$1:D$100,MATCH($A128,'Outcome Indicators - Section C '!$A$1:$A$100,0))&lt;&gt;0,TEXT(INDEX('Outcome Indicators - Section C '!D$1:D$100,MATCH($A128,'Outcome Indicators - Section C '!$A$1:$A$100,0)),"#'##0.00"),""),"")&amp;"/"&amp;IFERROR(IF(INDEX('Outcome Indicators - Section C '!D$1:D$100,MATCH($A128,'Outcome Indicators - Section C '!$A$1:$A$100,0)+1)&lt;&gt;0,TEXT(INDEX('Outcome Indicators - Section C '!D$1:D$100,MATCH($A128,'Outcome Indicators - Section C '!$A$1:$A$100,0)+1),"#'##0.00"),""),"")&amp;CHAR(10)&amp;IFERROR(IF(INDEX('Outcome Indicators - Section C '!E$1:E$100,MATCH($A128,'Outcome Indicators - Section C '!$A$1:$A$100,0))&lt;&gt;0,TEXT(INDEX('Outcome Indicators - Section C '!E$1:E$100,MATCH($A128,'Outcome Indicators - Section C '!$A$1:$A$100,0)),"0.0%"),""),"")</f>
        <v xml:space="preserve">/
</v>
      </c>
      <c r="I128" s="391" t="str">
        <f ca="1">IFERROR(IF(INDEX('Outcome Indicators - Section C '!F$1:F$100,MATCH($A128,'Outcome Indicators - Section C '!$A$1:$A$100,0))&lt;&gt;0,INDEX('Outcome Indicators - Section C '!F$1:F$100,MATCH($A128,'Outcome Indicators - Section C '!$A$1:$A$100,0)),""),"")&amp;CHAR(10)&amp;IFERROR(IF(INDEX('Outcome Indicators - Section C '!G$1:G$100,MATCH($A128,'Outcome Indicators - Section C '!$A$1:$A$100,0))&lt;&gt;0,INDEX('Outcome Indicators - Section C '!G$1:G$100,MATCH($A128,'Outcome Indicators - Section C '!$A$1:$A$100,0)),""),"")</f>
        <v xml:space="preserve">
</v>
      </c>
      <c r="J128" s="724" t="str">
        <f ca="1">IFERROR(IF(INDEX('Outcome Indicators - Section C '!H$1:H$100,MATCH($A128,'Outcome Indicators - Section C '!$A$1:$A$100,0))&lt;&gt;0,INDEX('Outcome Indicators - Section C '!H$1:H$100,MATCH($A128,'Outcome Indicators - Section C '!$A$1:$A$100,0)),""),"")</f>
        <v/>
      </c>
      <c r="K128" s="725"/>
      <c r="L128" s="725"/>
      <c r="M128" s="726"/>
      <c r="N128" s="392" t="str">
        <f ca="1">IFERROR(IF(INDEX('Outcome Indicators - Section C '!I$1:I$100,MATCH($A128,'Outcome Indicators - Section C '!$A$1:$A$100,0))&lt;&gt;0,INDEX('Outcome Indicators - Section C '!I$1:I$100,MATCH($A128,'Outcome Indicators - Section C '!$A$1:$A$100,0)),""),"")</f>
        <v/>
      </c>
      <c r="O128" s="392" t="str">
        <f>IFERROR(IF(INDEX('Outcome Indicators - Section C '!J$9:J$38,MATCH($A128,'Outcome Indicators - Section C '!$A$9:$A$38,0))&lt;&gt;0,INDEX('Outcome Indicators - Section C '!J$9:J$38,MATCH($A128,'Outcome Indicators - Section C '!$A$9:$A$38,0)),""),"")</f>
        <v/>
      </c>
      <c r="P128" s="393" t="str">
        <f ca="1">IFERROR(IF(INDEX('Outcome Indicators - Section C '!K$1:K$100,MATCH($A128,'Outcome Indicators - Section C '!$A$1:$A$100,0))&lt;&gt;0,TEXT(INDEX('Outcome Indicators - Section C '!K$1:K$100,MATCH($A128,'Outcome Indicators - Section C '!$A$1:$A$100,0)),"#'##0.00"),""),"")&amp;"/"&amp;IFERROR(IF(INDEX('Outcome Indicators - Section C '!K$1:K$100,MATCH($A128,'Outcome Indicators - Section C '!$A$1:$A$100,0)+1)&lt;&gt;0,TEXT(INDEX('Outcome Indicators - Section C '!K$1:K$100,MATCH($A128,'Outcome Indicators - Section C '!$A$1:$A$100,0)+1),"#'##0.00"),""),"")&amp;CHAR(10)&amp;IFERROR(IF(INDEX('Outcome Indicators - Section C '!L$1:L$100,MATCH($A128,'Outcome Indicators - Section C '!$A$1:$A$100,0))&lt;&gt;0,TEXT(INDEX('Outcome Indicators - Section C '!L$1:L$100,MATCH($A128,'Outcome Indicators - Section C '!$A$1:$A$100,0)),"0.0%"),""),"")&amp;CHAR(10)&amp;IFERROR(IF(INDEX('Outcome Indicators - Section C '!N$1:N$100,MATCH($A128,'Outcome Indicators - Section C '!$A$1:$A$100,0))&lt;&gt;0,INDEX('Outcome Indicators - Section C '!N$1:N$100,MATCH($A128,'Outcome Indicators - Section C '!$A$1:$A$100,0)),""),"")&amp;CHAR(10)&amp;IFERROR(IF(INDEX('Outcome Indicators - Section C '!M$1:M$100,MATCH($A128,'Outcome Indicators - Section C '!$A$1:$A$100,0))&lt;&gt;0,TEXT(INDEX('Outcome Indicators - Section C '!M$1:M$100,MATCH($A128,'Outcome Indicators - Section C '!$A$1:$A$100,0)),Setup!$A$33),""),"")</f>
        <v xml:space="preserve">/
</v>
      </c>
      <c r="Q128" s="391" t="str">
        <f ca="1">IFERROR(IF(INDEX('Outcome Indicators - Section C '!O$1:O$38,MATCH($A128,'Outcome Indicators - Section C '!$A$1:$A$38,0))&lt;&gt;0,TEXT(INDEX('Outcome Indicators - Section C '!O$1:O$38,MATCH($A128,'Outcome Indicators - Section C '!$A$1:$A$38,0)),"#'##0.00"),""),"")&amp;"/"&amp;IFERROR(IF(INDEX('Outcome Indicators - Section C '!O$1:O$38,MATCH($A128,'Outcome Indicators - Section C '!$A$1:$A$38,0)+1)&lt;&gt;0,TEXT(INDEX('Outcome Indicators - Section C '!O$1:O$38,MATCH($A128,'Outcome Indicators - Section C '!$A$1:$A$38,0)+1),"#'##0.00"),""),"")&amp;CHAR(10)&amp;IFERROR(IF(INDEX('Outcome Indicators - Section C '!P$1:P$38,MATCH($A128,'Outcome Indicators - Section C '!$A$1:$A$38,0))&lt;&gt;0,TEXT(INDEX('Outcome Indicators - Section C '!P$1:P$38,MATCH($A128,'Outcome Indicators - Section C '!$A$1:$A$38,0)),"0.0%"),""),"")&amp;CHAR(10)&amp;IFERROR(IF(INDEX('Outcome Indicators - Section C '!R$1:R$38,MATCH($A128,'Outcome Indicators - Section C '!$A$1:$A$38,0))&lt;&gt;0,INDEX('Outcome Indicators - Section C '!R$1:R$38,MATCH($A128,'Outcome Indicators - Section C '!$A$1:$A$38,0)),""),"")&amp;CHAR(10)&amp;IFERROR(IF(INDEX('Outcome Indicators - Section C '!Q$1:Q$38,MATCH($A128,'Outcome Indicators - Section C '!$A$1:$A$38,0))&lt;&gt;0,TEXT(INDEX('Outcome Indicators - Section C '!Q$1:Q$38,MATCH($A128,'Outcome Indicators - Section C '!$A$1:$A$38,0)),Setup!$A$33),""),"")</f>
        <v xml:space="preserve">/
</v>
      </c>
      <c r="R128" s="391" t="str">
        <f ca="1">IFERROR(IF(INDEX('Outcome Indicators - Section C '!S$1:S$38,MATCH($A128,'Outcome Indicators - Section C '!$A$1:$A$38,0))&lt;&gt;0,TEXT(INDEX('Outcome Indicators - Section C '!S$1:S$38,MATCH($A128,'Outcome Indicators - Section C '!$A$1:$A$38,0)),"#'##0.00"),""),"")&amp;"/"&amp;IFERROR(IF(INDEX('Outcome Indicators - Section C '!S$1:S$38,MATCH($A128,'Outcome Indicators - Section C '!$A$1:$A$38,0)+1)&lt;&gt;0,TEXT(INDEX('Outcome Indicators - Section C '!S$1:S$38,MATCH($A128,'Outcome Indicators - Section C '!$A$1:$A$38,0)+1),"#'##0.00"),""),"")&amp;CHAR(10)&amp;IFERROR(IF(INDEX('Outcome Indicators - Section C '!T$1:T$38,MATCH($A128,'Outcome Indicators - Section C '!$A$1:$A$38,0))&lt;&gt;0,TEXT(INDEX('Outcome Indicators - Section C '!T$1:T$38,MATCH($A128,'Outcome Indicators - Section C '!$A$1:$A$38,0)),"0.0%"),""),"")&amp;CHAR(10)&amp;IFERROR(IF(INDEX('Outcome Indicators - Section C '!R$1:R$38,MATCH($A128,'Outcome Indicators - Section C '!$A$1:$A$38,0))&lt;&gt;0,INDEX('Outcome Indicators - Section C '!R$1:R$38,MATCH($A128,'Outcome Indicators - Section C '!$A$1:$A$38,0)),""),"")&amp;CHAR(10)&amp;IFERROR(IF(INDEX('Outcome Indicators - Section C '!U$1:U$38,MATCH($A128,'Outcome Indicators - Section C '!$A$1:$A$38,0))&lt;&gt;0,TEXT(INDEX('Outcome Indicators - Section C '!U$1:U$38,MATCH($A128,'Outcome Indicators - Section C '!$A$1:$A$38,0)),Setup!$A$33),""),"")</f>
        <v xml:space="preserve">/
</v>
      </c>
      <c r="S128" s="391" t="str">
        <f ca="1">IFERROR(IF(INDEX('Outcome Indicators - Section C '!W$9:W$38,MATCH($A128,'Outcome Indicators - Section C '!$A$9:$A$38,0))&lt;&gt;0,TEXT(INDEX('Outcome Indicators - Section C '!W$9:W$38,MATCH($A128,'Outcome Indicators - Section C '!$A$9:$A$38,0)),"#'##0.00"),""),"")&amp;"/"&amp;IFERROR(IF(INDEX('Outcome Indicators - Section C '!W$9:W$38,MATCH($A128,'Outcome Indicators - Section C '!$A$9:$A$38,0)+1)&lt;&gt;0,TEXT(INDEX('Outcome Indicators - Section C '!W$9:W$38,MATCH($A128,'Outcome Indicators - Section C '!$A$9:$A$38,0)+1),"#'##0.00"),""),"")&amp;CHAR(10)&amp;IFERROR(IF(INDEX('Outcome Indicators - Section C '!X$9:X$38,MATCH($A128,'Outcome Indicators - Section C '!$A$9:$A$38,0))&lt;&gt;0,TEXT(INDEX('Outcome Indicators - Section C '!X$9:X$38,MATCH($A128,'Outcome Indicators - Section C '!$A$9:$A$38,0)),"0.0%"),""),"")&amp;CHAR(10)&amp;IFERROR(IF(INDEX('Outcome Indicators - Section C '!Z$9:Z$38,MATCH($A128,'Outcome Indicators - Section C '!$A$9:$A$38,0))&lt;&gt;0,INDEX('Outcome Indicators - Section C '!Z$9:Z$38,MATCH($A128,'Outcome Indicators - Section C '!$A$9:$A$38,0)),""),"")&amp;CHAR(10)&amp;IFERROR(IF(INDEX('Outcome Indicators - Section C '!Y$9:Y$38,MATCH($A128,'Outcome Indicators - Section C '!$A$9:$A$38,0))&lt;&gt;0,TEXT(INDEX('Outcome Indicators - Section C '!Y$9:Y$38,MATCH($A128,'Outcome Indicators - Section C '!$A$9:$A$38,0)),Setup!$A$33),""),"")</f>
        <v xml:space="preserve">/
</v>
      </c>
      <c r="T128" s="394"/>
      <c r="U128" s="216"/>
      <c r="V128" s="216"/>
      <c r="W128" s="216"/>
      <c r="X128" s="216"/>
      <c r="Y128" s="216"/>
      <c r="Z128" s="216"/>
      <c r="AA128" s="216"/>
      <c r="AB128" s="216"/>
      <c r="AC128" s="216"/>
      <c r="AD128" s="216"/>
      <c r="AE128" s="216"/>
      <c r="AF128" s="216"/>
      <c r="AG128" s="216"/>
      <c r="AH128" s="216"/>
      <c r="AI128" s="216"/>
      <c r="AJ128" s="216"/>
      <c r="AK128" s="216"/>
      <c r="AL128" s="216"/>
      <c r="AM128" s="216"/>
      <c r="AN128" s="216"/>
      <c r="AO128" s="216"/>
      <c r="AQ128" s="216"/>
      <c r="AR128" s="216"/>
      <c r="AS128" s="216"/>
      <c r="AT128" s="216"/>
      <c r="AU128" s="721"/>
      <c r="AV128" s="721"/>
      <c r="AW128" s="721"/>
      <c r="AX128" s="721"/>
    </row>
    <row r="129" spans="1:50" ht="96" customHeight="1" thickBot="1" x14ac:dyDescent="0.35">
      <c r="A129" s="723"/>
      <c r="B129" s="717" t="str">
        <f ca="1">IFERROR(IF(INDEX('Outcome Indicators - Section C '!AA$1:AA$100,MATCH($A128,'Outcome Indicators - Section C '!$A$1:$A$100,0))&lt;&gt;0,INDEX('Outcome Indicators - Section C '!AA$1:AA$100,MATCH($A128,'Outcome Indicators - Section C '!$A$1:$A$100,0)),""),"")</f>
        <v/>
      </c>
      <c r="C129" s="718"/>
      <c r="D129" s="718"/>
      <c r="E129" s="718"/>
      <c r="F129" s="718"/>
      <c r="G129" s="718"/>
      <c r="H129" s="718"/>
      <c r="I129" s="719"/>
      <c r="J129" s="719"/>
      <c r="K129" s="719"/>
      <c r="L129" s="719"/>
      <c r="M129" s="719"/>
      <c r="N129" s="719"/>
      <c r="O129" s="719"/>
      <c r="P129" s="719"/>
      <c r="Q129" s="719"/>
      <c r="R129" s="719"/>
      <c r="S129" s="720"/>
      <c r="T129" s="382"/>
      <c r="U129" s="216"/>
      <c r="V129" s="216"/>
      <c r="W129" s="216"/>
      <c r="X129" s="216"/>
      <c r="Y129" s="216"/>
      <c r="Z129" s="216"/>
      <c r="AA129" s="216"/>
      <c r="AB129" s="216"/>
      <c r="AC129" s="216"/>
      <c r="AD129" s="216"/>
      <c r="AE129" s="216"/>
      <c r="AF129" s="216"/>
      <c r="AG129" s="216"/>
      <c r="AH129" s="216"/>
      <c r="AI129" s="216"/>
      <c r="AJ129" s="216"/>
      <c r="AK129" s="216"/>
      <c r="AL129" s="216"/>
      <c r="AM129" s="216"/>
      <c r="AN129" s="216"/>
      <c r="AO129" s="216"/>
      <c r="AQ129" s="216"/>
      <c r="AR129" s="216"/>
      <c r="AS129" s="216"/>
      <c r="AT129" s="216"/>
      <c r="AU129" s="721"/>
      <c r="AV129" s="721"/>
      <c r="AW129" s="721"/>
      <c r="AX129" s="721"/>
    </row>
    <row r="130" spans="1:50" ht="172.2" customHeight="1" x14ac:dyDescent="0.3">
      <c r="A130" s="722">
        <v>12</v>
      </c>
      <c r="B130" s="724" t="str">
        <f ca="1">IFERROR(IF(INDEX('Outcome Indicators - Section C '!B$1:B$100,MATCH($A130,'Outcome Indicators - Section C '!$A$1:$A$100,0))&lt;&gt;0,INDEX('Outcome Indicators - Section C '!B$1:B$100,MATCH($A130,'Outcome Indicators - Section C '!$A$1:$A$100,0)),""),"")</f>
        <v/>
      </c>
      <c r="C130" s="725"/>
      <c r="D130" s="726"/>
      <c r="E130" s="724" t="str">
        <f ca="1">IFERROR(IF(INDEX('Outcome Indicators - Section C '!C$1:C$100,MATCH($A130,'Outcome Indicators - Section C '!$A$1:$A$100,0))&lt;&gt;0,INDEX('Outcome Indicators - Section C '!C$1:C$100,MATCH($A130,'Outcome Indicators - Section C '!$A$1:$A$100,0)),""),"")</f>
        <v/>
      </c>
      <c r="F130" s="725"/>
      <c r="G130" s="726"/>
      <c r="H130" s="391" t="str">
        <f ca="1">IFERROR(IF(INDEX('Outcome Indicators - Section C '!D$1:D$100,MATCH($A130,'Outcome Indicators - Section C '!$A$1:$A$100,0))&lt;&gt;0,TEXT(INDEX('Outcome Indicators - Section C '!D$1:D$100,MATCH($A130,'Outcome Indicators - Section C '!$A$1:$A$100,0)),"#'##0.00"),""),"")&amp;"/"&amp;IFERROR(IF(INDEX('Outcome Indicators - Section C '!D$1:D$100,MATCH($A130,'Outcome Indicators - Section C '!$A$1:$A$100,0)+1)&lt;&gt;0,TEXT(INDEX('Outcome Indicators - Section C '!D$1:D$100,MATCH($A130,'Outcome Indicators - Section C '!$A$1:$A$100,0)+1),"#'##0.00"),""),"")&amp;CHAR(10)&amp;IFERROR(IF(INDEX('Outcome Indicators - Section C '!E$1:E$100,MATCH($A130,'Outcome Indicators - Section C '!$A$1:$A$100,0))&lt;&gt;0,TEXT(INDEX('Outcome Indicators - Section C '!E$1:E$100,MATCH($A130,'Outcome Indicators - Section C '!$A$1:$A$100,0)),"0.0%"),""),"")</f>
        <v xml:space="preserve">/
</v>
      </c>
      <c r="I130" s="391" t="str">
        <f ca="1">IFERROR(IF(INDEX('Outcome Indicators - Section C '!F$1:F$100,MATCH($A130,'Outcome Indicators - Section C '!$A$1:$A$100,0))&lt;&gt;0,INDEX('Outcome Indicators - Section C '!F$1:F$100,MATCH($A130,'Outcome Indicators - Section C '!$A$1:$A$100,0)),""),"")&amp;CHAR(10)&amp;IFERROR(IF(INDEX('Outcome Indicators - Section C '!G$1:G$100,MATCH($A130,'Outcome Indicators - Section C '!$A$1:$A$100,0))&lt;&gt;0,INDEX('Outcome Indicators - Section C '!G$1:G$100,MATCH($A130,'Outcome Indicators - Section C '!$A$1:$A$100,0)),""),"")</f>
        <v xml:space="preserve">
</v>
      </c>
      <c r="J130" s="724" t="str">
        <f ca="1">IFERROR(IF(INDEX('Outcome Indicators - Section C '!H$1:H$100,MATCH($A130,'Outcome Indicators - Section C '!$A$1:$A$100,0))&lt;&gt;0,INDEX('Outcome Indicators - Section C '!H$1:H$100,MATCH($A130,'Outcome Indicators - Section C '!$A$1:$A$100,0)),""),"")</f>
        <v/>
      </c>
      <c r="K130" s="725"/>
      <c r="L130" s="725"/>
      <c r="M130" s="726"/>
      <c r="N130" s="392" t="str">
        <f ca="1">IFERROR(IF(INDEX('Outcome Indicators - Section C '!I$1:I$100,MATCH($A130,'Outcome Indicators - Section C '!$A$1:$A$100,0))&lt;&gt;0,INDEX('Outcome Indicators - Section C '!I$1:I$100,MATCH($A130,'Outcome Indicators - Section C '!$A$1:$A$100,0)),""),"")</f>
        <v/>
      </c>
      <c r="O130" s="392" t="str">
        <f>IFERROR(IF(INDEX('Outcome Indicators - Section C '!J$9:J$38,MATCH($A130,'Outcome Indicators - Section C '!$A$9:$A$38,0))&lt;&gt;0,INDEX('Outcome Indicators - Section C '!J$9:J$38,MATCH($A130,'Outcome Indicators - Section C '!$A$9:$A$38,0)),""),"")</f>
        <v/>
      </c>
      <c r="P130" s="393" t="str">
        <f ca="1">IFERROR(IF(INDEX('Outcome Indicators - Section C '!K$1:K$100,MATCH($A130,'Outcome Indicators - Section C '!$A$1:$A$100,0))&lt;&gt;0,TEXT(INDEX('Outcome Indicators - Section C '!K$1:K$100,MATCH($A130,'Outcome Indicators - Section C '!$A$1:$A$100,0)),"#'##0.00"),""),"")&amp;"/"&amp;IFERROR(IF(INDEX('Outcome Indicators - Section C '!K$1:K$100,MATCH($A130,'Outcome Indicators - Section C '!$A$1:$A$100,0)+1)&lt;&gt;0,TEXT(INDEX('Outcome Indicators - Section C '!K$1:K$100,MATCH($A130,'Outcome Indicators - Section C '!$A$1:$A$100,0)+1),"#'##0.00"),""),"")&amp;CHAR(10)&amp;IFERROR(IF(INDEX('Outcome Indicators - Section C '!L$1:L$100,MATCH($A130,'Outcome Indicators - Section C '!$A$1:$A$100,0))&lt;&gt;0,TEXT(INDEX('Outcome Indicators - Section C '!L$1:L$100,MATCH($A130,'Outcome Indicators - Section C '!$A$1:$A$100,0)),"0.0%"),""),"")&amp;CHAR(10)&amp;IFERROR(IF(INDEX('Outcome Indicators - Section C '!N$1:N$100,MATCH($A130,'Outcome Indicators - Section C '!$A$1:$A$100,0))&lt;&gt;0,INDEX('Outcome Indicators - Section C '!N$1:N$100,MATCH($A130,'Outcome Indicators - Section C '!$A$1:$A$100,0)),""),"")&amp;CHAR(10)&amp;IFERROR(IF(INDEX('Outcome Indicators - Section C '!M$1:M$100,MATCH($A130,'Outcome Indicators - Section C '!$A$1:$A$100,0))&lt;&gt;0,TEXT(INDEX('Outcome Indicators - Section C '!M$1:M$100,MATCH($A130,'Outcome Indicators - Section C '!$A$1:$A$100,0)),Setup!$A$33),""),"")</f>
        <v xml:space="preserve">/
</v>
      </c>
      <c r="Q130" s="391" t="str">
        <f ca="1">IFERROR(IF(INDEX('Outcome Indicators - Section C '!O$1:O$38,MATCH($A130,'Outcome Indicators - Section C '!$A$1:$A$38,0))&lt;&gt;0,TEXT(INDEX('Outcome Indicators - Section C '!O$1:O$38,MATCH($A130,'Outcome Indicators - Section C '!$A$1:$A$38,0)),"#'##0.00"),""),"")&amp;"/"&amp;IFERROR(IF(INDEX('Outcome Indicators - Section C '!O$1:O$38,MATCH($A130,'Outcome Indicators - Section C '!$A$1:$A$38,0)+1)&lt;&gt;0,TEXT(INDEX('Outcome Indicators - Section C '!O$1:O$38,MATCH($A130,'Outcome Indicators - Section C '!$A$1:$A$38,0)+1),"#'##0.00"),""),"")&amp;CHAR(10)&amp;IFERROR(IF(INDEX('Outcome Indicators - Section C '!P$1:P$38,MATCH($A130,'Outcome Indicators - Section C '!$A$1:$A$38,0))&lt;&gt;0,TEXT(INDEX('Outcome Indicators - Section C '!P$1:P$38,MATCH($A130,'Outcome Indicators - Section C '!$A$1:$A$38,0)),"0.0%"),""),"")&amp;CHAR(10)&amp;IFERROR(IF(INDEX('Outcome Indicators - Section C '!R$1:R$38,MATCH($A130,'Outcome Indicators - Section C '!$A$1:$A$38,0))&lt;&gt;0,INDEX('Outcome Indicators - Section C '!R$1:R$38,MATCH($A130,'Outcome Indicators - Section C '!$A$1:$A$38,0)),""),"")&amp;CHAR(10)&amp;IFERROR(IF(INDEX('Outcome Indicators - Section C '!Q$1:Q$38,MATCH($A130,'Outcome Indicators - Section C '!$A$1:$A$38,0))&lt;&gt;0,TEXT(INDEX('Outcome Indicators - Section C '!Q$1:Q$38,MATCH($A130,'Outcome Indicators - Section C '!$A$1:$A$38,0)),Setup!$A$33),""),"")</f>
        <v xml:space="preserve">/
</v>
      </c>
      <c r="R130" s="391" t="str">
        <f ca="1">IFERROR(IF(INDEX('Outcome Indicators - Section C '!S$1:S$38,MATCH($A130,'Outcome Indicators - Section C '!$A$1:$A$38,0))&lt;&gt;0,TEXT(INDEX('Outcome Indicators - Section C '!S$1:S$38,MATCH($A130,'Outcome Indicators - Section C '!$A$1:$A$38,0)),"#'##0.00"),""),"")&amp;"/"&amp;IFERROR(IF(INDEX('Outcome Indicators - Section C '!S$1:S$38,MATCH($A130,'Outcome Indicators - Section C '!$A$1:$A$38,0)+1)&lt;&gt;0,TEXT(INDEX('Outcome Indicators - Section C '!S$1:S$38,MATCH($A130,'Outcome Indicators - Section C '!$A$1:$A$38,0)+1),"#'##0.00"),""),"")&amp;CHAR(10)&amp;IFERROR(IF(INDEX('Outcome Indicators - Section C '!T$1:T$38,MATCH($A130,'Outcome Indicators - Section C '!$A$1:$A$38,0))&lt;&gt;0,TEXT(INDEX('Outcome Indicators - Section C '!T$1:T$38,MATCH($A130,'Outcome Indicators - Section C '!$A$1:$A$38,0)),"0.0%"),""),"")&amp;CHAR(10)&amp;IFERROR(IF(INDEX('Outcome Indicators - Section C '!R$1:R$38,MATCH($A130,'Outcome Indicators - Section C '!$A$1:$A$38,0))&lt;&gt;0,INDEX('Outcome Indicators - Section C '!R$1:R$38,MATCH($A130,'Outcome Indicators - Section C '!$A$1:$A$38,0)),""),"")&amp;CHAR(10)&amp;IFERROR(IF(INDEX('Outcome Indicators - Section C '!U$1:U$38,MATCH($A130,'Outcome Indicators - Section C '!$A$1:$A$38,0))&lt;&gt;0,TEXT(INDEX('Outcome Indicators - Section C '!U$1:U$38,MATCH($A130,'Outcome Indicators - Section C '!$A$1:$A$38,0)),Setup!$A$33),""),"")</f>
        <v xml:space="preserve">/
</v>
      </c>
      <c r="S130" s="391" t="str">
        <f ca="1">IFERROR(IF(INDEX('Outcome Indicators - Section C '!W$9:W$38,MATCH($A130,'Outcome Indicators - Section C '!$A$9:$A$38,0))&lt;&gt;0,TEXT(INDEX('Outcome Indicators - Section C '!W$9:W$38,MATCH($A130,'Outcome Indicators - Section C '!$A$9:$A$38,0)),"#'##0.00"),""),"")&amp;"/"&amp;IFERROR(IF(INDEX('Outcome Indicators - Section C '!W$9:W$38,MATCH($A130,'Outcome Indicators - Section C '!$A$9:$A$38,0)+1)&lt;&gt;0,TEXT(INDEX('Outcome Indicators - Section C '!W$9:W$38,MATCH($A130,'Outcome Indicators - Section C '!$A$9:$A$38,0)+1),"#'##0.00"),""),"")&amp;CHAR(10)&amp;IFERROR(IF(INDEX('Outcome Indicators - Section C '!X$9:X$38,MATCH($A130,'Outcome Indicators - Section C '!$A$9:$A$38,0))&lt;&gt;0,TEXT(INDEX('Outcome Indicators - Section C '!X$9:X$38,MATCH($A130,'Outcome Indicators - Section C '!$A$9:$A$38,0)),"0.0%"),""),"")&amp;CHAR(10)&amp;IFERROR(IF(INDEX('Outcome Indicators - Section C '!Z$9:Z$38,MATCH($A130,'Outcome Indicators - Section C '!$A$9:$A$38,0))&lt;&gt;0,INDEX('Outcome Indicators - Section C '!Z$9:Z$38,MATCH($A130,'Outcome Indicators - Section C '!$A$9:$A$38,0)),""),"")&amp;CHAR(10)&amp;IFERROR(IF(INDEX('Outcome Indicators - Section C '!Y$9:Y$38,MATCH($A130,'Outcome Indicators - Section C '!$A$9:$A$38,0))&lt;&gt;0,TEXT(INDEX('Outcome Indicators - Section C '!Y$9:Y$38,MATCH($A130,'Outcome Indicators - Section C '!$A$9:$A$38,0)),Setup!$A$33),""),"")</f>
        <v xml:space="preserve">/
</v>
      </c>
      <c r="T130" s="394"/>
      <c r="U130" s="216"/>
      <c r="V130" s="216"/>
      <c r="W130" s="216"/>
      <c r="X130" s="216"/>
      <c r="Y130" s="216"/>
      <c r="Z130" s="216"/>
      <c r="AA130" s="216"/>
      <c r="AB130" s="216"/>
      <c r="AC130" s="216"/>
      <c r="AD130" s="216"/>
      <c r="AE130" s="216"/>
      <c r="AF130" s="216"/>
      <c r="AG130" s="216"/>
      <c r="AH130" s="216"/>
      <c r="AI130" s="216"/>
      <c r="AJ130" s="216"/>
      <c r="AK130" s="216"/>
      <c r="AL130" s="216"/>
      <c r="AM130" s="216"/>
      <c r="AN130" s="216"/>
      <c r="AO130" s="216"/>
      <c r="AQ130" s="216"/>
      <c r="AR130" s="216"/>
      <c r="AS130" s="216"/>
      <c r="AT130" s="216"/>
      <c r="AU130" s="721"/>
      <c r="AV130" s="721"/>
      <c r="AW130" s="721"/>
      <c r="AX130" s="721"/>
    </row>
    <row r="131" spans="1:50" ht="96" customHeight="1" thickBot="1" x14ac:dyDescent="0.35">
      <c r="A131" s="723"/>
      <c r="B131" s="727" t="str">
        <f ca="1">IFERROR(IF(INDEX('Outcome Indicators - Section C '!AA$1:AA$100,MATCH($A130,'Outcome Indicators - Section C '!$A$1:$A$100,0))&lt;&gt;0,INDEX('Outcome Indicators - Section C '!AA$1:AA$100,MATCH($A130,'Outcome Indicators - Section C '!$A$1:$A$100,0)),""),"")</f>
        <v/>
      </c>
      <c r="C131" s="728"/>
      <c r="D131" s="728"/>
      <c r="E131" s="728"/>
      <c r="F131" s="728"/>
      <c r="G131" s="728"/>
      <c r="H131" s="728"/>
      <c r="I131" s="728"/>
      <c r="J131" s="728"/>
      <c r="K131" s="728"/>
      <c r="L131" s="728"/>
      <c r="M131" s="728"/>
      <c r="N131" s="728"/>
      <c r="O131" s="728"/>
      <c r="P131" s="728"/>
      <c r="Q131" s="728"/>
      <c r="R131" s="728"/>
      <c r="S131" s="729"/>
      <c r="T131" s="385"/>
      <c r="U131" s="216"/>
      <c r="V131" s="216"/>
      <c r="W131" s="216"/>
      <c r="X131" s="216"/>
      <c r="Y131" s="216"/>
      <c r="Z131" s="216"/>
      <c r="AA131" s="216"/>
      <c r="AB131" s="216"/>
      <c r="AC131" s="216"/>
      <c r="AD131" s="216"/>
      <c r="AE131" s="216"/>
      <c r="AF131" s="216"/>
      <c r="AG131" s="216"/>
      <c r="AH131" s="216"/>
      <c r="AI131" s="216"/>
      <c r="AJ131" s="216"/>
      <c r="AK131" s="216"/>
      <c r="AL131" s="216"/>
      <c r="AM131" s="216"/>
      <c r="AN131" s="216"/>
      <c r="AO131" s="216"/>
      <c r="AQ131" s="216"/>
      <c r="AR131" s="216"/>
      <c r="AS131" s="216"/>
      <c r="AT131" s="216"/>
      <c r="AU131" s="721"/>
      <c r="AV131" s="721"/>
      <c r="AW131" s="721"/>
      <c r="AX131" s="721"/>
    </row>
    <row r="132" spans="1:50" ht="172.2" customHeight="1" x14ac:dyDescent="0.3">
      <c r="A132" s="722">
        <v>13</v>
      </c>
      <c r="B132" s="724" t="str">
        <f ca="1">IFERROR(IF(INDEX('Outcome Indicators - Section C '!B$1:B$100,MATCH($A132,'Outcome Indicators - Section C '!$A$1:$A$100,0))&lt;&gt;0,INDEX('Outcome Indicators - Section C '!B$1:B$100,MATCH($A132,'Outcome Indicators - Section C '!$A$1:$A$100,0)),""),"")</f>
        <v/>
      </c>
      <c r="C132" s="725"/>
      <c r="D132" s="726"/>
      <c r="E132" s="724" t="str">
        <f ca="1">IFERROR(IF(INDEX('Outcome Indicators - Section C '!C$1:C$100,MATCH($A132,'Outcome Indicators - Section C '!$A$1:$A$100,0))&lt;&gt;0,INDEX('Outcome Indicators - Section C '!C$1:C$100,MATCH($A132,'Outcome Indicators - Section C '!$A$1:$A$100,0)),""),"")</f>
        <v/>
      </c>
      <c r="F132" s="725"/>
      <c r="G132" s="726"/>
      <c r="H132" s="391" t="str">
        <f ca="1">IFERROR(IF(INDEX('Outcome Indicators - Section C '!D$1:D$100,MATCH($A132,'Outcome Indicators - Section C '!$A$1:$A$100,0))&lt;&gt;0,TEXT(INDEX('Outcome Indicators - Section C '!D$1:D$100,MATCH($A132,'Outcome Indicators - Section C '!$A$1:$A$100,0)),"#'##0.00"),""),"")&amp;"/"&amp;IFERROR(IF(INDEX('Outcome Indicators - Section C '!D$1:D$100,MATCH($A132,'Outcome Indicators - Section C '!$A$1:$A$100,0)+1)&lt;&gt;0,TEXT(INDEX('Outcome Indicators - Section C '!D$1:D$100,MATCH($A132,'Outcome Indicators - Section C '!$A$1:$A$100,0)+1),"#'##0.00"),""),"")&amp;CHAR(10)&amp;IFERROR(IF(INDEX('Outcome Indicators - Section C '!E$1:E$100,MATCH($A132,'Outcome Indicators - Section C '!$A$1:$A$100,0))&lt;&gt;0,TEXT(INDEX('Outcome Indicators - Section C '!E$1:E$100,MATCH($A132,'Outcome Indicators - Section C '!$A$1:$A$100,0)),"0.0%"),""),"")</f>
        <v xml:space="preserve">/
</v>
      </c>
      <c r="I132" s="391" t="str">
        <f ca="1">IFERROR(IF(INDEX('Outcome Indicators - Section C '!F$1:F$100,MATCH($A132,'Outcome Indicators - Section C '!$A$1:$A$100,0))&lt;&gt;0,INDEX('Outcome Indicators - Section C '!F$1:F$100,MATCH($A132,'Outcome Indicators - Section C '!$A$1:$A$100,0)),""),"")&amp;CHAR(10)&amp;IFERROR(IF(INDEX('Outcome Indicators - Section C '!G$1:G$100,MATCH($A132,'Outcome Indicators - Section C '!$A$1:$A$100,0))&lt;&gt;0,INDEX('Outcome Indicators - Section C '!G$1:G$100,MATCH($A132,'Outcome Indicators - Section C '!$A$1:$A$100,0)),""),"")</f>
        <v xml:space="preserve">
</v>
      </c>
      <c r="J132" s="724" t="str">
        <f ca="1">IFERROR(IF(INDEX('Outcome Indicators - Section C '!H$1:H$100,MATCH($A132,'Outcome Indicators - Section C '!$A$1:$A$100,0))&lt;&gt;0,INDEX('Outcome Indicators - Section C '!H$1:H$100,MATCH($A132,'Outcome Indicators - Section C '!$A$1:$A$100,0)),""),"")</f>
        <v/>
      </c>
      <c r="K132" s="725"/>
      <c r="L132" s="725"/>
      <c r="M132" s="726"/>
      <c r="N132" s="392" t="str">
        <f ca="1">IFERROR(IF(INDEX('Outcome Indicators - Section C '!I$1:I$100,MATCH($A132,'Outcome Indicators - Section C '!$A$1:$A$100,0))&lt;&gt;0,INDEX('Outcome Indicators - Section C '!I$1:I$100,MATCH($A132,'Outcome Indicators - Section C '!$A$1:$A$100,0)),""),"")</f>
        <v/>
      </c>
      <c r="O132" s="392" t="str">
        <f>IFERROR(IF(INDEX('Outcome Indicators - Section C '!J$9:J$38,MATCH($A132,'Outcome Indicators - Section C '!$A$9:$A$38,0))&lt;&gt;0,INDEX('Outcome Indicators - Section C '!J$9:J$38,MATCH($A132,'Outcome Indicators - Section C '!$A$9:$A$38,0)),""),"")</f>
        <v/>
      </c>
      <c r="P132" s="393" t="str">
        <f ca="1">IFERROR(IF(INDEX('Outcome Indicators - Section C '!K$1:K$100,MATCH($A132,'Outcome Indicators - Section C '!$A$1:$A$100,0))&lt;&gt;0,TEXT(INDEX('Outcome Indicators - Section C '!K$1:K$100,MATCH($A132,'Outcome Indicators - Section C '!$A$1:$A$100,0)),"#'##0.00"),""),"")&amp;"/"&amp;IFERROR(IF(INDEX('Outcome Indicators - Section C '!K$1:K$100,MATCH($A132,'Outcome Indicators - Section C '!$A$1:$A$100,0)+1)&lt;&gt;0,TEXT(INDEX('Outcome Indicators - Section C '!K$1:K$100,MATCH($A132,'Outcome Indicators - Section C '!$A$1:$A$100,0)+1),"#'##0.00"),""),"")&amp;CHAR(10)&amp;IFERROR(IF(INDEX('Outcome Indicators - Section C '!L$1:L$100,MATCH($A132,'Outcome Indicators - Section C '!$A$1:$A$100,0))&lt;&gt;0,TEXT(INDEX('Outcome Indicators - Section C '!L$1:L$100,MATCH($A132,'Outcome Indicators - Section C '!$A$1:$A$100,0)),"0.0%"),""),"")&amp;CHAR(10)&amp;IFERROR(IF(INDEX('Outcome Indicators - Section C '!N$1:N$100,MATCH($A132,'Outcome Indicators - Section C '!$A$1:$A$100,0))&lt;&gt;0,INDEX('Outcome Indicators - Section C '!N$1:N$100,MATCH($A132,'Outcome Indicators - Section C '!$A$1:$A$100,0)),""),"")&amp;CHAR(10)&amp;IFERROR(IF(INDEX('Outcome Indicators - Section C '!M$1:M$100,MATCH($A132,'Outcome Indicators - Section C '!$A$1:$A$100,0))&lt;&gt;0,TEXT(INDEX('Outcome Indicators - Section C '!M$1:M$100,MATCH($A132,'Outcome Indicators - Section C '!$A$1:$A$100,0)),Setup!$A$33),""),"")</f>
        <v xml:space="preserve">/
</v>
      </c>
      <c r="Q132" s="391" t="str">
        <f ca="1">IFERROR(IF(INDEX('Outcome Indicators - Section C '!O$1:O$38,MATCH($A132,'Outcome Indicators - Section C '!$A$1:$A$38,0))&lt;&gt;0,TEXT(INDEX('Outcome Indicators - Section C '!O$1:O$38,MATCH($A132,'Outcome Indicators - Section C '!$A$1:$A$38,0)),"#'##0.00"),""),"")&amp;"/"&amp;IFERROR(IF(INDEX('Outcome Indicators - Section C '!O$1:O$38,MATCH($A132,'Outcome Indicators - Section C '!$A$1:$A$38,0)+1)&lt;&gt;0,TEXT(INDEX('Outcome Indicators - Section C '!O$1:O$38,MATCH($A132,'Outcome Indicators - Section C '!$A$1:$A$38,0)+1),"#'##0.00"),""),"")&amp;CHAR(10)&amp;IFERROR(IF(INDEX('Outcome Indicators - Section C '!P$1:P$38,MATCH($A132,'Outcome Indicators - Section C '!$A$1:$A$38,0))&lt;&gt;0,TEXT(INDEX('Outcome Indicators - Section C '!P$1:P$38,MATCH($A132,'Outcome Indicators - Section C '!$A$1:$A$38,0)),"0.0%"),""),"")&amp;CHAR(10)&amp;IFERROR(IF(INDEX('Outcome Indicators - Section C '!R$1:R$38,MATCH($A132,'Outcome Indicators - Section C '!$A$1:$A$38,0))&lt;&gt;0,INDEX('Outcome Indicators - Section C '!R$1:R$38,MATCH($A132,'Outcome Indicators - Section C '!$A$1:$A$38,0)),""),"")&amp;CHAR(10)&amp;IFERROR(IF(INDEX('Outcome Indicators - Section C '!Q$1:Q$38,MATCH($A132,'Outcome Indicators - Section C '!$A$1:$A$38,0))&lt;&gt;0,TEXT(INDEX('Outcome Indicators - Section C '!Q$1:Q$38,MATCH($A132,'Outcome Indicators - Section C '!$A$1:$A$38,0)),Setup!$A$33),""),"")</f>
        <v xml:space="preserve">/
</v>
      </c>
      <c r="R132" s="391" t="str">
        <f ca="1">IFERROR(IF(INDEX('Outcome Indicators - Section C '!S$1:S$38,MATCH($A132,'Outcome Indicators - Section C '!$A$1:$A$38,0))&lt;&gt;0,TEXT(INDEX('Outcome Indicators - Section C '!S$1:S$38,MATCH($A132,'Outcome Indicators - Section C '!$A$1:$A$38,0)),"#'##0.00"),""),"")&amp;"/"&amp;IFERROR(IF(INDEX('Outcome Indicators - Section C '!S$1:S$38,MATCH($A132,'Outcome Indicators - Section C '!$A$1:$A$38,0)+1)&lt;&gt;0,TEXT(INDEX('Outcome Indicators - Section C '!S$1:S$38,MATCH($A132,'Outcome Indicators - Section C '!$A$1:$A$38,0)+1),"#'##0.00"),""),"")&amp;CHAR(10)&amp;IFERROR(IF(INDEX('Outcome Indicators - Section C '!T$1:T$38,MATCH($A132,'Outcome Indicators - Section C '!$A$1:$A$38,0))&lt;&gt;0,TEXT(INDEX('Outcome Indicators - Section C '!T$1:T$38,MATCH($A132,'Outcome Indicators - Section C '!$A$1:$A$38,0)),"0.0%"),""),"")&amp;CHAR(10)&amp;IFERROR(IF(INDEX('Outcome Indicators - Section C '!R$1:R$38,MATCH($A132,'Outcome Indicators - Section C '!$A$1:$A$38,0))&lt;&gt;0,INDEX('Outcome Indicators - Section C '!R$1:R$38,MATCH($A132,'Outcome Indicators - Section C '!$A$1:$A$38,0)),""),"")&amp;CHAR(10)&amp;IFERROR(IF(INDEX('Outcome Indicators - Section C '!U$1:U$38,MATCH($A132,'Outcome Indicators - Section C '!$A$1:$A$38,0))&lt;&gt;0,TEXT(INDEX('Outcome Indicators - Section C '!U$1:U$38,MATCH($A132,'Outcome Indicators - Section C '!$A$1:$A$38,0)),Setup!$A$33),""),"")</f>
        <v xml:space="preserve">/
</v>
      </c>
      <c r="S132" s="391" t="str">
        <f ca="1">IFERROR(IF(INDEX('Outcome Indicators - Section C '!W$9:W$38,MATCH($A132,'Outcome Indicators - Section C '!$A$9:$A$38,0))&lt;&gt;0,TEXT(INDEX('Outcome Indicators - Section C '!W$9:W$38,MATCH($A132,'Outcome Indicators - Section C '!$A$9:$A$38,0)),"#'##0.00"),""),"")&amp;"/"&amp;IFERROR(IF(INDEX('Outcome Indicators - Section C '!W$9:W$38,MATCH($A132,'Outcome Indicators - Section C '!$A$9:$A$38,0)+1)&lt;&gt;0,TEXT(INDEX('Outcome Indicators - Section C '!W$9:W$38,MATCH($A132,'Outcome Indicators - Section C '!$A$9:$A$38,0)+1),"#'##0.00"),""),"")&amp;CHAR(10)&amp;IFERROR(IF(INDEX('Outcome Indicators - Section C '!X$9:X$38,MATCH($A132,'Outcome Indicators - Section C '!$A$9:$A$38,0))&lt;&gt;0,TEXT(INDEX('Outcome Indicators - Section C '!X$9:X$38,MATCH($A132,'Outcome Indicators - Section C '!$A$9:$A$38,0)),"0.0%"),""),"")&amp;CHAR(10)&amp;IFERROR(IF(INDEX('Outcome Indicators - Section C '!Z$9:Z$38,MATCH($A132,'Outcome Indicators - Section C '!$A$9:$A$38,0))&lt;&gt;0,INDEX('Outcome Indicators - Section C '!Z$9:Z$38,MATCH($A132,'Outcome Indicators - Section C '!$A$9:$A$38,0)),""),"")&amp;CHAR(10)&amp;IFERROR(IF(INDEX('Outcome Indicators - Section C '!Y$9:Y$38,MATCH($A132,'Outcome Indicators - Section C '!$A$9:$A$38,0))&lt;&gt;0,TEXT(INDEX('Outcome Indicators - Section C '!Y$9:Y$38,MATCH($A132,'Outcome Indicators - Section C '!$A$9:$A$38,0)),Setup!$A$33),""),"")</f>
        <v xml:space="preserve">/
</v>
      </c>
      <c r="T132" s="394"/>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Q132" s="216"/>
      <c r="AR132" s="216"/>
      <c r="AS132" s="216"/>
      <c r="AT132" s="216"/>
      <c r="AU132" s="721"/>
      <c r="AV132" s="721"/>
      <c r="AW132" s="721"/>
      <c r="AX132" s="721"/>
    </row>
    <row r="133" spans="1:50" ht="96" customHeight="1" thickBot="1" x14ac:dyDescent="0.35">
      <c r="A133" s="723"/>
      <c r="B133" s="717" t="str">
        <f ca="1">IFERROR(IF(INDEX('Outcome Indicators - Section C '!AA$1:AA$100,MATCH($A132,'Outcome Indicators - Section C '!$A$1:$A$100,0))&lt;&gt;0,INDEX('Outcome Indicators - Section C '!AA$1:AA$100,MATCH($A132,'Outcome Indicators - Section C '!$A$1:$A$100,0)),""),"")</f>
        <v/>
      </c>
      <c r="C133" s="718"/>
      <c r="D133" s="718"/>
      <c r="E133" s="718"/>
      <c r="F133" s="718"/>
      <c r="G133" s="718"/>
      <c r="H133" s="718"/>
      <c r="I133" s="719"/>
      <c r="J133" s="719"/>
      <c r="K133" s="719"/>
      <c r="L133" s="719"/>
      <c r="M133" s="719"/>
      <c r="N133" s="719"/>
      <c r="O133" s="719"/>
      <c r="P133" s="719"/>
      <c r="Q133" s="719"/>
      <c r="R133" s="719"/>
      <c r="S133" s="720"/>
      <c r="T133" s="382"/>
      <c r="U133" s="216"/>
      <c r="V133" s="216"/>
      <c r="W133" s="216"/>
      <c r="X133" s="216"/>
      <c r="Y133" s="216"/>
      <c r="Z133" s="216"/>
      <c r="AA133" s="216"/>
      <c r="AB133" s="216"/>
      <c r="AC133" s="216"/>
      <c r="AD133" s="216"/>
      <c r="AE133" s="216"/>
      <c r="AF133" s="216"/>
      <c r="AG133" s="216"/>
      <c r="AH133" s="216"/>
      <c r="AI133" s="216"/>
      <c r="AJ133" s="216"/>
      <c r="AK133" s="216"/>
      <c r="AL133" s="216"/>
      <c r="AM133" s="216"/>
      <c r="AN133" s="216"/>
      <c r="AO133" s="216"/>
      <c r="AQ133" s="216"/>
      <c r="AR133" s="216"/>
      <c r="AS133" s="216"/>
      <c r="AT133" s="216"/>
      <c r="AU133" s="721"/>
      <c r="AV133" s="721"/>
      <c r="AW133" s="721"/>
      <c r="AX133" s="721"/>
    </row>
    <row r="134" spans="1:50" ht="172.2" customHeight="1" x14ac:dyDescent="0.3">
      <c r="A134" s="722">
        <v>14</v>
      </c>
      <c r="B134" s="724" t="str">
        <f ca="1">IFERROR(IF(INDEX('Outcome Indicators - Section C '!B$1:B$100,MATCH($A134,'Outcome Indicators - Section C '!$A$1:$A$100,0))&lt;&gt;0,INDEX('Outcome Indicators - Section C '!B$1:B$100,MATCH($A134,'Outcome Indicators - Section C '!$A$1:$A$100,0)),""),"")</f>
        <v/>
      </c>
      <c r="C134" s="725"/>
      <c r="D134" s="726"/>
      <c r="E134" s="724" t="str">
        <f ca="1">IFERROR(IF(INDEX('Outcome Indicators - Section C '!C$1:C$100,MATCH($A134,'Outcome Indicators - Section C '!$A$1:$A$100,0))&lt;&gt;0,INDEX('Outcome Indicators - Section C '!C$1:C$100,MATCH($A134,'Outcome Indicators - Section C '!$A$1:$A$100,0)),""),"")</f>
        <v/>
      </c>
      <c r="F134" s="725"/>
      <c r="G134" s="726"/>
      <c r="H134" s="391" t="str">
        <f ca="1">IFERROR(IF(INDEX('Outcome Indicators - Section C '!D$1:D$100,MATCH($A134,'Outcome Indicators - Section C '!$A$1:$A$100,0))&lt;&gt;0,TEXT(INDEX('Outcome Indicators - Section C '!D$1:D$100,MATCH($A134,'Outcome Indicators - Section C '!$A$1:$A$100,0)),"#'##0.00"),""),"")&amp;"/"&amp;IFERROR(IF(INDEX('Outcome Indicators - Section C '!D$1:D$100,MATCH($A134,'Outcome Indicators - Section C '!$A$1:$A$100,0)+1)&lt;&gt;0,TEXT(INDEX('Outcome Indicators - Section C '!D$1:D$100,MATCH($A134,'Outcome Indicators - Section C '!$A$1:$A$100,0)+1),"#'##0.00"),""),"")&amp;CHAR(10)&amp;IFERROR(IF(INDEX('Outcome Indicators - Section C '!E$1:E$100,MATCH($A134,'Outcome Indicators - Section C '!$A$1:$A$100,0))&lt;&gt;0,TEXT(INDEX('Outcome Indicators - Section C '!E$1:E$100,MATCH($A134,'Outcome Indicators - Section C '!$A$1:$A$100,0)),"0.0%"),""),"")</f>
        <v xml:space="preserve">/
</v>
      </c>
      <c r="I134" s="391" t="str">
        <f ca="1">IFERROR(IF(INDEX('Outcome Indicators - Section C '!F$1:F$100,MATCH($A134,'Outcome Indicators - Section C '!$A$1:$A$100,0))&lt;&gt;0,INDEX('Outcome Indicators - Section C '!F$1:F$100,MATCH($A134,'Outcome Indicators - Section C '!$A$1:$A$100,0)),""),"")&amp;CHAR(10)&amp;IFERROR(IF(INDEX('Outcome Indicators - Section C '!G$1:G$100,MATCH($A134,'Outcome Indicators - Section C '!$A$1:$A$100,0))&lt;&gt;0,INDEX('Outcome Indicators - Section C '!G$1:G$100,MATCH($A134,'Outcome Indicators - Section C '!$A$1:$A$100,0)),""),"")</f>
        <v xml:space="preserve">
</v>
      </c>
      <c r="J134" s="724" t="str">
        <f ca="1">IFERROR(IF(INDEX('Outcome Indicators - Section C '!H$1:H$100,MATCH($A134,'Outcome Indicators - Section C '!$A$1:$A$100,0))&lt;&gt;0,INDEX('Outcome Indicators - Section C '!H$1:H$100,MATCH($A134,'Outcome Indicators - Section C '!$A$1:$A$100,0)),""),"")</f>
        <v/>
      </c>
      <c r="K134" s="725"/>
      <c r="L134" s="725"/>
      <c r="M134" s="726"/>
      <c r="N134" s="392" t="str">
        <f ca="1">IFERROR(IF(INDEX('Outcome Indicators - Section C '!I$1:I$100,MATCH($A134,'Outcome Indicators - Section C '!$A$1:$A$100,0))&lt;&gt;0,INDEX('Outcome Indicators - Section C '!I$1:I$100,MATCH($A134,'Outcome Indicators - Section C '!$A$1:$A$100,0)),""),"")</f>
        <v/>
      </c>
      <c r="O134" s="392" t="str">
        <f>IFERROR(IF(INDEX('Outcome Indicators - Section C '!J$9:J$38,MATCH($A134,'Outcome Indicators - Section C '!$A$9:$A$38,0))&lt;&gt;0,INDEX('Outcome Indicators - Section C '!J$9:J$38,MATCH($A134,'Outcome Indicators - Section C '!$A$9:$A$38,0)),""),"")</f>
        <v/>
      </c>
      <c r="P134" s="393" t="str">
        <f ca="1">IFERROR(IF(INDEX('Outcome Indicators - Section C '!K$1:K$100,MATCH($A134,'Outcome Indicators - Section C '!$A$1:$A$100,0))&lt;&gt;0,TEXT(INDEX('Outcome Indicators - Section C '!K$1:K$100,MATCH($A134,'Outcome Indicators - Section C '!$A$1:$A$100,0)),"#'##0.00"),""),"")&amp;"/"&amp;IFERROR(IF(INDEX('Outcome Indicators - Section C '!K$1:K$100,MATCH($A134,'Outcome Indicators - Section C '!$A$1:$A$100,0)+1)&lt;&gt;0,TEXT(INDEX('Outcome Indicators - Section C '!K$1:K$100,MATCH($A134,'Outcome Indicators - Section C '!$A$1:$A$100,0)+1),"#'##0.00"),""),"")&amp;CHAR(10)&amp;IFERROR(IF(INDEX('Outcome Indicators - Section C '!L$1:L$100,MATCH($A134,'Outcome Indicators - Section C '!$A$1:$A$100,0))&lt;&gt;0,TEXT(INDEX('Outcome Indicators - Section C '!L$1:L$100,MATCH($A134,'Outcome Indicators - Section C '!$A$1:$A$100,0)),"0.0%"),""),"")&amp;CHAR(10)&amp;IFERROR(IF(INDEX('Outcome Indicators - Section C '!N$1:N$100,MATCH($A134,'Outcome Indicators - Section C '!$A$1:$A$100,0))&lt;&gt;0,INDEX('Outcome Indicators - Section C '!N$1:N$100,MATCH($A134,'Outcome Indicators - Section C '!$A$1:$A$100,0)),""),"")&amp;CHAR(10)&amp;IFERROR(IF(INDEX('Outcome Indicators - Section C '!M$1:M$100,MATCH($A134,'Outcome Indicators - Section C '!$A$1:$A$100,0))&lt;&gt;0,TEXT(INDEX('Outcome Indicators - Section C '!M$1:M$100,MATCH($A134,'Outcome Indicators - Section C '!$A$1:$A$100,0)),Setup!$A$33),""),"")</f>
        <v xml:space="preserve">/
</v>
      </c>
      <c r="Q134" s="391" t="str">
        <f ca="1">IFERROR(IF(INDEX('Outcome Indicators - Section C '!O$1:O$38,MATCH($A134,'Outcome Indicators - Section C '!$A$1:$A$38,0))&lt;&gt;0,TEXT(INDEX('Outcome Indicators - Section C '!O$1:O$38,MATCH($A134,'Outcome Indicators - Section C '!$A$1:$A$38,0)),"#'##0.00"),""),"")&amp;"/"&amp;IFERROR(IF(INDEX('Outcome Indicators - Section C '!O$1:O$38,MATCH($A134,'Outcome Indicators - Section C '!$A$1:$A$38,0)+1)&lt;&gt;0,TEXT(INDEX('Outcome Indicators - Section C '!O$1:O$38,MATCH($A134,'Outcome Indicators - Section C '!$A$1:$A$38,0)+1),"#'##0.00"),""),"")&amp;CHAR(10)&amp;IFERROR(IF(INDEX('Outcome Indicators - Section C '!P$1:P$38,MATCH($A134,'Outcome Indicators - Section C '!$A$1:$A$38,0))&lt;&gt;0,TEXT(INDEX('Outcome Indicators - Section C '!P$1:P$38,MATCH($A134,'Outcome Indicators - Section C '!$A$1:$A$38,0)),"0.0%"),""),"")&amp;CHAR(10)&amp;IFERROR(IF(INDEX('Outcome Indicators - Section C '!R$1:R$38,MATCH($A134,'Outcome Indicators - Section C '!$A$1:$A$38,0))&lt;&gt;0,INDEX('Outcome Indicators - Section C '!R$1:R$38,MATCH($A134,'Outcome Indicators - Section C '!$A$1:$A$38,0)),""),"")&amp;CHAR(10)&amp;IFERROR(IF(INDEX('Outcome Indicators - Section C '!Q$1:Q$38,MATCH($A134,'Outcome Indicators - Section C '!$A$1:$A$38,0))&lt;&gt;0,TEXT(INDEX('Outcome Indicators - Section C '!Q$1:Q$38,MATCH($A134,'Outcome Indicators - Section C '!$A$1:$A$38,0)),Setup!$A$33),""),"")</f>
        <v xml:space="preserve">/
</v>
      </c>
      <c r="R134" s="391" t="str">
        <f ca="1">IFERROR(IF(INDEX('Outcome Indicators - Section C '!S$1:S$38,MATCH($A134,'Outcome Indicators - Section C '!$A$1:$A$38,0))&lt;&gt;0,TEXT(INDEX('Outcome Indicators - Section C '!S$1:S$38,MATCH($A134,'Outcome Indicators - Section C '!$A$1:$A$38,0)),"#'##0.00"),""),"")&amp;"/"&amp;IFERROR(IF(INDEX('Outcome Indicators - Section C '!S$1:S$38,MATCH($A134,'Outcome Indicators - Section C '!$A$1:$A$38,0)+1)&lt;&gt;0,TEXT(INDEX('Outcome Indicators - Section C '!S$1:S$38,MATCH($A134,'Outcome Indicators - Section C '!$A$1:$A$38,0)+1),"#'##0.00"),""),"")&amp;CHAR(10)&amp;IFERROR(IF(INDEX('Outcome Indicators - Section C '!T$1:T$38,MATCH($A134,'Outcome Indicators - Section C '!$A$1:$A$38,0))&lt;&gt;0,TEXT(INDEX('Outcome Indicators - Section C '!T$1:T$38,MATCH($A134,'Outcome Indicators - Section C '!$A$1:$A$38,0)),"0.0%"),""),"")&amp;CHAR(10)&amp;IFERROR(IF(INDEX('Outcome Indicators - Section C '!R$1:R$38,MATCH($A134,'Outcome Indicators - Section C '!$A$1:$A$38,0))&lt;&gt;0,INDEX('Outcome Indicators - Section C '!R$1:R$38,MATCH($A134,'Outcome Indicators - Section C '!$A$1:$A$38,0)),""),"")&amp;CHAR(10)&amp;IFERROR(IF(INDEX('Outcome Indicators - Section C '!U$1:U$38,MATCH($A134,'Outcome Indicators - Section C '!$A$1:$A$38,0))&lt;&gt;0,TEXT(INDEX('Outcome Indicators - Section C '!U$1:U$38,MATCH($A134,'Outcome Indicators - Section C '!$A$1:$A$38,0)),Setup!$A$33),""),"")</f>
        <v xml:space="preserve">/
</v>
      </c>
      <c r="S134" s="391" t="str">
        <f ca="1">IFERROR(IF(INDEX('Outcome Indicators - Section C '!W$9:W$38,MATCH($A134,'Outcome Indicators - Section C '!$A$9:$A$38,0))&lt;&gt;0,TEXT(INDEX('Outcome Indicators - Section C '!W$9:W$38,MATCH($A134,'Outcome Indicators - Section C '!$A$9:$A$38,0)),"#'##0.00"),""),"")&amp;"/"&amp;IFERROR(IF(INDEX('Outcome Indicators - Section C '!W$9:W$38,MATCH($A134,'Outcome Indicators - Section C '!$A$9:$A$38,0)+1)&lt;&gt;0,TEXT(INDEX('Outcome Indicators - Section C '!W$9:W$38,MATCH($A134,'Outcome Indicators - Section C '!$A$9:$A$38,0)+1),"#'##0.00"),""),"")&amp;CHAR(10)&amp;IFERROR(IF(INDEX('Outcome Indicators - Section C '!X$9:X$38,MATCH($A134,'Outcome Indicators - Section C '!$A$9:$A$38,0))&lt;&gt;0,TEXT(INDEX('Outcome Indicators - Section C '!X$9:X$38,MATCH($A134,'Outcome Indicators - Section C '!$A$9:$A$38,0)),"0.0%"),""),"")&amp;CHAR(10)&amp;IFERROR(IF(INDEX('Outcome Indicators - Section C '!Z$9:Z$38,MATCH($A134,'Outcome Indicators - Section C '!$A$9:$A$38,0))&lt;&gt;0,INDEX('Outcome Indicators - Section C '!Z$9:Z$38,MATCH($A134,'Outcome Indicators - Section C '!$A$9:$A$38,0)),""),"")&amp;CHAR(10)&amp;IFERROR(IF(INDEX('Outcome Indicators - Section C '!Y$9:Y$38,MATCH($A134,'Outcome Indicators - Section C '!$A$9:$A$38,0))&lt;&gt;0,TEXT(INDEX('Outcome Indicators - Section C '!Y$9:Y$38,MATCH($A134,'Outcome Indicators - Section C '!$A$9:$A$38,0)),Setup!$A$33),""),"")</f>
        <v xml:space="preserve">/
</v>
      </c>
      <c r="T134" s="394"/>
      <c r="U134" s="216"/>
      <c r="V134" s="216"/>
      <c r="W134" s="216"/>
      <c r="X134" s="216"/>
      <c r="Y134" s="216"/>
      <c r="Z134" s="216"/>
      <c r="AA134" s="216"/>
      <c r="AB134" s="216"/>
      <c r="AC134" s="216"/>
      <c r="AD134" s="216"/>
      <c r="AE134" s="216"/>
      <c r="AF134" s="216"/>
      <c r="AG134" s="216"/>
      <c r="AH134" s="216"/>
      <c r="AI134" s="216"/>
      <c r="AJ134" s="216"/>
      <c r="AK134" s="216"/>
      <c r="AL134" s="216"/>
      <c r="AM134" s="216"/>
      <c r="AN134" s="216"/>
      <c r="AO134" s="216"/>
      <c r="AQ134" s="216"/>
      <c r="AR134" s="216"/>
      <c r="AS134" s="216"/>
      <c r="AT134" s="216"/>
      <c r="AU134" s="721"/>
      <c r="AV134" s="721"/>
      <c r="AW134" s="721"/>
      <c r="AX134" s="721"/>
    </row>
    <row r="135" spans="1:50" ht="96" customHeight="1" thickBot="1" x14ac:dyDescent="0.35">
      <c r="A135" s="723"/>
      <c r="B135" s="727" t="str">
        <f ca="1">IFERROR(IF(INDEX('Outcome Indicators - Section C '!AA$1:AA$100,MATCH($A134,'Outcome Indicators - Section C '!$A$1:$A$100,0))&lt;&gt;0,INDEX('Outcome Indicators - Section C '!AA$1:AA$100,MATCH($A134,'Outcome Indicators - Section C '!$A$1:$A$100,0)),""),"")</f>
        <v/>
      </c>
      <c r="C135" s="728"/>
      <c r="D135" s="728"/>
      <c r="E135" s="728"/>
      <c r="F135" s="728"/>
      <c r="G135" s="728"/>
      <c r="H135" s="728"/>
      <c r="I135" s="728"/>
      <c r="J135" s="728"/>
      <c r="K135" s="728"/>
      <c r="L135" s="728"/>
      <c r="M135" s="728"/>
      <c r="N135" s="728"/>
      <c r="O135" s="728"/>
      <c r="P135" s="728"/>
      <c r="Q135" s="728"/>
      <c r="R135" s="728"/>
      <c r="S135" s="729"/>
      <c r="T135" s="385"/>
      <c r="U135" s="216"/>
      <c r="V135" s="216"/>
      <c r="W135" s="216"/>
      <c r="X135" s="216"/>
      <c r="Y135" s="216"/>
      <c r="Z135" s="216"/>
      <c r="AA135" s="216"/>
      <c r="AB135" s="216"/>
      <c r="AC135" s="216"/>
      <c r="AD135" s="216"/>
      <c r="AE135" s="216"/>
      <c r="AF135" s="216"/>
      <c r="AG135" s="216"/>
      <c r="AH135" s="216"/>
      <c r="AI135" s="216"/>
      <c r="AJ135" s="216"/>
      <c r="AK135" s="216"/>
      <c r="AL135" s="216"/>
      <c r="AM135" s="216"/>
      <c r="AN135" s="216"/>
      <c r="AO135" s="216"/>
      <c r="AQ135" s="216"/>
      <c r="AR135" s="216"/>
      <c r="AS135" s="216"/>
      <c r="AT135" s="216"/>
      <c r="AU135" s="721"/>
      <c r="AV135" s="721"/>
      <c r="AW135" s="721"/>
      <c r="AX135" s="721"/>
    </row>
    <row r="136" spans="1:50" ht="172.2" customHeight="1" x14ac:dyDescent="0.3">
      <c r="A136" s="722">
        <v>15</v>
      </c>
      <c r="B136" s="724" t="str">
        <f ca="1">IFERROR(IF(INDEX('Outcome Indicators - Section C '!B$1:B$100,MATCH($A136,'Outcome Indicators - Section C '!$A$1:$A$100,0))&lt;&gt;0,INDEX('Outcome Indicators - Section C '!B$1:B$100,MATCH($A136,'Outcome Indicators - Section C '!$A$1:$A$100,0)),""),"")</f>
        <v/>
      </c>
      <c r="C136" s="725"/>
      <c r="D136" s="726"/>
      <c r="E136" s="724" t="str">
        <f ca="1">IFERROR(IF(INDEX('Outcome Indicators - Section C '!C$1:C$100,MATCH($A136,'Outcome Indicators - Section C '!$A$1:$A$100,0))&lt;&gt;0,INDEX('Outcome Indicators - Section C '!C$1:C$100,MATCH($A136,'Outcome Indicators - Section C '!$A$1:$A$100,0)),""),"")</f>
        <v/>
      </c>
      <c r="F136" s="725"/>
      <c r="G136" s="726"/>
      <c r="H136" s="391" t="str">
        <f ca="1">IFERROR(IF(INDEX('Outcome Indicators - Section C '!D$1:D$100,MATCH($A136,'Outcome Indicators - Section C '!$A$1:$A$100,0))&lt;&gt;0,TEXT(INDEX('Outcome Indicators - Section C '!D$1:D$100,MATCH($A136,'Outcome Indicators - Section C '!$A$1:$A$100,0)),"#'##0.00"),""),"")&amp;"/"&amp;IFERROR(IF(INDEX('Outcome Indicators - Section C '!D$1:D$100,MATCH($A136,'Outcome Indicators - Section C '!$A$1:$A$100,0)+1)&lt;&gt;0,TEXT(INDEX('Outcome Indicators - Section C '!D$1:D$100,MATCH($A136,'Outcome Indicators - Section C '!$A$1:$A$100,0)+1),"#'##0.00"),""),"")&amp;CHAR(10)&amp;IFERROR(IF(INDEX('Outcome Indicators - Section C '!E$1:E$100,MATCH($A136,'Outcome Indicators - Section C '!$A$1:$A$100,0))&lt;&gt;0,TEXT(INDEX('Outcome Indicators - Section C '!E$1:E$100,MATCH($A136,'Outcome Indicators - Section C '!$A$1:$A$100,0)),"0.0%"),""),"")</f>
        <v xml:space="preserve">/
</v>
      </c>
      <c r="I136" s="391" t="str">
        <f ca="1">IFERROR(IF(INDEX('Outcome Indicators - Section C '!F$1:F$100,MATCH($A136,'Outcome Indicators - Section C '!$A$1:$A$100,0))&lt;&gt;0,INDEX('Outcome Indicators - Section C '!F$1:F$100,MATCH($A136,'Outcome Indicators - Section C '!$A$1:$A$100,0)),""),"")&amp;CHAR(10)&amp;IFERROR(IF(INDEX('Outcome Indicators - Section C '!G$1:G$100,MATCH($A136,'Outcome Indicators - Section C '!$A$1:$A$100,0))&lt;&gt;0,INDEX('Outcome Indicators - Section C '!G$1:G$100,MATCH($A136,'Outcome Indicators - Section C '!$A$1:$A$100,0)),""),"")</f>
        <v xml:space="preserve">
</v>
      </c>
      <c r="J136" s="724" t="str">
        <f ca="1">IFERROR(IF(INDEX('Outcome Indicators - Section C '!H$1:H$100,MATCH($A136,'Outcome Indicators - Section C '!$A$1:$A$100,0))&lt;&gt;0,INDEX('Outcome Indicators - Section C '!H$1:H$100,MATCH($A136,'Outcome Indicators - Section C '!$A$1:$A$100,0)),""),"")</f>
        <v/>
      </c>
      <c r="K136" s="725"/>
      <c r="L136" s="725"/>
      <c r="M136" s="726"/>
      <c r="N136" s="392" t="str">
        <f ca="1">IFERROR(IF(INDEX('Outcome Indicators - Section C '!I$1:I$100,MATCH($A136,'Outcome Indicators - Section C '!$A$1:$A$100,0))&lt;&gt;0,INDEX('Outcome Indicators - Section C '!I$1:I$100,MATCH($A136,'Outcome Indicators - Section C '!$A$1:$A$100,0)),""),"")</f>
        <v/>
      </c>
      <c r="O136" s="392" t="str">
        <f>IFERROR(IF(INDEX('Outcome Indicators - Section C '!J$9:J$38,MATCH($A136,'Outcome Indicators - Section C '!$A$9:$A$38,0))&lt;&gt;0,INDEX('Outcome Indicators - Section C '!J$9:J$38,MATCH($A136,'Outcome Indicators - Section C '!$A$9:$A$38,0)),""),"")</f>
        <v/>
      </c>
      <c r="P136" s="393" t="str">
        <f ca="1">IFERROR(IF(INDEX('Outcome Indicators - Section C '!K$1:K$100,MATCH($A136,'Outcome Indicators - Section C '!$A$1:$A$100,0))&lt;&gt;0,TEXT(INDEX('Outcome Indicators - Section C '!K$1:K$100,MATCH($A136,'Outcome Indicators - Section C '!$A$1:$A$100,0)),"#'##0.00"),""),"")&amp;"/"&amp;IFERROR(IF(INDEX('Outcome Indicators - Section C '!K$1:K$100,MATCH($A136,'Outcome Indicators - Section C '!$A$1:$A$100,0)+1)&lt;&gt;0,TEXT(INDEX('Outcome Indicators - Section C '!K$1:K$100,MATCH($A136,'Outcome Indicators - Section C '!$A$1:$A$100,0)+1),"#'##0.00"),""),"")&amp;CHAR(10)&amp;IFERROR(IF(INDEX('Outcome Indicators - Section C '!L$1:L$100,MATCH($A136,'Outcome Indicators - Section C '!$A$1:$A$100,0))&lt;&gt;0,TEXT(INDEX('Outcome Indicators - Section C '!L$1:L$100,MATCH($A136,'Outcome Indicators - Section C '!$A$1:$A$100,0)),"0.0%"),""),"")&amp;CHAR(10)&amp;IFERROR(IF(INDEX('Outcome Indicators - Section C '!N$1:N$100,MATCH($A136,'Outcome Indicators - Section C '!$A$1:$A$100,0))&lt;&gt;0,INDEX('Outcome Indicators - Section C '!N$1:N$100,MATCH($A136,'Outcome Indicators - Section C '!$A$1:$A$100,0)),""),"")&amp;CHAR(10)&amp;IFERROR(IF(INDEX('Outcome Indicators - Section C '!M$1:M$100,MATCH($A136,'Outcome Indicators - Section C '!$A$1:$A$100,0))&lt;&gt;0,TEXT(INDEX('Outcome Indicators - Section C '!M$1:M$100,MATCH($A136,'Outcome Indicators - Section C '!$A$1:$A$100,0)),Setup!$A$33),""),"")</f>
        <v xml:space="preserve">/
</v>
      </c>
      <c r="Q136" s="391" t="str">
        <f ca="1">IFERROR(IF(INDEX('Outcome Indicators - Section C '!O$1:O$38,MATCH($A136,'Outcome Indicators - Section C '!$A$1:$A$38,0))&lt;&gt;0,TEXT(INDEX('Outcome Indicators - Section C '!O$1:O$38,MATCH($A136,'Outcome Indicators - Section C '!$A$1:$A$38,0)),"#'##0.00"),""),"")&amp;"/"&amp;IFERROR(IF(INDEX('Outcome Indicators - Section C '!O$1:O$38,MATCH($A136,'Outcome Indicators - Section C '!$A$1:$A$38,0)+1)&lt;&gt;0,TEXT(INDEX('Outcome Indicators - Section C '!O$1:O$38,MATCH($A136,'Outcome Indicators - Section C '!$A$1:$A$38,0)+1),"#'##0.00"),""),"")&amp;CHAR(10)&amp;IFERROR(IF(INDEX('Outcome Indicators - Section C '!P$1:P$38,MATCH($A136,'Outcome Indicators - Section C '!$A$1:$A$38,0))&lt;&gt;0,TEXT(INDEX('Outcome Indicators - Section C '!P$1:P$38,MATCH($A136,'Outcome Indicators - Section C '!$A$1:$A$38,0)),"0.0%"),""),"")&amp;CHAR(10)&amp;IFERROR(IF(INDEX('Outcome Indicators - Section C '!R$1:R$38,MATCH($A136,'Outcome Indicators - Section C '!$A$1:$A$38,0))&lt;&gt;0,INDEX('Outcome Indicators - Section C '!R$1:R$38,MATCH($A136,'Outcome Indicators - Section C '!$A$1:$A$38,0)),""),"")&amp;CHAR(10)&amp;IFERROR(IF(INDEX('Outcome Indicators - Section C '!Q$1:Q$38,MATCH($A136,'Outcome Indicators - Section C '!$A$1:$A$38,0))&lt;&gt;0,TEXT(INDEX('Outcome Indicators - Section C '!Q$1:Q$38,MATCH($A136,'Outcome Indicators - Section C '!$A$1:$A$38,0)),Setup!$A$33),""),"")</f>
        <v xml:space="preserve">/
</v>
      </c>
      <c r="R136" s="391" t="str">
        <f ca="1">IFERROR(IF(INDEX('Outcome Indicators - Section C '!S$1:S$38,MATCH($A136,'Outcome Indicators - Section C '!$A$1:$A$38,0))&lt;&gt;0,TEXT(INDEX('Outcome Indicators - Section C '!S$1:S$38,MATCH($A136,'Outcome Indicators - Section C '!$A$1:$A$38,0)),"#'##0.00"),""),"")&amp;"/"&amp;IFERROR(IF(INDEX('Outcome Indicators - Section C '!S$1:S$38,MATCH($A136,'Outcome Indicators - Section C '!$A$1:$A$38,0)+1)&lt;&gt;0,TEXT(INDEX('Outcome Indicators - Section C '!S$1:S$38,MATCH($A136,'Outcome Indicators - Section C '!$A$1:$A$38,0)+1),"#'##0.00"),""),"")&amp;CHAR(10)&amp;IFERROR(IF(INDEX('Outcome Indicators - Section C '!T$1:T$38,MATCH($A136,'Outcome Indicators - Section C '!$A$1:$A$38,0))&lt;&gt;0,TEXT(INDEX('Outcome Indicators - Section C '!T$1:T$38,MATCH($A136,'Outcome Indicators - Section C '!$A$1:$A$38,0)),"0.0%"),""),"")&amp;CHAR(10)&amp;IFERROR(IF(INDEX('Outcome Indicators - Section C '!R$1:R$38,MATCH($A136,'Outcome Indicators - Section C '!$A$1:$A$38,0))&lt;&gt;0,INDEX('Outcome Indicators - Section C '!R$1:R$38,MATCH($A136,'Outcome Indicators - Section C '!$A$1:$A$38,0)),""),"")&amp;CHAR(10)&amp;IFERROR(IF(INDEX('Outcome Indicators - Section C '!U$1:U$38,MATCH($A136,'Outcome Indicators - Section C '!$A$1:$A$38,0))&lt;&gt;0,TEXT(INDEX('Outcome Indicators - Section C '!U$1:U$38,MATCH($A136,'Outcome Indicators - Section C '!$A$1:$A$38,0)),Setup!$A$33),""),"")</f>
        <v xml:space="preserve">/
</v>
      </c>
      <c r="S136" s="391" t="str">
        <f ca="1">IFERROR(IF(INDEX('Outcome Indicators - Section C '!W$9:W$38,MATCH($A136,'Outcome Indicators - Section C '!$A$9:$A$38,0))&lt;&gt;0,TEXT(INDEX('Outcome Indicators - Section C '!W$9:W$38,MATCH($A136,'Outcome Indicators - Section C '!$A$9:$A$38,0)),"#'##0.00"),""),"")&amp;"/"&amp;IFERROR(IF(INDEX('Outcome Indicators - Section C '!W$9:W$38,MATCH($A136,'Outcome Indicators - Section C '!$A$9:$A$38,0)+1)&lt;&gt;0,TEXT(INDEX('Outcome Indicators - Section C '!W$9:W$38,MATCH($A136,'Outcome Indicators - Section C '!$A$9:$A$38,0)+1),"#'##0.00"),""),"")&amp;CHAR(10)&amp;IFERROR(IF(INDEX('Outcome Indicators - Section C '!X$9:X$38,MATCH($A136,'Outcome Indicators - Section C '!$A$9:$A$38,0))&lt;&gt;0,TEXT(INDEX('Outcome Indicators - Section C '!X$9:X$38,MATCH($A136,'Outcome Indicators - Section C '!$A$9:$A$38,0)),"0.0%"),""),"")&amp;CHAR(10)&amp;IFERROR(IF(INDEX('Outcome Indicators - Section C '!Z$9:Z$38,MATCH($A136,'Outcome Indicators - Section C '!$A$9:$A$38,0))&lt;&gt;0,INDEX('Outcome Indicators - Section C '!Z$9:Z$38,MATCH($A136,'Outcome Indicators - Section C '!$A$9:$A$38,0)),""),"")&amp;CHAR(10)&amp;IFERROR(IF(INDEX('Outcome Indicators - Section C '!Y$9:Y$38,MATCH($A136,'Outcome Indicators - Section C '!$A$9:$A$38,0))&lt;&gt;0,TEXT(INDEX('Outcome Indicators - Section C '!Y$9:Y$38,MATCH($A136,'Outcome Indicators - Section C '!$A$9:$A$38,0)),Setup!$A$33),""),"")</f>
        <v xml:space="preserve">/
</v>
      </c>
      <c r="T136" s="394"/>
      <c r="U136" s="216"/>
      <c r="V136" s="216"/>
      <c r="W136" s="216"/>
      <c r="X136" s="216"/>
      <c r="Y136" s="216"/>
      <c r="Z136" s="216"/>
      <c r="AA136" s="216"/>
      <c r="AB136" s="216"/>
      <c r="AC136" s="216"/>
      <c r="AD136" s="216"/>
      <c r="AE136" s="216"/>
      <c r="AF136" s="216"/>
      <c r="AG136" s="216"/>
      <c r="AH136" s="216"/>
      <c r="AI136" s="216"/>
      <c r="AJ136" s="216"/>
      <c r="AK136" s="216"/>
      <c r="AL136" s="216"/>
      <c r="AM136" s="216"/>
      <c r="AN136" s="216"/>
      <c r="AO136" s="216"/>
      <c r="AQ136" s="216"/>
      <c r="AR136" s="216"/>
      <c r="AS136" s="216"/>
      <c r="AT136" s="216"/>
      <c r="AU136" s="721"/>
      <c r="AV136" s="721"/>
      <c r="AW136" s="721"/>
      <c r="AX136" s="721"/>
    </row>
    <row r="137" spans="1:50" ht="96" customHeight="1" x14ac:dyDescent="0.3">
      <c r="A137" s="723"/>
      <c r="B137" s="717" t="str">
        <f ca="1">IFERROR(IF(INDEX('Outcome Indicators - Section C '!AA$1:AA$100,MATCH($A136,'Outcome Indicators - Section C '!$A$1:$A$100,0))&lt;&gt;0,INDEX('Outcome Indicators - Section C '!AA$1:AA$100,MATCH($A136,'Outcome Indicators - Section C '!$A$1:$A$100,0)),""),"")</f>
        <v/>
      </c>
      <c r="C137" s="718"/>
      <c r="D137" s="718"/>
      <c r="E137" s="718"/>
      <c r="F137" s="718"/>
      <c r="G137" s="718"/>
      <c r="H137" s="718"/>
      <c r="I137" s="719"/>
      <c r="J137" s="719"/>
      <c r="K137" s="719"/>
      <c r="L137" s="719"/>
      <c r="M137" s="719"/>
      <c r="N137" s="719"/>
      <c r="O137" s="719"/>
      <c r="P137" s="719"/>
      <c r="Q137" s="719"/>
      <c r="R137" s="719"/>
      <c r="S137" s="720"/>
      <c r="T137" s="382"/>
      <c r="U137" s="216"/>
      <c r="V137" s="216"/>
      <c r="W137" s="216"/>
      <c r="X137" s="216"/>
      <c r="Y137" s="216"/>
      <c r="Z137" s="216"/>
      <c r="AA137" s="216"/>
      <c r="AB137" s="216"/>
      <c r="AC137" s="216"/>
      <c r="AD137" s="216"/>
      <c r="AE137" s="216"/>
      <c r="AF137" s="216"/>
      <c r="AG137" s="216"/>
      <c r="AH137" s="216"/>
      <c r="AI137" s="216"/>
      <c r="AJ137" s="216"/>
      <c r="AK137" s="216"/>
      <c r="AL137" s="216"/>
      <c r="AM137" s="216"/>
      <c r="AN137" s="216"/>
      <c r="AO137" s="216"/>
      <c r="AQ137" s="216"/>
      <c r="AR137" s="216"/>
      <c r="AS137" s="216"/>
      <c r="AT137" s="216"/>
      <c r="AU137" s="721"/>
      <c r="AV137" s="721"/>
      <c r="AW137" s="721"/>
      <c r="AX137" s="721"/>
    </row>
    <row r="138" spans="1:50" x14ac:dyDescent="0.3">
      <c r="A138" s="386"/>
      <c r="B138" s="386"/>
      <c r="C138" s="386"/>
      <c r="D138" s="386"/>
      <c r="E138" s="386"/>
      <c r="F138" s="386"/>
      <c r="G138" s="386"/>
      <c r="H138" s="386"/>
      <c r="I138" s="386"/>
      <c r="J138" s="386"/>
      <c r="K138" s="386"/>
      <c r="L138" s="386"/>
      <c r="M138" s="386"/>
      <c r="N138" s="386"/>
      <c r="O138" s="386"/>
      <c r="P138" s="386"/>
      <c r="Q138" s="386"/>
      <c r="R138" s="386"/>
      <c r="S138" s="386"/>
      <c r="T138" s="386"/>
      <c r="U138" s="216"/>
      <c r="V138" s="216"/>
      <c r="W138" s="216"/>
      <c r="X138" s="216"/>
      <c r="Y138" s="216"/>
      <c r="Z138" s="216"/>
      <c r="AA138" s="216"/>
      <c r="AB138" s="216"/>
      <c r="AC138" s="216"/>
      <c r="AD138" s="216"/>
      <c r="AE138" s="216"/>
      <c r="AF138" s="216"/>
      <c r="AG138" s="216"/>
      <c r="AH138" s="216"/>
      <c r="AI138" s="216"/>
      <c r="AJ138" s="216"/>
      <c r="AK138" s="216"/>
      <c r="AL138" s="216"/>
      <c r="AM138" s="216"/>
      <c r="AN138" s="216"/>
      <c r="AO138" s="216"/>
      <c r="AQ138" s="216"/>
      <c r="AR138" s="216"/>
      <c r="AS138" s="216"/>
    </row>
    <row r="139" spans="1:50" x14ac:dyDescent="0.3">
      <c r="A139" s="386"/>
      <c r="B139" s="386"/>
      <c r="C139" s="386"/>
      <c r="D139" s="386"/>
      <c r="E139" s="386"/>
      <c r="F139" s="386"/>
      <c r="G139" s="386"/>
      <c r="H139" s="386"/>
      <c r="I139" s="386"/>
      <c r="J139" s="386"/>
      <c r="K139" s="386"/>
      <c r="L139" s="386"/>
      <c r="M139" s="386"/>
      <c r="N139" s="386"/>
      <c r="O139" s="386"/>
      <c r="P139" s="386"/>
      <c r="Q139" s="386"/>
      <c r="R139" s="386"/>
      <c r="S139" s="386"/>
      <c r="T139" s="386"/>
      <c r="U139" s="216"/>
      <c r="V139" s="216"/>
      <c r="W139" s="216"/>
      <c r="X139" s="216"/>
      <c r="Y139" s="216"/>
      <c r="Z139" s="216"/>
      <c r="AA139" s="216"/>
      <c r="AB139" s="216"/>
      <c r="AC139" s="216"/>
      <c r="AD139" s="216"/>
      <c r="AE139" s="216"/>
      <c r="AF139" s="216"/>
      <c r="AG139" s="216"/>
      <c r="AH139" s="216"/>
      <c r="AI139" s="216"/>
      <c r="AJ139" s="216"/>
      <c r="AK139" s="216"/>
      <c r="AL139" s="216"/>
      <c r="AM139" s="216"/>
      <c r="AN139" s="216"/>
      <c r="AO139" s="216"/>
      <c r="AQ139" s="216"/>
      <c r="AR139" s="216"/>
      <c r="AS139" s="216"/>
    </row>
    <row r="140" spans="1:50" x14ac:dyDescent="0.3">
      <c r="A140" s="386"/>
      <c r="B140" s="386"/>
      <c r="C140" s="386"/>
      <c r="D140" s="386"/>
      <c r="E140" s="386"/>
      <c r="F140" s="386"/>
      <c r="G140" s="386"/>
      <c r="H140" s="386"/>
      <c r="I140" s="386"/>
      <c r="J140" s="386"/>
      <c r="K140" s="386"/>
      <c r="L140" s="386"/>
      <c r="M140" s="386"/>
      <c r="N140" s="386"/>
      <c r="O140" s="386"/>
      <c r="P140" s="386"/>
      <c r="Q140" s="386"/>
      <c r="R140" s="386"/>
      <c r="S140" s="386"/>
      <c r="T140" s="386"/>
      <c r="U140" s="216"/>
      <c r="V140" s="216"/>
      <c r="W140" s="216"/>
      <c r="X140" s="216"/>
      <c r="Y140" s="216"/>
      <c r="Z140" s="216"/>
      <c r="AA140" s="216"/>
      <c r="AB140" s="216"/>
      <c r="AC140" s="216"/>
      <c r="AD140" s="216"/>
      <c r="AE140" s="216"/>
      <c r="AF140" s="216"/>
      <c r="AG140" s="216"/>
      <c r="AH140" s="216"/>
      <c r="AI140" s="216"/>
      <c r="AJ140" s="216"/>
      <c r="AK140" s="216"/>
      <c r="AL140" s="216"/>
      <c r="AM140" s="216"/>
      <c r="AN140" s="216"/>
      <c r="AO140" s="216"/>
      <c r="AQ140" s="216"/>
      <c r="AR140" s="216"/>
      <c r="AS140" s="216"/>
    </row>
    <row r="141" spans="1:50" x14ac:dyDescent="0.3">
      <c r="A141" s="386"/>
      <c r="B141" s="386"/>
      <c r="C141" s="386"/>
      <c r="D141" s="386"/>
      <c r="E141" s="386"/>
      <c r="F141" s="386"/>
      <c r="G141" s="386"/>
      <c r="H141" s="386"/>
      <c r="I141" s="386"/>
      <c r="J141" s="386"/>
      <c r="K141" s="386"/>
      <c r="L141" s="386"/>
      <c r="M141" s="386"/>
      <c r="N141" s="386"/>
      <c r="O141" s="386"/>
      <c r="P141" s="386"/>
      <c r="Q141" s="386"/>
      <c r="R141" s="386"/>
      <c r="S141" s="386"/>
      <c r="T141" s="38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Q141" s="216"/>
      <c r="AR141" s="216"/>
      <c r="AS141" s="216"/>
    </row>
    <row r="142" spans="1:50" x14ac:dyDescent="0.3">
      <c r="A142" s="386"/>
      <c r="B142" s="386"/>
      <c r="C142" s="386"/>
      <c r="D142" s="386"/>
      <c r="E142" s="386"/>
      <c r="F142" s="386"/>
      <c r="G142" s="386"/>
      <c r="H142" s="386"/>
      <c r="I142" s="386"/>
      <c r="J142" s="386"/>
      <c r="K142" s="386"/>
      <c r="L142" s="386"/>
      <c r="M142" s="386"/>
      <c r="N142" s="386"/>
      <c r="O142" s="386"/>
      <c r="P142" s="386"/>
      <c r="Q142" s="386"/>
      <c r="R142" s="386"/>
      <c r="S142" s="386"/>
      <c r="T142" s="38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Q142" s="216"/>
      <c r="AR142" s="216"/>
      <c r="AS142" s="216"/>
    </row>
    <row r="143" spans="1:50" x14ac:dyDescent="0.3">
      <c r="A143" s="386"/>
      <c r="B143" s="386"/>
      <c r="C143" s="386"/>
      <c r="D143" s="386"/>
      <c r="E143" s="386"/>
      <c r="F143" s="386"/>
      <c r="G143" s="386"/>
      <c r="H143" s="386"/>
      <c r="I143" s="386"/>
      <c r="J143" s="386"/>
      <c r="K143" s="386"/>
      <c r="L143" s="386"/>
      <c r="M143" s="386"/>
      <c r="N143" s="386"/>
      <c r="O143" s="386"/>
      <c r="P143" s="386"/>
      <c r="Q143" s="386"/>
      <c r="R143" s="386"/>
      <c r="S143" s="386"/>
      <c r="T143" s="38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Q143" s="216"/>
      <c r="AR143" s="216"/>
      <c r="AS143" s="216"/>
    </row>
    <row r="144" spans="1:50" ht="47.25" customHeight="1" x14ac:dyDescent="0.3">
      <c r="A144" s="784" t="s">
        <v>23</v>
      </c>
      <c r="B144" s="785"/>
      <c r="C144" s="785"/>
      <c r="D144" s="785"/>
      <c r="E144" s="785"/>
      <c r="F144" s="785"/>
      <c r="G144" s="785"/>
      <c r="H144" s="785"/>
      <c r="I144" s="785"/>
      <c r="J144" s="785"/>
      <c r="K144" s="785"/>
      <c r="L144" s="785"/>
      <c r="M144" s="785"/>
      <c r="N144" s="785"/>
      <c r="O144" s="785"/>
      <c r="P144" s="785"/>
      <c r="Q144" s="785"/>
      <c r="R144" s="785"/>
      <c r="S144" s="785"/>
      <c r="T144" s="38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Q144" s="216"/>
      <c r="AR144" s="216"/>
      <c r="AS144" s="216"/>
    </row>
    <row r="145" spans="1:55" ht="16.2" thickBot="1" x14ac:dyDescent="0.35">
      <c r="A145" s="386"/>
      <c r="B145" s="386"/>
      <c r="C145" s="386"/>
      <c r="D145" s="386"/>
      <c r="E145" s="386"/>
      <c r="F145" s="386"/>
      <c r="G145" s="386"/>
      <c r="H145" s="386"/>
      <c r="I145" s="386"/>
      <c r="J145" s="386"/>
      <c r="K145" s="386"/>
      <c r="L145" s="386"/>
      <c r="M145" s="386"/>
      <c r="N145" s="387"/>
      <c r="O145" s="386"/>
      <c r="P145" s="386"/>
      <c r="Q145" s="386"/>
      <c r="R145" s="386"/>
      <c r="S145" s="386"/>
      <c r="T145" s="386"/>
      <c r="U145" s="216"/>
      <c r="V145" s="216"/>
      <c r="W145" s="395"/>
      <c r="X145" s="216"/>
      <c r="Y145" s="216"/>
      <c r="Z145" s="216"/>
      <c r="AA145" s="216"/>
      <c r="AB145" s="216"/>
      <c r="AC145" s="216"/>
      <c r="AD145" s="216"/>
      <c r="AE145" s="216"/>
      <c r="AF145" s="216"/>
      <c r="AG145" s="216"/>
      <c r="AH145" s="216"/>
      <c r="AI145" s="216"/>
      <c r="AJ145" s="216"/>
      <c r="AK145" s="216"/>
      <c r="AL145" s="216"/>
      <c r="AM145" s="216"/>
      <c r="AN145" s="216"/>
      <c r="AO145" s="216"/>
      <c r="AQ145" s="216"/>
      <c r="AR145" s="216"/>
      <c r="AS145" s="216"/>
      <c r="AT145" s="218"/>
      <c r="AU145" s="366"/>
      <c r="AV145" s="366"/>
      <c r="AW145" s="366"/>
      <c r="AX145" s="366"/>
      <c r="AY145" s="366"/>
      <c r="AZ145" s="366"/>
      <c r="BA145" s="366"/>
      <c r="BB145" s="366"/>
    </row>
    <row r="146" spans="1:55" ht="40.200000000000003" customHeight="1" thickBot="1" x14ac:dyDescent="0.35">
      <c r="A146" s="396"/>
      <c r="B146" s="396"/>
      <c r="C146" s="396"/>
      <c r="D146" s="396"/>
      <c r="E146" s="396"/>
      <c r="F146" s="396"/>
      <c r="G146" s="396"/>
      <c r="H146" s="396"/>
      <c r="I146" s="396"/>
      <c r="J146" s="396"/>
      <c r="K146" s="396"/>
      <c r="L146" s="397" t="str">
        <f ca="1">TEXT(IFERROR(INDEX('Overview - Section A'!$A$46:$A$53,MATCH(D23,'Overview - Section A'!$B$46:$B$53,0)),""),Setup!$A$33)</f>
        <v>1-Jan-21</v>
      </c>
      <c r="M146" s="397" t="str">
        <f ca="1">TEXT(IFERROR(INDEX('Overview - Section A'!$A$46:$A$53,MATCH(D24,'Overview - Section A'!$B$46:$B$53,0)),""),Setup!$A$33)</f>
        <v>1-Jul-21</v>
      </c>
      <c r="N146" s="397" t="str">
        <f ca="1">TEXT(IFERROR(INDEX('Overview - Section A'!$A$46:$A$53,MATCH(D25,'Overview - Section A'!$B$46:$B$53,0)),""),Setup!$A$33)</f>
        <v>1-Jan-22</v>
      </c>
      <c r="O146" s="397" t="str">
        <f ca="1">TEXT(IFERROR(INDEX('Overview - Section A'!$A$46:$A$53,MATCH(D26,'Overview - Section A'!$B$46:$B$53,0)),""),Setup!$A$33)</f>
        <v>1-Jul-22</v>
      </c>
      <c r="P146" s="397" t="str">
        <f ca="1">TEXT(IFERROR(INDEX('Overview - Section A'!$A$46:$A$53,MATCH(D27,'Overview - Section A'!$B$46:$B$53,0)),""),Setup!$A$33)</f>
        <v>1-Jan-23</v>
      </c>
      <c r="Q146" s="397" t="str">
        <f ca="1">TEXT(IFERROR(INDEX('Overview - Section A'!$A$46:$A$53,MATCH(D28,'Overview - Section A'!$B$46:$B$53,0)),""),Setup!$A$33)</f>
        <v>1-Jul-23</v>
      </c>
      <c r="R146" s="397" t="str">
        <f ca="1">TEXT(IFERROR(INDEX('Overview - Section A'!$A$46:$A$53,MATCH(D29,'Overview - Section A'!$B$46:$B$53,0)),""),Setup!$A$33)</f>
        <v/>
      </c>
      <c r="S146" s="397" t="str">
        <f ca="1">TEXT(IFERROR(INDEX('Overview - Section A'!$A$46:$A$53,MATCH(D30,'Overview - Section A'!$B$46:$B$53,0)),""),Setup!$A$33)</f>
        <v/>
      </c>
      <c r="T146" s="398"/>
      <c r="U146" s="216"/>
      <c r="V146" s="399"/>
      <c r="W146" s="399"/>
      <c r="X146" s="399"/>
      <c r="Y146" s="399"/>
      <c r="Z146" s="399"/>
      <c r="AA146" s="399"/>
      <c r="AB146" s="399"/>
      <c r="AC146" s="399"/>
      <c r="AD146" s="399"/>
      <c r="AE146" s="399"/>
      <c r="AF146" s="399"/>
      <c r="AG146" s="399"/>
      <c r="AH146" s="399"/>
      <c r="AI146" s="399"/>
      <c r="AJ146" s="399"/>
      <c r="AK146" s="399"/>
      <c r="AL146" s="399"/>
      <c r="AM146" s="399"/>
      <c r="AN146" s="400"/>
      <c r="AO146" s="400"/>
      <c r="AQ146" s="401"/>
      <c r="AR146" s="401"/>
      <c r="AS146" s="401"/>
      <c r="AT146" s="218"/>
      <c r="AU146" s="366"/>
      <c r="AV146" s="366"/>
      <c r="AW146" s="366"/>
      <c r="AX146" s="366"/>
      <c r="AY146" s="366"/>
      <c r="AZ146" s="366"/>
      <c r="BA146" s="366"/>
      <c r="BB146" s="366"/>
    </row>
    <row r="147" spans="1:55" ht="40.200000000000003" customHeight="1" thickBot="1" x14ac:dyDescent="0.35">
      <c r="A147" s="402"/>
      <c r="B147" s="403"/>
      <c r="C147" s="403"/>
      <c r="D147" s="403"/>
      <c r="E147" s="403"/>
      <c r="F147" s="403"/>
      <c r="G147" s="403"/>
      <c r="H147" s="403"/>
      <c r="I147" s="403"/>
      <c r="J147" s="403"/>
      <c r="K147" s="403"/>
      <c r="L147" s="397" t="str">
        <f ca="1">TEXT(IFERROR(INDEX('Overview - Section A'!$E$46:$E$53,MATCH(D23,'Overview - Section A'!$B$46:$B$53,0)),""),Setup!$A$33)</f>
        <v>30-Jun-21</v>
      </c>
      <c r="M147" s="397" t="str">
        <f ca="1">TEXT(IFERROR(INDEX('Overview - Section A'!$E$46:$E$53,MATCH(D24,'Overview - Section A'!$B$46:$B$53,0)),""),Setup!$A$33)</f>
        <v>31-Dec-21</v>
      </c>
      <c r="N147" s="397" t="str">
        <f ca="1">TEXT(IFERROR(INDEX('Overview - Section A'!$E$46:$E$53,MATCH(D25,'Overview - Section A'!$B$46:$B$53,0)),""),Setup!$A$33)</f>
        <v>30-Jun-22</v>
      </c>
      <c r="O147" s="397" t="str">
        <f ca="1">TEXT(IFERROR(INDEX('Overview - Section A'!$E$46:$E$53,MATCH(D26,'Overview - Section A'!$B$46:$B$53,0)),""),Setup!$A$33)</f>
        <v>31-Dec-22</v>
      </c>
      <c r="P147" s="397" t="str">
        <f ca="1">TEXT(IFERROR(INDEX('Overview - Section A'!$E$46:$E$53,MATCH(D27,'Overview - Section A'!$B$46:$B$53,0)),""),Setup!$A$33)</f>
        <v>30-Jun-23</v>
      </c>
      <c r="Q147" s="397" t="str">
        <f ca="1">TEXT(IFERROR(INDEX('Overview - Section A'!$E$46:$E$53,MATCH(D28,'Overview - Section A'!$B$46:$B$53,0)),""),Setup!$A$33)</f>
        <v>31-Dec-23</v>
      </c>
      <c r="R147" s="397" t="str">
        <f ca="1">TEXT(IFERROR(INDEX('Overview - Section A'!$E$46:$E$53,MATCH(D29,'Overview - Section A'!$B$46:$B$53,0)),""),Setup!$A$33)</f>
        <v/>
      </c>
      <c r="S147" s="397" t="str">
        <f ca="1">TEXT(IFERROR(INDEX('Overview - Section A'!$E$46:$E$53,MATCH(D30,'Overview - Section A'!$B$46:$B$53,0)),""),Setup!$A$33)</f>
        <v/>
      </c>
      <c r="T147" s="398"/>
      <c r="U147" s="216"/>
      <c r="V147" s="216"/>
      <c r="W147" s="216"/>
      <c r="X147" s="216"/>
      <c r="Y147" s="216"/>
      <c r="Z147" s="216"/>
      <c r="AA147" s="216"/>
      <c r="AB147" s="216"/>
      <c r="AC147" s="216"/>
      <c r="AD147" s="216"/>
      <c r="AE147" s="216"/>
      <c r="AF147" s="216"/>
      <c r="AG147" s="216"/>
      <c r="AH147" s="216"/>
      <c r="AI147" s="216"/>
      <c r="AJ147" s="216"/>
      <c r="AK147" s="216"/>
      <c r="AL147" s="216"/>
      <c r="AM147" s="216"/>
      <c r="AN147" s="216"/>
      <c r="AO147" s="216"/>
      <c r="AQ147" s="216" t="s">
        <v>219</v>
      </c>
      <c r="AR147" s="216"/>
      <c r="AS147" s="216"/>
      <c r="AT147" s="218"/>
      <c r="AU147" s="366"/>
      <c r="AV147" s="366"/>
      <c r="AW147" s="366"/>
      <c r="AX147" s="366"/>
      <c r="AY147" s="366"/>
      <c r="AZ147" s="366"/>
      <c r="BA147" s="366"/>
      <c r="BB147" s="366"/>
    </row>
    <row r="148" spans="1:55" ht="288.75" customHeight="1" x14ac:dyDescent="0.3">
      <c r="A148" s="234" t="str">
        <f ca="1">Translations!A91</f>
        <v>No.</v>
      </c>
      <c r="B148" s="235" t="str">
        <f ca="1">Translations!A30</f>
        <v>Nom du module</v>
      </c>
      <c r="C148" s="236" t="str">
        <f ca="1">Translations!A38</f>
        <v>Indicateur standard</v>
      </c>
      <c r="D148" s="237" t="str">
        <f ca="1">Translations!A39</f>
        <v>Indicateur personnalisé</v>
      </c>
      <c r="E148" s="238" t="str">
        <f ca="1">Translations!A94</f>
        <v>Année de la référence &amp; Source</v>
      </c>
      <c r="F148" s="238" t="str">
        <f ca="1">Translations!A94</f>
        <v>Année de la référence &amp; Source</v>
      </c>
      <c r="G148" s="238" t="str">
        <f ca="1">Translations!A51</f>
        <v>Désaggrégation obligatoire</v>
      </c>
      <c r="H148" s="238" t="str">
        <f ca="1">Translations!A66</f>
        <v xml:space="preserve">Inclure dans les résultats du Fonds mondial </v>
      </c>
      <c r="I148" s="238" t="str">
        <f ca="1">Translations!A52</f>
        <v xml:space="preserve">Récipiendaire principal responsable </v>
      </c>
      <c r="J148" s="238" t="str">
        <f ca="1">Translations!A67</f>
        <v>Pays/ Portée des cibles</v>
      </c>
      <c r="K148" s="239" t="str">
        <f ca="1">Translations!A68</f>
        <v>Type de cumulation</v>
      </c>
      <c r="L148" s="375" t="str">
        <f ca="1">Translations!$A$95</f>
        <v>Valeur de la cible</v>
      </c>
      <c r="M148" s="375" t="str">
        <f ca="1">Translations!$A$95</f>
        <v>Valeur de la cible</v>
      </c>
      <c r="N148" s="375" t="str">
        <f ca="1">Translations!$A$95</f>
        <v>Valeur de la cible</v>
      </c>
      <c r="O148" s="375" t="str">
        <f ca="1">Translations!$A$95</f>
        <v>Valeur de la cible</v>
      </c>
      <c r="P148" s="375" t="str">
        <f ca="1">Translations!$A$95</f>
        <v>Valeur de la cible</v>
      </c>
      <c r="Q148" s="375" t="str">
        <f ca="1">Translations!$A$95</f>
        <v>Valeur de la cible</v>
      </c>
      <c r="R148" s="375" t="str">
        <f ca="1">Translations!$A$95</f>
        <v>Valeur de la cible</v>
      </c>
      <c r="S148" s="375" t="str">
        <f ca="1">Translations!$A$95</f>
        <v>Valeur de la cible</v>
      </c>
      <c r="T148" s="377"/>
      <c r="U148" s="216"/>
      <c r="V148" s="216"/>
      <c r="W148" s="216"/>
      <c r="X148" s="216"/>
      <c r="Y148" s="216"/>
      <c r="Z148" s="216"/>
      <c r="AA148" s="216"/>
      <c r="AB148" s="216"/>
      <c r="AC148" s="216"/>
      <c r="AD148" s="216"/>
      <c r="AE148" s="216"/>
      <c r="AF148" s="216"/>
      <c r="AG148" s="216"/>
      <c r="AH148" s="216"/>
      <c r="AI148" s="216"/>
      <c r="AJ148" s="216"/>
      <c r="AK148" s="216"/>
      <c r="AL148" s="216"/>
      <c r="AM148" s="216"/>
      <c r="AN148" s="216"/>
      <c r="AO148" s="216"/>
      <c r="AQ148" s="216"/>
      <c r="AR148" s="216"/>
      <c r="AS148" s="216"/>
      <c r="AT148" s="218"/>
      <c r="AU148" s="366"/>
      <c r="AV148" s="366"/>
      <c r="AW148" s="366"/>
      <c r="AX148" s="366"/>
      <c r="AY148" s="366"/>
      <c r="AZ148" s="366"/>
      <c r="BA148" s="366"/>
      <c r="BB148" s="366"/>
    </row>
    <row r="149" spans="1:55" s="411" customFormat="1" ht="177" customHeight="1" x14ac:dyDescent="0.3">
      <c r="A149" s="709">
        <v>1</v>
      </c>
      <c r="B149" s="404" t="str">
        <f ca="1">IFERROR(IF(INDEX('Coverage Indicators - Section D'!B$1:B$100,MATCH('Print View'!$A149,'Coverage Indicators - Section D'!$A$1:$A$100,0))&lt;&gt;0,INDEX('Coverage Indicators - Section D'!B$1:B$100,MATCH('Print View'!$A149,'Coverage Indicators - Section D'!$A$1:$A$100,0)),""),"")</f>
        <v>Services de dépistage différencié du VIH</v>
      </c>
      <c r="C149" s="404" t="str">
        <f ca="1">IFERROR(IF(INDEX('Coverage Indicators - Section D'!D$1:D$100,MATCH('Print View'!$A149,'Coverage Indicators - Section D'!$A$1:$A$100,0))&lt;&gt;0,INDEX('Coverage Indicators - Section D'!D$1:D$100,MATCH('Print View'!$A149,'Coverage Indicators - Section D'!$A$1:$A$100,0)),""),"")</f>
        <v>HTS-5 Pourcentage de personnes récemment diagnostiquées comme séropositives admises dans des services de prise en charge du VIH</v>
      </c>
      <c r="D149" s="404" t="str">
        <f ca="1">IFERROR(IF(INDEX('Coverage Indicators - Section D'!E$1:E$100,MATCH('Print View'!$A149,'Coverage Indicators - Section D'!$A$1:$A$100,0))&lt;&gt;0,INDEX('Coverage Indicators - Section D'!E$1:E$100,MATCH('Print View'!$A149,'Coverage Indicators - Section D'!$A$1:$A$100,0)),""),"")</f>
        <v/>
      </c>
      <c r="E149" s="405" t="str">
        <f ca="1">IFERROR(IF(INDEX('Coverage Indicators - Section D'!F$1:F$100,MATCH('Print View'!$A149,'Coverage Indicators - Section D'!$A$1:$A$100,0))&lt;&gt;0,INDEX('Coverage Indicators - Section D'!F$1:F$100,MATCH('Print View'!$A149,'Coverage Indicators - Section D'!$A$1:$A$100,0)),""),"")&amp;"/"&amp;IFERROR(IF(INDEX('Coverage Indicators - Section D'!F$1:F$100,MATCH('Print View'!$A149,'Coverage Indicators - Section D'!$A$1:$A$100,0)+1)&lt;&gt;0,INDEX('Coverage Indicators - Section D'!F$1:F$100,MATCH('Print View'!$A149,'Coverage Indicators - Section D'!$A$1:$A$100,0)+1),""),"")&amp;CHAR(10)&amp;IFERROR(IF(INDEX('Coverage Indicators - Section D'!G$1:G$100,MATCH('Print View'!$A149,'Coverage Indicators - Section D'!$A$1:$A$100,0))&lt;&gt;0,TEXT(INDEX('Coverage Indicators - Section D'!G$1:G$100,MATCH('Print View'!$A149,'Coverage Indicators - Section D'!$A$1:$A$100,0)),"0.00%"),""),"")</f>
        <v>51459/50450
102.00%</v>
      </c>
      <c r="F149" s="406"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 xml:space="preserve">2019
Données de routine PNLS </v>
      </c>
      <c r="G149" s="407" t="str">
        <f>IFERROR(IF(INDEX('Coverage Indicators - Section D'!J9:J38,MATCH('Print View'!$A149,'Coverage Indicators - Section D'!$A$9:$A$38,0))&lt;&gt;0,INDEX('Coverage Indicators - Section D'!J9:J38,MATCH('Print View'!$A149,'Coverage Indicators - Section D'!$A$9:$A$38,0)),""),"")</f>
        <v>Sexe,Groupe à risque cible</v>
      </c>
      <c r="H149" s="408" t="str">
        <f ca="1">IFERROR(IF(INDEX('Coverage Indicators - Section D'!K$1:K$100,MATCH('Print View'!$A149,'Coverage Indicators - Section D'!$A$1:$A$100,0))&lt;&gt;0,INDEX('Coverage Indicators - Section D'!K$1:K$100,MATCH('Print View'!$A149,'Coverage Indicators - Section D'!$A$1:$A$100,0)),""),"")</f>
        <v>Yes</v>
      </c>
      <c r="I149" s="407" t="str">
        <f ca="1">IFERROR(IF(INDEX('Coverage Indicators - Section D'!L$1:L$100,MATCH('Print View'!$A149,'Coverage Indicators - Section D'!$A$1:$A$100,0))&lt;&gt;0,INDEX('Coverage Indicators - Section D'!L$1:L$100,MATCH('Print View'!$A149,'Coverage Indicators - Section D'!$A$1:$A$100,0)),""),"")</f>
        <v>Programme National de Lutte contre le SIDA de la République de Côte d'Ivoire</v>
      </c>
      <c r="J149" s="405"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Côte d'Ivoire
Geographic Subnational, 100% of national program target</v>
      </c>
      <c r="K149" s="405" t="str">
        <f ca="1">IFERROR(IF(INDEX('Coverage Indicators - Section D'!N$1:N$100,MATCH('Print View'!$A149,'Coverage Indicators - Section D'!$A$1:$A$100,0))&lt;&gt;0,INDEX('Coverage Indicators - Section D'!N$1:N$100,MATCH('Print View'!$A149,'Coverage Indicators - Section D'!$A$1:$A$100,0)),""),"")</f>
        <v>Non cumulative</v>
      </c>
      <c r="L149" s="405" t="str">
        <f ca="1">IFERROR(IF(INDEX('Coverage Indicators - Section D'!O$1:O$100,MATCH('Print View'!$A149,'Coverage Indicators - Section D'!$A$1:$A$100,0))&lt;&gt;0,INDEX('Coverage Indicators - Section D'!O$1:O$100,MATCH('Print View'!$A149,'Coverage Indicators - Section D'!$A$1:$A$100,0)),""),"")&amp;"/"&amp;IFERROR(IF(INDEX('Coverage Indicators - Section D'!O$1:O$100,MATCH('Print View'!$A149,'Coverage Indicators - Section D'!$A$1:$A$100,0)+1)&lt;&gt;0,INDEX('Coverage Indicators - Section D'!O$1:O$100,MATCH('Print View'!$A149,'Coverage Indicators - Section D'!$A$1:$A$100,0)+1),""),"")&amp;CHAR(10)&amp;IFERROR(IF(INDEX('Coverage Indicators - Section D'!P$1:P$100,MATCH('Print View'!$A149,'Coverage Indicators - Section D'!$A$1:$A$100,0))&lt;&gt;0,TEXT(INDEX('Coverage Indicators - Section D'!P$1:P$100,MATCH('Print View'!$A149,'Coverage Indicators - Section D'!$A$1:$A$100,0)),"0.00%"),""),"")&amp;CHAR(10)&amp;IFERROR(IF(INDEX('Coverage Indicators - Section D'!Q$1:Q$100,MATCH('Print View'!$A149,'Coverage Indicators - Section D'!$A$1:$A$100,0))&lt;&gt;0,INDEX('Coverage Indicators - Section D'!Q$1:Q$100,MATCH('Print View'!$A149,'Coverage Indicators - Section D'!$A$1:$A$100,0)),""),"")</f>
        <v xml:space="preserve">14344.5/15099.5
95.00%
</v>
      </c>
      <c r="M149" s="406" t="str">
        <f ca="1">IFERROR(IF(INDEX('Coverage Indicators - Section D'!R$1:R$100,MATCH('Print View'!$A149,'Coverage Indicators - Section D'!$A$1:$A$100,0))&lt;&gt;0,INDEX('Coverage Indicators - Section D'!R$1:R$100,MATCH('Print View'!$A149,'Coverage Indicators - Section D'!$A$1:$A$100,0)),""),"")&amp;"/"&amp;IFERROR(IF(INDEX('Coverage Indicators - Section D'!R$1:R$100,MATCH('Print View'!$A149,'Coverage Indicators - Section D'!$A$1:$A$100,0)+1)&lt;&gt;0,INDEX('Coverage Indicators - Section D'!R$1:R$100,MATCH('Print View'!$A149,'Coverage Indicators - Section D'!$A$1:$A$100,0)+1),""),"")&amp;CHAR(10)&amp;IFERROR(IF(INDEX('Coverage Indicators - Section D'!S$1:S$100,MATCH('Print View'!$A149,'Coverage Indicators - Section D'!$A$1:$A$100,0))&lt;&gt;0,TEXT(INDEX('Coverage Indicators - Section D'!S$1:S$100,MATCH('Print View'!$A149,'Coverage Indicators - Section D'!$A$1:$A$100,0)),"0.00%"),""),"")&amp;CHAR(10)&amp;IFERROR(IF(INDEX('Coverage Indicators - Section D'!T$1:T$100,MATCH('Print View'!$A149,'Coverage Indicators - Section D'!$A$1:$A$100,0))&lt;&gt;0,INDEX('Coverage Indicators - Section D'!T$1:T$100,MATCH('Print View'!$A149,'Coverage Indicators - Section D'!$A$1:$A$100,0)),""),"")</f>
        <v xml:space="preserve">28689/30199
95.00%
</v>
      </c>
      <c r="N149" s="405" t="str">
        <f ca="1">IFERROR(IF(INDEX('Coverage Indicators - Section D'!U$1:U$100,MATCH('Print View'!$A149,'Coverage Indicators - Section D'!$A$1:$A$100,0))&lt;&gt;0,INDEX('Coverage Indicators - Section D'!U$1:U$100,MATCH('Print View'!$A149,'Coverage Indicators - Section D'!$A$1:$A$100,0)),""),"")&amp;"/"&amp;IFERROR(IF(INDEX('Coverage Indicators - Section D'!U$1:U$100,MATCH('Print View'!$A149,'Coverage Indicators - Section D'!$A$1:$A$100,0)+1)&lt;&gt;0,INDEX('Coverage Indicators - Section D'!U$1:U$100,MATCH('Print View'!$A149,'Coverage Indicators - Section D'!$A$1:$A$100,0)+1),""),"")&amp;CHAR(10)&amp;IFERROR(IF(INDEX('Coverage Indicators - Section D'!V$1:V$100,MATCH('Print View'!$A149,'Coverage Indicators - Section D'!$A$1:$A$100,0))&lt;&gt;0,TEXT(INDEX('Coverage Indicators - Section D'!V$1:V$100,MATCH('Print View'!$A149,'Coverage Indicators - Section D'!$A$1:$A$100,0)),"0.00%"),""),"")&amp;CHAR(10)&amp;IFERROR(IF(INDEX('Coverage Indicators - Section D'!W$1:W$100,MATCH('Print View'!$A149,'Coverage Indicators - Section D'!$A$1:$A$100,0))&lt;&gt;0,INDEX('Coverage Indicators - Section D'!W$1:W$100,MATCH('Print View'!$A149,'Coverage Indicators - Section D'!$A$1:$A$100,0)),""),"")</f>
        <v xml:space="preserve">10240/10667
96.00%
</v>
      </c>
      <c r="O149" s="406" t="str">
        <f ca="1">IFERROR(IF(INDEX('Coverage Indicators - Section D'!X$1:X$100,MATCH('Print View'!$A149,'Coverage Indicators - Section D'!$A$1:$A$100,0))&lt;&gt;0,INDEX('Coverage Indicators - Section D'!X$1:X$100,MATCH('Print View'!$A149,'Coverage Indicators - Section D'!$A$1:$A$100,0)),""),"")&amp;"/"&amp;IFERROR(IF(INDEX('Coverage Indicators - Section D'!X$1:X$100,MATCH('Print View'!$A149,'Coverage Indicators - Section D'!$A$1:$A$100,0)+1)&lt;&gt;0,INDEX('Coverage Indicators - Section D'!X$1:X$100,MATCH('Print View'!$A149,'Coverage Indicators - Section D'!$A$1:$A$100,0)+1),""),"")&amp;CHAR(10)&amp;IFERROR(IF(INDEX('Coverage Indicators - Section D'!Y$1:Y$100,MATCH('Print View'!$A149,'Coverage Indicators - Section D'!$A$1:$A$100,0))&lt;&gt;0,TEXT(INDEX('Coverage Indicators - Section D'!Y$1:Y$100,MATCH('Print View'!$A149,'Coverage Indicators - Section D'!$A$1:$A$100,0)),"0.00%"),""),"")&amp;CHAR(10)&amp;IFERROR(IF(INDEX('Coverage Indicators - Section D'!Z$1:Z$100,MATCH('Print View'!$A149,'Coverage Indicators - Section D'!$A$1:$A$100,0))&lt;&gt;0,INDEX('Coverage Indicators - Section D'!Z$1:Z$100,MATCH('Print View'!$A149,'Coverage Indicators - Section D'!$A$1:$A$100,0)),""),"")</f>
        <v xml:space="preserve">20480/21334
96.00%
</v>
      </c>
      <c r="P149" s="406" t="str">
        <f ca="1">IFERROR(IF(INDEX('Coverage Indicators - Section D'!AA$1:AA$100,MATCH('Print View'!$A149,'Coverage Indicators - Section D'!$A$1:$A$100,0))&lt;&gt;0,INDEX('Coverage Indicators - Section D'!AA$1:AA$100,MATCH('Print View'!$A149,'Coverage Indicators - Section D'!$A$1:$A$100,0)),""),"")&amp;"/"&amp;IFERROR(IF(INDEX('Coverage Indicators - Section D'!AA$1:AA$100,MATCH('Print View'!$A149,'Coverage Indicators - Section D'!$A$1:$A$100,0)+1)&lt;&gt;0,INDEX('Coverage Indicators - Section D'!AA$1:AA$100,MATCH('Print View'!$A149,'Coverage Indicators - Section D'!$A$1:$A$100,0)+1),""),"")&amp;CHAR(10)&amp;IFERROR(IF(INDEX('Coverage Indicators - Section D'!AB$1:AB$100,MATCH('Print View'!$A149,'Coverage Indicators - Section D'!$A$1:$A$100,0))&lt;&gt;0,TEXT(INDEX('Coverage Indicators - Section D'!AB$1:AB$100,MATCH('Print View'!$A149,'Coverage Indicators - Section D'!$A$1:$A$100,0)),"0.00%"),""),"")&amp;CHAR(10)&amp;IFERROR(IF(INDEX('Coverage Indicators - Section D'!AC$1:AC$100,MATCH('Print View'!$A149,'Coverage Indicators - Section D'!$A$1:$A$100,0))&lt;&gt;0,INDEX('Coverage Indicators - Section D'!AC$1:AC$100,MATCH('Print View'!$A149,'Coverage Indicators - Section D'!$A$1:$A$100,0)),""),"")</f>
        <v xml:space="preserve">7706.5/7945
97.00%
</v>
      </c>
      <c r="Q149" s="406" t="str">
        <f ca="1">IFERROR(IF(INDEX('Coverage Indicators - Section D'!AD$1:AD$100,MATCH('Print View'!$A149,'Coverage Indicators - Section D'!$A$1:$A$100,0))&lt;&gt;0,INDEX('Coverage Indicators - Section D'!AD$1:AD$100,MATCH('Print View'!$A149,'Coverage Indicators - Section D'!$A$1:$A$100,0)),""),"")&amp;"/"&amp;IFERROR(IF(INDEX('Coverage Indicators - Section D'!AD$1:AD$100,MATCH('Print View'!$A149,'Coverage Indicators - Section D'!$A$1:$A$100,0)+1)&lt;&gt;0,INDEX('Coverage Indicators - Section D'!AD$1:AD$100,MATCH('Print View'!$A149,'Coverage Indicators - Section D'!$A$1:$A$100,0)+1),""),"")&amp;CHAR(10)&amp;IFERROR(IF(INDEX('Coverage Indicators - Section D'!AE$1:AE$100,MATCH('Print View'!$A149,'Coverage Indicators - Section D'!$A$1:$A$100,0))&lt;&gt;0,TEXT(INDEX('Coverage Indicators - Section D'!AE$1:AE$100,MATCH('Print View'!$A149,'Coverage Indicators - Section D'!$A$1:$A$100,0)),"0.00%"),""),"")&amp;CHAR(10)&amp;IFERROR(IF(INDEX('Coverage Indicators - Section D'!AF$1:AF$100,MATCH('Print View'!$A149,'Coverage Indicators - Section D'!$A$1:$A$100,0))&lt;&gt;0,INDEX('Coverage Indicators - Section D'!AF$1:AF$100,MATCH('Print View'!$A149,'Coverage Indicators - Section D'!$A$1:$A$100,0)),""),"")</f>
        <v xml:space="preserve">15413/15890
97.00%
</v>
      </c>
      <c r="R149" s="406" t="str">
        <f ca="1">IFERROR(IF(INDEX('Coverage Indicators - Section D'!AG$1:AG$100,MATCH('Print View'!$A149,'Coverage Indicators - Section D'!$A$1:$A$100,0))&lt;&gt;0,INDEX('Coverage Indicators - Section D'!AG$1:AG$100,MATCH('Print View'!$A149,'Coverage Indicators - Section D'!$A$1:$A$100,0)),""),"")&amp;"/"&amp;IFERROR(IF(INDEX('Coverage Indicators - Section D'!AG$1:AG$100,MATCH('Print View'!$A149,'Coverage Indicators - Section D'!$A$1:$A$100,0)+1)&lt;&gt;0,INDEX('Coverage Indicators - Section D'!AG$1:AG$100,MATCH('Print View'!$A149,'Coverage Indicators - Section D'!$A$1:$A$100,0)+1),""),"")&amp;CHAR(10)&amp;IFERROR(IF(INDEX('Coverage Indicators - Section D'!AH$1:AH$100,MATCH('Print View'!$A149,'Coverage Indicators - Section D'!$A$1:$A$100,0))&lt;&gt;0,TEXT(INDEX('Coverage Indicators - Section D'!AH$1:AH$100,MATCH('Print View'!$A149,'Coverage Indicators - Section D'!$A$1:$A$100,0)),"0.00%"),""),"")&amp;CHAR(10)&amp;IFERROR(IF(INDEX('Coverage Indicators - Section D'!AI$1:AI$100,MATCH('Print View'!$A149,'Coverage Indicators - Section D'!$A$1:$A$100,0))&lt;&gt;0,INDEX('Coverage Indicators - Section D'!AI$1:AI$100,MATCH('Print View'!$A149,'Coverage Indicators - Section D'!$A$1:$A$100,0)),""),"")</f>
        <v xml:space="preserve">/
</v>
      </c>
      <c r="S149" s="406" t="str">
        <f ca="1">IFERROR(IF(INDEX('Coverage Indicators - Section D'!AJ$1:AJ$100,MATCH('Print View'!$A149,'Coverage Indicators - Section D'!$A$1:$A$100,0))&lt;&gt;0,INDEX('Coverage Indicators - Section D'!AJ$1:AJ$100,MATCH('Print View'!$A149,'Coverage Indicators - Section D'!$A$1:$A$100,0)),""),"")&amp;"/"&amp;IFERROR(IF(INDEX('Coverage Indicators - Section D'!AJ$1:AJ$100,MATCH('Print View'!$A149,'Coverage Indicators - Section D'!$A$1:$A$100,0)+1)&lt;&gt;0,INDEX('Coverage Indicators - Section D'!AJ$1:AJ$100,MATCH('Print View'!$A149,'Coverage Indicators - Section D'!$A$1:$A$100,0)+1),""),"")&amp;CHAR(10)&amp;IFERROR(IF(INDEX('Coverage Indicators - Section D'!AK$1:AK$100,MATCH('Print View'!$A149,'Coverage Indicators - Section D'!$A$1:$A$100,0))&lt;&gt;0,TEXT(INDEX('Coverage Indicators - Section D'!AK$1:AK$100,MATCH('Print View'!$A149,'Coverage Indicators - Section D'!$A$1:$A$100,0)),"0.00%"),""),"")&amp;CHAR(10)&amp;IFERROR(IF(INDEX('Coverage Indicators - Section D'!AL$1:AL$100,MATCH('Print View'!$A149,'Coverage Indicators - Section D'!$A$1:$A$100,0))&lt;&gt;0,INDEX('Coverage Indicators - Section D'!AL$1:AL$100,MATCH('Print View'!$A149,'Coverage Indicators - Section D'!$A$1:$A$100,0)),""),"")</f>
        <v xml:space="preserve">/
</v>
      </c>
      <c r="T149" s="385"/>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f ca="1">IFERROR(IF(INDEX('Coverage Indicators - Section D'!AD$1:AD$110,MATCH('Print View'!$A149,'Coverage Indicators - Section D'!$A$1:$A$110,0))&lt;&gt;0,INDEX('Coverage Indicators - Section D'!AD$1:AD$110,MATCH('Print View'!$A149,'Coverage Indicators - Section D'!$A$1:$A$110,0)),""),"")</f>
        <v>15413</v>
      </c>
      <c r="AP149" s="216"/>
      <c r="AQ149" s="216"/>
      <c r="AR149" s="216"/>
      <c r="AS149" s="216"/>
      <c r="AT149" s="711" t="str">
        <f ca="1">CONCATENATE($A149,N$147)</f>
        <v>130-Jun-22</v>
      </c>
      <c r="AU149" s="710" t="str">
        <f ca="1">CONCATENATE($A149,Q$147)</f>
        <v>131-Dec-23</v>
      </c>
      <c r="AV149" s="710" t="str">
        <f>CONCATENATE($A149,V$147)</f>
        <v>1</v>
      </c>
      <c r="AW149" s="710" t="str">
        <f>CONCATENATE($A149,Y$147)</f>
        <v>1</v>
      </c>
      <c r="AX149" s="710" t="str">
        <f>CONCATENATE($A149,AB$147)</f>
        <v>1</v>
      </c>
      <c r="AY149" s="710" t="str">
        <f>CONCATENATE($A149,AE$147)</f>
        <v>1</v>
      </c>
      <c r="AZ149" s="710" t="str">
        <f>CONCATENATE($A149,AH$147)</f>
        <v>1</v>
      </c>
      <c r="BA149" s="710" t="str">
        <f>CONCATENATE($A149,AK$147)</f>
        <v>1</v>
      </c>
      <c r="BB149" s="409"/>
      <c r="BC149" s="410"/>
    </row>
    <row r="150" spans="1:55" s="411" customFormat="1" ht="88.2" customHeight="1" x14ac:dyDescent="0.3">
      <c r="A150" s="709"/>
      <c r="B150" s="714" t="str">
        <f ca="1">IFERROR(IF(INDEX('Coverage Indicators - Section D'!AM$1:AM$110,MATCH('Print View'!$A149,'Coverage Indicators - Section D'!$A$1:$A$110,0))&lt;&gt;0,INDEX('Coverage Indicators - Section D'!AM$1:AM$110,MATCH('Print View'!$A149,'Coverage Indicators - Section D'!$A$1:$A$110,0)),""),"")</f>
        <v xml:space="preserve">Le taux de positivité projeté à partir des données de routine. Il est estimé à 1,4% (2021), 1,1% (2022) et 0,9% (2023).
Population à dépister est estimée à partir de la population totale. En fonction des données de routine et des stratégies qui seront mises en place, ce taux est fixé à 8,5% pour l'année 2020. De 2021 à 2023, le nombre de personnes à dépister à été identifier en rapportant la population totale sur les taux de positivité projeté. Ce qui donne 2 157 104 (2021), 1 939 428 (2022) et 1 765 568 (2023). 
Le nombre de nouvelles personnes dépistées séropositives est obtenu en faisant le rapport de nombre de clients dépisté pour le VIH sur les taux de positivité par an. Cela donne 30 199 (2021), 21 334 (2022) et 15 890 (2023). 
Le nombre de personnes à mettre sous traitement est estmé en considérant qu'on aura une déperdition de 5% en 2021, 4% en 2022 et 3% en 2023 du nombre de personnes dépistées séropositives. Cela donne 28 689 (2021), 20 480 (2022) et 15 413 (2023). 
Numerateur: Nombre de personnes nouvellement dépistées séropositives au VIH et mises sous ARV
Denominateur: Nombre de personnes nouvellement dépistées séropositives au VIH
Désagrégation par sexe et tranches d'âge
L'indicateur est cumulatif annullement. </v>
      </c>
      <c r="C150" s="715"/>
      <c r="D150" s="715"/>
      <c r="E150" s="715"/>
      <c r="F150" s="715"/>
      <c r="G150" s="715"/>
      <c r="H150" s="715"/>
      <c r="I150" s="715"/>
      <c r="J150" s="715"/>
      <c r="K150" s="715"/>
      <c r="L150" s="715"/>
      <c r="M150" s="715"/>
      <c r="N150" s="715"/>
      <c r="O150" s="715"/>
      <c r="P150" s="715"/>
      <c r="Q150" s="715"/>
      <c r="R150" s="715"/>
      <c r="S150" s="716"/>
      <c r="T150" s="412"/>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711"/>
      <c r="AU150" s="710"/>
      <c r="AV150" s="710"/>
      <c r="AW150" s="710"/>
      <c r="AX150" s="710"/>
      <c r="AY150" s="710"/>
      <c r="AZ150" s="710"/>
      <c r="BA150" s="710"/>
      <c r="BB150" s="409"/>
      <c r="BC150" s="410"/>
    </row>
    <row r="151" spans="1:55" s="411" customFormat="1" ht="177" customHeight="1" x14ac:dyDescent="0.3">
      <c r="A151" s="712">
        <v>2</v>
      </c>
      <c r="B151" s="380" t="str">
        <f ca="1">IFERROR(IF(INDEX('Coverage Indicators - Section D'!B$1:B$100,MATCH('Print View'!$A151,'Coverage Indicators - Section D'!$A$1:$A$100,0))&lt;&gt;0,INDEX('Coverage Indicators - Section D'!B$1:B$100,MATCH('Print View'!$A151,'Coverage Indicators - Section D'!$A$1:$A$100,0)),""),"")</f>
        <v>Services de dépistage différencié du VIH</v>
      </c>
      <c r="C151" s="380" t="str">
        <f ca="1">IFERROR(IF(INDEX('Coverage Indicators - Section D'!D$1:D$100,MATCH('Print View'!$A151,'Coverage Indicators - Section D'!$A$1:$A$100,0))&lt;&gt;0,INDEX('Coverage Indicators - Section D'!D$1:D$100,MATCH('Print View'!$A151,'Coverage Indicators - Section D'!$A$1:$A$100,0)),""),"")</f>
        <v>HTS-3f⁽ᴹ⁾ Pourcentage de personnes en détention ou se trouvant dans d’autres lieux fermés chez lesquels un dépistage du VIH a été réalisé durant la période de communication de l’information et qui connaissent leur résultat</v>
      </c>
      <c r="D151" s="380" t="str">
        <f ca="1">IFERROR(IF(INDEX('Coverage Indicators - Section D'!E$1:E$100,MATCH('Print View'!$A151,'Coverage Indicators - Section D'!$A$1:$A$100,0))&lt;&gt;0,INDEX('Coverage Indicators - Section D'!E$1:E$100,MATCH('Print View'!$A151,'Coverage Indicators - Section D'!$A$1:$A$100,0)),""),"")</f>
        <v/>
      </c>
      <c r="E151" s="381" t="str">
        <f ca="1">IFERROR(IF(INDEX('Coverage Indicators - Section D'!F$1:F$100,MATCH('Print View'!$A151,'Coverage Indicators - Section D'!$A$1:$A$100,0))&lt;&gt;0,INDEX('Coverage Indicators - Section D'!F$1:F$100,MATCH('Print View'!$A151,'Coverage Indicators - Section D'!$A$1:$A$100,0)),""),"")&amp;"/"&amp;IFERROR(IF(INDEX('Coverage Indicators - Section D'!F$1:F$100,MATCH('Print View'!$A151,'Coverage Indicators - Section D'!$A$1:$A$100,0)+1)&lt;&gt;0,INDEX('Coverage Indicators - Section D'!F$1:F$100,MATCH('Print View'!$A151,'Coverage Indicators - Section D'!$A$1:$A$100,0)+1),""),"")&amp;CHAR(10)&amp;IFERROR(IF(INDEX('Coverage Indicators - Section D'!G$1:G$100,MATCH('Print View'!$A151,'Coverage Indicators - Section D'!$A$1:$A$100,0))&lt;&gt;0,TEXT(INDEX('Coverage Indicators - Section D'!G$1:G$100,MATCH('Print View'!$A151,'Coverage Indicators - Section D'!$A$1:$A$100,0)),"0.00%"),""),"")</f>
        <v>23581/43327
62.00%</v>
      </c>
      <c r="F151" s="413"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 xml:space="preserve">2019
Données de routine PNLS </v>
      </c>
      <c r="G151" s="414" t="str">
        <f>IFERROR(IF(INDEX('Coverage Indicators - Section D'!J9:J38,MATCH('Print View'!$A151,'Coverage Indicators - Section D'!$A$9:$A$38,0))&lt;&gt;0,INDEX('Coverage Indicators - Section D'!J9:J38,MATCH('Print View'!$A151,'Coverage Indicators - Section D'!$A$9:$A$38,0)),""),"")</f>
        <v>Résultat du test VIH</v>
      </c>
      <c r="H151" s="413" t="str">
        <f ca="1">IFERROR(IF(INDEX('Coverage Indicators - Section D'!K$1:K$100,MATCH('Print View'!$A151,'Coverage Indicators - Section D'!$A$1:$A$100,0))&lt;&gt;0,INDEX('Coverage Indicators - Section D'!K$1:K$100,MATCH('Print View'!$A151,'Coverage Indicators - Section D'!$A$1:$A$100,0)),""),"")</f>
        <v>Yes</v>
      </c>
      <c r="I151" s="414" t="str">
        <f ca="1">IFERROR(IF(INDEX('Coverage Indicators - Section D'!L$1:L$100,MATCH('Print View'!$A151,'Coverage Indicators - Section D'!$A$1:$A$100,0))&lt;&gt;0,INDEX('Coverage Indicators - Section D'!L$1:L$100,MATCH('Print View'!$A151,'Coverage Indicators - Section D'!$A$1:$A$100,0)),""),"")</f>
        <v>Programme National de Lutte contre le SIDA de la République de Côte d'Ivoire</v>
      </c>
      <c r="J151" s="415"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Côte d'Ivoire
Geographic Subnational, 100% of national program target</v>
      </c>
      <c r="K151" s="413" t="str">
        <f ca="1">IFERROR(IF(INDEX('Coverage Indicators - Section D'!N$1:N$100,MATCH('Print View'!$A151,'Coverage Indicators - Section D'!$A$1:$A$100,0))&lt;&gt;0,INDEX('Coverage Indicators - Section D'!N$1:N$100,MATCH('Print View'!$A151,'Coverage Indicators - Section D'!$A$1:$A$100,0)),""),"")</f>
        <v>Non cumulative</v>
      </c>
      <c r="L151" s="415" t="str">
        <f ca="1">IFERROR(IF(INDEX('Coverage Indicators - Section D'!O$1:O$100,MATCH('Print View'!$A151,'Coverage Indicators - Section D'!$A$1:$A$100,0))&lt;&gt;0,INDEX('Coverage Indicators - Section D'!O$1:O$100,MATCH('Print View'!$A151,'Coverage Indicators - Section D'!$A$1:$A$100,0)),""),"")&amp;"/"&amp;IFERROR(IF(INDEX('Coverage Indicators - Section D'!O$1:O$100,MATCH('Print View'!$A151,'Coverage Indicators - Section D'!$A$1:$A$100,0)+1)&lt;&gt;0,INDEX('Coverage Indicators - Section D'!O$1:O$100,MATCH('Print View'!$A151,'Coverage Indicators - Section D'!$A$1:$A$100,0)+1),""),"")&amp;CHAR(10)&amp;IFERROR(IF(INDEX('Coverage Indicators - Section D'!P$1:P$100,MATCH('Print View'!$A151,'Coverage Indicators - Section D'!$A$1:$A$100,0))&lt;&gt;0,TEXT(INDEX('Coverage Indicators - Section D'!P$1:P$100,MATCH('Print View'!$A151,'Coverage Indicators - Section D'!$A$1:$A$100,0)),"0.00%"),""),"")&amp;CHAR(10)&amp;IFERROR(IF(INDEX('Coverage Indicators - Section D'!Q$1:Q$100,MATCH('Print View'!$A151,'Coverage Indicators - Section D'!$A$1:$A$100,0))&lt;&gt;0,INDEX('Coverage Indicators - Section D'!Q$1:Q$100,MATCH('Print View'!$A151,'Coverage Indicators - Section D'!$A$1:$A$100,0)),""),"")</f>
        <v xml:space="preserve">15948/24163.5
66.00%
</v>
      </c>
      <c r="M151" s="415" t="str">
        <f ca="1">IFERROR(IF(INDEX('Coverage Indicators - Section D'!R$1:R$100,MATCH('Print View'!$A151,'Coverage Indicators - Section D'!$A$1:$A$100,0))&lt;&gt;0,INDEX('Coverage Indicators - Section D'!R$1:R$100,MATCH('Print View'!$A151,'Coverage Indicators - Section D'!$A$1:$A$100,0)),""),"")&amp;"/"&amp;IFERROR(IF(INDEX('Coverage Indicators - Section D'!R$1:R$100,MATCH('Print View'!$A151,'Coverage Indicators - Section D'!$A$1:$A$100,0)+1)&lt;&gt;0,INDEX('Coverage Indicators - Section D'!R$1:R$100,MATCH('Print View'!$A151,'Coverage Indicators - Section D'!$A$1:$A$100,0)+1),""),"")&amp;CHAR(10)&amp;IFERROR(IF(INDEX('Coverage Indicators - Section D'!S$1:S$100,MATCH('Print View'!$A151,'Coverage Indicators - Section D'!$A$1:$A$100,0))&lt;&gt;0,TEXT(INDEX('Coverage Indicators - Section D'!S$1:S$100,MATCH('Print View'!$A151,'Coverage Indicators - Section D'!$A$1:$A$100,0)),"0.00%"),""),"")&amp;CHAR(10)&amp;IFERROR(IF(INDEX('Coverage Indicators - Section D'!T$1:T$100,MATCH('Print View'!$A151,'Coverage Indicators - Section D'!$A$1:$A$100,0))&lt;&gt;0,INDEX('Coverage Indicators - Section D'!T$1:T$100,MATCH('Print View'!$A151,'Coverage Indicators - Section D'!$A$1:$A$100,0)),""),"")</f>
        <v xml:space="preserve">31896/48327
66.00%
</v>
      </c>
      <c r="N151" s="415" t="str">
        <f ca="1">IFERROR(IF(INDEX('Coverage Indicators - Section D'!U$1:U$100,MATCH('Print View'!$A151,'Coverage Indicators - Section D'!$A$1:$A$100,0))&lt;&gt;0,INDEX('Coverage Indicators - Section D'!U$1:U$100,MATCH('Print View'!$A151,'Coverage Indicators - Section D'!$A$1:$A$100,0)),""),"")&amp;"/"&amp;IFERROR(IF(INDEX('Coverage Indicators - Section D'!U$1:U$100,MATCH('Print View'!$A151,'Coverage Indicators - Section D'!$A$1:$A$100,0)+1)&lt;&gt;0,INDEX('Coverage Indicators - Section D'!U$1:U$100,MATCH('Print View'!$A151,'Coverage Indicators - Section D'!$A$1:$A$100,0)+1),""),"")&amp;CHAR(10)&amp;IFERROR(IF(INDEX('Coverage Indicators - Section D'!V$1:V$100,MATCH('Print View'!$A151,'Coverage Indicators - Section D'!$A$1:$A$100,0))&lt;&gt;0,TEXT(INDEX('Coverage Indicators - Section D'!V$1:V$100,MATCH('Print View'!$A151,'Coverage Indicators - Section D'!$A$1:$A$100,0)),"0.00%"),""),"")&amp;CHAR(10)&amp;IFERROR(IF(INDEX('Coverage Indicators - Section D'!W$1:W$100,MATCH('Print View'!$A151,'Coverage Indicators - Section D'!$A$1:$A$100,0))&lt;&gt;0,INDEX('Coverage Indicators - Section D'!W$1:W$100,MATCH('Print View'!$A151,'Coverage Indicators - Section D'!$A$1:$A$100,0)),""),"")</f>
        <v xml:space="preserve">18297.5/25413.5
72.00%
</v>
      </c>
      <c r="O151" s="415" t="str">
        <f ca="1">IFERROR(IF(INDEX('Coverage Indicators - Section D'!X$1:X$100,MATCH('Print View'!$A151,'Coverage Indicators - Section D'!$A$1:$A$100,0))&lt;&gt;0,INDEX('Coverage Indicators - Section D'!X$1:X$100,MATCH('Print View'!$A151,'Coverage Indicators - Section D'!$A$1:$A$100,0)),""),"")&amp;"/"&amp;IFERROR(IF(INDEX('Coverage Indicators - Section D'!X$1:X$100,MATCH('Print View'!$A151,'Coverage Indicators - Section D'!$A$1:$A$100,0)+1)&lt;&gt;0,INDEX('Coverage Indicators - Section D'!X$1:X$100,MATCH('Print View'!$A151,'Coverage Indicators - Section D'!$A$1:$A$100,0)+1),""),"")&amp;CHAR(10)&amp;IFERROR(IF(INDEX('Coverage Indicators - Section D'!Y$1:Y$100,MATCH('Print View'!$A151,'Coverage Indicators - Section D'!$A$1:$A$100,0))&lt;&gt;0,TEXT(INDEX('Coverage Indicators - Section D'!Y$1:Y$100,MATCH('Print View'!$A151,'Coverage Indicators - Section D'!$A$1:$A$100,0)),"0.00%"),""),"")&amp;CHAR(10)&amp;IFERROR(IF(INDEX('Coverage Indicators - Section D'!Z$1:Z$100,MATCH('Print View'!$A151,'Coverage Indicators - Section D'!$A$1:$A$100,0))&lt;&gt;0,INDEX('Coverage Indicators - Section D'!Z$1:Z$100,MATCH('Print View'!$A151,'Coverage Indicators - Section D'!$A$1:$A$100,0)),""),"")</f>
        <v xml:space="preserve">36595/50827
72.00%
</v>
      </c>
      <c r="P151" s="415" t="str">
        <f ca="1">IFERROR(IF(INDEX('Coverage Indicators - Section D'!AA$1:AA$100,MATCH('Print View'!$A151,'Coverage Indicators - Section D'!$A$1:$A$100,0))&lt;&gt;0,INDEX('Coverage Indicators - Section D'!AA$1:AA$100,MATCH('Print View'!$A151,'Coverage Indicators - Section D'!$A$1:$A$100,0)),""),"")&amp;"/"&amp;IFERROR(IF(INDEX('Coverage Indicators - Section D'!AA$1:AA$100,MATCH('Print View'!$A151,'Coverage Indicators - Section D'!$A$1:$A$100,0)+1)&lt;&gt;0,INDEX('Coverage Indicators - Section D'!AA$1:AA$100,MATCH('Print View'!$A151,'Coverage Indicators - Section D'!$A$1:$A$100,0)+1),""),"")&amp;CHAR(10)&amp;IFERROR(IF(INDEX('Coverage Indicators - Section D'!AB$1:AB$100,MATCH('Print View'!$A151,'Coverage Indicators - Section D'!$A$1:$A$100,0))&lt;&gt;0,TEXT(INDEX('Coverage Indicators - Section D'!AB$1:AB$100,MATCH('Print View'!$A151,'Coverage Indicators - Section D'!$A$1:$A$100,0)),"0.00%"),""),"")&amp;CHAR(10)&amp;IFERROR(IF(INDEX('Coverage Indicators - Section D'!AC$1:AC$100,MATCH('Print View'!$A151,'Coverage Indicators - Section D'!$A$1:$A$100,0))&lt;&gt;0,INDEX('Coverage Indicators - Section D'!AC$1:AC$100,MATCH('Print View'!$A151,'Coverage Indicators - Section D'!$A$1:$A$100,0)),""),"")</f>
        <v xml:space="preserve">20797.5/26663.5
78.00%
</v>
      </c>
      <c r="Q151" s="415" t="str">
        <f ca="1">IFERROR(IF(INDEX('Coverage Indicators - Section D'!AD$1:AD$100,MATCH('Print View'!$A151,'Coverage Indicators - Section D'!$A$1:$A$100,0))&lt;&gt;0,INDEX('Coverage Indicators - Section D'!AD$1:AD$100,MATCH('Print View'!$A151,'Coverage Indicators - Section D'!$A$1:$A$100,0)),""),"")&amp;"/"&amp;IFERROR(IF(INDEX('Coverage Indicators - Section D'!AD$1:AD$100,MATCH('Print View'!$A151,'Coverage Indicators - Section D'!$A$1:$A$100,0)+1)&lt;&gt;0,INDEX('Coverage Indicators - Section D'!AD$1:AD$100,MATCH('Print View'!$A151,'Coverage Indicators - Section D'!$A$1:$A$100,0)+1),""),"")&amp;CHAR(10)&amp;IFERROR(IF(INDEX('Coverage Indicators - Section D'!AE$1:AE$100,MATCH('Print View'!$A151,'Coverage Indicators - Section D'!$A$1:$A$100,0))&lt;&gt;0,TEXT(INDEX('Coverage Indicators - Section D'!AE$1:AE$100,MATCH('Print View'!$A151,'Coverage Indicators - Section D'!$A$1:$A$100,0)),"0.00%"),""),"")&amp;CHAR(10)&amp;IFERROR(IF(INDEX('Coverage Indicators - Section D'!AF$1:AF$100,MATCH('Print View'!$A151,'Coverage Indicators - Section D'!$A$1:$A$100,0))&lt;&gt;0,INDEX('Coverage Indicators - Section D'!AF$1:AF$100,MATCH('Print View'!$A151,'Coverage Indicators - Section D'!$A$1:$A$100,0)),""),"")</f>
        <v xml:space="preserve">41595/53327
78.00%
</v>
      </c>
      <c r="R151" s="415" t="str">
        <f ca="1">IFERROR(IF(INDEX('Coverage Indicators - Section D'!AG$1:AG$100,MATCH('Print View'!$A151,'Coverage Indicators - Section D'!$A$1:$A$100,0))&lt;&gt;0,INDEX('Coverage Indicators - Section D'!AG$1:AG$100,MATCH('Print View'!$A151,'Coverage Indicators - Section D'!$A$1:$A$100,0)),""),"")&amp;"/"&amp;IFERROR(IF(INDEX('Coverage Indicators - Section D'!AG$1:AG$100,MATCH('Print View'!$A151,'Coverage Indicators - Section D'!$A$1:$A$100,0)+1)&lt;&gt;0,INDEX('Coverage Indicators - Section D'!AG$1:AG$100,MATCH('Print View'!$A151,'Coverage Indicators - Section D'!$A$1:$A$100,0)+1),""),"")&amp;CHAR(10)&amp;IFERROR(IF(INDEX('Coverage Indicators - Section D'!AH$1:AH$100,MATCH('Print View'!$A151,'Coverage Indicators - Section D'!$A$1:$A$100,0))&lt;&gt;0,TEXT(INDEX('Coverage Indicators - Section D'!AH$1:AH$100,MATCH('Print View'!$A151,'Coverage Indicators - Section D'!$A$1:$A$100,0)),"0.00%"),""),"")&amp;CHAR(10)&amp;IFERROR(IF(INDEX('Coverage Indicators - Section D'!AI$1:AI$100,MATCH('Print View'!$A151,'Coverage Indicators - Section D'!$A$1:$A$100,0))&lt;&gt;0,INDEX('Coverage Indicators - Section D'!AI$1:AI$100,MATCH('Print View'!$A151,'Coverage Indicators - Section D'!$A$1:$A$100,0)),""),"")</f>
        <v xml:space="preserve">/
</v>
      </c>
      <c r="S151" s="415" t="str">
        <f ca="1">IFERROR(IF(INDEX('Coverage Indicators - Section D'!AJ$1:AJ$100,MATCH('Print View'!$A151,'Coverage Indicators - Section D'!$A$1:$A$100,0))&lt;&gt;0,INDEX('Coverage Indicators - Section D'!AJ$1:AJ$100,MATCH('Print View'!$A151,'Coverage Indicators - Section D'!$A$1:$A$100,0)),""),"")&amp;"/"&amp;IFERROR(IF(INDEX('Coverage Indicators - Section D'!AJ$1:AJ$100,MATCH('Print View'!$A151,'Coverage Indicators - Section D'!$A$1:$A$100,0)+1)&lt;&gt;0,INDEX('Coverage Indicators - Section D'!AJ$1:AJ$100,MATCH('Print View'!$A151,'Coverage Indicators - Section D'!$A$1:$A$100,0)+1),""),"")&amp;CHAR(10)&amp;IFERROR(IF(INDEX('Coverage Indicators - Section D'!AK$1:AK$100,MATCH('Print View'!$A151,'Coverage Indicators - Section D'!$A$1:$A$100,0))&lt;&gt;0,TEXT(INDEX('Coverage Indicators - Section D'!AK$1:AK$100,MATCH('Print View'!$A151,'Coverage Indicators - Section D'!$A$1:$A$100,0)),"0.00%"),""),"")&amp;CHAR(10)&amp;IFERROR(IF(INDEX('Coverage Indicators - Section D'!AL$1:AL$100,MATCH('Print View'!$A151,'Coverage Indicators - Section D'!$A$1:$A$100,0))&lt;&gt;0,INDEX('Coverage Indicators - Section D'!AL$1:AL$100,MATCH('Print View'!$A151,'Coverage Indicators - Section D'!$A$1:$A$100,0)),""),"")</f>
        <v xml:space="preserve">/
</v>
      </c>
      <c r="T151" s="416"/>
      <c r="U151" s="216"/>
      <c r="V151" s="216"/>
      <c r="W151" s="216"/>
      <c r="X151" s="216"/>
      <c r="Y151" s="216"/>
      <c r="Z151" s="216"/>
      <c r="AA151" s="216"/>
      <c r="AB151" s="216"/>
      <c r="AC151" s="216"/>
      <c r="AD151" s="216"/>
      <c r="AE151" s="216"/>
      <c r="AF151" s="216"/>
      <c r="AG151" s="216"/>
      <c r="AH151" s="216"/>
      <c r="AI151" s="216"/>
      <c r="AJ151" s="216"/>
      <c r="AK151" s="216"/>
      <c r="AL151" s="216"/>
      <c r="AM151" s="216"/>
      <c r="AN151" s="216"/>
      <c r="AO151" s="216">
        <f ca="1">IFERROR(IF(INDEX('Coverage Indicators - Section D'!AD$1:AD$110,MATCH('Print View'!$A151,'Coverage Indicators - Section D'!$A$1:$A$110,0))&lt;&gt;0,INDEX('Coverage Indicators - Section D'!AD$1:AD$110,MATCH('Print View'!$A151,'Coverage Indicators - Section D'!$A$1:$A$110,0)),""),"")</f>
        <v>41595</v>
      </c>
      <c r="AP151" s="216"/>
      <c r="AQ151" s="216"/>
      <c r="AR151" s="216"/>
      <c r="AS151" s="216"/>
      <c r="AT151" s="711" t="str">
        <f ca="1">CONCATENATE($A151,N$147)</f>
        <v>230-Jun-22</v>
      </c>
      <c r="AU151" s="710" t="str">
        <f ca="1">CONCATENATE($A151,Q$147)</f>
        <v>231-Dec-23</v>
      </c>
      <c r="AV151" s="710" t="str">
        <f t="shared" ref="AV151" si="28">CONCATENATE($A151,V$147)</f>
        <v>2</v>
      </c>
      <c r="AW151" s="710" t="str">
        <f t="shared" ref="AW151" si="29">CONCATENATE($A151,Y$147)</f>
        <v>2</v>
      </c>
      <c r="AX151" s="710" t="str">
        <f t="shared" ref="AX151" si="30">CONCATENATE($A151,AB$147)</f>
        <v>2</v>
      </c>
      <c r="AY151" s="710" t="str">
        <f t="shared" ref="AY151" si="31">CONCATENATE($A151,AE$147)</f>
        <v>2</v>
      </c>
      <c r="AZ151" s="710" t="str">
        <f t="shared" ref="AZ151" si="32">CONCATENATE($A151,AH$147)</f>
        <v>2</v>
      </c>
      <c r="BA151" s="710" t="str">
        <f t="shared" ref="BA151" si="33">CONCATENATE($A151,AK$147)</f>
        <v>2</v>
      </c>
      <c r="BB151" s="409"/>
      <c r="BC151" s="410"/>
    </row>
    <row r="152" spans="1:55" s="411" customFormat="1" ht="88.2" customHeight="1" x14ac:dyDescent="0.3">
      <c r="A152" s="712"/>
      <c r="B152" s="717" t="str">
        <f ca="1">IFERROR(IF(INDEX('Coverage Indicators - Section D'!AM$1:AM$110,MATCH('Print View'!$A151,'Coverage Indicators - Section D'!$A$1:$A$110,0))&lt;&gt;0,INDEX('Coverage Indicators - Section D'!AM$1:AM$110,MATCH('Print View'!$A151,'Coverage Indicators - Section D'!$A$1:$A$110,0)),""),"")</f>
        <v>Selon les données de routine, la population carcérale augmente en moyenne 2500 détenus par an.  La taille de population a été projeté à 48 327 en 2021, 50 827 en 2022 et 53 327 en 2023. Il s'agit des nouveaux et des anciens detenus. Les nouveaux detenus représentent 60% de la population totale au cours de la période. 
Les cibles du PSN du dépistage en prison sont de  66% en 2021, 72% en 2022 et 78% en 2023 de la population totale en prison. 
Numérateur: Nombre de détenus dépistés au cours de la période 
Dénominateur: Population carcérale au cours de la période 
L'indicateur sera désagrégé par anciens + nouveaux detenus et nouveaux detenus   par sexe
L'indicateur est cumulatif annuellement</v>
      </c>
      <c r="C152" s="718"/>
      <c r="D152" s="718"/>
      <c r="E152" s="718"/>
      <c r="F152" s="718"/>
      <c r="G152" s="718"/>
      <c r="H152" s="718"/>
      <c r="I152" s="719"/>
      <c r="J152" s="719"/>
      <c r="K152" s="719"/>
      <c r="L152" s="719"/>
      <c r="M152" s="719"/>
      <c r="N152" s="719"/>
      <c r="O152" s="719"/>
      <c r="P152" s="719"/>
      <c r="Q152" s="719"/>
      <c r="R152" s="719"/>
      <c r="S152" s="720"/>
      <c r="T152" s="417"/>
      <c r="U152" s="216"/>
      <c r="V152" s="216"/>
      <c r="W152" s="216"/>
      <c r="X152" s="216"/>
      <c r="Y152" s="21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711"/>
      <c r="AU152" s="710"/>
      <c r="AV152" s="710"/>
      <c r="AW152" s="710"/>
      <c r="AX152" s="710"/>
      <c r="AY152" s="710"/>
      <c r="AZ152" s="710"/>
      <c r="BA152" s="710"/>
      <c r="BB152" s="409"/>
      <c r="BC152" s="410"/>
    </row>
    <row r="153" spans="1:55" s="411" customFormat="1" ht="177" customHeight="1" x14ac:dyDescent="0.3">
      <c r="A153" s="709">
        <v>3</v>
      </c>
      <c r="B153" s="404" t="str">
        <f ca="1">IFERROR(IF(INDEX('Coverage Indicators - Section D'!B$1:B$100,MATCH('Print View'!$A153,'Coverage Indicators - Section D'!$A$1:$A$100,0))&lt;&gt;0,INDEX('Coverage Indicators - Section D'!B$1:B$100,MATCH('Print View'!$A153,'Coverage Indicators - Section D'!$A$1:$A$100,0)),""),"")</f>
        <v>PTME</v>
      </c>
      <c r="C153" s="404" t="str">
        <f ca="1">IFERROR(IF(INDEX('Coverage Indicators - Section D'!D$1:D$100,MATCH('Print View'!$A153,'Coverage Indicators - Section D'!$A$1:$A$100,0))&lt;&gt;0,INDEX('Coverage Indicators - Section D'!D$1:D$100,MATCH('Print View'!$A153,'Coverage Indicators - Section D'!$A$1:$A$100,0)),""),"")</f>
        <v>PMTCT-1 Pourcentage de femmes enceintes qui connaissent leur statut sérologique pour le VIH</v>
      </c>
      <c r="D153" s="404" t="str">
        <f ca="1">IFERROR(IF(INDEX('Coverage Indicators - Section D'!E$1:E$100,MATCH('Print View'!$A153,'Coverage Indicators - Section D'!$A$1:$A$100,0))&lt;&gt;0,INDEX('Coverage Indicators - Section D'!E$1:E$100,MATCH('Print View'!$A153,'Coverage Indicators - Section D'!$A$1:$A$100,0)),""),"")</f>
        <v/>
      </c>
      <c r="E153" s="405" t="str">
        <f ca="1">IFERROR(IF(INDEX('Coverage Indicators - Section D'!F$1:F$100,MATCH('Print View'!$A153,'Coverage Indicators - Section D'!$A$1:$A$100,0))&lt;&gt;0,INDEX('Coverage Indicators - Section D'!F$1:F$100,MATCH('Print View'!$A153,'Coverage Indicators - Section D'!$A$1:$A$100,0)),""),"")&amp;"/"&amp;IFERROR(IF(INDEX('Coverage Indicators - Section D'!F$1:F$100,MATCH('Print View'!$A153,'Coverage Indicators - Section D'!$A$1:$A$100,0)+1)&lt;&gt;0,INDEX('Coverage Indicators - Section D'!F$1:F$100,MATCH('Print View'!$A153,'Coverage Indicators - Section D'!$A$1:$A$100,0)+1),""),"")&amp;CHAR(10)&amp;IFERROR(IF(INDEX('Coverage Indicators - Section D'!G$1:G$100,MATCH('Print View'!$A153,'Coverage Indicators - Section D'!$A$1:$A$100,0))&lt;&gt;0,TEXT(INDEX('Coverage Indicators - Section D'!G$1:G$100,MATCH('Print View'!$A153,'Coverage Indicators - Section D'!$A$1:$A$100,0)),"0.00%"),""),"")</f>
        <v>1066250/1066143
100.01%</v>
      </c>
      <c r="F153" s="406"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 xml:space="preserve">2019
Données de routine PNLS </v>
      </c>
      <c r="G153" s="407" t="str">
        <f>IFERROR(IF(INDEX('Coverage Indicators - Section D'!J13:J42,MATCH('Print View'!$A153,'Coverage Indicators - Section D'!$A$9:$A$38,0))&lt;&gt;0,INDEX('Coverage Indicators - Section D'!J13:J42,MATCH('Print View'!$A153,'Coverage Indicators - Section D'!$A$9:$A$38,0)),""),"")</f>
        <v>Résultat du test VIH</v>
      </c>
      <c r="H153" s="408" t="str">
        <f ca="1">IFERROR(IF(INDEX('Coverage Indicators - Section D'!K$1:K$100,MATCH('Print View'!$A153,'Coverage Indicators - Section D'!$A$1:$A$100,0))&lt;&gt;0,INDEX('Coverage Indicators - Section D'!K$1:K$100,MATCH('Print View'!$A153,'Coverage Indicators - Section D'!$A$1:$A$100,0)),""),"")</f>
        <v>Yes</v>
      </c>
      <c r="I153" s="407" t="str">
        <f ca="1">IFERROR(IF(INDEX('Coverage Indicators - Section D'!L$1:L$100,MATCH('Print View'!$A153,'Coverage Indicators - Section D'!$A$1:$A$100,0))&lt;&gt;0,INDEX('Coverage Indicators - Section D'!L$1:L$100,MATCH('Print View'!$A153,'Coverage Indicators - Section D'!$A$1:$A$100,0)),""),"")</f>
        <v>Programme National de Lutte contre le SIDA de la République de Côte d'Ivoire</v>
      </c>
      <c r="J153" s="405"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Côte d'Ivoire
Geographic Subnational, 100% of national program target</v>
      </c>
      <c r="K153" s="405" t="str">
        <f ca="1">IFERROR(IF(INDEX('Coverage Indicators - Section D'!N$1:N$100,MATCH('Print View'!$A153,'Coverage Indicators - Section D'!$A$1:$A$100,0))&lt;&gt;0,INDEX('Coverage Indicators - Section D'!N$1:N$100,MATCH('Print View'!$A153,'Coverage Indicators - Section D'!$A$1:$A$100,0)),""),"")</f>
        <v>Non cumulative - special</v>
      </c>
      <c r="L153" s="405" t="str">
        <f ca="1">IFERROR(IF(INDEX('Coverage Indicators - Section D'!O$1:O$100,MATCH('Print View'!$A153,'Coverage Indicators - Section D'!$A$1:$A$100,0))&lt;&gt;0,INDEX('Coverage Indicators - Section D'!O$1:O$100,MATCH('Print View'!$A153,'Coverage Indicators - Section D'!$A$1:$A$100,0)),""),"")&amp;"/"&amp;IFERROR(IF(INDEX('Coverage Indicators - Section D'!O$1:O$100,MATCH('Print View'!$A153,'Coverage Indicators - Section D'!$A$1:$A$100,0)+1)&lt;&gt;0,INDEX('Coverage Indicators - Section D'!O$1:O$100,MATCH('Print View'!$A153,'Coverage Indicators - Section D'!$A$1:$A$100,0)+1),""),"")&amp;CHAR(10)&amp;IFERROR(IF(INDEX('Coverage Indicators - Section D'!P$1:P$100,MATCH('Print View'!$A153,'Coverage Indicators - Section D'!$A$1:$A$100,0))&lt;&gt;0,TEXT(INDEX('Coverage Indicators - Section D'!P$1:P$100,MATCH('Print View'!$A153,'Coverage Indicators - Section D'!$A$1:$A$100,0)),"0.00%"),""),"")&amp;CHAR(10)&amp;IFERROR(IF(INDEX('Coverage Indicators - Section D'!Q$1:Q$100,MATCH('Print View'!$A153,'Coverage Indicators - Section D'!$A$1:$A$100,0))&lt;&gt;0,INDEX('Coverage Indicators - Section D'!Q$1:Q$100,MATCH('Print View'!$A153,'Coverage Indicators - Section D'!$A$1:$A$100,0)),""),"")</f>
        <v xml:space="preserve">517395.84/1077908
48.00%
</v>
      </c>
      <c r="M153" s="406" t="str">
        <f ca="1">IFERROR(IF(INDEX('Coverage Indicators - Section D'!R$1:R$100,MATCH('Print View'!$A153,'Coverage Indicators - Section D'!$A$1:$A$100,0))&lt;&gt;0,INDEX('Coverage Indicators - Section D'!R$1:R$100,MATCH('Print View'!$A153,'Coverage Indicators - Section D'!$A$1:$A$100,0)),""),"")&amp;"/"&amp;IFERROR(IF(INDEX('Coverage Indicators - Section D'!R$1:R$100,MATCH('Print View'!$A153,'Coverage Indicators - Section D'!$A$1:$A$100,0)+1)&lt;&gt;0,INDEX('Coverage Indicators - Section D'!R$1:R$100,MATCH('Print View'!$A153,'Coverage Indicators - Section D'!$A$1:$A$100,0)+1),""),"")&amp;CHAR(10)&amp;IFERROR(IF(INDEX('Coverage Indicators - Section D'!S$1:S$100,MATCH('Print View'!$A153,'Coverage Indicators - Section D'!$A$1:$A$100,0))&lt;&gt;0,TEXT(INDEX('Coverage Indicators - Section D'!S$1:S$100,MATCH('Print View'!$A153,'Coverage Indicators - Section D'!$A$1:$A$100,0)),"0.00%"),""),"")&amp;CHAR(10)&amp;IFERROR(IF(INDEX('Coverage Indicators - Section D'!T$1:T$100,MATCH('Print View'!$A153,'Coverage Indicators - Section D'!$A$1:$A$100,0))&lt;&gt;0,INDEX('Coverage Indicators - Section D'!T$1:T$100,MATCH('Print View'!$A153,'Coverage Indicators - Section D'!$A$1:$A$100,0)),""),"")</f>
        <v xml:space="preserve">1034791.68/1077908
96.00%
</v>
      </c>
      <c r="N153" s="405" t="str">
        <f ca="1">IFERROR(IF(INDEX('Coverage Indicators - Section D'!U$1:U$100,MATCH('Print View'!$A153,'Coverage Indicators - Section D'!$A$1:$A$100,0))&lt;&gt;0,INDEX('Coverage Indicators - Section D'!U$1:U$100,MATCH('Print View'!$A153,'Coverage Indicators - Section D'!$A$1:$A$100,0)),""),"")&amp;"/"&amp;IFERROR(IF(INDEX('Coverage Indicators - Section D'!U$1:U$100,MATCH('Print View'!$A153,'Coverage Indicators - Section D'!$A$1:$A$100,0)+1)&lt;&gt;0,INDEX('Coverage Indicators - Section D'!U$1:U$100,MATCH('Print View'!$A153,'Coverage Indicators - Section D'!$A$1:$A$100,0)+1),""),"")&amp;CHAR(10)&amp;IFERROR(IF(INDEX('Coverage Indicators - Section D'!V$1:V$100,MATCH('Print View'!$A153,'Coverage Indicators - Section D'!$A$1:$A$100,0))&lt;&gt;0,TEXT(INDEX('Coverage Indicators - Section D'!V$1:V$100,MATCH('Print View'!$A153,'Coverage Indicators - Section D'!$A$1:$A$100,0)),"0.00%"),""),"")&amp;CHAR(10)&amp;IFERROR(IF(INDEX('Coverage Indicators - Section D'!W$1:W$100,MATCH('Print View'!$A153,'Coverage Indicators - Section D'!$A$1:$A$100,0))&lt;&gt;0,INDEX('Coverage Indicators - Section D'!W$1:W$100,MATCH('Print View'!$A153,'Coverage Indicators - Section D'!$A$1:$A$100,0)),""),"")</f>
        <v xml:space="preserve">526183.775/1084915
48.50%
</v>
      </c>
      <c r="O153" s="406" t="str">
        <f ca="1">IFERROR(IF(INDEX('Coverage Indicators - Section D'!X$1:X$100,MATCH('Print View'!$A153,'Coverage Indicators - Section D'!$A$1:$A$100,0))&lt;&gt;0,INDEX('Coverage Indicators - Section D'!X$1:X$100,MATCH('Print View'!$A153,'Coverage Indicators - Section D'!$A$1:$A$100,0)),""),"")&amp;"/"&amp;IFERROR(IF(INDEX('Coverage Indicators - Section D'!X$1:X$100,MATCH('Print View'!$A153,'Coverage Indicators - Section D'!$A$1:$A$100,0)+1)&lt;&gt;0,INDEX('Coverage Indicators - Section D'!X$1:X$100,MATCH('Print View'!$A153,'Coverage Indicators - Section D'!$A$1:$A$100,0)+1),""),"")&amp;CHAR(10)&amp;IFERROR(IF(INDEX('Coverage Indicators - Section D'!Y$1:Y$100,MATCH('Print View'!$A153,'Coverage Indicators - Section D'!$A$1:$A$100,0))&lt;&gt;0,TEXT(INDEX('Coverage Indicators - Section D'!Y$1:Y$100,MATCH('Print View'!$A153,'Coverage Indicators - Section D'!$A$1:$A$100,0)),"0.00%"),""),"")&amp;CHAR(10)&amp;IFERROR(IF(INDEX('Coverage Indicators - Section D'!Z$1:Z$100,MATCH('Print View'!$A153,'Coverage Indicators - Section D'!$A$1:$A$100,0))&lt;&gt;0,INDEX('Coverage Indicators - Section D'!Z$1:Z$100,MATCH('Print View'!$A153,'Coverage Indicators - Section D'!$A$1:$A$100,0)),""),"")</f>
        <v xml:space="preserve">1052367.55/1084915
97.00%
</v>
      </c>
      <c r="P153" s="406" t="str">
        <f ca="1">IFERROR(IF(INDEX('Coverage Indicators - Section D'!AA$1:AA$100,MATCH('Print View'!$A153,'Coverage Indicators - Section D'!$A$1:$A$100,0))&lt;&gt;0,INDEX('Coverage Indicators - Section D'!AA$1:AA$100,MATCH('Print View'!$A153,'Coverage Indicators - Section D'!$A$1:$A$100,0)),""),"")&amp;"/"&amp;IFERROR(IF(INDEX('Coverage Indicators - Section D'!AA$1:AA$100,MATCH('Print View'!$A153,'Coverage Indicators - Section D'!$A$1:$A$100,0)+1)&lt;&gt;0,INDEX('Coverage Indicators - Section D'!AA$1:AA$100,MATCH('Print View'!$A153,'Coverage Indicators - Section D'!$A$1:$A$100,0)+1),""),"")&amp;CHAR(10)&amp;IFERROR(IF(INDEX('Coverage Indicators - Section D'!AB$1:AB$100,MATCH('Print View'!$A153,'Coverage Indicators - Section D'!$A$1:$A$100,0))&lt;&gt;0,TEXT(INDEX('Coverage Indicators - Section D'!AB$1:AB$100,MATCH('Print View'!$A153,'Coverage Indicators - Section D'!$A$1:$A$100,0)),"0.00%"),""),"")&amp;CHAR(10)&amp;IFERROR(IF(INDEX('Coverage Indicators - Section D'!AC$1:AC$100,MATCH('Print View'!$A153,'Coverage Indicators - Section D'!$A$1:$A$100,0))&lt;&gt;0,INDEX('Coverage Indicators - Section D'!AC$1:AC$100,MATCH('Print View'!$A153,'Coverage Indicators - Section D'!$A$1:$A$100,0)),""),"")</f>
        <v xml:space="preserve">535041.78/1091922
49.00%
</v>
      </c>
      <c r="Q153" s="406" t="str">
        <f ca="1">IFERROR(IF(INDEX('Coverage Indicators - Section D'!AD$1:AD$100,MATCH('Print View'!$A153,'Coverage Indicators - Section D'!$A$1:$A$100,0))&lt;&gt;0,INDEX('Coverage Indicators - Section D'!AD$1:AD$100,MATCH('Print View'!$A153,'Coverage Indicators - Section D'!$A$1:$A$100,0)),""),"")&amp;"/"&amp;IFERROR(IF(INDEX('Coverage Indicators - Section D'!AD$1:AD$100,MATCH('Print View'!$A153,'Coverage Indicators - Section D'!$A$1:$A$100,0)+1)&lt;&gt;0,INDEX('Coverage Indicators - Section D'!AD$1:AD$100,MATCH('Print View'!$A153,'Coverage Indicators - Section D'!$A$1:$A$100,0)+1),""),"")&amp;CHAR(10)&amp;IFERROR(IF(INDEX('Coverage Indicators - Section D'!AE$1:AE$100,MATCH('Print View'!$A153,'Coverage Indicators - Section D'!$A$1:$A$100,0))&lt;&gt;0,TEXT(INDEX('Coverage Indicators - Section D'!AE$1:AE$100,MATCH('Print View'!$A153,'Coverage Indicators - Section D'!$A$1:$A$100,0)),"0.00%"),""),"")&amp;CHAR(10)&amp;IFERROR(IF(INDEX('Coverage Indicators - Section D'!AF$1:AF$100,MATCH('Print View'!$A153,'Coverage Indicators - Section D'!$A$1:$A$100,0))&lt;&gt;0,INDEX('Coverage Indicators - Section D'!AF$1:AF$100,MATCH('Print View'!$A153,'Coverage Indicators - Section D'!$A$1:$A$100,0)),""),"")</f>
        <v xml:space="preserve">1070083.56/1091922
98.00%
</v>
      </c>
      <c r="R153" s="406" t="str">
        <f ca="1">IFERROR(IF(INDEX('Coverage Indicators - Section D'!AG$1:AG$100,MATCH('Print View'!$A153,'Coverage Indicators - Section D'!$A$1:$A$100,0))&lt;&gt;0,INDEX('Coverage Indicators - Section D'!AG$1:AG$100,MATCH('Print View'!$A153,'Coverage Indicators - Section D'!$A$1:$A$100,0)),""),"")&amp;"/"&amp;IFERROR(IF(INDEX('Coverage Indicators - Section D'!AG$1:AG$100,MATCH('Print View'!$A153,'Coverage Indicators - Section D'!$A$1:$A$100,0)+1)&lt;&gt;0,INDEX('Coverage Indicators - Section D'!AG$1:AG$100,MATCH('Print View'!$A153,'Coverage Indicators - Section D'!$A$1:$A$100,0)+1),""),"")&amp;CHAR(10)&amp;IFERROR(IF(INDEX('Coverage Indicators - Section D'!AH$1:AH$100,MATCH('Print View'!$A153,'Coverage Indicators - Section D'!$A$1:$A$100,0))&lt;&gt;0,TEXT(INDEX('Coverage Indicators - Section D'!AH$1:AH$100,MATCH('Print View'!$A153,'Coverage Indicators - Section D'!$A$1:$A$100,0)),"0.00%"),""),"")&amp;CHAR(10)&amp;IFERROR(IF(INDEX('Coverage Indicators - Section D'!AI$1:AI$100,MATCH('Print View'!$A153,'Coverage Indicators - Section D'!$A$1:$A$100,0))&lt;&gt;0,INDEX('Coverage Indicators - Section D'!AI$1:AI$100,MATCH('Print View'!$A153,'Coverage Indicators - Section D'!$A$1:$A$100,0)),""),"")</f>
        <v xml:space="preserve">/
</v>
      </c>
      <c r="S153" s="406" t="str">
        <f ca="1">IFERROR(IF(INDEX('Coverage Indicators - Section D'!AJ$1:AJ$100,MATCH('Print View'!$A153,'Coverage Indicators - Section D'!$A$1:$A$100,0))&lt;&gt;0,INDEX('Coverage Indicators - Section D'!AJ$1:AJ$100,MATCH('Print View'!$A153,'Coverage Indicators - Section D'!$A$1:$A$100,0)),""),"")&amp;"/"&amp;IFERROR(IF(INDEX('Coverage Indicators - Section D'!AJ$1:AJ$100,MATCH('Print View'!$A153,'Coverage Indicators - Section D'!$A$1:$A$100,0)+1)&lt;&gt;0,INDEX('Coverage Indicators - Section D'!AJ$1:AJ$100,MATCH('Print View'!$A153,'Coverage Indicators - Section D'!$A$1:$A$100,0)+1),""),"")&amp;CHAR(10)&amp;IFERROR(IF(INDEX('Coverage Indicators - Section D'!AK$1:AK$100,MATCH('Print View'!$A153,'Coverage Indicators - Section D'!$A$1:$A$100,0))&lt;&gt;0,TEXT(INDEX('Coverage Indicators - Section D'!AK$1:AK$100,MATCH('Print View'!$A153,'Coverage Indicators - Section D'!$A$1:$A$100,0)),"0.00%"),""),"")&amp;CHAR(10)&amp;IFERROR(IF(INDEX('Coverage Indicators - Section D'!AL$1:AL$100,MATCH('Print View'!$A153,'Coverage Indicators - Section D'!$A$1:$A$100,0))&lt;&gt;0,INDEX('Coverage Indicators - Section D'!AL$1:AL$100,MATCH('Print View'!$A153,'Coverage Indicators - Section D'!$A$1:$A$100,0)),""),"")</f>
        <v xml:space="preserve">/
</v>
      </c>
      <c r="T153" s="385"/>
      <c r="U153" s="216"/>
      <c r="V153" s="216"/>
      <c r="W153" s="216"/>
      <c r="X153" s="216"/>
      <c r="Y153" s="216"/>
      <c r="Z153" s="216"/>
      <c r="AA153" s="216"/>
      <c r="AB153" s="216"/>
      <c r="AC153" s="216"/>
      <c r="AD153" s="216"/>
      <c r="AE153" s="216"/>
      <c r="AF153" s="216"/>
      <c r="AG153" s="216"/>
      <c r="AH153" s="216"/>
      <c r="AI153" s="216"/>
      <c r="AJ153" s="216"/>
      <c r="AK153" s="216"/>
      <c r="AL153" s="216"/>
      <c r="AM153" s="216"/>
      <c r="AN153" s="216"/>
      <c r="AO153" s="216">
        <f ca="1">IFERROR(IF(INDEX('Coverage Indicators - Section D'!AD$1:AD$110,MATCH('Print View'!$A153,'Coverage Indicators - Section D'!$A$1:$A$110,0))&lt;&gt;0,INDEX('Coverage Indicators - Section D'!AD$1:AD$110,MATCH('Print View'!$A153,'Coverage Indicators - Section D'!$A$1:$A$110,0)),""),"")</f>
        <v>1070083.56</v>
      </c>
      <c r="AP153" s="216"/>
      <c r="AQ153" s="216"/>
      <c r="AR153" s="216"/>
      <c r="AS153" s="216"/>
      <c r="AT153" s="711" t="str">
        <f ca="1">CONCATENATE($A153,N$147)</f>
        <v>330-Jun-22</v>
      </c>
      <c r="AU153" s="710" t="str">
        <f ca="1">CONCATENATE($A153,Q$147)</f>
        <v>331-Dec-23</v>
      </c>
      <c r="AV153" s="710" t="str">
        <f t="shared" ref="AV153" si="34">CONCATENATE($A153,V$147)</f>
        <v>3</v>
      </c>
      <c r="AW153" s="710" t="str">
        <f t="shared" ref="AW153" si="35">CONCATENATE($A153,Y$147)</f>
        <v>3</v>
      </c>
      <c r="AX153" s="710" t="str">
        <f t="shared" ref="AX153" si="36">CONCATENATE($A153,AB$147)</f>
        <v>3</v>
      </c>
      <c r="AY153" s="710" t="str">
        <f t="shared" ref="AY153" si="37">CONCATENATE($A153,AE$147)</f>
        <v>3</v>
      </c>
      <c r="AZ153" s="710" t="str">
        <f t="shared" ref="AZ153" si="38">CONCATENATE($A153,AH$147)</f>
        <v>3</v>
      </c>
      <c r="BA153" s="710" t="str">
        <f t="shared" ref="BA153" si="39">CONCATENATE($A153,AK$147)</f>
        <v>3</v>
      </c>
      <c r="BB153" s="409"/>
      <c r="BC153" s="410"/>
    </row>
    <row r="154" spans="1:55" s="411" customFormat="1" ht="88.2" customHeight="1" x14ac:dyDescent="0.3">
      <c r="A154" s="709"/>
      <c r="B154" s="714" t="str">
        <f ca="1">IFERROR(IF(INDEX('Coverage Indicators - Section D'!AM$1:AM$110,MATCH('Print View'!$A153,'Coverage Indicators - Section D'!$A$1:$A$110,0))&lt;&gt;0,INDEX('Coverage Indicators - Section D'!AM$1:AM$110,MATCH('Print View'!$A153,'Coverage Indicators - Section D'!$A$1:$A$110,0)),""),"")</f>
        <v>Selon les cibles du PSN, le pourcentage de femmes enceintes qui connaissent leur statut sérologique à l'égard du VIH est estimé à 96% en 2021, 97% en 2022 et 98% en 2023
'Numérateur: Nombre de femmes enceintes dépistées pour le VIH et qui reçoivent le résultat du test + nombre de femmes enceintes reçu en CPN1 et se connaissant séropostives au VIH. Il est estimé à 1 034 792 en 2021,  1 052 368 en 2022 et  1 070 084 en 2023
Dénominateur: Nombre de grossesses attendues
Il est estimé à 1 077 908 en 2021,  1 084 915 en 2022 et  1 091 922 en 2023</v>
      </c>
      <c r="C154" s="715"/>
      <c r="D154" s="715"/>
      <c r="E154" s="715"/>
      <c r="F154" s="715"/>
      <c r="G154" s="715"/>
      <c r="H154" s="715"/>
      <c r="I154" s="715"/>
      <c r="J154" s="715"/>
      <c r="K154" s="715"/>
      <c r="L154" s="715"/>
      <c r="M154" s="715"/>
      <c r="N154" s="715"/>
      <c r="O154" s="715"/>
      <c r="P154" s="715"/>
      <c r="Q154" s="715"/>
      <c r="R154" s="715"/>
      <c r="S154" s="716"/>
      <c r="T154" s="412"/>
      <c r="U154" s="216"/>
      <c r="V154" s="216"/>
      <c r="W154" s="216"/>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711"/>
      <c r="AU154" s="710"/>
      <c r="AV154" s="710"/>
      <c r="AW154" s="710"/>
      <c r="AX154" s="710"/>
      <c r="AY154" s="710"/>
      <c r="AZ154" s="710"/>
      <c r="BA154" s="710"/>
      <c r="BB154" s="409"/>
      <c r="BC154" s="410"/>
    </row>
    <row r="155" spans="1:55" s="411" customFormat="1" ht="177" customHeight="1" x14ac:dyDescent="0.3">
      <c r="A155" s="712">
        <v>4</v>
      </c>
      <c r="B155" s="380" t="str">
        <f ca="1">IFERROR(IF(INDEX('Coverage Indicators - Section D'!B$1:B$100,MATCH('Print View'!$A155,'Coverage Indicators - Section D'!$A$1:$A$100,0))&lt;&gt;0,INDEX('Coverage Indicators - Section D'!B$1:B$100,MATCH('Print View'!$A155,'Coverage Indicators - Section D'!$A$1:$A$100,0)),""),"")</f>
        <v>PTME</v>
      </c>
      <c r="C155" s="380" t="str">
        <f ca="1">IFERROR(IF(INDEX('Coverage Indicators - Section D'!D$1:D$100,MATCH('Print View'!$A155,'Coverage Indicators - Section D'!$A$1:$A$100,0))&lt;&gt;0,INDEX('Coverage Indicators - Section D'!D$1:D$100,MATCH('Print View'!$A155,'Coverage Indicators - Section D'!$A$1:$A$100,0)),""),"")</f>
        <v>PMTCT-2.1 Pourcentage de femmes enceintes séropositives pour le VIH ayant reçu une TARV durant leur grossesse et/ou le travail et l'accouchement</v>
      </c>
      <c r="D155" s="380" t="str">
        <f ca="1">IFERROR(IF(INDEX('Coverage Indicators - Section D'!E$1:E$100,MATCH('Print View'!$A155,'Coverage Indicators - Section D'!$A$1:$A$100,0))&lt;&gt;0,INDEX('Coverage Indicators - Section D'!E$1:E$100,MATCH('Print View'!$A155,'Coverage Indicators - Section D'!$A$1:$A$100,0)),""),"")</f>
        <v/>
      </c>
      <c r="E155" s="381" t="str">
        <f ca="1">IFERROR(IF(INDEX('Coverage Indicators - Section D'!F$1:F$100,MATCH('Print View'!$A155,'Coverage Indicators - Section D'!$A$1:$A$100,0))&lt;&gt;0,INDEX('Coverage Indicators - Section D'!F$1:F$100,MATCH('Print View'!$A155,'Coverage Indicators - Section D'!$A$1:$A$100,0)),""),"")&amp;"/"&amp;IFERROR(IF(INDEX('Coverage Indicators - Section D'!F$1:F$100,MATCH('Print View'!$A155,'Coverage Indicators - Section D'!$A$1:$A$100,0)+1)&lt;&gt;0,INDEX('Coverage Indicators - Section D'!F$1:F$100,MATCH('Print View'!$A155,'Coverage Indicators - Section D'!$A$1:$A$100,0)+1),""),"")&amp;CHAR(10)&amp;IFERROR(IF(INDEX('Coverage Indicators - Section D'!G$1:G$100,MATCH('Print View'!$A155,'Coverage Indicators - Section D'!$A$1:$A$100,0))&lt;&gt;0,TEXT(INDEX('Coverage Indicators - Section D'!G$1:G$100,MATCH('Print View'!$A155,'Coverage Indicators - Section D'!$A$1:$A$100,0)),"0.00%"),""),"")</f>
        <v>14838/18667
79.49%</v>
      </c>
      <c r="F155" s="413"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 xml:space="preserve">2019
Données de routine PNLS </v>
      </c>
      <c r="G155" s="414" t="str">
        <f>IFERROR(IF(INDEX('Coverage Indicators - Section D'!J13:J42,MATCH('Print View'!$A155,'Coverage Indicators - Section D'!$A$9:$A$38,0))&lt;&gt;0,INDEX('Coverage Indicators - Section D'!J13:J42,MATCH('Print View'!$A155,'Coverage Indicators - Section D'!$A$9:$A$38,0)),""),"")</f>
        <v>Age,Sexe,Durée du traitement,Groupe à risque cible</v>
      </c>
      <c r="H155" s="413" t="str">
        <f ca="1">IFERROR(IF(INDEX('Coverage Indicators - Section D'!K$1:K$100,MATCH('Print View'!$A155,'Coverage Indicators - Section D'!$A$1:$A$100,0))&lt;&gt;0,INDEX('Coverage Indicators - Section D'!K$1:K$100,MATCH('Print View'!$A155,'Coverage Indicators - Section D'!$A$1:$A$100,0)),""),"")</f>
        <v>Yes</v>
      </c>
      <c r="I155" s="414" t="str">
        <f ca="1">IFERROR(IF(INDEX('Coverage Indicators - Section D'!L$1:L$100,MATCH('Print View'!$A155,'Coverage Indicators - Section D'!$A$1:$A$100,0))&lt;&gt;0,INDEX('Coverage Indicators - Section D'!L$1:L$100,MATCH('Print View'!$A155,'Coverage Indicators - Section D'!$A$1:$A$100,0)),""),"")</f>
        <v>Programme National de Lutte contre le SIDA de la République de Côte d'Ivoire</v>
      </c>
      <c r="J155" s="415"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Côte d'Ivoire
Geographic Subnational, 100% of national program target</v>
      </c>
      <c r="K155" s="413" t="str">
        <f ca="1">IFERROR(IF(INDEX('Coverage Indicators - Section D'!N$1:N$100,MATCH('Print View'!$A155,'Coverage Indicators - Section D'!$A$1:$A$100,0))&lt;&gt;0,INDEX('Coverage Indicators - Section D'!N$1:N$100,MATCH('Print View'!$A155,'Coverage Indicators - Section D'!$A$1:$A$100,0)),""),"")</f>
        <v>Non cumulative - special</v>
      </c>
      <c r="L155" s="415" t="str">
        <f ca="1">IFERROR(IF(INDEX('Coverage Indicators - Section D'!O$1:O$100,MATCH('Print View'!$A155,'Coverage Indicators - Section D'!$A$1:$A$100,0))&lt;&gt;0,INDEX('Coverage Indicators - Section D'!O$1:O$100,MATCH('Print View'!$A155,'Coverage Indicators - Section D'!$A$1:$A$100,0)),""),"")&amp;"/"&amp;IFERROR(IF(INDEX('Coverage Indicators - Section D'!O$1:O$100,MATCH('Print View'!$A155,'Coverage Indicators - Section D'!$A$1:$A$100,0)+1)&lt;&gt;0,INDEX('Coverage Indicators - Section D'!O$1:O$100,MATCH('Print View'!$A155,'Coverage Indicators - Section D'!$A$1:$A$100,0)+1),""),"")&amp;CHAR(10)&amp;IFERROR(IF(INDEX('Coverage Indicators - Section D'!P$1:P$100,MATCH('Print View'!$A155,'Coverage Indicators - Section D'!$A$1:$A$100,0))&lt;&gt;0,TEXT(INDEX('Coverage Indicators - Section D'!P$1:P$100,MATCH('Print View'!$A155,'Coverage Indicators - Section D'!$A$1:$A$100,0)),"0.00%"),""),"")&amp;CHAR(10)&amp;IFERROR(IF(INDEX('Coverage Indicators - Section D'!Q$1:Q$100,MATCH('Print View'!$A155,'Coverage Indicators - Section D'!$A$1:$A$100,0))&lt;&gt;0,INDEX('Coverage Indicators - Section D'!Q$1:Q$100,MATCH('Print View'!$A155,'Coverage Indicators - Section D'!$A$1:$A$100,0)),""),"")</f>
        <v xml:space="preserve">7371.625/17345
42.50%
</v>
      </c>
      <c r="M155" s="415" t="str">
        <f ca="1">IFERROR(IF(INDEX('Coverage Indicators - Section D'!R$1:R$100,MATCH('Print View'!$A155,'Coverage Indicators - Section D'!$A$1:$A$100,0))&lt;&gt;0,INDEX('Coverage Indicators - Section D'!R$1:R$100,MATCH('Print View'!$A155,'Coverage Indicators - Section D'!$A$1:$A$100,0)),""),"")&amp;"/"&amp;IFERROR(IF(INDEX('Coverage Indicators - Section D'!R$1:R$100,MATCH('Print View'!$A155,'Coverage Indicators - Section D'!$A$1:$A$100,0)+1)&lt;&gt;0,INDEX('Coverage Indicators - Section D'!R$1:R$100,MATCH('Print View'!$A155,'Coverage Indicators - Section D'!$A$1:$A$100,0)+1),""),"")&amp;CHAR(10)&amp;IFERROR(IF(INDEX('Coverage Indicators - Section D'!S$1:S$100,MATCH('Print View'!$A155,'Coverage Indicators - Section D'!$A$1:$A$100,0))&lt;&gt;0,TEXT(INDEX('Coverage Indicators - Section D'!S$1:S$100,MATCH('Print View'!$A155,'Coverage Indicators - Section D'!$A$1:$A$100,0)),"0.00%"),""),"")&amp;CHAR(10)&amp;IFERROR(IF(INDEX('Coverage Indicators - Section D'!T$1:T$100,MATCH('Print View'!$A155,'Coverage Indicators - Section D'!$A$1:$A$100,0))&lt;&gt;0,INDEX('Coverage Indicators - Section D'!T$1:T$100,MATCH('Print View'!$A155,'Coverage Indicators - Section D'!$A$1:$A$100,0)),""),"")</f>
        <v xml:space="preserve">14743.25/17345
85.00%
</v>
      </c>
      <c r="N155" s="415" t="str">
        <f ca="1">IFERROR(IF(INDEX('Coverage Indicators - Section D'!U$1:U$100,MATCH('Print View'!$A155,'Coverage Indicators - Section D'!$A$1:$A$100,0))&lt;&gt;0,INDEX('Coverage Indicators - Section D'!U$1:U$100,MATCH('Print View'!$A155,'Coverage Indicators - Section D'!$A$1:$A$100,0)),""),"")&amp;"/"&amp;IFERROR(IF(INDEX('Coverage Indicators - Section D'!U$1:U$100,MATCH('Print View'!$A155,'Coverage Indicators - Section D'!$A$1:$A$100,0)+1)&lt;&gt;0,INDEX('Coverage Indicators - Section D'!U$1:U$100,MATCH('Print View'!$A155,'Coverage Indicators - Section D'!$A$1:$A$100,0)+1),""),"")&amp;CHAR(10)&amp;IFERROR(IF(INDEX('Coverage Indicators - Section D'!V$1:V$100,MATCH('Print View'!$A155,'Coverage Indicators - Section D'!$A$1:$A$100,0))&lt;&gt;0,TEXT(INDEX('Coverage Indicators - Section D'!V$1:V$100,MATCH('Print View'!$A155,'Coverage Indicators - Section D'!$A$1:$A$100,0)),"0.00%"),""),"")&amp;CHAR(10)&amp;IFERROR(IF(INDEX('Coverage Indicators - Section D'!W$1:W$100,MATCH('Print View'!$A155,'Coverage Indicators - Section D'!$A$1:$A$100,0))&lt;&gt;0,INDEX('Coverage Indicators - Section D'!W$1:W$100,MATCH('Print View'!$A155,'Coverage Indicators - Section D'!$A$1:$A$100,0)),""),"")</f>
        <v xml:space="preserve">7218.825/16595
43.50%
</v>
      </c>
      <c r="O155" s="415" t="str">
        <f ca="1">IFERROR(IF(INDEX('Coverage Indicators - Section D'!X$1:X$100,MATCH('Print View'!$A155,'Coverage Indicators - Section D'!$A$1:$A$100,0))&lt;&gt;0,INDEX('Coverage Indicators - Section D'!X$1:X$100,MATCH('Print View'!$A155,'Coverage Indicators - Section D'!$A$1:$A$100,0)),""),"")&amp;"/"&amp;IFERROR(IF(INDEX('Coverage Indicators - Section D'!X$1:X$100,MATCH('Print View'!$A155,'Coverage Indicators - Section D'!$A$1:$A$100,0)+1)&lt;&gt;0,INDEX('Coverage Indicators - Section D'!X$1:X$100,MATCH('Print View'!$A155,'Coverage Indicators - Section D'!$A$1:$A$100,0)+1),""),"")&amp;CHAR(10)&amp;IFERROR(IF(INDEX('Coverage Indicators - Section D'!Y$1:Y$100,MATCH('Print View'!$A155,'Coverage Indicators - Section D'!$A$1:$A$100,0))&lt;&gt;0,TEXT(INDEX('Coverage Indicators - Section D'!Y$1:Y$100,MATCH('Print View'!$A155,'Coverage Indicators - Section D'!$A$1:$A$100,0)),"0.00%"),""),"")&amp;CHAR(10)&amp;IFERROR(IF(INDEX('Coverage Indicators - Section D'!Z$1:Z$100,MATCH('Print View'!$A155,'Coverage Indicators - Section D'!$A$1:$A$100,0))&lt;&gt;0,INDEX('Coverage Indicators - Section D'!Z$1:Z$100,MATCH('Print View'!$A155,'Coverage Indicators - Section D'!$A$1:$A$100,0)),""),"")</f>
        <v xml:space="preserve">14437.65/16595
87.00%
</v>
      </c>
      <c r="P155" s="415" t="str">
        <f ca="1">IFERROR(IF(INDEX('Coverage Indicators - Section D'!AA$1:AA$100,MATCH('Print View'!$A155,'Coverage Indicators - Section D'!$A$1:$A$100,0))&lt;&gt;0,INDEX('Coverage Indicators - Section D'!AA$1:AA$100,MATCH('Print View'!$A155,'Coverage Indicators - Section D'!$A$1:$A$100,0)),""),"")&amp;"/"&amp;IFERROR(IF(INDEX('Coverage Indicators - Section D'!AA$1:AA$100,MATCH('Print View'!$A155,'Coverage Indicators - Section D'!$A$1:$A$100,0)+1)&lt;&gt;0,INDEX('Coverage Indicators - Section D'!AA$1:AA$100,MATCH('Print View'!$A155,'Coverage Indicators - Section D'!$A$1:$A$100,0)+1),""),"")&amp;CHAR(10)&amp;IFERROR(IF(INDEX('Coverage Indicators - Section D'!AB$1:AB$100,MATCH('Print View'!$A155,'Coverage Indicators - Section D'!$A$1:$A$100,0))&lt;&gt;0,TEXT(INDEX('Coverage Indicators - Section D'!AB$1:AB$100,MATCH('Print View'!$A155,'Coverage Indicators - Section D'!$A$1:$A$100,0)),"0.00%"),""),"")&amp;CHAR(10)&amp;IFERROR(IF(INDEX('Coverage Indicators - Section D'!AC$1:AC$100,MATCH('Print View'!$A155,'Coverage Indicators - Section D'!$A$1:$A$100,0))&lt;&gt;0,INDEX('Coverage Indicators - Section D'!AC$1:AC$100,MATCH('Print View'!$A155,'Coverage Indicators - Section D'!$A$1:$A$100,0)),""),"")</f>
        <v xml:space="preserve">7122.15/15827
45.00%
</v>
      </c>
      <c r="Q155" s="415" t="str">
        <f ca="1">IFERROR(IF(INDEX('Coverage Indicators - Section D'!AD$1:AD$100,MATCH('Print View'!$A155,'Coverage Indicators - Section D'!$A$1:$A$100,0))&lt;&gt;0,INDEX('Coverage Indicators - Section D'!AD$1:AD$100,MATCH('Print View'!$A155,'Coverage Indicators - Section D'!$A$1:$A$100,0)),""),"")&amp;"/"&amp;IFERROR(IF(INDEX('Coverage Indicators - Section D'!AD$1:AD$100,MATCH('Print View'!$A155,'Coverage Indicators - Section D'!$A$1:$A$100,0)+1)&lt;&gt;0,INDEX('Coverage Indicators - Section D'!AD$1:AD$100,MATCH('Print View'!$A155,'Coverage Indicators - Section D'!$A$1:$A$100,0)+1),""),"")&amp;CHAR(10)&amp;IFERROR(IF(INDEX('Coverage Indicators - Section D'!AE$1:AE$100,MATCH('Print View'!$A155,'Coverage Indicators - Section D'!$A$1:$A$100,0))&lt;&gt;0,TEXT(INDEX('Coverage Indicators - Section D'!AE$1:AE$100,MATCH('Print View'!$A155,'Coverage Indicators - Section D'!$A$1:$A$100,0)),"0.00%"),""),"")&amp;CHAR(10)&amp;IFERROR(IF(INDEX('Coverage Indicators - Section D'!AF$1:AF$100,MATCH('Print View'!$A155,'Coverage Indicators - Section D'!$A$1:$A$100,0))&lt;&gt;0,INDEX('Coverage Indicators - Section D'!AF$1:AF$100,MATCH('Print View'!$A155,'Coverage Indicators - Section D'!$A$1:$A$100,0)),""),"")</f>
        <v xml:space="preserve">14244.3/15827
90.00%
</v>
      </c>
      <c r="R155" s="415" t="str">
        <f ca="1">IFERROR(IF(INDEX('Coverage Indicators - Section D'!AG$1:AG$100,MATCH('Print View'!$A155,'Coverage Indicators - Section D'!$A$1:$A$100,0))&lt;&gt;0,INDEX('Coverage Indicators - Section D'!AG$1:AG$100,MATCH('Print View'!$A155,'Coverage Indicators - Section D'!$A$1:$A$100,0)),""),"")&amp;"/"&amp;IFERROR(IF(INDEX('Coverage Indicators - Section D'!AG$1:AG$100,MATCH('Print View'!$A155,'Coverage Indicators - Section D'!$A$1:$A$100,0)+1)&lt;&gt;0,INDEX('Coverage Indicators - Section D'!AG$1:AG$100,MATCH('Print View'!$A155,'Coverage Indicators - Section D'!$A$1:$A$100,0)+1),""),"")&amp;CHAR(10)&amp;IFERROR(IF(INDEX('Coverage Indicators - Section D'!AH$1:AH$100,MATCH('Print View'!$A155,'Coverage Indicators - Section D'!$A$1:$A$100,0))&lt;&gt;0,TEXT(INDEX('Coverage Indicators - Section D'!AH$1:AH$100,MATCH('Print View'!$A155,'Coverage Indicators - Section D'!$A$1:$A$100,0)),"0.00%"),""),"")&amp;CHAR(10)&amp;IFERROR(IF(INDEX('Coverage Indicators - Section D'!AI$1:AI$100,MATCH('Print View'!$A155,'Coverage Indicators - Section D'!$A$1:$A$100,0))&lt;&gt;0,INDEX('Coverage Indicators - Section D'!AI$1:AI$100,MATCH('Print View'!$A155,'Coverage Indicators - Section D'!$A$1:$A$100,0)),""),"")</f>
        <v xml:space="preserve">/
</v>
      </c>
      <c r="S155" s="415" t="str">
        <f ca="1">IFERROR(IF(INDEX('Coverage Indicators - Section D'!AJ$1:AJ$100,MATCH('Print View'!$A155,'Coverage Indicators - Section D'!$A$1:$A$100,0))&lt;&gt;0,INDEX('Coverage Indicators - Section D'!AJ$1:AJ$100,MATCH('Print View'!$A155,'Coverage Indicators - Section D'!$A$1:$A$100,0)),""),"")&amp;"/"&amp;IFERROR(IF(INDEX('Coverage Indicators - Section D'!AJ$1:AJ$100,MATCH('Print View'!$A155,'Coverage Indicators - Section D'!$A$1:$A$100,0)+1)&lt;&gt;0,INDEX('Coverage Indicators - Section D'!AJ$1:AJ$100,MATCH('Print View'!$A155,'Coverage Indicators - Section D'!$A$1:$A$100,0)+1),""),"")&amp;CHAR(10)&amp;IFERROR(IF(INDEX('Coverage Indicators - Section D'!AK$1:AK$100,MATCH('Print View'!$A155,'Coverage Indicators - Section D'!$A$1:$A$100,0))&lt;&gt;0,TEXT(INDEX('Coverage Indicators - Section D'!AK$1:AK$100,MATCH('Print View'!$A155,'Coverage Indicators - Section D'!$A$1:$A$100,0)),"0.00%"),""),"")&amp;CHAR(10)&amp;IFERROR(IF(INDEX('Coverage Indicators - Section D'!AL$1:AL$100,MATCH('Print View'!$A155,'Coverage Indicators - Section D'!$A$1:$A$100,0))&lt;&gt;0,INDEX('Coverage Indicators - Section D'!AL$1:AL$100,MATCH('Print View'!$A155,'Coverage Indicators - Section D'!$A$1:$A$100,0)),""),"")</f>
        <v xml:space="preserve">/
</v>
      </c>
      <c r="T155" s="416"/>
      <c r="U155" s="216"/>
      <c r="V155" s="216"/>
      <c r="W155" s="216"/>
      <c r="X155" s="216"/>
      <c r="Y155" s="216"/>
      <c r="Z155" s="216"/>
      <c r="AA155" s="216"/>
      <c r="AB155" s="216"/>
      <c r="AC155" s="216"/>
      <c r="AD155" s="216"/>
      <c r="AE155" s="216"/>
      <c r="AF155" s="216"/>
      <c r="AG155" s="216"/>
      <c r="AH155" s="216"/>
      <c r="AI155" s="216"/>
      <c r="AJ155" s="216"/>
      <c r="AK155" s="216"/>
      <c r="AL155" s="216"/>
      <c r="AM155" s="216"/>
      <c r="AN155" s="216"/>
      <c r="AO155" s="216">
        <f ca="1">IFERROR(IF(INDEX('Coverage Indicators - Section D'!AD$1:AD$110,MATCH('Print View'!$A155,'Coverage Indicators - Section D'!$A$1:$A$110,0))&lt;&gt;0,INDEX('Coverage Indicators - Section D'!AD$1:AD$110,MATCH('Print View'!$A155,'Coverage Indicators - Section D'!$A$1:$A$110,0)),""),"")</f>
        <v>14244.300000000001</v>
      </c>
      <c r="AP155" s="216"/>
      <c r="AQ155" s="216"/>
      <c r="AR155" s="216"/>
      <c r="AS155" s="216"/>
      <c r="AT155" s="711" t="str">
        <f ca="1">CONCATENATE($A155,N$147)</f>
        <v>430-Jun-22</v>
      </c>
      <c r="AU155" s="710" t="str">
        <f ca="1">CONCATENATE($A155,Q$147)</f>
        <v>431-Dec-23</v>
      </c>
      <c r="AV155" s="710" t="str">
        <f t="shared" ref="AV155" si="40">CONCATENATE($A155,V$147)</f>
        <v>4</v>
      </c>
      <c r="AW155" s="710" t="str">
        <f t="shared" ref="AW155" si="41">CONCATENATE($A155,Y$147)</f>
        <v>4</v>
      </c>
      <c r="AX155" s="710" t="str">
        <f t="shared" ref="AX155" si="42">CONCATENATE($A155,AB$147)</f>
        <v>4</v>
      </c>
      <c r="AY155" s="710" t="str">
        <f t="shared" ref="AY155" si="43">CONCATENATE($A155,AE$147)</f>
        <v>4</v>
      </c>
      <c r="AZ155" s="710" t="str">
        <f t="shared" ref="AZ155" si="44">CONCATENATE($A155,AH$147)</f>
        <v>4</v>
      </c>
      <c r="BA155" s="710" t="str">
        <f t="shared" ref="BA155" si="45">CONCATENATE($A155,AK$147)</f>
        <v>4</v>
      </c>
      <c r="BB155" s="409"/>
      <c r="BC155" s="410"/>
    </row>
    <row r="156" spans="1:55" s="411" customFormat="1" ht="88.2" customHeight="1" x14ac:dyDescent="0.3">
      <c r="A156" s="712"/>
      <c r="B156" s="717" t="str">
        <f ca="1">IFERROR(IF(INDEX('Coverage Indicators - Section D'!AM$1:AM$110,MATCH('Print View'!$A155,'Coverage Indicators - Section D'!$A$1:$A$110,0))&lt;&gt;0,INDEX('Coverage Indicators - Section D'!AM$1:AM$110,MATCH('Print View'!$A155,'Coverage Indicators - Section D'!$A$1:$A$110,0)),""),"")</f>
        <v>Selon les cibles du PSN, de couverture de mise sous traitement des femmes enceintes séropostives sont de  85% (14743/17345) en 2021, 87% (14438/16595) en 2022 et 90% (14244/15827) en 2023
 Numérateur: Nombre de femmes enceintes séropostives mises sous ARV
Cela donne 14 743 en 2021, 14 438 en 2022 et 14 244 en 2023
Dénominateur: Nombre total de femmes enceintes VIH+ estimé pour la période (Spectrum)
Les estimations spectrum sont de 17 345 en 2021, 16 595 en 2022 et 15 827 en 2023</v>
      </c>
      <c r="C156" s="718"/>
      <c r="D156" s="718"/>
      <c r="E156" s="718"/>
      <c r="F156" s="718"/>
      <c r="G156" s="718"/>
      <c r="H156" s="718"/>
      <c r="I156" s="719"/>
      <c r="J156" s="719"/>
      <c r="K156" s="719"/>
      <c r="L156" s="719"/>
      <c r="M156" s="719"/>
      <c r="N156" s="719"/>
      <c r="O156" s="719"/>
      <c r="P156" s="719"/>
      <c r="Q156" s="719"/>
      <c r="R156" s="719"/>
      <c r="S156" s="720"/>
      <c r="T156" s="417"/>
      <c r="U156" s="216"/>
      <c r="V156" s="216"/>
      <c r="W156" s="216"/>
      <c r="X156" s="216"/>
      <c r="Y156" s="21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711"/>
      <c r="AU156" s="710"/>
      <c r="AV156" s="710"/>
      <c r="AW156" s="710"/>
      <c r="AX156" s="710"/>
      <c r="AY156" s="710"/>
      <c r="AZ156" s="710"/>
      <c r="BA156" s="710"/>
      <c r="BB156" s="409"/>
      <c r="BC156" s="410"/>
    </row>
    <row r="157" spans="1:55" s="411" customFormat="1" ht="177" customHeight="1" x14ac:dyDescent="0.3">
      <c r="A157" s="709">
        <v>5</v>
      </c>
      <c r="B157" s="404" t="str">
        <f ca="1">IFERROR(IF(INDEX('Coverage Indicators - Section D'!B$1:B$100,MATCH('Print View'!$A157,'Coverage Indicators - Section D'!$A$1:$A$100,0))&lt;&gt;0,INDEX('Coverage Indicators - Section D'!B$1:B$100,MATCH('Print View'!$A157,'Coverage Indicators - Section D'!$A$1:$A$100,0)),""),"")</f>
        <v>PTME</v>
      </c>
      <c r="C157" s="404" t="str">
        <f ca="1">IFERROR(IF(INDEX('Coverage Indicators - Section D'!D$1:D$100,MATCH('Print View'!$A157,'Coverage Indicators - Section D'!$A$1:$A$100,0))&lt;&gt;0,INDEX('Coverage Indicators - Section D'!D$1:D$100,MATCH('Print View'!$A157,'Coverage Indicators - Section D'!$A$1:$A$100,0)),""),"")</f>
        <v>PMTCT-3.1 Pourcentage de nourrissons exposés au VIH ayant bénéficié d’un dépistage du VIH dans les 2 mois qui ont suivi leur naissance</v>
      </c>
      <c r="D157" s="404" t="str">
        <f ca="1">IFERROR(IF(INDEX('Coverage Indicators - Section D'!E$1:E$100,MATCH('Print View'!$A157,'Coverage Indicators - Section D'!$A$1:$A$100,0))&lt;&gt;0,INDEX('Coverage Indicators - Section D'!E$1:E$100,MATCH('Print View'!$A157,'Coverage Indicators - Section D'!$A$1:$A$100,0)),""),"")</f>
        <v/>
      </c>
      <c r="E157" s="405" t="str">
        <f ca="1">IFERROR(IF(INDEX('Coverage Indicators - Section D'!F$1:F$100,MATCH('Print View'!$A157,'Coverage Indicators - Section D'!$A$1:$A$100,0))&lt;&gt;0,INDEX('Coverage Indicators - Section D'!F$1:F$100,MATCH('Print View'!$A157,'Coverage Indicators - Section D'!$A$1:$A$100,0)),""),"")&amp;"/"&amp;IFERROR(IF(INDEX('Coverage Indicators - Section D'!F$1:F$100,MATCH('Print View'!$A157,'Coverage Indicators - Section D'!$A$1:$A$100,0)+1)&lt;&gt;0,INDEX('Coverage Indicators - Section D'!F$1:F$100,MATCH('Print View'!$A157,'Coverage Indicators - Section D'!$A$1:$A$100,0)+1),""),"")&amp;CHAR(10)&amp;IFERROR(IF(INDEX('Coverage Indicators - Section D'!G$1:G$100,MATCH('Print View'!$A157,'Coverage Indicators - Section D'!$A$1:$A$100,0))&lt;&gt;0,TEXT(INDEX('Coverage Indicators - Section D'!G$1:G$100,MATCH('Print View'!$A157,'Coverage Indicators - Section D'!$A$1:$A$100,0)),"0.00%"),""),"")</f>
        <v>9877/18667
52.91%</v>
      </c>
      <c r="F157" s="406"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 xml:space="preserve">2019
Données de routine PNLS </v>
      </c>
      <c r="G157" s="407" t="str">
        <f>IFERROR(IF(INDEX('Coverage Indicators - Section D'!J17:J46,MATCH('Print View'!$A157,'Coverage Indicators - Section D'!$A$9:$A$38,0))&lt;&gt;0,INDEX('Coverage Indicators - Section D'!J17:J46,MATCH('Print View'!$A157,'Coverage Indicators - Section D'!$A$9:$A$38,0)),""),"")</f>
        <v>Sexe,Age</v>
      </c>
      <c r="H157" s="408" t="str">
        <f ca="1">IFERROR(IF(INDEX('Coverage Indicators - Section D'!K$1:K$100,MATCH('Print View'!$A157,'Coverage Indicators - Section D'!$A$1:$A$100,0))&lt;&gt;0,INDEX('Coverage Indicators - Section D'!K$1:K$100,MATCH('Print View'!$A157,'Coverage Indicators - Section D'!$A$1:$A$100,0)),""),"")</f>
        <v>Yes</v>
      </c>
      <c r="I157" s="407" t="str">
        <f ca="1">IFERROR(IF(INDEX('Coverage Indicators - Section D'!L$1:L$100,MATCH('Print View'!$A157,'Coverage Indicators - Section D'!$A$1:$A$100,0))&lt;&gt;0,INDEX('Coverage Indicators - Section D'!L$1:L$100,MATCH('Print View'!$A157,'Coverage Indicators - Section D'!$A$1:$A$100,0)),""),"")</f>
        <v>Programme National de Lutte contre le SIDA de la République de Côte d'Ivoire</v>
      </c>
      <c r="J157" s="405"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Côte d'Ivoire
Geographic Subnational, 100% of national program target</v>
      </c>
      <c r="K157" s="405" t="str">
        <f ca="1">IFERROR(IF(INDEX('Coverage Indicators - Section D'!N$1:N$100,MATCH('Print View'!$A157,'Coverage Indicators - Section D'!$A$1:$A$100,0))&lt;&gt;0,INDEX('Coverage Indicators - Section D'!N$1:N$100,MATCH('Print View'!$A157,'Coverage Indicators - Section D'!$A$1:$A$100,0)),""),"")</f>
        <v>Non cumulative</v>
      </c>
      <c r="L157" s="405" t="str">
        <f ca="1">IFERROR(IF(INDEX('Coverage Indicators - Section D'!O$1:O$100,MATCH('Print View'!$A157,'Coverage Indicators - Section D'!$A$1:$A$100,0))&lt;&gt;0,INDEX('Coverage Indicators - Section D'!O$1:O$100,MATCH('Print View'!$A157,'Coverage Indicators - Section D'!$A$1:$A$100,0)),""),"")&amp;"/"&amp;IFERROR(IF(INDEX('Coverage Indicators - Section D'!O$1:O$100,MATCH('Print View'!$A157,'Coverage Indicators - Section D'!$A$1:$A$100,0)+1)&lt;&gt;0,INDEX('Coverage Indicators - Section D'!O$1:O$100,MATCH('Print View'!$A157,'Coverage Indicators - Section D'!$A$1:$A$100,0)+1),""),"")&amp;CHAR(10)&amp;IFERROR(IF(INDEX('Coverage Indicators - Section D'!P$1:P$100,MATCH('Print View'!$A157,'Coverage Indicators - Section D'!$A$1:$A$100,0))&lt;&gt;0,TEXT(INDEX('Coverage Indicators - Section D'!P$1:P$100,MATCH('Print View'!$A157,'Coverage Indicators - Section D'!$A$1:$A$100,0)),"0.00%"),""),"")&amp;CHAR(10)&amp;IFERROR(IF(INDEX('Coverage Indicators - Section D'!Q$1:Q$100,MATCH('Print View'!$A157,'Coverage Indicators - Section D'!$A$1:$A$100,0))&lt;&gt;0,INDEX('Coverage Indicators - Section D'!Q$1:Q$100,MATCH('Print View'!$A157,'Coverage Indicators - Section D'!$A$1:$A$100,0)),""),"")</f>
        <v xml:space="preserve">5810.575/8672.5
67.00%
</v>
      </c>
      <c r="M157" s="406" t="str">
        <f ca="1">IFERROR(IF(INDEX('Coverage Indicators - Section D'!R$1:R$100,MATCH('Print View'!$A157,'Coverage Indicators - Section D'!$A$1:$A$100,0))&lt;&gt;0,INDEX('Coverage Indicators - Section D'!R$1:R$100,MATCH('Print View'!$A157,'Coverage Indicators - Section D'!$A$1:$A$100,0)),""),"")&amp;"/"&amp;IFERROR(IF(INDEX('Coverage Indicators - Section D'!R$1:R$100,MATCH('Print View'!$A157,'Coverage Indicators - Section D'!$A$1:$A$100,0)+1)&lt;&gt;0,INDEX('Coverage Indicators - Section D'!R$1:R$100,MATCH('Print View'!$A157,'Coverage Indicators - Section D'!$A$1:$A$100,0)+1),""),"")&amp;CHAR(10)&amp;IFERROR(IF(INDEX('Coverage Indicators - Section D'!S$1:S$100,MATCH('Print View'!$A157,'Coverage Indicators - Section D'!$A$1:$A$100,0))&lt;&gt;0,TEXT(INDEX('Coverage Indicators - Section D'!S$1:S$100,MATCH('Print View'!$A157,'Coverage Indicators - Section D'!$A$1:$A$100,0)),"0.00%"),""),"")&amp;CHAR(10)&amp;IFERROR(IF(INDEX('Coverage Indicators - Section D'!T$1:T$100,MATCH('Print View'!$A157,'Coverage Indicators - Section D'!$A$1:$A$100,0))&lt;&gt;0,INDEX('Coverage Indicators - Section D'!T$1:T$100,MATCH('Print View'!$A157,'Coverage Indicators - Section D'!$A$1:$A$100,0)),""),"")</f>
        <v xml:space="preserve">11621.15/17345
67.00%
</v>
      </c>
      <c r="N157" s="405" t="str">
        <f ca="1">IFERROR(IF(INDEX('Coverage Indicators - Section D'!U$1:U$100,MATCH('Print View'!$A157,'Coverage Indicators - Section D'!$A$1:$A$100,0))&lt;&gt;0,INDEX('Coverage Indicators - Section D'!U$1:U$100,MATCH('Print View'!$A157,'Coverage Indicators - Section D'!$A$1:$A$100,0)),""),"")&amp;"/"&amp;IFERROR(IF(INDEX('Coverage Indicators - Section D'!U$1:U$100,MATCH('Print View'!$A157,'Coverage Indicators - Section D'!$A$1:$A$100,0)+1)&lt;&gt;0,INDEX('Coverage Indicators - Section D'!U$1:U$100,MATCH('Print View'!$A157,'Coverage Indicators - Section D'!$A$1:$A$100,0)+1),""),"")&amp;CHAR(10)&amp;IFERROR(IF(INDEX('Coverage Indicators - Section D'!V$1:V$100,MATCH('Print View'!$A157,'Coverage Indicators - Section D'!$A$1:$A$100,0))&lt;&gt;0,TEXT(INDEX('Coverage Indicators - Section D'!V$1:V$100,MATCH('Print View'!$A157,'Coverage Indicators - Section D'!$A$1:$A$100,0)),"0.00%"),""),"")&amp;CHAR(10)&amp;IFERROR(IF(INDEX('Coverage Indicators - Section D'!W$1:W$100,MATCH('Print View'!$A157,'Coverage Indicators - Section D'!$A$1:$A$100,0))&lt;&gt;0,INDEX('Coverage Indicators - Section D'!W$1:W$100,MATCH('Print View'!$A157,'Coverage Indicators - Section D'!$A$1:$A$100,0)),""),"")</f>
        <v xml:space="preserve">6140.15/8297.5
74.00%
</v>
      </c>
      <c r="O157" s="406" t="str">
        <f ca="1">IFERROR(IF(INDEX('Coverage Indicators - Section D'!X$1:X$100,MATCH('Print View'!$A157,'Coverage Indicators - Section D'!$A$1:$A$100,0))&lt;&gt;0,INDEX('Coverage Indicators - Section D'!X$1:X$100,MATCH('Print View'!$A157,'Coverage Indicators - Section D'!$A$1:$A$100,0)),""),"")&amp;"/"&amp;IFERROR(IF(INDEX('Coverage Indicators - Section D'!X$1:X$100,MATCH('Print View'!$A157,'Coverage Indicators - Section D'!$A$1:$A$100,0)+1)&lt;&gt;0,INDEX('Coverage Indicators - Section D'!X$1:X$100,MATCH('Print View'!$A157,'Coverage Indicators - Section D'!$A$1:$A$100,0)+1),""),"")&amp;CHAR(10)&amp;IFERROR(IF(INDEX('Coverage Indicators - Section D'!Y$1:Y$100,MATCH('Print View'!$A157,'Coverage Indicators - Section D'!$A$1:$A$100,0))&lt;&gt;0,TEXT(INDEX('Coverage Indicators - Section D'!Y$1:Y$100,MATCH('Print View'!$A157,'Coverage Indicators - Section D'!$A$1:$A$100,0)),"0.00%"),""),"")&amp;CHAR(10)&amp;IFERROR(IF(INDEX('Coverage Indicators - Section D'!Z$1:Z$100,MATCH('Print View'!$A157,'Coverage Indicators - Section D'!$A$1:$A$100,0))&lt;&gt;0,INDEX('Coverage Indicators - Section D'!Z$1:Z$100,MATCH('Print View'!$A157,'Coverage Indicators - Section D'!$A$1:$A$100,0)),""),"")</f>
        <v xml:space="preserve">12280.3/16595
74.00%
</v>
      </c>
      <c r="P157" s="406" t="str">
        <f ca="1">IFERROR(IF(INDEX('Coverage Indicators - Section D'!AA$1:AA$100,MATCH('Print View'!$A157,'Coverage Indicators - Section D'!$A$1:$A$100,0))&lt;&gt;0,INDEX('Coverage Indicators - Section D'!AA$1:AA$100,MATCH('Print View'!$A157,'Coverage Indicators - Section D'!$A$1:$A$100,0)),""),"")&amp;"/"&amp;IFERROR(IF(INDEX('Coverage Indicators - Section D'!AA$1:AA$100,MATCH('Print View'!$A157,'Coverage Indicators - Section D'!$A$1:$A$100,0)+1)&lt;&gt;0,INDEX('Coverage Indicators - Section D'!AA$1:AA$100,MATCH('Print View'!$A157,'Coverage Indicators - Section D'!$A$1:$A$100,0)+1),""),"")&amp;CHAR(10)&amp;IFERROR(IF(INDEX('Coverage Indicators - Section D'!AB$1:AB$100,MATCH('Print View'!$A157,'Coverage Indicators - Section D'!$A$1:$A$100,0))&lt;&gt;0,TEXT(INDEX('Coverage Indicators - Section D'!AB$1:AB$100,MATCH('Print View'!$A157,'Coverage Indicators - Section D'!$A$1:$A$100,0)),"0.00%"),""),"")&amp;CHAR(10)&amp;IFERROR(IF(INDEX('Coverage Indicators - Section D'!AC$1:AC$100,MATCH('Print View'!$A157,'Coverage Indicators - Section D'!$A$1:$A$100,0))&lt;&gt;0,INDEX('Coverage Indicators - Section D'!AC$1:AC$100,MATCH('Print View'!$A157,'Coverage Indicators - Section D'!$A$1:$A$100,0)),""),"")</f>
        <v xml:space="preserve">6409.935/7913.5
81.00%
</v>
      </c>
      <c r="Q157" s="406" t="str">
        <f ca="1">IFERROR(IF(INDEX('Coverage Indicators - Section D'!AD$1:AD$100,MATCH('Print View'!$A157,'Coverage Indicators - Section D'!$A$1:$A$100,0))&lt;&gt;0,INDEX('Coverage Indicators - Section D'!AD$1:AD$100,MATCH('Print View'!$A157,'Coverage Indicators - Section D'!$A$1:$A$100,0)),""),"")&amp;"/"&amp;IFERROR(IF(INDEX('Coverage Indicators - Section D'!AD$1:AD$100,MATCH('Print View'!$A157,'Coverage Indicators - Section D'!$A$1:$A$100,0)+1)&lt;&gt;0,INDEX('Coverage Indicators - Section D'!AD$1:AD$100,MATCH('Print View'!$A157,'Coverage Indicators - Section D'!$A$1:$A$100,0)+1),""),"")&amp;CHAR(10)&amp;IFERROR(IF(INDEX('Coverage Indicators - Section D'!AE$1:AE$100,MATCH('Print View'!$A157,'Coverage Indicators - Section D'!$A$1:$A$100,0))&lt;&gt;0,TEXT(INDEX('Coverage Indicators - Section D'!AE$1:AE$100,MATCH('Print View'!$A157,'Coverage Indicators - Section D'!$A$1:$A$100,0)),"0.00%"),""),"")&amp;CHAR(10)&amp;IFERROR(IF(INDEX('Coverage Indicators - Section D'!AF$1:AF$100,MATCH('Print View'!$A157,'Coverage Indicators - Section D'!$A$1:$A$100,0))&lt;&gt;0,INDEX('Coverage Indicators - Section D'!AF$1:AF$100,MATCH('Print View'!$A157,'Coverage Indicators - Section D'!$A$1:$A$100,0)),""),"")</f>
        <v xml:space="preserve">12819.87/15827
81.00%
</v>
      </c>
      <c r="R157" s="406" t="str">
        <f ca="1">IFERROR(IF(INDEX('Coverage Indicators - Section D'!AG$1:AG$100,MATCH('Print View'!$A157,'Coverage Indicators - Section D'!$A$1:$A$100,0))&lt;&gt;0,INDEX('Coverage Indicators - Section D'!AG$1:AG$100,MATCH('Print View'!$A157,'Coverage Indicators - Section D'!$A$1:$A$100,0)),""),"")&amp;"/"&amp;IFERROR(IF(INDEX('Coverage Indicators - Section D'!AG$1:AG$100,MATCH('Print View'!$A157,'Coverage Indicators - Section D'!$A$1:$A$100,0)+1)&lt;&gt;0,INDEX('Coverage Indicators - Section D'!AG$1:AG$100,MATCH('Print View'!$A157,'Coverage Indicators - Section D'!$A$1:$A$100,0)+1),""),"")&amp;CHAR(10)&amp;IFERROR(IF(INDEX('Coverage Indicators - Section D'!AH$1:AH$100,MATCH('Print View'!$A157,'Coverage Indicators - Section D'!$A$1:$A$100,0))&lt;&gt;0,TEXT(INDEX('Coverage Indicators - Section D'!AH$1:AH$100,MATCH('Print View'!$A157,'Coverage Indicators - Section D'!$A$1:$A$100,0)),"0.00%"),""),"")&amp;CHAR(10)&amp;IFERROR(IF(INDEX('Coverage Indicators - Section D'!AI$1:AI$100,MATCH('Print View'!$A157,'Coverage Indicators - Section D'!$A$1:$A$100,0))&lt;&gt;0,INDEX('Coverage Indicators - Section D'!AI$1:AI$100,MATCH('Print View'!$A157,'Coverage Indicators - Section D'!$A$1:$A$100,0)),""),"")</f>
        <v xml:space="preserve">/
</v>
      </c>
      <c r="S157" s="406" t="str">
        <f ca="1">IFERROR(IF(INDEX('Coverage Indicators - Section D'!AJ$1:AJ$100,MATCH('Print View'!$A157,'Coverage Indicators - Section D'!$A$1:$A$100,0))&lt;&gt;0,INDEX('Coverage Indicators - Section D'!AJ$1:AJ$100,MATCH('Print View'!$A157,'Coverage Indicators - Section D'!$A$1:$A$100,0)),""),"")&amp;"/"&amp;IFERROR(IF(INDEX('Coverage Indicators - Section D'!AJ$1:AJ$100,MATCH('Print View'!$A157,'Coverage Indicators - Section D'!$A$1:$A$100,0)+1)&lt;&gt;0,INDEX('Coverage Indicators - Section D'!AJ$1:AJ$100,MATCH('Print View'!$A157,'Coverage Indicators - Section D'!$A$1:$A$100,0)+1),""),"")&amp;CHAR(10)&amp;IFERROR(IF(INDEX('Coverage Indicators - Section D'!AK$1:AK$100,MATCH('Print View'!$A157,'Coverage Indicators - Section D'!$A$1:$A$100,0))&lt;&gt;0,TEXT(INDEX('Coverage Indicators - Section D'!AK$1:AK$100,MATCH('Print View'!$A157,'Coverage Indicators - Section D'!$A$1:$A$100,0)),"0.00%"),""),"")&amp;CHAR(10)&amp;IFERROR(IF(INDEX('Coverage Indicators - Section D'!AL$1:AL$100,MATCH('Print View'!$A157,'Coverage Indicators - Section D'!$A$1:$A$100,0))&lt;&gt;0,INDEX('Coverage Indicators - Section D'!AL$1:AL$100,MATCH('Print View'!$A157,'Coverage Indicators - Section D'!$A$1:$A$100,0)),""),"")</f>
        <v xml:space="preserve">/
</v>
      </c>
      <c r="T157" s="385"/>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f ca="1">IFERROR(IF(INDEX('Coverage Indicators - Section D'!AD$1:AD$110,MATCH('Print View'!$A157,'Coverage Indicators - Section D'!$A$1:$A$110,0))&lt;&gt;0,INDEX('Coverage Indicators - Section D'!AD$1:AD$110,MATCH('Print View'!$A157,'Coverage Indicators - Section D'!$A$1:$A$110,0)),""),"")</f>
        <v>12819.87</v>
      </c>
      <c r="AP157" s="216"/>
      <c r="AQ157" s="216"/>
      <c r="AR157" s="216"/>
      <c r="AS157" s="216"/>
      <c r="AT157" s="711" t="str">
        <f ca="1">CONCATENATE($A157,N$147)</f>
        <v>530-Jun-22</v>
      </c>
      <c r="AU157" s="710" t="str">
        <f ca="1">CONCATENATE($A157,Q$147)</f>
        <v>531-Dec-23</v>
      </c>
      <c r="AV157" s="710" t="str">
        <f t="shared" ref="AV157" si="46">CONCATENATE($A157,V$147)</f>
        <v>5</v>
      </c>
      <c r="AW157" s="710" t="str">
        <f t="shared" ref="AW157" si="47">CONCATENATE($A157,Y$147)</f>
        <v>5</v>
      </c>
      <c r="AX157" s="710" t="str">
        <f t="shared" ref="AX157" si="48">CONCATENATE($A157,AB$147)</f>
        <v>5</v>
      </c>
      <c r="AY157" s="710" t="str">
        <f t="shared" ref="AY157" si="49">CONCATENATE($A157,AE$147)</f>
        <v>5</v>
      </c>
      <c r="AZ157" s="710" t="str">
        <f t="shared" ref="AZ157" si="50">CONCATENATE($A157,AH$147)</f>
        <v>5</v>
      </c>
      <c r="BA157" s="710" t="str">
        <f t="shared" ref="BA157" si="51">CONCATENATE($A157,AK$147)</f>
        <v>5</v>
      </c>
      <c r="BB157" s="409"/>
      <c r="BC157" s="410"/>
    </row>
    <row r="158" spans="1:55" s="411" customFormat="1" ht="88.2" customHeight="1" x14ac:dyDescent="0.3">
      <c r="A158" s="709"/>
      <c r="B158" s="714" t="str">
        <f ca="1">IFERROR(IF(INDEX('Coverage Indicators - Section D'!AM$1:AM$110,MATCH('Print View'!$A157,'Coverage Indicators - Section D'!$A$1:$A$110,0))&lt;&gt;0,INDEX('Coverage Indicators - Section D'!AM$1:AM$110,MATCH('Print View'!$A157,'Coverage Indicators - Section D'!$A$1:$A$110,0)),""),"")</f>
        <v>L'indicateur qui est renseigné avec les outils nationaux est  le pourcentage d'enfants nés de mères séropositives au VIH dépistés précocement (avant 2 mois)
Selon le PSN 2021-2025, 95% d'enfants nés de mère séropositives doivent bénéficier du dépistage précoce en 2025. En tenant compte de la donnée de base de 2019 (53%), les pourcentages d'enfants à dépister ont été interpolés. Ce qui donne 67% en 2021, 74% en 2022 et 81% en 2023. 
Numérateur: Nombre d'enfants nés de mère séropositives bénéficiant d’un dépistage précoce et qui reçoivent le résultat selon les directives nationales (2 mois)
Dénominateur:  Nombre estimé de femmes enceintes séropositives</v>
      </c>
      <c r="C158" s="715"/>
      <c r="D158" s="715"/>
      <c r="E158" s="715"/>
      <c r="F158" s="715"/>
      <c r="G158" s="715"/>
      <c r="H158" s="715"/>
      <c r="I158" s="715"/>
      <c r="J158" s="715"/>
      <c r="K158" s="715"/>
      <c r="L158" s="715"/>
      <c r="M158" s="715"/>
      <c r="N158" s="715"/>
      <c r="O158" s="715"/>
      <c r="P158" s="715"/>
      <c r="Q158" s="715"/>
      <c r="R158" s="715"/>
      <c r="S158" s="716"/>
      <c r="T158" s="412"/>
      <c r="U158" s="216"/>
      <c r="V158" s="216"/>
      <c r="W158" s="216"/>
      <c r="X158" s="216"/>
      <c r="Y158" s="21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711"/>
      <c r="AU158" s="710"/>
      <c r="AV158" s="710"/>
      <c r="AW158" s="710"/>
      <c r="AX158" s="710"/>
      <c r="AY158" s="710"/>
      <c r="AZ158" s="710"/>
      <c r="BA158" s="710"/>
      <c r="BB158" s="409"/>
      <c r="BC158" s="410"/>
    </row>
    <row r="159" spans="1:55" s="411" customFormat="1" ht="177" customHeight="1" x14ac:dyDescent="0.3">
      <c r="A159" s="712">
        <v>6</v>
      </c>
      <c r="B159" s="380" t="str">
        <f ca="1">IFERROR(IF(INDEX('Coverage Indicators - Section D'!B$1:B$100,MATCH('Print View'!$A159,'Coverage Indicators - Section D'!$A$1:$A$100,0))&lt;&gt;0,INDEX('Coverage Indicators - Section D'!B$1:B$100,MATCH('Print View'!$A159,'Coverage Indicators - Section D'!$A$1:$A$100,0)),""),"")</f>
        <v>Traitement, prise en charge et soutien</v>
      </c>
      <c r="C159" s="380" t="str">
        <f ca="1">IFERROR(IF(INDEX('Coverage Indicators - Section D'!D$1:D$100,MATCH('Print View'!$A159,'Coverage Indicators - Section D'!$A$1:$A$100,0))&lt;&gt;0,INDEX('Coverage Indicators - Section D'!D$1:D$100,MATCH('Print View'!$A159,'Coverage Indicators - Section D'!$A$1:$A$100,0)),""),"")</f>
        <v>TCS-1.1⁽ᴹ⁾ Pourcentage de personnes sous TARV parmi toutes les personnes vivant avec le VIH à la fin de la période de rapportage</v>
      </c>
      <c r="D159" s="380" t="str">
        <f ca="1">IFERROR(IF(INDEX('Coverage Indicators - Section D'!E$1:E$100,MATCH('Print View'!$A159,'Coverage Indicators - Section D'!$A$1:$A$100,0))&lt;&gt;0,INDEX('Coverage Indicators - Section D'!E$1:E$100,MATCH('Print View'!$A159,'Coverage Indicators - Section D'!$A$1:$A$100,0)),""),"")</f>
        <v/>
      </c>
      <c r="E159" s="381" t="str">
        <f ca="1">IFERROR(IF(INDEX('Coverage Indicators - Section D'!F$1:F$100,MATCH('Print View'!$A159,'Coverage Indicators - Section D'!$A$1:$A$100,0))&lt;&gt;0,INDEX('Coverage Indicators - Section D'!F$1:F$100,MATCH('Print View'!$A159,'Coverage Indicators - Section D'!$A$1:$A$100,0)),""),"")&amp;"/"&amp;IFERROR(IF(INDEX('Coverage Indicators - Section D'!F$1:F$100,MATCH('Print View'!$A159,'Coverage Indicators - Section D'!$A$1:$A$100,0)+1)&lt;&gt;0,INDEX('Coverage Indicators - Section D'!F$1:F$100,MATCH('Print View'!$A159,'Coverage Indicators - Section D'!$A$1:$A$100,0)+1),""),"")&amp;CHAR(10)&amp;IFERROR(IF(INDEX('Coverage Indicators - Section D'!G$1:G$100,MATCH('Print View'!$A159,'Coverage Indicators - Section D'!$A$1:$A$100,0))&lt;&gt;0,TEXT(INDEX('Coverage Indicators - Section D'!G$1:G$100,MATCH('Print View'!$A159,'Coverage Indicators - Section D'!$A$1:$A$100,0)),"0.00%"),""),"")</f>
        <v>269135/428827
62.76%</v>
      </c>
      <c r="F159" s="413"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 xml:space="preserve">2019
Données de routine PNLS </v>
      </c>
      <c r="G159" s="414" t="str">
        <f>IFERROR(IF(INDEX('Coverage Indicators - Section D'!J17:J46,MATCH('Print View'!$A159,'Coverage Indicators - Section D'!$A$9:$A$38,0))&lt;&gt;0,INDEX('Coverage Indicators - Section D'!J17:J46,MATCH('Print View'!$A159,'Coverage Indicators - Section D'!$A$9:$A$38,0)),""),"")</f>
        <v>Age,Sexe,Résultat du test VIH</v>
      </c>
      <c r="H159" s="413" t="str">
        <f ca="1">IFERROR(IF(INDEX('Coverage Indicators - Section D'!K$1:K$100,MATCH('Print View'!$A159,'Coverage Indicators - Section D'!$A$1:$A$100,0))&lt;&gt;0,INDEX('Coverage Indicators - Section D'!K$1:K$100,MATCH('Print View'!$A159,'Coverage Indicators - Section D'!$A$1:$A$100,0)),""),"")</f>
        <v>Yes</v>
      </c>
      <c r="I159" s="414" t="str">
        <f ca="1">IFERROR(IF(INDEX('Coverage Indicators - Section D'!L$1:L$100,MATCH('Print View'!$A159,'Coverage Indicators - Section D'!$A$1:$A$100,0))&lt;&gt;0,INDEX('Coverage Indicators - Section D'!L$1:L$100,MATCH('Print View'!$A159,'Coverage Indicators - Section D'!$A$1:$A$100,0)),""),"")</f>
        <v>Programme National de Lutte contre le SIDA de la République de Côte d'Ivoire</v>
      </c>
      <c r="J159" s="415"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Côte d'Ivoire
Geographic Subnational, 100% of national program target</v>
      </c>
      <c r="K159" s="413" t="str">
        <f ca="1">IFERROR(IF(INDEX('Coverage Indicators - Section D'!N$1:N$100,MATCH('Print View'!$A159,'Coverage Indicators - Section D'!$A$1:$A$100,0))&lt;&gt;0,INDEX('Coverage Indicators - Section D'!N$1:N$100,MATCH('Print View'!$A159,'Coverage Indicators - Section D'!$A$1:$A$100,0)),""),"")</f>
        <v>Non cumulative – other</v>
      </c>
      <c r="L159" s="415" t="str">
        <f ca="1">IFERROR(IF(INDEX('Coverage Indicators - Section D'!O$1:O$100,MATCH('Print View'!$A159,'Coverage Indicators - Section D'!$A$1:$A$100,0))&lt;&gt;0,INDEX('Coverage Indicators - Section D'!O$1:O$100,MATCH('Print View'!$A159,'Coverage Indicators - Section D'!$A$1:$A$100,0)),""),"")&amp;"/"&amp;IFERROR(IF(INDEX('Coverage Indicators - Section D'!O$1:O$100,MATCH('Print View'!$A159,'Coverage Indicators - Section D'!$A$1:$A$100,0)+1)&lt;&gt;0,INDEX('Coverage Indicators - Section D'!O$1:O$100,MATCH('Print View'!$A159,'Coverage Indicators - Section D'!$A$1:$A$100,0)+1),""),"")&amp;CHAR(10)&amp;IFERROR(IF(INDEX('Coverage Indicators - Section D'!P$1:P$100,MATCH('Print View'!$A159,'Coverage Indicators - Section D'!$A$1:$A$100,0))&lt;&gt;0,TEXT(INDEX('Coverage Indicators - Section D'!P$1:P$100,MATCH('Print View'!$A159,'Coverage Indicators - Section D'!$A$1:$A$100,0)),"0.00%"),""),"")&amp;CHAR(10)&amp;IFERROR(IF(INDEX('Coverage Indicators - Section D'!Q$1:Q$100,MATCH('Print View'!$A159,'Coverage Indicators - Section D'!$A$1:$A$100,0))&lt;&gt;0,INDEX('Coverage Indicators - Section D'!Q$1:Q$100,MATCH('Print View'!$A159,'Coverage Indicators - Section D'!$A$1:$A$100,0)),""),"")</f>
        <v xml:space="preserve">294071.7325/417955
70.36%
</v>
      </c>
      <c r="M159" s="415" t="str">
        <f ca="1">IFERROR(IF(INDEX('Coverage Indicators - Section D'!R$1:R$100,MATCH('Print View'!$A159,'Coverage Indicators - Section D'!$A$1:$A$100,0))&lt;&gt;0,INDEX('Coverage Indicators - Section D'!R$1:R$100,MATCH('Print View'!$A159,'Coverage Indicators - Section D'!$A$1:$A$100,0)),""),"")&amp;"/"&amp;IFERROR(IF(INDEX('Coverage Indicators - Section D'!R$1:R$100,MATCH('Print View'!$A159,'Coverage Indicators - Section D'!$A$1:$A$100,0)+1)&lt;&gt;0,INDEX('Coverage Indicators - Section D'!R$1:R$100,MATCH('Print View'!$A159,'Coverage Indicators - Section D'!$A$1:$A$100,0)+1),""),"")&amp;CHAR(10)&amp;IFERROR(IF(INDEX('Coverage Indicators - Section D'!S$1:S$100,MATCH('Print View'!$A159,'Coverage Indicators - Section D'!$A$1:$A$100,0))&lt;&gt;0,TEXT(INDEX('Coverage Indicators - Section D'!S$1:S$100,MATCH('Print View'!$A159,'Coverage Indicators - Section D'!$A$1:$A$100,0)),"0.00%"),""),"")&amp;CHAR(10)&amp;IFERROR(IF(INDEX('Coverage Indicators - Section D'!T$1:T$100,MATCH('Print View'!$A159,'Coverage Indicators - Section D'!$A$1:$A$100,0))&lt;&gt;0,INDEX('Coverage Indicators - Section D'!T$1:T$100,MATCH('Print View'!$A159,'Coverage Indicators - Section D'!$A$1:$A$100,0)),""),"")</f>
        <v xml:space="preserve">302181.465/417955
72.30%
</v>
      </c>
      <c r="N159" s="415" t="str">
        <f ca="1">IFERROR(IF(INDEX('Coverage Indicators - Section D'!U$1:U$100,MATCH('Print View'!$A159,'Coverage Indicators - Section D'!$A$1:$A$100,0))&lt;&gt;0,INDEX('Coverage Indicators - Section D'!U$1:U$100,MATCH('Print View'!$A159,'Coverage Indicators - Section D'!$A$1:$A$100,0)),""),"")&amp;"/"&amp;IFERROR(IF(INDEX('Coverage Indicators - Section D'!U$1:U$100,MATCH('Print View'!$A159,'Coverage Indicators - Section D'!$A$1:$A$100,0)+1)&lt;&gt;0,INDEX('Coverage Indicators - Section D'!U$1:U$100,MATCH('Print View'!$A159,'Coverage Indicators - Section D'!$A$1:$A$100,0)+1),""),"")&amp;CHAR(10)&amp;IFERROR(IF(INDEX('Coverage Indicators - Section D'!V$1:V$100,MATCH('Print View'!$A159,'Coverage Indicators - Section D'!$A$1:$A$100,0))&lt;&gt;0,TEXT(INDEX('Coverage Indicators - Section D'!V$1:V$100,MATCH('Print View'!$A159,'Coverage Indicators - Section D'!$A$1:$A$100,0)),"0.00%"),""),"")&amp;CHAR(10)&amp;IFERROR(IF(INDEX('Coverage Indicators - Section D'!W$1:W$100,MATCH('Print View'!$A159,'Coverage Indicators - Section D'!$A$1:$A$100,0))&lt;&gt;0,INDEX('Coverage Indicators - Section D'!W$1:W$100,MATCH('Print View'!$A159,'Coverage Indicators - Section D'!$A$1:$A$100,0)),""),"")</f>
        <v xml:space="preserve">309654.303/412389
75.09%
</v>
      </c>
      <c r="O159" s="415" t="str">
        <f ca="1">IFERROR(IF(INDEX('Coverage Indicators - Section D'!X$1:X$100,MATCH('Print View'!$A159,'Coverage Indicators - Section D'!$A$1:$A$100,0))&lt;&gt;0,INDEX('Coverage Indicators - Section D'!X$1:X$100,MATCH('Print View'!$A159,'Coverage Indicators - Section D'!$A$1:$A$100,0)),""),"")&amp;"/"&amp;IFERROR(IF(INDEX('Coverage Indicators - Section D'!X$1:X$100,MATCH('Print View'!$A159,'Coverage Indicators - Section D'!$A$1:$A$100,0)+1)&lt;&gt;0,INDEX('Coverage Indicators - Section D'!X$1:X$100,MATCH('Print View'!$A159,'Coverage Indicators - Section D'!$A$1:$A$100,0)+1),""),"")&amp;CHAR(10)&amp;IFERROR(IF(INDEX('Coverage Indicators - Section D'!Y$1:Y$100,MATCH('Print View'!$A159,'Coverage Indicators - Section D'!$A$1:$A$100,0))&lt;&gt;0,TEXT(INDEX('Coverage Indicators - Section D'!Y$1:Y$100,MATCH('Print View'!$A159,'Coverage Indicators - Section D'!$A$1:$A$100,0)),"0.00%"),""),"")&amp;CHAR(10)&amp;IFERROR(IF(INDEX('Coverage Indicators - Section D'!Z$1:Z$100,MATCH('Print View'!$A159,'Coverage Indicators - Section D'!$A$1:$A$100,0))&lt;&gt;0,INDEX('Coverage Indicators - Section D'!Z$1:Z$100,MATCH('Print View'!$A159,'Coverage Indicators - Section D'!$A$1:$A$100,0)),""),"")</f>
        <v xml:space="preserve">317127.141/412389
76.90%
</v>
      </c>
      <c r="P159" s="415" t="str">
        <f ca="1">IFERROR(IF(INDEX('Coverage Indicators - Section D'!AA$1:AA$100,MATCH('Print View'!$A159,'Coverage Indicators - Section D'!$A$1:$A$100,0))&lt;&gt;0,INDEX('Coverage Indicators - Section D'!AA$1:AA$100,MATCH('Print View'!$A159,'Coverage Indicators - Section D'!$A$1:$A$100,0)),""),"")&amp;"/"&amp;IFERROR(IF(INDEX('Coverage Indicators - Section D'!AA$1:AA$100,MATCH('Print View'!$A159,'Coverage Indicators - Section D'!$A$1:$A$100,0)+1)&lt;&gt;0,INDEX('Coverage Indicators - Section D'!AA$1:AA$100,MATCH('Print View'!$A159,'Coverage Indicators - Section D'!$A$1:$A$100,0)+1),""),"")&amp;CHAR(10)&amp;IFERROR(IF(INDEX('Coverage Indicators - Section D'!AB$1:AB$100,MATCH('Print View'!$A159,'Coverage Indicators - Section D'!$A$1:$A$100,0))&lt;&gt;0,TEXT(INDEX('Coverage Indicators - Section D'!AB$1:AB$100,MATCH('Print View'!$A159,'Coverage Indicators - Section D'!$A$1:$A$100,0)),"0.00%"),""),"")&amp;CHAR(10)&amp;IFERROR(IF(INDEX('Coverage Indicators - Section D'!AC$1:AC$100,MATCH('Print View'!$A159,'Coverage Indicators - Section D'!$A$1:$A$100,0))&lt;&gt;0,INDEX('Coverage Indicators - Section D'!AC$1:AC$100,MATCH('Print View'!$A159,'Coverage Indicators - Section D'!$A$1:$A$100,0)),""),"")</f>
        <v xml:space="preserve">324180.128/406421
79.76%
</v>
      </c>
      <c r="Q159" s="415" t="str">
        <f ca="1">IFERROR(IF(INDEX('Coverage Indicators - Section D'!AD$1:AD$100,MATCH('Print View'!$A159,'Coverage Indicators - Section D'!$A$1:$A$100,0))&lt;&gt;0,INDEX('Coverage Indicators - Section D'!AD$1:AD$100,MATCH('Print View'!$A159,'Coverage Indicators - Section D'!$A$1:$A$100,0)),""),"")&amp;"/"&amp;IFERROR(IF(INDEX('Coverage Indicators - Section D'!AD$1:AD$100,MATCH('Print View'!$A159,'Coverage Indicators - Section D'!$A$1:$A$100,0)+1)&lt;&gt;0,INDEX('Coverage Indicators - Section D'!AD$1:AD$100,MATCH('Print View'!$A159,'Coverage Indicators - Section D'!$A$1:$A$100,0)+1),""),"")&amp;CHAR(10)&amp;IFERROR(IF(INDEX('Coverage Indicators - Section D'!AE$1:AE$100,MATCH('Print View'!$A159,'Coverage Indicators - Section D'!$A$1:$A$100,0))&lt;&gt;0,TEXT(INDEX('Coverage Indicators - Section D'!AE$1:AE$100,MATCH('Print View'!$A159,'Coverage Indicators - Section D'!$A$1:$A$100,0)),"0.00%"),""),"")&amp;CHAR(10)&amp;IFERROR(IF(INDEX('Coverage Indicators - Section D'!AF$1:AF$100,MATCH('Print View'!$A159,'Coverage Indicators - Section D'!$A$1:$A$100,0))&lt;&gt;0,INDEX('Coverage Indicators - Section D'!AF$1:AF$100,MATCH('Print View'!$A159,'Coverage Indicators - Section D'!$A$1:$A$100,0)),""),"")</f>
        <v xml:space="preserve">331233.115/406421
81.50%
</v>
      </c>
      <c r="R159" s="415" t="str">
        <f ca="1">IFERROR(IF(INDEX('Coverage Indicators - Section D'!AG$1:AG$100,MATCH('Print View'!$A159,'Coverage Indicators - Section D'!$A$1:$A$100,0))&lt;&gt;0,INDEX('Coverage Indicators - Section D'!AG$1:AG$100,MATCH('Print View'!$A159,'Coverage Indicators - Section D'!$A$1:$A$100,0)),""),"")&amp;"/"&amp;IFERROR(IF(INDEX('Coverage Indicators - Section D'!AG$1:AG$100,MATCH('Print View'!$A159,'Coverage Indicators - Section D'!$A$1:$A$100,0)+1)&lt;&gt;0,INDEX('Coverage Indicators - Section D'!AG$1:AG$100,MATCH('Print View'!$A159,'Coverage Indicators - Section D'!$A$1:$A$100,0)+1),""),"")&amp;CHAR(10)&amp;IFERROR(IF(INDEX('Coverage Indicators - Section D'!AH$1:AH$100,MATCH('Print View'!$A159,'Coverage Indicators - Section D'!$A$1:$A$100,0))&lt;&gt;0,TEXT(INDEX('Coverage Indicators - Section D'!AH$1:AH$100,MATCH('Print View'!$A159,'Coverage Indicators - Section D'!$A$1:$A$100,0)),"0.00%"),""),"")&amp;CHAR(10)&amp;IFERROR(IF(INDEX('Coverage Indicators - Section D'!AI$1:AI$100,MATCH('Print View'!$A159,'Coverage Indicators - Section D'!$A$1:$A$100,0))&lt;&gt;0,INDEX('Coverage Indicators - Section D'!AI$1:AI$100,MATCH('Print View'!$A159,'Coverage Indicators - Section D'!$A$1:$A$100,0)),""),"")</f>
        <v xml:space="preserve">/
</v>
      </c>
      <c r="S159" s="415" t="str">
        <f ca="1">IFERROR(IF(INDEX('Coverage Indicators - Section D'!AJ$1:AJ$100,MATCH('Print View'!$A159,'Coverage Indicators - Section D'!$A$1:$A$100,0))&lt;&gt;0,INDEX('Coverage Indicators - Section D'!AJ$1:AJ$100,MATCH('Print View'!$A159,'Coverage Indicators - Section D'!$A$1:$A$100,0)),""),"")&amp;"/"&amp;IFERROR(IF(INDEX('Coverage Indicators - Section D'!AJ$1:AJ$100,MATCH('Print View'!$A159,'Coverage Indicators - Section D'!$A$1:$A$100,0)+1)&lt;&gt;0,INDEX('Coverage Indicators - Section D'!AJ$1:AJ$100,MATCH('Print View'!$A159,'Coverage Indicators - Section D'!$A$1:$A$100,0)+1),""),"")&amp;CHAR(10)&amp;IFERROR(IF(INDEX('Coverage Indicators - Section D'!AK$1:AK$100,MATCH('Print View'!$A159,'Coverage Indicators - Section D'!$A$1:$A$100,0))&lt;&gt;0,TEXT(INDEX('Coverage Indicators - Section D'!AK$1:AK$100,MATCH('Print View'!$A159,'Coverage Indicators - Section D'!$A$1:$A$100,0)),"0.00%"),""),"")&amp;CHAR(10)&amp;IFERROR(IF(INDEX('Coverage Indicators - Section D'!AL$1:AL$100,MATCH('Print View'!$A159,'Coverage Indicators - Section D'!$A$1:$A$100,0))&lt;&gt;0,INDEX('Coverage Indicators - Section D'!AL$1:AL$100,MATCH('Print View'!$A159,'Coverage Indicators - Section D'!$A$1:$A$100,0)),""),"")</f>
        <v xml:space="preserve">/
</v>
      </c>
      <c r="T159" s="416"/>
      <c r="U159" s="216"/>
      <c r="V159" s="216"/>
      <c r="W159" s="216"/>
      <c r="X159" s="216"/>
      <c r="Y159" s="216"/>
      <c r="Z159" s="216"/>
      <c r="AA159" s="216"/>
      <c r="AB159" s="216"/>
      <c r="AC159" s="216"/>
      <c r="AD159" s="216"/>
      <c r="AE159" s="216"/>
      <c r="AF159" s="216"/>
      <c r="AG159" s="216"/>
      <c r="AH159" s="216"/>
      <c r="AI159" s="216"/>
      <c r="AJ159" s="216"/>
      <c r="AK159" s="216"/>
      <c r="AL159" s="216"/>
      <c r="AM159" s="216"/>
      <c r="AN159" s="216"/>
      <c r="AO159" s="216">
        <f ca="1">IFERROR(IF(INDEX('Coverage Indicators - Section D'!AD$1:AD$110,MATCH('Print View'!$A159,'Coverage Indicators - Section D'!$A$1:$A$110,0))&lt;&gt;0,INDEX('Coverage Indicators - Section D'!AD$1:AD$110,MATCH('Print View'!$A159,'Coverage Indicators - Section D'!$A$1:$A$110,0)),""),"")</f>
        <v>331233.11499999999</v>
      </c>
      <c r="AP159" s="216"/>
      <c r="AQ159" s="216"/>
      <c r="AR159" s="216"/>
      <c r="AS159" s="216"/>
      <c r="AT159" s="711" t="str">
        <f ca="1">CONCATENATE($A159,N$147)</f>
        <v>630-Jun-22</v>
      </c>
      <c r="AU159" s="710" t="str">
        <f ca="1">CONCATENATE($A159,Q$147)</f>
        <v>631-Dec-23</v>
      </c>
      <c r="AV159" s="710" t="str">
        <f t="shared" ref="AV159" si="52">CONCATENATE($A159,V$147)</f>
        <v>6</v>
      </c>
      <c r="AW159" s="710" t="str">
        <f t="shared" ref="AW159" si="53">CONCATENATE($A159,Y$147)</f>
        <v>6</v>
      </c>
      <c r="AX159" s="710" t="str">
        <f t="shared" ref="AX159" si="54">CONCATENATE($A159,AB$147)</f>
        <v>6</v>
      </c>
      <c r="AY159" s="710" t="str">
        <f t="shared" ref="AY159" si="55">CONCATENATE($A159,AE$147)</f>
        <v>6</v>
      </c>
      <c r="AZ159" s="710" t="str">
        <f t="shared" ref="AZ159" si="56">CONCATENATE($A159,AH$147)</f>
        <v>6</v>
      </c>
      <c r="BA159" s="710" t="str">
        <f t="shared" ref="BA159" si="57">CONCATENATE($A159,AK$147)</f>
        <v>6</v>
      </c>
      <c r="BB159" s="409"/>
      <c r="BC159" s="410"/>
    </row>
    <row r="160" spans="1:55" s="411" customFormat="1" ht="88.2" customHeight="1" x14ac:dyDescent="0.3">
      <c r="A160" s="712"/>
      <c r="B160" s="717" t="str">
        <f ca="1">IFERROR(IF(INDEX('Coverage Indicators - Section D'!AM$1:AM$110,MATCH('Print View'!$A159,'Coverage Indicators - Section D'!$A$1:$A$110,0))&lt;&gt;0,INDEX('Coverage Indicators - Section D'!AM$1:AM$110,MATCH('Print View'!$A159,'Coverage Indicators - Section D'!$A$1:$A$110,0)),""),"")</f>
        <v>Selon les cibles du PSN 2021-2025, les pourcentages de personnes à mettre sous ARV sont de 72,3% en 2021, 76,9% en 2022 et 81,5% en 2023
Le numérateur est calculé en faisant la différence de la file active de l'année N et la file active de l'année N-1. Cette différence est divisée par 2. A cela on ajoute la file active de N-1
Numérateur: Nombre de personnes mises sous ARV selon les directives nationales (file active)
Dénominateur: Nombre estimé de personnes vivant avec le VIH (spectrum)</v>
      </c>
      <c r="C160" s="718"/>
      <c r="D160" s="718"/>
      <c r="E160" s="718"/>
      <c r="F160" s="718"/>
      <c r="G160" s="718"/>
      <c r="H160" s="718"/>
      <c r="I160" s="719"/>
      <c r="J160" s="719"/>
      <c r="K160" s="719"/>
      <c r="L160" s="719"/>
      <c r="M160" s="719"/>
      <c r="N160" s="719"/>
      <c r="O160" s="719"/>
      <c r="P160" s="719"/>
      <c r="Q160" s="719"/>
      <c r="R160" s="719"/>
      <c r="S160" s="720"/>
      <c r="T160" s="417"/>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711"/>
      <c r="AU160" s="710"/>
      <c r="AV160" s="710"/>
      <c r="AW160" s="710"/>
      <c r="AX160" s="710"/>
      <c r="AY160" s="710"/>
      <c r="AZ160" s="710"/>
      <c r="BA160" s="710"/>
      <c r="BB160" s="409"/>
      <c r="BC160" s="410"/>
    </row>
    <row r="161" spans="1:55" s="411" customFormat="1" ht="177" customHeight="1" x14ac:dyDescent="0.3">
      <c r="A161" s="709">
        <v>7</v>
      </c>
      <c r="B161" s="404" t="str">
        <f ca="1">IFERROR(IF(INDEX('Coverage Indicators - Section D'!B$1:B$100,MATCH('Print View'!$A161,'Coverage Indicators - Section D'!$A$1:$A$100,0))&lt;&gt;0,INDEX('Coverage Indicators - Section D'!B$1:B$100,MATCH('Print View'!$A161,'Coverage Indicators - Section D'!$A$1:$A$100,0)),""),"")</f>
        <v>Traitement, prise en charge et soutien</v>
      </c>
      <c r="C161" s="404" t="str">
        <f ca="1">IFERROR(IF(INDEX('Coverage Indicators - Section D'!D$1:D$100,MATCH('Print View'!$A161,'Coverage Indicators - Section D'!$A$1:$A$100,0))&lt;&gt;0,INDEX('Coverage Indicators - Section D'!D$1:D$100,MATCH('Print View'!$A161,'Coverage Indicators - Section D'!$A$1:$A$100,0)),""),"")</f>
        <v>TCS-1b⁽ᴹ⁾ Pourcentage d'adultes (15 ans et plus) sous TARV parmi tous les adultes vivant avec le VIH à la fin de la période de rapportage</v>
      </c>
      <c r="D161" s="404" t="str">
        <f ca="1">IFERROR(IF(INDEX('Coverage Indicators - Section D'!E$1:E$100,MATCH('Print View'!$A161,'Coverage Indicators - Section D'!$A$1:$A$100,0))&lt;&gt;0,INDEX('Coverage Indicators - Section D'!E$1:E$100,MATCH('Print View'!$A161,'Coverage Indicators - Section D'!$A$1:$A$100,0)),""),"")</f>
        <v/>
      </c>
      <c r="E161" s="405" t="str">
        <f ca="1">IFERROR(IF(INDEX('Coverage Indicators - Section D'!F$1:F$100,MATCH('Print View'!$A161,'Coverage Indicators - Section D'!$A$1:$A$100,0))&lt;&gt;0,INDEX('Coverage Indicators - Section D'!F$1:F$100,MATCH('Print View'!$A161,'Coverage Indicators - Section D'!$A$1:$A$100,0)),""),"")&amp;"/"&amp;IFERROR(IF(INDEX('Coverage Indicators - Section D'!F$1:F$100,MATCH('Print View'!$A161,'Coverage Indicators - Section D'!$A$1:$A$100,0)+1)&lt;&gt;0,INDEX('Coverage Indicators - Section D'!F$1:F$100,MATCH('Print View'!$A161,'Coverage Indicators - Section D'!$A$1:$A$100,0)+1),""),"")&amp;CHAR(10)&amp;IFERROR(IF(INDEX('Coverage Indicators - Section D'!G$1:G$100,MATCH('Print View'!$A161,'Coverage Indicators - Section D'!$A$1:$A$100,0))&lt;&gt;0,TEXT(INDEX('Coverage Indicators - Section D'!G$1:G$100,MATCH('Print View'!$A161,'Coverage Indicators - Section D'!$A$1:$A$100,0)),"0.00%"),""),"")</f>
        <v>257805/397163
64.91%</v>
      </c>
      <c r="F161" s="406"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 xml:space="preserve">
Données de routine PNLS </v>
      </c>
      <c r="G161" s="407" t="str">
        <f>IFERROR(IF(INDEX('Coverage Indicators - Section D'!J21:J50,MATCH('Print View'!$A161,'Coverage Indicators - Section D'!$A$9:$A$38,0))&lt;&gt;0,INDEX('Coverage Indicators - Section D'!J21:J50,MATCH('Print View'!$A161,'Coverage Indicators - Section D'!$A$9:$A$38,0)),""),"")</f>
        <v>Sexe,Age</v>
      </c>
      <c r="H161" s="408" t="str">
        <f ca="1">IFERROR(IF(INDEX('Coverage Indicators - Section D'!K$1:K$100,MATCH('Print View'!$A161,'Coverage Indicators - Section D'!$A$1:$A$100,0))&lt;&gt;0,INDEX('Coverage Indicators - Section D'!K$1:K$100,MATCH('Print View'!$A161,'Coverage Indicators - Section D'!$A$1:$A$100,0)),""),"")</f>
        <v>Yes</v>
      </c>
      <c r="I161" s="407" t="str">
        <f ca="1">IFERROR(IF(INDEX('Coverage Indicators - Section D'!L$1:L$100,MATCH('Print View'!$A161,'Coverage Indicators - Section D'!$A$1:$A$100,0))&lt;&gt;0,INDEX('Coverage Indicators - Section D'!L$1:L$100,MATCH('Print View'!$A161,'Coverage Indicators - Section D'!$A$1:$A$100,0)),""),"")</f>
        <v>Programme National de Lutte contre le SIDA de la République de Côte d'Ivoire</v>
      </c>
      <c r="J161" s="405"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Côte d'Ivoire
Geographic Subnational, 100% of national program target</v>
      </c>
      <c r="K161" s="405" t="str">
        <f ca="1">IFERROR(IF(INDEX('Coverage Indicators - Section D'!N$1:N$100,MATCH('Print View'!$A161,'Coverage Indicators - Section D'!$A$1:$A$100,0))&lt;&gt;0,INDEX('Coverage Indicators - Section D'!N$1:N$100,MATCH('Print View'!$A161,'Coverage Indicators - Section D'!$A$1:$A$100,0)),""),"")</f>
        <v>Non cumulative – other</v>
      </c>
      <c r="L161" s="405" t="str">
        <f ca="1">IFERROR(IF(INDEX('Coverage Indicators - Section D'!O$1:O$100,MATCH('Print View'!$A161,'Coverage Indicators - Section D'!$A$1:$A$100,0))&lt;&gt;0,INDEX('Coverage Indicators - Section D'!O$1:O$100,MATCH('Print View'!$A161,'Coverage Indicators - Section D'!$A$1:$A$100,0)),""),"")&amp;"/"&amp;IFERROR(IF(INDEX('Coverage Indicators - Section D'!O$1:O$100,MATCH('Print View'!$A161,'Coverage Indicators - Section D'!$A$1:$A$100,0)+1)&lt;&gt;0,INDEX('Coverage Indicators - Section D'!O$1:O$100,MATCH('Print View'!$A161,'Coverage Indicators - Section D'!$A$1:$A$100,0)+1),""),"")&amp;CHAR(10)&amp;IFERROR(IF(INDEX('Coverage Indicators - Section D'!P$1:P$100,MATCH('Print View'!$A161,'Coverage Indicators - Section D'!$A$1:$A$100,0))&lt;&gt;0,TEXT(INDEX('Coverage Indicators - Section D'!P$1:P$100,MATCH('Print View'!$A161,'Coverage Indicators - Section D'!$A$1:$A$100,0)),"0.00%"),""),"")&amp;CHAR(10)&amp;IFERROR(IF(INDEX('Coverage Indicators - Section D'!Q$1:Q$100,MATCH('Print View'!$A161,'Coverage Indicators - Section D'!$A$1:$A$100,0))&lt;&gt;0,INDEX('Coverage Indicators - Section D'!Q$1:Q$100,MATCH('Print View'!$A161,'Coverage Indicators - Section D'!$A$1:$A$100,0)),""),"")</f>
        <v xml:space="preserve">276090.19/391506
70.52%
</v>
      </c>
      <c r="M161" s="406" t="str">
        <f ca="1">IFERROR(IF(INDEX('Coverage Indicators - Section D'!R$1:R$100,MATCH('Print View'!$A161,'Coverage Indicators - Section D'!$A$1:$A$100,0))&lt;&gt;0,INDEX('Coverage Indicators - Section D'!R$1:R$100,MATCH('Print View'!$A161,'Coverage Indicators - Section D'!$A$1:$A$100,0)),""),"")&amp;"/"&amp;IFERROR(IF(INDEX('Coverage Indicators - Section D'!R$1:R$100,MATCH('Print View'!$A161,'Coverage Indicators - Section D'!$A$1:$A$100,0)+1)&lt;&gt;0,INDEX('Coverage Indicators - Section D'!R$1:R$100,MATCH('Print View'!$A161,'Coverage Indicators - Section D'!$A$1:$A$100,0)+1),""),"")&amp;CHAR(10)&amp;IFERROR(IF(INDEX('Coverage Indicators - Section D'!S$1:S$100,MATCH('Print View'!$A161,'Coverage Indicators - Section D'!$A$1:$A$100,0))&lt;&gt;0,TEXT(INDEX('Coverage Indicators - Section D'!S$1:S$100,MATCH('Print View'!$A161,'Coverage Indicators - Section D'!$A$1:$A$100,0)),"0.00%"),""),"")&amp;CHAR(10)&amp;IFERROR(IF(INDEX('Coverage Indicators - Section D'!T$1:T$100,MATCH('Print View'!$A161,'Coverage Indicators - Section D'!$A$1:$A$100,0))&lt;&gt;0,INDEX('Coverage Indicators - Section D'!T$1:T$100,MATCH('Print View'!$A161,'Coverage Indicators - Section D'!$A$1:$A$100,0)),""),"")</f>
        <v xml:space="preserve">285799.38/391506
73.00%
</v>
      </c>
      <c r="N161" s="405" t="str">
        <f ca="1">IFERROR(IF(INDEX('Coverage Indicators - Section D'!U$1:U$100,MATCH('Print View'!$A161,'Coverage Indicators - Section D'!$A$1:$A$100,0))&lt;&gt;0,INDEX('Coverage Indicators - Section D'!U$1:U$100,MATCH('Print View'!$A161,'Coverage Indicators - Section D'!$A$1:$A$100,0)),""),"")&amp;"/"&amp;IFERROR(IF(INDEX('Coverage Indicators - Section D'!U$1:U$100,MATCH('Print View'!$A161,'Coverage Indicators - Section D'!$A$1:$A$100,0)+1)&lt;&gt;0,INDEX('Coverage Indicators - Section D'!U$1:U$100,MATCH('Print View'!$A161,'Coverage Indicators - Section D'!$A$1:$A$100,0)+1),""),"")&amp;CHAR(10)&amp;IFERROR(IF(INDEX('Coverage Indicators - Section D'!V$1:V$100,MATCH('Print View'!$A161,'Coverage Indicators - Section D'!$A$1:$A$100,0))&lt;&gt;0,TEXT(INDEX('Coverage Indicators - Section D'!V$1:V$100,MATCH('Print View'!$A161,'Coverage Indicators - Section D'!$A$1:$A$100,0)),"0.00%"),""),"")&amp;CHAR(10)&amp;IFERROR(IF(INDEX('Coverage Indicators - Section D'!W$1:W$100,MATCH('Print View'!$A161,'Coverage Indicators - Section D'!$A$1:$A$100,0))&lt;&gt;0,INDEX('Coverage Indicators - Section D'!W$1:W$100,MATCH('Print View'!$A161,'Coverage Indicators - Section D'!$A$1:$A$100,0)),""),"")</f>
        <v xml:space="preserve">294366.72/388377
75.79%
</v>
      </c>
      <c r="O161" s="406" t="str">
        <f ca="1">IFERROR(IF(INDEX('Coverage Indicators - Section D'!X$1:X$100,MATCH('Print View'!$A161,'Coverage Indicators - Section D'!$A$1:$A$100,0))&lt;&gt;0,INDEX('Coverage Indicators - Section D'!X$1:X$100,MATCH('Print View'!$A161,'Coverage Indicators - Section D'!$A$1:$A$100,0)),""),"")&amp;"/"&amp;IFERROR(IF(INDEX('Coverage Indicators - Section D'!X$1:X$100,MATCH('Print View'!$A161,'Coverage Indicators - Section D'!$A$1:$A$100,0)+1)&lt;&gt;0,INDEX('Coverage Indicators - Section D'!X$1:X$100,MATCH('Print View'!$A161,'Coverage Indicators - Section D'!$A$1:$A$100,0)+1),""),"")&amp;CHAR(10)&amp;IFERROR(IF(INDEX('Coverage Indicators - Section D'!Y$1:Y$100,MATCH('Print View'!$A161,'Coverage Indicators - Section D'!$A$1:$A$100,0))&lt;&gt;0,TEXT(INDEX('Coverage Indicators - Section D'!Y$1:Y$100,MATCH('Print View'!$A161,'Coverage Indicators - Section D'!$A$1:$A$100,0)),"0.00%"),""),"")&amp;CHAR(10)&amp;IFERROR(IF(INDEX('Coverage Indicators - Section D'!Z$1:Z$100,MATCH('Print View'!$A161,'Coverage Indicators - Section D'!$A$1:$A$100,0))&lt;&gt;0,INDEX('Coverage Indicators - Section D'!Z$1:Z$100,MATCH('Print View'!$A161,'Coverage Indicators - Section D'!$A$1:$A$100,0)),""),"")</f>
        <v xml:space="preserve">302934.06/388377
78.00%
</v>
      </c>
      <c r="P161" s="406" t="str">
        <f ca="1">IFERROR(IF(INDEX('Coverage Indicators - Section D'!AA$1:AA$100,MATCH('Print View'!$A161,'Coverage Indicators - Section D'!$A$1:$A$100,0))&lt;&gt;0,INDEX('Coverage Indicators - Section D'!AA$1:AA$100,MATCH('Print View'!$A161,'Coverage Indicators - Section D'!$A$1:$A$100,0)),""),"")&amp;"/"&amp;IFERROR(IF(INDEX('Coverage Indicators - Section D'!AA$1:AA$100,MATCH('Print View'!$A161,'Coverage Indicators - Section D'!$A$1:$A$100,0)+1)&lt;&gt;0,INDEX('Coverage Indicators - Section D'!AA$1:AA$100,MATCH('Print View'!$A161,'Coverage Indicators - Section D'!$A$1:$A$100,0)+1),""),"")&amp;CHAR(10)&amp;IFERROR(IF(INDEX('Coverage Indicators - Section D'!AB$1:AB$100,MATCH('Print View'!$A161,'Coverage Indicators - Section D'!$A$1:$A$100,0))&lt;&gt;0,TEXT(INDEX('Coverage Indicators - Section D'!AB$1:AB$100,MATCH('Print View'!$A161,'Coverage Indicators - Section D'!$A$1:$A$100,0)),"0.00%"),""),"")&amp;CHAR(10)&amp;IFERROR(IF(INDEX('Coverage Indicators - Section D'!AC$1:AC$100,MATCH('Print View'!$A161,'Coverage Indicators - Section D'!$A$1:$A$100,0))&lt;&gt;0,INDEX('Coverage Indicators - Section D'!AC$1:AC$100,MATCH('Print View'!$A161,'Coverage Indicators - Section D'!$A$1:$A$100,0)),""),"")</f>
        <v xml:space="preserve">309215.76/384753
80.37%
</v>
      </c>
      <c r="Q161" s="406" t="str">
        <f ca="1">IFERROR(IF(INDEX('Coverage Indicators - Section D'!AD$1:AD$100,MATCH('Print View'!$A161,'Coverage Indicators - Section D'!$A$1:$A$100,0))&lt;&gt;0,INDEX('Coverage Indicators - Section D'!AD$1:AD$100,MATCH('Print View'!$A161,'Coverage Indicators - Section D'!$A$1:$A$100,0)),""),"")&amp;"/"&amp;IFERROR(IF(INDEX('Coverage Indicators - Section D'!AD$1:AD$100,MATCH('Print View'!$A161,'Coverage Indicators - Section D'!$A$1:$A$100,0)+1)&lt;&gt;0,INDEX('Coverage Indicators - Section D'!AD$1:AD$100,MATCH('Print View'!$A161,'Coverage Indicators - Section D'!$A$1:$A$100,0)+1),""),"")&amp;CHAR(10)&amp;IFERROR(IF(INDEX('Coverage Indicators - Section D'!AE$1:AE$100,MATCH('Print View'!$A161,'Coverage Indicators - Section D'!$A$1:$A$100,0))&lt;&gt;0,TEXT(INDEX('Coverage Indicators - Section D'!AE$1:AE$100,MATCH('Print View'!$A161,'Coverage Indicators - Section D'!$A$1:$A$100,0)),"0.00%"),""),"")&amp;CHAR(10)&amp;IFERROR(IF(INDEX('Coverage Indicators - Section D'!AF$1:AF$100,MATCH('Print View'!$A161,'Coverage Indicators - Section D'!$A$1:$A$100,0))&lt;&gt;0,INDEX('Coverage Indicators - Section D'!AF$1:AF$100,MATCH('Print View'!$A161,'Coverage Indicators - Section D'!$A$1:$A$100,0)),""),"")</f>
        <v xml:space="preserve">315497.46/384753
82.00%
</v>
      </c>
      <c r="R161" s="406" t="str">
        <f ca="1">IFERROR(IF(INDEX('Coverage Indicators - Section D'!AG$1:AG$100,MATCH('Print View'!$A161,'Coverage Indicators - Section D'!$A$1:$A$100,0))&lt;&gt;0,INDEX('Coverage Indicators - Section D'!AG$1:AG$100,MATCH('Print View'!$A161,'Coverage Indicators - Section D'!$A$1:$A$100,0)),""),"")&amp;"/"&amp;IFERROR(IF(INDEX('Coverage Indicators - Section D'!AG$1:AG$100,MATCH('Print View'!$A161,'Coverage Indicators - Section D'!$A$1:$A$100,0)+1)&lt;&gt;0,INDEX('Coverage Indicators - Section D'!AG$1:AG$100,MATCH('Print View'!$A161,'Coverage Indicators - Section D'!$A$1:$A$100,0)+1),""),"")&amp;CHAR(10)&amp;IFERROR(IF(INDEX('Coverage Indicators - Section D'!AH$1:AH$100,MATCH('Print View'!$A161,'Coverage Indicators - Section D'!$A$1:$A$100,0))&lt;&gt;0,TEXT(INDEX('Coverage Indicators - Section D'!AH$1:AH$100,MATCH('Print View'!$A161,'Coverage Indicators - Section D'!$A$1:$A$100,0)),"0.00%"),""),"")&amp;CHAR(10)&amp;IFERROR(IF(INDEX('Coverage Indicators - Section D'!AI$1:AI$100,MATCH('Print View'!$A161,'Coverage Indicators - Section D'!$A$1:$A$100,0))&lt;&gt;0,INDEX('Coverage Indicators - Section D'!AI$1:AI$100,MATCH('Print View'!$A161,'Coverage Indicators - Section D'!$A$1:$A$100,0)),""),"")</f>
        <v xml:space="preserve">/
</v>
      </c>
      <c r="S161" s="406" t="str">
        <f ca="1">IFERROR(IF(INDEX('Coverage Indicators - Section D'!AJ$1:AJ$100,MATCH('Print View'!$A161,'Coverage Indicators - Section D'!$A$1:$A$100,0))&lt;&gt;0,INDEX('Coverage Indicators - Section D'!AJ$1:AJ$100,MATCH('Print View'!$A161,'Coverage Indicators - Section D'!$A$1:$A$100,0)),""),"")&amp;"/"&amp;IFERROR(IF(INDEX('Coverage Indicators - Section D'!AJ$1:AJ$100,MATCH('Print View'!$A161,'Coverage Indicators - Section D'!$A$1:$A$100,0)+1)&lt;&gt;0,INDEX('Coverage Indicators - Section D'!AJ$1:AJ$100,MATCH('Print View'!$A161,'Coverage Indicators - Section D'!$A$1:$A$100,0)+1),""),"")&amp;CHAR(10)&amp;IFERROR(IF(INDEX('Coverage Indicators - Section D'!AK$1:AK$100,MATCH('Print View'!$A161,'Coverage Indicators - Section D'!$A$1:$A$100,0))&lt;&gt;0,TEXT(INDEX('Coverage Indicators - Section D'!AK$1:AK$100,MATCH('Print View'!$A161,'Coverage Indicators - Section D'!$A$1:$A$100,0)),"0.00%"),""),"")&amp;CHAR(10)&amp;IFERROR(IF(INDEX('Coverage Indicators - Section D'!AL$1:AL$100,MATCH('Print View'!$A161,'Coverage Indicators - Section D'!$A$1:$A$100,0))&lt;&gt;0,INDEX('Coverage Indicators - Section D'!AL$1:AL$100,MATCH('Print View'!$A161,'Coverage Indicators - Section D'!$A$1:$A$100,0)),""),"")</f>
        <v xml:space="preserve">/
</v>
      </c>
      <c r="T161" s="385"/>
      <c r="U161" s="216"/>
      <c r="V161" s="216"/>
      <c r="W161" s="216"/>
      <c r="X161" s="216"/>
      <c r="Y161" s="216"/>
      <c r="Z161" s="216"/>
      <c r="AA161" s="216"/>
      <c r="AB161" s="216"/>
      <c r="AC161" s="216"/>
      <c r="AD161" s="216"/>
      <c r="AE161" s="216"/>
      <c r="AF161" s="216"/>
      <c r="AG161" s="216"/>
      <c r="AH161" s="216"/>
      <c r="AI161" s="216"/>
      <c r="AJ161" s="216"/>
      <c r="AK161" s="216"/>
      <c r="AL161" s="216"/>
      <c r="AM161" s="216"/>
      <c r="AN161" s="216"/>
      <c r="AO161" s="216">
        <f ca="1">IFERROR(IF(INDEX('Coverage Indicators - Section D'!AD$1:AD$110,MATCH('Print View'!$A161,'Coverage Indicators - Section D'!$A$1:$A$110,0))&lt;&gt;0,INDEX('Coverage Indicators - Section D'!AD$1:AD$110,MATCH('Print View'!$A161,'Coverage Indicators - Section D'!$A$1:$A$110,0)),""),"")</f>
        <v>315497.45999999996</v>
      </c>
      <c r="AP161" s="216"/>
      <c r="AQ161" s="216"/>
      <c r="AR161" s="216"/>
      <c r="AS161" s="216"/>
      <c r="AT161" s="711" t="str">
        <f ca="1">CONCATENATE($A161,N$147)</f>
        <v>730-Jun-22</v>
      </c>
      <c r="AU161" s="710" t="str">
        <f ca="1">CONCATENATE($A161,Q$147)</f>
        <v>731-Dec-23</v>
      </c>
      <c r="AV161" s="710" t="str">
        <f t="shared" ref="AV161" si="58">CONCATENATE($A161,V$147)</f>
        <v>7</v>
      </c>
      <c r="AW161" s="710" t="str">
        <f t="shared" ref="AW161" si="59">CONCATENATE($A161,Y$147)</f>
        <v>7</v>
      </c>
      <c r="AX161" s="710" t="str">
        <f t="shared" ref="AX161" si="60">CONCATENATE($A161,AB$147)</f>
        <v>7</v>
      </c>
      <c r="AY161" s="710" t="str">
        <f t="shared" ref="AY161" si="61">CONCATENATE($A161,AE$147)</f>
        <v>7</v>
      </c>
      <c r="AZ161" s="710" t="str">
        <f t="shared" ref="AZ161" si="62">CONCATENATE($A161,AH$147)</f>
        <v>7</v>
      </c>
      <c r="BA161" s="710" t="str">
        <f t="shared" ref="BA161" si="63">CONCATENATE($A161,AK$147)</f>
        <v>7</v>
      </c>
      <c r="BB161" s="409"/>
      <c r="BC161" s="410"/>
    </row>
    <row r="162" spans="1:55" s="411" customFormat="1" ht="88.2" customHeight="1" x14ac:dyDescent="0.3">
      <c r="A162" s="709"/>
      <c r="B162" s="714" t="str">
        <f ca="1">IFERROR(IF(INDEX('Coverage Indicators - Section D'!AM$1:AM$110,MATCH('Print View'!$A161,'Coverage Indicators - Section D'!$A$1:$A$110,0))&lt;&gt;0,INDEX('Coverage Indicators - Section D'!AM$1:AM$110,MATCH('Print View'!$A161,'Coverage Indicators - Section D'!$A$1:$A$110,0)),""),"")</f>
        <v>Selon les cibles du PSN 20121-2025, les pourcentages de personnes adultes à mettre sous ARV sont de 73% en 2021, 78% en 2022 et 82% en 2023
Numérateur: Nombre de personnes adultes mises sous ARV selon les directives nationales (file active)
Dénominateur: Nombre estimé de personnes adultes vivant avec le VIH (spectrum)</v>
      </c>
      <c r="C162" s="715"/>
      <c r="D162" s="715"/>
      <c r="E162" s="715"/>
      <c r="F162" s="715"/>
      <c r="G162" s="715"/>
      <c r="H162" s="715"/>
      <c r="I162" s="715"/>
      <c r="J162" s="715"/>
      <c r="K162" s="715"/>
      <c r="L162" s="715"/>
      <c r="M162" s="715"/>
      <c r="N162" s="715"/>
      <c r="O162" s="715"/>
      <c r="P162" s="715"/>
      <c r="Q162" s="715"/>
      <c r="R162" s="715"/>
      <c r="S162" s="716"/>
      <c r="T162" s="412"/>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711"/>
      <c r="AU162" s="710"/>
      <c r="AV162" s="710"/>
      <c r="AW162" s="710"/>
      <c r="AX162" s="710"/>
      <c r="AY162" s="710"/>
      <c r="AZ162" s="710"/>
      <c r="BA162" s="710"/>
      <c r="BB162" s="409"/>
      <c r="BC162" s="410"/>
    </row>
    <row r="163" spans="1:55" s="411" customFormat="1" ht="177" customHeight="1" x14ac:dyDescent="0.3">
      <c r="A163" s="712">
        <v>8</v>
      </c>
      <c r="B163" s="380" t="str">
        <f ca="1">IFERROR(IF(INDEX('Coverage Indicators - Section D'!B$1:B$100,MATCH('Print View'!$A163,'Coverage Indicators - Section D'!$A$1:$A$100,0))&lt;&gt;0,INDEX('Coverage Indicators - Section D'!B$1:B$100,MATCH('Print View'!$A163,'Coverage Indicators - Section D'!$A$1:$A$100,0)),""),"")</f>
        <v>Traitement, prise en charge et soutien</v>
      </c>
      <c r="C163" s="380" t="str">
        <f ca="1">IFERROR(IF(INDEX('Coverage Indicators - Section D'!D$1:D$100,MATCH('Print View'!$A163,'Coverage Indicators - Section D'!$A$1:$A$100,0))&lt;&gt;0,INDEX('Coverage Indicators - Section D'!D$1:D$100,MATCH('Print View'!$A163,'Coverage Indicators - Section D'!$A$1:$A$100,0)),""),"")</f>
        <v>TCS-1c⁽ᴹ⁾ Pourcentage d'enfants (de moins de 15 ans) sous TARV parmi tous les enfants vivant avec le VIH à la fin de la période de rapportage</v>
      </c>
      <c r="D163" s="380" t="str">
        <f ca="1">IFERROR(IF(INDEX('Coverage Indicators - Section D'!E$1:E$100,MATCH('Print View'!$A163,'Coverage Indicators - Section D'!$A$1:$A$100,0))&lt;&gt;0,INDEX('Coverage Indicators - Section D'!E$1:E$100,MATCH('Print View'!$A163,'Coverage Indicators - Section D'!$A$1:$A$100,0)),""),"")</f>
        <v/>
      </c>
      <c r="E163" s="381" t="str">
        <f ca="1">IFERROR(IF(INDEX('Coverage Indicators - Section D'!F$1:F$100,MATCH('Print View'!$A163,'Coverage Indicators - Section D'!$A$1:$A$100,0))&lt;&gt;0,INDEX('Coverage Indicators - Section D'!F$1:F$100,MATCH('Print View'!$A163,'Coverage Indicators - Section D'!$A$1:$A$100,0)),""),"")&amp;"/"&amp;IFERROR(IF(INDEX('Coverage Indicators - Section D'!F$1:F$100,MATCH('Print View'!$A163,'Coverage Indicators - Section D'!$A$1:$A$100,0)+1)&lt;&gt;0,INDEX('Coverage Indicators - Section D'!F$1:F$100,MATCH('Print View'!$A163,'Coverage Indicators - Section D'!$A$1:$A$100,0)+1),""),"")&amp;CHAR(10)&amp;IFERROR(IF(INDEX('Coverage Indicators - Section D'!G$1:G$100,MATCH('Print View'!$A163,'Coverage Indicators - Section D'!$A$1:$A$100,0))&lt;&gt;0,TEXT(INDEX('Coverage Indicators - Section D'!G$1:G$100,MATCH('Print View'!$A163,'Coverage Indicators - Section D'!$A$1:$A$100,0)),"0.00%"),""),"")</f>
        <v>11330/31662
35.78%</v>
      </c>
      <c r="F163" s="413"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 xml:space="preserve">2019
Données de routine PNLS </v>
      </c>
      <c r="G163" s="414" t="str">
        <f>IFERROR(IF(INDEX('Coverage Indicators - Section D'!J21:J50,MATCH('Print View'!$A163,'Coverage Indicators - Section D'!$A$9:$A$38,0))&lt;&gt;0,INDEX('Coverage Indicators - Section D'!J21:J50,MATCH('Print View'!$A163,'Coverage Indicators - Section D'!$A$9:$A$38,0)),""),"")</f>
        <v/>
      </c>
      <c r="H163" s="413" t="str">
        <f ca="1">IFERROR(IF(INDEX('Coverage Indicators - Section D'!K$1:K$100,MATCH('Print View'!$A163,'Coverage Indicators - Section D'!$A$1:$A$100,0))&lt;&gt;0,INDEX('Coverage Indicators - Section D'!K$1:K$100,MATCH('Print View'!$A163,'Coverage Indicators - Section D'!$A$1:$A$100,0)),""),"")</f>
        <v>Yes</v>
      </c>
      <c r="I163" s="414" t="str">
        <f ca="1">IFERROR(IF(INDEX('Coverage Indicators - Section D'!L$1:L$100,MATCH('Print View'!$A163,'Coverage Indicators - Section D'!$A$1:$A$100,0))&lt;&gt;0,INDEX('Coverage Indicators - Section D'!L$1:L$100,MATCH('Print View'!$A163,'Coverage Indicators - Section D'!$A$1:$A$100,0)),""),"")</f>
        <v>Programme National de Lutte contre le SIDA de la République de Côte d'Ivoire</v>
      </c>
      <c r="J163" s="415"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Côte d'Ivoire
Geographic Subnational, 100% of national program target</v>
      </c>
      <c r="K163" s="413" t="str">
        <f ca="1">IFERROR(IF(INDEX('Coverage Indicators - Section D'!N$1:N$100,MATCH('Print View'!$A163,'Coverage Indicators - Section D'!$A$1:$A$100,0))&lt;&gt;0,INDEX('Coverage Indicators - Section D'!N$1:N$100,MATCH('Print View'!$A163,'Coverage Indicators - Section D'!$A$1:$A$100,0)),""),"")</f>
        <v>Non cumulative – other</v>
      </c>
      <c r="L163" s="415" t="str">
        <f ca="1">IFERROR(IF(INDEX('Coverage Indicators - Section D'!O$1:O$100,MATCH('Print View'!$A163,'Coverage Indicators - Section D'!$A$1:$A$100,0))&lt;&gt;0,INDEX('Coverage Indicators - Section D'!O$1:O$100,MATCH('Print View'!$A163,'Coverage Indicators - Section D'!$A$1:$A$100,0)),""),"")&amp;"/"&amp;IFERROR(IF(INDEX('Coverage Indicators - Section D'!O$1:O$100,MATCH('Print View'!$A163,'Coverage Indicators - Section D'!$A$1:$A$100,0)+1)&lt;&gt;0,INDEX('Coverage Indicators - Section D'!O$1:O$100,MATCH('Print View'!$A163,'Coverage Indicators - Section D'!$A$1:$A$100,0)+1),""),"")&amp;CHAR(10)&amp;IFERROR(IF(INDEX('Coverage Indicators - Section D'!P$1:P$100,MATCH('Print View'!$A163,'Coverage Indicators - Section D'!$A$1:$A$100,0))&lt;&gt;0,TEXT(INDEX('Coverage Indicators - Section D'!P$1:P$100,MATCH('Print View'!$A163,'Coverage Indicators - Section D'!$A$1:$A$100,0)),"0.00%"),""),"")&amp;CHAR(10)&amp;IFERROR(IF(INDEX('Coverage Indicators - Section D'!Q$1:Q$100,MATCH('Print View'!$A163,'Coverage Indicators - Section D'!$A$1:$A$100,0))&lt;&gt;0,INDEX('Coverage Indicators - Section D'!Q$1:Q$100,MATCH('Print View'!$A163,'Coverage Indicators - Section D'!$A$1:$A$100,0)),""),"")</f>
        <v xml:space="preserve">14028.1035/26451
53.03%
</v>
      </c>
      <c r="M163" s="415" t="str">
        <f ca="1">IFERROR(IF(INDEX('Coverage Indicators - Section D'!R$1:R$100,MATCH('Print View'!$A163,'Coverage Indicators - Section D'!$A$1:$A$100,0))&lt;&gt;0,INDEX('Coverage Indicators - Section D'!R$1:R$100,MATCH('Print View'!$A163,'Coverage Indicators - Section D'!$A$1:$A$100,0)),""),"")&amp;"/"&amp;IFERROR(IF(INDEX('Coverage Indicators - Section D'!R$1:R$100,MATCH('Print View'!$A163,'Coverage Indicators - Section D'!$A$1:$A$100,0)+1)&lt;&gt;0,INDEX('Coverage Indicators - Section D'!R$1:R$100,MATCH('Print View'!$A163,'Coverage Indicators - Section D'!$A$1:$A$100,0)+1),""),"")&amp;CHAR(10)&amp;IFERROR(IF(INDEX('Coverage Indicators - Section D'!S$1:S$100,MATCH('Print View'!$A163,'Coverage Indicators - Section D'!$A$1:$A$100,0))&lt;&gt;0,TEXT(INDEX('Coverage Indicators - Section D'!S$1:S$100,MATCH('Print View'!$A163,'Coverage Indicators - Section D'!$A$1:$A$100,0)),"0.00%"),""),"")&amp;CHAR(10)&amp;IFERROR(IF(INDEX('Coverage Indicators - Section D'!T$1:T$100,MATCH('Print View'!$A163,'Coverage Indicators - Section D'!$A$1:$A$100,0))&lt;&gt;0,INDEX('Coverage Indicators - Section D'!T$1:T$100,MATCH('Print View'!$A163,'Coverage Indicators - Section D'!$A$1:$A$100,0)),""),"")</f>
        <v xml:space="preserve">14733.207/26451
55.70%
</v>
      </c>
      <c r="N163" s="415" t="str">
        <f ca="1">IFERROR(IF(INDEX('Coverage Indicators - Section D'!U$1:U$100,MATCH('Print View'!$A163,'Coverage Indicators - Section D'!$A$1:$A$100,0))&lt;&gt;0,INDEX('Coverage Indicators - Section D'!U$1:U$100,MATCH('Print View'!$A163,'Coverage Indicators - Section D'!$A$1:$A$100,0)),""),"")&amp;"/"&amp;IFERROR(IF(INDEX('Coverage Indicators - Section D'!U$1:U$100,MATCH('Print View'!$A163,'Coverage Indicators - Section D'!$A$1:$A$100,0)+1)&lt;&gt;0,INDEX('Coverage Indicators - Section D'!U$1:U$100,MATCH('Print View'!$A163,'Coverage Indicators - Section D'!$A$1:$A$100,0)+1),""),"")&amp;CHAR(10)&amp;IFERROR(IF(INDEX('Coverage Indicators - Section D'!V$1:V$100,MATCH('Print View'!$A163,'Coverage Indicators - Section D'!$A$1:$A$100,0))&lt;&gt;0,TEXT(INDEX('Coverage Indicators - Section D'!V$1:V$100,MATCH('Print View'!$A163,'Coverage Indicators - Section D'!$A$1:$A$100,0)),"0.00%"),""),"")&amp;CHAR(10)&amp;IFERROR(IF(INDEX('Coverage Indicators - Section D'!W$1:W$100,MATCH('Print View'!$A163,'Coverage Indicators - Section D'!$A$1:$A$100,0))&lt;&gt;0,INDEX('Coverage Indicators - Section D'!W$1:W$100,MATCH('Print View'!$A163,'Coverage Indicators - Section D'!$A$1:$A$100,0)),""),"")</f>
        <v xml:space="preserve">15230.861/24013
63.43%
</v>
      </c>
      <c r="O163" s="415" t="str">
        <f ca="1">IFERROR(IF(INDEX('Coverage Indicators - Section D'!X$1:X$100,MATCH('Print View'!$A163,'Coverage Indicators - Section D'!$A$1:$A$100,0))&lt;&gt;0,INDEX('Coverage Indicators - Section D'!X$1:X$100,MATCH('Print View'!$A163,'Coverage Indicators - Section D'!$A$1:$A$100,0)),""),"")&amp;"/"&amp;IFERROR(IF(INDEX('Coverage Indicators - Section D'!X$1:X$100,MATCH('Print View'!$A163,'Coverage Indicators - Section D'!$A$1:$A$100,0)+1)&lt;&gt;0,INDEX('Coverage Indicators - Section D'!X$1:X$100,MATCH('Print View'!$A163,'Coverage Indicators - Section D'!$A$1:$A$100,0)+1),""),"")&amp;CHAR(10)&amp;IFERROR(IF(INDEX('Coverage Indicators - Section D'!Y$1:Y$100,MATCH('Print View'!$A163,'Coverage Indicators - Section D'!$A$1:$A$100,0))&lt;&gt;0,TEXT(INDEX('Coverage Indicators - Section D'!Y$1:Y$100,MATCH('Print View'!$A163,'Coverage Indicators - Section D'!$A$1:$A$100,0)),"0.00%"),""),"")&amp;CHAR(10)&amp;IFERROR(IF(INDEX('Coverage Indicators - Section D'!Z$1:Z$100,MATCH('Print View'!$A163,'Coverage Indicators - Section D'!$A$1:$A$100,0))&lt;&gt;0,INDEX('Coverage Indicators - Section D'!Z$1:Z$100,MATCH('Print View'!$A163,'Coverage Indicators - Section D'!$A$1:$A$100,0)),""),"")</f>
        <v xml:space="preserve">15728.515/24013
65.50%
</v>
      </c>
      <c r="P163" s="415" t="str">
        <f ca="1">IFERROR(IF(INDEX('Coverage Indicators - Section D'!AA$1:AA$100,MATCH('Print View'!$A163,'Coverage Indicators - Section D'!$A$1:$A$100,0))&lt;&gt;0,INDEX('Coverage Indicators - Section D'!AA$1:AA$100,MATCH('Print View'!$A163,'Coverage Indicators - Section D'!$A$1:$A$100,0)),""),"")&amp;"/"&amp;IFERROR(IF(INDEX('Coverage Indicators - Section D'!AA$1:AA$100,MATCH('Print View'!$A163,'Coverage Indicators - Section D'!$A$1:$A$100,0)+1)&lt;&gt;0,INDEX('Coverage Indicators - Section D'!AA$1:AA$100,MATCH('Print View'!$A163,'Coverage Indicators - Section D'!$A$1:$A$100,0)+1),""),"")&amp;CHAR(10)&amp;IFERROR(IF(INDEX('Coverage Indicators - Section D'!AB$1:AB$100,MATCH('Print View'!$A163,'Coverage Indicators - Section D'!$A$1:$A$100,0))&lt;&gt;0,TEXT(INDEX('Coverage Indicators - Section D'!AB$1:AB$100,MATCH('Print View'!$A163,'Coverage Indicators - Section D'!$A$1:$A$100,0)),"0.00%"),""),"")&amp;CHAR(10)&amp;IFERROR(IF(INDEX('Coverage Indicators - Section D'!AC$1:AC$100,MATCH('Print View'!$A163,'Coverage Indicators - Section D'!$A$1:$A$100,0))&lt;&gt;0,INDEX('Coverage Indicators - Section D'!AC$1:AC$100,MATCH('Print View'!$A163,'Coverage Indicators - Section D'!$A$1:$A$100,0)),""),"")</f>
        <v xml:space="preserve">16022.2595/21668
73.94%
</v>
      </c>
      <c r="Q163" s="415" t="str">
        <f ca="1">IFERROR(IF(INDEX('Coverage Indicators - Section D'!AD$1:AD$100,MATCH('Print View'!$A163,'Coverage Indicators - Section D'!$A$1:$A$100,0))&lt;&gt;0,INDEX('Coverage Indicators - Section D'!AD$1:AD$100,MATCH('Print View'!$A163,'Coverage Indicators - Section D'!$A$1:$A$100,0)),""),"")&amp;"/"&amp;IFERROR(IF(INDEX('Coverage Indicators - Section D'!AD$1:AD$100,MATCH('Print View'!$A163,'Coverage Indicators - Section D'!$A$1:$A$100,0)+1)&lt;&gt;0,INDEX('Coverage Indicators - Section D'!AD$1:AD$100,MATCH('Print View'!$A163,'Coverage Indicators - Section D'!$A$1:$A$100,0)+1),""),"")&amp;CHAR(10)&amp;IFERROR(IF(INDEX('Coverage Indicators - Section D'!AE$1:AE$100,MATCH('Print View'!$A163,'Coverage Indicators - Section D'!$A$1:$A$100,0))&lt;&gt;0,TEXT(INDEX('Coverage Indicators - Section D'!AE$1:AE$100,MATCH('Print View'!$A163,'Coverage Indicators - Section D'!$A$1:$A$100,0)),"0.00%"),""),"")&amp;CHAR(10)&amp;IFERROR(IF(INDEX('Coverage Indicators - Section D'!AF$1:AF$100,MATCH('Print View'!$A163,'Coverage Indicators - Section D'!$A$1:$A$100,0))&lt;&gt;0,INDEX('Coverage Indicators - Section D'!AF$1:AF$100,MATCH('Print View'!$A163,'Coverage Indicators - Section D'!$A$1:$A$100,0)),""),"")</f>
        <v xml:space="preserve">16316.004/21668
75.30%
</v>
      </c>
      <c r="R163" s="415" t="str">
        <f ca="1">IFERROR(IF(INDEX('Coverage Indicators - Section D'!AG$1:AG$100,MATCH('Print View'!$A163,'Coverage Indicators - Section D'!$A$1:$A$100,0))&lt;&gt;0,INDEX('Coverage Indicators - Section D'!AG$1:AG$100,MATCH('Print View'!$A163,'Coverage Indicators - Section D'!$A$1:$A$100,0)),""),"")&amp;"/"&amp;IFERROR(IF(INDEX('Coverage Indicators - Section D'!AG$1:AG$100,MATCH('Print View'!$A163,'Coverage Indicators - Section D'!$A$1:$A$100,0)+1)&lt;&gt;0,INDEX('Coverage Indicators - Section D'!AG$1:AG$100,MATCH('Print View'!$A163,'Coverage Indicators - Section D'!$A$1:$A$100,0)+1),""),"")&amp;CHAR(10)&amp;IFERROR(IF(INDEX('Coverage Indicators - Section D'!AH$1:AH$100,MATCH('Print View'!$A163,'Coverage Indicators - Section D'!$A$1:$A$100,0))&lt;&gt;0,TEXT(INDEX('Coverage Indicators - Section D'!AH$1:AH$100,MATCH('Print View'!$A163,'Coverage Indicators - Section D'!$A$1:$A$100,0)),"0.00%"),""),"")&amp;CHAR(10)&amp;IFERROR(IF(INDEX('Coverage Indicators - Section D'!AI$1:AI$100,MATCH('Print View'!$A163,'Coverage Indicators - Section D'!$A$1:$A$100,0))&lt;&gt;0,INDEX('Coverage Indicators - Section D'!AI$1:AI$100,MATCH('Print View'!$A163,'Coverage Indicators - Section D'!$A$1:$A$100,0)),""),"")</f>
        <v xml:space="preserve">/
</v>
      </c>
      <c r="S163" s="415" t="str">
        <f ca="1">IFERROR(IF(INDEX('Coverage Indicators - Section D'!AJ$1:AJ$100,MATCH('Print View'!$A163,'Coverage Indicators - Section D'!$A$1:$A$100,0))&lt;&gt;0,INDEX('Coverage Indicators - Section D'!AJ$1:AJ$100,MATCH('Print View'!$A163,'Coverage Indicators - Section D'!$A$1:$A$100,0)),""),"")&amp;"/"&amp;IFERROR(IF(INDEX('Coverage Indicators - Section D'!AJ$1:AJ$100,MATCH('Print View'!$A163,'Coverage Indicators - Section D'!$A$1:$A$100,0)+1)&lt;&gt;0,INDEX('Coverage Indicators - Section D'!AJ$1:AJ$100,MATCH('Print View'!$A163,'Coverage Indicators - Section D'!$A$1:$A$100,0)+1),""),"")&amp;CHAR(10)&amp;IFERROR(IF(INDEX('Coverage Indicators - Section D'!AK$1:AK$100,MATCH('Print View'!$A163,'Coverage Indicators - Section D'!$A$1:$A$100,0))&lt;&gt;0,TEXT(INDEX('Coverage Indicators - Section D'!AK$1:AK$100,MATCH('Print View'!$A163,'Coverage Indicators - Section D'!$A$1:$A$100,0)),"0.00%"),""),"")&amp;CHAR(10)&amp;IFERROR(IF(INDEX('Coverage Indicators - Section D'!AL$1:AL$100,MATCH('Print View'!$A163,'Coverage Indicators - Section D'!$A$1:$A$100,0))&lt;&gt;0,INDEX('Coverage Indicators - Section D'!AL$1:AL$100,MATCH('Print View'!$A163,'Coverage Indicators - Section D'!$A$1:$A$100,0)),""),"")</f>
        <v xml:space="preserve">/
</v>
      </c>
      <c r="T163" s="416"/>
      <c r="U163" s="216"/>
      <c r="V163" s="216"/>
      <c r="W163" s="216"/>
      <c r="X163" s="216"/>
      <c r="Y163" s="216"/>
      <c r="Z163" s="216"/>
      <c r="AA163" s="216"/>
      <c r="AB163" s="216"/>
      <c r="AC163" s="216"/>
      <c r="AD163" s="216"/>
      <c r="AE163" s="216"/>
      <c r="AF163" s="216"/>
      <c r="AG163" s="216"/>
      <c r="AH163" s="216"/>
      <c r="AI163" s="216"/>
      <c r="AJ163" s="216"/>
      <c r="AK163" s="216"/>
      <c r="AL163" s="216"/>
      <c r="AM163" s="216"/>
      <c r="AN163" s="216"/>
      <c r="AO163" s="216">
        <f ca="1">IFERROR(IF(INDEX('Coverage Indicators - Section D'!AD$1:AD$110,MATCH('Print View'!$A163,'Coverage Indicators - Section D'!$A$1:$A$110,0))&lt;&gt;0,INDEX('Coverage Indicators - Section D'!AD$1:AD$110,MATCH('Print View'!$A163,'Coverage Indicators - Section D'!$A$1:$A$110,0)),""),"")</f>
        <v>16316.004000000001</v>
      </c>
      <c r="AP163" s="216"/>
      <c r="AQ163" s="216"/>
      <c r="AR163" s="216"/>
      <c r="AS163" s="216"/>
      <c r="AT163" s="711" t="str">
        <f ca="1">CONCATENATE($A163,N$147)</f>
        <v>830-Jun-22</v>
      </c>
      <c r="AU163" s="710" t="str">
        <f ca="1">CONCATENATE($A163,Q$147)</f>
        <v>831-Dec-23</v>
      </c>
      <c r="AV163" s="710" t="str">
        <f t="shared" ref="AV163" si="64">CONCATENATE($A163,V$147)</f>
        <v>8</v>
      </c>
      <c r="AW163" s="710" t="str">
        <f t="shared" ref="AW163" si="65">CONCATENATE($A163,Y$147)</f>
        <v>8</v>
      </c>
      <c r="AX163" s="710" t="str">
        <f t="shared" ref="AX163" si="66">CONCATENATE($A163,AB$147)</f>
        <v>8</v>
      </c>
      <c r="AY163" s="710" t="str">
        <f t="shared" ref="AY163" si="67">CONCATENATE($A163,AE$147)</f>
        <v>8</v>
      </c>
      <c r="AZ163" s="710" t="str">
        <f t="shared" ref="AZ163" si="68">CONCATENATE($A163,AH$147)</f>
        <v>8</v>
      </c>
      <c r="BA163" s="710" t="str">
        <f t="shared" ref="BA163" si="69">CONCATENATE($A163,AK$147)</f>
        <v>8</v>
      </c>
      <c r="BB163" s="409"/>
      <c r="BC163" s="410"/>
    </row>
    <row r="164" spans="1:55" s="411" customFormat="1" ht="88.2" customHeight="1" x14ac:dyDescent="0.3">
      <c r="A164" s="712"/>
      <c r="B164" s="717" t="str">
        <f ca="1">IFERROR(IF(INDEX('Coverage Indicators - Section D'!AM$1:AM$110,MATCH('Print View'!$A163,'Coverage Indicators - Section D'!$A$1:$A$110,0))&lt;&gt;0,INDEX('Coverage Indicators - Section D'!AM$1:AM$110,MATCH('Print View'!$A163,'Coverage Indicators - Section D'!$A$1:$A$110,0)),""),"")</f>
        <v xml:space="preserve">Selon les cibles du PSN 20121-2025, les pourcentages d'enfants moins de 15 ans à mettre sous ARV sont de 55,7% en 2021, 65,5% en 2022 et 75,3% en 2023
Numérateur: Nombre d'enfants de moins de 15 ans mises sous ARV selon les directives nationales (file active)
Dénominateur: Nombre estimé d'enfants de moins de 15 ans  vivant avec le VIH (spectrum)
</v>
      </c>
      <c r="C164" s="718"/>
      <c r="D164" s="718"/>
      <c r="E164" s="718"/>
      <c r="F164" s="718"/>
      <c r="G164" s="718"/>
      <c r="H164" s="718"/>
      <c r="I164" s="719"/>
      <c r="J164" s="719"/>
      <c r="K164" s="719"/>
      <c r="L164" s="719"/>
      <c r="M164" s="719"/>
      <c r="N164" s="719"/>
      <c r="O164" s="719"/>
      <c r="P164" s="719"/>
      <c r="Q164" s="719"/>
      <c r="R164" s="719"/>
      <c r="S164" s="720"/>
      <c r="T164" s="417"/>
      <c r="U164" s="216"/>
      <c r="V164" s="216"/>
      <c r="W164" s="216"/>
      <c r="X164" s="216"/>
      <c r="Y164" s="21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711"/>
      <c r="AU164" s="710"/>
      <c r="AV164" s="710"/>
      <c r="AW164" s="710"/>
      <c r="AX164" s="710"/>
      <c r="AY164" s="710"/>
      <c r="AZ164" s="710"/>
      <c r="BA164" s="710"/>
      <c r="BB164" s="409"/>
      <c r="BC164" s="410"/>
    </row>
    <row r="165" spans="1:55" s="411" customFormat="1" ht="177" customHeight="1" x14ac:dyDescent="0.3">
      <c r="A165" s="709">
        <v>9</v>
      </c>
      <c r="B165" s="404" t="str">
        <f ca="1">IFERROR(IF(INDEX('Coverage Indicators - Section D'!B$1:B$100,MATCH('Print View'!$A165,'Coverage Indicators - Section D'!$A$1:$A$100,0))&lt;&gt;0,INDEX('Coverage Indicators - Section D'!B$1:B$100,MATCH('Print View'!$A165,'Coverage Indicators - Section D'!$A$1:$A$100,0)),""),"")</f>
        <v>Tuberculose/VIH</v>
      </c>
      <c r="C165" s="404" t="str">
        <f ca="1">IFERROR(IF(INDEX('Coverage Indicators - Section D'!D$1:D$100,MATCH('Print View'!$A165,'Coverage Indicators - Section D'!$A$1:$A$100,0))&lt;&gt;0,INDEX('Coverage Indicators - Section D'!D$1:D$100,MATCH('Print View'!$A165,'Coverage Indicators - Section D'!$A$1:$A$100,0)),""),"")</f>
        <v>TB/HIV-3.1a Pourcentage de personnes vivant avec le VIH ayant nouvellement initié la TARV chez qui les signes de la tuberculose ont été recherchés</v>
      </c>
      <c r="D165" s="404" t="str">
        <f ca="1">IFERROR(IF(INDEX('Coverage Indicators - Section D'!E$1:E$100,MATCH('Print View'!$A165,'Coverage Indicators - Section D'!$A$1:$A$100,0))&lt;&gt;0,INDEX('Coverage Indicators - Section D'!E$1:E$100,MATCH('Print View'!$A165,'Coverage Indicators - Section D'!$A$1:$A$100,0)),""),"")</f>
        <v/>
      </c>
      <c r="E165" s="405" t="str">
        <f ca="1">IFERROR(IF(INDEX('Coverage Indicators - Section D'!F$1:F$100,MATCH('Print View'!$A165,'Coverage Indicators - Section D'!$A$1:$A$100,0))&lt;&gt;0,INDEX('Coverage Indicators - Section D'!F$1:F$100,MATCH('Print View'!$A165,'Coverage Indicators - Section D'!$A$1:$A$100,0)),""),"")&amp;"/"&amp;IFERROR(IF(INDEX('Coverage Indicators - Section D'!F$1:F$100,MATCH('Print View'!$A165,'Coverage Indicators - Section D'!$A$1:$A$100,0)+1)&lt;&gt;0,INDEX('Coverage Indicators - Section D'!F$1:F$100,MATCH('Print View'!$A165,'Coverage Indicators - Section D'!$A$1:$A$100,0)+1),""),"")&amp;CHAR(10)&amp;IFERROR(IF(INDEX('Coverage Indicators - Section D'!G$1:G$100,MATCH('Print View'!$A165,'Coverage Indicators - Section D'!$A$1:$A$100,0))&lt;&gt;0,TEXT(INDEX('Coverage Indicators - Section D'!G$1:G$100,MATCH('Print View'!$A165,'Coverage Indicators - Section D'!$A$1:$A$100,0)),"0.00%"),""),"")</f>
        <v>189123/252086
75.02%</v>
      </c>
      <c r="F165" s="406"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 xml:space="preserve">2019
Données de routine PNLS </v>
      </c>
      <c r="G165" s="407" t="str">
        <f>IFERROR(IF(INDEX('Coverage Indicators - Section D'!J25:J54,MATCH('Print View'!$A165,'Coverage Indicators - Section D'!$A$9:$A$38,0))&lt;&gt;0,INDEX('Coverage Indicators - Section D'!J25:J54,MATCH('Print View'!$A165,'Coverage Indicators - Section D'!$A$9:$A$38,0)),""),"")</f>
        <v/>
      </c>
      <c r="H165" s="408" t="str">
        <f ca="1">IFERROR(IF(INDEX('Coverage Indicators - Section D'!K$1:K$100,MATCH('Print View'!$A165,'Coverage Indicators - Section D'!$A$1:$A$100,0))&lt;&gt;0,INDEX('Coverage Indicators - Section D'!K$1:K$100,MATCH('Print View'!$A165,'Coverage Indicators - Section D'!$A$1:$A$100,0)),""),"")</f>
        <v>Yes</v>
      </c>
      <c r="I165" s="407" t="str">
        <f ca="1">IFERROR(IF(INDEX('Coverage Indicators - Section D'!L$1:L$100,MATCH('Print View'!$A165,'Coverage Indicators - Section D'!$A$1:$A$100,0))&lt;&gt;0,INDEX('Coverage Indicators - Section D'!L$1:L$100,MATCH('Print View'!$A165,'Coverage Indicators - Section D'!$A$1:$A$100,0)),""),"")</f>
        <v>Programme National de Lutte contre le SIDA de la République de Côte d'Ivoire</v>
      </c>
      <c r="J165" s="405"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Côte d'Ivoire
Geographic Subnational, 100% of national program target</v>
      </c>
      <c r="K165" s="405" t="str">
        <f ca="1">IFERROR(IF(INDEX('Coverage Indicators - Section D'!N$1:N$100,MATCH('Print View'!$A165,'Coverage Indicators - Section D'!$A$1:$A$100,0))&lt;&gt;0,INDEX('Coverage Indicators - Section D'!N$1:N$100,MATCH('Print View'!$A165,'Coverage Indicators - Section D'!$A$1:$A$100,0)),""),"")</f>
        <v>Non cumulative</v>
      </c>
      <c r="L165" s="405" t="str">
        <f ca="1">IFERROR(IF(INDEX('Coverage Indicators - Section D'!O$1:O$100,MATCH('Print View'!$A165,'Coverage Indicators - Section D'!$A$1:$A$100,0))&lt;&gt;0,INDEX('Coverage Indicators - Section D'!O$1:O$100,MATCH('Print View'!$A165,'Coverage Indicators - Section D'!$A$1:$A$100,0)),""),"")&amp;"/"&amp;IFERROR(IF(INDEX('Coverage Indicators - Section D'!O$1:O$100,MATCH('Print View'!$A165,'Coverage Indicators - Section D'!$A$1:$A$100,0)+1)&lt;&gt;0,INDEX('Coverage Indicators - Section D'!O$1:O$100,MATCH('Print View'!$A165,'Coverage Indicators - Section D'!$A$1:$A$100,0)+1),""),"")&amp;CHAR(10)&amp;IFERROR(IF(INDEX('Coverage Indicators - Section D'!P$1:P$100,MATCH('Print View'!$A165,'Coverage Indicators - Section D'!$A$1:$A$100,0))&lt;&gt;0,TEXT(INDEX('Coverage Indicators - Section D'!P$1:P$100,MATCH('Print View'!$A165,'Coverage Indicators - Section D'!$A$1:$A$100,0)),"0.00%"),""),"")&amp;CHAR(10)&amp;IFERROR(IF(INDEX('Coverage Indicators - Section D'!Q$1:Q$100,MATCH('Print View'!$A165,'Coverage Indicators - Section D'!$A$1:$A$100,0))&lt;&gt;0,INDEX('Coverage Indicators - Section D'!Q$1:Q$100,MATCH('Print View'!$A165,'Coverage Indicators - Section D'!$A$1:$A$100,0)),""),"")</f>
        <v xml:space="preserve">128667.397215/155020.9605
83.00%
</v>
      </c>
      <c r="M165" s="406" t="str">
        <f ca="1">IFERROR(IF(INDEX('Coverage Indicators - Section D'!R$1:R$100,MATCH('Print View'!$A165,'Coverage Indicators - Section D'!$A$1:$A$100,0))&lt;&gt;0,INDEX('Coverage Indicators - Section D'!R$1:R$100,MATCH('Print View'!$A165,'Coverage Indicators - Section D'!$A$1:$A$100,0)),""),"")&amp;"/"&amp;IFERROR(IF(INDEX('Coverage Indicators - Section D'!R$1:R$100,MATCH('Print View'!$A165,'Coverage Indicators - Section D'!$A$1:$A$100,0)+1)&lt;&gt;0,INDEX('Coverage Indicators - Section D'!R$1:R$100,MATCH('Print View'!$A165,'Coverage Indicators - Section D'!$A$1:$A$100,0)+1),""),"")&amp;CHAR(10)&amp;IFERROR(IF(INDEX('Coverage Indicators - Section D'!S$1:S$100,MATCH('Print View'!$A165,'Coverage Indicators - Section D'!$A$1:$A$100,0))&lt;&gt;0,TEXT(INDEX('Coverage Indicators - Section D'!S$1:S$100,MATCH('Print View'!$A165,'Coverage Indicators - Section D'!$A$1:$A$100,0)),"0.00%"),""),"")&amp;CHAR(10)&amp;IFERROR(IF(INDEX('Coverage Indicators - Section D'!T$1:T$100,MATCH('Print View'!$A165,'Coverage Indicators - Section D'!$A$1:$A$100,0))&lt;&gt;0,INDEX('Coverage Indicators - Section D'!T$1:T$100,MATCH('Print View'!$A165,'Coverage Indicators - Section D'!$A$1:$A$100,0)),""),"")</f>
        <v xml:space="preserve">257334.79443/310041.921
83.00%
</v>
      </c>
      <c r="N165" s="405" t="str">
        <f ca="1">IFERROR(IF(INDEX('Coverage Indicators - Section D'!U$1:U$100,MATCH('Print View'!$A165,'Coverage Indicators - Section D'!$A$1:$A$100,0))&lt;&gt;0,INDEX('Coverage Indicators - Section D'!U$1:U$100,MATCH('Print View'!$A165,'Coverage Indicators - Section D'!$A$1:$A$100,0)),""),"")&amp;"/"&amp;IFERROR(IF(INDEX('Coverage Indicators - Section D'!U$1:U$100,MATCH('Print View'!$A165,'Coverage Indicators - Section D'!$A$1:$A$100,0)+1)&lt;&gt;0,INDEX('Coverage Indicators - Section D'!U$1:U$100,MATCH('Print View'!$A165,'Coverage Indicators - Section D'!$A$1:$A$100,0)+1),""),"")&amp;CHAR(10)&amp;IFERROR(IF(INDEX('Coverage Indicators - Section D'!V$1:V$100,MATCH('Print View'!$A165,'Coverage Indicators - Section D'!$A$1:$A$100,0))&lt;&gt;0,TEXT(INDEX('Coverage Indicators - Section D'!V$1:V$100,MATCH('Print View'!$A165,'Coverage Indicators - Section D'!$A$1:$A$100,0)),"0.00%"),""),"")&amp;CHAR(10)&amp;IFERROR(IF(INDEX('Coverage Indicators - Section D'!W$1:W$100,MATCH('Print View'!$A165,'Coverage Indicators - Section D'!$A$1:$A$100,0))&lt;&gt;0,INDEX('Coverage Indicators - Section D'!W$1:W$100,MATCH('Print View'!$A165,'Coverage Indicators - Section D'!$A$1:$A$100,0)),""),"")</f>
        <v xml:space="preserve">145097.90372/164883.9815
88.00%
</v>
      </c>
      <c r="O165" s="406" t="str">
        <f ca="1">IFERROR(IF(INDEX('Coverage Indicators - Section D'!X$1:X$100,MATCH('Print View'!$A165,'Coverage Indicators - Section D'!$A$1:$A$100,0))&lt;&gt;0,INDEX('Coverage Indicators - Section D'!X$1:X$100,MATCH('Print View'!$A165,'Coverage Indicators - Section D'!$A$1:$A$100,0)),""),"")&amp;"/"&amp;IFERROR(IF(INDEX('Coverage Indicators - Section D'!X$1:X$100,MATCH('Print View'!$A165,'Coverage Indicators - Section D'!$A$1:$A$100,0)+1)&lt;&gt;0,INDEX('Coverage Indicators - Section D'!X$1:X$100,MATCH('Print View'!$A165,'Coverage Indicators - Section D'!$A$1:$A$100,0)+1),""),"")&amp;CHAR(10)&amp;IFERROR(IF(INDEX('Coverage Indicators - Section D'!Y$1:Y$100,MATCH('Print View'!$A165,'Coverage Indicators - Section D'!$A$1:$A$100,0))&lt;&gt;0,TEXT(INDEX('Coverage Indicators - Section D'!Y$1:Y$100,MATCH('Print View'!$A165,'Coverage Indicators - Section D'!$A$1:$A$100,0)),"0.00%"),""),"")&amp;CHAR(10)&amp;IFERROR(IF(INDEX('Coverage Indicators - Section D'!Z$1:Z$100,MATCH('Print View'!$A165,'Coverage Indicators - Section D'!$A$1:$A$100,0))&lt;&gt;0,INDEX('Coverage Indicators - Section D'!Z$1:Z$100,MATCH('Print View'!$A165,'Coverage Indicators - Section D'!$A$1:$A$100,0)),""),"")</f>
        <v xml:space="preserve">290195.80744/329767.963
88.00%
</v>
      </c>
      <c r="P165" s="406" t="str">
        <f ca="1">IFERROR(IF(INDEX('Coverage Indicators - Section D'!AA$1:AA$100,MATCH('Print View'!$A165,'Coverage Indicators - Section D'!$A$1:$A$100,0))&lt;&gt;0,INDEX('Coverage Indicators - Section D'!AA$1:AA$100,MATCH('Print View'!$A165,'Coverage Indicators - Section D'!$A$1:$A$100,0)),""),"")&amp;"/"&amp;IFERROR(IF(INDEX('Coverage Indicators - Section D'!AA$1:AA$100,MATCH('Print View'!$A165,'Coverage Indicators - Section D'!$A$1:$A$100,0)+1)&lt;&gt;0,INDEX('Coverage Indicators - Section D'!AA$1:AA$100,MATCH('Print View'!$A165,'Coverage Indicators - Section D'!$A$1:$A$100,0)+1),""),"")&amp;CHAR(10)&amp;IFERROR(IF(INDEX('Coverage Indicators - Section D'!AB$1:AB$100,MATCH('Print View'!$A165,'Coverage Indicators - Section D'!$A$1:$A$100,0))&lt;&gt;0,TEXT(INDEX('Coverage Indicators - Section D'!AB$1:AB$100,MATCH('Print View'!$A165,'Coverage Indicators - Section D'!$A$1:$A$100,0)),"0.00%"),""),"")&amp;CHAR(10)&amp;IFERROR(IF(INDEX('Coverage Indicators - Section D'!AC$1:AC$100,MATCH('Print View'!$A165,'Coverage Indicators - Section D'!$A$1:$A$100,0))&lt;&gt;0,INDEX('Coverage Indicators - Section D'!AC$1:AC$100,MATCH('Print View'!$A165,'Coverage Indicators - Section D'!$A$1:$A$100,0)),""),"")</f>
        <v xml:space="preserve">160767.2423/174747.0025
92.00%
</v>
      </c>
      <c r="Q165" s="406" t="str">
        <f ca="1">IFERROR(IF(INDEX('Coverage Indicators - Section D'!AD$1:AD$100,MATCH('Print View'!$A165,'Coverage Indicators - Section D'!$A$1:$A$100,0))&lt;&gt;0,INDEX('Coverage Indicators - Section D'!AD$1:AD$100,MATCH('Print View'!$A165,'Coverage Indicators - Section D'!$A$1:$A$100,0)),""),"")&amp;"/"&amp;IFERROR(IF(INDEX('Coverage Indicators - Section D'!AD$1:AD$100,MATCH('Print View'!$A165,'Coverage Indicators - Section D'!$A$1:$A$100,0)+1)&lt;&gt;0,INDEX('Coverage Indicators - Section D'!AD$1:AD$100,MATCH('Print View'!$A165,'Coverage Indicators - Section D'!$A$1:$A$100,0)+1),""),"")&amp;CHAR(10)&amp;IFERROR(IF(INDEX('Coverage Indicators - Section D'!AE$1:AE$100,MATCH('Print View'!$A165,'Coverage Indicators - Section D'!$A$1:$A$100,0))&lt;&gt;0,TEXT(INDEX('Coverage Indicators - Section D'!AE$1:AE$100,MATCH('Print View'!$A165,'Coverage Indicators - Section D'!$A$1:$A$100,0)),"0.00%"),""),"")&amp;CHAR(10)&amp;IFERROR(IF(INDEX('Coverage Indicators - Section D'!AF$1:AF$100,MATCH('Print View'!$A165,'Coverage Indicators - Section D'!$A$1:$A$100,0))&lt;&gt;0,INDEX('Coverage Indicators - Section D'!AF$1:AF$100,MATCH('Print View'!$A165,'Coverage Indicators - Section D'!$A$1:$A$100,0)),""),"")</f>
        <v xml:space="preserve">321534.4846/349494.005
92.00%
</v>
      </c>
      <c r="R165" s="406" t="str">
        <f ca="1">IFERROR(IF(INDEX('Coverage Indicators - Section D'!AG$1:AG$100,MATCH('Print View'!$A165,'Coverage Indicators - Section D'!$A$1:$A$100,0))&lt;&gt;0,INDEX('Coverage Indicators - Section D'!AG$1:AG$100,MATCH('Print View'!$A165,'Coverage Indicators - Section D'!$A$1:$A$100,0)),""),"")&amp;"/"&amp;IFERROR(IF(INDEX('Coverage Indicators - Section D'!AG$1:AG$100,MATCH('Print View'!$A165,'Coverage Indicators - Section D'!$A$1:$A$100,0)+1)&lt;&gt;0,INDEX('Coverage Indicators - Section D'!AG$1:AG$100,MATCH('Print View'!$A165,'Coverage Indicators - Section D'!$A$1:$A$100,0)+1),""),"")&amp;CHAR(10)&amp;IFERROR(IF(INDEX('Coverage Indicators - Section D'!AH$1:AH$100,MATCH('Print View'!$A165,'Coverage Indicators - Section D'!$A$1:$A$100,0))&lt;&gt;0,TEXT(INDEX('Coverage Indicators - Section D'!AH$1:AH$100,MATCH('Print View'!$A165,'Coverage Indicators - Section D'!$A$1:$A$100,0)),"0.00%"),""),"")&amp;CHAR(10)&amp;IFERROR(IF(INDEX('Coverage Indicators - Section D'!AI$1:AI$100,MATCH('Print View'!$A165,'Coverage Indicators - Section D'!$A$1:$A$100,0))&lt;&gt;0,INDEX('Coverage Indicators - Section D'!AI$1:AI$100,MATCH('Print View'!$A165,'Coverage Indicators - Section D'!$A$1:$A$100,0)),""),"")</f>
        <v xml:space="preserve">/
</v>
      </c>
      <c r="S165" s="406" t="str">
        <f ca="1">IFERROR(IF(INDEX('Coverage Indicators - Section D'!AJ$1:AJ$100,MATCH('Print View'!$A165,'Coverage Indicators - Section D'!$A$1:$A$100,0))&lt;&gt;0,INDEX('Coverage Indicators - Section D'!AJ$1:AJ$100,MATCH('Print View'!$A165,'Coverage Indicators - Section D'!$A$1:$A$100,0)),""),"")&amp;"/"&amp;IFERROR(IF(INDEX('Coverage Indicators - Section D'!AJ$1:AJ$100,MATCH('Print View'!$A165,'Coverage Indicators - Section D'!$A$1:$A$100,0)+1)&lt;&gt;0,INDEX('Coverage Indicators - Section D'!AJ$1:AJ$100,MATCH('Print View'!$A165,'Coverage Indicators - Section D'!$A$1:$A$100,0)+1),""),"")&amp;CHAR(10)&amp;IFERROR(IF(INDEX('Coverage Indicators - Section D'!AK$1:AK$100,MATCH('Print View'!$A165,'Coverage Indicators - Section D'!$A$1:$A$100,0))&lt;&gt;0,TEXT(INDEX('Coverage Indicators - Section D'!AK$1:AK$100,MATCH('Print View'!$A165,'Coverage Indicators - Section D'!$A$1:$A$100,0)),"0.00%"),""),"")&amp;CHAR(10)&amp;IFERROR(IF(INDEX('Coverage Indicators - Section D'!AL$1:AL$100,MATCH('Print View'!$A165,'Coverage Indicators - Section D'!$A$1:$A$100,0))&lt;&gt;0,INDEX('Coverage Indicators - Section D'!AL$1:AL$100,MATCH('Print View'!$A165,'Coverage Indicators - Section D'!$A$1:$A$100,0)),""),"")</f>
        <v xml:space="preserve">/
</v>
      </c>
      <c r="T165" s="385"/>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f ca="1">IFERROR(IF(INDEX('Coverage Indicators - Section D'!AD$1:AD$110,MATCH('Print View'!$A165,'Coverage Indicators - Section D'!$A$1:$A$110,0))&lt;&gt;0,INDEX('Coverage Indicators - Section D'!AD$1:AD$110,MATCH('Print View'!$A165,'Coverage Indicators - Section D'!$A$1:$A$110,0)),""),"")</f>
        <v>321534.48460000003</v>
      </c>
      <c r="AP165" s="216"/>
      <c r="AQ165" s="216"/>
      <c r="AR165" s="216"/>
      <c r="AS165" s="216"/>
      <c r="AT165" s="711" t="str">
        <f ca="1">CONCATENATE($A165,N$147)</f>
        <v>930-Jun-22</v>
      </c>
      <c r="AU165" s="710" t="str">
        <f ca="1">CONCATENATE($A165,Q$147)</f>
        <v>931-Dec-23</v>
      </c>
      <c r="AV165" s="710" t="str">
        <f t="shared" ref="AV165" si="70">CONCATENATE($A165,V$147)</f>
        <v>9</v>
      </c>
      <c r="AW165" s="710" t="str">
        <f t="shared" ref="AW165" si="71">CONCATENATE($A165,Y$147)</f>
        <v>9</v>
      </c>
      <c r="AX165" s="710" t="str">
        <f t="shared" ref="AX165" si="72">CONCATENATE($A165,AB$147)</f>
        <v>9</v>
      </c>
      <c r="AY165" s="710" t="str">
        <f t="shared" ref="AY165" si="73">CONCATENATE($A165,AE$147)</f>
        <v>9</v>
      </c>
      <c r="AZ165" s="710" t="str">
        <f t="shared" ref="AZ165" si="74">CONCATENATE($A165,AH$147)</f>
        <v>9</v>
      </c>
      <c r="BA165" s="710" t="str">
        <f t="shared" ref="BA165" si="75">CONCATENATE($A165,AK$147)</f>
        <v>9</v>
      </c>
      <c r="BB165" s="409"/>
      <c r="BC165" s="410"/>
    </row>
    <row r="166" spans="1:55" s="411" customFormat="1" ht="88.2" customHeight="1" x14ac:dyDescent="0.3">
      <c r="A166" s="709"/>
      <c r="B166" s="714" t="str">
        <f ca="1">IFERROR(IF(INDEX('Coverage Indicators - Section D'!AM$1:AM$110,MATCH('Print View'!$A165,'Coverage Indicators - Section D'!$A$1:$A$110,0))&lt;&gt;0,INDEX('Coverage Indicators - Section D'!AM$1:AM$110,MATCH('Print View'!$A165,'Coverage Indicators - Section D'!$A$1:$A$110,0)),""),"")</f>
        <v xml:space="preserve">Cet indicateur sera rapporté au niveau national. 
Selon spectrum, le nombre de PVVIH estimé est de 428 827. 
Selon le PSN, les couvertures de mises sous ARV sont de 72,3% en 2021, 76,9% en 2022 et 81,5% en 2023. En appliquant ces pourcentages aux PVVIH estimées, on obtient le nombre de personnes à mettre dans les soins qui est notre dénominateur. 
Partant des données de routine de 2019, selon PSN 2021-2025, ce sont 83% (2021), 88% (2022) et 92% (2023) de ceux qui sont dans les soins qui vont bénéficier de la recherche active de la tuberculose. 
'Numerateur: Nombre de personnes qui ont bénéficié de la recherche active de TB à la dernière visite 
Denominateur: Nombre total d'adultes et enfants qui ont reçu les soins dans l'établissement au cours du mois 
(Prendre le dernier mois de la période de rapportage pour le numérateur et le dénominateur)
</v>
      </c>
      <c r="C166" s="715"/>
      <c r="D166" s="715"/>
      <c r="E166" s="715"/>
      <c r="F166" s="715"/>
      <c r="G166" s="715"/>
      <c r="H166" s="715"/>
      <c r="I166" s="715"/>
      <c r="J166" s="715"/>
      <c r="K166" s="715"/>
      <c r="L166" s="715"/>
      <c r="M166" s="715"/>
      <c r="N166" s="715"/>
      <c r="O166" s="715"/>
      <c r="P166" s="715"/>
      <c r="Q166" s="715"/>
      <c r="R166" s="715"/>
      <c r="S166" s="716"/>
      <c r="T166" s="412"/>
      <c r="U166" s="216"/>
      <c r="V166" s="216"/>
      <c r="W166" s="216"/>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711"/>
      <c r="AU166" s="710"/>
      <c r="AV166" s="710"/>
      <c r="AW166" s="710"/>
      <c r="AX166" s="710"/>
      <c r="AY166" s="710"/>
      <c r="AZ166" s="710"/>
      <c r="BA166" s="710"/>
      <c r="BB166" s="409"/>
      <c r="BC166" s="410"/>
    </row>
    <row r="167" spans="1:55" s="411" customFormat="1" ht="177" customHeight="1" x14ac:dyDescent="0.3">
      <c r="A167" s="712">
        <v>10</v>
      </c>
      <c r="B167" s="380" t="str">
        <f ca="1">IFERROR(IF(INDEX('Coverage Indicators - Section D'!B$1:B$100,MATCH('Print View'!$A167,'Coverage Indicators - Section D'!$A$1:$A$100,0))&lt;&gt;0,INDEX('Coverage Indicators - Section D'!B$1:B$100,MATCH('Print View'!$A167,'Coverage Indicators - Section D'!$A$1:$A$100,0)),""),"")</f>
        <v>Tuberculose/VIH</v>
      </c>
      <c r="C167" s="380" t="str">
        <f ca="1">IFERROR(IF(INDEX('Coverage Indicators - Section D'!D$1:D$100,MATCH('Print View'!$A167,'Coverage Indicators - Section D'!$A$1:$A$100,0))&lt;&gt;0,INDEX('Coverage Indicators - Section D'!D$1:D$100,MATCH('Print View'!$A167,'Coverage Indicators - Section D'!$A$1:$A$100,0)),""),"")</f>
        <v>TB/HIV-5 Pourcentage de patients tuberculeux enregistrés (nouveaux cas et récidives) dont le statut sérologique VIH est documenté</v>
      </c>
      <c r="D167" s="380" t="str">
        <f ca="1">IFERROR(IF(INDEX('Coverage Indicators - Section D'!E$1:E$100,MATCH('Print View'!$A167,'Coverage Indicators - Section D'!$A$1:$A$100,0))&lt;&gt;0,INDEX('Coverage Indicators - Section D'!E$1:E$100,MATCH('Print View'!$A167,'Coverage Indicators - Section D'!$A$1:$A$100,0)),""),"")</f>
        <v/>
      </c>
      <c r="E167" s="381" t="str">
        <f ca="1">IFERROR(IF(INDEX('Coverage Indicators - Section D'!F$1:F$100,MATCH('Print View'!$A167,'Coverage Indicators - Section D'!$A$1:$A$100,0))&lt;&gt;0,INDEX('Coverage Indicators - Section D'!F$1:F$100,MATCH('Print View'!$A167,'Coverage Indicators - Section D'!$A$1:$A$100,0)),""),"")&amp;"/"&amp;IFERROR(IF(INDEX('Coverage Indicators - Section D'!F$1:F$100,MATCH('Print View'!$A167,'Coverage Indicators - Section D'!$A$1:$A$100,0)+1)&lt;&gt;0,INDEX('Coverage Indicators - Section D'!F$1:F$100,MATCH('Print View'!$A167,'Coverage Indicators - Section D'!$A$1:$A$100,0)+1),""),"")&amp;CHAR(10)&amp;IFERROR(IF(INDEX('Coverage Indicators - Section D'!G$1:G$100,MATCH('Print View'!$A167,'Coverage Indicators - Section D'!$A$1:$A$100,0))&lt;&gt;0,TEXT(INDEX('Coverage Indicators - Section D'!G$1:G$100,MATCH('Print View'!$A167,'Coverage Indicators - Section D'!$A$1:$A$100,0)),"0.00%"),""),"")</f>
        <v>20843/21034
99.09%</v>
      </c>
      <c r="F167" s="413"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2019
Rapport annuel PNLT 2018</v>
      </c>
      <c r="G167" s="414" t="str">
        <f>IFERROR(IF(INDEX('Coverage Indicators - Section D'!J25:J54,MATCH('Print View'!$A167,'Coverage Indicators - Section D'!$A$9:$A$38,0))&lt;&gt;0,INDEX('Coverage Indicators - Section D'!J25:J54,MATCH('Print View'!$A167,'Coverage Indicators - Section D'!$A$9:$A$38,0)),""),"")</f>
        <v/>
      </c>
      <c r="H167" s="413" t="str">
        <f ca="1">IFERROR(IF(INDEX('Coverage Indicators - Section D'!K$1:K$100,MATCH('Print View'!$A167,'Coverage Indicators - Section D'!$A$1:$A$100,0))&lt;&gt;0,INDEX('Coverage Indicators - Section D'!K$1:K$100,MATCH('Print View'!$A167,'Coverage Indicators - Section D'!$A$1:$A$100,0)),""),"")</f>
        <v>Yes</v>
      </c>
      <c r="I167" s="414" t="str">
        <f ca="1">IFERROR(IF(INDEX('Coverage Indicators - Section D'!L$1:L$100,MATCH('Print View'!$A167,'Coverage Indicators - Section D'!$A$1:$A$100,0))&lt;&gt;0,INDEX('Coverage Indicators - Section D'!L$1:L$100,MATCH('Print View'!$A167,'Coverage Indicators - Section D'!$A$1:$A$100,0)),""),"")</f>
        <v>Programme National de Lutte contre le SIDA de la République de Côte d'Ivoire</v>
      </c>
      <c r="J167" s="413"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Côte d'Ivoire
Geographic Subnational, 100% of national program target</v>
      </c>
      <c r="K167" s="413" t="str">
        <f ca="1">IFERROR(IF(INDEX('Coverage Indicators - Section D'!N$1:N$100,MATCH('Print View'!$A167,'Coverage Indicators - Section D'!$A$1:$A$100,0))&lt;&gt;0,INDEX('Coverage Indicators - Section D'!N$1:N$100,MATCH('Print View'!$A167,'Coverage Indicators - Section D'!$A$1:$A$100,0)),""),"")</f>
        <v>Non cumulative</v>
      </c>
      <c r="L167" s="415" t="str">
        <f ca="1">IFERROR(IF(INDEX('Coverage Indicators - Section D'!O$1:O$100,MATCH('Print View'!$A167,'Coverage Indicators - Section D'!$A$1:$A$100,0))&lt;&gt;0,INDEX('Coverage Indicators - Section D'!O$1:O$100,MATCH('Print View'!$A167,'Coverage Indicators - Section D'!$A$1:$A$100,0)),""),"")&amp;"/"&amp;IFERROR(IF(INDEX('Coverage Indicators - Section D'!O$1:O$100,MATCH('Print View'!$A167,'Coverage Indicators - Section D'!$A$1:$A$100,0)+1)&lt;&gt;0,INDEX('Coverage Indicators - Section D'!O$1:O$100,MATCH('Print View'!$A167,'Coverage Indicators - Section D'!$A$1:$A$100,0)+1),""),"")&amp;CHAR(10)&amp;IFERROR(IF(INDEX('Coverage Indicators - Section D'!P$1:P$100,MATCH('Print View'!$A167,'Coverage Indicators - Section D'!$A$1:$A$100,0))&lt;&gt;0,TEXT(INDEX('Coverage Indicators - Section D'!P$1:P$100,MATCH('Print View'!$A167,'Coverage Indicators - Section D'!$A$1:$A$100,0)),"0.00%"),""),"")&amp;CHAR(10)&amp;IFERROR(IF(INDEX('Coverage Indicators - Section D'!Q$1:Q$100,MATCH('Print View'!$A167,'Coverage Indicators - Section D'!$A$1:$A$100,0))&lt;&gt;0,INDEX('Coverage Indicators - Section D'!Q$1:Q$100,MATCH('Print View'!$A167,'Coverage Indicators - Section D'!$A$1:$A$100,0)),""),"")</f>
        <v xml:space="preserve">11824.5/11824.5
100.00%
</v>
      </c>
      <c r="M167" s="415" t="str">
        <f ca="1">IFERROR(IF(INDEX('Coverage Indicators - Section D'!R$1:R$100,MATCH('Print View'!$A167,'Coverage Indicators - Section D'!$A$1:$A$100,0))&lt;&gt;0,INDEX('Coverage Indicators - Section D'!R$1:R$100,MATCH('Print View'!$A167,'Coverage Indicators - Section D'!$A$1:$A$100,0)),""),"")&amp;"/"&amp;IFERROR(IF(INDEX('Coverage Indicators - Section D'!R$1:R$100,MATCH('Print View'!$A167,'Coverage Indicators - Section D'!$A$1:$A$100,0)+1)&lt;&gt;0,INDEX('Coverage Indicators - Section D'!R$1:R$100,MATCH('Print View'!$A167,'Coverage Indicators - Section D'!$A$1:$A$100,0)+1),""),"")&amp;CHAR(10)&amp;IFERROR(IF(INDEX('Coverage Indicators - Section D'!S$1:S$100,MATCH('Print View'!$A167,'Coverage Indicators - Section D'!$A$1:$A$100,0))&lt;&gt;0,TEXT(INDEX('Coverage Indicators - Section D'!S$1:S$100,MATCH('Print View'!$A167,'Coverage Indicators - Section D'!$A$1:$A$100,0)),"0.00%"),""),"")&amp;CHAR(10)&amp;IFERROR(IF(INDEX('Coverage Indicators - Section D'!T$1:T$100,MATCH('Print View'!$A167,'Coverage Indicators - Section D'!$A$1:$A$100,0))&lt;&gt;0,INDEX('Coverage Indicators - Section D'!T$1:T$100,MATCH('Print View'!$A167,'Coverage Indicators - Section D'!$A$1:$A$100,0)),""),"")</f>
        <v xml:space="preserve">23649/23649
100.00%
</v>
      </c>
      <c r="N167" s="415" t="str">
        <f ca="1">IFERROR(IF(INDEX('Coverage Indicators - Section D'!U$1:U$100,MATCH('Print View'!$A167,'Coverage Indicators - Section D'!$A$1:$A$100,0))&lt;&gt;0,INDEX('Coverage Indicators - Section D'!U$1:U$100,MATCH('Print View'!$A167,'Coverage Indicators - Section D'!$A$1:$A$100,0)),""),"")&amp;"/"&amp;IFERROR(IF(INDEX('Coverage Indicators - Section D'!U$1:U$100,MATCH('Print View'!$A167,'Coverage Indicators - Section D'!$A$1:$A$100,0)+1)&lt;&gt;0,INDEX('Coverage Indicators - Section D'!U$1:U$100,MATCH('Print View'!$A167,'Coverage Indicators - Section D'!$A$1:$A$100,0)+1),""),"")&amp;CHAR(10)&amp;IFERROR(IF(INDEX('Coverage Indicators - Section D'!V$1:V$100,MATCH('Print View'!$A167,'Coverage Indicators - Section D'!$A$1:$A$100,0))&lt;&gt;0,TEXT(INDEX('Coverage Indicators - Section D'!V$1:V$100,MATCH('Print View'!$A167,'Coverage Indicators - Section D'!$A$1:$A$100,0)),"0.00%"),""),"")&amp;CHAR(10)&amp;IFERROR(IF(INDEX('Coverage Indicators - Section D'!W$1:W$100,MATCH('Print View'!$A167,'Coverage Indicators - Section D'!$A$1:$A$100,0))&lt;&gt;0,INDEX('Coverage Indicators - Section D'!W$1:W$100,MATCH('Print View'!$A167,'Coverage Indicators - Section D'!$A$1:$A$100,0)),""),"")</f>
        <v xml:space="preserve">12271.5/12271.5
100.00%
</v>
      </c>
      <c r="O167" s="415" t="str">
        <f ca="1">IFERROR(IF(INDEX('Coverage Indicators - Section D'!X$1:X$100,MATCH('Print View'!$A167,'Coverage Indicators - Section D'!$A$1:$A$100,0))&lt;&gt;0,INDEX('Coverage Indicators - Section D'!X$1:X$100,MATCH('Print View'!$A167,'Coverage Indicators - Section D'!$A$1:$A$100,0)),""),"")&amp;"/"&amp;IFERROR(IF(INDEX('Coverage Indicators - Section D'!X$1:X$100,MATCH('Print View'!$A167,'Coverage Indicators - Section D'!$A$1:$A$100,0)+1)&lt;&gt;0,INDEX('Coverage Indicators - Section D'!X$1:X$100,MATCH('Print View'!$A167,'Coverage Indicators - Section D'!$A$1:$A$100,0)+1),""),"")&amp;CHAR(10)&amp;IFERROR(IF(INDEX('Coverage Indicators - Section D'!Y$1:Y$100,MATCH('Print View'!$A167,'Coverage Indicators - Section D'!$A$1:$A$100,0))&lt;&gt;0,TEXT(INDEX('Coverage Indicators - Section D'!Y$1:Y$100,MATCH('Print View'!$A167,'Coverage Indicators - Section D'!$A$1:$A$100,0)),"0.00%"),""),"")&amp;CHAR(10)&amp;IFERROR(IF(INDEX('Coverage Indicators - Section D'!Z$1:Z$100,MATCH('Print View'!$A167,'Coverage Indicators - Section D'!$A$1:$A$100,0))&lt;&gt;0,INDEX('Coverage Indicators - Section D'!Z$1:Z$100,MATCH('Print View'!$A167,'Coverage Indicators - Section D'!$A$1:$A$100,0)),""),"")</f>
        <v xml:space="preserve">24543/24543
100.00%
</v>
      </c>
      <c r="P167" s="415" t="str">
        <f ca="1">IFERROR(IF(INDEX('Coverage Indicators - Section D'!AA$1:AA$100,MATCH('Print View'!$A167,'Coverage Indicators - Section D'!$A$1:$A$100,0))&lt;&gt;0,INDEX('Coverage Indicators - Section D'!AA$1:AA$100,MATCH('Print View'!$A167,'Coverage Indicators - Section D'!$A$1:$A$100,0)),""),"")&amp;"/"&amp;IFERROR(IF(INDEX('Coverage Indicators - Section D'!AA$1:AA$100,MATCH('Print View'!$A167,'Coverage Indicators - Section D'!$A$1:$A$100,0)+1)&lt;&gt;0,INDEX('Coverage Indicators - Section D'!AA$1:AA$100,MATCH('Print View'!$A167,'Coverage Indicators - Section D'!$A$1:$A$100,0)+1),""),"")&amp;CHAR(10)&amp;IFERROR(IF(INDEX('Coverage Indicators - Section D'!AB$1:AB$100,MATCH('Print View'!$A167,'Coverage Indicators - Section D'!$A$1:$A$100,0))&lt;&gt;0,TEXT(INDEX('Coverage Indicators - Section D'!AB$1:AB$100,MATCH('Print View'!$A167,'Coverage Indicators - Section D'!$A$1:$A$100,0)),"0.00%"),""),"")&amp;CHAR(10)&amp;IFERROR(IF(INDEX('Coverage Indicators - Section D'!AC$1:AC$100,MATCH('Print View'!$A167,'Coverage Indicators - Section D'!$A$1:$A$100,0))&lt;&gt;0,INDEX('Coverage Indicators - Section D'!AC$1:AC$100,MATCH('Print View'!$A167,'Coverage Indicators - Section D'!$A$1:$A$100,0)),""),"")</f>
        <v xml:space="preserve">12877/12877
100.00%
</v>
      </c>
      <c r="Q167" s="415" t="str">
        <f ca="1">IFERROR(IF(INDEX('Coverage Indicators - Section D'!AD$1:AD$100,MATCH('Print View'!$A167,'Coverage Indicators - Section D'!$A$1:$A$100,0))&lt;&gt;0,INDEX('Coverage Indicators - Section D'!AD$1:AD$100,MATCH('Print View'!$A167,'Coverage Indicators - Section D'!$A$1:$A$100,0)),""),"")&amp;"/"&amp;IFERROR(IF(INDEX('Coverage Indicators - Section D'!AD$1:AD$100,MATCH('Print View'!$A167,'Coverage Indicators - Section D'!$A$1:$A$100,0)+1)&lt;&gt;0,INDEX('Coverage Indicators - Section D'!AD$1:AD$100,MATCH('Print View'!$A167,'Coverage Indicators - Section D'!$A$1:$A$100,0)+1),""),"")&amp;CHAR(10)&amp;IFERROR(IF(INDEX('Coverage Indicators - Section D'!AE$1:AE$100,MATCH('Print View'!$A167,'Coverage Indicators - Section D'!$A$1:$A$100,0))&lt;&gt;0,TEXT(INDEX('Coverage Indicators - Section D'!AE$1:AE$100,MATCH('Print View'!$A167,'Coverage Indicators - Section D'!$A$1:$A$100,0)),"0.00%"),""),"")&amp;CHAR(10)&amp;IFERROR(IF(INDEX('Coverage Indicators - Section D'!AF$1:AF$100,MATCH('Print View'!$A167,'Coverage Indicators - Section D'!$A$1:$A$100,0))&lt;&gt;0,INDEX('Coverage Indicators - Section D'!AF$1:AF$100,MATCH('Print View'!$A167,'Coverage Indicators - Section D'!$A$1:$A$100,0)),""),"")</f>
        <v xml:space="preserve">25754/25754
100.00%
</v>
      </c>
      <c r="R167" s="415" t="str">
        <f ca="1">IFERROR(IF(INDEX('Coverage Indicators - Section D'!AG$1:AG$100,MATCH('Print View'!$A167,'Coverage Indicators - Section D'!$A$1:$A$100,0))&lt;&gt;0,INDEX('Coverage Indicators - Section D'!AG$1:AG$100,MATCH('Print View'!$A167,'Coverage Indicators - Section D'!$A$1:$A$100,0)),""),"")&amp;"/"&amp;IFERROR(IF(INDEX('Coverage Indicators - Section D'!AG$1:AG$100,MATCH('Print View'!$A167,'Coverage Indicators - Section D'!$A$1:$A$100,0)+1)&lt;&gt;0,INDEX('Coverage Indicators - Section D'!AG$1:AG$100,MATCH('Print View'!$A167,'Coverage Indicators - Section D'!$A$1:$A$100,0)+1),""),"")&amp;CHAR(10)&amp;IFERROR(IF(INDEX('Coverage Indicators - Section D'!AH$1:AH$100,MATCH('Print View'!$A167,'Coverage Indicators - Section D'!$A$1:$A$100,0))&lt;&gt;0,TEXT(INDEX('Coverage Indicators - Section D'!AH$1:AH$100,MATCH('Print View'!$A167,'Coverage Indicators - Section D'!$A$1:$A$100,0)),"0.00%"),""),"")&amp;CHAR(10)&amp;IFERROR(IF(INDEX('Coverage Indicators - Section D'!AI$1:AI$100,MATCH('Print View'!$A167,'Coverage Indicators - Section D'!$A$1:$A$100,0))&lt;&gt;0,INDEX('Coverage Indicators - Section D'!AI$1:AI$100,MATCH('Print View'!$A167,'Coverage Indicators - Section D'!$A$1:$A$100,0)),""),"")</f>
        <v xml:space="preserve">/
</v>
      </c>
      <c r="S167" s="415" t="str">
        <f ca="1">IFERROR(IF(INDEX('Coverage Indicators - Section D'!AJ$1:AJ$100,MATCH('Print View'!$A167,'Coverage Indicators - Section D'!$A$1:$A$100,0))&lt;&gt;0,INDEX('Coverage Indicators - Section D'!AJ$1:AJ$100,MATCH('Print View'!$A167,'Coverage Indicators - Section D'!$A$1:$A$100,0)),""),"")&amp;"/"&amp;IFERROR(IF(INDEX('Coverage Indicators - Section D'!AJ$1:AJ$100,MATCH('Print View'!$A167,'Coverage Indicators - Section D'!$A$1:$A$100,0)+1)&lt;&gt;0,INDEX('Coverage Indicators - Section D'!AJ$1:AJ$100,MATCH('Print View'!$A167,'Coverage Indicators - Section D'!$A$1:$A$100,0)+1),""),"")&amp;CHAR(10)&amp;IFERROR(IF(INDEX('Coverage Indicators - Section D'!AK$1:AK$100,MATCH('Print View'!$A167,'Coverage Indicators - Section D'!$A$1:$A$100,0))&lt;&gt;0,TEXT(INDEX('Coverage Indicators - Section D'!AK$1:AK$100,MATCH('Print View'!$A167,'Coverage Indicators - Section D'!$A$1:$A$100,0)),"0.00%"),""),"")&amp;CHAR(10)&amp;IFERROR(IF(INDEX('Coverage Indicators - Section D'!AL$1:AL$100,MATCH('Print View'!$A167,'Coverage Indicators - Section D'!$A$1:$A$100,0))&lt;&gt;0,INDEX('Coverage Indicators - Section D'!AL$1:AL$100,MATCH('Print View'!$A167,'Coverage Indicators - Section D'!$A$1:$A$100,0)),""),"")</f>
        <v xml:space="preserve">/
</v>
      </c>
      <c r="T167" s="4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f ca="1">IFERROR(IF(INDEX('Coverage Indicators - Section D'!AD$1:AD$110,MATCH('Print View'!$A167,'Coverage Indicators - Section D'!$A$1:$A$110,0))&lt;&gt;0,INDEX('Coverage Indicators - Section D'!AD$1:AD$110,MATCH('Print View'!$A167,'Coverage Indicators - Section D'!$A$1:$A$110,0)),""),"")</f>
        <v>25754</v>
      </c>
      <c r="AP167" s="216"/>
      <c r="AQ167" s="216"/>
      <c r="AR167" s="216"/>
      <c r="AS167" s="216"/>
      <c r="AT167" s="711" t="str">
        <f ca="1">CONCATENATE($A167,N$147)</f>
        <v>1030-Jun-22</v>
      </c>
      <c r="AU167" s="710" t="str">
        <f ca="1">CONCATENATE($A167,Q$147)</f>
        <v>1031-Dec-23</v>
      </c>
      <c r="AV167" s="710" t="str">
        <f t="shared" ref="AV167" si="76">CONCATENATE($A167,V$147)</f>
        <v>10</v>
      </c>
      <c r="AW167" s="710" t="str">
        <f t="shared" ref="AW167" si="77">CONCATENATE($A167,Y$147)</f>
        <v>10</v>
      </c>
      <c r="AX167" s="710" t="str">
        <f t="shared" ref="AX167" si="78">CONCATENATE($A167,AB$147)</f>
        <v>10</v>
      </c>
      <c r="AY167" s="710" t="str">
        <f t="shared" ref="AY167" si="79">CONCATENATE($A167,AE$147)</f>
        <v>10</v>
      </c>
      <c r="AZ167" s="710" t="str">
        <f t="shared" ref="AZ167" si="80">CONCATENATE($A167,AH$147)</f>
        <v>10</v>
      </c>
      <c r="BA167" s="710" t="str">
        <f t="shared" ref="BA167" si="81">CONCATENATE($A167,AK$147)</f>
        <v>10</v>
      </c>
      <c r="BB167" s="409"/>
      <c r="BC167" s="410"/>
    </row>
    <row r="168" spans="1:55" s="411" customFormat="1" ht="88.2" customHeight="1" x14ac:dyDescent="0.3">
      <c r="A168" s="712"/>
      <c r="B168" s="717" t="str">
        <f ca="1">IFERROR(IF(INDEX('Coverage Indicators - Section D'!AM$1:AM$110,MATCH('Print View'!$A167,'Coverage Indicators - Section D'!$A$1:$A$110,0))&lt;&gt;0,INDEX('Coverage Indicators - Section D'!AM$1:AM$110,MATCH('Print View'!$A167,'Coverage Indicators - Section D'!$A$1:$A$110,0)),""),"")</f>
        <v>Cet indicateur est rapporté par le Programme National de Lutte contre la Tuberculose (PNLT)
100% des patients doivent être testés pour le VIH. 
A ce jour, les formulaires du PNLT ne permettent pas d'avoir une désagrégation de cet indicateur selon l'âge et le sexe. Par contre la désagragation selon le résultat du test VIH sera disponible.</v>
      </c>
      <c r="C168" s="718"/>
      <c r="D168" s="718"/>
      <c r="E168" s="718"/>
      <c r="F168" s="718"/>
      <c r="G168" s="718"/>
      <c r="H168" s="718"/>
      <c r="I168" s="719"/>
      <c r="J168" s="719"/>
      <c r="K168" s="719"/>
      <c r="L168" s="719"/>
      <c r="M168" s="719"/>
      <c r="N168" s="719"/>
      <c r="O168" s="719"/>
      <c r="P168" s="719"/>
      <c r="Q168" s="719"/>
      <c r="R168" s="719"/>
      <c r="S168" s="720"/>
      <c r="T168" s="417"/>
      <c r="U168" s="216"/>
      <c r="V168" s="216"/>
      <c r="W168" s="216"/>
      <c r="X168" s="216"/>
      <c r="Y168" s="21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711"/>
      <c r="AU168" s="710"/>
      <c r="AV168" s="710"/>
      <c r="AW168" s="710"/>
      <c r="AX168" s="710"/>
      <c r="AY168" s="710"/>
      <c r="AZ168" s="710"/>
      <c r="BA168" s="710"/>
      <c r="BB168" s="409"/>
      <c r="BC168" s="410"/>
    </row>
    <row r="169" spans="1:55" s="411" customFormat="1" ht="177" customHeight="1" x14ac:dyDescent="0.3">
      <c r="A169" s="709">
        <v>11</v>
      </c>
      <c r="B169" s="404" t="str">
        <f ca="1">IFERROR(IF(INDEX('Coverage Indicators - Section D'!B$1:B$100,MATCH('Print View'!$A169,'Coverage Indicators - Section D'!$A$1:$A$100,0))&lt;&gt;0,INDEX('Coverage Indicators - Section D'!B$1:B$100,MATCH('Print View'!$A169,'Coverage Indicators - Section D'!$A$1:$A$100,0)),""),"")</f>
        <v>SRPS : Système de gestion de l’information sanitaire et suivi et évaluation</v>
      </c>
      <c r="C169" s="404" t="str">
        <f ca="1">IFERROR(IF(INDEX('Coverage Indicators - Section D'!D$1:D$100,MATCH('Print View'!$A169,'Coverage Indicators - Section D'!$A$1:$A$100,0))&lt;&gt;0,INDEX('Coverage Indicators - Section D'!D$1:D$100,MATCH('Print View'!$A169,'Coverage Indicators - Section D'!$A$1:$A$100,0)),""),"")</f>
        <v/>
      </c>
      <c r="D169" s="404" t="str">
        <f ca="1">IFERROR(IF(INDEX('Coverage Indicators - Section D'!E$1:E$100,MATCH('Print View'!$A169,'Coverage Indicators - Section D'!$A$1:$A$100,0))&lt;&gt;0,INDEX('Coverage Indicators - Section D'!E$1:E$100,MATCH('Print View'!$A169,'Coverage Indicators - Section D'!$A$1:$A$100,0)),""),"")</f>
        <v>Pourcentrage de districts sanitaires qui ont transmis à temps ( Completude est ≥ 95% et la     Promptitude ≥ 85%.) leurs rapports dans les délais selon les directives nationales</v>
      </c>
      <c r="E169" s="405" t="str">
        <f ca="1">IFERROR(IF(INDEX('Coverage Indicators - Section D'!F$1:F$100,MATCH('Print View'!$A169,'Coverage Indicators - Section D'!$A$1:$A$100,0))&lt;&gt;0,INDEX('Coverage Indicators - Section D'!F$1:F$100,MATCH('Print View'!$A169,'Coverage Indicators - Section D'!$A$1:$A$100,0)),""),"")&amp;"/"&amp;IFERROR(IF(INDEX('Coverage Indicators - Section D'!F$1:F$100,MATCH('Print View'!$A169,'Coverage Indicators - Section D'!$A$1:$A$100,0)+1)&lt;&gt;0,INDEX('Coverage Indicators - Section D'!F$1:F$100,MATCH('Print View'!$A169,'Coverage Indicators - Section D'!$A$1:$A$100,0)+1),""),"")&amp;CHAR(10)&amp;IFERROR(IF(INDEX('Coverage Indicators - Section D'!G$1:G$100,MATCH('Print View'!$A169,'Coverage Indicators - Section D'!$A$1:$A$100,0))&lt;&gt;0,TEXT(INDEX('Coverage Indicators - Section D'!G$1:G$100,MATCH('Print View'!$A169,'Coverage Indicators - Section D'!$A$1:$A$100,0)),"0.00%"),""),"")</f>
        <v>74/86
86.05%</v>
      </c>
      <c r="F169" s="406"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 xml:space="preserve">2019
Données de routine DIIS </v>
      </c>
      <c r="G169" s="407" t="str">
        <f>IFERROR(IF(INDEX('Coverage Indicators - Section D'!J29:J58,MATCH('Print View'!$A169,'Coverage Indicators - Section D'!$A$9:$A$38,0))&lt;&gt;0,INDEX('Coverage Indicators - Section D'!J29:J58,MATCH('Print View'!$A169,'Coverage Indicators - Section D'!$A$9:$A$38,0)),""),"")</f>
        <v/>
      </c>
      <c r="H169" s="408" t="str">
        <f ca="1">IFERROR(IF(INDEX('Coverage Indicators - Section D'!K$1:K$100,MATCH('Print View'!$A169,'Coverage Indicators - Section D'!$A$1:$A$100,0))&lt;&gt;0,INDEX('Coverage Indicators - Section D'!K$1:K$100,MATCH('Print View'!$A169,'Coverage Indicators - Section D'!$A$1:$A$100,0)),""),"")</f>
        <v>Yes</v>
      </c>
      <c r="I169" s="407" t="str">
        <f ca="1">IFERROR(IF(INDEX('Coverage Indicators - Section D'!L$1:L$100,MATCH('Print View'!$A169,'Coverage Indicators - Section D'!$A$1:$A$100,0))&lt;&gt;0,INDEX('Coverage Indicators - Section D'!L$1:L$100,MATCH('Print View'!$A169,'Coverage Indicators - Section D'!$A$1:$A$100,0)),""),"")</f>
        <v>Programme National de Lutte contre le SIDA de la République de Côte d'Ivoire</v>
      </c>
      <c r="J169" s="405"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Côte d'Ivoire
geographic Subnational, 100% of national program target</v>
      </c>
      <c r="K169" s="405" t="str">
        <f ca="1">IFERROR(IF(INDEX('Coverage Indicators - Section D'!N$1:N$100,MATCH('Print View'!$A169,'Coverage Indicators - Section D'!$A$1:$A$100,0))&lt;&gt;0,INDEX('Coverage Indicators - Section D'!N$1:N$100,MATCH('Print View'!$A169,'Coverage Indicators - Section D'!$A$1:$A$100,0)),""),"")</f>
        <v>Non cumulative - special</v>
      </c>
      <c r="L169" s="405" t="str">
        <f ca="1">IFERROR(IF(INDEX('Coverage Indicators - Section D'!O$1:O$100,MATCH('Print View'!$A169,'Coverage Indicators - Section D'!$A$1:$A$100,0))&lt;&gt;0,INDEX('Coverage Indicators - Section D'!O$1:O$100,MATCH('Print View'!$A169,'Coverage Indicators - Section D'!$A$1:$A$100,0)),""),"")&amp;"/"&amp;IFERROR(IF(INDEX('Coverage Indicators - Section D'!O$1:O$100,MATCH('Print View'!$A169,'Coverage Indicators - Section D'!$A$1:$A$100,0)+1)&lt;&gt;0,INDEX('Coverage Indicators - Section D'!O$1:O$100,MATCH('Print View'!$A169,'Coverage Indicators - Section D'!$A$1:$A$100,0)+1),""),"")&amp;CHAR(10)&amp;IFERROR(IF(INDEX('Coverage Indicators - Section D'!P$1:P$100,MATCH('Print View'!$A169,'Coverage Indicators - Section D'!$A$1:$A$100,0))&lt;&gt;0,TEXT(INDEX('Coverage Indicators - Section D'!P$1:P$100,MATCH('Print View'!$A169,'Coverage Indicators - Section D'!$A$1:$A$100,0)),"0.00%"),""),"")&amp;CHAR(10)&amp;IFERROR(IF(INDEX('Coverage Indicators - Section D'!Q$1:Q$100,MATCH('Print View'!$A169,'Coverage Indicators - Section D'!$A$1:$A$100,0))&lt;&gt;0,INDEX('Coverage Indicators - Section D'!Q$1:Q$100,MATCH('Print View'!$A169,'Coverage Indicators - Section D'!$A$1:$A$100,0)),""),"")</f>
        <v xml:space="preserve">113/113
100.00%
</v>
      </c>
      <c r="M169" s="406" t="str">
        <f ca="1">IFERROR(IF(INDEX('Coverage Indicators - Section D'!R$1:R$100,MATCH('Print View'!$A169,'Coverage Indicators - Section D'!$A$1:$A$100,0))&lt;&gt;0,INDEX('Coverage Indicators - Section D'!R$1:R$100,MATCH('Print View'!$A169,'Coverage Indicators - Section D'!$A$1:$A$100,0)),""),"")&amp;"/"&amp;IFERROR(IF(INDEX('Coverage Indicators - Section D'!R$1:R$100,MATCH('Print View'!$A169,'Coverage Indicators - Section D'!$A$1:$A$100,0)+1)&lt;&gt;0,INDEX('Coverage Indicators - Section D'!R$1:R$100,MATCH('Print View'!$A169,'Coverage Indicators - Section D'!$A$1:$A$100,0)+1),""),"")&amp;CHAR(10)&amp;IFERROR(IF(INDEX('Coverage Indicators - Section D'!S$1:S$100,MATCH('Print View'!$A169,'Coverage Indicators - Section D'!$A$1:$A$100,0))&lt;&gt;0,TEXT(INDEX('Coverage Indicators - Section D'!S$1:S$100,MATCH('Print View'!$A169,'Coverage Indicators - Section D'!$A$1:$A$100,0)),"0.00%"),""),"")&amp;CHAR(10)&amp;IFERROR(IF(INDEX('Coverage Indicators - Section D'!T$1:T$100,MATCH('Print View'!$A169,'Coverage Indicators - Section D'!$A$1:$A$100,0))&lt;&gt;0,INDEX('Coverage Indicators - Section D'!T$1:T$100,MATCH('Print View'!$A169,'Coverage Indicators - Section D'!$A$1:$A$100,0)),""),"")</f>
        <v xml:space="preserve">113/113
100.00%
</v>
      </c>
      <c r="N169" s="405" t="str">
        <f ca="1">IFERROR(IF(INDEX('Coverage Indicators - Section D'!U$1:U$100,MATCH('Print View'!$A169,'Coverage Indicators - Section D'!$A$1:$A$100,0))&lt;&gt;0,INDEX('Coverage Indicators - Section D'!U$1:U$100,MATCH('Print View'!$A169,'Coverage Indicators - Section D'!$A$1:$A$100,0)),""),"")&amp;"/"&amp;IFERROR(IF(INDEX('Coverage Indicators - Section D'!U$1:U$100,MATCH('Print View'!$A169,'Coverage Indicators - Section D'!$A$1:$A$100,0)+1)&lt;&gt;0,INDEX('Coverage Indicators - Section D'!U$1:U$100,MATCH('Print View'!$A169,'Coverage Indicators - Section D'!$A$1:$A$100,0)+1),""),"")&amp;CHAR(10)&amp;IFERROR(IF(INDEX('Coverage Indicators - Section D'!V$1:V$100,MATCH('Print View'!$A169,'Coverage Indicators - Section D'!$A$1:$A$100,0))&lt;&gt;0,TEXT(INDEX('Coverage Indicators - Section D'!V$1:V$100,MATCH('Print View'!$A169,'Coverage Indicators - Section D'!$A$1:$A$100,0)),"0.00%"),""),"")&amp;CHAR(10)&amp;IFERROR(IF(INDEX('Coverage Indicators - Section D'!W$1:W$100,MATCH('Print View'!$A169,'Coverage Indicators - Section D'!$A$1:$A$100,0))&lt;&gt;0,INDEX('Coverage Indicators - Section D'!W$1:W$100,MATCH('Print View'!$A169,'Coverage Indicators - Section D'!$A$1:$A$100,0)),""),"")</f>
        <v xml:space="preserve">113/113
100.00%
</v>
      </c>
      <c r="O169" s="406" t="str">
        <f ca="1">IFERROR(IF(INDEX('Coverage Indicators - Section D'!X$1:X$100,MATCH('Print View'!$A169,'Coverage Indicators - Section D'!$A$1:$A$100,0))&lt;&gt;0,INDEX('Coverage Indicators - Section D'!X$1:X$100,MATCH('Print View'!$A169,'Coverage Indicators - Section D'!$A$1:$A$100,0)),""),"")&amp;"/"&amp;IFERROR(IF(INDEX('Coverage Indicators - Section D'!X$1:X$100,MATCH('Print View'!$A169,'Coverage Indicators - Section D'!$A$1:$A$100,0)+1)&lt;&gt;0,INDEX('Coverage Indicators - Section D'!X$1:X$100,MATCH('Print View'!$A169,'Coverage Indicators - Section D'!$A$1:$A$100,0)+1),""),"")&amp;CHAR(10)&amp;IFERROR(IF(INDEX('Coverage Indicators - Section D'!Y$1:Y$100,MATCH('Print View'!$A169,'Coverage Indicators - Section D'!$A$1:$A$100,0))&lt;&gt;0,TEXT(INDEX('Coverage Indicators - Section D'!Y$1:Y$100,MATCH('Print View'!$A169,'Coverage Indicators - Section D'!$A$1:$A$100,0)),"0.00%"),""),"")&amp;CHAR(10)&amp;IFERROR(IF(INDEX('Coverage Indicators - Section D'!Z$1:Z$100,MATCH('Print View'!$A169,'Coverage Indicators - Section D'!$A$1:$A$100,0))&lt;&gt;0,INDEX('Coverage Indicators - Section D'!Z$1:Z$100,MATCH('Print View'!$A169,'Coverage Indicators - Section D'!$A$1:$A$100,0)),""),"")</f>
        <v xml:space="preserve">113/113
100.00%
</v>
      </c>
      <c r="P169" s="406" t="str">
        <f ca="1">IFERROR(IF(INDEX('Coverage Indicators - Section D'!AA$1:AA$100,MATCH('Print View'!$A169,'Coverage Indicators - Section D'!$A$1:$A$100,0))&lt;&gt;0,INDEX('Coverage Indicators - Section D'!AA$1:AA$100,MATCH('Print View'!$A169,'Coverage Indicators - Section D'!$A$1:$A$100,0)),""),"")&amp;"/"&amp;IFERROR(IF(INDEX('Coverage Indicators - Section D'!AA$1:AA$100,MATCH('Print View'!$A169,'Coverage Indicators - Section D'!$A$1:$A$100,0)+1)&lt;&gt;0,INDEX('Coverage Indicators - Section D'!AA$1:AA$100,MATCH('Print View'!$A169,'Coverage Indicators - Section D'!$A$1:$A$100,0)+1),""),"")&amp;CHAR(10)&amp;IFERROR(IF(INDEX('Coverage Indicators - Section D'!AB$1:AB$100,MATCH('Print View'!$A169,'Coverage Indicators - Section D'!$A$1:$A$100,0))&lt;&gt;0,TEXT(INDEX('Coverage Indicators - Section D'!AB$1:AB$100,MATCH('Print View'!$A169,'Coverage Indicators - Section D'!$A$1:$A$100,0)),"0.00%"),""),"")&amp;CHAR(10)&amp;IFERROR(IF(INDEX('Coverage Indicators - Section D'!AC$1:AC$100,MATCH('Print View'!$A169,'Coverage Indicators - Section D'!$A$1:$A$100,0))&lt;&gt;0,INDEX('Coverage Indicators - Section D'!AC$1:AC$100,MATCH('Print View'!$A169,'Coverage Indicators - Section D'!$A$1:$A$100,0)),""),"")</f>
        <v xml:space="preserve">113/113
100.00%
</v>
      </c>
      <c r="Q169" s="406" t="str">
        <f ca="1">IFERROR(IF(INDEX('Coverage Indicators - Section D'!AD$1:AD$100,MATCH('Print View'!$A169,'Coverage Indicators - Section D'!$A$1:$A$100,0))&lt;&gt;0,INDEX('Coverage Indicators - Section D'!AD$1:AD$100,MATCH('Print View'!$A169,'Coverage Indicators - Section D'!$A$1:$A$100,0)),""),"")&amp;"/"&amp;IFERROR(IF(INDEX('Coverage Indicators - Section D'!AD$1:AD$100,MATCH('Print View'!$A169,'Coverage Indicators - Section D'!$A$1:$A$100,0)+1)&lt;&gt;0,INDEX('Coverage Indicators - Section D'!AD$1:AD$100,MATCH('Print View'!$A169,'Coverage Indicators - Section D'!$A$1:$A$100,0)+1),""),"")&amp;CHAR(10)&amp;IFERROR(IF(INDEX('Coverage Indicators - Section D'!AE$1:AE$100,MATCH('Print View'!$A169,'Coverage Indicators - Section D'!$A$1:$A$100,0))&lt;&gt;0,TEXT(INDEX('Coverage Indicators - Section D'!AE$1:AE$100,MATCH('Print View'!$A169,'Coverage Indicators - Section D'!$A$1:$A$100,0)),"0.00%"),""),"")&amp;CHAR(10)&amp;IFERROR(IF(INDEX('Coverage Indicators - Section D'!AF$1:AF$100,MATCH('Print View'!$A169,'Coverage Indicators - Section D'!$A$1:$A$100,0))&lt;&gt;0,INDEX('Coverage Indicators - Section D'!AF$1:AF$100,MATCH('Print View'!$A169,'Coverage Indicators - Section D'!$A$1:$A$100,0)),""),"")</f>
        <v xml:space="preserve">113/113
100.00%
</v>
      </c>
      <c r="R169" s="406" t="str">
        <f ca="1">IFERROR(IF(INDEX('Coverage Indicators - Section D'!AG$1:AG$100,MATCH('Print View'!$A169,'Coverage Indicators - Section D'!$A$1:$A$100,0))&lt;&gt;0,INDEX('Coverage Indicators - Section D'!AG$1:AG$100,MATCH('Print View'!$A169,'Coverage Indicators - Section D'!$A$1:$A$100,0)),""),"")&amp;"/"&amp;IFERROR(IF(INDEX('Coverage Indicators - Section D'!AG$1:AG$100,MATCH('Print View'!$A169,'Coverage Indicators - Section D'!$A$1:$A$100,0)+1)&lt;&gt;0,INDEX('Coverage Indicators - Section D'!AG$1:AG$100,MATCH('Print View'!$A169,'Coverage Indicators - Section D'!$A$1:$A$100,0)+1),""),"")&amp;CHAR(10)&amp;IFERROR(IF(INDEX('Coverage Indicators - Section D'!AH$1:AH$100,MATCH('Print View'!$A169,'Coverage Indicators - Section D'!$A$1:$A$100,0))&lt;&gt;0,TEXT(INDEX('Coverage Indicators - Section D'!AH$1:AH$100,MATCH('Print View'!$A169,'Coverage Indicators - Section D'!$A$1:$A$100,0)),"0.00%"),""),"")&amp;CHAR(10)&amp;IFERROR(IF(INDEX('Coverage Indicators - Section D'!AI$1:AI$100,MATCH('Print View'!$A169,'Coverage Indicators - Section D'!$A$1:$A$100,0))&lt;&gt;0,INDEX('Coverage Indicators - Section D'!AI$1:AI$100,MATCH('Print View'!$A169,'Coverage Indicators - Section D'!$A$1:$A$100,0)),""),"")</f>
        <v xml:space="preserve">/
</v>
      </c>
      <c r="S169" s="406" t="str">
        <f ca="1">IFERROR(IF(INDEX('Coverage Indicators - Section D'!AJ$1:AJ$100,MATCH('Print View'!$A169,'Coverage Indicators - Section D'!$A$1:$A$100,0))&lt;&gt;0,INDEX('Coverage Indicators - Section D'!AJ$1:AJ$100,MATCH('Print View'!$A169,'Coverage Indicators - Section D'!$A$1:$A$100,0)),""),"")&amp;"/"&amp;IFERROR(IF(INDEX('Coverage Indicators - Section D'!AJ$1:AJ$100,MATCH('Print View'!$A169,'Coverage Indicators - Section D'!$A$1:$A$100,0)+1)&lt;&gt;0,INDEX('Coverage Indicators - Section D'!AJ$1:AJ$100,MATCH('Print View'!$A169,'Coverage Indicators - Section D'!$A$1:$A$100,0)+1),""),"")&amp;CHAR(10)&amp;IFERROR(IF(INDEX('Coverage Indicators - Section D'!AK$1:AK$100,MATCH('Print View'!$A169,'Coverage Indicators - Section D'!$A$1:$A$100,0))&lt;&gt;0,TEXT(INDEX('Coverage Indicators - Section D'!AK$1:AK$100,MATCH('Print View'!$A169,'Coverage Indicators - Section D'!$A$1:$A$100,0)),"0.00%"),""),"")&amp;CHAR(10)&amp;IFERROR(IF(INDEX('Coverage Indicators - Section D'!AL$1:AL$100,MATCH('Print View'!$A169,'Coverage Indicators - Section D'!$A$1:$A$100,0))&lt;&gt;0,INDEX('Coverage Indicators - Section D'!AL$1:AL$100,MATCH('Print View'!$A169,'Coverage Indicators - Section D'!$A$1:$A$100,0)),""),"")</f>
        <v xml:space="preserve">/
</v>
      </c>
      <c r="T169" s="385"/>
      <c r="U169" s="216"/>
      <c r="V169" s="216"/>
      <c r="W169" s="216"/>
      <c r="X169" s="216"/>
      <c r="Y169" s="216"/>
      <c r="Z169" s="216"/>
      <c r="AA169" s="216"/>
      <c r="AB169" s="216"/>
      <c r="AC169" s="216"/>
      <c r="AD169" s="216"/>
      <c r="AE169" s="216"/>
      <c r="AF169" s="216"/>
      <c r="AG169" s="216"/>
      <c r="AH169" s="216"/>
      <c r="AI169" s="216"/>
      <c r="AJ169" s="216"/>
      <c r="AK169" s="216"/>
      <c r="AL169" s="216"/>
      <c r="AM169" s="216"/>
      <c r="AN169" s="216"/>
      <c r="AO169" s="216">
        <f ca="1">IFERROR(IF(INDEX('Coverage Indicators - Section D'!AD$1:AD$110,MATCH('Print View'!$A169,'Coverage Indicators - Section D'!$A$1:$A$110,0))&lt;&gt;0,INDEX('Coverage Indicators - Section D'!AD$1:AD$110,MATCH('Print View'!$A169,'Coverage Indicators - Section D'!$A$1:$A$110,0)),""),"")</f>
        <v>113</v>
      </c>
      <c r="AP169" s="216"/>
      <c r="AQ169" s="216"/>
      <c r="AR169" s="216"/>
      <c r="AS169" s="216"/>
      <c r="AT169" s="711" t="str">
        <f ca="1">CONCATENATE($A169,N$147)</f>
        <v>1130-Jun-22</v>
      </c>
      <c r="AU169" s="710" t="str">
        <f ca="1">CONCATENATE($A169,Q$147)</f>
        <v>1131-Dec-23</v>
      </c>
      <c r="AV169" s="710" t="str">
        <f t="shared" ref="AV169" si="82">CONCATENATE($A169,V$147)</f>
        <v>11</v>
      </c>
      <c r="AW169" s="710" t="str">
        <f t="shared" ref="AW169" si="83">CONCATENATE($A169,Y$147)</f>
        <v>11</v>
      </c>
      <c r="AX169" s="710" t="str">
        <f t="shared" ref="AX169" si="84">CONCATENATE($A169,AB$147)</f>
        <v>11</v>
      </c>
      <c r="AY169" s="710" t="str">
        <f t="shared" ref="AY169" si="85">CONCATENATE($A169,AE$147)</f>
        <v>11</v>
      </c>
      <c r="AZ169" s="710" t="str">
        <f t="shared" ref="AZ169" si="86">CONCATENATE($A169,AH$147)</f>
        <v>11</v>
      </c>
      <c r="BA169" s="710" t="str">
        <f t="shared" ref="BA169" si="87">CONCATENATE($A169,AK$147)</f>
        <v>11</v>
      </c>
      <c r="BB169" s="409"/>
      <c r="BC169" s="410"/>
    </row>
    <row r="170" spans="1:55" s="411" customFormat="1" ht="88.2" customHeight="1" x14ac:dyDescent="0.3">
      <c r="A170" s="709"/>
      <c r="B170" s="714" t="str">
        <f ca="1">IFERROR(IF(INDEX('Coverage Indicators - Section D'!AM$1:AM$110,MATCH('Print View'!$A169,'Coverage Indicators - Section D'!$A$1:$A$110,0))&lt;&gt;0,INDEX('Coverage Indicators - Section D'!AM$1:AM$110,MATCH('Print View'!$A169,'Coverage Indicators - Section D'!$A$1:$A$110,0)),""),"")</f>
        <v>L'indicateur sera renseigné à partir de DHIS2
Numérateur: Nombre de districts sanitaires qui ont transmis leur rapport à temps et complet selon les directives 
Dénominateur: Nombre de districts sanitaires</v>
      </c>
      <c r="C170" s="715"/>
      <c r="D170" s="715"/>
      <c r="E170" s="715"/>
      <c r="F170" s="715"/>
      <c r="G170" s="715"/>
      <c r="H170" s="715"/>
      <c r="I170" s="715"/>
      <c r="J170" s="715"/>
      <c r="K170" s="715"/>
      <c r="L170" s="715"/>
      <c r="M170" s="715"/>
      <c r="N170" s="715"/>
      <c r="O170" s="715"/>
      <c r="P170" s="715"/>
      <c r="Q170" s="715"/>
      <c r="R170" s="715"/>
      <c r="S170" s="716"/>
      <c r="T170" s="412"/>
      <c r="U170" s="216"/>
      <c r="V170" s="216"/>
      <c r="W170" s="216"/>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711"/>
      <c r="AU170" s="710"/>
      <c r="AV170" s="710"/>
      <c r="AW170" s="710"/>
      <c r="AX170" s="710"/>
      <c r="AY170" s="710"/>
      <c r="AZ170" s="710"/>
      <c r="BA170" s="710"/>
      <c r="BB170" s="409"/>
      <c r="BC170" s="410"/>
    </row>
    <row r="171" spans="1:55" s="411" customFormat="1" ht="177" customHeight="1" x14ac:dyDescent="0.3">
      <c r="A171" s="730">
        <v>12</v>
      </c>
      <c r="B171" s="380" t="str">
        <f ca="1">IFERROR(IF(INDEX('Coverage Indicators - Section D'!B$1:B$100,MATCH('Print View'!$A171,'Coverage Indicators - Section D'!$A$1:$A$100,0))&lt;&gt;0,INDEX('Coverage Indicators - Section D'!B$1:B$100,MATCH('Print View'!$A171,'Coverage Indicators - Section D'!$A$1:$A$100,0)),""),"")</f>
        <v>Prévention</v>
      </c>
      <c r="C171" s="380" t="str">
        <f ca="1">IFERROR(IF(INDEX('Coverage Indicators - Section D'!D$1:D$100,MATCH('Print View'!$A171,'Coverage Indicators - Section D'!$A$1:$A$100,0))&lt;&gt;0,INDEX('Coverage Indicators - Section D'!D$1:D$100,MATCH('Print View'!$A171,'Coverage Indicators - Section D'!$A$1:$A$100,0)),""),"")</f>
        <v>KP-1a⁽ᴹ⁾ Pourcentage de HSH ayant bénéficié de programmes préventifs de lutte contre le VIH (paquet de services définis)</v>
      </c>
      <c r="D171" s="380" t="str">
        <f ca="1">IFERROR(IF(INDEX('Coverage Indicators - Section D'!E$1:E$100,MATCH('Print View'!$A171,'Coverage Indicators - Section D'!$A$1:$A$100,0))&lt;&gt;0,INDEX('Coverage Indicators - Section D'!E$1:E$100,MATCH('Print View'!$A171,'Coverage Indicators - Section D'!$A$1:$A$100,0)),""),"")</f>
        <v/>
      </c>
      <c r="E171" s="381" t="str">
        <f ca="1">IFERROR(IF(INDEX('Coverage Indicators - Section D'!F$1:F$100,MATCH('Print View'!$A171,'Coverage Indicators - Section D'!$A$1:$A$100,0))&lt;&gt;0,INDEX('Coverage Indicators - Section D'!F$1:F$100,MATCH('Print View'!$A171,'Coverage Indicators - Section D'!$A$1:$A$100,0)),""),"")&amp;"/"&amp;IFERROR(IF(INDEX('Coverage Indicators - Section D'!F$1:F$100,MATCH('Print View'!$A171,'Coverage Indicators - Section D'!$A$1:$A$100,0)+1)&lt;&gt;0,INDEX('Coverage Indicators - Section D'!F$1:F$100,MATCH('Print View'!$A171,'Coverage Indicators - Section D'!$A$1:$A$100,0)+1),""),"")&amp;CHAR(10)&amp;IFERROR(IF(INDEX('Coverage Indicators - Section D'!G$1:G$100,MATCH('Print View'!$A171,'Coverage Indicators - Section D'!$A$1:$A$100,0))&lt;&gt;0,TEXT(INDEX('Coverage Indicators - Section D'!G$1:G$100,MATCH('Print View'!$A171,'Coverage Indicators - Section D'!$A$1:$A$100,0)),"0.00%"),""),"")</f>
        <v>4153/5862
70.85%</v>
      </c>
      <c r="F171" s="413"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2019
Alliance CI Routine data (Rapport annuel)</v>
      </c>
      <c r="G171" s="414" t="str">
        <f>IFERROR(IF(INDEX('Coverage Indicators - Section D'!J29:J58,MATCH('Print View'!$A171,'Coverage Indicators - Section D'!$A$9:$A$38,0))&lt;&gt;0,INDEX('Coverage Indicators - Section D'!J29:J58,MATCH('Print View'!$A171,'Coverage Indicators - Section D'!$A$9:$A$38,0)),""),"")</f>
        <v/>
      </c>
      <c r="H171" s="413" t="str">
        <f ca="1">IFERROR(IF(INDEX('Coverage Indicators - Section D'!K$1:K$100,MATCH('Print View'!$A171,'Coverage Indicators - Section D'!$A$1:$A$100,0))&lt;&gt;0,INDEX('Coverage Indicators - Section D'!K$1:K$100,MATCH('Print View'!$A171,'Coverage Indicators - Section D'!$A$1:$A$100,0)),""),"")</f>
        <v>Yes</v>
      </c>
      <c r="I171" s="414" t="str">
        <f ca="1">IFERROR(IF(INDEX('Coverage Indicators - Section D'!L$1:L$100,MATCH('Print View'!$A171,'Coverage Indicators - Section D'!$A$1:$A$100,0))&lt;&gt;0,INDEX('Coverage Indicators - Section D'!L$1:L$100,MATCH('Print View'!$A171,'Coverage Indicators - Section D'!$A$1:$A$100,0)),""),"")</f>
        <v>Alliance Nationale Contre Le Sida en Cote D'Ivoire</v>
      </c>
      <c r="J171" s="413"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Côte d'Ivoire
Geographic Subnational, less than 100% national program target</v>
      </c>
      <c r="K171" s="413" t="str">
        <f ca="1">IFERROR(IF(INDEX('Coverage Indicators - Section D'!N$1:N$100,MATCH('Print View'!$A171,'Coverage Indicators - Section D'!$A$1:$A$100,0))&lt;&gt;0,INDEX('Coverage Indicators - Section D'!N$1:N$100,MATCH('Print View'!$A171,'Coverage Indicators - Section D'!$A$1:$A$100,0)),""),"")</f>
        <v>Non cumulative</v>
      </c>
      <c r="L171" s="415" t="str">
        <f ca="1">IFERROR(IF(INDEX('Coverage Indicators - Section D'!O$1:O$100,MATCH('Print View'!$A171,'Coverage Indicators - Section D'!$A$1:$A$100,0))&lt;&gt;0,INDEX('Coverage Indicators - Section D'!O$1:O$100,MATCH('Print View'!$A171,'Coverage Indicators - Section D'!$A$1:$A$100,0)),""),"")&amp;"/"&amp;IFERROR(IF(INDEX('Coverage Indicators - Section D'!O$1:O$100,MATCH('Print View'!$A171,'Coverage Indicators - Section D'!$A$1:$A$100,0)+1)&lt;&gt;0,INDEX('Coverage Indicators - Section D'!O$1:O$100,MATCH('Print View'!$A171,'Coverage Indicators - Section D'!$A$1:$A$100,0)+1),""),"")&amp;CHAR(10)&amp;IFERROR(IF(INDEX('Coverage Indicators - Section D'!P$1:P$100,MATCH('Print View'!$A171,'Coverage Indicators - Section D'!$A$1:$A$100,0))&lt;&gt;0,TEXT(INDEX('Coverage Indicators - Section D'!P$1:P$100,MATCH('Print View'!$A171,'Coverage Indicators - Section D'!$A$1:$A$100,0)),"0.00%"),""),"")&amp;CHAR(10)&amp;IFERROR(IF(INDEX('Coverage Indicators - Section D'!Q$1:Q$100,MATCH('Print View'!$A171,'Coverage Indicators - Section D'!$A$1:$A$100,0))&lt;&gt;0,INDEX('Coverage Indicators - Section D'!Q$1:Q$100,MATCH('Print View'!$A171,'Coverage Indicators - Section D'!$A$1:$A$100,0)),""),"")</f>
        <v xml:space="preserve">3624.8/4531
80.00%
</v>
      </c>
      <c r="M171" s="415" t="str">
        <f ca="1">IFERROR(IF(INDEX('Coverage Indicators - Section D'!R$1:R$100,MATCH('Print View'!$A171,'Coverage Indicators - Section D'!$A$1:$A$100,0))&lt;&gt;0,INDEX('Coverage Indicators - Section D'!R$1:R$100,MATCH('Print View'!$A171,'Coverage Indicators - Section D'!$A$1:$A$100,0)),""),"")&amp;"/"&amp;IFERROR(IF(INDEX('Coverage Indicators - Section D'!R$1:R$100,MATCH('Print View'!$A171,'Coverage Indicators - Section D'!$A$1:$A$100,0)+1)&lt;&gt;0,INDEX('Coverage Indicators - Section D'!R$1:R$100,MATCH('Print View'!$A171,'Coverage Indicators - Section D'!$A$1:$A$100,0)+1),""),"")&amp;CHAR(10)&amp;IFERROR(IF(INDEX('Coverage Indicators - Section D'!S$1:S$100,MATCH('Print View'!$A171,'Coverage Indicators - Section D'!$A$1:$A$100,0))&lt;&gt;0,TEXT(INDEX('Coverage Indicators - Section D'!S$1:S$100,MATCH('Print View'!$A171,'Coverage Indicators - Section D'!$A$1:$A$100,0)),"0.00%"),""),"")&amp;CHAR(10)&amp;IFERROR(IF(INDEX('Coverage Indicators - Section D'!T$1:T$100,MATCH('Print View'!$A171,'Coverage Indicators - Section D'!$A$1:$A$100,0))&lt;&gt;0,INDEX('Coverage Indicators - Section D'!T$1:T$100,MATCH('Print View'!$A171,'Coverage Indicators - Section D'!$A$1:$A$100,0)),""),"")</f>
        <v xml:space="preserve">3624.8/4531
80.00%
</v>
      </c>
      <c r="N171" s="415" t="str">
        <f ca="1">IFERROR(IF(INDEX('Coverage Indicators - Section D'!U$1:U$100,MATCH('Print View'!$A171,'Coverage Indicators - Section D'!$A$1:$A$100,0))&lt;&gt;0,INDEX('Coverage Indicators - Section D'!U$1:U$100,MATCH('Print View'!$A171,'Coverage Indicators - Section D'!$A$1:$A$100,0)),""),"")&amp;"/"&amp;IFERROR(IF(INDEX('Coverage Indicators - Section D'!U$1:U$100,MATCH('Print View'!$A171,'Coverage Indicators - Section D'!$A$1:$A$100,0)+1)&lt;&gt;0,INDEX('Coverage Indicators - Section D'!U$1:U$100,MATCH('Print View'!$A171,'Coverage Indicators - Section D'!$A$1:$A$100,0)+1),""),"")&amp;CHAR(10)&amp;IFERROR(IF(INDEX('Coverage Indicators - Section D'!V$1:V$100,MATCH('Print View'!$A171,'Coverage Indicators - Section D'!$A$1:$A$100,0))&lt;&gt;0,TEXT(INDEX('Coverage Indicators - Section D'!V$1:V$100,MATCH('Print View'!$A171,'Coverage Indicators - Section D'!$A$1:$A$100,0)),"0.00%"),""),"")&amp;CHAR(10)&amp;IFERROR(IF(INDEX('Coverage Indicators - Section D'!W$1:W$100,MATCH('Print View'!$A171,'Coverage Indicators - Section D'!$A$1:$A$100,0))&lt;&gt;0,INDEX('Coverage Indicators - Section D'!W$1:W$100,MATCH('Print View'!$A171,'Coverage Indicators - Section D'!$A$1:$A$100,0)),""),"")</f>
        <v xml:space="preserve">3718.8/4648.5
80.00%
</v>
      </c>
      <c r="O171" s="415" t="str">
        <f ca="1">IFERROR(IF(INDEX('Coverage Indicators - Section D'!X$1:X$100,MATCH('Print View'!$A171,'Coverage Indicators - Section D'!$A$1:$A$100,0))&lt;&gt;0,INDEX('Coverage Indicators - Section D'!X$1:X$100,MATCH('Print View'!$A171,'Coverage Indicators - Section D'!$A$1:$A$100,0)),""),"")&amp;"/"&amp;IFERROR(IF(INDEX('Coverage Indicators - Section D'!X$1:X$100,MATCH('Print View'!$A171,'Coverage Indicators - Section D'!$A$1:$A$100,0)+1)&lt;&gt;0,INDEX('Coverage Indicators - Section D'!X$1:X$100,MATCH('Print View'!$A171,'Coverage Indicators - Section D'!$A$1:$A$100,0)+1),""),"")&amp;CHAR(10)&amp;IFERROR(IF(INDEX('Coverage Indicators - Section D'!Y$1:Y$100,MATCH('Print View'!$A171,'Coverage Indicators - Section D'!$A$1:$A$100,0))&lt;&gt;0,TEXT(INDEX('Coverage Indicators - Section D'!Y$1:Y$100,MATCH('Print View'!$A171,'Coverage Indicators - Section D'!$A$1:$A$100,0)),"0.00%"),""),"")&amp;CHAR(10)&amp;IFERROR(IF(INDEX('Coverage Indicators - Section D'!Z$1:Z$100,MATCH('Print View'!$A171,'Coverage Indicators - Section D'!$A$1:$A$100,0))&lt;&gt;0,INDEX('Coverage Indicators - Section D'!Z$1:Z$100,MATCH('Print View'!$A171,'Coverage Indicators - Section D'!$A$1:$A$100,0)),""),"")</f>
        <v xml:space="preserve">3718.8/4648.5
80.00%
</v>
      </c>
      <c r="P171" s="415" t="str">
        <f ca="1">IFERROR(IF(INDEX('Coverage Indicators - Section D'!AA$1:AA$100,MATCH('Print View'!$A171,'Coverage Indicators - Section D'!$A$1:$A$100,0))&lt;&gt;0,INDEX('Coverage Indicators - Section D'!AA$1:AA$100,MATCH('Print View'!$A171,'Coverage Indicators - Section D'!$A$1:$A$100,0)),""),"")&amp;"/"&amp;IFERROR(IF(INDEX('Coverage Indicators - Section D'!AA$1:AA$100,MATCH('Print View'!$A171,'Coverage Indicators - Section D'!$A$1:$A$100,0)+1)&lt;&gt;0,INDEX('Coverage Indicators - Section D'!AA$1:AA$100,MATCH('Print View'!$A171,'Coverage Indicators - Section D'!$A$1:$A$100,0)+1),""),"")&amp;CHAR(10)&amp;IFERROR(IF(INDEX('Coverage Indicators - Section D'!AB$1:AB$100,MATCH('Print View'!$A171,'Coverage Indicators - Section D'!$A$1:$A$100,0))&lt;&gt;0,TEXT(INDEX('Coverage Indicators - Section D'!AB$1:AB$100,MATCH('Print View'!$A171,'Coverage Indicators - Section D'!$A$1:$A$100,0)),"0.00%"),""),"")&amp;CHAR(10)&amp;IFERROR(IF(INDEX('Coverage Indicators - Section D'!AC$1:AC$100,MATCH('Print View'!$A171,'Coverage Indicators - Section D'!$A$1:$A$100,0))&lt;&gt;0,INDEX('Coverage Indicators - Section D'!AC$1:AC$100,MATCH('Print View'!$A171,'Coverage Indicators - Section D'!$A$1:$A$100,0)),""),"")</f>
        <v xml:space="preserve">3815.6/4769.5
80.00%
</v>
      </c>
      <c r="Q171" s="415" t="str">
        <f ca="1">IFERROR(IF(INDEX('Coverage Indicators - Section D'!AD$1:AD$100,MATCH('Print View'!$A171,'Coverage Indicators - Section D'!$A$1:$A$100,0))&lt;&gt;0,INDEX('Coverage Indicators - Section D'!AD$1:AD$100,MATCH('Print View'!$A171,'Coverage Indicators - Section D'!$A$1:$A$100,0)),""),"")&amp;"/"&amp;IFERROR(IF(INDEX('Coverage Indicators - Section D'!AD$1:AD$100,MATCH('Print View'!$A171,'Coverage Indicators - Section D'!$A$1:$A$100,0)+1)&lt;&gt;0,INDEX('Coverage Indicators - Section D'!AD$1:AD$100,MATCH('Print View'!$A171,'Coverage Indicators - Section D'!$A$1:$A$100,0)+1),""),"")&amp;CHAR(10)&amp;IFERROR(IF(INDEX('Coverage Indicators - Section D'!AE$1:AE$100,MATCH('Print View'!$A171,'Coverage Indicators - Section D'!$A$1:$A$100,0))&lt;&gt;0,TEXT(INDEX('Coverage Indicators - Section D'!AE$1:AE$100,MATCH('Print View'!$A171,'Coverage Indicators - Section D'!$A$1:$A$100,0)),"0.00%"),""),"")&amp;CHAR(10)&amp;IFERROR(IF(INDEX('Coverage Indicators - Section D'!AF$1:AF$100,MATCH('Print View'!$A171,'Coverage Indicators - Section D'!$A$1:$A$100,0))&lt;&gt;0,INDEX('Coverage Indicators - Section D'!AF$1:AF$100,MATCH('Print View'!$A171,'Coverage Indicators - Section D'!$A$1:$A$100,0)),""),"")</f>
        <v xml:space="preserve">3815.6/4769.5
80.00%
</v>
      </c>
      <c r="R171" s="415" t="str">
        <f ca="1">IFERROR(IF(INDEX('Coverage Indicators - Section D'!AG$1:AG$100,MATCH('Print View'!$A171,'Coverage Indicators - Section D'!$A$1:$A$100,0))&lt;&gt;0,INDEX('Coverage Indicators - Section D'!AG$1:AG$100,MATCH('Print View'!$A171,'Coverage Indicators - Section D'!$A$1:$A$100,0)),""),"")&amp;"/"&amp;IFERROR(IF(INDEX('Coverage Indicators - Section D'!AG$1:AG$100,MATCH('Print View'!$A171,'Coverage Indicators - Section D'!$A$1:$A$100,0)+1)&lt;&gt;0,INDEX('Coverage Indicators - Section D'!AG$1:AG$100,MATCH('Print View'!$A171,'Coverage Indicators - Section D'!$A$1:$A$100,0)+1),""),"")&amp;CHAR(10)&amp;IFERROR(IF(INDEX('Coverage Indicators - Section D'!AH$1:AH$100,MATCH('Print View'!$A171,'Coverage Indicators - Section D'!$A$1:$A$100,0))&lt;&gt;0,TEXT(INDEX('Coverage Indicators - Section D'!AH$1:AH$100,MATCH('Print View'!$A171,'Coverage Indicators - Section D'!$A$1:$A$100,0)),"0.00%"),""),"")&amp;CHAR(10)&amp;IFERROR(IF(INDEX('Coverage Indicators - Section D'!AI$1:AI$100,MATCH('Print View'!$A171,'Coverage Indicators - Section D'!$A$1:$A$100,0))&lt;&gt;0,INDEX('Coverage Indicators - Section D'!AI$1:AI$100,MATCH('Print View'!$A171,'Coverage Indicators - Section D'!$A$1:$A$100,0)),""),"")</f>
        <v xml:space="preserve">/
</v>
      </c>
      <c r="S171" s="415" t="str">
        <f ca="1">IFERROR(IF(INDEX('Coverage Indicators - Section D'!AJ$1:AJ$100,MATCH('Print View'!$A171,'Coverage Indicators - Section D'!$A$1:$A$100,0))&lt;&gt;0,INDEX('Coverage Indicators - Section D'!AJ$1:AJ$100,MATCH('Print View'!$A171,'Coverage Indicators - Section D'!$A$1:$A$100,0)),""),"")&amp;"/"&amp;IFERROR(IF(INDEX('Coverage Indicators - Section D'!AJ$1:AJ$100,MATCH('Print View'!$A171,'Coverage Indicators - Section D'!$A$1:$A$100,0)+1)&lt;&gt;0,INDEX('Coverage Indicators - Section D'!AJ$1:AJ$100,MATCH('Print View'!$A171,'Coverage Indicators - Section D'!$A$1:$A$100,0)+1),""),"")&amp;CHAR(10)&amp;IFERROR(IF(INDEX('Coverage Indicators - Section D'!AK$1:AK$100,MATCH('Print View'!$A171,'Coverage Indicators - Section D'!$A$1:$A$100,0))&lt;&gt;0,TEXT(INDEX('Coverage Indicators - Section D'!AK$1:AK$100,MATCH('Print View'!$A171,'Coverage Indicators - Section D'!$A$1:$A$100,0)),"0.00%"),""),"")&amp;CHAR(10)&amp;IFERROR(IF(INDEX('Coverage Indicators - Section D'!AL$1:AL$100,MATCH('Print View'!$A171,'Coverage Indicators - Section D'!$A$1:$A$100,0))&lt;&gt;0,INDEX('Coverage Indicators - Section D'!AL$1:AL$100,MATCH('Print View'!$A171,'Coverage Indicators - Section D'!$A$1:$A$100,0)),""),"")</f>
        <v xml:space="preserve">/
</v>
      </c>
      <c r="T171" s="416"/>
      <c r="U171" s="216"/>
      <c r="V171" s="216"/>
      <c r="W171" s="216"/>
      <c r="X171" s="216"/>
      <c r="Y171" s="216"/>
      <c r="Z171" s="216"/>
      <c r="AA171" s="216"/>
      <c r="AB171" s="216"/>
      <c r="AC171" s="216"/>
      <c r="AD171" s="216"/>
      <c r="AE171" s="216"/>
      <c r="AF171" s="216"/>
      <c r="AG171" s="216"/>
      <c r="AH171" s="216"/>
      <c r="AI171" s="216"/>
      <c r="AJ171" s="216"/>
      <c r="AK171" s="216"/>
      <c r="AL171" s="216"/>
      <c r="AM171" s="216"/>
      <c r="AN171" s="216"/>
      <c r="AO171" s="216">
        <f ca="1">IFERROR(IF(INDEX('Coverage Indicators - Section D'!AD$1:AD$110,MATCH('Print View'!$A171,'Coverage Indicators - Section D'!$A$1:$A$110,0))&lt;&gt;0,INDEX('Coverage Indicators - Section D'!AD$1:AD$110,MATCH('Print View'!$A171,'Coverage Indicators - Section D'!$A$1:$A$110,0)),""),"")</f>
        <v>3815.6000000000004</v>
      </c>
      <c r="AP171" s="216"/>
      <c r="AQ171" s="216"/>
      <c r="AR171" s="216"/>
      <c r="AS171" s="216"/>
      <c r="AT171" s="711" t="str">
        <f ca="1">CONCATENATE($A171,N$147)</f>
        <v>1230-Jun-22</v>
      </c>
      <c r="AU171" s="710" t="str">
        <f ca="1">CONCATENATE($A171,Q$147)</f>
        <v>1231-Dec-23</v>
      </c>
      <c r="AV171" s="710" t="str">
        <f t="shared" ref="AV171" si="88">CONCATENATE($A171,V$147)</f>
        <v>12</v>
      </c>
      <c r="AW171" s="710" t="str">
        <f t="shared" ref="AW171" si="89">CONCATENATE($A171,Y$147)</f>
        <v>12</v>
      </c>
      <c r="AX171" s="710" t="str">
        <f t="shared" ref="AX171" si="90">CONCATENATE($A171,AB$147)</f>
        <v>12</v>
      </c>
      <c r="AY171" s="710" t="str">
        <f t="shared" ref="AY171" si="91">CONCATENATE($A171,AE$147)</f>
        <v>12</v>
      </c>
      <c r="AZ171" s="710" t="str">
        <f t="shared" ref="AZ171" si="92">CONCATENATE($A171,AH$147)</f>
        <v>12</v>
      </c>
      <c r="BA171" s="710" t="str">
        <f t="shared" ref="BA171" si="93">CONCATENATE($A171,AK$147)</f>
        <v>12</v>
      </c>
      <c r="BB171" s="409"/>
      <c r="BC171" s="410"/>
    </row>
    <row r="172" spans="1:55" s="411" customFormat="1" ht="88.2" customHeight="1" x14ac:dyDescent="0.3">
      <c r="A172" s="730"/>
      <c r="B172" s="717" t="str">
        <f ca="1">IFERROR(IF(INDEX('Coverage Indicators - Section D'!AM$1:AM$110,MATCH('Print View'!$A171,'Coverage Indicators - Section D'!$A$1:$A$110,0))&lt;&gt;0,INDEX('Coverage Indicators - Section D'!AM$1:AM$110,MATCH('Print View'!$A171,'Coverage Indicators - Section D'!$A$1:$A$110,0)),""),"")</f>
        <v>Le résultat de 2019 pour Alliance Côte d'Ivoire indique que 4.153 HSH ont bénéficié d'au moins trois services de prévention par les pairs, sur un total estimé de 5.862 HSH, soit une couverture de 70,85% sur 683 lieux de rencontre. Ces données couvrent 17 districts de santé en 2019.
Pour le NFM3, Alliance Côte d'Ivoire couvre 24 districts avec au moins 200 HSH estimés. Le nombre total estimé des HSH est de 9062 en 2021, de 9297 en 2022 et de 9539 en 2023. La méthodologie d’estimation de la taille des HSH a été faite sur la base de la Note technique d'estimation de taille (voir rapport):
Ainsi dans ce rapport, les HSH représentent 0,53% des hommes âgés de 15 à 49 ans. Cette proportion a été appliquée à la taille de la population des hommes âgés de 15 à 49 ans dans chaque district et région afin d’estimer le nombre de HSH. 
Selon les projections du tableau des gaps programmatiques, les projections du pays sont de 60% en 2021, 70% en 2022 et 80% en 2023.
Compte tenu de la donnée de base au 31 décembre 2019 pour une couverture de 71%, l'objectif de la subvention NFM3 volet communautaire sera maintenu à 80% jusqu'en 2023. 
Alliance Côte d'Ivoire prévoit comme cible un objectif de 80% afin de s'aligner au tableau : 
2021 : 7250 = (9062*80%);
2022 : 7438 = (9297*80%); 
2023 : 7631 = (9539*80%).
Les pairs navigateurs réaliseront les activités de prévention combinée.
Dans le cadre de NFM 3, Alliance Côte d'Ivoire proposera un paquet de service minimum de prévention combinée :
1- Communication pour le changement social de comportement (CSC), 
2- Promotion et distribution de préservatifs et de gels lubrifiants à base d'eau, 
3- Conseil et dépistage classic avec rendu de résultat,
4- Auto-dépistage
5- Diagnostic et traitement des IST, 
6- La PreP
7- Lutte contre les violations des Droits Humains et de violence basée sur le genre (VBG), 
8- Soins et soutien aux HSH VIH positifs, 
9- Lutte contre la stigmatisation et la discrimination.
Dans le cadre du NFM3, chaque HSH bénéficiera d'au moins trois (3) services parmi les neuf (9) avant d'être comptabilisé comme ayant bénéficié d'un programme de prévention de lutte contre le sida (paquet defini de service).
Numérateur : nombre de HSH ayant bénéficié de programmes de prévention du VIH paquet de services définis durant la période
Dénominateur : nombre de HSH évalués sur les lieux de rencontre durant la période
Ventilé par : groupe d'âge - [15-19]; [20-24]; [25-34]; [35-49]; [50 ans et plus].
Outil de rapportage de l'indicateur au niveau d'Alliance Côte d'Ivoire:
- Pour le numérateur, il aura deux (2) outils: la base de données (l'onglet sur les activités de prévention) et le rapport narratif.
- Pour le dénominateur, il y aura la base de données (évaluation de la taille).</v>
      </c>
      <c r="C172" s="718"/>
      <c r="D172" s="718"/>
      <c r="E172" s="718"/>
      <c r="F172" s="718"/>
      <c r="G172" s="718"/>
      <c r="H172" s="718"/>
      <c r="I172" s="719"/>
      <c r="J172" s="719"/>
      <c r="K172" s="719"/>
      <c r="L172" s="719"/>
      <c r="M172" s="719"/>
      <c r="N172" s="719"/>
      <c r="O172" s="719"/>
      <c r="P172" s="719"/>
      <c r="Q172" s="719"/>
      <c r="R172" s="719"/>
      <c r="S172" s="720"/>
      <c r="T172" s="417"/>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711"/>
      <c r="AU172" s="710"/>
      <c r="AV172" s="710"/>
      <c r="AW172" s="710"/>
      <c r="AX172" s="710"/>
      <c r="AY172" s="710"/>
      <c r="AZ172" s="710"/>
      <c r="BA172" s="710"/>
      <c r="BB172" s="409"/>
      <c r="BC172" s="410"/>
    </row>
    <row r="173" spans="1:55" s="411" customFormat="1" ht="177" customHeight="1" x14ac:dyDescent="0.3">
      <c r="A173" s="709">
        <v>13</v>
      </c>
      <c r="B173" s="404" t="str">
        <f ca="1">IFERROR(IF(INDEX('Coverage Indicators - Section D'!B$1:B$100,MATCH('Print View'!$A173,'Coverage Indicators - Section D'!$A$1:$A$100,0))&lt;&gt;0,INDEX('Coverage Indicators - Section D'!B$1:B$100,MATCH('Print View'!$A173,'Coverage Indicators - Section D'!$A$1:$A$100,0)),""),"")</f>
        <v>Prévention</v>
      </c>
      <c r="C173" s="404" t="str">
        <f ca="1">IFERROR(IF(INDEX('Coverage Indicators - Section D'!D$1:D$100,MATCH('Print View'!$A173,'Coverage Indicators - Section D'!$A$1:$A$100,0))&lt;&gt;0,INDEX('Coverage Indicators - Section D'!D$1:D$100,MATCH('Print View'!$A173,'Coverage Indicators - Section D'!$A$1:$A$100,0)),""),"")</f>
        <v>KP-1c⁽ᴹ⁾ Pourcentage de professionnels du sexe ayant bénéficié de programmes préventifs de lutte contre le VIH (paquet de services définis)</v>
      </c>
      <c r="D173" s="404" t="str">
        <f ca="1">IFERROR(IF(INDEX('Coverage Indicators - Section D'!E$1:E$100,MATCH('Print View'!$A173,'Coverage Indicators - Section D'!$A$1:$A$100,0))&lt;&gt;0,INDEX('Coverage Indicators - Section D'!E$1:E$100,MATCH('Print View'!$A173,'Coverage Indicators - Section D'!$A$1:$A$100,0)),""),"")</f>
        <v/>
      </c>
      <c r="E173" s="405" t="str">
        <f ca="1">IFERROR(IF(INDEX('Coverage Indicators - Section D'!F$1:F$100,MATCH('Print View'!$A173,'Coverage Indicators - Section D'!$A$1:$A$100,0))&lt;&gt;0,INDEX('Coverage Indicators - Section D'!F$1:F$100,MATCH('Print View'!$A173,'Coverage Indicators - Section D'!$A$1:$A$100,0)),""),"")&amp;"/"&amp;IFERROR(IF(INDEX('Coverage Indicators - Section D'!F$1:F$100,MATCH('Print View'!$A173,'Coverage Indicators - Section D'!$A$1:$A$100,0)+1)&lt;&gt;0,INDEX('Coverage Indicators - Section D'!F$1:F$100,MATCH('Print View'!$A173,'Coverage Indicators - Section D'!$A$1:$A$100,0)+1),""),"")&amp;CHAR(10)&amp;IFERROR(IF(INDEX('Coverage Indicators - Section D'!G$1:G$100,MATCH('Print View'!$A173,'Coverage Indicators - Section D'!$A$1:$A$100,0))&lt;&gt;0,TEXT(INDEX('Coverage Indicators - Section D'!G$1:G$100,MATCH('Print View'!$A173,'Coverage Indicators - Section D'!$A$1:$A$100,0)),"0.00%"),""),"")</f>
        <v>8521/9491
89.78%</v>
      </c>
      <c r="F173" s="406"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2019
Alliance Côte d'Ivoire Routine data (Rapport annuel)</v>
      </c>
      <c r="G173" s="407" t="str">
        <f>IFERROR(IF(INDEX('Coverage Indicators - Section D'!J33:J62,MATCH('Print View'!$A173,'Coverage Indicators - Section D'!$A$9:$A$38,0))&lt;&gt;0,INDEX('Coverage Indicators - Section D'!J33:J62,MATCH('Print View'!$A173,'Coverage Indicators - Section D'!$A$9:$A$38,0)),""),"")</f>
        <v/>
      </c>
      <c r="H173" s="408" t="str">
        <f ca="1">IFERROR(IF(INDEX('Coverage Indicators - Section D'!K$1:K$100,MATCH('Print View'!$A173,'Coverage Indicators - Section D'!$A$1:$A$100,0))&lt;&gt;0,INDEX('Coverage Indicators - Section D'!K$1:K$100,MATCH('Print View'!$A173,'Coverage Indicators - Section D'!$A$1:$A$100,0)),""),"")</f>
        <v>Yes</v>
      </c>
      <c r="I173" s="407" t="str">
        <f ca="1">IFERROR(IF(INDEX('Coverage Indicators - Section D'!L$1:L$100,MATCH('Print View'!$A173,'Coverage Indicators - Section D'!$A$1:$A$100,0))&lt;&gt;0,INDEX('Coverage Indicators - Section D'!L$1:L$100,MATCH('Print View'!$A173,'Coverage Indicators - Section D'!$A$1:$A$100,0)),""),"")</f>
        <v>Alliance Nationale Contre Le Sida en Cote D'Ivoire</v>
      </c>
      <c r="J173" s="405"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Côte d'Ivoire
Geographic Subnational, less than 100% national program target</v>
      </c>
      <c r="K173" s="405" t="str">
        <f ca="1">IFERROR(IF(INDEX('Coverage Indicators - Section D'!N$1:N$100,MATCH('Print View'!$A173,'Coverage Indicators - Section D'!$A$1:$A$100,0))&lt;&gt;0,INDEX('Coverage Indicators - Section D'!N$1:N$100,MATCH('Print View'!$A173,'Coverage Indicators - Section D'!$A$1:$A$100,0)),""),"")</f>
        <v>Non cumulative</v>
      </c>
      <c r="L173" s="405" t="str">
        <f ca="1">IFERROR(IF(INDEX('Coverage Indicators - Section D'!O$1:O$100,MATCH('Print View'!$A173,'Coverage Indicators - Section D'!$A$1:$A$100,0))&lt;&gt;0,INDEX('Coverage Indicators - Section D'!O$1:O$100,MATCH('Print View'!$A173,'Coverage Indicators - Section D'!$A$1:$A$100,0)),""),"")&amp;"/"&amp;IFERROR(IF(INDEX('Coverage Indicators - Section D'!O$1:O$100,MATCH('Print View'!$A173,'Coverage Indicators - Section D'!$A$1:$A$100,0)+1)&lt;&gt;0,INDEX('Coverage Indicators - Section D'!O$1:O$100,MATCH('Print View'!$A173,'Coverage Indicators - Section D'!$A$1:$A$100,0)+1),""),"")&amp;CHAR(10)&amp;IFERROR(IF(INDEX('Coverage Indicators - Section D'!P$1:P$100,MATCH('Print View'!$A173,'Coverage Indicators - Section D'!$A$1:$A$100,0))&lt;&gt;0,TEXT(INDEX('Coverage Indicators - Section D'!P$1:P$100,MATCH('Print View'!$A173,'Coverage Indicators - Section D'!$A$1:$A$100,0)),"0.00%"),""),"")&amp;CHAR(10)&amp;IFERROR(IF(INDEX('Coverage Indicators - Section D'!Q$1:Q$100,MATCH('Print View'!$A173,'Coverage Indicators - Section D'!$A$1:$A$100,0))&lt;&gt;0,INDEX('Coverage Indicators - Section D'!Q$1:Q$100,MATCH('Print View'!$A173,'Coverage Indicators - Section D'!$A$1:$A$100,0)),""),"")</f>
        <v xml:space="preserve">7255.625/7637.5
95.00%
</v>
      </c>
      <c r="M173" s="406" t="str">
        <f ca="1">IFERROR(IF(INDEX('Coverage Indicators - Section D'!R$1:R$100,MATCH('Print View'!$A173,'Coverage Indicators - Section D'!$A$1:$A$100,0))&lt;&gt;0,INDEX('Coverage Indicators - Section D'!R$1:R$100,MATCH('Print View'!$A173,'Coverage Indicators - Section D'!$A$1:$A$100,0)),""),"")&amp;"/"&amp;IFERROR(IF(INDEX('Coverage Indicators - Section D'!R$1:R$100,MATCH('Print View'!$A173,'Coverage Indicators - Section D'!$A$1:$A$100,0)+1)&lt;&gt;0,INDEX('Coverage Indicators - Section D'!R$1:R$100,MATCH('Print View'!$A173,'Coverage Indicators - Section D'!$A$1:$A$100,0)+1),""),"")&amp;CHAR(10)&amp;IFERROR(IF(INDEX('Coverage Indicators - Section D'!S$1:S$100,MATCH('Print View'!$A173,'Coverage Indicators - Section D'!$A$1:$A$100,0))&lt;&gt;0,TEXT(INDEX('Coverage Indicators - Section D'!S$1:S$100,MATCH('Print View'!$A173,'Coverage Indicators - Section D'!$A$1:$A$100,0)),"0.00%"),""),"")&amp;CHAR(10)&amp;IFERROR(IF(INDEX('Coverage Indicators - Section D'!T$1:T$100,MATCH('Print View'!$A173,'Coverage Indicators - Section D'!$A$1:$A$100,0))&lt;&gt;0,INDEX('Coverage Indicators - Section D'!T$1:T$100,MATCH('Print View'!$A173,'Coverage Indicators - Section D'!$A$1:$A$100,0)),""),"")</f>
        <v xml:space="preserve">7255.625/7637.5
95.00%
</v>
      </c>
      <c r="N173" s="405" t="str">
        <f ca="1">IFERROR(IF(INDEX('Coverage Indicators - Section D'!U$1:U$100,MATCH('Print View'!$A173,'Coverage Indicators - Section D'!$A$1:$A$100,0))&lt;&gt;0,INDEX('Coverage Indicators - Section D'!U$1:U$100,MATCH('Print View'!$A173,'Coverage Indicators - Section D'!$A$1:$A$100,0)),""),"")&amp;"/"&amp;IFERROR(IF(INDEX('Coverage Indicators - Section D'!U$1:U$100,MATCH('Print View'!$A173,'Coverage Indicators - Section D'!$A$1:$A$100,0)+1)&lt;&gt;0,INDEX('Coverage Indicators - Section D'!U$1:U$100,MATCH('Print View'!$A173,'Coverage Indicators - Section D'!$A$1:$A$100,0)+1),""),"")&amp;CHAR(10)&amp;IFERROR(IF(INDEX('Coverage Indicators - Section D'!V$1:V$100,MATCH('Print View'!$A173,'Coverage Indicators - Section D'!$A$1:$A$100,0))&lt;&gt;0,TEXT(INDEX('Coverage Indicators - Section D'!V$1:V$100,MATCH('Print View'!$A173,'Coverage Indicators - Section D'!$A$1:$A$100,0)),"0.00%"),""),"")&amp;CHAR(10)&amp;IFERROR(IF(INDEX('Coverage Indicators - Section D'!W$1:W$100,MATCH('Print View'!$A173,'Coverage Indicators - Section D'!$A$1:$A$100,0))&lt;&gt;0,INDEX('Coverage Indicators - Section D'!W$1:W$100,MATCH('Print View'!$A173,'Coverage Indicators - Section D'!$A$1:$A$100,0)),""),"")</f>
        <v xml:space="preserve">7444.2/7836
95.00%
</v>
      </c>
      <c r="O173" s="406" t="str">
        <f ca="1">IFERROR(IF(INDEX('Coverage Indicators - Section D'!X$1:X$100,MATCH('Print View'!$A173,'Coverage Indicators - Section D'!$A$1:$A$100,0))&lt;&gt;0,INDEX('Coverage Indicators - Section D'!X$1:X$100,MATCH('Print View'!$A173,'Coverage Indicators - Section D'!$A$1:$A$100,0)),""),"")&amp;"/"&amp;IFERROR(IF(INDEX('Coverage Indicators - Section D'!X$1:X$100,MATCH('Print View'!$A173,'Coverage Indicators - Section D'!$A$1:$A$100,0)+1)&lt;&gt;0,INDEX('Coverage Indicators - Section D'!X$1:X$100,MATCH('Print View'!$A173,'Coverage Indicators - Section D'!$A$1:$A$100,0)+1),""),"")&amp;CHAR(10)&amp;IFERROR(IF(INDEX('Coverage Indicators - Section D'!Y$1:Y$100,MATCH('Print View'!$A173,'Coverage Indicators - Section D'!$A$1:$A$100,0))&lt;&gt;0,TEXT(INDEX('Coverage Indicators - Section D'!Y$1:Y$100,MATCH('Print View'!$A173,'Coverage Indicators - Section D'!$A$1:$A$100,0)),"0.00%"),""),"")&amp;CHAR(10)&amp;IFERROR(IF(INDEX('Coverage Indicators - Section D'!Z$1:Z$100,MATCH('Print View'!$A173,'Coverage Indicators - Section D'!$A$1:$A$100,0))&lt;&gt;0,INDEX('Coverage Indicators - Section D'!Z$1:Z$100,MATCH('Print View'!$A173,'Coverage Indicators - Section D'!$A$1:$A$100,0)),""),"")</f>
        <v xml:space="preserve">7444.2/7836
95.00%
</v>
      </c>
      <c r="P173" s="406" t="str">
        <f ca="1">IFERROR(IF(INDEX('Coverage Indicators - Section D'!AA$1:AA$100,MATCH('Print View'!$A173,'Coverage Indicators - Section D'!$A$1:$A$100,0))&lt;&gt;0,INDEX('Coverage Indicators - Section D'!AA$1:AA$100,MATCH('Print View'!$A173,'Coverage Indicators - Section D'!$A$1:$A$100,0)),""),"")&amp;"/"&amp;IFERROR(IF(INDEX('Coverage Indicators - Section D'!AA$1:AA$100,MATCH('Print View'!$A173,'Coverage Indicators - Section D'!$A$1:$A$100,0)+1)&lt;&gt;0,INDEX('Coverage Indicators - Section D'!AA$1:AA$100,MATCH('Print View'!$A173,'Coverage Indicators - Section D'!$A$1:$A$100,0)+1),""),"")&amp;CHAR(10)&amp;IFERROR(IF(INDEX('Coverage Indicators - Section D'!AB$1:AB$100,MATCH('Print View'!$A173,'Coverage Indicators - Section D'!$A$1:$A$100,0))&lt;&gt;0,TEXT(INDEX('Coverage Indicators - Section D'!AB$1:AB$100,MATCH('Print View'!$A173,'Coverage Indicators - Section D'!$A$1:$A$100,0)),"0.00%"),""),"")&amp;CHAR(10)&amp;IFERROR(IF(INDEX('Coverage Indicators - Section D'!AC$1:AC$100,MATCH('Print View'!$A173,'Coverage Indicators - Section D'!$A$1:$A$100,0))&lt;&gt;0,INDEX('Coverage Indicators - Section D'!AC$1:AC$100,MATCH('Print View'!$A173,'Coverage Indicators - Section D'!$A$1:$A$100,0)),""),"")</f>
        <v xml:space="preserve">7638/8040
95.00%
</v>
      </c>
      <c r="Q173" s="406" t="str">
        <f ca="1">IFERROR(IF(INDEX('Coverage Indicators - Section D'!AD$1:AD$100,MATCH('Print View'!$A173,'Coverage Indicators - Section D'!$A$1:$A$100,0))&lt;&gt;0,INDEX('Coverage Indicators - Section D'!AD$1:AD$100,MATCH('Print View'!$A173,'Coverage Indicators - Section D'!$A$1:$A$100,0)),""),"")&amp;"/"&amp;IFERROR(IF(INDEX('Coverage Indicators - Section D'!AD$1:AD$100,MATCH('Print View'!$A173,'Coverage Indicators - Section D'!$A$1:$A$100,0)+1)&lt;&gt;0,INDEX('Coverage Indicators - Section D'!AD$1:AD$100,MATCH('Print View'!$A173,'Coverage Indicators - Section D'!$A$1:$A$100,0)+1),""),"")&amp;CHAR(10)&amp;IFERROR(IF(INDEX('Coverage Indicators - Section D'!AE$1:AE$100,MATCH('Print View'!$A173,'Coverage Indicators - Section D'!$A$1:$A$100,0))&lt;&gt;0,TEXT(INDEX('Coverage Indicators - Section D'!AE$1:AE$100,MATCH('Print View'!$A173,'Coverage Indicators - Section D'!$A$1:$A$100,0)),"0.00%"),""),"")&amp;CHAR(10)&amp;IFERROR(IF(INDEX('Coverage Indicators - Section D'!AF$1:AF$100,MATCH('Print View'!$A173,'Coverage Indicators - Section D'!$A$1:$A$100,0))&lt;&gt;0,INDEX('Coverage Indicators - Section D'!AF$1:AF$100,MATCH('Print View'!$A173,'Coverage Indicators - Section D'!$A$1:$A$100,0)),""),"")</f>
        <v xml:space="preserve">7638/8040
95.00%
</v>
      </c>
      <c r="R173" s="406" t="str">
        <f ca="1">IFERROR(IF(INDEX('Coverage Indicators - Section D'!AG$1:AG$100,MATCH('Print View'!$A173,'Coverage Indicators - Section D'!$A$1:$A$100,0))&lt;&gt;0,INDEX('Coverage Indicators - Section D'!AG$1:AG$100,MATCH('Print View'!$A173,'Coverage Indicators - Section D'!$A$1:$A$100,0)),""),"")&amp;"/"&amp;IFERROR(IF(INDEX('Coverage Indicators - Section D'!AG$1:AG$100,MATCH('Print View'!$A173,'Coverage Indicators - Section D'!$A$1:$A$100,0)+1)&lt;&gt;0,INDEX('Coverage Indicators - Section D'!AG$1:AG$100,MATCH('Print View'!$A173,'Coverage Indicators - Section D'!$A$1:$A$100,0)+1),""),"")&amp;CHAR(10)&amp;IFERROR(IF(INDEX('Coverage Indicators - Section D'!AH$1:AH$100,MATCH('Print View'!$A173,'Coverage Indicators - Section D'!$A$1:$A$100,0))&lt;&gt;0,TEXT(INDEX('Coverage Indicators - Section D'!AH$1:AH$100,MATCH('Print View'!$A173,'Coverage Indicators - Section D'!$A$1:$A$100,0)),"0.00%"),""),"")&amp;CHAR(10)&amp;IFERROR(IF(INDEX('Coverage Indicators - Section D'!AI$1:AI$100,MATCH('Print View'!$A173,'Coverage Indicators - Section D'!$A$1:$A$100,0))&lt;&gt;0,INDEX('Coverage Indicators - Section D'!AI$1:AI$100,MATCH('Print View'!$A173,'Coverage Indicators - Section D'!$A$1:$A$100,0)),""),"")</f>
        <v xml:space="preserve">/
</v>
      </c>
      <c r="S173" s="406" t="str">
        <f ca="1">IFERROR(IF(INDEX('Coverage Indicators - Section D'!AJ$1:AJ$100,MATCH('Print View'!$A173,'Coverage Indicators - Section D'!$A$1:$A$100,0))&lt;&gt;0,INDEX('Coverage Indicators - Section D'!AJ$1:AJ$100,MATCH('Print View'!$A173,'Coverage Indicators - Section D'!$A$1:$A$100,0)),""),"")&amp;"/"&amp;IFERROR(IF(INDEX('Coverage Indicators - Section D'!AJ$1:AJ$100,MATCH('Print View'!$A173,'Coverage Indicators - Section D'!$A$1:$A$100,0)+1)&lt;&gt;0,INDEX('Coverage Indicators - Section D'!AJ$1:AJ$100,MATCH('Print View'!$A173,'Coverage Indicators - Section D'!$A$1:$A$100,0)+1),""),"")&amp;CHAR(10)&amp;IFERROR(IF(INDEX('Coverage Indicators - Section D'!AK$1:AK$100,MATCH('Print View'!$A173,'Coverage Indicators - Section D'!$A$1:$A$100,0))&lt;&gt;0,TEXT(INDEX('Coverage Indicators - Section D'!AK$1:AK$100,MATCH('Print View'!$A173,'Coverage Indicators - Section D'!$A$1:$A$100,0)),"0.00%"),""),"")&amp;CHAR(10)&amp;IFERROR(IF(INDEX('Coverage Indicators - Section D'!AL$1:AL$100,MATCH('Print View'!$A173,'Coverage Indicators - Section D'!$A$1:$A$100,0))&lt;&gt;0,INDEX('Coverage Indicators - Section D'!AL$1:AL$100,MATCH('Print View'!$A173,'Coverage Indicators - Section D'!$A$1:$A$100,0)),""),"")</f>
        <v xml:space="preserve">/
</v>
      </c>
      <c r="T173" s="385"/>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f ca="1">IFERROR(IF(INDEX('Coverage Indicators - Section D'!AD$1:AD$110,MATCH('Print View'!$A173,'Coverage Indicators - Section D'!$A$1:$A$110,0))&lt;&gt;0,INDEX('Coverage Indicators - Section D'!AD$1:AD$110,MATCH('Print View'!$A173,'Coverage Indicators - Section D'!$A$1:$A$110,0)),""),"")</f>
        <v>7638</v>
      </c>
      <c r="AP173" s="216"/>
      <c r="AQ173" s="216"/>
      <c r="AR173" s="216"/>
      <c r="AS173" s="216"/>
      <c r="AT173" s="711" t="str">
        <f ca="1">CONCATENATE($A173,N$147)</f>
        <v>1330-Jun-22</v>
      </c>
      <c r="AU173" s="710" t="str">
        <f ca="1">CONCATENATE($A173,Q$147)</f>
        <v>1331-Dec-23</v>
      </c>
      <c r="AV173" s="710" t="str">
        <f t="shared" ref="AV173" si="94">CONCATENATE($A173,V$147)</f>
        <v>13</v>
      </c>
      <c r="AW173" s="710" t="str">
        <f t="shared" ref="AW173" si="95">CONCATENATE($A173,Y$147)</f>
        <v>13</v>
      </c>
      <c r="AX173" s="710" t="str">
        <f t="shared" ref="AX173" si="96">CONCATENATE($A173,AB$147)</f>
        <v>13</v>
      </c>
      <c r="AY173" s="710" t="str">
        <f t="shared" ref="AY173" si="97">CONCATENATE($A173,AE$147)</f>
        <v>13</v>
      </c>
      <c r="AZ173" s="710" t="str">
        <f t="shared" ref="AZ173" si="98">CONCATENATE($A173,AH$147)</f>
        <v>13</v>
      </c>
      <c r="BA173" s="710" t="str">
        <f t="shared" ref="BA173" si="99">CONCATENATE($A173,AK$147)</f>
        <v>13</v>
      </c>
      <c r="BB173" s="409"/>
      <c r="BC173" s="410"/>
    </row>
    <row r="174" spans="1:55" s="411" customFormat="1" ht="88.2" customHeight="1" x14ac:dyDescent="0.3">
      <c r="A174" s="709"/>
      <c r="B174" s="714" t="str">
        <f ca="1">IFERROR(IF(INDEX('Coverage Indicators - Section D'!AM$1:AM$110,MATCH('Print View'!$A173,'Coverage Indicators - Section D'!$A$1:$A$110,0))&lt;&gt;0,INDEX('Coverage Indicators - Section D'!AM$1:AM$110,MATCH('Print View'!$A173,'Coverage Indicators - Section D'!$A$1:$A$110,0)),""),"")</f>
        <v>Au termes de la subvention NFM2, le nombre estimé de TS dans les 17 districts de santé est de 9.491 sur un total de 1546 sites prostitutionnels. En 2019, 8.521 TS ont bénéficié d'au moins trois services de prévention par les pairs, soit une couverture de 90% (8521/9491).
Pour le NFM3, Alliance Côte d'Ivoire couvre 33 districts avec une taille estimée comprise entre 250 et 900 TS. Le nombre total estimé des TS est de 15275 en 2021, de 15672 en 2022 et de 16080 en 2023.
La méthodologie d’estimation de la taille des TS a été faite sur la base de la Note technique d'estimation de taille (voir rapport):
Ainsi dans ce rapport, les TS représentent 0,78% des femmes âgées de 15 à 49 ans. Cette proportion a été appliquée à la taille de la population des femmes âgées de 15 à 49 ans dans chaque district et région afin d’estimer le nombre de TS. 
Selon les projections du tableau des gaps programmatiques, les projections du pays sont de 83% en 2021, 86% en 2022 et 89% en 2023. 
Compte tenu de la donnée de référence au 31 décembre 2019 pour une couverture de 90%, l'objectif de la subvention NFM3 volet communautaire sera maintenu à 95% jusqu'en 2023.
Alliance Côte d'Ivoire se fixe les objectifs suivants pour le NFM3:
2021 : 14511 = (15275*95%)
2022 : 14889 = (15672*95%)
2023 : 15276 = (16080*95%)
Les pairs navigateurs réaliseront les activités de prévention combinée.
Dans le cadre de NFM 3, Alliance Côte d'Ivoire proposera un paquet de service minimum de prévention combinée :
1- Communication pour le changement social de comportement (CSC), 
2- Promotion et distribution de préservatifs et de gels lubrifiants à base d'eau, 
3- Conseil et dépistage classic avec rendu de résultat,
4- Auto-dépistage
5- Diagnostic et traitement des IST, 
6- La PreP
7- Lutte contre les violations des Droits Humains et de violence basée sur le genre (VBG), 
8- Soins et soutien aux TS VIH positives, 
9- Lutte contre la stigmatisation et la discrimination.
Dans le cadre du NFM3, chaque TS bénéficiera d'au moins trois (3) services parmi les neuf (9) avant d'être comptabilisée comme ayant bénéficié d'un programme de prévention de lutte contre le sida (paquet defini de service).
Numérateur : nombre de TS ayant bénéficié de programmes de prévention du VIH paquet de services définis durant la période
Dénominateur : nombre de TS évaluées sur les lieux de rencontre durant la période
Ventilé par : groupe d'âge - [15-19]; [20-24]; [25-34]; [35-49]; [50 ans et plus].
Outil de rapportage de l'indicateur au niveau d'Alliance Côte d'Ivoire:
- Pour le numérateur, il aura deux (2) outils: la base de données (l'onglet sur les activités de prévention) et le rapport narratif.
- Pour le dénominateur, il y aura la base de données (évaluation de la taille).</v>
      </c>
      <c r="C174" s="715"/>
      <c r="D174" s="715"/>
      <c r="E174" s="715"/>
      <c r="F174" s="715"/>
      <c r="G174" s="715"/>
      <c r="H174" s="715"/>
      <c r="I174" s="715"/>
      <c r="J174" s="715"/>
      <c r="K174" s="715"/>
      <c r="L174" s="715"/>
      <c r="M174" s="715"/>
      <c r="N174" s="715"/>
      <c r="O174" s="715"/>
      <c r="P174" s="715"/>
      <c r="Q174" s="715"/>
      <c r="R174" s="715"/>
      <c r="S174" s="716"/>
      <c r="T174" s="412"/>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711"/>
      <c r="AU174" s="710"/>
      <c r="AV174" s="710"/>
      <c r="AW174" s="710"/>
      <c r="AX174" s="710"/>
      <c r="AY174" s="710"/>
      <c r="AZ174" s="710"/>
      <c r="BA174" s="710"/>
      <c r="BB174" s="409"/>
      <c r="BC174" s="410"/>
    </row>
    <row r="175" spans="1:55" s="411" customFormat="1" ht="177" customHeight="1" x14ac:dyDescent="0.3">
      <c r="A175" s="712">
        <v>14</v>
      </c>
      <c r="B175" s="380" t="str">
        <f ca="1">IFERROR(IF(INDEX('Coverage Indicators - Section D'!B$1:B$100,MATCH('Print View'!$A175,'Coverage Indicators - Section D'!$A$1:$A$100,0))&lt;&gt;0,INDEX('Coverage Indicators - Section D'!B$1:B$100,MATCH('Print View'!$A175,'Coverage Indicators - Section D'!$A$1:$A$100,0)),""),"")</f>
        <v>Prévention</v>
      </c>
      <c r="C175" s="380" t="str">
        <f ca="1">IFERROR(IF(INDEX('Coverage Indicators - Section D'!D$1:D$100,MATCH('Print View'!$A175,'Coverage Indicators - Section D'!$A$1:$A$100,0))&lt;&gt;0,INDEX('Coverage Indicators - Section D'!D$1:D$100,MATCH('Print View'!$A175,'Coverage Indicators - Section D'!$A$1:$A$100,0)),""),"")</f>
        <v/>
      </c>
      <c r="D175" s="380" t="str">
        <f ca="1">IFERROR(IF(INDEX('Coverage Indicators - Section D'!E$1:E$100,MATCH('Print View'!$A175,'Coverage Indicators - Section D'!$A$1:$A$100,0))&lt;&gt;0,INDEX('Coverage Indicators - Section D'!E$1:E$100,MATCH('Print View'!$A175,'Coverage Indicators - Section D'!$A$1:$A$100,0)),""),"")</f>
        <v>KP-1d (M) Other 1 : Pourcentage de consommateur de drogues (y compris les injecteurs) ayant bénéficié de programme préventif de lutte contre le VIH (Paquet de services définis)</v>
      </c>
      <c r="E175" s="381" t="str">
        <f ca="1">IFERROR(IF(INDEX('Coverage Indicators - Section D'!F$1:F$100,MATCH('Print View'!$A175,'Coverage Indicators - Section D'!$A$1:$A$100,0))&lt;&gt;0,INDEX('Coverage Indicators - Section D'!F$1:F$100,MATCH('Print View'!$A175,'Coverage Indicators - Section D'!$A$1:$A$100,0)),""),"")&amp;"/"&amp;IFERROR(IF(INDEX('Coverage Indicators - Section D'!F$1:F$100,MATCH('Print View'!$A175,'Coverage Indicators - Section D'!$A$1:$A$100,0)+1)&lt;&gt;0,INDEX('Coverage Indicators - Section D'!F$1:F$100,MATCH('Print View'!$A175,'Coverage Indicators - Section D'!$A$1:$A$100,0)+1),""),"")&amp;CHAR(10)&amp;IFERROR(IF(INDEX('Coverage Indicators - Section D'!G$1:G$100,MATCH('Print View'!$A175,'Coverage Indicators - Section D'!$A$1:$A$100,0))&lt;&gt;0,TEXT(INDEX('Coverage Indicators - Section D'!G$1:G$100,MATCH('Print View'!$A175,'Coverage Indicators - Section D'!$A$1:$A$100,0)),"0.00%"),""),"")</f>
        <v>4587/8167
56.17%</v>
      </c>
      <c r="F175" s="413"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2019
Alliance CI Routine data (Rapport annuel)</v>
      </c>
      <c r="G175" s="414" t="str">
        <f>IFERROR(IF(INDEX('Coverage Indicators - Section D'!J33:J62,MATCH('Print View'!$A175,'Coverage Indicators - Section D'!$A$9:$A$38,0))&lt;&gt;0,INDEX('Coverage Indicators - Section D'!J33:J62,MATCH('Print View'!$A175,'Coverage Indicators - Section D'!$A$9:$A$38,0)),""),"")</f>
        <v/>
      </c>
      <c r="H175" s="413" t="str">
        <f ca="1">IFERROR(IF(INDEX('Coverage Indicators - Section D'!K$1:K$100,MATCH('Print View'!$A175,'Coverage Indicators - Section D'!$A$1:$A$100,0))&lt;&gt;0,INDEX('Coverage Indicators - Section D'!K$1:K$100,MATCH('Print View'!$A175,'Coverage Indicators - Section D'!$A$1:$A$100,0)),""),"")</f>
        <v>Yes</v>
      </c>
      <c r="I175" s="414" t="str">
        <f ca="1">IFERROR(IF(INDEX('Coverage Indicators - Section D'!L$1:L$100,MATCH('Print View'!$A175,'Coverage Indicators - Section D'!$A$1:$A$100,0))&lt;&gt;0,INDEX('Coverage Indicators - Section D'!L$1:L$100,MATCH('Print View'!$A175,'Coverage Indicators - Section D'!$A$1:$A$100,0)),""),"")</f>
        <v>Alliance Nationale Contre Le Sida en Cote D'Ivoire</v>
      </c>
      <c r="J175" s="413"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Côte d'Ivoire
Geographic Subnational, less than 100% national program target</v>
      </c>
      <c r="K175" s="413" t="str">
        <f ca="1">IFERROR(IF(INDEX('Coverage Indicators - Section D'!N$1:N$100,MATCH('Print View'!$A175,'Coverage Indicators - Section D'!$A$1:$A$100,0))&lt;&gt;0,INDEX('Coverage Indicators - Section D'!N$1:N$100,MATCH('Print View'!$A175,'Coverage Indicators - Section D'!$A$1:$A$100,0)),""),"")</f>
        <v>Non cumulative</v>
      </c>
      <c r="L175" s="415" t="str">
        <f ca="1">IFERROR(IF(INDEX('Coverage Indicators - Section D'!O$1:O$100,MATCH('Print View'!$A175,'Coverage Indicators - Section D'!$A$1:$A$100,0))&lt;&gt;0,INDEX('Coverage Indicators - Section D'!O$1:O$100,MATCH('Print View'!$A175,'Coverage Indicators - Section D'!$A$1:$A$100,0)),""),"")&amp;"/"&amp;IFERROR(IF(INDEX('Coverage Indicators - Section D'!O$1:O$100,MATCH('Print View'!$A175,'Coverage Indicators - Section D'!$A$1:$A$100,0)+1)&lt;&gt;0,INDEX('Coverage Indicators - Section D'!O$1:O$100,MATCH('Print View'!$A175,'Coverage Indicators - Section D'!$A$1:$A$100,0)+1),""),"")&amp;CHAR(10)&amp;IFERROR(IF(INDEX('Coverage Indicators - Section D'!P$1:P$100,MATCH('Print View'!$A175,'Coverage Indicators - Section D'!$A$1:$A$100,0))&lt;&gt;0,TEXT(INDEX('Coverage Indicators - Section D'!P$1:P$100,MATCH('Print View'!$A175,'Coverage Indicators - Section D'!$A$1:$A$100,0)),"0.00%"),""),"")&amp;CHAR(10)&amp;IFERROR(IF(INDEX('Coverage Indicators - Section D'!Q$1:Q$100,MATCH('Print View'!$A175,'Coverage Indicators - Section D'!$A$1:$A$100,0))&lt;&gt;0,INDEX('Coverage Indicators - Section D'!Q$1:Q$100,MATCH('Print View'!$A175,'Coverage Indicators - Section D'!$A$1:$A$100,0)),""),"")</f>
        <v xml:space="preserve">2581.2/4302
60.00%
</v>
      </c>
      <c r="M175" s="415" t="str">
        <f ca="1">IFERROR(IF(INDEX('Coverage Indicators - Section D'!R$1:R$100,MATCH('Print View'!$A175,'Coverage Indicators - Section D'!$A$1:$A$100,0))&lt;&gt;0,INDEX('Coverage Indicators - Section D'!R$1:R$100,MATCH('Print View'!$A175,'Coverage Indicators - Section D'!$A$1:$A$100,0)),""),"")&amp;"/"&amp;IFERROR(IF(INDEX('Coverage Indicators - Section D'!R$1:R$100,MATCH('Print View'!$A175,'Coverage Indicators - Section D'!$A$1:$A$100,0)+1)&lt;&gt;0,INDEX('Coverage Indicators - Section D'!R$1:R$100,MATCH('Print View'!$A175,'Coverage Indicators - Section D'!$A$1:$A$100,0)+1),""),"")&amp;CHAR(10)&amp;IFERROR(IF(INDEX('Coverage Indicators - Section D'!S$1:S$100,MATCH('Print View'!$A175,'Coverage Indicators - Section D'!$A$1:$A$100,0))&lt;&gt;0,TEXT(INDEX('Coverage Indicators - Section D'!S$1:S$100,MATCH('Print View'!$A175,'Coverage Indicators - Section D'!$A$1:$A$100,0)),"0.00%"),""),"")&amp;CHAR(10)&amp;IFERROR(IF(INDEX('Coverage Indicators - Section D'!T$1:T$100,MATCH('Print View'!$A175,'Coverage Indicators - Section D'!$A$1:$A$100,0))&lt;&gt;0,INDEX('Coverage Indicators - Section D'!T$1:T$100,MATCH('Print View'!$A175,'Coverage Indicators - Section D'!$A$1:$A$100,0)),""),"")</f>
        <v xml:space="preserve">2581.2/4302
60.00%
</v>
      </c>
      <c r="N175" s="415" t="str">
        <f ca="1">IFERROR(IF(INDEX('Coverage Indicators - Section D'!U$1:U$100,MATCH('Print View'!$A175,'Coverage Indicators - Section D'!$A$1:$A$100,0))&lt;&gt;0,INDEX('Coverage Indicators - Section D'!U$1:U$100,MATCH('Print View'!$A175,'Coverage Indicators - Section D'!$A$1:$A$100,0)),""),"")&amp;"/"&amp;IFERROR(IF(INDEX('Coverage Indicators - Section D'!U$1:U$100,MATCH('Print View'!$A175,'Coverage Indicators - Section D'!$A$1:$A$100,0)+1)&lt;&gt;0,INDEX('Coverage Indicators - Section D'!U$1:U$100,MATCH('Print View'!$A175,'Coverage Indicators - Section D'!$A$1:$A$100,0)+1),""),"")&amp;CHAR(10)&amp;IFERROR(IF(INDEX('Coverage Indicators - Section D'!V$1:V$100,MATCH('Print View'!$A175,'Coverage Indicators - Section D'!$A$1:$A$100,0))&lt;&gt;0,TEXT(INDEX('Coverage Indicators - Section D'!V$1:V$100,MATCH('Print View'!$A175,'Coverage Indicators - Section D'!$A$1:$A$100,0)),"0.00%"),""),"")&amp;CHAR(10)&amp;IFERROR(IF(INDEX('Coverage Indicators - Section D'!W$1:W$100,MATCH('Print View'!$A175,'Coverage Indicators - Section D'!$A$1:$A$100,0))&lt;&gt;0,INDEX('Coverage Indicators - Section D'!W$1:W$100,MATCH('Print View'!$A175,'Coverage Indicators - Section D'!$A$1:$A$100,0)),""),"")</f>
        <v xml:space="preserve">3089.45/4413.5
70.00%
</v>
      </c>
      <c r="O175" s="415" t="str">
        <f ca="1">IFERROR(IF(INDEX('Coverage Indicators - Section D'!X$1:X$100,MATCH('Print View'!$A175,'Coverage Indicators - Section D'!$A$1:$A$100,0))&lt;&gt;0,INDEX('Coverage Indicators - Section D'!X$1:X$100,MATCH('Print View'!$A175,'Coverage Indicators - Section D'!$A$1:$A$100,0)),""),"")&amp;"/"&amp;IFERROR(IF(INDEX('Coverage Indicators - Section D'!X$1:X$100,MATCH('Print View'!$A175,'Coverage Indicators - Section D'!$A$1:$A$100,0)+1)&lt;&gt;0,INDEX('Coverage Indicators - Section D'!X$1:X$100,MATCH('Print View'!$A175,'Coverage Indicators - Section D'!$A$1:$A$100,0)+1),""),"")&amp;CHAR(10)&amp;IFERROR(IF(INDEX('Coverage Indicators - Section D'!Y$1:Y$100,MATCH('Print View'!$A175,'Coverage Indicators - Section D'!$A$1:$A$100,0))&lt;&gt;0,TEXT(INDEX('Coverage Indicators - Section D'!Y$1:Y$100,MATCH('Print View'!$A175,'Coverage Indicators - Section D'!$A$1:$A$100,0)),"0.00%"),""),"")&amp;CHAR(10)&amp;IFERROR(IF(INDEX('Coverage Indicators - Section D'!Z$1:Z$100,MATCH('Print View'!$A175,'Coverage Indicators - Section D'!$A$1:$A$100,0))&lt;&gt;0,INDEX('Coverage Indicators - Section D'!Z$1:Z$100,MATCH('Print View'!$A175,'Coverage Indicators - Section D'!$A$1:$A$100,0)),""),"")</f>
        <v xml:space="preserve">3089.45/4413.5
70.00%
</v>
      </c>
      <c r="P175" s="415" t="str">
        <f ca="1">IFERROR(IF(INDEX('Coverage Indicators - Section D'!AA$1:AA$100,MATCH('Print View'!$A175,'Coverage Indicators - Section D'!$A$1:$A$100,0))&lt;&gt;0,INDEX('Coverage Indicators - Section D'!AA$1:AA$100,MATCH('Print View'!$A175,'Coverage Indicators - Section D'!$A$1:$A$100,0)),""),"")&amp;"/"&amp;IFERROR(IF(INDEX('Coverage Indicators - Section D'!AA$1:AA$100,MATCH('Print View'!$A175,'Coverage Indicators - Section D'!$A$1:$A$100,0)+1)&lt;&gt;0,INDEX('Coverage Indicators - Section D'!AA$1:AA$100,MATCH('Print View'!$A175,'Coverage Indicators - Section D'!$A$1:$A$100,0)+1),""),"")&amp;CHAR(10)&amp;IFERROR(IF(INDEX('Coverage Indicators - Section D'!AB$1:AB$100,MATCH('Print View'!$A175,'Coverage Indicators - Section D'!$A$1:$A$100,0))&lt;&gt;0,TEXT(INDEX('Coverage Indicators - Section D'!AB$1:AB$100,MATCH('Print View'!$A175,'Coverage Indicators - Section D'!$A$1:$A$100,0)),"0.00%"),""),"")&amp;CHAR(10)&amp;IFERROR(IF(INDEX('Coverage Indicators - Section D'!AC$1:AC$100,MATCH('Print View'!$A175,'Coverage Indicators - Section D'!$A$1:$A$100,0))&lt;&gt;0,INDEX('Coverage Indicators - Section D'!AC$1:AC$100,MATCH('Print View'!$A175,'Coverage Indicators - Section D'!$A$1:$A$100,0)),""),"")</f>
        <v xml:space="preserve">3622.8/4528.5
80.00%
</v>
      </c>
      <c r="Q175" s="415" t="str">
        <f ca="1">IFERROR(IF(INDEX('Coverage Indicators - Section D'!AD$1:AD$100,MATCH('Print View'!$A175,'Coverage Indicators - Section D'!$A$1:$A$100,0))&lt;&gt;0,INDEX('Coverage Indicators - Section D'!AD$1:AD$100,MATCH('Print View'!$A175,'Coverage Indicators - Section D'!$A$1:$A$100,0)),""),"")&amp;"/"&amp;IFERROR(IF(INDEX('Coverage Indicators - Section D'!AD$1:AD$100,MATCH('Print View'!$A175,'Coverage Indicators - Section D'!$A$1:$A$100,0)+1)&lt;&gt;0,INDEX('Coverage Indicators - Section D'!AD$1:AD$100,MATCH('Print View'!$A175,'Coverage Indicators - Section D'!$A$1:$A$100,0)+1),""),"")&amp;CHAR(10)&amp;IFERROR(IF(INDEX('Coverage Indicators - Section D'!AE$1:AE$100,MATCH('Print View'!$A175,'Coverage Indicators - Section D'!$A$1:$A$100,0))&lt;&gt;0,TEXT(INDEX('Coverage Indicators - Section D'!AE$1:AE$100,MATCH('Print View'!$A175,'Coverage Indicators - Section D'!$A$1:$A$100,0)),"0.00%"),""),"")&amp;CHAR(10)&amp;IFERROR(IF(INDEX('Coverage Indicators - Section D'!AF$1:AF$100,MATCH('Print View'!$A175,'Coverage Indicators - Section D'!$A$1:$A$100,0))&lt;&gt;0,INDEX('Coverage Indicators - Section D'!AF$1:AF$100,MATCH('Print View'!$A175,'Coverage Indicators - Section D'!$A$1:$A$100,0)),""),"")</f>
        <v xml:space="preserve">3622.8/4528.5
80.00%
</v>
      </c>
      <c r="R175" s="415" t="str">
        <f ca="1">IFERROR(IF(INDEX('Coverage Indicators - Section D'!AG$1:AG$100,MATCH('Print View'!$A175,'Coverage Indicators - Section D'!$A$1:$A$100,0))&lt;&gt;0,INDEX('Coverage Indicators - Section D'!AG$1:AG$100,MATCH('Print View'!$A175,'Coverage Indicators - Section D'!$A$1:$A$100,0)),""),"")&amp;"/"&amp;IFERROR(IF(INDEX('Coverage Indicators - Section D'!AG$1:AG$100,MATCH('Print View'!$A175,'Coverage Indicators - Section D'!$A$1:$A$100,0)+1)&lt;&gt;0,INDEX('Coverage Indicators - Section D'!AG$1:AG$100,MATCH('Print View'!$A175,'Coverage Indicators - Section D'!$A$1:$A$100,0)+1),""),"")&amp;CHAR(10)&amp;IFERROR(IF(INDEX('Coverage Indicators - Section D'!AH$1:AH$100,MATCH('Print View'!$A175,'Coverage Indicators - Section D'!$A$1:$A$100,0))&lt;&gt;0,TEXT(INDEX('Coverage Indicators - Section D'!AH$1:AH$100,MATCH('Print View'!$A175,'Coverage Indicators - Section D'!$A$1:$A$100,0)),"0.00%"),""),"")&amp;CHAR(10)&amp;IFERROR(IF(INDEX('Coverage Indicators - Section D'!AI$1:AI$100,MATCH('Print View'!$A175,'Coverage Indicators - Section D'!$A$1:$A$100,0))&lt;&gt;0,INDEX('Coverage Indicators - Section D'!AI$1:AI$100,MATCH('Print View'!$A175,'Coverage Indicators - Section D'!$A$1:$A$100,0)),""),"")</f>
        <v xml:space="preserve">/
</v>
      </c>
      <c r="S175" s="415" t="str">
        <f ca="1">IFERROR(IF(INDEX('Coverage Indicators - Section D'!AJ$1:AJ$100,MATCH('Print View'!$A175,'Coverage Indicators - Section D'!$A$1:$A$100,0))&lt;&gt;0,INDEX('Coverage Indicators - Section D'!AJ$1:AJ$100,MATCH('Print View'!$A175,'Coverage Indicators - Section D'!$A$1:$A$100,0)),""),"")&amp;"/"&amp;IFERROR(IF(INDEX('Coverage Indicators - Section D'!AJ$1:AJ$100,MATCH('Print View'!$A175,'Coverage Indicators - Section D'!$A$1:$A$100,0)+1)&lt;&gt;0,INDEX('Coverage Indicators - Section D'!AJ$1:AJ$100,MATCH('Print View'!$A175,'Coverage Indicators - Section D'!$A$1:$A$100,0)+1),""),"")&amp;CHAR(10)&amp;IFERROR(IF(INDEX('Coverage Indicators - Section D'!AK$1:AK$100,MATCH('Print View'!$A175,'Coverage Indicators - Section D'!$A$1:$A$100,0))&lt;&gt;0,TEXT(INDEX('Coverage Indicators - Section D'!AK$1:AK$100,MATCH('Print View'!$A175,'Coverage Indicators - Section D'!$A$1:$A$100,0)),"0.00%"),""),"")&amp;CHAR(10)&amp;IFERROR(IF(INDEX('Coverage Indicators - Section D'!AL$1:AL$100,MATCH('Print View'!$A175,'Coverage Indicators - Section D'!$A$1:$A$100,0))&lt;&gt;0,INDEX('Coverage Indicators - Section D'!AL$1:AL$100,MATCH('Print View'!$A175,'Coverage Indicators - Section D'!$A$1:$A$100,0)),""),"")</f>
        <v xml:space="preserve">/
</v>
      </c>
      <c r="T175" s="416"/>
      <c r="U175" s="216"/>
      <c r="V175" s="216"/>
      <c r="W175" s="216"/>
      <c r="X175" s="216"/>
      <c r="Y175" s="216"/>
      <c r="Z175" s="216"/>
      <c r="AA175" s="216"/>
      <c r="AB175" s="216"/>
      <c r="AC175" s="216"/>
      <c r="AD175" s="216"/>
      <c r="AE175" s="216"/>
      <c r="AF175" s="216"/>
      <c r="AG175" s="216"/>
      <c r="AH175" s="216"/>
      <c r="AI175" s="216"/>
      <c r="AJ175" s="216"/>
      <c r="AK175" s="216"/>
      <c r="AL175" s="216"/>
      <c r="AM175" s="216"/>
      <c r="AN175" s="216"/>
      <c r="AO175" s="216">
        <f ca="1">IFERROR(IF(INDEX('Coverage Indicators - Section D'!AD$1:AD$110,MATCH('Print View'!$A175,'Coverage Indicators - Section D'!$A$1:$A$110,0))&lt;&gt;0,INDEX('Coverage Indicators - Section D'!AD$1:AD$110,MATCH('Print View'!$A175,'Coverage Indicators - Section D'!$A$1:$A$110,0)),""),"")</f>
        <v>3622.8</v>
      </c>
      <c r="AP175" s="216"/>
      <c r="AQ175" s="216"/>
      <c r="AR175" s="216"/>
      <c r="AS175" s="216"/>
      <c r="AT175" s="711" t="str">
        <f ca="1">CONCATENATE($A175,N$147)</f>
        <v>1430-Jun-22</v>
      </c>
      <c r="AU175" s="710" t="str">
        <f ca="1">CONCATENATE($A175,Q$147)</f>
        <v>1431-Dec-23</v>
      </c>
      <c r="AV175" s="710" t="str">
        <f t="shared" ref="AV175" si="100">CONCATENATE($A175,V$147)</f>
        <v>14</v>
      </c>
      <c r="AW175" s="710" t="str">
        <f t="shared" ref="AW175" si="101">CONCATENATE($A175,Y$147)</f>
        <v>14</v>
      </c>
      <c r="AX175" s="710" t="str">
        <f t="shared" ref="AX175" si="102">CONCATENATE($A175,AB$147)</f>
        <v>14</v>
      </c>
      <c r="AY175" s="710" t="str">
        <f t="shared" ref="AY175" si="103">CONCATENATE($A175,AE$147)</f>
        <v>14</v>
      </c>
      <c r="AZ175" s="710" t="str">
        <f t="shared" ref="AZ175" si="104">CONCATENATE($A175,AH$147)</f>
        <v>14</v>
      </c>
      <c r="BA175" s="710" t="str">
        <f t="shared" ref="BA175" si="105">CONCATENATE($A175,AK$147)</f>
        <v>14</v>
      </c>
      <c r="BB175" s="409"/>
      <c r="BC175" s="410"/>
    </row>
    <row r="176" spans="1:55" s="411" customFormat="1" ht="88.2" customHeight="1" x14ac:dyDescent="0.3">
      <c r="A176" s="712"/>
      <c r="B176" s="717" t="str">
        <f ca="1">IFERROR(IF(INDEX('Coverage Indicators - Section D'!AM$1:AM$110,MATCH('Print View'!$A175,'Coverage Indicators - Section D'!$A$1:$A$110,0))&lt;&gt;0,INDEX('Coverage Indicators - Section D'!AM$1:AM$110,MATCH('Print View'!$A175,'Coverage Indicators - Section D'!$A$1:$A$110,0)),""),"")</f>
        <v>Cet indicateur fait référence aux usagers qui consomment les drogues injectables notamment :
 - Heroïne (en language local : Pao) (en poudre pour fumer ou en injection), 
 - Cocaïne crack  (le Yô en language local) (fumée ou injectée)
 - Cocaïne (en language local : Free base)
 - TRAMADOL injectable (forme comprimée et injectable).
 - Toutes autres drogues consommées à la fois par voie orale, inhalée, ou injectée.
La méthodologie d’estimation de la taille des HSH a été faite sur la base de la Note technique d'estimation de taille (voir rapport) ;
Ainsi dans ce rapport, les UD représentent 0,24% de la population des hommes et des femmes âgés de 15 à 49 ans. Cette proportion a été appliquée à la taille de la population âgée de 15 à 49 ans dans chaque district et région afin d’estimer le nombre de UD.
Les données de base au 31 décembre 2019 indique une couverture à 56% (4587/8167) dans les fumoirs du grand Abidjan. 
En tenant compte de cette couverture (56%), l'objectif de la subvention NFM3 volet communautaire sera d’augmenter la couverture à au moins 80% des interventions en direction des usagers de drogue dans le grand Abidjan.
Selon les projections du tableau des gaps programmatiques, les projections du pays sont de 11% en 2021, 21% en 2022 et 31% en 2023.
En tenant compte de la donnée de base ramenée à 56%, Alliance Côte d'Ivoire prévoit comme objectif 60% en 2021, 70% en 2022 et 80% en 2023. 
2021: 8604*60% = 5162
2022: 8827*70% = 6179
2023: 9057*80% = 7246
N : Nombre de UD (y compris UDI qui s'injectent des drogues) ayant bénéficié de programmes de prévention du VIH paquet de services définis durant la période
D : Nombre d’UD (y compris UDI) évalués sur les sites de consommation durant la période
Ventilé par : groupes d'âge - [15-19] ; [20-24]; [25-34]; [35-49]; [50 ans et plus] et par sexe (Masculin, Feminin)
Outil de rapportage de l'indicateur au niveau d'Alliance Côte d'Ivoire:
- Pour le numérateur, il aura deux (2) outils: la base de données (l'onglet sur les activités de prévention) et le rapport narratif.
- Pour le dénominateur, il y aura la base de données (évaluation de la taille).</v>
      </c>
      <c r="C176" s="718"/>
      <c r="D176" s="718"/>
      <c r="E176" s="718"/>
      <c r="F176" s="718"/>
      <c r="G176" s="718"/>
      <c r="H176" s="718"/>
      <c r="I176" s="719"/>
      <c r="J176" s="719"/>
      <c r="K176" s="719"/>
      <c r="L176" s="719"/>
      <c r="M176" s="719"/>
      <c r="N176" s="719"/>
      <c r="O176" s="719"/>
      <c r="P176" s="719"/>
      <c r="Q176" s="719"/>
      <c r="R176" s="719"/>
      <c r="S176" s="720"/>
      <c r="T176" s="417"/>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711"/>
      <c r="AU176" s="710"/>
      <c r="AV176" s="710"/>
      <c r="AW176" s="710"/>
      <c r="AX176" s="710"/>
      <c r="AY176" s="710"/>
      <c r="AZ176" s="710"/>
      <c r="BA176" s="710"/>
      <c r="BB176" s="409"/>
      <c r="BC176" s="410"/>
    </row>
    <row r="177" spans="1:55" s="411" customFormat="1" ht="177" customHeight="1" x14ac:dyDescent="0.3">
      <c r="A177" s="709">
        <v>15</v>
      </c>
      <c r="B177" s="404" t="str">
        <f ca="1">IFERROR(IF(INDEX('Coverage Indicators - Section D'!B$1:B$100,MATCH('Print View'!$A177,'Coverage Indicators - Section D'!$A$1:$A$100,0))&lt;&gt;0,INDEX('Coverage Indicators - Section D'!B$1:B$100,MATCH('Print View'!$A177,'Coverage Indicators - Section D'!$A$1:$A$100,0)),""),"")</f>
        <v>Prévention</v>
      </c>
      <c r="C177" s="404" t="str">
        <f ca="1">IFERROR(IF(INDEX('Coverage Indicators - Section D'!D$1:D$100,MATCH('Print View'!$A177,'Coverage Indicators - Section D'!$A$1:$A$100,0))&lt;&gt;0,INDEX('Coverage Indicators - Section D'!D$1:D$100,MATCH('Print View'!$A177,'Coverage Indicators - Section D'!$A$1:$A$100,0)),""),"")</f>
        <v>YP-2 Pourcentage d’adolescentes et de jeunes femmes bénéficiant de programmes préventifs de lutte contre le VIH (paquet de services définis)</v>
      </c>
      <c r="D177" s="404" t="str">
        <f ca="1">IFERROR(IF(INDEX('Coverage Indicators - Section D'!E$1:E$100,MATCH('Print View'!$A177,'Coverage Indicators - Section D'!$A$1:$A$100,0))&lt;&gt;0,INDEX('Coverage Indicators - Section D'!E$1:E$100,MATCH('Print View'!$A177,'Coverage Indicators - Section D'!$A$1:$A$100,0)),""),"")</f>
        <v/>
      </c>
      <c r="E177" s="405" t="str">
        <f ca="1">IFERROR(IF(INDEX('Coverage Indicators - Section D'!F$1:F$100,MATCH('Print View'!$A177,'Coverage Indicators - Section D'!$A$1:$A$100,0))&lt;&gt;0,INDEX('Coverage Indicators - Section D'!F$1:F$100,MATCH('Print View'!$A177,'Coverage Indicators - Section D'!$A$1:$A$100,0)),""),"")&amp;"/"&amp;IFERROR(IF(INDEX('Coverage Indicators - Section D'!F$1:F$100,MATCH('Print View'!$A177,'Coverage Indicators - Section D'!$A$1:$A$100,0)+1)&lt;&gt;0,INDEX('Coverage Indicators - Section D'!F$1:F$100,MATCH('Print View'!$A177,'Coverage Indicators - Section D'!$A$1:$A$100,0)+1),""),"")&amp;CHAR(10)&amp;IFERROR(IF(INDEX('Coverage Indicators - Section D'!G$1:G$100,MATCH('Print View'!$A177,'Coverage Indicators - Section D'!$A$1:$A$100,0))&lt;&gt;0,TEXT(INDEX('Coverage Indicators - Section D'!G$1:G$100,MATCH('Print View'!$A177,'Coverage Indicators - Section D'!$A$1:$A$100,0)),"0.00%"),""),"")</f>
        <v>168847/370249
45.60%</v>
      </c>
      <c r="F177" s="406"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2019
Alliance CI Routine data (Rapport annuel)</v>
      </c>
      <c r="G177" s="407" t="str">
        <f>IFERROR(IF(INDEX('Coverage Indicators - Section D'!J37:J66,MATCH('Print View'!$A177,'Coverage Indicators - Section D'!$A$9:$A$38,0))&lt;&gt;0,INDEX('Coverage Indicators - Section D'!J37:J66,MATCH('Print View'!$A177,'Coverage Indicators - Section D'!$A$9:$A$38,0)),""),"")</f>
        <v/>
      </c>
      <c r="H177" s="408" t="str">
        <f ca="1">IFERROR(IF(INDEX('Coverage Indicators - Section D'!K$1:K$100,MATCH('Print View'!$A177,'Coverage Indicators - Section D'!$A$1:$A$100,0))&lt;&gt;0,INDEX('Coverage Indicators - Section D'!K$1:K$100,MATCH('Print View'!$A177,'Coverage Indicators - Section D'!$A$1:$A$100,0)),""),"")</f>
        <v>Yes</v>
      </c>
      <c r="I177" s="407" t="str">
        <f ca="1">IFERROR(IF(INDEX('Coverage Indicators - Section D'!L$1:L$100,MATCH('Print View'!$A177,'Coverage Indicators - Section D'!$A$1:$A$100,0))&lt;&gt;0,INDEX('Coverage Indicators - Section D'!L$1:L$100,MATCH('Print View'!$A177,'Coverage Indicators - Section D'!$A$1:$A$100,0)),""),"")</f>
        <v>Alliance Nationale Contre Le Sida en Cote D'Ivoire</v>
      </c>
      <c r="J177" s="405"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Côte d'Ivoire
Geographic Subnational, less than 100% national program target</v>
      </c>
      <c r="K177" s="405" t="str">
        <f ca="1">IFERROR(IF(INDEX('Coverage Indicators - Section D'!N$1:N$100,MATCH('Print View'!$A177,'Coverage Indicators - Section D'!$A$1:$A$100,0))&lt;&gt;0,INDEX('Coverage Indicators - Section D'!N$1:N$100,MATCH('Print View'!$A177,'Coverage Indicators - Section D'!$A$1:$A$100,0)),""),"")</f>
        <v>Non cumulative – other</v>
      </c>
      <c r="L177" s="405" t="str">
        <f ca="1">IFERROR(IF(INDEX('Coverage Indicators - Section D'!O$1:O$100,MATCH('Print View'!$A177,'Coverage Indicators - Section D'!$A$1:$A$100,0))&lt;&gt;0,INDEX('Coverage Indicators - Section D'!O$1:O$100,MATCH('Print View'!$A177,'Coverage Indicators - Section D'!$A$1:$A$100,0)),""),"")&amp;"/"&amp;IFERROR(IF(INDEX('Coverage Indicators - Section D'!O$1:O$100,MATCH('Print View'!$A177,'Coverage Indicators - Section D'!$A$1:$A$100,0)+1)&lt;&gt;0,INDEX('Coverage Indicators - Section D'!O$1:O$100,MATCH('Print View'!$A177,'Coverage Indicators - Section D'!$A$1:$A$100,0)+1),""),"")&amp;CHAR(10)&amp;IFERROR(IF(INDEX('Coverage Indicators - Section D'!P$1:P$100,MATCH('Print View'!$A177,'Coverage Indicators - Section D'!$A$1:$A$100,0))&lt;&gt;0,TEXT(INDEX('Coverage Indicators - Section D'!P$1:P$100,MATCH('Print View'!$A177,'Coverage Indicators - Section D'!$A$1:$A$100,0)),"0.00%"),""),"")&amp;CHAR(10)&amp;IFERROR(IF(INDEX('Coverage Indicators - Section D'!Q$1:Q$100,MATCH('Print View'!$A177,'Coverage Indicators - Section D'!$A$1:$A$100,0))&lt;&gt;0,INDEX('Coverage Indicators - Section D'!Q$1:Q$100,MATCH('Print View'!$A177,'Coverage Indicators - Section D'!$A$1:$A$100,0)),""),"")</f>
        <v xml:space="preserve">152457.0545/609828.218
25.00%
</v>
      </c>
      <c r="M177" s="406" t="str">
        <f ca="1">IFERROR(IF(INDEX('Coverage Indicators - Section D'!R$1:R$100,MATCH('Print View'!$A177,'Coverage Indicators - Section D'!$A$1:$A$100,0))&lt;&gt;0,INDEX('Coverage Indicators - Section D'!R$1:R$100,MATCH('Print View'!$A177,'Coverage Indicators - Section D'!$A$1:$A$100,0)),""),"")&amp;"/"&amp;IFERROR(IF(INDEX('Coverage Indicators - Section D'!R$1:R$100,MATCH('Print View'!$A177,'Coverage Indicators - Section D'!$A$1:$A$100,0)+1)&lt;&gt;0,INDEX('Coverage Indicators - Section D'!R$1:R$100,MATCH('Print View'!$A177,'Coverage Indicators - Section D'!$A$1:$A$100,0)+1),""),"")&amp;CHAR(10)&amp;IFERROR(IF(INDEX('Coverage Indicators - Section D'!S$1:S$100,MATCH('Print View'!$A177,'Coverage Indicators - Section D'!$A$1:$A$100,0))&lt;&gt;0,TEXT(INDEX('Coverage Indicators - Section D'!S$1:S$100,MATCH('Print View'!$A177,'Coverage Indicators - Section D'!$A$1:$A$100,0)),"0.00%"),""),"")&amp;CHAR(10)&amp;IFERROR(IF(INDEX('Coverage Indicators - Section D'!T$1:T$100,MATCH('Print View'!$A177,'Coverage Indicators - Section D'!$A$1:$A$100,0))&lt;&gt;0,INDEX('Coverage Indicators - Section D'!T$1:T$100,MATCH('Print View'!$A177,'Coverage Indicators - Section D'!$A$1:$A$100,0)),""),"")</f>
        <v xml:space="preserve">304914.109/609828.218
50.00%
</v>
      </c>
      <c r="N177" s="405" t="str">
        <f ca="1">IFERROR(IF(INDEX('Coverage Indicators - Section D'!U$1:U$100,MATCH('Print View'!$A177,'Coverage Indicators - Section D'!$A$1:$A$100,0))&lt;&gt;0,INDEX('Coverage Indicators - Section D'!U$1:U$100,MATCH('Print View'!$A177,'Coverage Indicators - Section D'!$A$1:$A$100,0)),""),"")&amp;"/"&amp;IFERROR(IF(INDEX('Coverage Indicators - Section D'!U$1:U$100,MATCH('Print View'!$A177,'Coverage Indicators - Section D'!$A$1:$A$100,0)+1)&lt;&gt;0,INDEX('Coverage Indicators - Section D'!U$1:U$100,MATCH('Print View'!$A177,'Coverage Indicators - Section D'!$A$1:$A$100,0)+1),""),"")&amp;CHAR(10)&amp;IFERROR(IF(INDEX('Coverage Indicators - Section D'!V$1:V$100,MATCH('Print View'!$A177,'Coverage Indicators - Section D'!$A$1:$A$100,0))&lt;&gt;0,TEXT(INDEX('Coverage Indicators - Section D'!V$1:V$100,MATCH('Print View'!$A177,'Coverage Indicators - Section D'!$A$1:$A$100,0)),"0.00%"),""),"")&amp;CHAR(10)&amp;IFERROR(IF(INDEX('Coverage Indicators - Section D'!W$1:W$100,MATCH('Print View'!$A177,'Coverage Indicators - Section D'!$A$1:$A$100,0))&lt;&gt;0,INDEX('Coverage Indicators - Section D'!W$1:W$100,MATCH('Print View'!$A177,'Coverage Indicators - Section D'!$A$1:$A$100,0)),""),"")</f>
        <v xml:space="preserve">156420.991/625683.964
25.00%
</v>
      </c>
      <c r="O177" s="406" t="str">
        <f ca="1">IFERROR(IF(INDEX('Coverage Indicators - Section D'!X$1:X$100,MATCH('Print View'!$A177,'Coverage Indicators - Section D'!$A$1:$A$100,0))&lt;&gt;0,INDEX('Coverage Indicators - Section D'!X$1:X$100,MATCH('Print View'!$A177,'Coverage Indicators - Section D'!$A$1:$A$100,0)),""),"")&amp;"/"&amp;IFERROR(IF(INDEX('Coverage Indicators - Section D'!X$1:X$100,MATCH('Print View'!$A177,'Coverage Indicators - Section D'!$A$1:$A$100,0)+1)&lt;&gt;0,INDEX('Coverage Indicators - Section D'!X$1:X$100,MATCH('Print View'!$A177,'Coverage Indicators - Section D'!$A$1:$A$100,0)+1),""),"")&amp;CHAR(10)&amp;IFERROR(IF(INDEX('Coverage Indicators - Section D'!Y$1:Y$100,MATCH('Print View'!$A177,'Coverage Indicators - Section D'!$A$1:$A$100,0))&lt;&gt;0,TEXT(INDEX('Coverage Indicators - Section D'!Y$1:Y$100,MATCH('Print View'!$A177,'Coverage Indicators - Section D'!$A$1:$A$100,0)),"0.00%"),""),"")&amp;CHAR(10)&amp;IFERROR(IF(INDEX('Coverage Indicators - Section D'!Z$1:Z$100,MATCH('Print View'!$A177,'Coverage Indicators - Section D'!$A$1:$A$100,0))&lt;&gt;0,INDEX('Coverage Indicators - Section D'!Z$1:Z$100,MATCH('Print View'!$A177,'Coverage Indicators - Section D'!$A$1:$A$100,0)),""),"")</f>
        <v xml:space="preserve">312841.982/625683.964
50.00%
</v>
      </c>
      <c r="P177" s="406" t="str">
        <f ca="1">IFERROR(IF(INDEX('Coverage Indicators - Section D'!AA$1:AA$100,MATCH('Print View'!$A177,'Coverage Indicators - Section D'!$A$1:$A$100,0))&lt;&gt;0,INDEX('Coverage Indicators - Section D'!AA$1:AA$100,MATCH('Print View'!$A177,'Coverage Indicators - Section D'!$A$1:$A$100,0)),""),"")&amp;"/"&amp;IFERROR(IF(INDEX('Coverage Indicators - Section D'!AA$1:AA$100,MATCH('Print View'!$A177,'Coverage Indicators - Section D'!$A$1:$A$100,0)+1)&lt;&gt;0,INDEX('Coverage Indicators - Section D'!AA$1:AA$100,MATCH('Print View'!$A177,'Coverage Indicators - Section D'!$A$1:$A$100,0)+1),""),"")&amp;CHAR(10)&amp;IFERROR(IF(INDEX('Coverage Indicators - Section D'!AB$1:AB$100,MATCH('Print View'!$A177,'Coverage Indicators - Section D'!$A$1:$A$100,0))&lt;&gt;0,TEXT(INDEX('Coverage Indicators - Section D'!AB$1:AB$100,MATCH('Print View'!$A177,'Coverage Indicators - Section D'!$A$1:$A$100,0)),"0.00%"),""),"")&amp;CHAR(10)&amp;IFERROR(IF(INDEX('Coverage Indicators - Section D'!AC$1:AC$100,MATCH('Print View'!$A177,'Coverage Indicators - Section D'!$A$1:$A$100,0))&lt;&gt;0,INDEX('Coverage Indicators - Section D'!AC$1:AC$100,MATCH('Print View'!$A177,'Coverage Indicators - Section D'!$A$1:$A$100,0)),""),"")</f>
        <v xml:space="preserve">160487.928/641951.712
25.00%
</v>
      </c>
      <c r="Q177" s="406" t="str">
        <f ca="1">IFERROR(IF(INDEX('Coverage Indicators - Section D'!AD$1:AD$100,MATCH('Print View'!$A177,'Coverage Indicators - Section D'!$A$1:$A$100,0))&lt;&gt;0,INDEX('Coverage Indicators - Section D'!AD$1:AD$100,MATCH('Print View'!$A177,'Coverage Indicators - Section D'!$A$1:$A$100,0)),""),"")&amp;"/"&amp;IFERROR(IF(INDEX('Coverage Indicators - Section D'!AD$1:AD$100,MATCH('Print View'!$A177,'Coverage Indicators - Section D'!$A$1:$A$100,0)+1)&lt;&gt;0,INDEX('Coverage Indicators - Section D'!AD$1:AD$100,MATCH('Print View'!$A177,'Coverage Indicators - Section D'!$A$1:$A$100,0)+1),""),"")&amp;CHAR(10)&amp;IFERROR(IF(INDEX('Coverage Indicators - Section D'!AE$1:AE$100,MATCH('Print View'!$A177,'Coverage Indicators - Section D'!$A$1:$A$100,0))&lt;&gt;0,TEXT(INDEX('Coverage Indicators - Section D'!AE$1:AE$100,MATCH('Print View'!$A177,'Coverage Indicators - Section D'!$A$1:$A$100,0)),"0.00%"),""),"")&amp;CHAR(10)&amp;IFERROR(IF(INDEX('Coverage Indicators - Section D'!AF$1:AF$100,MATCH('Print View'!$A177,'Coverage Indicators - Section D'!$A$1:$A$100,0))&lt;&gt;0,INDEX('Coverage Indicators - Section D'!AF$1:AF$100,MATCH('Print View'!$A177,'Coverage Indicators - Section D'!$A$1:$A$100,0)),""),"")</f>
        <v xml:space="preserve">320975.856/641951.712
50.00%
</v>
      </c>
      <c r="R177" s="406" t="str">
        <f ca="1">IFERROR(IF(INDEX('Coverage Indicators - Section D'!AG$1:AG$100,MATCH('Print View'!$A177,'Coverage Indicators - Section D'!$A$1:$A$100,0))&lt;&gt;0,INDEX('Coverage Indicators - Section D'!AG$1:AG$100,MATCH('Print View'!$A177,'Coverage Indicators - Section D'!$A$1:$A$100,0)),""),"")&amp;"/"&amp;IFERROR(IF(INDEX('Coverage Indicators - Section D'!AG$1:AG$100,MATCH('Print View'!$A177,'Coverage Indicators - Section D'!$A$1:$A$100,0)+1)&lt;&gt;0,INDEX('Coverage Indicators - Section D'!AG$1:AG$100,MATCH('Print View'!$A177,'Coverage Indicators - Section D'!$A$1:$A$100,0)+1),""),"")&amp;CHAR(10)&amp;IFERROR(IF(INDEX('Coverage Indicators - Section D'!AH$1:AH$100,MATCH('Print View'!$A177,'Coverage Indicators - Section D'!$A$1:$A$100,0))&lt;&gt;0,TEXT(INDEX('Coverage Indicators - Section D'!AH$1:AH$100,MATCH('Print View'!$A177,'Coverage Indicators - Section D'!$A$1:$A$100,0)),"0.00%"),""),"")&amp;CHAR(10)&amp;IFERROR(IF(INDEX('Coverage Indicators - Section D'!AI$1:AI$100,MATCH('Print View'!$A177,'Coverage Indicators - Section D'!$A$1:$A$100,0))&lt;&gt;0,INDEX('Coverage Indicators - Section D'!AI$1:AI$100,MATCH('Print View'!$A177,'Coverage Indicators - Section D'!$A$1:$A$100,0)),""),"")</f>
        <v xml:space="preserve">/
</v>
      </c>
      <c r="S177" s="406" t="str">
        <f ca="1">IFERROR(IF(INDEX('Coverage Indicators - Section D'!AJ$1:AJ$100,MATCH('Print View'!$A177,'Coverage Indicators - Section D'!$A$1:$A$100,0))&lt;&gt;0,INDEX('Coverage Indicators - Section D'!AJ$1:AJ$100,MATCH('Print View'!$A177,'Coverage Indicators - Section D'!$A$1:$A$100,0)),""),"")&amp;"/"&amp;IFERROR(IF(INDEX('Coverage Indicators - Section D'!AJ$1:AJ$100,MATCH('Print View'!$A177,'Coverage Indicators - Section D'!$A$1:$A$100,0)+1)&lt;&gt;0,INDEX('Coverage Indicators - Section D'!AJ$1:AJ$100,MATCH('Print View'!$A177,'Coverage Indicators - Section D'!$A$1:$A$100,0)+1),""),"")&amp;CHAR(10)&amp;IFERROR(IF(INDEX('Coverage Indicators - Section D'!AK$1:AK$100,MATCH('Print View'!$A177,'Coverage Indicators - Section D'!$A$1:$A$100,0))&lt;&gt;0,TEXT(INDEX('Coverage Indicators - Section D'!AK$1:AK$100,MATCH('Print View'!$A177,'Coverage Indicators - Section D'!$A$1:$A$100,0)),"0.00%"),""),"")&amp;CHAR(10)&amp;IFERROR(IF(INDEX('Coverage Indicators - Section D'!AL$1:AL$100,MATCH('Print View'!$A177,'Coverage Indicators - Section D'!$A$1:$A$100,0))&lt;&gt;0,INDEX('Coverage Indicators - Section D'!AL$1:AL$100,MATCH('Print View'!$A177,'Coverage Indicators - Section D'!$A$1:$A$100,0)),""),"")</f>
        <v xml:space="preserve">/
</v>
      </c>
      <c r="T177" s="385"/>
      <c r="U177" s="216"/>
      <c r="V177" s="216"/>
      <c r="W177" s="216"/>
      <c r="X177" s="216"/>
      <c r="Y177" s="216"/>
      <c r="Z177" s="216"/>
      <c r="AA177" s="216"/>
      <c r="AB177" s="216"/>
      <c r="AC177" s="216"/>
      <c r="AD177" s="216"/>
      <c r="AE177" s="216"/>
      <c r="AF177" s="216"/>
      <c r="AG177" s="216"/>
      <c r="AH177" s="216"/>
      <c r="AI177" s="216"/>
      <c r="AJ177" s="216"/>
      <c r="AK177" s="216"/>
      <c r="AL177" s="216"/>
      <c r="AM177" s="216"/>
      <c r="AN177" s="216"/>
      <c r="AO177" s="216">
        <f ca="1">IFERROR(IF(INDEX('Coverage Indicators - Section D'!AD$1:AD$110,MATCH('Print View'!$A177,'Coverage Indicators - Section D'!$A$1:$A$110,0))&lt;&gt;0,INDEX('Coverage Indicators - Section D'!AD$1:AD$110,MATCH('Print View'!$A177,'Coverage Indicators - Section D'!$A$1:$A$110,0)),""),"")</f>
        <v>320975.85600000003</v>
      </c>
      <c r="AP177" s="216"/>
      <c r="AQ177" s="216"/>
      <c r="AR177" s="216"/>
      <c r="AS177" s="216"/>
      <c r="AT177" s="711" t="str">
        <f ca="1">CONCATENATE($A177,N$147)</f>
        <v>1530-Jun-22</v>
      </c>
      <c r="AU177" s="710" t="str">
        <f ca="1">CONCATENATE($A177,Q$147)</f>
        <v>1531-Dec-23</v>
      </c>
      <c r="AV177" s="710" t="str">
        <f t="shared" ref="AV177" si="106">CONCATENATE($A177,V$147)</f>
        <v>15</v>
      </c>
      <c r="AW177" s="710" t="str">
        <f t="shared" ref="AW177" si="107">CONCATENATE($A177,Y$147)</f>
        <v>15</v>
      </c>
      <c r="AX177" s="710" t="str">
        <f t="shared" ref="AX177" si="108">CONCATENATE($A177,AB$147)</f>
        <v>15</v>
      </c>
      <c r="AY177" s="710" t="str">
        <f t="shared" ref="AY177" si="109">CONCATENATE($A177,AE$147)</f>
        <v>15</v>
      </c>
      <c r="AZ177" s="710" t="str">
        <f t="shared" ref="AZ177" si="110">CONCATENATE($A177,AH$147)</f>
        <v>15</v>
      </c>
      <c r="BA177" s="710" t="str">
        <f t="shared" ref="BA177" si="111">CONCATENATE($A177,AK$147)</f>
        <v>15</v>
      </c>
      <c r="BB177" s="409"/>
      <c r="BC177" s="410"/>
    </row>
    <row r="178" spans="1:55" s="411" customFormat="1" ht="88.2" customHeight="1" x14ac:dyDescent="0.3">
      <c r="A178" s="709"/>
      <c r="B178" s="714" t="str">
        <f ca="1">IFERROR(IF(INDEX('Coverage Indicators - Section D'!AM$1:AM$110,MATCH('Print View'!$A177,'Coverage Indicators - Section D'!$A$1:$A$110,0))&lt;&gt;0,INDEX('Coverage Indicators - Section D'!AM$1:AM$110,MATCH('Print View'!$A177,'Coverage Indicators - Section D'!$A$1:$A$110,0)),""),"")</f>
        <v>Le résultat de 2019 pour Alliance Côte d'Ivoire indique que 168.847 adolescentes et jeunes filles ont bénéficié d'au moins trois services de prévention par les pairs, sur un total estimé de 370.249 adolescentes et jeunes filles, soit une couverture de 45,6% dans 28 districts.
Pour le NFM3, Alliance Côte d’Ivoire couvre 50 districts sanitaires avec une population estimée par année de :
2021 :	         1 252 214 
2022 :	         1 284 772 
2023 :	         1 318 176 
La méthodologie d’estimation de la taille des adolescentes et jeunes filles âgées de 15 à 24 ans a été faite sur la base des données de l’Institut National de la Statistique (INS) selon les projections des données du Recensement Général de la Population et de l’Habitat de 2014, soit un taux d’accroissement démographique de 2,6%. A cette population, nous avons appliqué le taux de vulnérabilité selon le rapport d’UNICEF (rapport synthèse analyse de la vulnérabilité) qui indique 48,7% des adolescentes et jeunes femmes vulnérables (toute chose étant égale par ailleurs).
Ainsi, les tailles des adolescentes et jeunes femmes pouvant bénéficier de programmes préventifs de lutte contre le VIH (paquet de services définis) se définissent comme suite :
2021 :	         1 252 214*48,7% = 609 828
2022 :	         1 284 772*48,7% = 625 684
2023 :	         1 318 176*48,7% = 641 952
En tenant compte de la couverture (45,6%) au 31 décembre 2019 (données de base), les projections d’Alliance Côte d‘Ivoire sont de 50% en 2021, 50% en 2022 et 50% en 2023.
Alliance Côte d'Ivoire prévoit comme cible : 
2021 :	609 828*50% = 	304 914 
2022 :	625 684*50% =	312 842 
2023 :	641 952*50% =	320 976 
Dans le cadre de la mise en œuvre du NFM 3, Alliance Côte d’Ivoire proposera un paquet de service minimum de prévention combinée à chaque session :
1- Communication pour le changement social de comportement (CSC), 
2- Promotion et distribution de préservatifs
3- Conseil et dépistage classic avec rendu de résultat,
4- Diagnostic et traitement des IST, 
5- Lutte contre les violations des Droits Humains et de violence basée sur le genre (VBG), 
6- Soins et soutien aux Adolescentes et jeunes femmes vih positives, 
7- Planning familial et santé sexuelle et reproductive santé,
8- L'approche READY. 
Chaque adolescente et jeune femme bénéficiera d’au moins trois (3) services parmis les huit (8) cités ci-dessus avant d'être comptabilisée comme ayant bénéficié d'un programme de prévention de lutte contre le sida (paquet defini de service).
L'approche READY est un regroupement de plusieurs services donc, une adolescente et jeune femme ayant seulement bénéficié de l'approche READY sera comptabilisée. L'approche READY sera mise en oeuvre dans 30 districts parmis les 50.
Outils: Base de données et rapport narratif.
Numérateur : nombre d’adolescentes et jeunes femmes ayant bénéficié de programmes de prévention du VIH paquet de services définis durant la période
Dénominateur : nombre d’adolescentes et jeunes femmes estimées durant la période
Ventilé par : groupe d'âge - [15-19]; [20-24]</v>
      </c>
      <c r="C178" s="715"/>
      <c r="D178" s="715"/>
      <c r="E178" s="715"/>
      <c r="F178" s="715"/>
      <c r="G178" s="715"/>
      <c r="H178" s="715"/>
      <c r="I178" s="715"/>
      <c r="J178" s="715"/>
      <c r="K178" s="715"/>
      <c r="L178" s="715"/>
      <c r="M178" s="715"/>
      <c r="N178" s="715"/>
      <c r="O178" s="715"/>
      <c r="P178" s="715"/>
      <c r="Q178" s="715"/>
      <c r="R178" s="715"/>
      <c r="S178" s="716"/>
      <c r="T178" s="412"/>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711"/>
      <c r="AU178" s="710"/>
      <c r="AV178" s="710"/>
      <c r="AW178" s="710"/>
      <c r="AX178" s="710"/>
      <c r="AY178" s="710"/>
      <c r="AZ178" s="710"/>
      <c r="BA178" s="710"/>
      <c r="BB178" s="409"/>
      <c r="BC178" s="410"/>
    </row>
    <row r="179" spans="1:55" s="411" customFormat="1" ht="177" customHeight="1" x14ac:dyDescent="0.3">
      <c r="A179" s="712">
        <v>16</v>
      </c>
      <c r="B179" s="380" t="str">
        <f ca="1">IFERROR(IF(INDEX('Coverage Indicators - Section D'!B$1:B$100,MATCH('Print View'!$A179,'Coverage Indicators - Section D'!$A$1:$A$100,0))&lt;&gt;0,INDEX('Coverage Indicators - Section D'!B$1:B$100,MATCH('Print View'!$A179,'Coverage Indicators - Section D'!$A$1:$A$100,0)),""),"")</f>
        <v>Services de dépistage différencié du VIH</v>
      </c>
      <c r="C179" s="380" t="str">
        <f ca="1">IFERROR(IF(INDEX('Coverage Indicators - Section D'!D$1:D$100,MATCH('Print View'!$A179,'Coverage Indicators - Section D'!$A$1:$A$100,0))&lt;&gt;0,INDEX('Coverage Indicators - Section D'!D$1:D$100,MATCH('Print View'!$A179,'Coverage Indicators - Section D'!$A$1:$A$100,0)),""),"")</f>
        <v/>
      </c>
      <c r="D179" s="380" t="str">
        <f ca="1">IFERROR(IF(INDEX('Coverage Indicators - Section D'!E$1:E$100,MATCH('Print View'!$A179,'Coverage Indicators - Section D'!$A$1:$A$100,0))&lt;&gt;0,INDEX('Coverage Indicators - Section D'!E$1:E$100,MATCH('Print View'!$A179,'Coverage Indicators - Section D'!$A$1:$A$100,0)),""),"")</f>
        <v xml:space="preserve">Pourcentage de HSH dépistés positifs admis dans des services de soins durant la période de rapportage </v>
      </c>
      <c r="E179" s="381" t="str">
        <f ca="1">IFERROR(IF(INDEX('Coverage Indicators - Section D'!F$1:F$100,MATCH('Print View'!$A179,'Coverage Indicators - Section D'!$A$1:$A$100,0))&lt;&gt;0,INDEX('Coverage Indicators - Section D'!F$1:F$100,MATCH('Print View'!$A179,'Coverage Indicators - Section D'!$A$1:$A$100,0)),""),"")&amp;"/"&amp;IFERROR(IF(INDEX('Coverage Indicators - Section D'!F$1:F$100,MATCH('Print View'!$A179,'Coverage Indicators - Section D'!$A$1:$A$100,0)+1)&lt;&gt;0,INDEX('Coverage Indicators - Section D'!F$1:F$100,MATCH('Print View'!$A179,'Coverage Indicators - Section D'!$A$1:$A$100,0)+1),""),"")&amp;CHAR(10)&amp;IFERROR(IF(INDEX('Coverage Indicators - Section D'!G$1:G$100,MATCH('Print View'!$A179,'Coverage Indicators - Section D'!$A$1:$A$100,0))&lt;&gt;0,TEXT(INDEX('Coverage Indicators - Section D'!G$1:G$100,MATCH('Print View'!$A179,'Coverage Indicators - Section D'!$A$1:$A$100,0)),"0.00%"),""),"")</f>
        <v>157/157
100.00%</v>
      </c>
      <c r="F179" s="413"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2019
Alliance CI Routine data (Rapport annuel)</v>
      </c>
      <c r="G179" s="414" t="str">
        <f>IFERROR(IF(INDEX('Coverage Indicators - Section D'!J37:J66,MATCH('Print View'!$A179,'Coverage Indicators - Section D'!$A$9:$A$38,0))&lt;&gt;0,INDEX('Coverage Indicators - Section D'!J37:J66,MATCH('Print View'!$A179,'Coverage Indicators - Section D'!$A$9:$A$38,0)),""),"")</f>
        <v/>
      </c>
      <c r="H179" s="413" t="str">
        <f ca="1">IFERROR(IF(INDEX('Coverage Indicators - Section D'!K$1:K$100,MATCH('Print View'!$A179,'Coverage Indicators - Section D'!$A$1:$A$100,0))&lt;&gt;0,INDEX('Coverage Indicators - Section D'!K$1:K$100,MATCH('Print View'!$A179,'Coverage Indicators - Section D'!$A$1:$A$100,0)),""),"")</f>
        <v>Yes</v>
      </c>
      <c r="I179" s="414" t="str">
        <f ca="1">IFERROR(IF(INDEX('Coverage Indicators - Section D'!L$1:L$100,MATCH('Print View'!$A179,'Coverage Indicators - Section D'!$A$1:$A$100,0))&lt;&gt;0,INDEX('Coverage Indicators - Section D'!L$1:L$100,MATCH('Print View'!$A179,'Coverage Indicators - Section D'!$A$1:$A$100,0)),""),"")</f>
        <v>Alliance Nationale Contre Le Sida en Cote D'Ivoire</v>
      </c>
      <c r="J179" s="413"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Côte d'Ivoire
Geographic Subnational, less than 100% national program target</v>
      </c>
      <c r="K179" s="413" t="str">
        <f ca="1">IFERROR(IF(INDEX('Coverage Indicators - Section D'!N$1:N$100,MATCH('Print View'!$A179,'Coverage Indicators - Section D'!$A$1:$A$100,0))&lt;&gt;0,INDEX('Coverage Indicators - Section D'!N$1:N$100,MATCH('Print View'!$A179,'Coverage Indicators - Section D'!$A$1:$A$100,0)),""),"")</f>
        <v>Non cumulative</v>
      </c>
      <c r="L179" s="415" t="str">
        <f ca="1">IFERROR(IF(INDEX('Coverage Indicators - Section D'!O$1:O$100,MATCH('Print View'!$A179,'Coverage Indicators - Section D'!$A$1:$A$100,0))&lt;&gt;0,INDEX('Coverage Indicators - Section D'!O$1:O$100,MATCH('Print View'!$A179,'Coverage Indicators - Section D'!$A$1:$A$100,0)),""),"")&amp;"/"&amp;IFERROR(IF(INDEX('Coverage Indicators - Section D'!O$1:O$100,MATCH('Print View'!$A179,'Coverage Indicators - Section D'!$A$1:$A$100,0)+1)&lt;&gt;0,INDEX('Coverage Indicators - Section D'!O$1:O$100,MATCH('Print View'!$A179,'Coverage Indicators - Section D'!$A$1:$A$100,0)+1),""),"")&amp;CHAR(10)&amp;IFERROR(IF(INDEX('Coverage Indicators - Section D'!P$1:P$100,MATCH('Print View'!$A179,'Coverage Indicators - Section D'!$A$1:$A$100,0))&lt;&gt;0,TEXT(INDEX('Coverage Indicators - Section D'!P$1:P$100,MATCH('Print View'!$A179,'Coverage Indicators - Section D'!$A$1:$A$100,0)),"0.00%"),""),"")&amp;CHAR(10)&amp;IFERROR(IF(INDEX('Coverage Indicators - Section D'!Q$1:Q$100,MATCH('Print View'!$A179,'Coverage Indicators - Section D'!$A$1:$A$100,0))&lt;&gt;0,INDEX('Coverage Indicators - Section D'!Q$1:Q$100,MATCH('Print View'!$A179,'Coverage Indicators - Section D'!$A$1:$A$100,0)),""),"")</f>
        <v xml:space="preserve">68.25/68
100.37%
</v>
      </c>
      <c r="M179" s="415" t="str">
        <f ca="1">IFERROR(IF(INDEX('Coverage Indicators - Section D'!R$1:R$100,MATCH('Print View'!$A179,'Coverage Indicators - Section D'!$A$1:$A$100,0))&lt;&gt;0,INDEX('Coverage Indicators - Section D'!R$1:R$100,MATCH('Print View'!$A179,'Coverage Indicators - Section D'!$A$1:$A$100,0)),""),"")&amp;"/"&amp;IFERROR(IF(INDEX('Coverage Indicators - Section D'!R$1:R$100,MATCH('Print View'!$A179,'Coverage Indicators - Section D'!$A$1:$A$100,0)+1)&lt;&gt;0,INDEX('Coverage Indicators - Section D'!R$1:R$100,MATCH('Print View'!$A179,'Coverage Indicators - Section D'!$A$1:$A$100,0)+1),""),"")&amp;CHAR(10)&amp;IFERROR(IF(INDEX('Coverage Indicators - Section D'!S$1:S$100,MATCH('Print View'!$A179,'Coverage Indicators - Section D'!$A$1:$A$100,0))&lt;&gt;0,TEXT(INDEX('Coverage Indicators - Section D'!S$1:S$100,MATCH('Print View'!$A179,'Coverage Indicators - Section D'!$A$1:$A$100,0)),"0.00%"),""),"")&amp;CHAR(10)&amp;IFERROR(IF(INDEX('Coverage Indicators - Section D'!T$1:T$100,MATCH('Print View'!$A179,'Coverage Indicators - Section D'!$A$1:$A$100,0))&lt;&gt;0,INDEX('Coverage Indicators - Section D'!T$1:T$100,MATCH('Print View'!$A179,'Coverage Indicators - Section D'!$A$1:$A$100,0)),""),"")</f>
        <v xml:space="preserve">193/193
100.00%
</v>
      </c>
      <c r="N179" s="415" t="str">
        <f ca="1">IFERROR(IF(INDEX('Coverage Indicators - Section D'!U$1:U$100,MATCH('Print View'!$A179,'Coverage Indicators - Section D'!$A$1:$A$100,0))&lt;&gt;0,INDEX('Coverage Indicators - Section D'!U$1:U$100,MATCH('Print View'!$A179,'Coverage Indicators - Section D'!$A$1:$A$100,0)),""),"")&amp;"/"&amp;IFERROR(IF(INDEX('Coverage Indicators - Section D'!U$1:U$100,MATCH('Print View'!$A179,'Coverage Indicators - Section D'!$A$1:$A$100,0)+1)&lt;&gt;0,INDEX('Coverage Indicators - Section D'!U$1:U$100,MATCH('Print View'!$A179,'Coverage Indicators - Section D'!$A$1:$A$100,0)+1),""),"")&amp;CHAR(10)&amp;IFERROR(IF(INDEX('Coverage Indicators - Section D'!V$1:V$100,MATCH('Print View'!$A179,'Coverage Indicators - Section D'!$A$1:$A$100,0))&lt;&gt;0,TEXT(INDEX('Coverage Indicators - Section D'!V$1:V$100,MATCH('Print View'!$A179,'Coverage Indicators - Section D'!$A$1:$A$100,0)),"0.00%"),""),"")&amp;CHAR(10)&amp;IFERROR(IF(INDEX('Coverage Indicators - Section D'!W$1:W$100,MATCH('Print View'!$A179,'Coverage Indicators - Section D'!$A$1:$A$100,0))&lt;&gt;0,INDEX('Coverage Indicators - Section D'!W$1:W$100,MATCH('Print View'!$A179,'Coverage Indicators - Section D'!$A$1:$A$100,0)),""),"")</f>
        <v xml:space="preserve">67/67
100.00%
</v>
      </c>
      <c r="O179" s="415" t="str">
        <f ca="1">IFERROR(IF(INDEX('Coverage Indicators - Section D'!X$1:X$100,MATCH('Print View'!$A179,'Coverage Indicators - Section D'!$A$1:$A$100,0))&lt;&gt;0,INDEX('Coverage Indicators - Section D'!X$1:X$100,MATCH('Print View'!$A179,'Coverage Indicators - Section D'!$A$1:$A$100,0)),""),"")&amp;"/"&amp;IFERROR(IF(INDEX('Coverage Indicators - Section D'!X$1:X$100,MATCH('Print View'!$A179,'Coverage Indicators - Section D'!$A$1:$A$100,0)+1)&lt;&gt;0,INDEX('Coverage Indicators - Section D'!X$1:X$100,MATCH('Print View'!$A179,'Coverage Indicators - Section D'!$A$1:$A$100,0)+1),""),"")&amp;CHAR(10)&amp;IFERROR(IF(INDEX('Coverage Indicators - Section D'!Y$1:Y$100,MATCH('Print View'!$A179,'Coverage Indicators - Section D'!$A$1:$A$100,0))&lt;&gt;0,TEXT(INDEX('Coverage Indicators - Section D'!Y$1:Y$100,MATCH('Print View'!$A179,'Coverage Indicators - Section D'!$A$1:$A$100,0)),"0.00%"),""),"")&amp;CHAR(10)&amp;IFERROR(IF(INDEX('Coverage Indicators - Section D'!Z$1:Z$100,MATCH('Print View'!$A179,'Coverage Indicators - Section D'!$A$1:$A$100,0))&lt;&gt;0,INDEX('Coverage Indicators - Section D'!Z$1:Z$100,MATCH('Print View'!$A179,'Coverage Indicators - Section D'!$A$1:$A$100,0)),""),"")</f>
        <v xml:space="preserve">201/201
100.00%
</v>
      </c>
      <c r="P179" s="415" t="str">
        <f ca="1">IFERROR(IF(INDEX('Coverage Indicators - Section D'!AA$1:AA$100,MATCH('Print View'!$A179,'Coverage Indicators - Section D'!$A$1:$A$100,0))&lt;&gt;0,INDEX('Coverage Indicators - Section D'!AA$1:AA$100,MATCH('Print View'!$A179,'Coverage Indicators - Section D'!$A$1:$A$100,0)),""),"")&amp;"/"&amp;IFERROR(IF(INDEX('Coverage Indicators - Section D'!AA$1:AA$100,MATCH('Print View'!$A179,'Coverage Indicators - Section D'!$A$1:$A$100,0)+1)&lt;&gt;0,INDEX('Coverage Indicators - Section D'!AA$1:AA$100,MATCH('Print View'!$A179,'Coverage Indicators - Section D'!$A$1:$A$100,0)+1),""),"")&amp;CHAR(10)&amp;IFERROR(IF(INDEX('Coverage Indicators - Section D'!AB$1:AB$100,MATCH('Print View'!$A179,'Coverage Indicators - Section D'!$A$1:$A$100,0))&lt;&gt;0,TEXT(INDEX('Coverage Indicators - Section D'!AB$1:AB$100,MATCH('Print View'!$A179,'Coverage Indicators - Section D'!$A$1:$A$100,0)),"0.00%"),""),"")&amp;CHAR(10)&amp;IFERROR(IF(INDEX('Coverage Indicators - Section D'!AC$1:AC$100,MATCH('Print View'!$A179,'Coverage Indicators - Section D'!$A$1:$A$100,0))&lt;&gt;0,INDEX('Coverage Indicators - Section D'!AC$1:AC$100,MATCH('Print View'!$A179,'Coverage Indicators - Section D'!$A$1:$A$100,0)),""),"")</f>
        <v xml:space="preserve">69/69
100.00%
</v>
      </c>
      <c r="Q179" s="415" t="str">
        <f ca="1">IFERROR(IF(INDEX('Coverage Indicators - Section D'!AD$1:AD$100,MATCH('Print View'!$A179,'Coverage Indicators - Section D'!$A$1:$A$100,0))&lt;&gt;0,INDEX('Coverage Indicators - Section D'!AD$1:AD$100,MATCH('Print View'!$A179,'Coverage Indicators - Section D'!$A$1:$A$100,0)),""),"")&amp;"/"&amp;IFERROR(IF(INDEX('Coverage Indicators - Section D'!AD$1:AD$100,MATCH('Print View'!$A179,'Coverage Indicators - Section D'!$A$1:$A$100,0)+1)&lt;&gt;0,INDEX('Coverage Indicators - Section D'!AD$1:AD$100,MATCH('Print View'!$A179,'Coverage Indicators - Section D'!$A$1:$A$100,0)+1),""),"")&amp;CHAR(10)&amp;IFERROR(IF(INDEX('Coverage Indicators - Section D'!AE$1:AE$100,MATCH('Print View'!$A179,'Coverage Indicators - Section D'!$A$1:$A$100,0))&lt;&gt;0,TEXT(INDEX('Coverage Indicators - Section D'!AE$1:AE$100,MATCH('Print View'!$A179,'Coverage Indicators - Section D'!$A$1:$A$100,0)),"0.00%"),""),"")&amp;CHAR(10)&amp;IFERROR(IF(INDEX('Coverage Indicators - Section D'!AF$1:AF$100,MATCH('Print View'!$A179,'Coverage Indicators - Section D'!$A$1:$A$100,0))&lt;&gt;0,INDEX('Coverage Indicators - Section D'!AF$1:AF$100,MATCH('Print View'!$A179,'Coverage Indicators - Section D'!$A$1:$A$100,0)),""),"")</f>
        <v xml:space="preserve">206/206
100.00%
</v>
      </c>
      <c r="R179" s="415" t="str">
        <f ca="1">IFERROR(IF(INDEX('Coverage Indicators - Section D'!AG$1:AG$100,MATCH('Print View'!$A179,'Coverage Indicators - Section D'!$A$1:$A$100,0))&lt;&gt;0,INDEX('Coverage Indicators - Section D'!AG$1:AG$100,MATCH('Print View'!$A179,'Coverage Indicators - Section D'!$A$1:$A$100,0)),""),"")&amp;"/"&amp;IFERROR(IF(INDEX('Coverage Indicators - Section D'!AG$1:AG$100,MATCH('Print View'!$A179,'Coverage Indicators - Section D'!$A$1:$A$100,0)+1)&lt;&gt;0,INDEX('Coverage Indicators - Section D'!AG$1:AG$100,MATCH('Print View'!$A179,'Coverage Indicators - Section D'!$A$1:$A$100,0)+1),""),"")&amp;CHAR(10)&amp;IFERROR(IF(INDEX('Coverage Indicators - Section D'!AH$1:AH$100,MATCH('Print View'!$A179,'Coverage Indicators - Section D'!$A$1:$A$100,0))&lt;&gt;0,TEXT(INDEX('Coverage Indicators - Section D'!AH$1:AH$100,MATCH('Print View'!$A179,'Coverage Indicators - Section D'!$A$1:$A$100,0)),"0.00%"),""),"")&amp;CHAR(10)&amp;IFERROR(IF(INDEX('Coverage Indicators - Section D'!AI$1:AI$100,MATCH('Print View'!$A179,'Coverage Indicators - Section D'!$A$1:$A$100,0))&lt;&gt;0,INDEX('Coverage Indicators - Section D'!AI$1:AI$100,MATCH('Print View'!$A179,'Coverage Indicators - Section D'!$A$1:$A$100,0)),""),"")</f>
        <v xml:space="preserve">/
</v>
      </c>
      <c r="S179" s="415" t="str">
        <f ca="1">IFERROR(IF(INDEX('Coverage Indicators - Section D'!AJ$1:AJ$100,MATCH('Print View'!$A179,'Coverage Indicators - Section D'!$A$1:$A$100,0))&lt;&gt;0,INDEX('Coverage Indicators - Section D'!AJ$1:AJ$100,MATCH('Print View'!$A179,'Coverage Indicators - Section D'!$A$1:$A$100,0)),""),"")&amp;"/"&amp;IFERROR(IF(INDEX('Coverage Indicators - Section D'!AJ$1:AJ$100,MATCH('Print View'!$A179,'Coverage Indicators - Section D'!$A$1:$A$100,0)+1)&lt;&gt;0,INDEX('Coverage Indicators - Section D'!AJ$1:AJ$100,MATCH('Print View'!$A179,'Coverage Indicators - Section D'!$A$1:$A$100,0)+1),""),"")&amp;CHAR(10)&amp;IFERROR(IF(INDEX('Coverage Indicators - Section D'!AK$1:AK$100,MATCH('Print View'!$A179,'Coverage Indicators - Section D'!$A$1:$A$100,0))&lt;&gt;0,TEXT(INDEX('Coverage Indicators - Section D'!AK$1:AK$100,MATCH('Print View'!$A179,'Coverage Indicators - Section D'!$A$1:$A$100,0)),"0.00%"),""),"")&amp;CHAR(10)&amp;IFERROR(IF(INDEX('Coverage Indicators - Section D'!AL$1:AL$100,MATCH('Print View'!$A179,'Coverage Indicators - Section D'!$A$1:$A$100,0))&lt;&gt;0,INDEX('Coverage Indicators - Section D'!AL$1:AL$100,MATCH('Print View'!$A179,'Coverage Indicators - Section D'!$A$1:$A$100,0)),""),"")</f>
        <v xml:space="preserve">/
</v>
      </c>
      <c r="T179" s="4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f ca="1">IFERROR(IF(INDEX('Coverage Indicators - Section D'!AD$1:AD$110,MATCH('Print View'!$A179,'Coverage Indicators - Section D'!$A$1:$A$110,0))&lt;&gt;0,INDEX('Coverage Indicators - Section D'!AD$1:AD$110,MATCH('Print View'!$A179,'Coverage Indicators - Section D'!$A$1:$A$110,0)),""),"")</f>
        <v>206</v>
      </c>
      <c r="AP179" s="216"/>
      <c r="AQ179" s="216"/>
      <c r="AR179" s="216"/>
      <c r="AS179" s="216"/>
      <c r="AT179" s="711" t="str">
        <f ca="1">CONCATENATE($A179,N$147)</f>
        <v>1630-Jun-22</v>
      </c>
      <c r="AU179" s="710" t="str">
        <f ca="1">CONCATENATE($A179,Q$147)</f>
        <v>1631-Dec-23</v>
      </c>
      <c r="AV179" s="710" t="str">
        <f t="shared" ref="AV179" si="112">CONCATENATE($A179,V$147)</f>
        <v>16</v>
      </c>
      <c r="AW179" s="710" t="str">
        <f t="shared" ref="AW179" si="113">CONCATENATE($A179,Y$147)</f>
        <v>16</v>
      </c>
      <c r="AX179" s="710" t="str">
        <f t="shared" ref="AX179" si="114">CONCATENATE($A179,AB$147)</f>
        <v>16</v>
      </c>
      <c r="AY179" s="710" t="str">
        <f t="shared" ref="AY179" si="115">CONCATENATE($A179,AE$147)</f>
        <v>16</v>
      </c>
      <c r="AZ179" s="710" t="str">
        <f t="shared" ref="AZ179" si="116">CONCATENATE($A179,AH$147)</f>
        <v>16</v>
      </c>
      <c r="BA179" s="710" t="str">
        <f t="shared" ref="BA179" si="117">CONCATENATE($A179,AK$147)</f>
        <v>16</v>
      </c>
      <c r="BB179" s="409"/>
      <c r="BC179" s="410"/>
    </row>
    <row r="180" spans="1:55" s="411" customFormat="1" ht="88.2" customHeight="1" x14ac:dyDescent="0.3">
      <c r="A180" s="712"/>
      <c r="B180" s="717" t="str">
        <f ca="1">IFERROR(IF(INDEX('Coverage Indicators - Section D'!AM$1:AM$110,MATCH('Print View'!$A179,'Coverage Indicators - Section D'!$A$1:$A$110,0))&lt;&gt;0,INDEX('Coverage Indicators - Section D'!AM$1:AM$110,MATCH('Print View'!$A179,'Coverage Indicators - Section D'!$A$1:$A$110,0)),""),"")</f>
        <v>Les données de routine d'Alliance Côte d'Ivoire au 31 décembre 2019 indique un taux de positivité global de 4% chez les HSH bénéficiant de programmes de prévention paquets définis de service.
Les données de routine d'Alliance Côte d'Ivoire indique un taux d'enrôlement de 100% dans les soins.
Les projections sur les trois années 2021, 2022 et 2023 s'aligneront sur les données de populations estimées des HSH dans les zones d'Alliance Côte d'Ivoire respectivement 6266, 6429 et 6596.
Le taux de dépistage des données de routine d'Alliance Côte d'Ivoire au 31 décembre est de 88,9% (4153/4693). 
Dans le cadre du NFM3, Alliance Côte d'Ivoire maintiendra le taux de dépistage à 90%.
2021: 6525 = (9062*80%)*90%
2022: 6694 = (9297*80%)*90%
2023: 6868 = (9539*80%)*90%
Nous allons maintenir le taux de positivité de 4% chez les HSH pour l'année 2021, 2022 et 2023. Ainsi, les HSH dépistés positifs attendus sont:
2021: 261 = (6525*4%)
2022: 268 = (6694*4%)
2023: 275 = (6868*4%)
En tenant compte de la couverture (100%) au 31 décembre 2019 (données de base), les projections d’Alliance Côte d‘Ivoire seront maintenues à 100% jusqu'en 2023.
Alliance Côte d'Ivoire prévoit comme cible : 
2021: 261 = (261*100%)
2022: 268 = (268*100%)
2023: 275 = (275*100%)
N: Nombre de HSH nouvellement dépistés positifs au VIH au cours de la période de rapportage et admis dans des services de soins.
D: Nombre de HSH nouvellement dépistés positifs au cours de la période de rapportage    
Ventilé par : groupe d'âge - [15-19]; [20-24]; [25-34]; [35-49]; [50 ans et plus]</v>
      </c>
      <c r="C180" s="718"/>
      <c r="D180" s="718"/>
      <c r="E180" s="718"/>
      <c r="F180" s="718"/>
      <c r="G180" s="718"/>
      <c r="H180" s="718"/>
      <c r="I180" s="719"/>
      <c r="J180" s="719"/>
      <c r="K180" s="719"/>
      <c r="L180" s="719"/>
      <c r="M180" s="719"/>
      <c r="N180" s="719"/>
      <c r="O180" s="719"/>
      <c r="P180" s="719"/>
      <c r="Q180" s="719"/>
      <c r="R180" s="719"/>
      <c r="S180" s="720"/>
      <c r="T180" s="417"/>
      <c r="U180" s="216"/>
      <c r="V180" s="216"/>
      <c r="W180" s="216"/>
      <c r="X180" s="216"/>
      <c r="Y180" s="21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711"/>
      <c r="AU180" s="710"/>
      <c r="AV180" s="710"/>
      <c r="AW180" s="710"/>
      <c r="AX180" s="710"/>
      <c r="AY180" s="710"/>
      <c r="AZ180" s="710"/>
      <c r="BA180" s="710"/>
      <c r="BB180" s="409"/>
      <c r="BC180" s="410"/>
    </row>
    <row r="181" spans="1:55" s="411" customFormat="1" ht="177" customHeight="1" x14ac:dyDescent="0.3">
      <c r="A181" s="709">
        <v>17</v>
      </c>
      <c r="B181" s="404" t="str">
        <f ca="1">IFERROR(IF(INDEX('Coverage Indicators - Section D'!B$1:B$100,MATCH('Print View'!$A181,'Coverage Indicators - Section D'!$A$1:$A$100,0))&lt;&gt;0,INDEX('Coverage Indicators - Section D'!B$1:B$100,MATCH('Print View'!$A181,'Coverage Indicators - Section D'!$A$1:$A$100,0)),""),"")</f>
        <v>Services de dépistage différencié du VIH</v>
      </c>
      <c r="C181" s="404" t="str">
        <f ca="1">IFERROR(IF(INDEX('Coverage Indicators - Section D'!D$1:D$100,MATCH('Print View'!$A181,'Coverage Indicators - Section D'!$A$1:$A$100,0))&lt;&gt;0,INDEX('Coverage Indicators - Section D'!D$1:D$100,MATCH('Print View'!$A181,'Coverage Indicators - Section D'!$A$1:$A$100,0)),""),"")</f>
        <v/>
      </c>
      <c r="D181" s="404" t="str">
        <f ca="1">IFERROR(IF(INDEX('Coverage Indicators - Section D'!E$1:E$100,MATCH('Print View'!$A181,'Coverage Indicators - Section D'!$A$1:$A$100,0))&lt;&gt;0,INDEX('Coverage Indicators - Section D'!E$1:E$100,MATCH('Print View'!$A181,'Coverage Indicators - Section D'!$A$1:$A$100,0)),""),"")</f>
        <v xml:space="preserve">Pourcentage de professionnelles de sexe dépistées positives admises dans des services de soins durant la période de rapportage </v>
      </c>
      <c r="E181" s="405" t="str">
        <f ca="1">IFERROR(IF(INDEX('Coverage Indicators - Section D'!F$1:F$100,MATCH('Print View'!$A181,'Coverage Indicators - Section D'!$A$1:$A$100,0))&lt;&gt;0,INDEX('Coverage Indicators - Section D'!F$1:F$100,MATCH('Print View'!$A181,'Coverage Indicators - Section D'!$A$1:$A$100,0)),""),"")&amp;"/"&amp;IFERROR(IF(INDEX('Coverage Indicators - Section D'!F$1:F$100,MATCH('Print View'!$A181,'Coverage Indicators - Section D'!$A$1:$A$100,0)+1)&lt;&gt;0,INDEX('Coverage Indicators - Section D'!F$1:F$100,MATCH('Print View'!$A181,'Coverage Indicators - Section D'!$A$1:$A$100,0)+1),""),"")&amp;CHAR(10)&amp;IFERROR(IF(INDEX('Coverage Indicators - Section D'!G$1:G$100,MATCH('Print View'!$A181,'Coverage Indicators - Section D'!$A$1:$A$100,0))&lt;&gt;0,TEXT(INDEX('Coverage Indicators - Section D'!G$1:G$100,MATCH('Print View'!$A181,'Coverage Indicators - Section D'!$A$1:$A$100,0)),"0.00%"),""),"")</f>
        <v>409/412
99.27%</v>
      </c>
      <c r="F181" s="406"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2019
Alliance CI Routine data (Base de données)</v>
      </c>
      <c r="G181" s="407" t="str">
        <f>IFERROR(IF(INDEX('Coverage Indicators - Section D'!J41:J70,MATCH('Print View'!$A181,'Coverage Indicators - Section D'!$A$9:$A$38,0))&lt;&gt;0,INDEX('Coverage Indicators - Section D'!J41:J70,MATCH('Print View'!$A181,'Coverage Indicators - Section D'!$A$9:$A$38,0)),""),"")</f>
        <v/>
      </c>
      <c r="H181" s="408" t="str">
        <f ca="1">IFERROR(IF(INDEX('Coverage Indicators - Section D'!K$1:K$100,MATCH('Print View'!$A181,'Coverage Indicators - Section D'!$A$1:$A$100,0))&lt;&gt;0,INDEX('Coverage Indicators - Section D'!K$1:K$100,MATCH('Print View'!$A181,'Coverage Indicators - Section D'!$A$1:$A$100,0)),""),"")</f>
        <v>Yes</v>
      </c>
      <c r="I181" s="407" t="str">
        <f ca="1">IFERROR(IF(INDEX('Coverage Indicators - Section D'!L$1:L$100,MATCH('Print View'!$A181,'Coverage Indicators - Section D'!$A$1:$A$100,0))&lt;&gt;0,INDEX('Coverage Indicators - Section D'!L$1:L$100,MATCH('Print View'!$A181,'Coverage Indicators - Section D'!$A$1:$A$100,0)),""),"")</f>
        <v>Alliance Nationale Contre Le Sida en Cote D'Ivoire</v>
      </c>
      <c r="J181" s="405"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Côte d'Ivoire
Geographic Subnational, less than 100% national program target</v>
      </c>
      <c r="K181" s="405" t="str">
        <f ca="1">IFERROR(IF(INDEX('Coverage Indicators - Section D'!N$1:N$100,MATCH('Print View'!$A181,'Coverage Indicators - Section D'!$A$1:$A$100,0))&lt;&gt;0,INDEX('Coverage Indicators - Section D'!N$1:N$100,MATCH('Print View'!$A181,'Coverage Indicators - Section D'!$A$1:$A$100,0)),""),"")</f>
        <v>Non cumulative</v>
      </c>
      <c r="L181" s="405" t="str">
        <f ca="1">IFERROR(IF(INDEX('Coverage Indicators - Section D'!O$1:O$100,MATCH('Print View'!$A181,'Coverage Indicators - Section D'!$A$1:$A$100,0))&lt;&gt;0,INDEX('Coverage Indicators - Section D'!O$1:O$100,MATCH('Print View'!$A181,'Coverage Indicators - Section D'!$A$1:$A$100,0)),""),"")&amp;"/"&amp;IFERROR(IF(INDEX('Coverage Indicators - Section D'!O$1:O$100,MATCH('Print View'!$A181,'Coverage Indicators - Section D'!$A$1:$A$100,0)+1)&lt;&gt;0,INDEX('Coverage Indicators - Section D'!O$1:O$100,MATCH('Print View'!$A181,'Coverage Indicators - Section D'!$A$1:$A$100,0)+1),""),"")&amp;CHAR(10)&amp;IFERROR(IF(INDEX('Coverage Indicators - Section D'!P$1:P$100,MATCH('Print View'!$A181,'Coverage Indicators - Section D'!$A$1:$A$100,0))&lt;&gt;0,TEXT(INDEX('Coverage Indicators - Section D'!P$1:P$100,MATCH('Print View'!$A181,'Coverage Indicators - Section D'!$A$1:$A$100,0)),"0.00%"),""),"")&amp;CHAR(10)&amp;IFERROR(IF(INDEX('Coverage Indicators - Section D'!Q$1:Q$100,MATCH('Print View'!$A181,'Coverage Indicators - Section D'!$A$1:$A$100,0))&lt;&gt;0,INDEX('Coverage Indicators - Section D'!Q$1:Q$100,MATCH('Print View'!$A181,'Coverage Indicators - Section D'!$A$1:$A$100,0)),""),"")</f>
        <v xml:space="preserve">163/163
100.00%
</v>
      </c>
      <c r="M181" s="406" t="str">
        <f ca="1">IFERROR(IF(INDEX('Coverage Indicators - Section D'!R$1:R$100,MATCH('Print View'!$A181,'Coverage Indicators - Section D'!$A$1:$A$100,0))&lt;&gt;0,INDEX('Coverage Indicators - Section D'!R$1:R$100,MATCH('Print View'!$A181,'Coverage Indicators - Section D'!$A$1:$A$100,0)),""),"")&amp;"/"&amp;IFERROR(IF(INDEX('Coverage Indicators - Section D'!R$1:R$100,MATCH('Print View'!$A181,'Coverage Indicators - Section D'!$A$1:$A$100,0)+1)&lt;&gt;0,INDEX('Coverage Indicators - Section D'!R$1:R$100,MATCH('Print View'!$A181,'Coverage Indicators - Section D'!$A$1:$A$100,0)+1),""),"")&amp;CHAR(10)&amp;IFERROR(IF(INDEX('Coverage Indicators - Section D'!S$1:S$100,MATCH('Print View'!$A181,'Coverage Indicators - Section D'!$A$1:$A$100,0))&lt;&gt;0,TEXT(INDEX('Coverage Indicators - Section D'!S$1:S$100,MATCH('Print View'!$A181,'Coverage Indicators - Section D'!$A$1:$A$100,0)),"0.00%"),""),"")&amp;CHAR(10)&amp;IFERROR(IF(INDEX('Coverage Indicators - Section D'!T$1:T$100,MATCH('Print View'!$A181,'Coverage Indicators - Section D'!$A$1:$A$100,0))&lt;&gt;0,INDEX('Coverage Indicators - Section D'!T$1:T$100,MATCH('Print View'!$A181,'Coverage Indicators - Section D'!$A$1:$A$100,0)),""),"")</f>
        <v xml:space="preserve">490/490
100.00%
</v>
      </c>
      <c r="N181" s="405" t="str">
        <f ca="1">IFERROR(IF(INDEX('Coverage Indicators - Section D'!U$1:U$100,MATCH('Print View'!$A181,'Coverage Indicators - Section D'!$A$1:$A$100,0))&lt;&gt;0,INDEX('Coverage Indicators - Section D'!U$1:U$100,MATCH('Print View'!$A181,'Coverage Indicators - Section D'!$A$1:$A$100,0)),""),"")&amp;"/"&amp;IFERROR(IF(INDEX('Coverage Indicators - Section D'!U$1:U$100,MATCH('Print View'!$A181,'Coverage Indicators - Section D'!$A$1:$A$100,0)+1)&lt;&gt;0,INDEX('Coverage Indicators - Section D'!U$1:U$100,MATCH('Print View'!$A181,'Coverage Indicators - Section D'!$A$1:$A$100,0)+1),""),"")&amp;CHAR(10)&amp;IFERROR(IF(INDEX('Coverage Indicators - Section D'!V$1:V$100,MATCH('Print View'!$A181,'Coverage Indicators - Section D'!$A$1:$A$100,0))&lt;&gt;0,TEXT(INDEX('Coverage Indicators - Section D'!V$1:V$100,MATCH('Print View'!$A181,'Coverage Indicators - Section D'!$A$1:$A$100,0)),"0.00%"),""),"")&amp;CHAR(10)&amp;IFERROR(IF(INDEX('Coverage Indicators - Section D'!W$1:W$100,MATCH('Print View'!$A181,'Coverage Indicators - Section D'!$A$1:$A$100,0))&lt;&gt;0,INDEX('Coverage Indicators - Section D'!W$1:W$100,MATCH('Print View'!$A181,'Coverage Indicators - Section D'!$A$1:$A$100,0)),""),"")</f>
        <v xml:space="preserve">168/168
100.00%
</v>
      </c>
      <c r="O181" s="406" t="str">
        <f ca="1">IFERROR(IF(INDEX('Coverage Indicators - Section D'!X$1:X$100,MATCH('Print View'!$A181,'Coverage Indicators - Section D'!$A$1:$A$100,0))&lt;&gt;0,INDEX('Coverage Indicators - Section D'!X$1:X$100,MATCH('Print View'!$A181,'Coverage Indicators - Section D'!$A$1:$A$100,0)),""),"")&amp;"/"&amp;IFERROR(IF(INDEX('Coverage Indicators - Section D'!X$1:X$100,MATCH('Print View'!$A181,'Coverage Indicators - Section D'!$A$1:$A$100,0)+1)&lt;&gt;0,INDEX('Coverage Indicators - Section D'!X$1:X$100,MATCH('Print View'!$A181,'Coverage Indicators - Section D'!$A$1:$A$100,0)+1),""),"")&amp;CHAR(10)&amp;IFERROR(IF(INDEX('Coverage Indicators - Section D'!Y$1:Y$100,MATCH('Print View'!$A181,'Coverage Indicators - Section D'!$A$1:$A$100,0))&lt;&gt;0,TEXT(INDEX('Coverage Indicators - Section D'!Y$1:Y$100,MATCH('Print View'!$A181,'Coverage Indicators - Section D'!$A$1:$A$100,0)),"0.00%"),""),"")&amp;CHAR(10)&amp;IFERROR(IF(INDEX('Coverage Indicators - Section D'!Z$1:Z$100,MATCH('Print View'!$A181,'Coverage Indicators - Section D'!$A$1:$A$100,0))&lt;&gt;0,INDEX('Coverage Indicators - Section D'!Z$1:Z$100,MATCH('Print View'!$A181,'Coverage Indicators - Section D'!$A$1:$A$100,0)),""),"")</f>
        <v xml:space="preserve">503/503
100.00%
</v>
      </c>
      <c r="P181" s="406" t="str">
        <f ca="1">IFERROR(IF(INDEX('Coverage Indicators - Section D'!AA$1:AA$100,MATCH('Print View'!$A181,'Coverage Indicators - Section D'!$A$1:$A$100,0))&lt;&gt;0,INDEX('Coverage Indicators - Section D'!AA$1:AA$100,MATCH('Print View'!$A181,'Coverage Indicators - Section D'!$A$1:$A$100,0)),""),"")&amp;"/"&amp;IFERROR(IF(INDEX('Coverage Indicators - Section D'!AA$1:AA$100,MATCH('Print View'!$A181,'Coverage Indicators - Section D'!$A$1:$A$100,0)+1)&lt;&gt;0,INDEX('Coverage Indicators - Section D'!AA$1:AA$100,MATCH('Print View'!$A181,'Coverage Indicators - Section D'!$A$1:$A$100,0)+1),""),"")&amp;CHAR(10)&amp;IFERROR(IF(INDEX('Coverage Indicators - Section D'!AB$1:AB$100,MATCH('Print View'!$A181,'Coverage Indicators - Section D'!$A$1:$A$100,0))&lt;&gt;0,TEXT(INDEX('Coverage Indicators - Section D'!AB$1:AB$100,MATCH('Print View'!$A181,'Coverage Indicators - Section D'!$A$1:$A$100,0)),"0.00%"),""),"")&amp;CHAR(10)&amp;IFERROR(IF(INDEX('Coverage Indicators - Section D'!AC$1:AC$100,MATCH('Print View'!$A181,'Coverage Indicators - Section D'!$A$1:$A$100,0))&lt;&gt;0,INDEX('Coverage Indicators - Section D'!AC$1:AC$100,MATCH('Print View'!$A181,'Coverage Indicators - Section D'!$A$1:$A$100,0)),""),"")</f>
        <v xml:space="preserve">172/172
100.00%
</v>
      </c>
      <c r="Q181" s="406" t="str">
        <f ca="1">IFERROR(IF(INDEX('Coverage Indicators - Section D'!AD$1:AD$100,MATCH('Print View'!$A181,'Coverage Indicators - Section D'!$A$1:$A$100,0))&lt;&gt;0,INDEX('Coverage Indicators - Section D'!AD$1:AD$100,MATCH('Print View'!$A181,'Coverage Indicators - Section D'!$A$1:$A$100,0)),""),"")&amp;"/"&amp;IFERROR(IF(INDEX('Coverage Indicators - Section D'!AD$1:AD$100,MATCH('Print View'!$A181,'Coverage Indicators - Section D'!$A$1:$A$100,0)+1)&lt;&gt;0,INDEX('Coverage Indicators - Section D'!AD$1:AD$100,MATCH('Print View'!$A181,'Coverage Indicators - Section D'!$A$1:$A$100,0)+1),""),"")&amp;CHAR(10)&amp;IFERROR(IF(INDEX('Coverage Indicators - Section D'!AE$1:AE$100,MATCH('Print View'!$A181,'Coverage Indicators - Section D'!$A$1:$A$100,0))&lt;&gt;0,TEXT(INDEX('Coverage Indicators - Section D'!AE$1:AE$100,MATCH('Print View'!$A181,'Coverage Indicators - Section D'!$A$1:$A$100,0)),"0.00%"),""),"")&amp;CHAR(10)&amp;IFERROR(IF(INDEX('Coverage Indicators - Section D'!AF$1:AF$100,MATCH('Print View'!$A181,'Coverage Indicators - Section D'!$A$1:$A$100,0))&lt;&gt;0,INDEX('Coverage Indicators - Section D'!AF$1:AF$100,MATCH('Print View'!$A181,'Coverage Indicators - Section D'!$A$1:$A$100,0)),""),"")</f>
        <v xml:space="preserve">515/515
100.00%
</v>
      </c>
      <c r="R181" s="406" t="str">
        <f ca="1">IFERROR(IF(INDEX('Coverage Indicators - Section D'!AG$1:AG$100,MATCH('Print View'!$A181,'Coverage Indicators - Section D'!$A$1:$A$100,0))&lt;&gt;0,INDEX('Coverage Indicators - Section D'!AG$1:AG$100,MATCH('Print View'!$A181,'Coverage Indicators - Section D'!$A$1:$A$100,0)),""),"")&amp;"/"&amp;IFERROR(IF(INDEX('Coverage Indicators - Section D'!AG$1:AG$100,MATCH('Print View'!$A181,'Coverage Indicators - Section D'!$A$1:$A$100,0)+1)&lt;&gt;0,INDEX('Coverage Indicators - Section D'!AG$1:AG$100,MATCH('Print View'!$A181,'Coverage Indicators - Section D'!$A$1:$A$100,0)+1),""),"")&amp;CHAR(10)&amp;IFERROR(IF(INDEX('Coverage Indicators - Section D'!AH$1:AH$100,MATCH('Print View'!$A181,'Coverage Indicators - Section D'!$A$1:$A$100,0))&lt;&gt;0,TEXT(INDEX('Coverage Indicators - Section D'!AH$1:AH$100,MATCH('Print View'!$A181,'Coverage Indicators - Section D'!$A$1:$A$100,0)),"0.00%"),""),"")&amp;CHAR(10)&amp;IFERROR(IF(INDEX('Coverage Indicators - Section D'!AI$1:AI$100,MATCH('Print View'!$A181,'Coverage Indicators - Section D'!$A$1:$A$100,0))&lt;&gt;0,INDEX('Coverage Indicators - Section D'!AI$1:AI$100,MATCH('Print View'!$A181,'Coverage Indicators - Section D'!$A$1:$A$100,0)),""),"")</f>
        <v xml:space="preserve">/
</v>
      </c>
      <c r="S181" s="406" t="str">
        <f ca="1">IFERROR(IF(INDEX('Coverage Indicators - Section D'!AJ$1:AJ$100,MATCH('Print View'!$A181,'Coverage Indicators - Section D'!$A$1:$A$100,0))&lt;&gt;0,INDEX('Coverage Indicators - Section D'!AJ$1:AJ$100,MATCH('Print View'!$A181,'Coverage Indicators - Section D'!$A$1:$A$100,0)),""),"")&amp;"/"&amp;IFERROR(IF(INDEX('Coverage Indicators - Section D'!AJ$1:AJ$100,MATCH('Print View'!$A181,'Coverage Indicators - Section D'!$A$1:$A$100,0)+1)&lt;&gt;0,INDEX('Coverage Indicators - Section D'!AJ$1:AJ$100,MATCH('Print View'!$A181,'Coverage Indicators - Section D'!$A$1:$A$100,0)+1),""),"")&amp;CHAR(10)&amp;IFERROR(IF(INDEX('Coverage Indicators - Section D'!AK$1:AK$100,MATCH('Print View'!$A181,'Coverage Indicators - Section D'!$A$1:$A$100,0))&lt;&gt;0,TEXT(INDEX('Coverage Indicators - Section D'!AK$1:AK$100,MATCH('Print View'!$A181,'Coverage Indicators - Section D'!$A$1:$A$100,0)),"0.00%"),""),"")&amp;CHAR(10)&amp;IFERROR(IF(INDEX('Coverage Indicators - Section D'!AL$1:AL$100,MATCH('Print View'!$A181,'Coverage Indicators - Section D'!$A$1:$A$100,0))&lt;&gt;0,INDEX('Coverage Indicators - Section D'!AL$1:AL$100,MATCH('Print View'!$A181,'Coverage Indicators - Section D'!$A$1:$A$100,0)),""),"")</f>
        <v xml:space="preserve">/
</v>
      </c>
      <c r="T181" s="385"/>
      <c r="U181" s="216"/>
      <c r="V181" s="216"/>
      <c r="W181" s="216"/>
      <c r="X181" s="216"/>
      <c r="Y181" s="216"/>
      <c r="Z181" s="216"/>
      <c r="AA181" s="216"/>
      <c r="AB181" s="216"/>
      <c r="AC181" s="216"/>
      <c r="AD181" s="216"/>
      <c r="AE181" s="216"/>
      <c r="AF181" s="216"/>
      <c r="AG181" s="216"/>
      <c r="AH181" s="216"/>
      <c r="AI181" s="216"/>
      <c r="AJ181" s="216"/>
      <c r="AK181" s="216"/>
      <c r="AL181" s="216"/>
      <c r="AM181" s="216"/>
      <c r="AN181" s="216"/>
      <c r="AO181" s="216">
        <f ca="1">IFERROR(IF(INDEX('Coverage Indicators - Section D'!AD$1:AD$110,MATCH('Print View'!$A181,'Coverage Indicators - Section D'!$A$1:$A$110,0))&lt;&gt;0,INDEX('Coverage Indicators - Section D'!AD$1:AD$110,MATCH('Print View'!$A181,'Coverage Indicators - Section D'!$A$1:$A$110,0)),""),"")</f>
        <v>515</v>
      </c>
      <c r="AP181" s="216"/>
      <c r="AQ181" s="216"/>
      <c r="AR181" s="216"/>
      <c r="AS181" s="216"/>
      <c r="AT181" s="711" t="str">
        <f ca="1">CONCATENATE($A181,N$147)</f>
        <v>1730-Jun-22</v>
      </c>
      <c r="AU181" s="710" t="str">
        <f ca="1">CONCATENATE($A181,Q$147)</f>
        <v>1731-Dec-23</v>
      </c>
      <c r="AV181" s="710" t="str">
        <f t="shared" ref="AV181" si="118">CONCATENATE($A181,V$147)</f>
        <v>17</v>
      </c>
      <c r="AW181" s="710" t="str">
        <f t="shared" ref="AW181" si="119">CONCATENATE($A181,Y$147)</f>
        <v>17</v>
      </c>
      <c r="AX181" s="710" t="str">
        <f t="shared" ref="AX181" si="120">CONCATENATE($A181,AB$147)</f>
        <v>17</v>
      </c>
      <c r="AY181" s="710" t="str">
        <f t="shared" ref="AY181" si="121">CONCATENATE($A181,AE$147)</f>
        <v>17</v>
      </c>
      <c r="AZ181" s="710" t="str">
        <f t="shared" ref="AZ181" si="122">CONCATENATE($A181,AH$147)</f>
        <v>17</v>
      </c>
      <c r="BA181" s="710" t="str">
        <f t="shared" ref="BA181" si="123">CONCATENATE($A181,AK$147)</f>
        <v>17</v>
      </c>
      <c r="BB181" s="409"/>
      <c r="BC181" s="410"/>
    </row>
    <row r="182" spans="1:55" s="411" customFormat="1" ht="88.2" customHeight="1" x14ac:dyDescent="0.3">
      <c r="A182" s="709"/>
      <c r="B182" s="714" t="str">
        <f ca="1">IFERROR(IF(INDEX('Coverage Indicators - Section D'!AM$1:AM$110,MATCH('Print View'!$A181,'Coverage Indicators - Section D'!$A$1:$A$110,0))&lt;&gt;0,INDEX('Coverage Indicators - Section D'!AM$1:AM$110,MATCH('Print View'!$A181,'Coverage Indicators - Section D'!$A$1:$A$110,0)),""),"")</f>
        <v>Les données de routine d'Alliance Côte d'Ivoire au 31 décembre 2019 indique un taux de positivité global de 5% chez les TS bénéficiant de programmes de prévention paquets définis de service.
Les données de routine d'Alliance Côte d'Ivoire indique un taux d'enrôlement de 99,27% dans les soins.
Les projections sur les trois années 2021, 2022 et 2023 s'aligneront sur les données de populations estimées des TS dans les zones d'Alliance Côte d'Ivoire respectivement 15275, 15672 et 16080.
Le taux de dépistage des données de routine d'Alliance Côte d'Ivoire au 31 décembre est de 90% (8521/9491). 
Dans le cadre du NFM3, Alliance Côte d'Ivoire maintiendra le taux de dépistage à 90%.
2021 : 13060 = (15275*95%)*90%
2022 : 13400 = (15672*95%)*90%
2023 : 13748 = (16080*95%)*90%
Nous allons maintenir le taux de positivité de 5% chez les TS pour l'année 2021, 2022 et 2023. Ainsi, les TS dépistées positives attendues sont:
2021: 653 = (13060*5%)
2022: 670 = (13400*5%)
2023: 687 = (13748*5%)
En tenant compte de la couverture (99,27%) au 31 décembre 2019 (données de base), les projections d’Alliance Côte d‘Ivoire seront maintenues à 100% jusqu'en 2023.
Alliance Côte d'Ivoire prévoit comme cible : 
2021: 653 = (653*100%)
2022: 670 = (670*100%)
2023: 687 = (687*100%)
N: Nombre de TS nouvellement dépistées positives au VIH au cours de la période de rapportage et admis dans les soins
D: Nombre de TS nouvellement dépistées positives au cours de la période de rapportage    
Ventilé par : groupe d'âge - [15-19]; [20-24]; [25-34]; [35-49]; [50 ans et plus]</v>
      </c>
      <c r="C182" s="715"/>
      <c r="D182" s="715"/>
      <c r="E182" s="715"/>
      <c r="F182" s="715"/>
      <c r="G182" s="715"/>
      <c r="H182" s="715"/>
      <c r="I182" s="715"/>
      <c r="J182" s="715"/>
      <c r="K182" s="715"/>
      <c r="L182" s="715"/>
      <c r="M182" s="715"/>
      <c r="N182" s="715"/>
      <c r="O182" s="715"/>
      <c r="P182" s="715"/>
      <c r="Q182" s="715"/>
      <c r="R182" s="715"/>
      <c r="S182" s="716"/>
      <c r="T182" s="412"/>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711"/>
      <c r="AU182" s="710"/>
      <c r="AV182" s="710"/>
      <c r="AW182" s="710"/>
      <c r="AX182" s="710"/>
      <c r="AY182" s="710"/>
      <c r="AZ182" s="710"/>
      <c r="BA182" s="710"/>
      <c r="BB182" s="409"/>
      <c r="BC182" s="410"/>
    </row>
    <row r="183" spans="1:55" s="411" customFormat="1" ht="177" customHeight="1" x14ac:dyDescent="0.3">
      <c r="A183" s="712">
        <v>18</v>
      </c>
      <c r="B183" s="380" t="str">
        <f ca="1">IFERROR(IF(INDEX('Coverage Indicators - Section D'!B$1:B$100,MATCH('Print View'!$A183,'Coverage Indicators - Section D'!$A$1:$A$100,0))&lt;&gt;0,INDEX('Coverage Indicators - Section D'!B$1:B$100,MATCH('Print View'!$A183,'Coverage Indicators - Section D'!$A$1:$A$100,0)),""),"")</f>
        <v>Services de dépistage différencié du VIH</v>
      </c>
      <c r="C183" s="380" t="str">
        <f ca="1">IFERROR(IF(INDEX('Coverage Indicators - Section D'!D$1:D$100,MATCH('Print View'!$A183,'Coverage Indicators - Section D'!$A$1:$A$100,0))&lt;&gt;0,INDEX('Coverage Indicators - Section D'!D$1:D$100,MATCH('Print View'!$A183,'Coverage Indicators - Section D'!$A$1:$A$100,0)),""),"")</f>
        <v/>
      </c>
      <c r="D183" s="380" t="str">
        <f ca="1">IFERROR(IF(INDEX('Coverage Indicators - Section D'!E$1:E$100,MATCH('Print View'!$A183,'Coverage Indicators - Section D'!$A$1:$A$100,0))&lt;&gt;0,INDEX('Coverage Indicators - Section D'!E$1:E$100,MATCH('Print View'!$A183,'Coverage Indicators - Section D'!$A$1:$A$100,0)),""),"")</f>
        <v xml:space="preserve">Pourcentage de UD dépistés positifs (y compris les UDI) admis dans des services de soins durant la période de rapportage </v>
      </c>
      <c r="E183" s="381" t="str">
        <f ca="1">IFERROR(IF(INDEX('Coverage Indicators - Section D'!F$1:F$100,MATCH('Print View'!$A183,'Coverage Indicators - Section D'!$A$1:$A$100,0))&lt;&gt;0,INDEX('Coverage Indicators - Section D'!F$1:F$100,MATCH('Print View'!$A183,'Coverage Indicators - Section D'!$A$1:$A$100,0)),""),"")&amp;"/"&amp;IFERROR(IF(INDEX('Coverage Indicators - Section D'!F$1:F$100,MATCH('Print View'!$A183,'Coverage Indicators - Section D'!$A$1:$A$100,0)+1)&lt;&gt;0,INDEX('Coverage Indicators - Section D'!F$1:F$100,MATCH('Print View'!$A183,'Coverage Indicators - Section D'!$A$1:$A$100,0)+1),""),"")&amp;CHAR(10)&amp;IFERROR(IF(INDEX('Coverage Indicators - Section D'!G$1:G$100,MATCH('Print View'!$A183,'Coverage Indicators - Section D'!$A$1:$A$100,0))&lt;&gt;0,TEXT(INDEX('Coverage Indicators - Section D'!G$1:G$100,MATCH('Print View'!$A183,'Coverage Indicators - Section D'!$A$1:$A$100,0)),"0.00%"),""),"")</f>
        <v>73/74
98.65%</v>
      </c>
      <c r="F183" s="413"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2019
Alliance CI Routine data (Base de données)</v>
      </c>
      <c r="G183" s="414" t="str">
        <f>IFERROR(IF(INDEX('Coverage Indicators - Section D'!J41:J70,MATCH('Print View'!$A183,'Coverage Indicators - Section D'!$A$9:$A$38,0))&lt;&gt;0,INDEX('Coverage Indicators - Section D'!J41:J70,MATCH('Print View'!$A183,'Coverage Indicators - Section D'!$A$9:$A$38,0)),""),"")</f>
        <v/>
      </c>
      <c r="H183" s="413" t="str">
        <f ca="1">IFERROR(IF(INDEX('Coverage Indicators - Section D'!K$1:K$100,MATCH('Print View'!$A183,'Coverage Indicators - Section D'!$A$1:$A$100,0))&lt;&gt;0,INDEX('Coverage Indicators - Section D'!K$1:K$100,MATCH('Print View'!$A183,'Coverage Indicators - Section D'!$A$1:$A$100,0)),""),"")</f>
        <v>Yes</v>
      </c>
      <c r="I183" s="414" t="str">
        <f ca="1">IFERROR(IF(INDEX('Coverage Indicators - Section D'!L$1:L$100,MATCH('Print View'!$A183,'Coverage Indicators - Section D'!$A$1:$A$100,0))&lt;&gt;0,INDEX('Coverage Indicators - Section D'!L$1:L$100,MATCH('Print View'!$A183,'Coverage Indicators - Section D'!$A$1:$A$100,0)),""),"")</f>
        <v>Alliance Nationale Contre Le Sida en Cote D'Ivoire</v>
      </c>
      <c r="J183" s="413"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Côte d'Ivoire
Geographic Subnational, less than 100% national program target</v>
      </c>
      <c r="K183" s="413" t="str">
        <f ca="1">IFERROR(IF(INDEX('Coverage Indicators - Section D'!N$1:N$100,MATCH('Print View'!$A183,'Coverage Indicators - Section D'!$A$1:$A$100,0))&lt;&gt;0,INDEX('Coverage Indicators - Section D'!N$1:N$100,MATCH('Print View'!$A183,'Coverage Indicators - Section D'!$A$1:$A$100,0)),""),"")</f>
        <v>Non cumulative</v>
      </c>
      <c r="L183" s="415" t="str">
        <f ca="1">IFERROR(IF(INDEX('Coverage Indicators - Section D'!O$1:O$100,MATCH('Print View'!$A183,'Coverage Indicators - Section D'!$A$1:$A$100,0))&lt;&gt;0,INDEX('Coverage Indicators - Section D'!O$1:O$100,MATCH('Print View'!$A183,'Coverage Indicators - Section D'!$A$1:$A$100,0)),""),"")&amp;"/"&amp;IFERROR(IF(INDEX('Coverage Indicators - Section D'!O$1:O$100,MATCH('Print View'!$A183,'Coverage Indicators - Section D'!$A$1:$A$100,0)+1)&lt;&gt;0,INDEX('Coverage Indicators - Section D'!O$1:O$100,MATCH('Print View'!$A183,'Coverage Indicators - Section D'!$A$1:$A$100,0)+1),""),"")&amp;CHAR(10)&amp;IFERROR(IF(INDEX('Coverage Indicators - Section D'!P$1:P$100,MATCH('Print View'!$A183,'Coverage Indicators - Section D'!$A$1:$A$100,0))&lt;&gt;0,TEXT(INDEX('Coverage Indicators - Section D'!P$1:P$100,MATCH('Print View'!$A183,'Coverage Indicators - Section D'!$A$1:$A$100,0)),"0.00%"),""),"")&amp;CHAR(10)&amp;IFERROR(IF(INDEX('Coverage Indicators - Section D'!Q$1:Q$100,MATCH('Print View'!$A183,'Coverage Indicators - Section D'!$A$1:$A$100,0))&lt;&gt;0,INDEX('Coverage Indicators - Section D'!Q$1:Q$100,MATCH('Print View'!$A183,'Coverage Indicators - Section D'!$A$1:$A$100,0)),""),"")</f>
        <v xml:space="preserve">35/35
100.00%
</v>
      </c>
      <c r="M183" s="415" t="str">
        <f ca="1">IFERROR(IF(INDEX('Coverage Indicators - Section D'!R$1:R$100,MATCH('Print View'!$A183,'Coverage Indicators - Section D'!$A$1:$A$100,0))&lt;&gt;0,INDEX('Coverage Indicators - Section D'!R$1:R$100,MATCH('Print View'!$A183,'Coverage Indicators - Section D'!$A$1:$A$100,0)),""),"")&amp;"/"&amp;IFERROR(IF(INDEX('Coverage Indicators - Section D'!R$1:R$100,MATCH('Print View'!$A183,'Coverage Indicators - Section D'!$A$1:$A$100,0)+1)&lt;&gt;0,INDEX('Coverage Indicators - Section D'!R$1:R$100,MATCH('Print View'!$A183,'Coverage Indicators - Section D'!$A$1:$A$100,0)+1),""),"")&amp;CHAR(10)&amp;IFERROR(IF(INDEX('Coverage Indicators - Section D'!S$1:S$100,MATCH('Print View'!$A183,'Coverage Indicators - Section D'!$A$1:$A$100,0))&lt;&gt;0,TEXT(INDEX('Coverage Indicators - Section D'!S$1:S$100,MATCH('Print View'!$A183,'Coverage Indicators - Section D'!$A$1:$A$100,0)),"0.00%"),""),"")&amp;CHAR(10)&amp;IFERROR(IF(INDEX('Coverage Indicators - Section D'!T$1:T$100,MATCH('Print View'!$A183,'Coverage Indicators - Section D'!$A$1:$A$100,0))&lt;&gt;0,INDEX('Coverage Indicators - Section D'!T$1:T$100,MATCH('Print View'!$A183,'Coverage Indicators - Section D'!$A$1:$A$100,0)),""),"")</f>
        <v xml:space="preserve">103/103
100.00%
</v>
      </c>
      <c r="N183" s="415" t="str">
        <f ca="1">IFERROR(IF(INDEX('Coverage Indicators - Section D'!U$1:U$100,MATCH('Print View'!$A183,'Coverage Indicators - Section D'!$A$1:$A$100,0))&lt;&gt;0,INDEX('Coverage Indicators - Section D'!U$1:U$100,MATCH('Print View'!$A183,'Coverage Indicators - Section D'!$A$1:$A$100,0)),""),"")&amp;"/"&amp;IFERROR(IF(INDEX('Coverage Indicators - Section D'!U$1:U$100,MATCH('Print View'!$A183,'Coverage Indicators - Section D'!$A$1:$A$100,0)+1)&lt;&gt;0,INDEX('Coverage Indicators - Section D'!U$1:U$100,MATCH('Print View'!$A183,'Coverage Indicators - Section D'!$A$1:$A$100,0)+1),""),"")&amp;CHAR(10)&amp;IFERROR(IF(INDEX('Coverage Indicators - Section D'!V$1:V$100,MATCH('Print View'!$A183,'Coverage Indicators - Section D'!$A$1:$A$100,0))&lt;&gt;0,TEXT(INDEX('Coverage Indicators - Section D'!V$1:V$100,MATCH('Print View'!$A183,'Coverage Indicators - Section D'!$A$1:$A$100,0)),"0.00%"),""),"")&amp;CHAR(10)&amp;IFERROR(IF(INDEX('Coverage Indicators - Section D'!W$1:W$100,MATCH('Print View'!$A183,'Coverage Indicators - Section D'!$A$1:$A$100,0))&lt;&gt;0,INDEX('Coverage Indicators - Section D'!W$1:W$100,MATCH('Print View'!$A183,'Coverage Indicators - Section D'!$A$1:$A$100,0)),""),"")</f>
        <v xml:space="preserve">35/35
100.00%
</v>
      </c>
      <c r="O183" s="415" t="str">
        <f ca="1">IFERROR(IF(INDEX('Coverage Indicators - Section D'!X$1:X$100,MATCH('Print View'!$A183,'Coverage Indicators - Section D'!$A$1:$A$100,0))&lt;&gt;0,INDEX('Coverage Indicators - Section D'!X$1:X$100,MATCH('Print View'!$A183,'Coverage Indicators - Section D'!$A$1:$A$100,0)),""),"")&amp;"/"&amp;IFERROR(IF(INDEX('Coverage Indicators - Section D'!X$1:X$100,MATCH('Print View'!$A183,'Coverage Indicators - Section D'!$A$1:$A$100,0)+1)&lt;&gt;0,INDEX('Coverage Indicators - Section D'!X$1:X$100,MATCH('Print View'!$A183,'Coverage Indicators - Section D'!$A$1:$A$100,0)+1),""),"")&amp;CHAR(10)&amp;IFERROR(IF(INDEX('Coverage Indicators - Section D'!Y$1:Y$100,MATCH('Print View'!$A183,'Coverage Indicators - Section D'!$A$1:$A$100,0))&lt;&gt;0,TEXT(INDEX('Coverage Indicators - Section D'!Y$1:Y$100,MATCH('Print View'!$A183,'Coverage Indicators - Section D'!$A$1:$A$100,0)),"0.00%"),""),"")&amp;CHAR(10)&amp;IFERROR(IF(INDEX('Coverage Indicators - Section D'!Z$1:Z$100,MATCH('Print View'!$A183,'Coverage Indicators - Section D'!$A$1:$A$100,0))&lt;&gt;0,INDEX('Coverage Indicators - Section D'!Z$1:Z$100,MATCH('Print View'!$A183,'Coverage Indicators - Section D'!$A$1:$A$100,0)),""),"")</f>
        <v xml:space="preserve">106/106
100.00%
</v>
      </c>
      <c r="P183" s="415" t="str">
        <f ca="1">IFERROR(IF(INDEX('Coverage Indicators - Section D'!AA$1:AA$100,MATCH('Print View'!$A183,'Coverage Indicators - Section D'!$A$1:$A$100,0))&lt;&gt;0,INDEX('Coverage Indicators - Section D'!AA$1:AA$100,MATCH('Print View'!$A183,'Coverage Indicators - Section D'!$A$1:$A$100,0)),""),"")&amp;"/"&amp;IFERROR(IF(INDEX('Coverage Indicators - Section D'!AA$1:AA$100,MATCH('Print View'!$A183,'Coverage Indicators - Section D'!$A$1:$A$100,0)+1)&lt;&gt;0,INDEX('Coverage Indicators - Section D'!AA$1:AA$100,MATCH('Print View'!$A183,'Coverage Indicators - Section D'!$A$1:$A$100,0)+1),""),"")&amp;CHAR(10)&amp;IFERROR(IF(INDEX('Coverage Indicators - Section D'!AB$1:AB$100,MATCH('Print View'!$A183,'Coverage Indicators - Section D'!$A$1:$A$100,0))&lt;&gt;0,TEXT(INDEX('Coverage Indicators - Section D'!AB$1:AB$100,MATCH('Print View'!$A183,'Coverage Indicators - Section D'!$A$1:$A$100,0)),"0.00%"),""),"")&amp;CHAR(10)&amp;IFERROR(IF(INDEX('Coverage Indicators - Section D'!AC$1:AC$100,MATCH('Print View'!$A183,'Coverage Indicators - Section D'!$A$1:$A$100,0))&lt;&gt;0,INDEX('Coverage Indicators - Section D'!AC$1:AC$100,MATCH('Print View'!$A183,'Coverage Indicators - Section D'!$A$1:$A$100,0)),""),"")</f>
        <v xml:space="preserve">36/36
100.00%
</v>
      </c>
      <c r="Q183" s="415" t="str">
        <f ca="1">IFERROR(IF(INDEX('Coverage Indicators - Section D'!AD$1:AD$100,MATCH('Print View'!$A183,'Coverage Indicators - Section D'!$A$1:$A$100,0))&lt;&gt;0,INDEX('Coverage Indicators - Section D'!AD$1:AD$100,MATCH('Print View'!$A183,'Coverage Indicators - Section D'!$A$1:$A$100,0)),""),"")&amp;"/"&amp;IFERROR(IF(INDEX('Coverage Indicators - Section D'!AD$1:AD$100,MATCH('Print View'!$A183,'Coverage Indicators - Section D'!$A$1:$A$100,0)+1)&lt;&gt;0,INDEX('Coverage Indicators - Section D'!AD$1:AD$100,MATCH('Print View'!$A183,'Coverage Indicators - Section D'!$A$1:$A$100,0)+1),""),"")&amp;CHAR(10)&amp;IFERROR(IF(INDEX('Coverage Indicators - Section D'!AE$1:AE$100,MATCH('Print View'!$A183,'Coverage Indicators - Section D'!$A$1:$A$100,0))&lt;&gt;0,TEXT(INDEX('Coverage Indicators - Section D'!AE$1:AE$100,MATCH('Print View'!$A183,'Coverage Indicators - Section D'!$A$1:$A$100,0)),"0.00%"),""),"")&amp;CHAR(10)&amp;IFERROR(IF(INDEX('Coverage Indicators - Section D'!AF$1:AF$100,MATCH('Print View'!$A183,'Coverage Indicators - Section D'!$A$1:$A$100,0))&lt;&gt;0,INDEX('Coverage Indicators - Section D'!AF$1:AF$100,MATCH('Print View'!$A183,'Coverage Indicators - Section D'!$A$1:$A$100,0)),""),"")</f>
        <v xml:space="preserve">109/109
100.00%
</v>
      </c>
      <c r="R183" s="415" t="str">
        <f ca="1">IFERROR(IF(INDEX('Coverage Indicators - Section D'!AG$1:AG$100,MATCH('Print View'!$A183,'Coverage Indicators - Section D'!$A$1:$A$100,0))&lt;&gt;0,INDEX('Coverage Indicators - Section D'!AG$1:AG$100,MATCH('Print View'!$A183,'Coverage Indicators - Section D'!$A$1:$A$100,0)),""),"")&amp;"/"&amp;IFERROR(IF(INDEX('Coverage Indicators - Section D'!AG$1:AG$100,MATCH('Print View'!$A183,'Coverage Indicators - Section D'!$A$1:$A$100,0)+1)&lt;&gt;0,INDEX('Coverage Indicators - Section D'!AG$1:AG$100,MATCH('Print View'!$A183,'Coverage Indicators - Section D'!$A$1:$A$100,0)+1),""),"")&amp;CHAR(10)&amp;IFERROR(IF(INDEX('Coverage Indicators - Section D'!AH$1:AH$100,MATCH('Print View'!$A183,'Coverage Indicators - Section D'!$A$1:$A$100,0))&lt;&gt;0,TEXT(INDEX('Coverage Indicators - Section D'!AH$1:AH$100,MATCH('Print View'!$A183,'Coverage Indicators - Section D'!$A$1:$A$100,0)),"0.00%"),""),"")&amp;CHAR(10)&amp;IFERROR(IF(INDEX('Coverage Indicators - Section D'!AI$1:AI$100,MATCH('Print View'!$A183,'Coverage Indicators - Section D'!$A$1:$A$100,0))&lt;&gt;0,INDEX('Coverage Indicators - Section D'!AI$1:AI$100,MATCH('Print View'!$A183,'Coverage Indicators - Section D'!$A$1:$A$100,0)),""),"")</f>
        <v xml:space="preserve">/
</v>
      </c>
      <c r="S183" s="415" t="str">
        <f ca="1">IFERROR(IF(INDEX('Coverage Indicators - Section D'!AJ$1:AJ$100,MATCH('Print View'!$A183,'Coverage Indicators - Section D'!$A$1:$A$100,0))&lt;&gt;0,INDEX('Coverage Indicators - Section D'!AJ$1:AJ$100,MATCH('Print View'!$A183,'Coverage Indicators - Section D'!$A$1:$A$100,0)),""),"")&amp;"/"&amp;IFERROR(IF(INDEX('Coverage Indicators - Section D'!AJ$1:AJ$100,MATCH('Print View'!$A183,'Coverage Indicators - Section D'!$A$1:$A$100,0)+1)&lt;&gt;0,INDEX('Coverage Indicators - Section D'!AJ$1:AJ$100,MATCH('Print View'!$A183,'Coverage Indicators - Section D'!$A$1:$A$100,0)+1),""),"")&amp;CHAR(10)&amp;IFERROR(IF(INDEX('Coverage Indicators - Section D'!AK$1:AK$100,MATCH('Print View'!$A183,'Coverage Indicators - Section D'!$A$1:$A$100,0))&lt;&gt;0,TEXT(INDEX('Coverage Indicators - Section D'!AK$1:AK$100,MATCH('Print View'!$A183,'Coverage Indicators - Section D'!$A$1:$A$100,0)),"0.00%"),""),"")&amp;CHAR(10)&amp;IFERROR(IF(INDEX('Coverage Indicators - Section D'!AL$1:AL$100,MATCH('Print View'!$A183,'Coverage Indicators - Section D'!$A$1:$A$100,0))&lt;&gt;0,INDEX('Coverage Indicators - Section D'!AL$1:AL$100,MATCH('Print View'!$A183,'Coverage Indicators - Section D'!$A$1:$A$100,0)),""),"")</f>
        <v xml:space="preserve">/
</v>
      </c>
      <c r="T183" s="416"/>
      <c r="U183" s="216"/>
      <c r="V183" s="216"/>
      <c r="W183" s="216"/>
      <c r="X183" s="216"/>
      <c r="Y183" s="216"/>
      <c r="Z183" s="216"/>
      <c r="AA183" s="216"/>
      <c r="AB183" s="216"/>
      <c r="AC183" s="216"/>
      <c r="AD183" s="216"/>
      <c r="AE183" s="216"/>
      <c r="AF183" s="216"/>
      <c r="AG183" s="216"/>
      <c r="AH183" s="216"/>
      <c r="AI183" s="216"/>
      <c r="AJ183" s="216"/>
      <c r="AK183" s="216"/>
      <c r="AL183" s="216"/>
      <c r="AM183" s="216"/>
      <c r="AN183" s="216"/>
      <c r="AO183" s="216">
        <f ca="1">IFERROR(IF(INDEX('Coverage Indicators - Section D'!AD$1:AD$110,MATCH('Print View'!$A183,'Coverage Indicators - Section D'!$A$1:$A$110,0))&lt;&gt;0,INDEX('Coverage Indicators - Section D'!AD$1:AD$110,MATCH('Print View'!$A183,'Coverage Indicators - Section D'!$A$1:$A$110,0)),""),"")</f>
        <v>109</v>
      </c>
      <c r="AP183" s="216"/>
      <c r="AQ183" s="216"/>
      <c r="AR183" s="216"/>
      <c r="AS183" s="216"/>
      <c r="AT183" s="711" t="str">
        <f ca="1">CONCATENATE($A183,N$147)</f>
        <v>1830-Jun-22</v>
      </c>
      <c r="AU183" s="710" t="str">
        <f ca="1">CONCATENATE($A183,Q$147)</f>
        <v>1831-Dec-23</v>
      </c>
      <c r="AV183" s="710" t="str">
        <f t="shared" ref="AV183" si="124">CONCATENATE($A183,V$147)</f>
        <v>18</v>
      </c>
      <c r="AW183" s="710" t="str">
        <f t="shared" ref="AW183" si="125">CONCATENATE($A183,Y$147)</f>
        <v>18</v>
      </c>
      <c r="AX183" s="710" t="str">
        <f t="shared" ref="AX183" si="126">CONCATENATE($A183,AB$147)</f>
        <v>18</v>
      </c>
      <c r="AY183" s="710" t="str">
        <f t="shared" ref="AY183" si="127">CONCATENATE($A183,AE$147)</f>
        <v>18</v>
      </c>
      <c r="AZ183" s="710" t="str">
        <f t="shared" ref="AZ183" si="128">CONCATENATE($A183,AH$147)</f>
        <v>18</v>
      </c>
      <c r="BA183" s="710" t="str">
        <f t="shared" ref="BA183" si="129">CONCATENATE($A183,AK$147)</f>
        <v>18</v>
      </c>
      <c r="BB183" s="409"/>
      <c r="BC183" s="410"/>
    </row>
    <row r="184" spans="1:55" s="411" customFormat="1" ht="88.2" customHeight="1" x14ac:dyDescent="0.3">
      <c r="A184" s="712"/>
      <c r="B184" s="717" t="str">
        <f ca="1">IFERROR(IF(INDEX('Coverage Indicators - Section D'!AM$1:AM$110,MATCH('Print View'!$A183,'Coverage Indicators - Section D'!$A$1:$A$110,0))&lt;&gt;0,INDEX('Coverage Indicators - Section D'!AM$1:AM$110,MATCH('Print View'!$A183,'Coverage Indicators - Section D'!$A$1:$A$110,0)),""),"")</f>
        <v>Les données de routine d’Alliance Côte d’Ivoire au 31 décembre 2019 indique un taux de positivité global de 1,6% chez les UD bénéficiant de programmes de prévention paquet définis de service.
Les données de routine d’Alliance Côte d’Ivoire indique un taux d’enrôlement dans les soins de 98,65%.
Les projections sur les trois (3) années 2021, 2022 et 2023 s’aligneront sur les données estimées des UD dans le grand Abidjan. 
2021: 8604
2022: 8827
2023: 9057.
Le taux de dépistage des données de routine d'Alliance Côte d'Ivoire au 31 décembre est de 100% (4587/4587). 
2021: 8604 = (8604*100%)
2022: 8827 = (8827*100%)
2023: 9057.= (9057*100%)
Nous allons maintenir le taux de positivité de 1,6% chez les UD pour les trois années (2021, 2022 et 2023).
Ainsi, les UD dépistés positifs attendus sont:
2021: 138 = (8604*1,6%)
2022: 141 = (8827*1,6%)
2023: 145 = (9057*1,6%)
En tenant compte de la couverture (98,65%) au 31 décembre 2019 (données de base), les projections d’Alliance Côte d‘Ivoire seront maintenues à 100% jusqu'en 2023.
Alliance Côte d'Ivoire prévoit comme cible : 
2021: 138 = (138*100%)
2022: 141 = (141*100%)
2023: 145 = (145*100%)
N: Nombre de UD nouvellement dépistés positifs au VIH au cours de la période de rapportage et admis dans les soins
D: Nombre de UD nouvellement dépistés positifs au cours de la période de rapportage    
Ventilé par : groupe d'âge - [15-19]; [20-24]; [25-34]; [35-49]; [50 ans et plus] et plus] et par sexe (Masculin, Féminin)</v>
      </c>
      <c r="C184" s="718"/>
      <c r="D184" s="718"/>
      <c r="E184" s="718"/>
      <c r="F184" s="718"/>
      <c r="G184" s="718"/>
      <c r="H184" s="718"/>
      <c r="I184" s="719"/>
      <c r="J184" s="719"/>
      <c r="K184" s="719"/>
      <c r="L184" s="719"/>
      <c r="M184" s="719"/>
      <c r="N184" s="719"/>
      <c r="O184" s="719"/>
      <c r="P184" s="719"/>
      <c r="Q184" s="719"/>
      <c r="R184" s="719"/>
      <c r="S184" s="720"/>
      <c r="T184" s="417"/>
      <c r="U184" s="216"/>
      <c r="V184" s="216"/>
      <c r="W184" s="216"/>
      <c r="X184" s="216"/>
      <c r="Y184" s="216"/>
      <c r="Z184" s="216"/>
      <c r="AA184" s="216"/>
      <c r="AB184" s="216"/>
      <c r="AC184" s="216"/>
      <c r="AD184" s="216"/>
      <c r="AE184" s="216"/>
      <c r="AF184" s="216"/>
      <c r="AG184" s="216"/>
      <c r="AH184" s="216"/>
      <c r="AI184" s="216"/>
      <c r="AJ184" s="216"/>
      <c r="AK184" s="216"/>
      <c r="AL184" s="216"/>
      <c r="AM184" s="216"/>
      <c r="AN184" s="216"/>
      <c r="AO184" s="216"/>
      <c r="AP184" s="216"/>
      <c r="AQ184" s="216"/>
      <c r="AR184" s="216"/>
      <c r="AS184" s="216"/>
      <c r="AT184" s="711"/>
      <c r="AU184" s="710"/>
      <c r="AV184" s="710"/>
      <c r="AW184" s="710"/>
      <c r="AX184" s="710"/>
      <c r="AY184" s="710"/>
      <c r="AZ184" s="710"/>
      <c r="BA184" s="710"/>
      <c r="BB184" s="409"/>
      <c r="BC184" s="410"/>
    </row>
    <row r="185" spans="1:55" s="411" customFormat="1" ht="177" customHeight="1" x14ac:dyDescent="0.3">
      <c r="A185" s="709">
        <v>19</v>
      </c>
      <c r="B185" s="404" t="str">
        <f ca="1">IFERROR(IF(INDEX('Coverage Indicators - Section D'!B$1:B$100,MATCH('Print View'!$A185,'Coverage Indicators - Section D'!$A$1:$A$100,0))&lt;&gt;0,INDEX('Coverage Indicators - Section D'!B$1:B$100,MATCH('Print View'!$A185,'Coverage Indicators - Section D'!$A$1:$A$100,0)),""),"")</f>
        <v>Réduction des obstacles liés aux droits humains qui entravent l’accès aux services de lutte contre le VIH/la tuberculose</v>
      </c>
      <c r="C185" s="404" t="str">
        <f ca="1">IFERROR(IF(INDEX('Coverage Indicators - Section D'!D$1:D$100,MATCH('Print View'!$A185,'Coverage Indicators - Section D'!$A$1:$A$100,0))&lt;&gt;0,INDEX('Coverage Indicators - Section D'!D$1:D$100,MATCH('Print View'!$A185,'Coverage Indicators - Section D'!$A$1:$A$100,0)),""),"")</f>
        <v/>
      </c>
      <c r="D185" s="404" t="str">
        <f ca="1">IFERROR(IF(INDEX('Coverage Indicators - Section D'!E$1:E$100,MATCH('Print View'!$A185,'Coverage Indicators - Section D'!$A$1:$A$100,0))&lt;&gt;0,INDEX('Coverage Indicators - Section D'!E$1:E$100,MATCH('Print View'!$A185,'Coverage Indicators - Section D'!$A$1:$A$100,0)),""),"")</f>
        <v>Pourcentage de PVVIH et population clés bénéfciant d'assistance juridique et/ou judiciaire</v>
      </c>
      <c r="E185" s="405" t="str">
        <f ca="1">IFERROR(IF(INDEX('Coverage Indicators - Section D'!F$1:F$100,MATCH('Print View'!$A185,'Coverage Indicators - Section D'!$A$1:$A$100,0))&lt;&gt;0,INDEX('Coverage Indicators - Section D'!F$1:F$100,MATCH('Print View'!$A185,'Coverage Indicators - Section D'!$A$1:$A$100,0)),""),"")&amp;"/"&amp;IFERROR(IF(INDEX('Coverage Indicators - Section D'!F$1:F$100,MATCH('Print View'!$A185,'Coverage Indicators - Section D'!$A$1:$A$100,0)+1)&lt;&gt;0,INDEX('Coverage Indicators - Section D'!F$1:F$100,MATCH('Print View'!$A185,'Coverage Indicators - Section D'!$A$1:$A$100,0)+1),""),"")&amp;CHAR(10)&amp;IFERROR(IF(INDEX('Coverage Indicators - Section D'!G$1:G$100,MATCH('Print View'!$A185,'Coverage Indicators - Section D'!$A$1:$A$100,0))&lt;&gt;0,TEXT(INDEX('Coverage Indicators - Section D'!G$1:G$100,MATCH('Print View'!$A185,'Coverage Indicators - Section D'!$A$1:$A$100,0)),"0.00%"),""),"")</f>
        <v>38/161
23.60%</v>
      </c>
      <c r="F185" s="406"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2019
Alliance CI Routine data (Base de données)</v>
      </c>
      <c r="G185" s="407" t="str">
        <f>IFERROR(IF(INDEX('Coverage Indicators - Section D'!J45:J74,MATCH('Print View'!$A185,'Coverage Indicators - Section D'!$A$9:$A$38,0))&lt;&gt;0,INDEX('Coverage Indicators - Section D'!J45:J74,MATCH('Print View'!$A185,'Coverage Indicators - Section D'!$A$9:$A$38,0)),""),"")</f>
        <v/>
      </c>
      <c r="H185" s="408" t="str">
        <f ca="1">IFERROR(IF(INDEX('Coverage Indicators - Section D'!K$1:K$100,MATCH('Print View'!$A185,'Coverage Indicators - Section D'!$A$1:$A$100,0))&lt;&gt;0,INDEX('Coverage Indicators - Section D'!K$1:K$100,MATCH('Print View'!$A185,'Coverage Indicators - Section D'!$A$1:$A$100,0)),""),"")</f>
        <v>Yes</v>
      </c>
      <c r="I185" s="407" t="str">
        <f ca="1">IFERROR(IF(INDEX('Coverage Indicators - Section D'!L$1:L$100,MATCH('Print View'!$A185,'Coverage Indicators - Section D'!$A$1:$A$100,0))&lt;&gt;0,INDEX('Coverage Indicators - Section D'!L$1:L$100,MATCH('Print View'!$A185,'Coverage Indicators - Section D'!$A$1:$A$100,0)),""),"")</f>
        <v>Alliance Nationale Contre Le Sida en Cote D'Ivoire</v>
      </c>
      <c r="J185" s="405"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Côte d'Ivoire
Geographic Subnational, less than 100% national program target</v>
      </c>
      <c r="K185" s="405" t="str">
        <f ca="1">IFERROR(IF(INDEX('Coverage Indicators - Section D'!N$1:N$100,MATCH('Print View'!$A185,'Coverage Indicators - Section D'!$A$1:$A$100,0))&lt;&gt;0,INDEX('Coverage Indicators - Section D'!N$1:N$100,MATCH('Print View'!$A185,'Coverage Indicators - Section D'!$A$1:$A$100,0)),""),"")</f>
        <v>Non cumulative – other</v>
      </c>
      <c r="L185" s="405" t="str">
        <f ca="1">IFERROR(IF(INDEX('Coverage Indicators - Section D'!O$1:O$100,MATCH('Print View'!$A185,'Coverage Indicators - Section D'!$A$1:$A$100,0))&lt;&gt;0,INDEX('Coverage Indicators - Section D'!O$1:O$100,MATCH('Print View'!$A185,'Coverage Indicators - Section D'!$A$1:$A$100,0)),""),"")&amp;"/"&amp;IFERROR(IF(INDEX('Coverage Indicators - Section D'!O$1:O$100,MATCH('Print View'!$A185,'Coverage Indicators - Section D'!$A$1:$A$100,0)+1)&lt;&gt;0,INDEX('Coverage Indicators - Section D'!O$1:O$100,MATCH('Print View'!$A185,'Coverage Indicators - Section D'!$A$1:$A$100,0)+1),""),"")&amp;CHAR(10)&amp;IFERROR(IF(INDEX('Coverage Indicators - Section D'!P$1:P$100,MATCH('Print View'!$A185,'Coverage Indicators - Section D'!$A$1:$A$100,0))&lt;&gt;0,TEXT(INDEX('Coverage Indicators - Section D'!P$1:P$100,MATCH('Print View'!$A185,'Coverage Indicators - Section D'!$A$1:$A$100,0)),"0.00%"),""),"")&amp;CHAR(10)&amp;IFERROR(IF(INDEX('Coverage Indicators - Section D'!Q$1:Q$100,MATCH('Print View'!$A185,'Coverage Indicators - Section D'!$A$1:$A$100,0))&lt;&gt;0,INDEX('Coverage Indicators - Section D'!Q$1:Q$100,MATCH('Print View'!$A185,'Coverage Indicators - Section D'!$A$1:$A$100,0)),""),"")</f>
        <v xml:space="preserve">55.814/473
11.80%
</v>
      </c>
      <c r="M185" s="406" t="str">
        <f ca="1">IFERROR(IF(INDEX('Coverage Indicators - Section D'!R$1:R$100,MATCH('Print View'!$A185,'Coverage Indicators - Section D'!$A$1:$A$100,0))&lt;&gt;0,INDEX('Coverage Indicators - Section D'!R$1:R$100,MATCH('Print View'!$A185,'Coverage Indicators - Section D'!$A$1:$A$100,0)),""),"")&amp;"/"&amp;IFERROR(IF(INDEX('Coverage Indicators - Section D'!R$1:R$100,MATCH('Print View'!$A185,'Coverage Indicators - Section D'!$A$1:$A$100,0)+1)&lt;&gt;0,INDEX('Coverage Indicators - Section D'!R$1:R$100,MATCH('Print View'!$A185,'Coverage Indicators - Section D'!$A$1:$A$100,0)+1),""),"")&amp;CHAR(10)&amp;IFERROR(IF(INDEX('Coverage Indicators - Section D'!S$1:S$100,MATCH('Print View'!$A185,'Coverage Indicators - Section D'!$A$1:$A$100,0))&lt;&gt;0,TEXT(INDEX('Coverage Indicators - Section D'!S$1:S$100,MATCH('Print View'!$A185,'Coverage Indicators - Section D'!$A$1:$A$100,0)),"0.00%"),""),"")&amp;CHAR(10)&amp;IFERROR(IF(INDEX('Coverage Indicators - Section D'!T$1:T$100,MATCH('Print View'!$A185,'Coverage Indicators - Section D'!$A$1:$A$100,0))&lt;&gt;0,INDEX('Coverage Indicators - Section D'!T$1:T$100,MATCH('Print View'!$A185,'Coverage Indicators - Section D'!$A$1:$A$100,0)),""),"")</f>
        <v xml:space="preserve">111.628/473
23.60%
</v>
      </c>
      <c r="N185" s="405" t="str">
        <f ca="1">IFERROR(IF(INDEX('Coverage Indicators - Section D'!U$1:U$100,MATCH('Print View'!$A185,'Coverage Indicators - Section D'!$A$1:$A$100,0))&lt;&gt;0,INDEX('Coverage Indicators - Section D'!U$1:U$100,MATCH('Print View'!$A185,'Coverage Indicators - Section D'!$A$1:$A$100,0)),""),"")&amp;"/"&amp;IFERROR(IF(INDEX('Coverage Indicators - Section D'!U$1:U$100,MATCH('Print View'!$A185,'Coverage Indicators - Section D'!$A$1:$A$100,0)+1)&lt;&gt;0,INDEX('Coverage Indicators - Section D'!U$1:U$100,MATCH('Print View'!$A185,'Coverage Indicators - Section D'!$A$1:$A$100,0)+1),""),"")&amp;CHAR(10)&amp;IFERROR(IF(INDEX('Coverage Indicators - Section D'!V$1:V$100,MATCH('Print View'!$A185,'Coverage Indicators - Section D'!$A$1:$A$100,0))&lt;&gt;0,TEXT(INDEX('Coverage Indicators - Section D'!V$1:V$100,MATCH('Print View'!$A185,'Coverage Indicators - Section D'!$A$1:$A$100,0)),"0.00%"),""),"")&amp;CHAR(10)&amp;IFERROR(IF(INDEX('Coverage Indicators - Section D'!W$1:W$100,MATCH('Print View'!$A185,'Coverage Indicators - Section D'!$A$1:$A$100,0))&lt;&gt;0,INDEX('Coverage Indicators - Section D'!W$1:W$100,MATCH('Print View'!$A185,'Coverage Indicators - Section D'!$A$1:$A$100,0)),""),"")</f>
        <v xml:space="preserve">57.23/485
11.80%
</v>
      </c>
      <c r="O185" s="406" t="str">
        <f ca="1">IFERROR(IF(INDEX('Coverage Indicators - Section D'!X$1:X$100,MATCH('Print View'!$A185,'Coverage Indicators - Section D'!$A$1:$A$100,0))&lt;&gt;0,INDEX('Coverage Indicators - Section D'!X$1:X$100,MATCH('Print View'!$A185,'Coverage Indicators - Section D'!$A$1:$A$100,0)),""),"")&amp;"/"&amp;IFERROR(IF(INDEX('Coverage Indicators - Section D'!X$1:X$100,MATCH('Print View'!$A185,'Coverage Indicators - Section D'!$A$1:$A$100,0)+1)&lt;&gt;0,INDEX('Coverage Indicators - Section D'!X$1:X$100,MATCH('Print View'!$A185,'Coverage Indicators - Section D'!$A$1:$A$100,0)+1),""),"")&amp;CHAR(10)&amp;IFERROR(IF(INDEX('Coverage Indicators - Section D'!Y$1:Y$100,MATCH('Print View'!$A185,'Coverage Indicators - Section D'!$A$1:$A$100,0))&lt;&gt;0,TEXT(INDEX('Coverage Indicators - Section D'!Y$1:Y$100,MATCH('Print View'!$A185,'Coverage Indicators - Section D'!$A$1:$A$100,0)),"0.00%"),""),"")&amp;CHAR(10)&amp;IFERROR(IF(INDEX('Coverage Indicators - Section D'!Z$1:Z$100,MATCH('Print View'!$A185,'Coverage Indicators - Section D'!$A$1:$A$100,0))&lt;&gt;0,INDEX('Coverage Indicators - Section D'!Z$1:Z$100,MATCH('Print View'!$A185,'Coverage Indicators - Section D'!$A$1:$A$100,0)),""),"")</f>
        <v xml:space="preserve">114.46/485
23.60%
</v>
      </c>
      <c r="P185" s="406" t="str">
        <f ca="1">IFERROR(IF(INDEX('Coverage Indicators - Section D'!AA$1:AA$100,MATCH('Print View'!$A185,'Coverage Indicators - Section D'!$A$1:$A$100,0))&lt;&gt;0,INDEX('Coverage Indicators - Section D'!AA$1:AA$100,MATCH('Print View'!$A185,'Coverage Indicators - Section D'!$A$1:$A$100,0)),""),"")&amp;"/"&amp;IFERROR(IF(INDEX('Coverage Indicators - Section D'!AA$1:AA$100,MATCH('Print View'!$A185,'Coverage Indicators - Section D'!$A$1:$A$100,0)+1)&lt;&gt;0,INDEX('Coverage Indicators - Section D'!AA$1:AA$100,MATCH('Print View'!$A185,'Coverage Indicators - Section D'!$A$1:$A$100,0)+1),""),"")&amp;CHAR(10)&amp;IFERROR(IF(INDEX('Coverage Indicators - Section D'!AB$1:AB$100,MATCH('Print View'!$A185,'Coverage Indicators - Section D'!$A$1:$A$100,0))&lt;&gt;0,TEXT(INDEX('Coverage Indicators - Section D'!AB$1:AB$100,MATCH('Print View'!$A185,'Coverage Indicators - Section D'!$A$1:$A$100,0)),"0.00%"),""),"")&amp;CHAR(10)&amp;IFERROR(IF(INDEX('Coverage Indicators - Section D'!AC$1:AC$100,MATCH('Print View'!$A185,'Coverage Indicators - Section D'!$A$1:$A$100,0))&lt;&gt;0,INDEX('Coverage Indicators - Section D'!AC$1:AC$100,MATCH('Print View'!$A185,'Coverage Indicators - Section D'!$A$1:$A$100,0)),""),"")</f>
        <v xml:space="preserve">58.646/497
11.80%
</v>
      </c>
      <c r="Q185" s="406" t="str">
        <f ca="1">IFERROR(IF(INDEX('Coverage Indicators - Section D'!AD$1:AD$100,MATCH('Print View'!$A185,'Coverage Indicators - Section D'!$A$1:$A$100,0))&lt;&gt;0,INDEX('Coverage Indicators - Section D'!AD$1:AD$100,MATCH('Print View'!$A185,'Coverage Indicators - Section D'!$A$1:$A$100,0)),""),"")&amp;"/"&amp;IFERROR(IF(INDEX('Coverage Indicators - Section D'!AD$1:AD$100,MATCH('Print View'!$A185,'Coverage Indicators - Section D'!$A$1:$A$100,0)+1)&lt;&gt;0,INDEX('Coverage Indicators - Section D'!AD$1:AD$100,MATCH('Print View'!$A185,'Coverage Indicators - Section D'!$A$1:$A$100,0)+1),""),"")&amp;CHAR(10)&amp;IFERROR(IF(INDEX('Coverage Indicators - Section D'!AE$1:AE$100,MATCH('Print View'!$A185,'Coverage Indicators - Section D'!$A$1:$A$100,0))&lt;&gt;0,TEXT(INDEX('Coverage Indicators - Section D'!AE$1:AE$100,MATCH('Print View'!$A185,'Coverage Indicators - Section D'!$A$1:$A$100,0)),"0.00%"),""),"")&amp;CHAR(10)&amp;IFERROR(IF(INDEX('Coverage Indicators - Section D'!AF$1:AF$100,MATCH('Print View'!$A185,'Coverage Indicators - Section D'!$A$1:$A$100,0))&lt;&gt;0,INDEX('Coverage Indicators - Section D'!AF$1:AF$100,MATCH('Print View'!$A185,'Coverage Indicators - Section D'!$A$1:$A$100,0)),""),"")</f>
        <v xml:space="preserve">117.292/497
23.60%
</v>
      </c>
      <c r="R185" s="406" t="str">
        <f ca="1">IFERROR(IF(INDEX('Coverage Indicators - Section D'!AG$1:AG$100,MATCH('Print View'!$A185,'Coverage Indicators - Section D'!$A$1:$A$100,0))&lt;&gt;0,INDEX('Coverage Indicators - Section D'!AG$1:AG$100,MATCH('Print View'!$A185,'Coverage Indicators - Section D'!$A$1:$A$100,0)),""),"")&amp;"/"&amp;IFERROR(IF(INDEX('Coverage Indicators - Section D'!AG$1:AG$100,MATCH('Print View'!$A185,'Coverage Indicators - Section D'!$A$1:$A$100,0)+1)&lt;&gt;0,INDEX('Coverage Indicators - Section D'!AG$1:AG$100,MATCH('Print View'!$A185,'Coverage Indicators - Section D'!$A$1:$A$100,0)+1),""),"")&amp;CHAR(10)&amp;IFERROR(IF(INDEX('Coverage Indicators - Section D'!AH$1:AH$100,MATCH('Print View'!$A185,'Coverage Indicators - Section D'!$A$1:$A$100,0))&lt;&gt;0,TEXT(INDEX('Coverage Indicators - Section D'!AH$1:AH$100,MATCH('Print View'!$A185,'Coverage Indicators - Section D'!$A$1:$A$100,0)),"0.00%"),""),"")&amp;CHAR(10)&amp;IFERROR(IF(INDEX('Coverage Indicators - Section D'!AI$1:AI$100,MATCH('Print View'!$A185,'Coverage Indicators - Section D'!$A$1:$A$100,0))&lt;&gt;0,INDEX('Coverage Indicators - Section D'!AI$1:AI$100,MATCH('Print View'!$A185,'Coverage Indicators - Section D'!$A$1:$A$100,0)),""),"")</f>
        <v xml:space="preserve">/
</v>
      </c>
      <c r="S185" s="406" t="str">
        <f ca="1">IFERROR(IF(INDEX('Coverage Indicators - Section D'!AJ$1:AJ$100,MATCH('Print View'!$A185,'Coverage Indicators - Section D'!$A$1:$A$100,0))&lt;&gt;0,INDEX('Coverage Indicators - Section D'!AJ$1:AJ$100,MATCH('Print View'!$A185,'Coverage Indicators - Section D'!$A$1:$A$100,0)),""),"")&amp;"/"&amp;IFERROR(IF(INDEX('Coverage Indicators - Section D'!AJ$1:AJ$100,MATCH('Print View'!$A185,'Coverage Indicators - Section D'!$A$1:$A$100,0)+1)&lt;&gt;0,INDEX('Coverage Indicators - Section D'!AJ$1:AJ$100,MATCH('Print View'!$A185,'Coverage Indicators - Section D'!$A$1:$A$100,0)+1),""),"")&amp;CHAR(10)&amp;IFERROR(IF(INDEX('Coverage Indicators - Section D'!AK$1:AK$100,MATCH('Print View'!$A185,'Coverage Indicators - Section D'!$A$1:$A$100,0))&lt;&gt;0,TEXT(INDEX('Coverage Indicators - Section D'!AK$1:AK$100,MATCH('Print View'!$A185,'Coverage Indicators - Section D'!$A$1:$A$100,0)),"0.00%"),""),"")&amp;CHAR(10)&amp;IFERROR(IF(INDEX('Coverage Indicators - Section D'!AL$1:AL$100,MATCH('Print View'!$A185,'Coverage Indicators - Section D'!$A$1:$A$100,0))&lt;&gt;0,INDEX('Coverage Indicators - Section D'!AL$1:AL$100,MATCH('Print View'!$A185,'Coverage Indicators - Section D'!$A$1:$A$100,0)),""),"")</f>
        <v xml:space="preserve">/
</v>
      </c>
      <c r="T185" s="385"/>
      <c r="U185" s="216"/>
      <c r="V185" s="216"/>
      <c r="W185" s="216"/>
      <c r="X185" s="216"/>
      <c r="Y185" s="216"/>
      <c r="Z185" s="216"/>
      <c r="AA185" s="216"/>
      <c r="AB185" s="216"/>
      <c r="AC185" s="216"/>
      <c r="AD185" s="216"/>
      <c r="AE185" s="216"/>
      <c r="AF185" s="216"/>
      <c r="AG185" s="216"/>
      <c r="AH185" s="216"/>
      <c r="AI185" s="216"/>
      <c r="AJ185" s="216"/>
      <c r="AK185" s="216"/>
      <c r="AL185" s="216"/>
      <c r="AM185" s="216"/>
      <c r="AN185" s="216"/>
      <c r="AO185" s="216">
        <f ca="1">IFERROR(IF(INDEX('Coverage Indicators - Section D'!AD$1:AD$110,MATCH('Print View'!$A185,'Coverage Indicators - Section D'!$A$1:$A$110,0))&lt;&gt;0,INDEX('Coverage Indicators - Section D'!AD$1:AD$110,MATCH('Print View'!$A185,'Coverage Indicators - Section D'!$A$1:$A$110,0)),""),"")</f>
        <v>117.292</v>
      </c>
      <c r="AP185" s="216"/>
      <c r="AQ185" s="216"/>
      <c r="AR185" s="216"/>
      <c r="AS185" s="216"/>
      <c r="AT185" s="711" t="str">
        <f ca="1">CONCATENATE($A185,N$147)</f>
        <v>1930-Jun-22</v>
      </c>
      <c r="AU185" s="710" t="str">
        <f ca="1">CONCATENATE($A185,Q$147)</f>
        <v>1931-Dec-23</v>
      </c>
      <c r="AV185" s="710" t="str">
        <f t="shared" ref="AV185" si="130">CONCATENATE($A185,V$147)</f>
        <v>19</v>
      </c>
      <c r="AW185" s="710" t="str">
        <f t="shared" ref="AW185" si="131">CONCATENATE($A185,Y$147)</f>
        <v>19</v>
      </c>
      <c r="AX185" s="710" t="str">
        <f t="shared" ref="AX185" si="132">CONCATENATE($A185,AB$147)</f>
        <v>19</v>
      </c>
      <c r="AY185" s="710" t="str">
        <f t="shared" ref="AY185" si="133">CONCATENATE($A185,AE$147)</f>
        <v>19</v>
      </c>
      <c r="AZ185" s="710" t="str">
        <f t="shared" ref="AZ185" si="134">CONCATENATE($A185,AH$147)</f>
        <v>19</v>
      </c>
      <c r="BA185" s="710" t="str">
        <f t="shared" ref="BA185" si="135">CONCATENATE($A185,AK$147)</f>
        <v>19</v>
      </c>
      <c r="BB185" s="409"/>
      <c r="BC185" s="410"/>
    </row>
    <row r="186" spans="1:55" s="411" customFormat="1" ht="88.2" customHeight="1" x14ac:dyDescent="0.3">
      <c r="A186" s="709"/>
      <c r="B186" s="714" t="str">
        <f ca="1">IFERROR(IF(INDEX('Coverage Indicators - Section D'!AM$1:AM$110,MATCH('Print View'!$A185,'Coverage Indicators - Section D'!$A$1:$A$110,0))&lt;&gt;0,INDEX('Coverage Indicators - Section D'!AM$1:AM$110,MATCH('Print View'!$A185,'Coverage Indicators - Section D'!$A$1:$A$110,0)),""),"")</f>
        <v>Selon les données de routine d'Alliance Côte d'Ivoire 2019, 197 cas présumés de violence ou de violation des droits humains ont été rapportés sur les 39 districts pour une population estimée de 9 millions d’habitants, soit 0,002%. 
Pour le NFM3, Alliance Côte d’Ivoire couvre 86 districts sanitaires avec une population estimée par année de :
2021 :                      27 183 326   
2022 :                      27 890 093   
2023 :                       28 615 235   
La méthodologie d’estimation de la taille des cas présumés de violence ou de violation des droits humains a été faite en appliquant le taux de 0,002% à la population estimée.
2021 : 27 183 326*0,002% =  576   
2022 : 27 890 093*0,002% =  591   
2023 : 28 615 235*0,002% =  607   
Au niveau des cas présumés de violence ou de violation des droits humains, selon les données de routine 2019, on note que 82% (161/197) ont été validés (NB : Un cas validé est un cas présumé de violence ou de violation des droits humains en lien de causalité entre le dommage subi et la stigmatisation et la discrimination). 
Cette proportion issue de nos données de routine (2019) a permis d’estimer l’effectif des cas validés d’année en année. Soit :
2021 :  576*82% = 473 
2022 :  591*82% = 485 
2023 :  607*82% = 497 
Relativement à la couverture de 23,6% des cas notifiés (38/161) au 31 décembre 2019 (données de base), les projections dans les 86 districts pour le compte du NFM3 d’Alliance Côte d‘Ivoire concernant les PVVIH et population clés bénéficiant d'assistance juridique et judiciaire seront maintenues à 23,6% des cas notifiés chaque année (de 2021 à 2023).
Ainsi, les cibles ci-dessous ont été obtenues : 
             2021 : 	                 473*23,6% =  112 
             2022 : 	                 485*23,6% =  114 
             2023 : 	                 497*23,6% =  117 
N : nombre de PVVIH et population clés bénéficiant d'assistance juridique et judiciaire
D : Nombre de cas validés (Les cas validés sont définis comme tout cas présumé en lien de causalité entre le dommage subi et la stigmation et la discrimination).</v>
      </c>
      <c r="C186" s="715"/>
      <c r="D186" s="715"/>
      <c r="E186" s="715"/>
      <c r="F186" s="715"/>
      <c r="G186" s="715"/>
      <c r="H186" s="715"/>
      <c r="I186" s="715"/>
      <c r="J186" s="715"/>
      <c r="K186" s="715"/>
      <c r="L186" s="715"/>
      <c r="M186" s="715"/>
      <c r="N186" s="715"/>
      <c r="O186" s="715"/>
      <c r="P186" s="715"/>
      <c r="Q186" s="715"/>
      <c r="R186" s="715"/>
      <c r="S186" s="716"/>
      <c r="T186" s="412"/>
      <c r="U186" s="216"/>
      <c r="V186" s="216"/>
      <c r="W186" s="216"/>
      <c r="X186" s="216"/>
      <c r="Y186" s="216"/>
      <c r="Z186" s="216"/>
      <c r="AA186" s="216"/>
      <c r="AB186" s="216"/>
      <c r="AC186" s="216"/>
      <c r="AD186" s="216"/>
      <c r="AE186" s="216"/>
      <c r="AF186" s="216"/>
      <c r="AG186" s="216"/>
      <c r="AH186" s="216"/>
      <c r="AI186" s="216"/>
      <c r="AJ186" s="216"/>
      <c r="AK186" s="216"/>
      <c r="AL186" s="216"/>
      <c r="AM186" s="216"/>
      <c r="AN186" s="216"/>
      <c r="AO186" s="216"/>
      <c r="AP186" s="216"/>
      <c r="AQ186" s="216"/>
      <c r="AR186" s="216"/>
      <c r="AS186" s="216"/>
      <c r="AT186" s="711"/>
      <c r="AU186" s="710"/>
      <c r="AV186" s="710"/>
      <c r="AW186" s="710"/>
      <c r="AX186" s="710"/>
      <c r="AY186" s="710"/>
      <c r="AZ186" s="710"/>
      <c r="BA186" s="710"/>
      <c r="BB186" s="409"/>
      <c r="BC186" s="410"/>
    </row>
    <row r="187" spans="1:55" s="411" customFormat="1" ht="177" customHeight="1" x14ac:dyDescent="0.3">
      <c r="A187" s="712">
        <v>20</v>
      </c>
      <c r="B187" s="380" t="str">
        <f ca="1">IFERROR(IF(INDEX('Coverage Indicators - Section D'!B$1:B$100,MATCH('Print View'!$A187,'Coverage Indicators - Section D'!$A$1:$A$100,0))&lt;&gt;0,INDEX('Coverage Indicators - Section D'!B$1:B$100,MATCH('Print View'!$A187,'Coverage Indicators - Section D'!$A$1:$A$100,0)),""),"")</f>
        <v>Services de dépistage différencié du VIH</v>
      </c>
      <c r="C187" s="380" t="str">
        <f ca="1">IFERROR(IF(INDEX('Coverage Indicators - Section D'!D$1:D$100,MATCH('Print View'!$A187,'Coverage Indicators - Section D'!$A$1:$A$100,0))&lt;&gt;0,INDEX('Coverage Indicators - Section D'!D$1:D$100,MATCH('Print View'!$A187,'Coverage Indicators - Section D'!$A$1:$A$100,0)),""),"")</f>
        <v/>
      </c>
      <c r="D187" s="380" t="str">
        <f ca="1">IFERROR(IF(INDEX('Coverage Indicators - Section D'!E$1:E$100,MATCH('Print View'!$A187,'Coverage Indicators - Section D'!$A$1:$A$100,0))&lt;&gt;0,INDEX('Coverage Indicators - Section D'!E$1:E$100,MATCH('Print View'!$A187,'Coverage Indicators - Section D'!$A$1:$A$100,0)),""),"")</f>
        <v xml:space="preserve">Pourcentage des Hommes âgés de 25 ans et plus dépistés pour le VIH et ayant reçu le résultat du test chaque année </v>
      </c>
      <c r="E187" s="381" t="str">
        <f ca="1">IFERROR(IF(INDEX('Coverage Indicators - Section D'!F$1:F$100,MATCH('Print View'!$A187,'Coverage Indicators - Section D'!$A$1:$A$100,0))&lt;&gt;0,INDEX('Coverage Indicators - Section D'!F$1:F$100,MATCH('Print View'!$A187,'Coverage Indicators - Section D'!$A$1:$A$100,0)),""),"")&amp;"/"&amp;IFERROR(IF(INDEX('Coverage Indicators - Section D'!F$1:F$100,MATCH('Print View'!$A187,'Coverage Indicators - Section D'!$A$1:$A$100,0)+1)&lt;&gt;0,INDEX('Coverage Indicators - Section D'!F$1:F$100,MATCH('Print View'!$A187,'Coverage Indicators - Section D'!$A$1:$A$100,0)+1),""),"")&amp;CHAR(10)&amp;IFERROR(IF(INDEX('Coverage Indicators - Section D'!G$1:G$100,MATCH('Print View'!$A187,'Coverage Indicators - Section D'!$A$1:$A$100,0))&lt;&gt;0,TEXT(INDEX('Coverage Indicators - Section D'!G$1:G$100,MATCH('Print View'!$A187,'Coverage Indicators - Section D'!$A$1:$A$100,0)),"0.00%"),""),"")</f>
        <v>64820/307147.17579
21.10%</v>
      </c>
      <c r="F187" s="413"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2019
Alliance CI Routine data (Base de données)</v>
      </c>
      <c r="G187" s="414" t="str">
        <f>IFERROR(IF(INDEX('Coverage Indicators - Section D'!J45:J74,MATCH('Print View'!$A187,'Coverage Indicators - Section D'!$A$9:$A$38,0))&lt;&gt;0,INDEX('Coverage Indicators - Section D'!J45:J74,MATCH('Print View'!$A187,'Coverage Indicators - Section D'!$A$9:$A$38,0)),""),"")</f>
        <v/>
      </c>
      <c r="H187" s="413" t="str">
        <f ca="1">IFERROR(IF(INDEX('Coverage Indicators - Section D'!K$1:K$100,MATCH('Print View'!$A187,'Coverage Indicators - Section D'!$A$1:$A$100,0))&lt;&gt;0,INDEX('Coverage Indicators - Section D'!K$1:K$100,MATCH('Print View'!$A187,'Coverage Indicators - Section D'!$A$1:$A$100,0)),""),"")</f>
        <v>Yes</v>
      </c>
      <c r="I187" s="414" t="str">
        <f ca="1">IFERROR(IF(INDEX('Coverage Indicators - Section D'!L$1:L$100,MATCH('Print View'!$A187,'Coverage Indicators - Section D'!$A$1:$A$100,0))&lt;&gt;0,INDEX('Coverage Indicators - Section D'!L$1:L$100,MATCH('Print View'!$A187,'Coverage Indicators - Section D'!$A$1:$A$100,0)),""),"")</f>
        <v>Alliance Nationale Contre Le Sida en Cote D'Ivoire</v>
      </c>
      <c r="J187" s="413"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Côte d'Ivoire
Geographic Subnational, less than 100% national program target</v>
      </c>
      <c r="K187" s="413" t="str">
        <f ca="1">IFERROR(IF(INDEX('Coverage Indicators - Section D'!N$1:N$100,MATCH('Print View'!$A187,'Coverage Indicators - Section D'!$A$1:$A$100,0))&lt;&gt;0,INDEX('Coverage Indicators - Section D'!N$1:N$100,MATCH('Print View'!$A187,'Coverage Indicators - Section D'!$A$1:$A$100,0)),""),"")</f>
        <v>Non cumulative – other</v>
      </c>
      <c r="L187" s="415" t="str">
        <f ca="1">IFERROR(IF(INDEX('Coverage Indicators - Section D'!O$1:O$100,MATCH('Print View'!$A187,'Coverage Indicators - Section D'!$A$1:$A$100,0))&lt;&gt;0,INDEX('Coverage Indicators - Section D'!O$1:O$100,MATCH('Print View'!$A187,'Coverage Indicators - Section D'!$A$1:$A$100,0)),""),"")&amp;"/"&amp;IFERROR(IF(INDEX('Coverage Indicators - Section D'!O$1:O$100,MATCH('Print View'!$A187,'Coverage Indicators - Section D'!$A$1:$A$100,0)+1)&lt;&gt;0,INDEX('Coverage Indicators - Section D'!O$1:O$100,MATCH('Print View'!$A187,'Coverage Indicators - Section D'!$A$1:$A$100,0)+1),""),"")&amp;CHAR(10)&amp;IFERROR(IF(INDEX('Coverage Indicators - Section D'!P$1:P$100,MATCH('Print View'!$A187,'Coverage Indicators - Section D'!$A$1:$A$100,0))&lt;&gt;0,TEXT(INDEX('Coverage Indicators - Section D'!P$1:P$100,MATCH('Print View'!$A187,'Coverage Indicators - Section D'!$A$1:$A$100,0)),"0.00%"),""),"")&amp;CHAR(10)&amp;IFERROR(IF(INDEX('Coverage Indicators - Section D'!Q$1:Q$100,MATCH('Print View'!$A187,'Coverage Indicators - Section D'!$A$1:$A$100,0))&lt;&gt;0,INDEX('Coverage Indicators - Section D'!Q$1:Q$100,MATCH('Print View'!$A187,'Coverage Indicators - Section D'!$A$1:$A$100,0)),""),"")</f>
        <v xml:space="preserve">34918.845/232792.3
15.00%
</v>
      </c>
      <c r="M187" s="415" t="str">
        <f ca="1">IFERROR(IF(INDEX('Coverage Indicators - Section D'!R$1:R$100,MATCH('Print View'!$A187,'Coverage Indicators - Section D'!$A$1:$A$100,0))&lt;&gt;0,INDEX('Coverage Indicators - Section D'!R$1:R$100,MATCH('Print View'!$A187,'Coverage Indicators - Section D'!$A$1:$A$100,0)),""),"")&amp;"/"&amp;IFERROR(IF(INDEX('Coverage Indicators - Section D'!R$1:R$100,MATCH('Print View'!$A187,'Coverage Indicators - Section D'!$A$1:$A$100,0)+1)&lt;&gt;0,INDEX('Coverage Indicators - Section D'!R$1:R$100,MATCH('Print View'!$A187,'Coverage Indicators - Section D'!$A$1:$A$100,0)+1),""),"")&amp;CHAR(10)&amp;IFERROR(IF(INDEX('Coverage Indicators - Section D'!S$1:S$100,MATCH('Print View'!$A187,'Coverage Indicators - Section D'!$A$1:$A$100,0))&lt;&gt;0,TEXT(INDEX('Coverage Indicators - Section D'!S$1:S$100,MATCH('Print View'!$A187,'Coverage Indicators - Section D'!$A$1:$A$100,0)),"0.00%"),""),"")&amp;CHAR(10)&amp;IFERROR(IF(INDEX('Coverage Indicators - Section D'!T$1:T$100,MATCH('Print View'!$A187,'Coverage Indicators - Section D'!$A$1:$A$100,0))&lt;&gt;0,INDEX('Coverage Indicators - Section D'!T$1:T$100,MATCH('Print View'!$A187,'Coverage Indicators - Section D'!$A$1:$A$100,0)),""),"")</f>
        <v xml:space="preserve">69837.69/232792.3
30.00%
</v>
      </c>
      <c r="N187" s="415" t="str">
        <f ca="1">IFERROR(IF(INDEX('Coverage Indicators - Section D'!U$1:U$100,MATCH('Print View'!$A187,'Coverage Indicators - Section D'!$A$1:$A$100,0))&lt;&gt;0,INDEX('Coverage Indicators - Section D'!U$1:U$100,MATCH('Print View'!$A187,'Coverage Indicators - Section D'!$A$1:$A$100,0)),""),"")&amp;"/"&amp;IFERROR(IF(INDEX('Coverage Indicators - Section D'!U$1:U$100,MATCH('Print View'!$A187,'Coverage Indicators - Section D'!$A$1:$A$100,0)+1)&lt;&gt;0,INDEX('Coverage Indicators - Section D'!U$1:U$100,MATCH('Print View'!$A187,'Coverage Indicators - Section D'!$A$1:$A$100,0)+1),""),"")&amp;CHAR(10)&amp;IFERROR(IF(INDEX('Coverage Indicators - Section D'!V$1:V$100,MATCH('Print View'!$A187,'Coverage Indicators - Section D'!$A$1:$A$100,0))&lt;&gt;0,TEXT(INDEX('Coverage Indicators - Section D'!V$1:V$100,MATCH('Print View'!$A187,'Coverage Indicators - Section D'!$A$1:$A$100,0)),"0.00%"),""),"")&amp;CHAR(10)&amp;IFERROR(IF(INDEX('Coverage Indicators - Section D'!W$1:W$100,MATCH('Print View'!$A187,'Coverage Indicators - Section D'!$A$1:$A$100,0))&lt;&gt;0,INDEX('Coverage Indicators - Section D'!W$1:W$100,MATCH('Print View'!$A187,'Coverage Indicators - Section D'!$A$1:$A$100,0)),""),"")</f>
        <v xml:space="preserve">35826.726/238844.84
15.00%
</v>
      </c>
      <c r="O187" s="415" t="str">
        <f ca="1">IFERROR(IF(INDEX('Coverage Indicators - Section D'!X$1:X$100,MATCH('Print View'!$A187,'Coverage Indicators - Section D'!$A$1:$A$100,0))&lt;&gt;0,INDEX('Coverage Indicators - Section D'!X$1:X$100,MATCH('Print View'!$A187,'Coverage Indicators - Section D'!$A$1:$A$100,0)),""),"")&amp;"/"&amp;IFERROR(IF(INDEX('Coverage Indicators - Section D'!X$1:X$100,MATCH('Print View'!$A187,'Coverage Indicators - Section D'!$A$1:$A$100,0)+1)&lt;&gt;0,INDEX('Coverage Indicators - Section D'!X$1:X$100,MATCH('Print View'!$A187,'Coverage Indicators - Section D'!$A$1:$A$100,0)+1),""),"")&amp;CHAR(10)&amp;IFERROR(IF(INDEX('Coverage Indicators - Section D'!Y$1:Y$100,MATCH('Print View'!$A187,'Coverage Indicators - Section D'!$A$1:$A$100,0))&lt;&gt;0,TEXT(INDEX('Coverage Indicators - Section D'!Y$1:Y$100,MATCH('Print View'!$A187,'Coverage Indicators - Section D'!$A$1:$A$100,0)),"0.00%"),""),"")&amp;CHAR(10)&amp;IFERROR(IF(INDEX('Coverage Indicators - Section D'!Z$1:Z$100,MATCH('Print View'!$A187,'Coverage Indicators - Section D'!$A$1:$A$100,0))&lt;&gt;0,INDEX('Coverage Indicators - Section D'!Z$1:Z$100,MATCH('Print View'!$A187,'Coverage Indicators - Section D'!$A$1:$A$100,0)),""),"")</f>
        <v xml:space="preserve">71653.452/238844.84
30.00%
</v>
      </c>
      <c r="P187" s="415" t="str">
        <f ca="1">IFERROR(IF(INDEX('Coverage Indicators - Section D'!AA$1:AA$100,MATCH('Print View'!$A187,'Coverage Indicators - Section D'!$A$1:$A$100,0))&lt;&gt;0,INDEX('Coverage Indicators - Section D'!AA$1:AA$100,MATCH('Print View'!$A187,'Coverage Indicators - Section D'!$A$1:$A$100,0)),""),"")&amp;"/"&amp;IFERROR(IF(INDEX('Coverage Indicators - Section D'!AA$1:AA$100,MATCH('Print View'!$A187,'Coverage Indicators - Section D'!$A$1:$A$100,0)+1)&lt;&gt;0,INDEX('Coverage Indicators - Section D'!AA$1:AA$100,MATCH('Print View'!$A187,'Coverage Indicators - Section D'!$A$1:$A$100,0)+1),""),"")&amp;CHAR(10)&amp;IFERROR(IF(INDEX('Coverage Indicators - Section D'!AB$1:AB$100,MATCH('Print View'!$A187,'Coverage Indicators - Section D'!$A$1:$A$100,0))&lt;&gt;0,TEXT(INDEX('Coverage Indicators - Section D'!AB$1:AB$100,MATCH('Print View'!$A187,'Coverage Indicators - Section D'!$A$1:$A$100,0)),"0.00%"),""),"")&amp;CHAR(10)&amp;IFERROR(IF(INDEX('Coverage Indicators - Section D'!AC$1:AC$100,MATCH('Print View'!$A187,'Coverage Indicators - Section D'!$A$1:$A$100,0))&lt;&gt;0,INDEX('Coverage Indicators - Section D'!AC$1:AC$100,MATCH('Print View'!$A187,'Coverage Indicators - Section D'!$A$1:$A$100,0)),""),"")</f>
        <v xml:space="preserve">36758.241/245054.94
15.00%
</v>
      </c>
      <c r="Q187" s="415" t="str">
        <f ca="1">IFERROR(IF(INDEX('Coverage Indicators - Section D'!AD$1:AD$100,MATCH('Print View'!$A187,'Coverage Indicators - Section D'!$A$1:$A$100,0))&lt;&gt;0,INDEX('Coverage Indicators - Section D'!AD$1:AD$100,MATCH('Print View'!$A187,'Coverage Indicators - Section D'!$A$1:$A$100,0)),""),"")&amp;"/"&amp;IFERROR(IF(INDEX('Coverage Indicators - Section D'!AD$1:AD$100,MATCH('Print View'!$A187,'Coverage Indicators - Section D'!$A$1:$A$100,0)+1)&lt;&gt;0,INDEX('Coverage Indicators - Section D'!AD$1:AD$100,MATCH('Print View'!$A187,'Coverage Indicators - Section D'!$A$1:$A$100,0)+1),""),"")&amp;CHAR(10)&amp;IFERROR(IF(INDEX('Coverage Indicators - Section D'!AE$1:AE$100,MATCH('Print View'!$A187,'Coverage Indicators - Section D'!$A$1:$A$100,0))&lt;&gt;0,TEXT(INDEX('Coverage Indicators - Section D'!AE$1:AE$100,MATCH('Print View'!$A187,'Coverage Indicators - Section D'!$A$1:$A$100,0)),"0.00%"),""),"")&amp;CHAR(10)&amp;IFERROR(IF(INDEX('Coverage Indicators - Section D'!AF$1:AF$100,MATCH('Print View'!$A187,'Coverage Indicators - Section D'!$A$1:$A$100,0))&lt;&gt;0,INDEX('Coverage Indicators - Section D'!AF$1:AF$100,MATCH('Print View'!$A187,'Coverage Indicators - Section D'!$A$1:$A$100,0)),""),"")</f>
        <v xml:space="preserve">73516.482/245054.94
30.00%
</v>
      </c>
      <c r="R187" s="415" t="str">
        <f ca="1">IFERROR(IF(INDEX('Coverage Indicators - Section D'!AG$1:AG$100,MATCH('Print View'!$A187,'Coverage Indicators - Section D'!$A$1:$A$100,0))&lt;&gt;0,INDEX('Coverage Indicators - Section D'!AG$1:AG$100,MATCH('Print View'!$A187,'Coverage Indicators - Section D'!$A$1:$A$100,0)),""),"")&amp;"/"&amp;IFERROR(IF(INDEX('Coverage Indicators - Section D'!AG$1:AG$100,MATCH('Print View'!$A187,'Coverage Indicators - Section D'!$A$1:$A$100,0)+1)&lt;&gt;0,INDEX('Coverage Indicators - Section D'!AG$1:AG$100,MATCH('Print View'!$A187,'Coverage Indicators - Section D'!$A$1:$A$100,0)+1),""),"")&amp;CHAR(10)&amp;IFERROR(IF(INDEX('Coverage Indicators - Section D'!AH$1:AH$100,MATCH('Print View'!$A187,'Coverage Indicators - Section D'!$A$1:$A$100,0))&lt;&gt;0,TEXT(INDEX('Coverage Indicators - Section D'!AH$1:AH$100,MATCH('Print View'!$A187,'Coverage Indicators - Section D'!$A$1:$A$100,0)),"0.00%"),""),"")&amp;CHAR(10)&amp;IFERROR(IF(INDEX('Coverage Indicators - Section D'!AI$1:AI$100,MATCH('Print View'!$A187,'Coverage Indicators - Section D'!$A$1:$A$100,0))&lt;&gt;0,INDEX('Coverage Indicators - Section D'!AI$1:AI$100,MATCH('Print View'!$A187,'Coverage Indicators - Section D'!$A$1:$A$100,0)),""),"")</f>
        <v xml:space="preserve">/
</v>
      </c>
      <c r="S187" s="415" t="str">
        <f ca="1">IFERROR(IF(INDEX('Coverage Indicators - Section D'!AJ$1:AJ$100,MATCH('Print View'!$A187,'Coverage Indicators - Section D'!$A$1:$A$100,0))&lt;&gt;0,INDEX('Coverage Indicators - Section D'!AJ$1:AJ$100,MATCH('Print View'!$A187,'Coverage Indicators - Section D'!$A$1:$A$100,0)),""),"")&amp;"/"&amp;IFERROR(IF(INDEX('Coverage Indicators - Section D'!AJ$1:AJ$100,MATCH('Print View'!$A187,'Coverage Indicators - Section D'!$A$1:$A$100,0)+1)&lt;&gt;0,INDEX('Coverage Indicators - Section D'!AJ$1:AJ$100,MATCH('Print View'!$A187,'Coverage Indicators - Section D'!$A$1:$A$100,0)+1),""),"")&amp;CHAR(10)&amp;IFERROR(IF(INDEX('Coverage Indicators - Section D'!AK$1:AK$100,MATCH('Print View'!$A187,'Coverage Indicators - Section D'!$A$1:$A$100,0))&lt;&gt;0,TEXT(INDEX('Coverage Indicators - Section D'!AK$1:AK$100,MATCH('Print View'!$A187,'Coverage Indicators - Section D'!$A$1:$A$100,0)),"0.00%"),""),"")&amp;CHAR(10)&amp;IFERROR(IF(INDEX('Coverage Indicators - Section D'!AL$1:AL$100,MATCH('Print View'!$A187,'Coverage Indicators - Section D'!$A$1:$A$100,0))&lt;&gt;0,INDEX('Coverage Indicators - Section D'!AL$1:AL$100,MATCH('Print View'!$A187,'Coverage Indicators - Section D'!$A$1:$A$100,0)),""),"")</f>
        <v xml:space="preserve">/
</v>
      </c>
      <c r="T187" s="416"/>
      <c r="U187" s="216"/>
      <c r="V187" s="216"/>
      <c r="W187" s="216"/>
      <c r="X187" s="216"/>
      <c r="Y187" s="216"/>
      <c r="Z187" s="216"/>
      <c r="AA187" s="216"/>
      <c r="AB187" s="216"/>
      <c r="AC187" s="216"/>
      <c r="AD187" s="216"/>
      <c r="AE187" s="216"/>
      <c r="AF187" s="216"/>
      <c r="AG187" s="216"/>
      <c r="AH187" s="216"/>
      <c r="AI187" s="216"/>
      <c r="AJ187" s="216"/>
      <c r="AK187" s="216"/>
      <c r="AL187" s="216"/>
      <c r="AM187" s="216"/>
      <c r="AN187" s="216"/>
      <c r="AO187" s="216">
        <f ca="1">IFERROR(IF(INDEX('Coverage Indicators - Section D'!AD$1:AD$110,MATCH('Print View'!$A187,'Coverage Indicators - Section D'!$A$1:$A$110,0))&lt;&gt;0,INDEX('Coverage Indicators - Section D'!AD$1:AD$110,MATCH('Print View'!$A187,'Coverage Indicators - Section D'!$A$1:$A$110,0)),""),"")</f>
        <v>73516.482000000004</v>
      </c>
      <c r="AP187" s="216"/>
      <c r="AQ187" s="216"/>
      <c r="AR187" s="216"/>
      <c r="AS187" s="216"/>
      <c r="AT187" s="711" t="str">
        <f ca="1">CONCATENATE($A187,N$147)</f>
        <v>2030-Jun-22</v>
      </c>
      <c r="AU187" s="710" t="str">
        <f ca="1">CONCATENATE($A187,Q$147)</f>
        <v>2031-Dec-23</v>
      </c>
      <c r="AV187" s="710" t="str">
        <f t="shared" ref="AV187" si="136">CONCATENATE($A187,V$147)</f>
        <v>20</v>
      </c>
      <c r="AW187" s="710" t="str">
        <f t="shared" ref="AW187" si="137">CONCATENATE($A187,Y$147)</f>
        <v>20</v>
      </c>
      <c r="AX187" s="710" t="str">
        <f t="shared" ref="AX187" si="138">CONCATENATE($A187,AB$147)</f>
        <v>20</v>
      </c>
      <c r="AY187" s="710" t="str">
        <f t="shared" ref="AY187" si="139">CONCATENATE($A187,AE$147)</f>
        <v>20</v>
      </c>
      <c r="AZ187" s="710" t="str">
        <f t="shared" ref="AZ187" si="140">CONCATENATE($A187,AH$147)</f>
        <v>20</v>
      </c>
      <c r="BA187" s="710" t="str">
        <f t="shared" ref="BA187" si="141">CONCATENATE($A187,AK$147)</f>
        <v>20</v>
      </c>
      <c r="BB187" s="409"/>
      <c r="BC187" s="410"/>
    </row>
    <row r="188" spans="1:55" s="411" customFormat="1" ht="88.2" customHeight="1" x14ac:dyDescent="0.3">
      <c r="A188" s="712"/>
      <c r="B188" s="717" t="str">
        <f ca="1">IFERROR(IF(INDEX('Coverage Indicators - Section D'!AM$1:AM$110,MATCH('Print View'!$A187,'Coverage Indicators - Section D'!$A$1:$A$110,0))&lt;&gt;0,INDEX('Coverage Indicators - Section D'!AM$1:AM$110,MATCH('Print View'!$A187,'Coverage Indicators - Section D'!$A$1:$A$110,0)),""),"")</f>
        <v>Le résultat de 2019 pour Alliance Côte d'Ivoire indique que 64.820 hommes de 25 ans et plus ont été dépistés pour le VIH et ont reçu le résultat sur un total estimé de 307.147 Hommes de 25 ans et plus, soit une couverture de 21,1% dans les 28 districts.
L’analyse des gaps programmatiques dans les 50 districts couverts par le NFM3 a montré qu’il y a 17 districts avec un gap au 1er 90 supérieur à 30%.
Par ailleurs selon l'analyse des gaps pour le 1er 90 en 2019, 26% des PVVIH Hommes adultes ne connaissent pas leur statut sérologique.
Ainsi, ce taux a été appliqué à la population estimée des hommes de 25 ans et plus au niveau des 17 districts (Données de population, projection INS) afin de déterminer la base des hommes de 25 ans et plus à toucher pour le dépistage.
Ce qui donne :
2021 : 232 792 = (895 355*26%)
2022 : 238 845 = (918 634*26%)
2023 : 245 055 = (942 519*26%)
Selon les projections du PSN 2021-2015 (Cadre de performance), les projections du pays sont de 15% en 2021, 19% en 2022 et 23% en 2023.
Au regard des données de routine, notre couverture au 31 décembre 2019 (données de base), chez les hommes de 25 ans et plus est de 21,1% (64.820/307.147). 
En tenant compte des deux (2) stratégies qui seront devéloppées (les Campagnes multi-maladies dans les entreprises et les activités de proximité couplée au dépistage) en direction des hommes de 25 ans et plus, les projections d’Alliance Côte d‘Ivoire seront maintenues à 30% de 2021 à 2023. 
Pour déterminer les hommes de 25 ans et plus conseillés et dépistés pour le VIH ayant reçu le résultat du test, Alliance Côte d'Ivoire prévoit comme cible : 
2021 : 69 838 (232 792*30%)
2022 : 71 653 (238 845*30%)
2023 : 73 516 (245 055*30%)
Outils : La base de données et le rapport narratif
N : Nombre d’Hommes de 25 ans et plus dépistés pour le VIH et ayant reçu le résultat du test chaque année
D : Nombre d'Hommes de 25 ans et plus estimés (projection INS de chaque année)
Désagrégation :  tranche d'âge [25-34] ans et [35-49] ans et [50 ans et plus[</v>
      </c>
      <c r="C188" s="718"/>
      <c r="D188" s="718"/>
      <c r="E188" s="718"/>
      <c r="F188" s="718"/>
      <c r="G188" s="718"/>
      <c r="H188" s="718"/>
      <c r="I188" s="719"/>
      <c r="J188" s="719"/>
      <c r="K188" s="719"/>
      <c r="L188" s="719"/>
      <c r="M188" s="719"/>
      <c r="N188" s="719"/>
      <c r="O188" s="719"/>
      <c r="P188" s="719"/>
      <c r="Q188" s="719"/>
      <c r="R188" s="719"/>
      <c r="S188" s="720"/>
      <c r="T188" s="417"/>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711"/>
      <c r="AU188" s="710"/>
      <c r="AV188" s="710"/>
      <c r="AW188" s="710"/>
      <c r="AX188" s="710"/>
      <c r="AY188" s="710"/>
      <c r="AZ188" s="710"/>
      <c r="BA188" s="710"/>
      <c r="BB188" s="409"/>
      <c r="BC188" s="410"/>
    </row>
    <row r="189" spans="1:55" s="411" customFormat="1" ht="177" customHeight="1" x14ac:dyDescent="0.3">
      <c r="A189" s="709">
        <v>21</v>
      </c>
      <c r="B189" s="404" t="str">
        <f ca="1">IFERROR(IF(INDEX('Coverage Indicators - Section D'!B$1:B$100,MATCH('Print View'!$A189,'Coverage Indicators - Section D'!$A$1:$A$100,0))&lt;&gt;0,INDEX('Coverage Indicators - Section D'!B$1:B$100,MATCH('Print View'!$A189,'Coverage Indicators - Section D'!$A$1:$A$100,0)),""),"")</f>
        <v/>
      </c>
      <c r="C189" s="404" t="str">
        <f ca="1">IFERROR(IF(INDEX('Coverage Indicators - Section D'!D$1:D$100,MATCH('Print View'!$A189,'Coverage Indicators - Section D'!$A$1:$A$100,0))&lt;&gt;0,INDEX('Coverage Indicators - Section D'!D$1:D$100,MATCH('Print View'!$A189,'Coverage Indicators - Section D'!$A$1:$A$100,0)),""),"")</f>
        <v/>
      </c>
      <c r="D189" s="404" t="str">
        <f ca="1">IFERROR(IF(INDEX('Coverage Indicators - Section D'!E$1:E$100,MATCH('Print View'!$A189,'Coverage Indicators - Section D'!$A$1:$A$100,0))&lt;&gt;0,INDEX('Coverage Indicators - Section D'!E$1:E$100,MATCH('Print View'!$A189,'Coverage Indicators - Section D'!$A$1:$A$100,0)),""),"")</f>
        <v/>
      </c>
      <c r="E189" s="405" t="str">
        <f ca="1">IFERROR(IF(INDEX('Coverage Indicators - Section D'!F$1:F$100,MATCH('Print View'!$A189,'Coverage Indicators - Section D'!$A$1:$A$100,0))&lt;&gt;0,INDEX('Coverage Indicators - Section D'!F$1:F$100,MATCH('Print View'!$A189,'Coverage Indicators - Section D'!$A$1:$A$100,0)),""),"")&amp;"/"&amp;IFERROR(IF(INDEX('Coverage Indicators - Section D'!F$1:F$100,MATCH('Print View'!$A189,'Coverage Indicators - Section D'!$A$1:$A$100,0)+1)&lt;&gt;0,INDEX('Coverage Indicators - Section D'!F$1:F$100,MATCH('Print View'!$A189,'Coverage Indicators - Section D'!$A$1:$A$100,0)+1),""),"")&amp;CHAR(10)&amp;IFERROR(IF(INDEX('Coverage Indicators - Section D'!G$1:G$100,MATCH('Print View'!$A189,'Coverage Indicators - Section D'!$A$1:$A$100,0))&lt;&gt;0,TEXT(INDEX('Coverage Indicators - Section D'!G$1:G$100,MATCH('Print View'!$A189,'Coverage Indicators - Section D'!$A$1:$A$100,0)),"0.00%"),""),"")</f>
        <v xml:space="preserve">/
</v>
      </c>
      <c r="F189" s="406"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407" t="str">
        <f>IFERROR(IF(INDEX('Coverage Indicators - Section D'!J49:J78,MATCH('Print View'!$A189,'Coverage Indicators - Section D'!$A$9:$A$38,0))&lt;&gt;0,INDEX('Coverage Indicators - Section D'!J49:J78,MATCH('Print View'!$A189,'Coverage Indicators - Section D'!$A$9:$A$38,0)),""),"")</f>
        <v/>
      </c>
      <c r="H189" s="408" t="str">
        <f ca="1">IFERROR(IF(INDEX('Coverage Indicators - Section D'!K$1:K$100,MATCH('Print View'!$A189,'Coverage Indicators - Section D'!$A$1:$A$100,0))&lt;&gt;0,INDEX('Coverage Indicators - Section D'!K$1:K$100,MATCH('Print View'!$A189,'Coverage Indicators - Section D'!$A$1:$A$100,0)),""),"")</f>
        <v/>
      </c>
      <c r="I189" s="407" t="str">
        <f ca="1">IFERROR(IF(INDEX('Coverage Indicators - Section D'!L$1:L$100,MATCH('Print View'!$A189,'Coverage Indicators - Section D'!$A$1:$A$100,0))&lt;&gt;0,INDEX('Coverage Indicators - Section D'!L$1:L$100,MATCH('Print View'!$A189,'Coverage Indicators - Section D'!$A$1:$A$100,0)),""),"")</f>
        <v/>
      </c>
      <c r="J189" s="405"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405" t="str">
        <f ca="1">IFERROR(IF(INDEX('Coverage Indicators - Section D'!N$1:N$100,MATCH('Print View'!$A189,'Coverage Indicators - Section D'!$A$1:$A$100,0))&lt;&gt;0,INDEX('Coverage Indicators - Section D'!N$1:N$100,MATCH('Print View'!$A189,'Coverage Indicators - Section D'!$A$1:$A$100,0)),""),"")</f>
        <v/>
      </c>
      <c r="L189" s="405" t="str">
        <f ca="1">IFERROR(IF(INDEX('Coverage Indicators - Section D'!O$1:O$100,MATCH('Print View'!$A189,'Coverage Indicators - Section D'!$A$1:$A$100,0))&lt;&gt;0,INDEX('Coverage Indicators - Section D'!O$1:O$100,MATCH('Print View'!$A189,'Coverage Indicators - Section D'!$A$1:$A$100,0)),""),"")&amp;"/"&amp;IFERROR(IF(INDEX('Coverage Indicators - Section D'!O$1:O$100,MATCH('Print View'!$A189,'Coverage Indicators - Section D'!$A$1:$A$100,0)+1)&lt;&gt;0,INDEX('Coverage Indicators - Section D'!O$1:O$100,MATCH('Print View'!$A189,'Coverage Indicators - Section D'!$A$1:$A$100,0)+1),""),"")&amp;CHAR(10)&amp;IFERROR(IF(INDEX('Coverage Indicators - Section D'!P$1:P$100,MATCH('Print View'!$A189,'Coverage Indicators - Section D'!$A$1:$A$100,0))&lt;&gt;0,TEXT(INDEX('Coverage Indicators - Section D'!P$1:P$100,MATCH('Print View'!$A189,'Coverage Indicators - Section D'!$A$1:$A$100,0)),"0.00%"),""),"")&amp;CHAR(10)&amp;IFERROR(IF(INDEX('Coverage Indicators - Section D'!Q$1:Q$100,MATCH('Print View'!$A189,'Coverage Indicators - Section D'!$A$1:$A$100,0))&lt;&gt;0,INDEX('Coverage Indicators - Section D'!Q$1:Q$100,MATCH('Print View'!$A189,'Coverage Indicators - Section D'!$A$1:$A$100,0)),""),"")</f>
        <v xml:space="preserve">/
</v>
      </c>
      <c r="M189" s="406" t="str">
        <f ca="1">IFERROR(IF(INDEX('Coverage Indicators - Section D'!R$1:R$100,MATCH('Print View'!$A189,'Coverage Indicators - Section D'!$A$1:$A$100,0))&lt;&gt;0,INDEX('Coverage Indicators - Section D'!R$1:R$100,MATCH('Print View'!$A189,'Coverage Indicators - Section D'!$A$1:$A$100,0)),""),"")&amp;"/"&amp;IFERROR(IF(INDEX('Coverage Indicators - Section D'!R$1:R$100,MATCH('Print View'!$A189,'Coverage Indicators - Section D'!$A$1:$A$100,0)+1)&lt;&gt;0,INDEX('Coverage Indicators - Section D'!R$1:R$100,MATCH('Print View'!$A189,'Coverage Indicators - Section D'!$A$1:$A$100,0)+1),""),"")&amp;CHAR(10)&amp;IFERROR(IF(INDEX('Coverage Indicators - Section D'!S$1:S$100,MATCH('Print View'!$A189,'Coverage Indicators - Section D'!$A$1:$A$100,0))&lt;&gt;0,TEXT(INDEX('Coverage Indicators - Section D'!S$1:S$100,MATCH('Print View'!$A189,'Coverage Indicators - Section D'!$A$1:$A$100,0)),"0.00%"),""),"")&amp;CHAR(10)&amp;IFERROR(IF(INDEX('Coverage Indicators - Section D'!T$1:T$100,MATCH('Print View'!$A189,'Coverage Indicators - Section D'!$A$1:$A$100,0))&lt;&gt;0,INDEX('Coverage Indicators - Section D'!T$1:T$100,MATCH('Print View'!$A189,'Coverage Indicators - Section D'!$A$1:$A$100,0)),""),"")</f>
        <v xml:space="preserve">/
</v>
      </c>
      <c r="N189" s="405" t="str">
        <f ca="1">IFERROR(IF(INDEX('Coverage Indicators - Section D'!U$1:U$100,MATCH('Print View'!$A189,'Coverage Indicators - Section D'!$A$1:$A$100,0))&lt;&gt;0,INDEX('Coverage Indicators - Section D'!U$1:U$100,MATCH('Print View'!$A189,'Coverage Indicators - Section D'!$A$1:$A$100,0)),""),"")&amp;"/"&amp;IFERROR(IF(INDEX('Coverage Indicators - Section D'!U$1:U$100,MATCH('Print View'!$A189,'Coverage Indicators - Section D'!$A$1:$A$100,0)+1)&lt;&gt;0,INDEX('Coverage Indicators - Section D'!U$1:U$100,MATCH('Print View'!$A189,'Coverage Indicators - Section D'!$A$1:$A$100,0)+1),""),"")&amp;CHAR(10)&amp;IFERROR(IF(INDEX('Coverage Indicators - Section D'!V$1:V$100,MATCH('Print View'!$A189,'Coverage Indicators - Section D'!$A$1:$A$100,0))&lt;&gt;0,TEXT(INDEX('Coverage Indicators - Section D'!V$1:V$100,MATCH('Print View'!$A189,'Coverage Indicators - Section D'!$A$1:$A$100,0)),"0.00%"),""),"")&amp;CHAR(10)&amp;IFERROR(IF(INDEX('Coverage Indicators - Section D'!W$1:W$100,MATCH('Print View'!$A189,'Coverage Indicators - Section D'!$A$1:$A$100,0))&lt;&gt;0,INDEX('Coverage Indicators - Section D'!W$1:W$100,MATCH('Print View'!$A189,'Coverage Indicators - Section D'!$A$1:$A$100,0)),""),"")</f>
        <v xml:space="preserve">/
</v>
      </c>
      <c r="O189" s="406" t="str">
        <f ca="1">IFERROR(IF(INDEX('Coverage Indicators - Section D'!X$1:X$100,MATCH('Print View'!$A189,'Coverage Indicators - Section D'!$A$1:$A$100,0))&lt;&gt;0,INDEX('Coverage Indicators - Section D'!X$1:X$100,MATCH('Print View'!$A189,'Coverage Indicators - Section D'!$A$1:$A$100,0)),""),"")&amp;"/"&amp;IFERROR(IF(INDEX('Coverage Indicators - Section D'!X$1:X$100,MATCH('Print View'!$A189,'Coverage Indicators - Section D'!$A$1:$A$100,0)+1)&lt;&gt;0,INDEX('Coverage Indicators - Section D'!X$1:X$100,MATCH('Print View'!$A189,'Coverage Indicators - Section D'!$A$1:$A$100,0)+1),""),"")&amp;CHAR(10)&amp;IFERROR(IF(INDEX('Coverage Indicators - Section D'!Y$1:Y$100,MATCH('Print View'!$A189,'Coverage Indicators - Section D'!$A$1:$A$100,0))&lt;&gt;0,TEXT(INDEX('Coverage Indicators - Section D'!Y$1:Y$100,MATCH('Print View'!$A189,'Coverage Indicators - Section D'!$A$1:$A$100,0)),"0.00%"),""),"")&amp;CHAR(10)&amp;IFERROR(IF(INDEX('Coverage Indicators - Section D'!Z$1:Z$100,MATCH('Print View'!$A189,'Coverage Indicators - Section D'!$A$1:$A$100,0))&lt;&gt;0,INDEX('Coverage Indicators - Section D'!Z$1:Z$100,MATCH('Print View'!$A189,'Coverage Indicators - Section D'!$A$1:$A$100,0)),""),"")</f>
        <v xml:space="preserve">/
</v>
      </c>
      <c r="P189" s="406" t="str">
        <f ca="1">IFERROR(IF(INDEX('Coverage Indicators - Section D'!AA$1:AA$100,MATCH('Print View'!$A189,'Coverage Indicators - Section D'!$A$1:$A$100,0))&lt;&gt;0,INDEX('Coverage Indicators - Section D'!AA$1:AA$100,MATCH('Print View'!$A189,'Coverage Indicators - Section D'!$A$1:$A$100,0)),""),"")&amp;"/"&amp;IFERROR(IF(INDEX('Coverage Indicators - Section D'!AA$1:AA$100,MATCH('Print View'!$A189,'Coverage Indicators - Section D'!$A$1:$A$100,0)+1)&lt;&gt;0,INDEX('Coverage Indicators - Section D'!AA$1:AA$100,MATCH('Print View'!$A189,'Coverage Indicators - Section D'!$A$1:$A$100,0)+1),""),"")&amp;CHAR(10)&amp;IFERROR(IF(INDEX('Coverage Indicators - Section D'!AB$1:AB$100,MATCH('Print View'!$A189,'Coverage Indicators - Section D'!$A$1:$A$100,0))&lt;&gt;0,TEXT(INDEX('Coverage Indicators - Section D'!AB$1:AB$100,MATCH('Print View'!$A189,'Coverage Indicators - Section D'!$A$1:$A$100,0)),"0.00%"),""),"")&amp;CHAR(10)&amp;IFERROR(IF(INDEX('Coverage Indicators - Section D'!AC$1:AC$100,MATCH('Print View'!$A189,'Coverage Indicators - Section D'!$A$1:$A$100,0))&lt;&gt;0,INDEX('Coverage Indicators - Section D'!AC$1:AC$100,MATCH('Print View'!$A189,'Coverage Indicators - Section D'!$A$1:$A$100,0)),""),"")</f>
        <v xml:space="preserve">/
</v>
      </c>
      <c r="Q189" s="406" t="str">
        <f ca="1">IFERROR(IF(INDEX('Coverage Indicators - Section D'!AD$1:AD$100,MATCH('Print View'!$A189,'Coverage Indicators - Section D'!$A$1:$A$100,0))&lt;&gt;0,INDEX('Coverage Indicators - Section D'!AD$1:AD$100,MATCH('Print View'!$A189,'Coverage Indicators - Section D'!$A$1:$A$100,0)),""),"")&amp;"/"&amp;IFERROR(IF(INDEX('Coverage Indicators - Section D'!AD$1:AD$100,MATCH('Print View'!$A189,'Coverage Indicators - Section D'!$A$1:$A$100,0)+1)&lt;&gt;0,INDEX('Coverage Indicators - Section D'!AD$1:AD$100,MATCH('Print View'!$A189,'Coverage Indicators - Section D'!$A$1:$A$100,0)+1),""),"")&amp;CHAR(10)&amp;IFERROR(IF(INDEX('Coverage Indicators - Section D'!AE$1:AE$100,MATCH('Print View'!$A189,'Coverage Indicators - Section D'!$A$1:$A$100,0))&lt;&gt;0,TEXT(INDEX('Coverage Indicators - Section D'!AE$1:AE$100,MATCH('Print View'!$A189,'Coverage Indicators - Section D'!$A$1:$A$100,0)),"0.00%"),""),"")&amp;CHAR(10)&amp;IFERROR(IF(INDEX('Coverage Indicators - Section D'!AF$1:AF$100,MATCH('Print View'!$A189,'Coverage Indicators - Section D'!$A$1:$A$100,0))&lt;&gt;0,INDEX('Coverage Indicators - Section D'!AF$1:AF$100,MATCH('Print View'!$A189,'Coverage Indicators - Section D'!$A$1:$A$100,0)),""),"")</f>
        <v xml:space="preserve">/
</v>
      </c>
      <c r="R189" s="406" t="str">
        <f ca="1">IFERROR(IF(INDEX('Coverage Indicators - Section D'!AG$1:AG$100,MATCH('Print View'!$A189,'Coverage Indicators - Section D'!$A$1:$A$100,0))&lt;&gt;0,INDEX('Coverage Indicators - Section D'!AG$1:AG$100,MATCH('Print View'!$A189,'Coverage Indicators - Section D'!$A$1:$A$100,0)),""),"")&amp;"/"&amp;IFERROR(IF(INDEX('Coverage Indicators - Section D'!AG$1:AG$100,MATCH('Print View'!$A189,'Coverage Indicators - Section D'!$A$1:$A$100,0)+1)&lt;&gt;0,INDEX('Coverage Indicators - Section D'!AG$1:AG$100,MATCH('Print View'!$A189,'Coverage Indicators - Section D'!$A$1:$A$100,0)+1),""),"")&amp;CHAR(10)&amp;IFERROR(IF(INDEX('Coverage Indicators - Section D'!AH$1:AH$100,MATCH('Print View'!$A189,'Coverage Indicators - Section D'!$A$1:$A$100,0))&lt;&gt;0,TEXT(INDEX('Coverage Indicators - Section D'!AH$1:AH$100,MATCH('Print View'!$A189,'Coverage Indicators - Section D'!$A$1:$A$100,0)),"0.00%"),""),"")&amp;CHAR(10)&amp;IFERROR(IF(INDEX('Coverage Indicators - Section D'!AI$1:AI$100,MATCH('Print View'!$A189,'Coverage Indicators - Section D'!$A$1:$A$100,0))&lt;&gt;0,INDEX('Coverage Indicators - Section D'!AI$1:AI$100,MATCH('Print View'!$A189,'Coverage Indicators - Section D'!$A$1:$A$100,0)),""),"")</f>
        <v xml:space="preserve">/
</v>
      </c>
      <c r="S189" s="406" t="str">
        <f ca="1">IFERROR(IF(INDEX('Coverage Indicators - Section D'!AJ$1:AJ$100,MATCH('Print View'!$A189,'Coverage Indicators - Section D'!$A$1:$A$100,0))&lt;&gt;0,INDEX('Coverage Indicators - Section D'!AJ$1:AJ$100,MATCH('Print View'!$A189,'Coverage Indicators - Section D'!$A$1:$A$100,0)),""),"")&amp;"/"&amp;IFERROR(IF(INDEX('Coverage Indicators - Section D'!AJ$1:AJ$100,MATCH('Print View'!$A189,'Coverage Indicators - Section D'!$A$1:$A$100,0)+1)&lt;&gt;0,INDEX('Coverage Indicators - Section D'!AJ$1:AJ$100,MATCH('Print View'!$A189,'Coverage Indicators - Section D'!$A$1:$A$100,0)+1),""),"")&amp;CHAR(10)&amp;IFERROR(IF(INDEX('Coverage Indicators - Section D'!AK$1:AK$100,MATCH('Print View'!$A189,'Coverage Indicators - Section D'!$A$1:$A$100,0))&lt;&gt;0,TEXT(INDEX('Coverage Indicators - Section D'!AK$1:AK$100,MATCH('Print View'!$A189,'Coverage Indicators - Section D'!$A$1:$A$100,0)),"0.00%"),""),"")&amp;CHAR(10)&amp;IFERROR(IF(INDEX('Coverage Indicators - Section D'!AL$1:AL$100,MATCH('Print View'!$A189,'Coverage Indicators - Section D'!$A$1:$A$100,0))&lt;&gt;0,INDEX('Coverage Indicators - Section D'!AL$1:AL$100,MATCH('Print View'!$A189,'Coverage Indicators - Section D'!$A$1:$A$100,0)),""),"")</f>
        <v xml:space="preserve">/
</v>
      </c>
      <c r="T189" s="385"/>
      <c r="U189" s="216"/>
      <c r="V189" s="216"/>
      <c r="W189" s="216"/>
      <c r="X189" s="216"/>
      <c r="Y189" s="216"/>
      <c r="Z189" s="216"/>
      <c r="AA189" s="216"/>
      <c r="AB189" s="216"/>
      <c r="AC189" s="216"/>
      <c r="AD189" s="216"/>
      <c r="AE189" s="216"/>
      <c r="AF189" s="216"/>
      <c r="AG189" s="216"/>
      <c r="AH189" s="216"/>
      <c r="AI189" s="216"/>
      <c r="AJ189" s="216"/>
      <c r="AK189" s="216"/>
      <c r="AL189" s="216"/>
      <c r="AM189" s="216"/>
      <c r="AN189" s="216"/>
      <c r="AO189" s="216" t="str">
        <f ca="1">IFERROR(IF(INDEX('Coverage Indicators - Section D'!AD$1:AD$110,MATCH('Print View'!$A189,'Coverage Indicators - Section D'!$A$1:$A$110,0))&lt;&gt;0,INDEX('Coverage Indicators - Section D'!AD$1:AD$110,MATCH('Print View'!$A189,'Coverage Indicators - Section D'!$A$1:$A$110,0)),""),"")</f>
        <v/>
      </c>
      <c r="AP189" s="216"/>
      <c r="AQ189" s="216"/>
      <c r="AR189" s="216"/>
      <c r="AS189" s="216"/>
      <c r="AT189" s="711" t="str">
        <f ca="1">CONCATENATE($A189,N$147)</f>
        <v>2130-Jun-22</v>
      </c>
      <c r="AU189" s="710" t="str">
        <f ca="1">CONCATENATE($A189,Q$147)</f>
        <v>2131-Dec-23</v>
      </c>
      <c r="AV189" s="710" t="str">
        <f t="shared" ref="AV189" si="142">CONCATENATE($A189,V$147)</f>
        <v>21</v>
      </c>
      <c r="AW189" s="710" t="str">
        <f t="shared" ref="AW189" si="143">CONCATENATE($A189,Y$147)</f>
        <v>21</v>
      </c>
      <c r="AX189" s="710" t="str">
        <f t="shared" ref="AX189" si="144">CONCATENATE($A189,AB$147)</f>
        <v>21</v>
      </c>
      <c r="AY189" s="710" t="str">
        <f t="shared" ref="AY189" si="145">CONCATENATE($A189,AE$147)</f>
        <v>21</v>
      </c>
      <c r="AZ189" s="710" t="str">
        <f t="shared" ref="AZ189" si="146">CONCATENATE($A189,AH$147)</f>
        <v>21</v>
      </c>
      <c r="BA189" s="710" t="str">
        <f t="shared" ref="BA189" si="147">CONCATENATE($A189,AK$147)</f>
        <v>21</v>
      </c>
      <c r="BB189" s="409"/>
      <c r="BC189" s="410"/>
    </row>
    <row r="190" spans="1:55" s="411" customFormat="1" ht="88.2" customHeight="1" x14ac:dyDescent="0.3">
      <c r="A190" s="709"/>
      <c r="B190" s="714" t="str">
        <f ca="1">IFERROR(IF(INDEX('Coverage Indicators - Section D'!AM$1:AM$110,MATCH('Print View'!$A189,'Coverage Indicators - Section D'!$A$1:$A$110,0))&lt;&gt;0,INDEX('Coverage Indicators - Section D'!AM$1:AM$110,MATCH('Print View'!$A189,'Coverage Indicators - Section D'!$A$1:$A$110,0)),""),"")</f>
        <v/>
      </c>
      <c r="C190" s="715"/>
      <c r="D190" s="715"/>
      <c r="E190" s="715"/>
      <c r="F190" s="715"/>
      <c r="G190" s="715"/>
      <c r="H190" s="715"/>
      <c r="I190" s="715"/>
      <c r="J190" s="715"/>
      <c r="K190" s="715"/>
      <c r="L190" s="715"/>
      <c r="M190" s="715"/>
      <c r="N190" s="715"/>
      <c r="O190" s="715"/>
      <c r="P190" s="715"/>
      <c r="Q190" s="715"/>
      <c r="R190" s="715"/>
      <c r="S190" s="716"/>
      <c r="T190" s="412"/>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711"/>
      <c r="AU190" s="710"/>
      <c r="AV190" s="710"/>
      <c r="AW190" s="710"/>
      <c r="AX190" s="710"/>
      <c r="AY190" s="710"/>
      <c r="AZ190" s="710"/>
      <c r="BA190" s="710"/>
      <c r="BB190" s="409"/>
      <c r="BC190" s="410"/>
    </row>
    <row r="191" spans="1:55" s="411" customFormat="1" ht="177" customHeight="1" x14ac:dyDescent="0.3">
      <c r="A191" s="712">
        <v>22</v>
      </c>
      <c r="B191" s="380" t="str">
        <f ca="1">IFERROR(IF(INDEX('Coverage Indicators - Section D'!B$1:B$100,MATCH('Print View'!$A191,'Coverage Indicators - Section D'!$A$1:$A$100,0))&lt;&gt;0,INDEX('Coverage Indicators - Section D'!B$1:B$100,MATCH('Print View'!$A191,'Coverage Indicators - Section D'!$A$1:$A$100,0)),""),"")</f>
        <v/>
      </c>
      <c r="C191" s="380" t="str">
        <f ca="1">IFERROR(IF(INDEX('Coverage Indicators - Section D'!D$1:D$100,MATCH('Print View'!$A191,'Coverage Indicators - Section D'!$A$1:$A$100,0))&lt;&gt;0,INDEX('Coverage Indicators - Section D'!D$1:D$100,MATCH('Print View'!$A191,'Coverage Indicators - Section D'!$A$1:$A$100,0)),""),"")</f>
        <v/>
      </c>
      <c r="D191" s="380" t="str">
        <f ca="1">IFERROR(IF(INDEX('Coverage Indicators - Section D'!E$1:E$100,MATCH('Print View'!$A191,'Coverage Indicators - Section D'!$A$1:$A$100,0))&lt;&gt;0,INDEX('Coverage Indicators - Section D'!E$1:E$100,MATCH('Print View'!$A191,'Coverage Indicators - Section D'!$A$1:$A$100,0)),""),"")</f>
        <v/>
      </c>
      <c r="E191" s="381" t="str">
        <f ca="1">IFERROR(IF(INDEX('Coverage Indicators - Section D'!F$1:F$100,MATCH('Print View'!$A191,'Coverage Indicators - Section D'!$A$1:$A$100,0))&lt;&gt;0,INDEX('Coverage Indicators - Section D'!F$1:F$100,MATCH('Print View'!$A191,'Coverage Indicators - Section D'!$A$1:$A$100,0)),""),"")&amp;"/"&amp;IFERROR(IF(INDEX('Coverage Indicators - Section D'!F$1:F$100,MATCH('Print View'!$A191,'Coverage Indicators - Section D'!$A$1:$A$100,0)+1)&lt;&gt;0,INDEX('Coverage Indicators - Section D'!F$1:F$100,MATCH('Print View'!$A191,'Coverage Indicators - Section D'!$A$1:$A$100,0)+1),""),"")&amp;CHAR(10)&amp;IFERROR(IF(INDEX('Coverage Indicators - Section D'!G$1:G$100,MATCH('Print View'!$A191,'Coverage Indicators - Section D'!$A$1:$A$100,0))&lt;&gt;0,TEXT(INDEX('Coverage Indicators - Section D'!G$1:G$100,MATCH('Print View'!$A191,'Coverage Indicators - Section D'!$A$1:$A$100,0)),"0.00%"),""),"")</f>
        <v xml:space="preserve">/
</v>
      </c>
      <c r="F191" s="413"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 xml:space="preserve">
</v>
      </c>
      <c r="G191" s="414" t="str">
        <f>IFERROR(IF(INDEX('Coverage Indicators - Section D'!J49:J78,MATCH('Print View'!$A191,'Coverage Indicators - Section D'!$A$9:$A$38,0))&lt;&gt;0,INDEX('Coverage Indicators - Section D'!J49:J78,MATCH('Print View'!$A191,'Coverage Indicators - Section D'!$A$9:$A$38,0)),""),"")</f>
        <v/>
      </c>
      <c r="H191" s="413" t="str">
        <f ca="1">IFERROR(IF(INDEX('Coverage Indicators - Section D'!K$1:K$100,MATCH('Print View'!$A191,'Coverage Indicators - Section D'!$A$1:$A$100,0))&lt;&gt;0,INDEX('Coverage Indicators - Section D'!K$1:K$100,MATCH('Print View'!$A191,'Coverage Indicators - Section D'!$A$1:$A$100,0)),""),"")</f>
        <v/>
      </c>
      <c r="I191" s="414" t="str">
        <f ca="1">IFERROR(IF(INDEX('Coverage Indicators - Section D'!L$1:L$100,MATCH('Print View'!$A191,'Coverage Indicators - Section D'!$A$1:$A$100,0))&lt;&gt;0,INDEX('Coverage Indicators - Section D'!L$1:L$100,MATCH('Print View'!$A191,'Coverage Indicators - Section D'!$A$1:$A$100,0)),""),"")</f>
        <v/>
      </c>
      <c r="J191" s="413"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 xml:space="preserve">
</v>
      </c>
      <c r="K191" s="413" t="str">
        <f ca="1">IFERROR(IF(INDEX('Coverage Indicators - Section D'!N$1:N$100,MATCH('Print View'!$A191,'Coverage Indicators - Section D'!$A$1:$A$100,0))&lt;&gt;0,INDEX('Coverage Indicators - Section D'!N$1:N$100,MATCH('Print View'!$A191,'Coverage Indicators - Section D'!$A$1:$A$100,0)),""),"")</f>
        <v/>
      </c>
      <c r="L191" s="415" t="str">
        <f ca="1">IFERROR(IF(INDEX('Coverage Indicators - Section D'!O$1:O$100,MATCH('Print View'!$A191,'Coverage Indicators - Section D'!$A$1:$A$100,0))&lt;&gt;0,INDEX('Coverage Indicators - Section D'!O$1:O$100,MATCH('Print View'!$A191,'Coverage Indicators - Section D'!$A$1:$A$100,0)),""),"")&amp;"/"&amp;IFERROR(IF(INDEX('Coverage Indicators - Section D'!O$1:O$100,MATCH('Print View'!$A191,'Coverage Indicators - Section D'!$A$1:$A$100,0)+1)&lt;&gt;0,INDEX('Coverage Indicators - Section D'!O$1:O$100,MATCH('Print View'!$A191,'Coverage Indicators - Section D'!$A$1:$A$100,0)+1),""),"")&amp;CHAR(10)&amp;IFERROR(IF(INDEX('Coverage Indicators - Section D'!P$1:P$100,MATCH('Print View'!$A191,'Coverage Indicators - Section D'!$A$1:$A$100,0))&lt;&gt;0,TEXT(INDEX('Coverage Indicators - Section D'!P$1:P$100,MATCH('Print View'!$A191,'Coverage Indicators - Section D'!$A$1:$A$100,0)),"0.00%"),""),"")&amp;CHAR(10)&amp;IFERROR(IF(INDEX('Coverage Indicators - Section D'!Q$1:Q$100,MATCH('Print View'!$A191,'Coverage Indicators - Section D'!$A$1:$A$100,0))&lt;&gt;0,INDEX('Coverage Indicators - Section D'!Q$1:Q$100,MATCH('Print View'!$A191,'Coverage Indicators - Section D'!$A$1:$A$100,0)),""),"")</f>
        <v xml:space="preserve">/
</v>
      </c>
      <c r="M191" s="415" t="str">
        <f ca="1">IFERROR(IF(INDEX('Coverage Indicators - Section D'!R$1:R$100,MATCH('Print View'!$A191,'Coverage Indicators - Section D'!$A$1:$A$100,0))&lt;&gt;0,INDEX('Coverage Indicators - Section D'!R$1:R$100,MATCH('Print View'!$A191,'Coverage Indicators - Section D'!$A$1:$A$100,0)),""),"")&amp;"/"&amp;IFERROR(IF(INDEX('Coverage Indicators - Section D'!R$1:R$100,MATCH('Print View'!$A191,'Coverage Indicators - Section D'!$A$1:$A$100,0)+1)&lt;&gt;0,INDEX('Coverage Indicators - Section D'!R$1:R$100,MATCH('Print View'!$A191,'Coverage Indicators - Section D'!$A$1:$A$100,0)+1),""),"")&amp;CHAR(10)&amp;IFERROR(IF(INDEX('Coverage Indicators - Section D'!S$1:S$100,MATCH('Print View'!$A191,'Coverage Indicators - Section D'!$A$1:$A$100,0))&lt;&gt;0,TEXT(INDEX('Coverage Indicators - Section D'!S$1:S$100,MATCH('Print View'!$A191,'Coverage Indicators - Section D'!$A$1:$A$100,0)),"0.00%"),""),"")&amp;CHAR(10)&amp;IFERROR(IF(INDEX('Coverage Indicators - Section D'!T$1:T$100,MATCH('Print View'!$A191,'Coverage Indicators - Section D'!$A$1:$A$100,0))&lt;&gt;0,INDEX('Coverage Indicators - Section D'!T$1:T$100,MATCH('Print View'!$A191,'Coverage Indicators - Section D'!$A$1:$A$100,0)),""),"")</f>
        <v xml:space="preserve">/
</v>
      </c>
      <c r="N191" s="415" t="str">
        <f ca="1">IFERROR(IF(INDEX('Coverage Indicators - Section D'!U$1:U$100,MATCH('Print View'!$A191,'Coverage Indicators - Section D'!$A$1:$A$100,0))&lt;&gt;0,INDEX('Coverage Indicators - Section D'!U$1:U$100,MATCH('Print View'!$A191,'Coverage Indicators - Section D'!$A$1:$A$100,0)),""),"")&amp;"/"&amp;IFERROR(IF(INDEX('Coverage Indicators - Section D'!U$1:U$100,MATCH('Print View'!$A191,'Coverage Indicators - Section D'!$A$1:$A$100,0)+1)&lt;&gt;0,INDEX('Coverage Indicators - Section D'!U$1:U$100,MATCH('Print View'!$A191,'Coverage Indicators - Section D'!$A$1:$A$100,0)+1),""),"")&amp;CHAR(10)&amp;IFERROR(IF(INDEX('Coverage Indicators - Section D'!V$1:V$100,MATCH('Print View'!$A191,'Coverage Indicators - Section D'!$A$1:$A$100,0))&lt;&gt;0,TEXT(INDEX('Coverage Indicators - Section D'!V$1:V$100,MATCH('Print View'!$A191,'Coverage Indicators - Section D'!$A$1:$A$100,0)),"0.00%"),""),"")&amp;CHAR(10)&amp;IFERROR(IF(INDEX('Coverage Indicators - Section D'!W$1:W$100,MATCH('Print View'!$A191,'Coverage Indicators - Section D'!$A$1:$A$100,0))&lt;&gt;0,INDEX('Coverage Indicators - Section D'!W$1:W$100,MATCH('Print View'!$A191,'Coverage Indicators - Section D'!$A$1:$A$100,0)),""),"")</f>
        <v xml:space="preserve">/
</v>
      </c>
      <c r="O191" s="415" t="str">
        <f ca="1">IFERROR(IF(INDEX('Coverage Indicators - Section D'!X$1:X$100,MATCH('Print View'!$A191,'Coverage Indicators - Section D'!$A$1:$A$100,0))&lt;&gt;0,INDEX('Coverage Indicators - Section D'!X$1:X$100,MATCH('Print View'!$A191,'Coverage Indicators - Section D'!$A$1:$A$100,0)),""),"")&amp;"/"&amp;IFERROR(IF(INDEX('Coverage Indicators - Section D'!X$1:X$100,MATCH('Print View'!$A191,'Coverage Indicators - Section D'!$A$1:$A$100,0)+1)&lt;&gt;0,INDEX('Coverage Indicators - Section D'!X$1:X$100,MATCH('Print View'!$A191,'Coverage Indicators - Section D'!$A$1:$A$100,0)+1),""),"")&amp;CHAR(10)&amp;IFERROR(IF(INDEX('Coverage Indicators - Section D'!Y$1:Y$100,MATCH('Print View'!$A191,'Coverage Indicators - Section D'!$A$1:$A$100,0))&lt;&gt;0,TEXT(INDEX('Coverage Indicators - Section D'!Y$1:Y$100,MATCH('Print View'!$A191,'Coverage Indicators - Section D'!$A$1:$A$100,0)),"0.00%"),""),"")&amp;CHAR(10)&amp;IFERROR(IF(INDEX('Coverage Indicators - Section D'!Z$1:Z$100,MATCH('Print View'!$A191,'Coverage Indicators - Section D'!$A$1:$A$100,0))&lt;&gt;0,INDEX('Coverage Indicators - Section D'!Z$1:Z$100,MATCH('Print View'!$A191,'Coverage Indicators - Section D'!$A$1:$A$100,0)),""),"")</f>
        <v xml:space="preserve">/
</v>
      </c>
      <c r="P191" s="415" t="str">
        <f ca="1">IFERROR(IF(INDEX('Coverage Indicators - Section D'!AA$1:AA$100,MATCH('Print View'!$A191,'Coverage Indicators - Section D'!$A$1:$A$100,0))&lt;&gt;0,INDEX('Coverage Indicators - Section D'!AA$1:AA$100,MATCH('Print View'!$A191,'Coverage Indicators - Section D'!$A$1:$A$100,0)),""),"")&amp;"/"&amp;IFERROR(IF(INDEX('Coverage Indicators - Section D'!AA$1:AA$100,MATCH('Print View'!$A191,'Coverage Indicators - Section D'!$A$1:$A$100,0)+1)&lt;&gt;0,INDEX('Coverage Indicators - Section D'!AA$1:AA$100,MATCH('Print View'!$A191,'Coverage Indicators - Section D'!$A$1:$A$100,0)+1),""),"")&amp;CHAR(10)&amp;IFERROR(IF(INDEX('Coverage Indicators - Section D'!AB$1:AB$100,MATCH('Print View'!$A191,'Coverage Indicators - Section D'!$A$1:$A$100,0))&lt;&gt;0,TEXT(INDEX('Coverage Indicators - Section D'!AB$1:AB$100,MATCH('Print View'!$A191,'Coverage Indicators - Section D'!$A$1:$A$100,0)),"0.00%"),""),"")&amp;CHAR(10)&amp;IFERROR(IF(INDEX('Coverage Indicators - Section D'!AC$1:AC$100,MATCH('Print View'!$A191,'Coverage Indicators - Section D'!$A$1:$A$100,0))&lt;&gt;0,INDEX('Coverage Indicators - Section D'!AC$1:AC$100,MATCH('Print View'!$A191,'Coverage Indicators - Section D'!$A$1:$A$100,0)),""),"")</f>
        <v xml:space="preserve">/
</v>
      </c>
      <c r="Q191" s="415" t="str">
        <f ca="1">IFERROR(IF(INDEX('Coverage Indicators - Section D'!AD$1:AD$100,MATCH('Print View'!$A191,'Coverage Indicators - Section D'!$A$1:$A$100,0))&lt;&gt;0,INDEX('Coverage Indicators - Section D'!AD$1:AD$100,MATCH('Print View'!$A191,'Coverage Indicators - Section D'!$A$1:$A$100,0)),""),"")&amp;"/"&amp;IFERROR(IF(INDEX('Coverage Indicators - Section D'!AD$1:AD$100,MATCH('Print View'!$A191,'Coverage Indicators - Section D'!$A$1:$A$100,0)+1)&lt;&gt;0,INDEX('Coverage Indicators - Section D'!AD$1:AD$100,MATCH('Print View'!$A191,'Coverage Indicators - Section D'!$A$1:$A$100,0)+1),""),"")&amp;CHAR(10)&amp;IFERROR(IF(INDEX('Coverage Indicators - Section D'!AE$1:AE$100,MATCH('Print View'!$A191,'Coverage Indicators - Section D'!$A$1:$A$100,0))&lt;&gt;0,TEXT(INDEX('Coverage Indicators - Section D'!AE$1:AE$100,MATCH('Print View'!$A191,'Coverage Indicators - Section D'!$A$1:$A$100,0)),"0.00%"),""),"")&amp;CHAR(10)&amp;IFERROR(IF(INDEX('Coverage Indicators - Section D'!AF$1:AF$100,MATCH('Print View'!$A191,'Coverage Indicators - Section D'!$A$1:$A$100,0))&lt;&gt;0,INDEX('Coverage Indicators - Section D'!AF$1:AF$100,MATCH('Print View'!$A191,'Coverage Indicators - Section D'!$A$1:$A$100,0)),""),"")</f>
        <v xml:space="preserve">/
</v>
      </c>
      <c r="R191" s="415" t="str">
        <f ca="1">IFERROR(IF(INDEX('Coverage Indicators - Section D'!AG$1:AG$100,MATCH('Print View'!$A191,'Coverage Indicators - Section D'!$A$1:$A$100,0))&lt;&gt;0,INDEX('Coverage Indicators - Section D'!AG$1:AG$100,MATCH('Print View'!$A191,'Coverage Indicators - Section D'!$A$1:$A$100,0)),""),"")&amp;"/"&amp;IFERROR(IF(INDEX('Coverage Indicators - Section D'!AG$1:AG$100,MATCH('Print View'!$A191,'Coverage Indicators - Section D'!$A$1:$A$100,0)+1)&lt;&gt;0,INDEX('Coverage Indicators - Section D'!AG$1:AG$100,MATCH('Print View'!$A191,'Coverage Indicators - Section D'!$A$1:$A$100,0)+1),""),"")&amp;CHAR(10)&amp;IFERROR(IF(INDEX('Coverage Indicators - Section D'!AH$1:AH$100,MATCH('Print View'!$A191,'Coverage Indicators - Section D'!$A$1:$A$100,0))&lt;&gt;0,TEXT(INDEX('Coverage Indicators - Section D'!AH$1:AH$100,MATCH('Print View'!$A191,'Coverage Indicators - Section D'!$A$1:$A$100,0)),"0.00%"),""),"")&amp;CHAR(10)&amp;IFERROR(IF(INDEX('Coverage Indicators - Section D'!AI$1:AI$100,MATCH('Print View'!$A191,'Coverage Indicators - Section D'!$A$1:$A$100,0))&lt;&gt;0,INDEX('Coverage Indicators - Section D'!AI$1:AI$100,MATCH('Print View'!$A191,'Coverage Indicators - Section D'!$A$1:$A$100,0)),""),"")</f>
        <v xml:space="preserve">/
</v>
      </c>
      <c r="S191" s="415" t="str">
        <f ca="1">IFERROR(IF(INDEX('Coverage Indicators - Section D'!AJ$1:AJ$100,MATCH('Print View'!$A191,'Coverage Indicators - Section D'!$A$1:$A$100,0))&lt;&gt;0,INDEX('Coverage Indicators - Section D'!AJ$1:AJ$100,MATCH('Print View'!$A191,'Coverage Indicators - Section D'!$A$1:$A$100,0)),""),"")&amp;"/"&amp;IFERROR(IF(INDEX('Coverage Indicators - Section D'!AJ$1:AJ$100,MATCH('Print View'!$A191,'Coverage Indicators - Section D'!$A$1:$A$100,0)+1)&lt;&gt;0,INDEX('Coverage Indicators - Section D'!AJ$1:AJ$100,MATCH('Print View'!$A191,'Coverage Indicators - Section D'!$A$1:$A$100,0)+1),""),"")&amp;CHAR(10)&amp;IFERROR(IF(INDEX('Coverage Indicators - Section D'!AK$1:AK$100,MATCH('Print View'!$A191,'Coverage Indicators - Section D'!$A$1:$A$100,0))&lt;&gt;0,TEXT(INDEX('Coverage Indicators - Section D'!AK$1:AK$100,MATCH('Print View'!$A191,'Coverage Indicators - Section D'!$A$1:$A$100,0)),"0.00%"),""),"")&amp;CHAR(10)&amp;IFERROR(IF(INDEX('Coverage Indicators - Section D'!AL$1:AL$100,MATCH('Print View'!$A191,'Coverage Indicators - Section D'!$A$1:$A$100,0))&lt;&gt;0,INDEX('Coverage Indicators - Section D'!AL$1:AL$100,MATCH('Print View'!$A191,'Coverage Indicators - Section D'!$A$1:$A$100,0)),""),"")</f>
        <v xml:space="preserve">/
</v>
      </c>
      <c r="T191" s="416"/>
      <c r="U191" s="216"/>
      <c r="V191" s="216"/>
      <c r="W191" s="216"/>
      <c r="X191" s="216"/>
      <c r="Y191" s="216"/>
      <c r="Z191" s="216"/>
      <c r="AA191" s="216"/>
      <c r="AB191" s="216"/>
      <c r="AC191" s="216"/>
      <c r="AD191" s="216"/>
      <c r="AE191" s="216"/>
      <c r="AF191" s="216"/>
      <c r="AG191" s="216"/>
      <c r="AH191" s="216"/>
      <c r="AI191" s="216"/>
      <c r="AJ191" s="216"/>
      <c r="AK191" s="216"/>
      <c r="AL191" s="216"/>
      <c r="AM191" s="216"/>
      <c r="AN191" s="216"/>
      <c r="AO191" s="216" t="str">
        <f ca="1">IFERROR(IF(INDEX('Coverage Indicators - Section D'!AD$1:AD$110,MATCH('Print View'!$A191,'Coverage Indicators - Section D'!$A$1:$A$110,0))&lt;&gt;0,INDEX('Coverage Indicators - Section D'!AD$1:AD$110,MATCH('Print View'!$A191,'Coverage Indicators - Section D'!$A$1:$A$110,0)),""),"")</f>
        <v/>
      </c>
      <c r="AP191" s="216"/>
      <c r="AQ191" s="216"/>
      <c r="AR191" s="216"/>
      <c r="AS191" s="216"/>
      <c r="AT191" s="711" t="str">
        <f ca="1">CONCATENATE($A191,N$147)</f>
        <v>2230-Jun-22</v>
      </c>
      <c r="AU191" s="710" t="str">
        <f ca="1">CONCATENATE($A191,Q$147)</f>
        <v>2231-Dec-23</v>
      </c>
      <c r="AV191" s="710" t="str">
        <f t="shared" ref="AV191" si="148">CONCATENATE($A191,V$147)</f>
        <v>22</v>
      </c>
      <c r="AW191" s="710" t="str">
        <f t="shared" ref="AW191" si="149">CONCATENATE($A191,Y$147)</f>
        <v>22</v>
      </c>
      <c r="AX191" s="710" t="str">
        <f t="shared" ref="AX191" si="150">CONCATENATE($A191,AB$147)</f>
        <v>22</v>
      </c>
      <c r="AY191" s="710" t="str">
        <f t="shared" ref="AY191" si="151">CONCATENATE($A191,AE$147)</f>
        <v>22</v>
      </c>
      <c r="AZ191" s="710" t="str">
        <f t="shared" ref="AZ191" si="152">CONCATENATE($A191,AH$147)</f>
        <v>22</v>
      </c>
      <c r="BA191" s="710" t="str">
        <f t="shared" ref="BA191" si="153">CONCATENATE($A191,AK$147)</f>
        <v>22</v>
      </c>
      <c r="BB191" s="409"/>
      <c r="BC191" s="410"/>
    </row>
    <row r="192" spans="1:55" s="411" customFormat="1" ht="88.2" customHeight="1" x14ac:dyDescent="0.3">
      <c r="A192" s="712"/>
      <c r="B192" s="717" t="str">
        <f ca="1">IFERROR(IF(INDEX('Coverage Indicators - Section D'!AM$1:AM$110,MATCH('Print View'!$A191,'Coverage Indicators - Section D'!$A$1:$A$110,0))&lt;&gt;0,INDEX('Coverage Indicators - Section D'!AM$1:AM$110,MATCH('Print View'!$A191,'Coverage Indicators - Section D'!$A$1:$A$110,0)),""),"")</f>
        <v/>
      </c>
      <c r="C192" s="718"/>
      <c r="D192" s="718"/>
      <c r="E192" s="718"/>
      <c r="F192" s="718"/>
      <c r="G192" s="718"/>
      <c r="H192" s="718"/>
      <c r="I192" s="719"/>
      <c r="J192" s="719"/>
      <c r="K192" s="719"/>
      <c r="L192" s="719"/>
      <c r="M192" s="719"/>
      <c r="N192" s="719"/>
      <c r="O192" s="719"/>
      <c r="P192" s="719"/>
      <c r="Q192" s="719"/>
      <c r="R192" s="719"/>
      <c r="S192" s="720"/>
      <c r="T192" s="417"/>
      <c r="U192" s="216"/>
      <c r="V192" s="216"/>
      <c r="W192" s="216"/>
      <c r="X192" s="216"/>
      <c r="Y192" s="21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711"/>
      <c r="AU192" s="710"/>
      <c r="AV192" s="710"/>
      <c r="AW192" s="710"/>
      <c r="AX192" s="710"/>
      <c r="AY192" s="710"/>
      <c r="AZ192" s="710"/>
      <c r="BA192" s="710"/>
      <c r="BB192" s="409"/>
      <c r="BC192" s="410"/>
    </row>
    <row r="193" spans="1:55" s="411" customFormat="1" ht="177" customHeight="1" x14ac:dyDescent="0.3">
      <c r="A193" s="709">
        <v>23</v>
      </c>
      <c r="B193" s="404" t="str">
        <f ca="1">IFERROR(IF(INDEX('Coverage Indicators - Section D'!B$1:B$100,MATCH('Print View'!$A193,'Coverage Indicators - Section D'!$A$1:$A$100,0))&lt;&gt;0,INDEX('Coverage Indicators - Section D'!B$1:B$100,MATCH('Print View'!$A193,'Coverage Indicators - Section D'!$A$1:$A$100,0)),""),"")</f>
        <v/>
      </c>
      <c r="C193" s="404" t="str">
        <f ca="1">IFERROR(IF(INDEX('Coverage Indicators - Section D'!D$1:D$100,MATCH('Print View'!$A193,'Coverage Indicators - Section D'!$A$1:$A$100,0))&lt;&gt;0,INDEX('Coverage Indicators - Section D'!D$1:D$100,MATCH('Print View'!$A193,'Coverage Indicators - Section D'!$A$1:$A$100,0)),""),"")</f>
        <v/>
      </c>
      <c r="D193" s="404" t="str">
        <f ca="1">IFERROR(IF(INDEX('Coverage Indicators - Section D'!E$1:E$100,MATCH('Print View'!$A193,'Coverage Indicators - Section D'!$A$1:$A$100,0))&lt;&gt;0,INDEX('Coverage Indicators - Section D'!E$1:E$100,MATCH('Print View'!$A193,'Coverage Indicators - Section D'!$A$1:$A$100,0)),""),"")</f>
        <v/>
      </c>
      <c r="E193" s="405" t="str">
        <f ca="1">IFERROR(IF(INDEX('Coverage Indicators - Section D'!F$1:F$100,MATCH('Print View'!$A193,'Coverage Indicators - Section D'!$A$1:$A$100,0))&lt;&gt;0,INDEX('Coverage Indicators - Section D'!F$1:F$100,MATCH('Print View'!$A193,'Coverage Indicators - Section D'!$A$1:$A$100,0)),""),"")&amp;"/"&amp;IFERROR(IF(INDEX('Coverage Indicators - Section D'!F$1:F$100,MATCH('Print View'!$A193,'Coverage Indicators - Section D'!$A$1:$A$100,0)+1)&lt;&gt;0,INDEX('Coverage Indicators - Section D'!F$1:F$100,MATCH('Print View'!$A193,'Coverage Indicators - Section D'!$A$1:$A$100,0)+1),""),"")&amp;CHAR(10)&amp;IFERROR(IF(INDEX('Coverage Indicators - Section D'!G$1:G$100,MATCH('Print View'!$A193,'Coverage Indicators - Section D'!$A$1:$A$100,0))&lt;&gt;0,TEXT(INDEX('Coverage Indicators - Section D'!G$1:G$100,MATCH('Print View'!$A193,'Coverage Indicators - Section D'!$A$1:$A$100,0)),"0.00%"),""),"")</f>
        <v xml:space="preserve">/
</v>
      </c>
      <c r="F193" s="406"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407" t="str">
        <f>IFERROR(IF(INDEX('Coverage Indicators - Section D'!J53:J82,MATCH('Print View'!$A193,'Coverage Indicators - Section D'!$A$9:$A$38,0))&lt;&gt;0,INDEX('Coverage Indicators - Section D'!J53:J82,MATCH('Print View'!$A193,'Coverage Indicators - Section D'!$A$9:$A$38,0)),""),"")</f>
        <v/>
      </c>
      <c r="H193" s="408" t="str">
        <f ca="1">IFERROR(IF(INDEX('Coverage Indicators - Section D'!K$1:K$100,MATCH('Print View'!$A193,'Coverage Indicators - Section D'!$A$1:$A$100,0))&lt;&gt;0,INDEX('Coverage Indicators - Section D'!K$1:K$100,MATCH('Print View'!$A193,'Coverage Indicators - Section D'!$A$1:$A$100,0)),""),"")</f>
        <v/>
      </c>
      <c r="I193" s="407" t="str">
        <f ca="1">IFERROR(IF(INDEX('Coverage Indicators - Section D'!L$1:L$100,MATCH('Print View'!$A193,'Coverage Indicators - Section D'!$A$1:$A$100,0))&lt;&gt;0,INDEX('Coverage Indicators - Section D'!L$1:L$100,MATCH('Print View'!$A193,'Coverage Indicators - Section D'!$A$1:$A$100,0)),""),"")</f>
        <v/>
      </c>
      <c r="J193" s="405"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405" t="str">
        <f ca="1">IFERROR(IF(INDEX('Coverage Indicators - Section D'!N$1:N$100,MATCH('Print View'!$A193,'Coverage Indicators - Section D'!$A$1:$A$100,0))&lt;&gt;0,INDEX('Coverage Indicators - Section D'!N$1:N$100,MATCH('Print View'!$A193,'Coverage Indicators - Section D'!$A$1:$A$100,0)),""),"")</f>
        <v/>
      </c>
      <c r="L193" s="405" t="str">
        <f ca="1">IFERROR(IF(INDEX('Coverage Indicators - Section D'!O$1:O$100,MATCH('Print View'!$A193,'Coverage Indicators - Section D'!$A$1:$A$100,0))&lt;&gt;0,INDEX('Coverage Indicators - Section D'!O$1:O$100,MATCH('Print View'!$A193,'Coverage Indicators - Section D'!$A$1:$A$100,0)),""),"")&amp;"/"&amp;IFERROR(IF(INDEX('Coverage Indicators - Section D'!O$1:O$100,MATCH('Print View'!$A193,'Coverage Indicators - Section D'!$A$1:$A$100,0)+1)&lt;&gt;0,INDEX('Coverage Indicators - Section D'!O$1:O$100,MATCH('Print View'!$A193,'Coverage Indicators - Section D'!$A$1:$A$100,0)+1),""),"")&amp;CHAR(10)&amp;IFERROR(IF(INDEX('Coverage Indicators - Section D'!P$1:P$100,MATCH('Print View'!$A193,'Coverage Indicators - Section D'!$A$1:$A$100,0))&lt;&gt;0,TEXT(INDEX('Coverage Indicators - Section D'!P$1:P$100,MATCH('Print View'!$A193,'Coverage Indicators - Section D'!$A$1:$A$100,0)),"0.00%"),""),"")&amp;CHAR(10)&amp;IFERROR(IF(INDEX('Coverage Indicators - Section D'!Q$1:Q$100,MATCH('Print View'!$A193,'Coverage Indicators - Section D'!$A$1:$A$100,0))&lt;&gt;0,INDEX('Coverage Indicators - Section D'!Q$1:Q$100,MATCH('Print View'!$A193,'Coverage Indicators - Section D'!$A$1:$A$100,0)),""),"")</f>
        <v xml:space="preserve">/
</v>
      </c>
      <c r="M193" s="406" t="str">
        <f ca="1">IFERROR(IF(INDEX('Coverage Indicators - Section D'!R$1:R$100,MATCH('Print View'!$A193,'Coverage Indicators - Section D'!$A$1:$A$100,0))&lt;&gt;0,INDEX('Coverage Indicators - Section D'!R$1:R$100,MATCH('Print View'!$A193,'Coverage Indicators - Section D'!$A$1:$A$100,0)),""),"")&amp;"/"&amp;IFERROR(IF(INDEX('Coverage Indicators - Section D'!R$1:R$100,MATCH('Print View'!$A193,'Coverage Indicators - Section D'!$A$1:$A$100,0)+1)&lt;&gt;0,INDEX('Coverage Indicators - Section D'!R$1:R$100,MATCH('Print View'!$A193,'Coverage Indicators - Section D'!$A$1:$A$100,0)+1),""),"")&amp;CHAR(10)&amp;IFERROR(IF(INDEX('Coverage Indicators - Section D'!S$1:S$100,MATCH('Print View'!$A193,'Coverage Indicators - Section D'!$A$1:$A$100,0))&lt;&gt;0,TEXT(INDEX('Coverage Indicators - Section D'!S$1:S$100,MATCH('Print View'!$A193,'Coverage Indicators - Section D'!$A$1:$A$100,0)),"0.00%"),""),"")&amp;CHAR(10)&amp;IFERROR(IF(INDEX('Coverage Indicators - Section D'!T$1:T$100,MATCH('Print View'!$A193,'Coverage Indicators - Section D'!$A$1:$A$100,0))&lt;&gt;0,INDEX('Coverage Indicators - Section D'!T$1:T$100,MATCH('Print View'!$A193,'Coverage Indicators - Section D'!$A$1:$A$100,0)),""),"")</f>
        <v xml:space="preserve">/
</v>
      </c>
      <c r="N193" s="405" t="str">
        <f ca="1">IFERROR(IF(INDEX('Coverage Indicators - Section D'!U$1:U$100,MATCH('Print View'!$A193,'Coverage Indicators - Section D'!$A$1:$A$100,0))&lt;&gt;0,INDEX('Coverage Indicators - Section D'!U$1:U$100,MATCH('Print View'!$A193,'Coverage Indicators - Section D'!$A$1:$A$100,0)),""),"")&amp;"/"&amp;IFERROR(IF(INDEX('Coverage Indicators - Section D'!U$1:U$100,MATCH('Print View'!$A193,'Coverage Indicators - Section D'!$A$1:$A$100,0)+1)&lt;&gt;0,INDEX('Coverage Indicators - Section D'!U$1:U$100,MATCH('Print View'!$A193,'Coverage Indicators - Section D'!$A$1:$A$100,0)+1),""),"")&amp;CHAR(10)&amp;IFERROR(IF(INDEX('Coverage Indicators - Section D'!V$1:V$100,MATCH('Print View'!$A193,'Coverage Indicators - Section D'!$A$1:$A$100,0))&lt;&gt;0,TEXT(INDEX('Coverage Indicators - Section D'!V$1:V$100,MATCH('Print View'!$A193,'Coverage Indicators - Section D'!$A$1:$A$100,0)),"0.00%"),""),"")&amp;CHAR(10)&amp;IFERROR(IF(INDEX('Coverage Indicators - Section D'!W$1:W$100,MATCH('Print View'!$A193,'Coverage Indicators - Section D'!$A$1:$A$100,0))&lt;&gt;0,INDEX('Coverage Indicators - Section D'!W$1:W$100,MATCH('Print View'!$A193,'Coverage Indicators - Section D'!$A$1:$A$100,0)),""),"")</f>
        <v xml:space="preserve">/
</v>
      </c>
      <c r="O193" s="406" t="str">
        <f ca="1">IFERROR(IF(INDEX('Coverage Indicators - Section D'!X$1:X$100,MATCH('Print View'!$A193,'Coverage Indicators - Section D'!$A$1:$A$100,0))&lt;&gt;0,INDEX('Coverage Indicators - Section D'!X$1:X$100,MATCH('Print View'!$A193,'Coverage Indicators - Section D'!$A$1:$A$100,0)),""),"")&amp;"/"&amp;IFERROR(IF(INDEX('Coverage Indicators - Section D'!X$1:X$100,MATCH('Print View'!$A193,'Coverage Indicators - Section D'!$A$1:$A$100,0)+1)&lt;&gt;0,INDEX('Coverage Indicators - Section D'!X$1:X$100,MATCH('Print View'!$A193,'Coverage Indicators - Section D'!$A$1:$A$100,0)+1),""),"")&amp;CHAR(10)&amp;IFERROR(IF(INDEX('Coverage Indicators - Section D'!Y$1:Y$100,MATCH('Print View'!$A193,'Coverage Indicators - Section D'!$A$1:$A$100,0))&lt;&gt;0,TEXT(INDEX('Coverage Indicators - Section D'!Y$1:Y$100,MATCH('Print View'!$A193,'Coverage Indicators - Section D'!$A$1:$A$100,0)),"0.00%"),""),"")&amp;CHAR(10)&amp;IFERROR(IF(INDEX('Coverage Indicators - Section D'!Z$1:Z$100,MATCH('Print View'!$A193,'Coverage Indicators - Section D'!$A$1:$A$100,0))&lt;&gt;0,INDEX('Coverage Indicators - Section D'!Z$1:Z$100,MATCH('Print View'!$A193,'Coverage Indicators - Section D'!$A$1:$A$100,0)),""),"")</f>
        <v xml:space="preserve">/
</v>
      </c>
      <c r="P193" s="406" t="str">
        <f ca="1">IFERROR(IF(INDEX('Coverage Indicators - Section D'!AA$1:AA$100,MATCH('Print View'!$A193,'Coverage Indicators - Section D'!$A$1:$A$100,0))&lt;&gt;0,INDEX('Coverage Indicators - Section D'!AA$1:AA$100,MATCH('Print View'!$A193,'Coverage Indicators - Section D'!$A$1:$A$100,0)),""),"")&amp;"/"&amp;IFERROR(IF(INDEX('Coverage Indicators - Section D'!AA$1:AA$100,MATCH('Print View'!$A193,'Coverage Indicators - Section D'!$A$1:$A$100,0)+1)&lt;&gt;0,INDEX('Coverage Indicators - Section D'!AA$1:AA$100,MATCH('Print View'!$A193,'Coverage Indicators - Section D'!$A$1:$A$100,0)+1),""),"")&amp;CHAR(10)&amp;IFERROR(IF(INDEX('Coverage Indicators - Section D'!AB$1:AB$100,MATCH('Print View'!$A193,'Coverage Indicators - Section D'!$A$1:$A$100,0))&lt;&gt;0,TEXT(INDEX('Coverage Indicators - Section D'!AB$1:AB$100,MATCH('Print View'!$A193,'Coverage Indicators - Section D'!$A$1:$A$100,0)),"0.00%"),""),"")&amp;CHAR(10)&amp;IFERROR(IF(INDEX('Coverage Indicators - Section D'!AC$1:AC$100,MATCH('Print View'!$A193,'Coverage Indicators - Section D'!$A$1:$A$100,0))&lt;&gt;0,INDEX('Coverage Indicators - Section D'!AC$1:AC$100,MATCH('Print View'!$A193,'Coverage Indicators - Section D'!$A$1:$A$100,0)),""),"")</f>
        <v xml:space="preserve">/
</v>
      </c>
      <c r="Q193" s="406" t="str">
        <f ca="1">IFERROR(IF(INDEX('Coverage Indicators - Section D'!AD$1:AD$100,MATCH('Print View'!$A193,'Coverage Indicators - Section D'!$A$1:$A$100,0))&lt;&gt;0,INDEX('Coverage Indicators - Section D'!AD$1:AD$100,MATCH('Print View'!$A193,'Coverage Indicators - Section D'!$A$1:$A$100,0)),""),"")&amp;"/"&amp;IFERROR(IF(INDEX('Coverage Indicators - Section D'!AD$1:AD$100,MATCH('Print View'!$A193,'Coverage Indicators - Section D'!$A$1:$A$100,0)+1)&lt;&gt;0,INDEX('Coverage Indicators - Section D'!AD$1:AD$100,MATCH('Print View'!$A193,'Coverage Indicators - Section D'!$A$1:$A$100,0)+1),""),"")&amp;CHAR(10)&amp;IFERROR(IF(INDEX('Coverage Indicators - Section D'!AE$1:AE$100,MATCH('Print View'!$A193,'Coverage Indicators - Section D'!$A$1:$A$100,0))&lt;&gt;0,TEXT(INDEX('Coverage Indicators - Section D'!AE$1:AE$100,MATCH('Print View'!$A193,'Coverage Indicators - Section D'!$A$1:$A$100,0)),"0.00%"),""),"")&amp;CHAR(10)&amp;IFERROR(IF(INDEX('Coverage Indicators - Section D'!AF$1:AF$100,MATCH('Print View'!$A193,'Coverage Indicators - Section D'!$A$1:$A$100,0))&lt;&gt;0,INDEX('Coverage Indicators - Section D'!AF$1:AF$100,MATCH('Print View'!$A193,'Coverage Indicators - Section D'!$A$1:$A$100,0)),""),"")</f>
        <v xml:space="preserve">/
</v>
      </c>
      <c r="R193" s="406" t="str">
        <f ca="1">IFERROR(IF(INDEX('Coverage Indicators - Section D'!AG$1:AG$100,MATCH('Print View'!$A193,'Coverage Indicators - Section D'!$A$1:$A$100,0))&lt;&gt;0,INDEX('Coverage Indicators - Section D'!AG$1:AG$100,MATCH('Print View'!$A193,'Coverage Indicators - Section D'!$A$1:$A$100,0)),""),"")&amp;"/"&amp;IFERROR(IF(INDEX('Coverage Indicators - Section D'!AG$1:AG$100,MATCH('Print View'!$A193,'Coverage Indicators - Section D'!$A$1:$A$100,0)+1)&lt;&gt;0,INDEX('Coverage Indicators - Section D'!AG$1:AG$100,MATCH('Print View'!$A193,'Coverage Indicators - Section D'!$A$1:$A$100,0)+1),""),"")&amp;CHAR(10)&amp;IFERROR(IF(INDEX('Coverage Indicators - Section D'!AH$1:AH$100,MATCH('Print View'!$A193,'Coverage Indicators - Section D'!$A$1:$A$100,0))&lt;&gt;0,TEXT(INDEX('Coverage Indicators - Section D'!AH$1:AH$100,MATCH('Print View'!$A193,'Coverage Indicators - Section D'!$A$1:$A$100,0)),"0.00%"),""),"")&amp;CHAR(10)&amp;IFERROR(IF(INDEX('Coverage Indicators - Section D'!AI$1:AI$100,MATCH('Print View'!$A193,'Coverage Indicators - Section D'!$A$1:$A$100,0))&lt;&gt;0,INDEX('Coverage Indicators - Section D'!AI$1:AI$100,MATCH('Print View'!$A193,'Coverage Indicators - Section D'!$A$1:$A$100,0)),""),"")</f>
        <v xml:space="preserve">/
</v>
      </c>
      <c r="S193" s="406" t="str">
        <f ca="1">IFERROR(IF(INDEX('Coverage Indicators - Section D'!AJ$1:AJ$100,MATCH('Print View'!$A193,'Coverage Indicators - Section D'!$A$1:$A$100,0))&lt;&gt;0,INDEX('Coverage Indicators - Section D'!AJ$1:AJ$100,MATCH('Print View'!$A193,'Coverage Indicators - Section D'!$A$1:$A$100,0)),""),"")&amp;"/"&amp;IFERROR(IF(INDEX('Coverage Indicators - Section D'!AJ$1:AJ$100,MATCH('Print View'!$A193,'Coverage Indicators - Section D'!$A$1:$A$100,0)+1)&lt;&gt;0,INDEX('Coverage Indicators - Section D'!AJ$1:AJ$100,MATCH('Print View'!$A193,'Coverage Indicators - Section D'!$A$1:$A$100,0)+1),""),"")&amp;CHAR(10)&amp;IFERROR(IF(INDEX('Coverage Indicators - Section D'!AK$1:AK$100,MATCH('Print View'!$A193,'Coverage Indicators - Section D'!$A$1:$A$100,0))&lt;&gt;0,TEXT(INDEX('Coverage Indicators - Section D'!AK$1:AK$100,MATCH('Print View'!$A193,'Coverage Indicators - Section D'!$A$1:$A$100,0)),"0.00%"),""),"")&amp;CHAR(10)&amp;IFERROR(IF(INDEX('Coverage Indicators - Section D'!AL$1:AL$100,MATCH('Print View'!$A193,'Coverage Indicators - Section D'!$A$1:$A$100,0))&lt;&gt;0,INDEX('Coverage Indicators - Section D'!AL$1:AL$100,MATCH('Print View'!$A193,'Coverage Indicators - Section D'!$A$1:$A$100,0)),""),"")</f>
        <v xml:space="preserve">/
</v>
      </c>
      <c r="T193" s="385"/>
      <c r="U193" s="216"/>
      <c r="V193" s="216"/>
      <c r="W193" s="216"/>
      <c r="X193" s="216"/>
      <c r="Y193" s="216"/>
      <c r="Z193" s="216"/>
      <c r="AA193" s="216"/>
      <c r="AB193" s="216"/>
      <c r="AC193" s="216"/>
      <c r="AD193" s="216"/>
      <c r="AE193" s="216"/>
      <c r="AF193" s="216"/>
      <c r="AG193" s="216"/>
      <c r="AH193" s="216"/>
      <c r="AI193" s="216"/>
      <c r="AJ193" s="216"/>
      <c r="AK193" s="216"/>
      <c r="AL193" s="216"/>
      <c r="AM193" s="216"/>
      <c r="AN193" s="216"/>
      <c r="AO193" s="216" t="str">
        <f ca="1">IFERROR(IF(INDEX('Coverage Indicators - Section D'!AD$1:AD$110,MATCH('Print View'!$A193,'Coverage Indicators - Section D'!$A$1:$A$110,0))&lt;&gt;0,INDEX('Coverage Indicators - Section D'!AD$1:AD$110,MATCH('Print View'!$A193,'Coverage Indicators - Section D'!$A$1:$A$110,0)),""),"")</f>
        <v/>
      </c>
      <c r="AP193" s="216"/>
      <c r="AQ193" s="216"/>
      <c r="AR193" s="216"/>
      <c r="AS193" s="216"/>
      <c r="AT193" s="711" t="str">
        <f ca="1">CONCATENATE($A193,N$147)</f>
        <v>2330-Jun-22</v>
      </c>
      <c r="AU193" s="710" t="str">
        <f ca="1">CONCATENATE($A193,Q$147)</f>
        <v>2331-Dec-23</v>
      </c>
      <c r="AV193" s="710" t="str">
        <f t="shared" ref="AV193" si="154">CONCATENATE($A193,V$147)</f>
        <v>23</v>
      </c>
      <c r="AW193" s="710" t="str">
        <f t="shared" ref="AW193" si="155">CONCATENATE($A193,Y$147)</f>
        <v>23</v>
      </c>
      <c r="AX193" s="710" t="str">
        <f t="shared" ref="AX193" si="156">CONCATENATE($A193,AB$147)</f>
        <v>23</v>
      </c>
      <c r="AY193" s="710" t="str">
        <f t="shared" ref="AY193" si="157">CONCATENATE($A193,AE$147)</f>
        <v>23</v>
      </c>
      <c r="AZ193" s="710" t="str">
        <f t="shared" ref="AZ193" si="158">CONCATENATE($A193,AH$147)</f>
        <v>23</v>
      </c>
      <c r="BA193" s="710" t="str">
        <f t="shared" ref="BA193" si="159">CONCATENATE($A193,AK$147)</f>
        <v>23</v>
      </c>
      <c r="BB193" s="409"/>
      <c r="BC193" s="410"/>
    </row>
    <row r="194" spans="1:55" s="411" customFormat="1" ht="88.2" customHeight="1" x14ac:dyDescent="0.3">
      <c r="A194" s="709"/>
      <c r="B194" s="714" t="str">
        <f ca="1">IFERROR(IF(INDEX('Coverage Indicators - Section D'!AM$1:AM$110,MATCH('Print View'!$A193,'Coverage Indicators - Section D'!$A$1:$A$110,0))&lt;&gt;0,INDEX('Coverage Indicators - Section D'!AM$1:AM$110,MATCH('Print View'!$A193,'Coverage Indicators - Section D'!$A$1:$A$110,0)),""),"")</f>
        <v/>
      </c>
      <c r="C194" s="715"/>
      <c r="D194" s="715"/>
      <c r="E194" s="715"/>
      <c r="F194" s="715"/>
      <c r="G194" s="715"/>
      <c r="H194" s="715"/>
      <c r="I194" s="715"/>
      <c r="J194" s="715"/>
      <c r="K194" s="715"/>
      <c r="L194" s="715"/>
      <c r="M194" s="715"/>
      <c r="N194" s="715"/>
      <c r="O194" s="715"/>
      <c r="P194" s="715"/>
      <c r="Q194" s="715"/>
      <c r="R194" s="715"/>
      <c r="S194" s="716"/>
      <c r="T194" s="412"/>
      <c r="U194" s="216"/>
      <c r="V194" s="216"/>
      <c r="W194" s="216"/>
      <c r="X194" s="216"/>
      <c r="Y194" s="21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711"/>
      <c r="AU194" s="710"/>
      <c r="AV194" s="710"/>
      <c r="AW194" s="710"/>
      <c r="AX194" s="710"/>
      <c r="AY194" s="710"/>
      <c r="AZ194" s="710"/>
      <c r="BA194" s="710"/>
      <c r="BB194" s="409"/>
      <c r="BC194" s="410"/>
    </row>
    <row r="195" spans="1:55" s="411" customFormat="1" ht="177" customHeight="1" x14ac:dyDescent="0.3">
      <c r="A195" s="712">
        <v>24</v>
      </c>
      <c r="B195" s="380" t="str">
        <f ca="1">IFERROR(IF(INDEX('Coverage Indicators - Section D'!B$1:B$100,MATCH('Print View'!$A195,'Coverage Indicators - Section D'!$A$1:$A$100,0))&lt;&gt;0,INDEX('Coverage Indicators - Section D'!B$1:B$100,MATCH('Print View'!$A195,'Coverage Indicators - Section D'!$A$1:$A$100,0)),""),"")</f>
        <v/>
      </c>
      <c r="C195" s="380" t="str">
        <f ca="1">IFERROR(IF(INDEX('Coverage Indicators - Section D'!D$1:D$100,MATCH('Print View'!$A195,'Coverage Indicators - Section D'!$A$1:$A$100,0))&lt;&gt;0,INDEX('Coverage Indicators - Section D'!D$1:D$100,MATCH('Print View'!$A195,'Coverage Indicators - Section D'!$A$1:$A$100,0)),""),"")</f>
        <v/>
      </c>
      <c r="D195" s="380" t="str">
        <f ca="1">IFERROR(IF(INDEX('Coverage Indicators - Section D'!E$1:E$100,MATCH('Print View'!$A195,'Coverage Indicators - Section D'!$A$1:$A$100,0))&lt;&gt;0,INDEX('Coverage Indicators - Section D'!E$1:E$100,MATCH('Print View'!$A195,'Coverage Indicators - Section D'!$A$1:$A$100,0)),""),"")</f>
        <v/>
      </c>
      <c r="E195" s="381" t="str">
        <f ca="1">IFERROR(IF(INDEX('Coverage Indicators - Section D'!F$1:F$100,MATCH('Print View'!$A195,'Coverage Indicators - Section D'!$A$1:$A$100,0))&lt;&gt;0,INDEX('Coverage Indicators - Section D'!F$1:F$100,MATCH('Print View'!$A195,'Coverage Indicators - Section D'!$A$1:$A$100,0)),""),"")&amp;"/"&amp;IFERROR(IF(INDEX('Coverage Indicators - Section D'!F$1:F$100,MATCH('Print View'!$A195,'Coverage Indicators - Section D'!$A$1:$A$100,0)+1)&lt;&gt;0,INDEX('Coverage Indicators - Section D'!F$1:F$100,MATCH('Print View'!$A195,'Coverage Indicators - Section D'!$A$1:$A$100,0)+1),""),"")&amp;CHAR(10)&amp;IFERROR(IF(INDEX('Coverage Indicators - Section D'!G$1:G$100,MATCH('Print View'!$A195,'Coverage Indicators - Section D'!$A$1:$A$100,0))&lt;&gt;0,TEXT(INDEX('Coverage Indicators - Section D'!G$1:G$100,MATCH('Print View'!$A195,'Coverage Indicators - Section D'!$A$1:$A$100,0)),"0.00%"),""),"")</f>
        <v xml:space="preserve">/
</v>
      </c>
      <c r="F195" s="413"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414" t="str">
        <f>IFERROR(IF(INDEX('Coverage Indicators - Section D'!J53:J82,MATCH('Print View'!$A195,'Coverage Indicators - Section D'!$A$9:$A$38,0))&lt;&gt;0,INDEX('Coverage Indicators - Section D'!J53:J82,MATCH('Print View'!$A195,'Coverage Indicators - Section D'!$A$9:$A$38,0)),""),"")</f>
        <v/>
      </c>
      <c r="H195" s="413" t="str">
        <f ca="1">IFERROR(IF(INDEX('Coverage Indicators - Section D'!K$1:K$100,MATCH('Print View'!$A195,'Coverage Indicators - Section D'!$A$1:$A$100,0))&lt;&gt;0,INDEX('Coverage Indicators - Section D'!K$1:K$100,MATCH('Print View'!$A195,'Coverage Indicators - Section D'!$A$1:$A$100,0)),""),"")</f>
        <v/>
      </c>
      <c r="I195" s="414" t="str">
        <f ca="1">IFERROR(IF(INDEX('Coverage Indicators - Section D'!L$1:L$100,MATCH('Print View'!$A195,'Coverage Indicators - Section D'!$A$1:$A$100,0))&lt;&gt;0,INDEX('Coverage Indicators - Section D'!L$1:L$100,MATCH('Print View'!$A195,'Coverage Indicators - Section D'!$A$1:$A$100,0)),""),"")</f>
        <v/>
      </c>
      <c r="J195" s="413"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413" t="str">
        <f ca="1">IFERROR(IF(INDEX('Coverage Indicators - Section D'!N$1:N$100,MATCH('Print View'!$A195,'Coverage Indicators - Section D'!$A$1:$A$100,0))&lt;&gt;0,INDEX('Coverage Indicators - Section D'!N$1:N$100,MATCH('Print View'!$A195,'Coverage Indicators - Section D'!$A$1:$A$100,0)),""),"")</f>
        <v/>
      </c>
      <c r="L195" s="415" t="str">
        <f ca="1">IFERROR(IF(INDEX('Coverage Indicators - Section D'!O$1:O$100,MATCH('Print View'!$A195,'Coverage Indicators - Section D'!$A$1:$A$100,0))&lt;&gt;0,INDEX('Coverage Indicators - Section D'!O$1:O$100,MATCH('Print View'!$A195,'Coverage Indicators - Section D'!$A$1:$A$100,0)),""),"")&amp;"/"&amp;IFERROR(IF(INDEX('Coverage Indicators - Section D'!O$1:O$100,MATCH('Print View'!$A195,'Coverage Indicators - Section D'!$A$1:$A$100,0)+1)&lt;&gt;0,INDEX('Coverage Indicators - Section D'!O$1:O$100,MATCH('Print View'!$A195,'Coverage Indicators - Section D'!$A$1:$A$100,0)+1),""),"")&amp;CHAR(10)&amp;IFERROR(IF(INDEX('Coverage Indicators - Section D'!P$1:P$100,MATCH('Print View'!$A195,'Coverage Indicators - Section D'!$A$1:$A$100,0))&lt;&gt;0,TEXT(INDEX('Coverage Indicators - Section D'!P$1:P$100,MATCH('Print View'!$A195,'Coverage Indicators - Section D'!$A$1:$A$100,0)),"0.00%"),""),"")&amp;CHAR(10)&amp;IFERROR(IF(INDEX('Coverage Indicators - Section D'!Q$1:Q$100,MATCH('Print View'!$A195,'Coverage Indicators - Section D'!$A$1:$A$100,0))&lt;&gt;0,INDEX('Coverage Indicators - Section D'!Q$1:Q$100,MATCH('Print View'!$A195,'Coverage Indicators - Section D'!$A$1:$A$100,0)),""),"")</f>
        <v xml:space="preserve">/
</v>
      </c>
      <c r="M195" s="415" t="str">
        <f ca="1">IFERROR(IF(INDEX('Coverage Indicators - Section D'!R$1:R$100,MATCH('Print View'!$A195,'Coverage Indicators - Section D'!$A$1:$A$100,0))&lt;&gt;0,INDEX('Coverage Indicators - Section D'!R$1:R$100,MATCH('Print View'!$A195,'Coverage Indicators - Section D'!$A$1:$A$100,0)),""),"")&amp;"/"&amp;IFERROR(IF(INDEX('Coverage Indicators - Section D'!R$1:R$100,MATCH('Print View'!$A195,'Coverage Indicators - Section D'!$A$1:$A$100,0)+1)&lt;&gt;0,INDEX('Coverage Indicators - Section D'!R$1:R$100,MATCH('Print View'!$A195,'Coverage Indicators - Section D'!$A$1:$A$100,0)+1),""),"")&amp;CHAR(10)&amp;IFERROR(IF(INDEX('Coverage Indicators - Section D'!S$1:S$100,MATCH('Print View'!$A195,'Coverage Indicators - Section D'!$A$1:$A$100,0))&lt;&gt;0,TEXT(INDEX('Coverage Indicators - Section D'!S$1:S$100,MATCH('Print View'!$A195,'Coverage Indicators - Section D'!$A$1:$A$100,0)),"0.00%"),""),"")&amp;CHAR(10)&amp;IFERROR(IF(INDEX('Coverage Indicators - Section D'!T$1:T$100,MATCH('Print View'!$A195,'Coverage Indicators - Section D'!$A$1:$A$100,0))&lt;&gt;0,INDEX('Coverage Indicators - Section D'!T$1:T$100,MATCH('Print View'!$A195,'Coverage Indicators - Section D'!$A$1:$A$100,0)),""),"")</f>
        <v xml:space="preserve">/
</v>
      </c>
      <c r="N195" s="415" t="str">
        <f ca="1">IFERROR(IF(INDEX('Coverage Indicators - Section D'!U$1:U$100,MATCH('Print View'!$A195,'Coverage Indicators - Section D'!$A$1:$A$100,0))&lt;&gt;0,INDEX('Coverage Indicators - Section D'!U$1:U$100,MATCH('Print View'!$A195,'Coverage Indicators - Section D'!$A$1:$A$100,0)),""),"")&amp;"/"&amp;IFERROR(IF(INDEX('Coverage Indicators - Section D'!U$1:U$100,MATCH('Print View'!$A195,'Coverage Indicators - Section D'!$A$1:$A$100,0)+1)&lt;&gt;0,INDEX('Coverage Indicators - Section D'!U$1:U$100,MATCH('Print View'!$A195,'Coverage Indicators - Section D'!$A$1:$A$100,0)+1),""),"")&amp;CHAR(10)&amp;IFERROR(IF(INDEX('Coverage Indicators - Section D'!V$1:V$100,MATCH('Print View'!$A195,'Coverage Indicators - Section D'!$A$1:$A$100,0))&lt;&gt;0,TEXT(INDEX('Coverage Indicators - Section D'!V$1:V$100,MATCH('Print View'!$A195,'Coverage Indicators - Section D'!$A$1:$A$100,0)),"0.00%"),""),"")&amp;CHAR(10)&amp;IFERROR(IF(INDEX('Coverage Indicators - Section D'!W$1:W$100,MATCH('Print View'!$A195,'Coverage Indicators - Section D'!$A$1:$A$100,0))&lt;&gt;0,INDEX('Coverage Indicators - Section D'!W$1:W$100,MATCH('Print View'!$A195,'Coverage Indicators - Section D'!$A$1:$A$100,0)),""),"")</f>
        <v xml:space="preserve">/
</v>
      </c>
      <c r="O195" s="415" t="str">
        <f ca="1">IFERROR(IF(INDEX('Coverage Indicators - Section D'!X$1:X$100,MATCH('Print View'!$A195,'Coverage Indicators - Section D'!$A$1:$A$100,0))&lt;&gt;0,INDEX('Coverage Indicators - Section D'!X$1:X$100,MATCH('Print View'!$A195,'Coverage Indicators - Section D'!$A$1:$A$100,0)),""),"")&amp;"/"&amp;IFERROR(IF(INDEX('Coverage Indicators - Section D'!X$1:X$100,MATCH('Print View'!$A195,'Coverage Indicators - Section D'!$A$1:$A$100,0)+1)&lt;&gt;0,INDEX('Coverage Indicators - Section D'!X$1:X$100,MATCH('Print View'!$A195,'Coverage Indicators - Section D'!$A$1:$A$100,0)+1),""),"")&amp;CHAR(10)&amp;IFERROR(IF(INDEX('Coverage Indicators - Section D'!Y$1:Y$100,MATCH('Print View'!$A195,'Coverage Indicators - Section D'!$A$1:$A$100,0))&lt;&gt;0,TEXT(INDEX('Coverage Indicators - Section D'!Y$1:Y$100,MATCH('Print View'!$A195,'Coverage Indicators - Section D'!$A$1:$A$100,0)),"0.00%"),""),"")&amp;CHAR(10)&amp;IFERROR(IF(INDEX('Coverage Indicators - Section D'!Z$1:Z$100,MATCH('Print View'!$A195,'Coverage Indicators - Section D'!$A$1:$A$100,0))&lt;&gt;0,INDEX('Coverage Indicators - Section D'!Z$1:Z$100,MATCH('Print View'!$A195,'Coverage Indicators - Section D'!$A$1:$A$100,0)),""),"")</f>
        <v xml:space="preserve">/
</v>
      </c>
      <c r="P195" s="415" t="str">
        <f ca="1">IFERROR(IF(INDEX('Coverage Indicators - Section D'!AA$1:AA$100,MATCH('Print View'!$A195,'Coverage Indicators - Section D'!$A$1:$A$100,0))&lt;&gt;0,INDEX('Coverage Indicators - Section D'!AA$1:AA$100,MATCH('Print View'!$A195,'Coverage Indicators - Section D'!$A$1:$A$100,0)),""),"")&amp;"/"&amp;IFERROR(IF(INDEX('Coverage Indicators - Section D'!AA$1:AA$100,MATCH('Print View'!$A195,'Coverage Indicators - Section D'!$A$1:$A$100,0)+1)&lt;&gt;0,INDEX('Coverage Indicators - Section D'!AA$1:AA$100,MATCH('Print View'!$A195,'Coverage Indicators - Section D'!$A$1:$A$100,0)+1),""),"")&amp;CHAR(10)&amp;IFERROR(IF(INDEX('Coverage Indicators - Section D'!AB$1:AB$100,MATCH('Print View'!$A195,'Coverage Indicators - Section D'!$A$1:$A$100,0))&lt;&gt;0,TEXT(INDEX('Coverage Indicators - Section D'!AB$1:AB$100,MATCH('Print View'!$A195,'Coverage Indicators - Section D'!$A$1:$A$100,0)),"0.00%"),""),"")&amp;CHAR(10)&amp;IFERROR(IF(INDEX('Coverage Indicators - Section D'!AC$1:AC$100,MATCH('Print View'!$A195,'Coverage Indicators - Section D'!$A$1:$A$100,0))&lt;&gt;0,INDEX('Coverage Indicators - Section D'!AC$1:AC$100,MATCH('Print View'!$A195,'Coverage Indicators - Section D'!$A$1:$A$100,0)),""),"")</f>
        <v xml:space="preserve">/
</v>
      </c>
      <c r="Q195" s="415" t="str">
        <f ca="1">IFERROR(IF(INDEX('Coverage Indicators - Section D'!AD$1:AD$100,MATCH('Print View'!$A195,'Coverage Indicators - Section D'!$A$1:$A$100,0))&lt;&gt;0,INDEX('Coverage Indicators - Section D'!AD$1:AD$100,MATCH('Print View'!$A195,'Coverage Indicators - Section D'!$A$1:$A$100,0)),""),"")&amp;"/"&amp;IFERROR(IF(INDEX('Coverage Indicators - Section D'!AD$1:AD$100,MATCH('Print View'!$A195,'Coverage Indicators - Section D'!$A$1:$A$100,0)+1)&lt;&gt;0,INDEX('Coverage Indicators - Section D'!AD$1:AD$100,MATCH('Print View'!$A195,'Coverage Indicators - Section D'!$A$1:$A$100,0)+1),""),"")&amp;CHAR(10)&amp;IFERROR(IF(INDEX('Coverage Indicators - Section D'!AE$1:AE$100,MATCH('Print View'!$A195,'Coverage Indicators - Section D'!$A$1:$A$100,0))&lt;&gt;0,TEXT(INDEX('Coverage Indicators - Section D'!AE$1:AE$100,MATCH('Print View'!$A195,'Coverage Indicators - Section D'!$A$1:$A$100,0)),"0.00%"),""),"")&amp;CHAR(10)&amp;IFERROR(IF(INDEX('Coverage Indicators - Section D'!AF$1:AF$100,MATCH('Print View'!$A195,'Coverage Indicators - Section D'!$A$1:$A$100,0))&lt;&gt;0,INDEX('Coverage Indicators - Section D'!AF$1:AF$100,MATCH('Print View'!$A195,'Coverage Indicators - Section D'!$A$1:$A$100,0)),""),"")</f>
        <v xml:space="preserve">/
</v>
      </c>
      <c r="R195" s="415" t="str">
        <f ca="1">IFERROR(IF(INDEX('Coverage Indicators - Section D'!AG$1:AG$100,MATCH('Print View'!$A195,'Coverage Indicators - Section D'!$A$1:$A$100,0))&lt;&gt;0,INDEX('Coverage Indicators - Section D'!AG$1:AG$100,MATCH('Print View'!$A195,'Coverage Indicators - Section D'!$A$1:$A$100,0)),""),"")&amp;"/"&amp;IFERROR(IF(INDEX('Coverage Indicators - Section D'!AG$1:AG$100,MATCH('Print View'!$A195,'Coverage Indicators - Section D'!$A$1:$A$100,0)+1)&lt;&gt;0,INDEX('Coverage Indicators - Section D'!AG$1:AG$100,MATCH('Print View'!$A195,'Coverage Indicators - Section D'!$A$1:$A$100,0)+1),""),"")&amp;CHAR(10)&amp;IFERROR(IF(INDEX('Coverage Indicators - Section D'!AH$1:AH$100,MATCH('Print View'!$A195,'Coverage Indicators - Section D'!$A$1:$A$100,0))&lt;&gt;0,TEXT(INDEX('Coverage Indicators - Section D'!AH$1:AH$100,MATCH('Print View'!$A195,'Coverage Indicators - Section D'!$A$1:$A$100,0)),"0.00%"),""),"")&amp;CHAR(10)&amp;IFERROR(IF(INDEX('Coverage Indicators - Section D'!AI$1:AI$100,MATCH('Print View'!$A195,'Coverage Indicators - Section D'!$A$1:$A$100,0))&lt;&gt;0,INDEX('Coverage Indicators - Section D'!AI$1:AI$100,MATCH('Print View'!$A195,'Coverage Indicators - Section D'!$A$1:$A$100,0)),""),"")</f>
        <v xml:space="preserve">/
</v>
      </c>
      <c r="S195" s="415" t="str">
        <f ca="1">IFERROR(IF(INDEX('Coverage Indicators - Section D'!AJ$1:AJ$100,MATCH('Print View'!$A195,'Coverage Indicators - Section D'!$A$1:$A$100,0))&lt;&gt;0,INDEX('Coverage Indicators - Section D'!AJ$1:AJ$100,MATCH('Print View'!$A195,'Coverage Indicators - Section D'!$A$1:$A$100,0)),""),"")&amp;"/"&amp;IFERROR(IF(INDEX('Coverage Indicators - Section D'!AJ$1:AJ$100,MATCH('Print View'!$A195,'Coverage Indicators - Section D'!$A$1:$A$100,0)+1)&lt;&gt;0,INDEX('Coverage Indicators - Section D'!AJ$1:AJ$100,MATCH('Print View'!$A195,'Coverage Indicators - Section D'!$A$1:$A$100,0)+1),""),"")&amp;CHAR(10)&amp;IFERROR(IF(INDEX('Coverage Indicators - Section D'!AK$1:AK$100,MATCH('Print View'!$A195,'Coverage Indicators - Section D'!$A$1:$A$100,0))&lt;&gt;0,TEXT(INDEX('Coverage Indicators - Section D'!AK$1:AK$100,MATCH('Print View'!$A195,'Coverage Indicators - Section D'!$A$1:$A$100,0)),"0.00%"),""),"")&amp;CHAR(10)&amp;IFERROR(IF(INDEX('Coverage Indicators - Section D'!AL$1:AL$100,MATCH('Print View'!$A195,'Coverage Indicators - Section D'!$A$1:$A$100,0))&lt;&gt;0,INDEX('Coverage Indicators - Section D'!AL$1:AL$100,MATCH('Print View'!$A195,'Coverage Indicators - Section D'!$A$1:$A$100,0)),""),"")</f>
        <v xml:space="preserve">/
</v>
      </c>
      <c r="T195" s="416"/>
      <c r="U195" s="216"/>
      <c r="V195" s="216"/>
      <c r="W195" s="216"/>
      <c r="X195" s="216"/>
      <c r="Y195" s="216"/>
      <c r="Z195" s="216"/>
      <c r="AA195" s="216"/>
      <c r="AB195" s="216"/>
      <c r="AC195" s="216"/>
      <c r="AD195" s="216"/>
      <c r="AE195" s="216"/>
      <c r="AF195" s="216"/>
      <c r="AG195" s="216"/>
      <c r="AH195" s="216"/>
      <c r="AI195" s="216"/>
      <c r="AJ195" s="216"/>
      <c r="AK195" s="216"/>
      <c r="AL195" s="216"/>
      <c r="AM195" s="216"/>
      <c r="AN195" s="216"/>
      <c r="AO195" s="216" t="str">
        <f ca="1">IFERROR(IF(INDEX('Coverage Indicators - Section D'!AD$1:AD$110,MATCH('Print View'!$A195,'Coverage Indicators - Section D'!$A$1:$A$110,0))&lt;&gt;0,INDEX('Coverage Indicators - Section D'!AD$1:AD$110,MATCH('Print View'!$A195,'Coverage Indicators - Section D'!$A$1:$A$110,0)),""),"")</f>
        <v/>
      </c>
      <c r="AP195" s="216"/>
      <c r="AQ195" s="216"/>
      <c r="AR195" s="216"/>
      <c r="AS195" s="216"/>
      <c r="AT195" s="711" t="str">
        <f ca="1">CONCATENATE($A195,N$147)</f>
        <v>2430-Jun-22</v>
      </c>
      <c r="AU195" s="710" t="str">
        <f ca="1">CONCATENATE($A195,Q$147)</f>
        <v>2431-Dec-23</v>
      </c>
      <c r="AV195" s="710" t="str">
        <f t="shared" ref="AV195" si="160">CONCATENATE($A195,V$147)</f>
        <v>24</v>
      </c>
      <c r="AW195" s="710" t="str">
        <f t="shared" ref="AW195" si="161">CONCATENATE($A195,Y$147)</f>
        <v>24</v>
      </c>
      <c r="AX195" s="710" t="str">
        <f t="shared" ref="AX195" si="162">CONCATENATE($A195,AB$147)</f>
        <v>24</v>
      </c>
      <c r="AY195" s="710" t="str">
        <f t="shared" ref="AY195" si="163">CONCATENATE($A195,AE$147)</f>
        <v>24</v>
      </c>
      <c r="AZ195" s="710" t="str">
        <f t="shared" ref="AZ195" si="164">CONCATENATE($A195,AH$147)</f>
        <v>24</v>
      </c>
      <c r="BA195" s="710" t="str">
        <f t="shared" ref="BA195" si="165">CONCATENATE($A195,AK$147)</f>
        <v>24</v>
      </c>
      <c r="BB195" s="409"/>
      <c r="BC195" s="410"/>
    </row>
    <row r="196" spans="1:55" s="411" customFormat="1" ht="88.2" customHeight="1" x14ac:dyDescent="0.3">
      <c r="A196" s="712"/>
      <c r="B196" s="717" t="str">
        <f ca="1">IFERROR(IF(INDEX('Coverage Indicators - Section D'!AM$1:AM$110,MATCH('Print View'!$A195,'Coverage Indicators - Section D'!$A$1:$A$110,0))&lt;&gt;0,INDEX('Coverage Indicators - Section D'!AM$1:AM$110,MATCH('Print View'!$A195,'Coverage Indicators - Section D'!$A$1:$A$110,0)),""),"")</f>
        <v/>
      </c>
      <c r="C196" s="718"/>
      <c r="D196" s="718"/>
      <c r="E196" s="718"/>
      <c r="F196" s="718"/>
      <c r="G196" s="718"/>
      <c r="H196" s="718"/>
      <c r="I196" s="719"/>
      <c r="J196" s="719"/>
      <c r="K196" s="719"/>
      <c r="L196" s="719"/>
      <c r="M196" s="719"/>
      <c r="N196" s="719"/>
      <c r="O196" s="719"/>
      <c r="P196" s="719"/>
      <c r="Q196" s="719"/>
      <c r="R196" s="719"/>
      <c r="S196" s="720"/>
      <c r="T196" s="417"/>
      <c r="U196" s="216"/>
      <c r="V196" s="216"/>
      <c r="W196" s="216"/>
      <c r="X196" s="216"/>
      <c r="Y196" s="21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711"/>
      <c r="AU196" s="710"/>
      <c r="AV196" s="710"/>
      <c r="AW196" s="710"/>
      <c r="AX196" s="710"/>
      <c r="AY196" s="710"/>
      <c r="AZ196" s="710"/>
      <c r="BA196" s="710"/>
      <c r="BB196" s="409"/>
      <c r="BC196" s="410"/>
    </row>
    <row r="197" spans="1:55" s="411" customFormat="1" ht="177" customHeight="1" x14ac:dyDescent="0.3">
      <c r="A197" s="709">
        <v>25</v>
      </c>
      <c r="B197" s="404" t="str">
        <f ca="1">IFERROR(IF(INDEX('Coverage Indicators - Section D'!B$1:B$100,MATCH('Print View'!$A197,'Coverage Indicators - Section D'!$A$1:$A$100,0))&lt;&gt;0,INDEX('Coverage Indicators - Section D'!B$1:B$100,MATCH('Print View'!$A197,'Coverage Indicators - Section D'!$A$1:$A$100,0)),""),"")</f>
        <v/>
      </c>
      <c r="C197" s="404" t="str">
        <f ca="1">IFERROR(IF(INDEX('Coverage Indicators - Section D'!D$1:D$100,MATCH('Print View'!$A197,'Coverage Indicators - Section D'!$A$1:$A$100,0))&lt;&gt;0,INDEX('Coverage Indicators - Section D'!D$1:D$100,MATCH('Print View'!$A197,'Coverage Indicators - Section D'!$A$1:$A$100,0)),""),"")</f>
        <v/>
      </c>
      <c r="D197" s="404" t="str">
        <f ca="1">IFERROR(IF(INDEX('Coverage Indicators - Section D'!E$1:E$100,MATCH('Print View'!$A197,'Coverage Indicators - Section D'!$A$1:$A$100,0))&lt;&gt;0,INDEX('Coverage Indicators - Section D'!E$1:E$100,MATCH('Print View'!$A197,'Coverage Indicators - Section D'!$A$1:$A$100,0)),""),"")</f>
        <v/>
      </c>
      <c r="E197" s="405" t="str">
        <f ca="1">IFERROR(IF(INDEX('Coverage Indicators - Section D'!F$1:F$100,MATCH('Print View'!$A197,'Coverage Indicators - Section D'!$A$1:$A$100,0))&lt;&gt;0,INDEX('Coverage Indicators - Section D'!F$1:F$100,MATCH('Print View'!$A197,'Coverage Indicators - Section D'!$A$1:$A$100,0)),""),"")&amp;"/"&amp;IFERROR(IF(INDEX('Coverage Indicators - Section D'!F$1:F$100,MATCH('Print View'!$A197,'Coverage Indicators - Section D'!$A$1:$A$100,0)+1)&lt;&gt;0,INDEX('Coverage Indicators - Section D'!F$1:F$100,MATCH('Print View'!$A197,'Coverage Indicators - Section D'!$A$1:$A$100,0)+1),""),"")&amp;CHAR(10)&amp;IFERROR(IF(INDEX('Coverage Indicators - Section D'!G$1:G$100,MATCH('Print View'!$A197,'Coverage Indicators - Section D'!$A$1:$A$100,0))&lt;&gt;0,TEXT(INDEX('Coverage Indicators - Section D'!G$1:G$100,MATCH('Print View'!$A197,'Coverage Indicators - Section D'!$A$1:$A$100,0)),"0.00%"),""),"")</f>
        <v xml:space="preserve">/
</v>
      </c>
      <c r="F197" s="406"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407" t="str">
        <f>IFERROR(IF(INDEX('Coverage Indicators - Section D'!J57:J86,MATCH('Print View'!$A197,'Coverage Indicators - Section D'!$A$9:$A$38,0))&lt;&gt;0,INDEX('Coverage Indicators - Section D'!J57:J86,MATCH('Print View'!$A197,'Coverage Indicators - Section D'!$A$9:$A$38,0)),""),"")</f>
        <v/>
      </c>
      <c r="H197" s="408" t="str">
        <f ca="1">IFERROR(IF(INDEX('Coverage Indicators - Section D'!K$1:K$100,MATCH('Print View'!$A197,'Coverage Indicators - Section D'!$A$1:$A$100,0))&lt;&gt;0,INDEX('Coverage Indicators - Section D'!K$1:K$100,MATCH('Print View'!$A197,'Coverage Indicators - Section D'!$A$1:$A$100,0)),""),"")</f>
        <v/>
      </c>
      <c r="I197" s="407" t="str">
        <f ca="1">IFERROR(IF(INDEX('Coverage Indicators - Section D'!L$1:L$100,MATCH('Print View'!$A197,'Coverage Indicators - Section D'!$A$1:$A$100,0))&lt;&gt;0,INDEX('Coverage Indicators - Section D'!L$1:L$100,MATCH('Print View'!$A197,'Coverage Indicators - Section D'!$A$1:$A$100,0)),""),"")</f>
        <v/>
      </c>
      <c r="J197" s="405"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405" t="str">
        <f ca="1">IFERROR(IF(INDEX('Coverage Indicators - Section D'!N$1:N$100,MATCH('Print View'!$A197,'Coverage Indicators - Section D'!$A$1:$A$100,0))&lt;&gt;0,INDEX('Coverage Indicators - Section D'!N$1:N$100,MATCH('Print View'!$A197,'Coverage Indicators - Section D'!$A$1:$A$100,0)),""),"")</f>
        <v/>
      </c>
      <c r="L197" s="405" t="str">
        <f ca="1">IFERROR(IF(INDEX('Coverage Indicators - Section D'!O$1:O$100,MATCH('Print View'!$A197,'Coverage Indicators - Section D'!$A$1:$A$100,0))&lt;&gt;0,INDEX('Coverage Indicators - Section D'!O$1:O$100,MATCH('Print View'!$A197,'Coverage Indicators - Section D'!$A$1:$A$100,0)),""),"")&amp;"/"&amp;IFERROR(IF(INDEX('Coverage Indicators - Section D'!O$1:O$100,MATCH('Print View'!$A197,'Coverage Indicators - Section D'!$A$1:$A$100,0)+1)&lt;&gt;0,INDEX('Coverage Indicators - Section D'!O$1:O$100,MATCH('Print View'!$A197,'Coverage Indicators - Section D'!$A$1:$A$100,0)+1),""),"")&amp;CHAR(10)&amp;IFERROR(IF(INDEX('Coverage Indicators - Section D'!P$1:P$100,MATCH('Print View'!$A197,'Coverage Indicators - Section D'!$A$1:$A$100,0))&lt;&gt;0,TEXT(INDEX('Coverage Indicators - Section D'!P$1:P$100,MATCH('Print View'!$A197,'Coverage Indicators - Section D'!$A$1:$A$100,0)),"0.00%"),""),"")&amp;CHAR(10)&amp;IFERROR(IF(INDEX('Coverage Indicators - Section D'!Q$1:Q$100,MATCH('Print View'!$A197,'Coverage Indicators - Section D'!$A$1:$A$100,0))&lt;&gt;0,INDEX('Coverage Indicators - Section D'!Q$1:Q$100,MATCH('Print View'!$A197,'Coverage Indicators - Section D'!$A$1:$A$100,0)),""),"")</f>
        <v xml:space="preserve">/
</v>
      </c>
      <c r="M197" s="406" t="str">
        <f ca="1">IFERROR(IF(INDEX('Coverage Indicators - Section D'!R$1:R$100,MATCH('Print View'!$A197,'Coverage Indicators - Section D'!$A$1:$A$100,0))&lt;&gt;0,INDEX('Coverage Indicators - Section D'!R$1:R$100,MATCH('Print View'!$A197,'Coverage Indicators - Section D'!$A$1:$A$100,0)),""),"")&amp;"/"&amp;IFERROR(IF(INDEX('Coverage Indicators - Section D'!R$1:R$100,MATCH('Print View'!$A197,'Coverage Indicators - Section D'!$A$1:$A$100,0)+1)&lt;&gt;0,INDEX('Coverage Indicators - Section D'!R$1:R$100,MATCH('Print View'!$A197,'Coverage Indicators - Section D'!$A$1:$A$100,0)+1),""),"")&amp;CHAR(10)&amp;IFERROR(IF(INDEX('Coverage Indicators - Section D'!S$1:S$100,MATCH('Print View'!$A197,'Coverage Indicators - Section D'!$A$1:$A$100,0))&lt;&gt;0,TEXT(INDEX('Coverage Indicators - Section D'!S$1:S$100,MATCH('Print View'!$A197,'Coverage Indicators - Section D'!$A$1:$A$100,0)),"0.00%"),""),"")&amp;CHAR(10)&amp;IFERROR(IF(INDEX('Coverage Indicators - Section D'!T$1:T$100,MATCH('Print View'!$A197,'Coverage Indicators - Section D'!$A$1:$A$100,0))&lt;&gt;0,INDEX('Coverage Indicators - Section D'!T$1:T$100,MATCH('Print View'!$A197,'Coverage Indicators - Section D'!$A$1:$A$100,0)),""),"")</f>
        <v xml:space="preserve">/
</v>
      </c>
      <c r="N197" s="405" t="str">
        <f ca="1">IFERROR(IF(INDEX('Coverage Indicators - Section D'!U$1:U$100,MATCH('Print View'!$A197,'Coverage Indicators - Section D'!$A$1:$A$100,0))&lt;&gt;0,INDEX('Coverage Indicators - Section D'!U$1:U$100,MATCH('Print View'!$A197,'Coverage Indicators - Section D'!$A$1:$A$100,0)),""),"")&amp;"/"&amp;IFERROR(IF(INDEX('Coverage Indicators - Section D'!U$1:U$100,MATCH('Print View'!$A197,'Coverage Indicators - Section D'!$A$1:$A$100,0)+1)&lt;&gt;0,INDEX('Coverage Indicators - Section D'!U$1:U$100,MATCH('Print View'!$A197,'Coverage Indicators - Section D'!$A$1:$A$100,0)+1),""),"")&amp;CHAR(10)&amp;IFERROR(IF(INDEX('Coverage Indicators - Section D'!V$1:V$100,MATCH('Print View'!$A197,'Coverage Indicators - Section D'!$A$1:$A$100,0))&lt;&gt;0,TEXT(INDEX('Coverage Indicators - Section D'!V$1:V$100,MATCH('Print View'!$A197,'Coverage Indicators - Section D'!$A$1:$A$100,0)),"0.00%"),""),"")&amp;CHAR(10)&amp;IFERROR(IF(INDEX('Coverage Indicators - Section D'!W$1:W$100,MATCH('Print View'!$A197,'Coverage Indicators - Section D'!$A$1:$A$100,0))&lt;&gt;0,INDEX('Coverage Indicators - Section D'!W$1:W$100,MATCH('Print View'!$A197,'Coverage Indicators - Section D'!$A$1:$A$100,0)),""),"")</f>
        <v xml:space="preserve">/
</v>
      </c>
      <c r="O197" s="406" t="str">
        <f ca="1">IFERROR(IF(INDEX('Coverage Indicators - Section D'!X$1:X$100,MATCH('Print View'!$A197,'Coverage Indicators - Section D'!$A$1:$A$100,0))&lt;&gt;0,INDEX('Coverage Indicators - Section D'!X$1:X$100,MATCH('Print View'!$A197,'Coverage Indicators - Section D'!$A$1:$A$100,0)),""),"")&amp;"/"&amp;IFERROR(IF(INDEX('Coverage Indicators - Section D'!X$1:X$100,MATCH('Print View'!$A197,'Coverage Indicators - Section D'!$A$1:$A$100,0)+1)&lt;&gt;0,INDEX('Coverage Indicators - Section D'!X$1:X$100,MATCH('Print View'!$A197,'Coverage Indicators - Section D'!$A$1:$A$100,0)+1),""),"")&amp;CHAR(10)&amp;IFERROR(IF(INDEX('Coverage Indicators - Section D'!Y$1:Y$100,MATCH('Print View'!$A197,'Coverage Indicators - Section D'!$A$1:$A$100,0))&lt;&gt;0,TEXT(INDEX('Coverage Indicators - Section D'!Y$1:Y$100,MATCH('Print View'!$A197,'Coverage Indicators - Section D'!$A$1:$A$100,0)),"0.00%"),""),"")&amp;CHAR(10)&amp;IFERROR(IF(INDEX('Coverage Indicators - Section D'!Z$1:Z$100,MATCH('Print View'!$A197,'Coverage Indicators - Section D'!$A$1:$A$100,0))&lt;&gt;0,INDEX('Coverage Indicators - Section D'!Z$1:Z$100,MATCH('Print View'!$A197,'Coverage Indicators - Section D'!$A$1:$A$100,0)),""),"")</f>
        <v xml:space="preserve">/
</v>
      </c>
      <c r="P197" s="406" t="str">
        <f ca="1">IFERROR(IF(INDEX('Coverage Indicators - Section D'!AA$1:AA$100,MATCH('Print View'!$A197,'Coverage Indicators - Section D'!$A$1:$A$100,0))&lt;&gt;0,INDEX('Coverage Indicators - Section D'!AA$1:AA$100,MATCH('Print View'!$A197,'Coverage Indicators - Section D'!$A$1:$A$100,0)),""),"")&amp;"/"&amp;IFERROR(IF(INDEX('Coverage Indicators - Section D'!AA$1:AA$100,MATCH('Print View'!$A197,'Coverage Indicators - Section D'!$A$1:$A$100,0)+1)&lt;&gt;0,INDEX('Coverage Indicators - Section D'!AA$1:AA$100,MATCH('Print View'!$A197,'Coverage Indicators - Section D'!$A$1:$A$100,0)+1),""),"")&amp;CHAR(10)&amp;IFERROR(IF(INDEX('Coverage Indicators - Section D'!AB$1:AB$100,MATCH('Print View'!$A197,'Coverage Indicators - Section D'!$A$1:$A$100,0))&lt;&gt;0,TEXT(INDEX('Coverage Indicators - Section D'!AB$1:AB$100,MATCH('Print View'!$A197,'Coverage Indicators - Section D'!$A$1:$A$100,0)),"0.00%"),""),"")&amp;CHAR(10)&amp;IFERROR(IF(INDEX('Coverage Indicators - Section D'!AC$1:AC$100,MATCH('Print View'!$A197,'Coverage Indicators - Section D'!$A$1:$A$100,0))&lt;&gt;0,INDEX('Coverage Indicators - Section D'!AC$1:AC$100,MATCH('Print View'!$A197,'Coverage Indicators - Section D'!$A$1:$A$100,0)),""),"")</f>
        <v xml:space="preserve">/
</v>
      </c>
      <c r="Q197" s="406" t="str">
        <f ca="1">IFERROR(IF(INDEX('Coverage Indicators - Section D'!AD$1:AD$100,MATCH('Print View'!$A197,'Coverage Indicators - Section D'!$A$1:$A$100,0))&lt;&gt;0,INDEX('Coverage Indicators - Section D'!AD$1:AD$100,MATCH('Print View'!$A197,'Coverage Indicators - Section D'!$A$1:$A$100,0)),""),"")&amp;"/"&amp;IFERROR(IF(INDEX('Coverage Indicators - Section D'!AD$1:AD$100,MATCH('Print View'!$A197,'Coverage Indicators - Section D'!$A$1:$A$100,0)+1)&lt;&gt;0,INDEX('Coverage Indicators - Section D'!AD$1:AD$100,MATCH('Print View'!$A197,'Coverage Indicators - Section D'!$A$1:$A$100,0)+1),""),"")&amp;CHAR(10)&amp;IFERROR(IF(INDEX('Coverage Indicators - Section D'!AE$1:AE$100,MATCH('Print View'!$A197,'Coverage Indicators - Section D'!$A$1:$A$100,0))&lt;&gt;0,TEXT(INDEX('Coverage Indicators - Section D'!AE$1:AE$100,MATCH('Print View'!$A197,'Coverage Indicators - Section D'!$A$1:$A$100,0)),"0.00%"),""),"")&amp;CHAR(10)&amp;IFERROR(IF(INDEX('Coverage Indicators - Section D'!AF$1:AF$100,MATCH('Print View'!$A197,'Coverage Indicators - Section D'!$A$1:$A$100,0))&lt;&gt;0,INDEX('Coverage Indicators - Section D'!AF$1:AF$100,MATCH('Print View'!$A197,'Coverage Indicators - Section D'!$A$1:$A$100,0)),""),"")</f>
        <v xml:space="preserve">/
</v>
      </c>
      <c r="R197" s="406" t="str">
        <f ca="1">IFERROR(IF(INDEX('Coverage Indicators - Section D'!AG$1:AG$100,MATCH('Print View'!$A197,'Coverage Indicators - Section D'!$A$1:$A$100,0))&lt;&gt;0,INDEX('Coverage Indicators - Section D'!AG$1:AG$100,MATCH('Print View'!$A197,'Coverage Indicators - Section D'!$A$1:$A$100,0)),""),"")&amp;"/"&amp;IFERROR(IF(INDEX('Coverage Indicators - Section D'!AG$1:AG$100,MATCH('Print View'!$A197,'Coverage Indicators - Section D'!$A$1:$A$100,0)+1)&lt;&gt;0,INDEX('Coverage Indicators - Section D'!AG$1:AG$100,MATCH('Print View'!$A197,'Coverage Indicators - Section D'!$A$1:$A$100,0)+1),""),"")&amp;CHAR(10)&amp;IFERROR(IF(INDEX('Coverage Indicators - Section D'!AH$1:AH$100,MATCH('Print View'!$A197,'Coverage Indicators - Section D'!$A$1:$A$100,0))&lt;&gt;0,TEXT(INDEX('Coverage Indicators - Section D'!AH$1:AH$100,MATCH('Print View'!$A197,'Coverage Indicators - Section D'!$A$1:$A$100,0)),"0.00%"),""),"")&amp;CHAR(10)&amp;IFERROR(IF(INDEX('Coverage Indicators - Section D'!AI$1:AI$100,MATCH('Print View'!$A197,'Coverage Indicators - Section D'!$A$1:$A$100,0))&lt;&gt;0,INDEX('Coverage Indicators - Section D'!AI$1:AI$100,MATCH('Print View'!$A197,'Coverage Indicators - Section D'!$A$1:$A$100,0)),""),"")</f>
        <v xml:space="preserve">/
</v>
      </c>
      <c r="S197" s="406" t="str">
        <f ca="1">IFERROR(IF(INDEX('Coverage Indicators - Section D'!AJ$1:AJ$100,MATCH('Print View'!$A197,'Coverage Indicators - Section D'!$A$1:$A$100,0))&lt;&gt;0,INDEX('Coverage Indicators - Section D'!AJ$1:AJ$100,MATCH('Print View'!$A197,'Coverage Indicators - Section D'!$A$1:$A$100,0)),""),"")&amp;"/"&amp;IFERROR(IF(INDEX('Coverage Indicators - Section D'!AJ$1:AJ$100,MATCH('Print View'!$A197,'Coverage Indicators - Section D'!$A$1:$A$100,0)+1)&lt;&gt;0,INDEX('Coverage Indicators - Section D'!AJ$1:AJ$100,MATCH('Print View'!$A197,'Coverage Indicators - Section D'!$A$1:$A$100,0)+1),""),"")&amp;CHAR(10)&amp;IFERROR(IF(INDEX('Coverage Indicators - Section D'!AK$1:AK$100,MATCH('Print View'!$A197,'Coverage Indicators - Section D'!$A$1:$A$100,0))&lt;&gt;0,TEXT(INDEX('Coverage Indicators - Section D'!AK$1:AK$100,MATCH('Print View'!$A197,'Coverage Indicators - Section D'!$A$1:$A$100,0)),"0.00%"),""),"")&amp;CHAR(10)&amp;IFERROR(IF(INDEX('Coverage Indicators - Section D'!AL$1:AL$100,MATCH('Print View'!$A197,'Coverage Indicators - Section D'!$A$1:$A$100,0))&lt;&gt;0,INDEX('Coverage Indicators - Section D'!AL$1:AL$100,MATCH('Print View'!$A197,'Coverage Indicators - Section D'!$A$1:$A$100,0)),""),"")</f>
        <v xml:space="preserve">/
</v>
      </c>
      <c r="T197" s="385"/>
      <c r="U197" s="216"/>
      <c r="V197" s="216"/>
      <c r="W197" s="216"/>
      <c r="X197" s="216"/>
      <c r="Y197" s="216"/>
      <c r="Z197" s="216"/>
      <c r="AA197" s="216"/>
      <c r="AB197" s="216"/>
      <c r="AC197" s="216"/>
      <c r="AD197" s="216"/>
      <c r="AE197" s="216"/>
      <c r="AF197" s="216"/>
      <c r="AG197" s="216"/>
      <c r="AH197" s="216"/>
      <c r="AI197" s="216"/>
      <c r="AJ197" s="216"/>
      <c r="AK197" s="216"/>
      <c r="AL197" s="216"/>
      <c r="AM197" s="216"/>
      <c r="AN197" s="216"/>
      <c r="AO197" s="216" t="str">
        <f ca="1">IFERROR(IF(INDEX('Coverage Indicators - Section D'!AD$1:AD$110,MATCH('Print View'!$A197,'Coverage Indicators - Section D'!$A$1:$A$110,0))&lt;&gt;0,INDEX('Coverage Indicators - Section D'!AD$1:AD$110,MATCH('Print View'!$A197,'Coverage Indicators - Section D'!$A$1:$A$110,0)),""),"")</f>
        <v/>
      </c>
      <c r="AP197" s="216"/>
      <c r="AQ197" s="216"/>
      <c r="AR197" s="216"/>
      <c r="AS197" s="216"/>
      <c r="AT197" s="711" t="str">
        <f ca="1">CONCATENATE($A197,N$147)</f>
        <v>2530-Jun-22</v>
      </c>
      <c r="AU197" s="710" t="str">
        <f ca="1">CONCATENATE($A197,Q$147)</f>
        <v>2531-Dec-23</v>
      </c>
      <c r="AV197" s="710" t="str">
        <f t="shared" ref="AV197" si="166">CONCATENATE($A197,V$147)</f>
        <v>25</v>
      </c>
      <c r="AW197" s="710" t="str">
        <f t="shared" ref="AW197" si="167">CONCATENATE($A197,Y$147)</f>
        <v>25</v>
      </c>
      <c r="AX197" s="710" t="str">
        <f t="shared" ref="AX197" si="168">CONCATENATE($A197,AB$147)</f>
        <v>25</v>
      </c>
      <c r="AY197" s="710" t="str">
        <f t="shared" ref="AY197" si="169">CONCATENATE($A197,AE$147)</f>
        <v>25</v>
      </c>
      <c r="AZ197" s="710" t="str">
        <f t="shared" ref="AZ197" si="170">CONCATENATE($A197,AH$147)</f>
        <v>25</v>
      </c>
      <c r="BA197" s="710" t="str">
        <f t="shared" ref="BA197" si="171">CONCATENATE($A197,AK$147)</f>
        <v>25</v>
      </c>
      <c r="BB197" s="409"/>
      <c r="BC197" s="410"/>
    </row>
    <row r="198" spans="1:55" s="411" customFormat="1" ht="88.2" customHeight="1" x14ac:dyDescent="0.3">
      <c r="A198" s="709"/>
      <c r="B198" s="714" t="str">
        <f ca="1">IFERROR(IF(INDEX('Coverage Indicators - Section D'!AM$1:AM$110,MATCH('Print View'!$A197,'Coverage Indicators - Section D'!$A$1:$A$110,0))&lt;&gt;0,INDEX('Coverage Indicators - Section D'!AM$1:AM$110,MATCH('Print View'!$A197,'Coverage Indicators - Section D'!$A$1:$A$110,0)),""),"")</f>
        <v/>
      </c>
      <c r="C198" s="715"/>
      <c r="D198" s="715"/>
      <c r="E198" s="715"/>
      <c r="F198" s="715"/>
      <c r="G198" s="715"/>
      <c r="H198" s="715"/>
      <c r="I198" s="715"/>
      <c r="J198" s="715"/>
      <c r="K198" s="715"/>
      <c r="L198" s="715"/>
      <c r="M198" s="715"/>
      <c r="N198" s="715"/>
      <c r="O198" s="715"/>
      <c r="P198" s="715"/>
      <c r="Q198" s="715"/>
      <c r="R198" s="715"/>
      <c r="S198" s="716"/>
      <c r="T198" s="412"/>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711"/>
      <c r="AU198" s="710"/>
      <c r="AV198" s="710"/>
      <c r="AW198" s="710"/>
      <c r="AX198" s="710"/>
      <c r="AY198" s="710"/>
      <c r="AZ198" s="710"/>
      <c r="BA198" s="710"/>
      <c r="BB198" s="409"/>
      <c r="BC198" s="410"/>
    </row>
    <row r="199" spans="1:55" s="411" customFormat="1" ht="177" customHeight="1" x14ac:dyDescent="0.3">
      <c r="A199" s="712">
        <v>26</v>
      </c>
      <c r="B199" s="380" t="str">
        <f ca="1">IFERROR(IF(INDEX('Coverage Indicators - Section D'!B$1:B$100,MATCH('Print View'!$A199,'Coverage Indicators - Section D'!$A$1:$A$100,0))&lt;&gt;0,INDEX('Coverage Indicators - Section D'!B$1:B$100,MATCH('Print View'!$A199,'Coverage Indicators - Section D'!$A$1:$A$100,0)),""),"")</f>
        <v/>
      </c>
      <c r="C199" s="380" t="str">
        <f ca="1">IFERROR(IF(INDEX('Coverage Indicators - Section D'!D$1:D$100,MATCH('Print View'!$A199,'Coverage Indicators - Section D'!$A$1:$A$100,0))&lt;&gt;0,INDEX('Coverage Indicators - Section D'!D$1:D$100,MATCH('Print View'!$A199,'Coverage Indicators - Section D'!$A$1:$A$100,0)),""),"")</f>
        <v/>
      </c>
      <c r="D199" s="380" t="str">
        <f ca="1">IFERROR(IF(INDEX('Coverage Indicators - Section D'!E$1:E$100,MATCH('Print View'!$A199,'Coverage Indicators - Section D'!$A$1:$A$100,0))&lt;&gt;0,INDEX('Coverage Indicators - Section D'!E$1:E$100,MATCH('Print View'!$A199,'Coverage Indicators - Section D'!$A$1:$A$100,0)),""),"")</f>
        <v/>
      </c>
      <c r="E199" s="381" t="str">
        <f ca="1">IFERROR(IF(INDEX('Coverage Indicators - Section D'!F$1:F$100,MATCH('Print View'!$A199,'Coverage Indicators - Section D'!$A$1:$A$100,0))&lt;&gt;0,INDEX('Coverage Indicators - Section D'!F$1:F$100,MATCH('Print View'!$A199,'Coverage Indicators - Section D'!$A$1:$A$100,0)),""),"")&amp;"/"&amp;IFERROR(IF(INDEX('Coverage Indicators - Section D'!F$1:F$100,MATCH('Print View'!$A199,'Coverage Indicators - Section D'!$A$1:$A$100,0)+1)&lt;&gt;0,INDEX('Coverage Indicators - Section D'!F$1:F$100,MATCH('Print View'!$A199,'Coverage Indicators - Section D'!$A$1:$A$100,0)+1),""),"")&amp;CHAR(10)&amp;IFERROR(IF(INDEX('Coverage Indicators - Section D'!G$1:G$100,MATCH('Print View'!$A199,'Coverage Indicators - Section D'!$A$1:$A$100,0))&lt;&gt;0,TEXT(INDEX('Coverage Indicators - Section D'!G$1:G$100,MATCH('Print View'!$A199,'Coverage Indicators - Section D'!$A$1:$A$100,0)),"0.00%"),""),"")</f>
        <v xml:space="preserve">/
</v>
      </c>
      <c r="F199" s="413"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414" t="str">
        <f>IFERROR(IF(INDEX('Coverage Indicators - Section D'!J57:J86,MATCH('Print View'!$A199,'Coverage Indicators - Section D'!$A$9:$A$38,0))&lt;&gt;0,INDEX('Coverage Indicators - Section D'!J57:J86,MATCH('Print View'!$A199,'Coverage Indicators - Section D'!$A$9:$A$38,0)),""),"")</f>
        <v/>
      </c>
      <c r="H199" s="413" t="str">
        <f ca="1">IFERROR(IF(INDEX('Coverage Indicators - Section D'!K$1:K$100,MATCH('Print View'!$A199,'Coverage Indicators - Section D'!$A$1:$A$100,0))&lt;&gt;0,INDEX('Coverage Indicators - Section D'!K$1:K$100,MATCH('Print View'!$A199,'Coverage Indicators - Section D'!$A$1:$A$100,0)),""),"")</f>
        <v/>
      </c>
      <c r="I199" s="414" t="str">
        <f ca="1">IFERROR(IF(INDEX('Coverage Indicators - Section D'!L$1:L$100,MATCH('Print View'!$A199,'Coverage Indicators - Section D'!$A$1:$A$100,0))&lt;&gt;0,INDEX('Coverage Indicators - Section D'!L$1:L$100,MATCH('Print View'!$A199,'Coverage Indicators - Section D'!$A$1:$A$100,0)),""),"")</f>
        <v/>
      </c>
      <c r="J199" s="413"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413" t="str">
        <f ca="1">IFERROR(IF(INDEX('Coverage Indicators - Section D'!N$1:N$100,MATCH('Print View'!$A199,'Coverage Indicators - Section D'!$A$1:$A$100,0))&lt;&gt;0,INDEX('Coverage Indicators - Section D'!N$1:N$100,MATCH('Print View'!$A199,'Coverage Indicators - Section D'!$A$1:$A$100,0)),""),"")</f>
        <v/>
      </c>
      <c r="L199" s="415" t="str">
        <f ca="1">IFERROR(IF(INDEX('Coverage Indicators - Section D'!O$1:O$100,MATCH('Print View'!$A199,'Coverage Indicators - Section D'!$A$1:$A$100,0))&lt;&gt;0,INDEX('Coverage Indicators - Section D'!O$1:O$100,MATCH('Print View'!$A199,'Coverage Indicators - Section D'!$A$1:$A$100,0)),""),"")&amp;"/"&amp;IFERROR(IF(INDEX('Coverage Indicators - Section D'!O$1:O$100,MATCH('Print View'!$A199,'Coverage Indicators - Section D'!$A$1:$A$100,0)+1)&lt;&gt;0,INDEX('Coverage Indicators - Section D'!O$1:O$100,MATCH('Print View'!$A199,'Coverage Indicators - Section D'!$A$1:$A$100,0)+1),""),"")&amp;CHAR(10)&amp;IFERROR(IF(INDEX('Coverage Indicators - Section D'!P$1:P$100,MATCH('Print View'!$A199,'Coverage Indicators - Section D'!$A$1:$A$100,0))&lt;&gt;0,TEXT(INDEX('Coverage Indicators - Section D'!P$1:P$100,MATCH('Print View'!$A199,'Coverage Indicators - Section D'!$A$1:$A$100,0)),"0.00%"),""),"")&amp;CHAR(10)&amp;IFERROR(IF(INDEX('Coverage Indicators - Section D'!Q$1:Q$100,MATCH('Print View'!$A199,'Coverage Indicators - Section D'!$A$1:$A$100,0))&lt;&gt;0,INDEX('Coverage Indicators - Section D'!Q$1:Q$100,MATCH('Print View'!$A199,'Coverage Indicators - Section D'!$A$1:$A$100,0)),""),"")</f>
        <v xml:space="preserve">/
</v>
      </c>
      <c r="M199" s="415" t="str">
        <f ca="1">IFERROR(IF(INDEX('Coverage Indicators - Section D'!R$1:R$100,MATCH('Print View'!$A199,'Coverage Indicators - Section D'!$A$1:$A$100,0))&lt;&gt;0,INDEX('Coverage Indicators - Section D'!R$1:R$100,MATCH('Print View'!$A199,'Coverage Indicators - Section D'!$A$1:$A$100,0)),""),"")&amp;"/"&amp;IFERROR(IF(INDEX('Coverage Indicators - Section D'!R$1:R$100,MATCH('Print View'!$A199,'Coverage Indicators - Section D'!$A$1:$A$100,0)+1)&lt;&gt;0,INDEX('Coverage Indicators - Section D'!R$1:R$100,MATCH('Print View'!$A199,'Coverage Indicators - Section D'!$A$1:$A$100,0)+1),""),"")&amp;CHAR(10)&amp;IFERROR(IF(INDEX('Coverage Indicators - Section D'!S$1:S$100,MATCH('Print View'!$A199,'Coverage Indicators - Section D'!$A$1:$A$100,0))&lt;&gt;0,TEXT(INDEX('Coverage Indicators - Section D'!S$1:S$100,MATCH('Print View'!$A199,'Coverage Indicators - Section D'!$A$1:$A$100,0)),"0.00%"),""),"")&amp;CHAR(10)&amp;IFERROR(IF(INDEX('Coverage Indicators - Section D'!T$1:T$100,MATCH('Print View'!$A199,'Coverage Indicators - Section D'!$A$1:$A$100,0))&lt;&gt;0,INDEX('Coverage Indicators - Section D'!T$1:T$100,MATCH('Print View'!$A199,'Coverage Indicators - Section D'!$A$1:$A$100,0)),""),"")</f>
        <v xml:space="preserve">/
</v>
      </c>
      <c r="N199" s="415" t="str">
        <f ca="1">IFERROR(IF(INDEX('Coverage Indicators - Section D'!U$1:U$100,MATCH('Print View'!$A199,'Coverage Indicators - Section D'!$A$1:$A$100,0))&lt;&gt;0,INDEX('Coverage Indicators - Section D'!U$1:U$100,MATCH('Print View'!$A199,'Coverage Indicators - Section D'!$A$1:$A$100,0)),""),"")&amp;"/"&amp;IFERROR(IF(INDEX('Coverage Indicators - Section D'!U$1:U$100,MATCH('Print View'!$A199,'Coverage Indicators - Section D'!$A$1:$A$100,0)+1)&lt;&gt;0,INDEX('Coverage Indicators - Section D'!U$1:U$100,MATCH('Print View'!$A199,'Coverage Indicators - Section D'!$A$1:$A$100,0)+1),""),"")&amp;CHAR(10)&amp;IFERROR(IF(INDEX('Coverage Indicators - Section D'!V$1:V$100,MATCH('Print View'!$A199,'Coverage Indicators - Section D'!$A$1:$A$100,0))&lt;&gt;0,TEXT(INDEX('Coverage Indicators - Section D'!V$1:V$100,MATCH('Print View'!$A199,'Coverage Indicators - Section D'!$A$1:$A$100,0)),"0.00%"),""),"")&amp;CHAR(10)&amp;IFERROR(IF(INDEX('Coverage Indicators - Section D'!W$1:W$100,MATCH('Print View'!$A199,'Coverage Indicators - Section D'!$A$1:$A$100,0))&lt;&gt;0,INDEX('Coverage Indicators - Section D'!W$1:W$100,MATCH('Print View'!$A199,'Coverage Indicators - Section D'!$A$1:$A$100,0)),""),"")</f>
        <v xml:space="preserve">/
</v>
      </c>
      <c r="O199" s="415" t="str">
        <f ca="1">IFERROR(IF(INDEX('Coverage Indicators - Section D'!X$1:X$100,MATCH('Print View'!$A199,'Coverage Indicators - Section D'!$A$1:$A$100,0))&lt;&gt;0,INDEX('Coverage Indicators - Section D'!X$1:X$100,MATCH('Print View'!$A199,'Coverage Indicators - Section D'!$A$1:$A$100,0)),""),"")&amp;"/"&amp;IFERROR(IF(INDEX('Coverage Indicators - Section D'!X$1:X$100,MATCH('Print View'!$A199,'Coverage Indicators - Section D'!$A$1:$A$100,0)+1)&lt;&gt;0,INDEX('Coverage Indicators - Section D'!X$1:X$100,MATCH('Print View'!$A199,'Coverage Indicators - Section D'!$A$1:$A$100,0)+1),""),"")&amp;CHAR(10)&amp;IFERROR(IF(INDEX('Coverage Indicators - Section D'!Y$1:Y$100,MATCH('Print View'!$A199,'Coverage Indicators - Section D'!$A$1:$A$100,0))&lt;&gt;0,TEXT(INDEX('Coverage Indicators - Section D'!Y$1:Y$100,MATCH('Print View'!$A199,'Coverage Indicators - Section D'!$A$1:$A$100,0)),"0.00%"),""),"")&amp;CHAR(10)&amp;IFERROR(IF(INDEX('Coverage Indicators - Section D'!Z$1:Z$100,MATCH('Print View'!$A199,'Coverage Indicators - Section D'!$A$1:$A$100,0))&lt;&gt;0,INDEX('Coverage Indicators - Section D'!Z$1:Z$100,MATCH('Print View'!$A199,'Coverage Indicators - Section D'!$A$1:$A$100,0)),""),"")</f>
        <v xml:space="preserve">/
</v>
      </c>
      <c r="P199" s="415" t="str">
        <f ca="1">IFERROR(IF(INDEX('Coverage Indicators - Section D'!AA$1:AA$100,MATCH('Print View'!$A199,'Coverage Indicators - Section D'!$A$1:$A$100,0))&lt;&gt;0,INDEX('Coverage Indicators - Section D'!AA$1:AA$100,MATCH('Print View'!$A199,'Coverage Indicators - Section D'!$A$1:$A$100,0)),""),"")&amp;"/"&amp;IFERROR(IF(INDEX('Coverage Indicators - Section D'!AA$1:AA$100,MATCH('Print View'!$A199,'Coverage Indicators - Section D'!$A$1:$A$100,0)+1)&lt;&gt;0,INDEX('Coverage Indicators - Section D'!AA$1:AA$100,MATCH('Print View'!$A199,'Coverage Indicators - Section D'!$A$1:$A$100,0)+1),""),"")&amp;CHAR(10)&amp;IFERROR(IF(INDEX('Coverage Indicators - Section D'!AB$1:AB$100,MATCH('Print View'!$A199,'Coverage Indicators - Section D'!$A$1:$A$100,0))&lt;&gt;0,TEXT(INDEX('Coverage Indicators - Section D'!AB$1:AB$100,MATCH('Print View'!$A199,'Coverage Indicators - Section D'!$A$1:$A$100,0)),"0.00%"),""),"")&amp;CHAR(10)&amp;IFERROR(IF(INDEX('Coverage Indicators - Section D'!AC$1:AC$100,MATCH('Print View'!$A199,'Coverage Indicators - Section D'!$A$1:$A$100,0))&lt;&gt;0,INDEX('Coverage Indicators - Section D'!AC$1:AC$100,MATCH('Print View'!$A199,'Coverage Indicators - Section D'!$A$1:$A$100,0)),""),"")</f>
        <v xml:space="preserve">/
</v>
      </c>
      <c r="Q199" s="415" t="str">
        <f ca="1">IFERROR(IF(INDEX('Coverage Indicators - Section D'!AD$1:AD$100,MATCH('Print View'!$A199,'Coverage Indicators - Section D'!$A$1:$A$100,0))&lt;&gt;0,INDEX('Coverage Indicators - Section D'!AD$1:AD$100,MATCH('Print View'!$A199,'Coverage Indicators - Section D'!$A$1:$A$100,0)),""),"")&amp;"/"&amp;IFERROR(IF(INDEX('Coverage Indicators - Section D'!AD$1:AD$100,MATCH('Print View'!$A199,'Coverage Indicators - Section D'!$A$1:$A$100,0)+1)&lt;&gt;0,INDEX('Coverage Indicators - Section D'!AD$1:AD$100,MATCH('Print View'!$A199,'Coverage Indicators - Section D'!$A$1:$A$100,0)+1),""),"")&amp;CHAR(10)&amp;IFERROR(IF(INDEX('Coverage Indicators - Section D'!AE$1:AE$100,MATCH('Print View'!$A199,'Coverage Indicators - Section D'!$A$1:$A$100,0))&lt;&gt;0,TEXT(INDEX('Coverage Indicators - Section D'!AE$1:AE$100,MATCH('Print View'!$A199,'Coverage Indicators - Section D'!$A$1:$A$100,0)),"0.00%"),""),"")&amp;CHAR(10)&amp;IFERROR(IF(INDEX('Coverage Indicators - Section D'!AF$1:AF$100,MATCH('Print View'!$A199,'Coverage Indicators - Section D'!$A$1:$A$100,0))&lt;&gt;0,INDEX('Coverage Indicators - Section D'!AF$1:AF$100,MATCH('Print View'!$A199,'Coverage Indicators - Section D'!$A$1:$A$100,0)),""),"")</f>
        <v xml:space="preserve">/
</v>
      </c>
      <c r="R199" s="415" t="str">
        <f ca="1">IFERROR(IF(INDEX('Coverage Indicators - Section D'!AG$1:AG$100,MATCH('Print View'!$A199,'Coverage Indicators - Section D'!$A$1:$A$100,0))&lt;&gt;0,INDEX('Coverage Indicators - Section D'!AG$1:AG$100,MATCH('Print View'!$A199,'Coverage Indicators - Section D'!$A$1:$A$100,0)),""),"")&amp;"/"&amp;IFERROR(IF(INDEX('Coverage Indicators - Section D'!AG$1:AG$100,MATCH('Print View'!$A199,'Coverage Indicators - Section D'!$A$1:$A$100,0)+1)&lt;&gt;0,INDEX('Coverage Indicators - Section D'!AG$1:AG$100,MATCH('Print View'!$A199,'Coverage Indicators - Section D'!$A$1:$A$100,0)+1),""),"")&amp;CHAR(10)&amp;IFERROR(IF(INDEX('Coverage Indicators - Section D'!AH$1:AH$100,MATCH('Print View'!$A199,'Coverage Indicators - Section D'!$A$1:$A$100,0))&lt;&gt;0,TEXT(INDEX('Coverage Indicators - Section D'!AH$1:AH$100,MATCH('Print View'!$A199,'Coverage Indicators - Section D'!$A$1:$A$100,0)),"0.00%"),""),"")&amp;CHAR(10)&amp;IFERROR(IF(INDEX('Coverage Indicators - Section D'!AI$1:AI$100,MATCH('Print View'!$A199,'Coverage Indicators - Section D'!$A$1:$A$100,0))&lt;&gt;0,INDEX('Coverage Indicators - Section D'!AI$1:AI$100,MATCH('Print View'!$A199,'Coverage Indicators - Section D'!$A$1:$A$100,0)),""),"")</f>
        <v xml:space="preserve">/
</v>
      </c>
      <c r="S199" s="415" t="str">
        <f ca="1">IFERROR(IF(INDEX('Coverage Indicators - Section D'!AJ$1:AJ$100,MATCH('Print View'!$A199,'Coverage Indicators - Section D'!$A$1:$A$100,0))&lt;&gt;0,INDEX('Coverage Indicators - Section D'!AJ$1:AJ$100,MATCH('Print View'!$A199,'Coverage Indicators - Section D'!$A$1:$A$100,0)),""),"")&amp;"/"&amp;IFERROR(IF(INDEX('Coverage Indicators - Section D'!AJ$1:AJ$100,MATCH('Print View'!$A199,'Coverage Indicators - Section D'!$A$1:$A$100,0)+1)&lt;&gt;0,INDEX('Coverage Indicators - Section D'!AJ$1:AJ$100,MATCH('Print View'!$A199,'Coverage Indicators - Section D'!$A$1:$A$100,0)+1),""),"")&amp;CHAR(10)&amp;IFERROR(IF(INDEX('Coverage Indicators - Section D'!AK$1:AK$100,MATCH('Print View'!$A199,'Coverage Indicators - Section D'!$A$1:$A$100,0))&lt;&gt;0,TEXT(INDEX('Coverage Indicators - Section D'!AK$1:AK$100,MATCH('Print View'!$A199,'Coverage Indicators - Section D'!$A$1:$A$100,0)),"0.00%"),""),"")&amp;CHAR(10)&amp;IFERROR(IF(INDEX('Coverage Indicators - Section D'!AL$1:AL$100,MATCH('Print View'!$A199,'Coverage Indicators - Section D'!$A$1:$A$100,0))&lt;&gt;0,INDEX('Coverage Indicators - Section D'!AL$1:AL$100,MATCH('Print View'!$A199,'Coverage Indicators - Section D'!$A$1:$A$100,0)),""),"")</f>
        <v xml:space="preserve">/
</v>
      </c>
      <c r="T199" s="416"/>
      <c r="U199" s="216"/>
      <c r="V199" s="216"/>
      <c r="W199" s="216"/>
      <c r="X199" s="216"/>
      <c r="Y199" s="216"/>
      <c r="Z199" s="216"/>
      <c r="AA199" s="216"/>
      <c r="AB199" s="216"/>
      <c r="AC199" s="216"/>
      <c r="AD199" s="216"/>
      <c r="AE199" s="216"/>
      <c r="AF199" s="216"/>
      <c r="AG199" s="216"/>
      <c r="AH199" s="216"/>
      <c r="AI199" s="216"/>
      <c r="AJ199" s="216"/>
      <c r="AK199" s="216"/>
      <c r="AL199" s="216"/>
      <c r="AM199" s="216"/>
      <c r="AN199" s="216"/>
      <c r="AO199" s="216" t="str">
        <f ca="1">IFERROR(IF(INDEX('Coverage Indicators - Section D'!AD$1:AD$110,MATCH('Print View'!$A199,'Coverage Indicators - Section D'!$A$1:$A$110,0))&lt;&gt;0,INDEX('Coverage Indicators - Section D'!AD$1:AD$110,MATCH('Print View'!$A199,'Coverage Indicators - Section D'!$A$1:$A$110,0)),""),"")</f>
        <v/>
      </c>
      <c r="AP199" s="216"/>
      <c r="AQ199" s="216"/>
      <c r="AR199" s="216"/>
      <c r="AS199" s="216"/>
      <c r="AT199" s="711" t="str">
        <f ca="1">CONCATENATE($A199,N$147)</f>
        <v>2630-Jun-22</v>
      </c>
      <c r="AU199" s="710" t="str">
        <f ca="1">CONCATENATE($A199,Q$147)</f>
        <v>2631-Dec-23</v>
      </c>
      <c r="AV199" s="710" t="str">
        <f t="shared" ref="AV199" si="172">CONCATENATE($A199,V$147)</f>
        <v>26</v>
      </c>
      <c r="AW199" s="710" t="str">
        <f t="shared" ref="AW199" si="173">CONCATENATE($A199,Y$147)</f>
        <v>26</v>
      </c>
      <c r="AX199" s="710" t="str">
        <f t="shared" ref="AX199" si="174">CONCATENATE($A199,AB$147)</f>
        <v>26</v>
      </c>
      <c r="AY199" s="710" t="str">
        <f t="shared" ref="AY199" si="175">CONCATENATE($A199,AE$147)</f>
        <v>26</v>
      </c>
      <c r="AZ199" s="710" t="str">
        <f t="shared" ref="AZ199" si="176">CONCATENATE($A199,AH$147)</f>
        <v>26</v>
      </c>
      <c r="BA199" s="710" t="str">
        <f t="shared" ref="BA199" si="177">CONCATENATE($A199,AK$147)</f>
        <v>26</v>
      </c>
      <c r="BB199" s="409"/>
      <c r="BC199" s="410"/>
    </row>
    <row r="200" spans="1:55" s="411" customFormat="1" ht="88.2" customHeight="1" x14ac:dyDescent="0.3">
      <c r="A200" s="712"/>
      <c r="B200" s="717" t="str">
        <f ca="1">IFERROR(IF(INDEX('Coverage Indicators - Section D'!AM$1:AM$110,MATCH('Print View'!$A199,'Coverage Indicators - Section D'!$A$1:$A$110,0))&lt;&gt;0,INDEX('Coverage Indicators - Section D'!AM$1:AM$110,MATCH('Print View'!$A199,'Coverage Indicators - Section D'!$A$1:$A$110,0)),""),"")</f>
        <v/>
      </c>
      <c r="C200" s="718"/>
      <c r="D200" s="718"/>
      <c r="E200" s="718"/>
      <c r="F200" s="718"/>
      <c r="G200" s="718"/>
      <c r="H200" s="718"/>
      <c r="I200" s="719"/>
      <c r="J200" s="719"/>
      <c r="K200" s="719"/>
      <c r="L200" s="719"/>
      <c r="M200" s="719"/>
      <c r="N200" s="719"/>
      <c r="O200" s="719"/>
      <c r="P200" s="719"/>
      <c r="Q200" s="719"/>
      <c r="R200" s="719"/>
      <c r="S200" s="720"/>
      <c r="T200" s="417"/>
      <c r="U200" s="216"/>
      <c r="V200" s="216"/>
      <c r="W200" s="216"/>
      <c r="X200" s="216"/>
      <c r="Y200" s="216"/>
      <c r="Z200" s="216"/>
      <c r="AA200" s="216"/>
      <c r="AB200" s="216"/>
      <c r="AC200" s="216"/>
      <c r="AD200" s="216"/>
      <c r="AE200" s="216"/>
      <c r="AF200" s="216"/>
      <c r="AG200" s="216"/>
      <c r="AH200" s="216"/>
      <c r="AI200" s="216"/>
      <c r="AJ200" s="216"/>
      <c r="AK200" s="216"/>
      <c r="AL200" s="216"/>
      <c r="AM200" s="216"/>
      <c r="AN200" s="216"/>
      <c r="AO200" s="216"/>
      <c r="AP200" s="216"/>
      <c r="AQ200" s="216"/>
      <c r="AR200" s="216"/>
      <c r="AS200" s="216"/>
      <c r="AT200" s="711"/>
      <c r="AU200" s="710"/>
      <c r="AV200" s="710"/>
      <c r="AW200" s="710"/>
      <c r="AX200" s="710"/>
      <c r="AY200" s="710"/>
      <c r="AZ200" s="710"/>
      <c r="BA200" s="710"/>
      <c r="BB200" s="409"/>
      <c r="BC200" s="410"/>
    </row>
    <row r="201" spans="1:55" s="411" customFormat="1" ht="177" customHeight="1" x14ac:dyDescent="0.3">
      <c r="A201" s="709">
        <v>27</v>
      </c>
      <c r="B201" s="404" t="str">
        <f ca="1">IFERROR(IF(INDEX('Coverage Indicators - Section D'!B$1:B$100,MATCH('Print View'!$A201,'Coverage Indicators - Section D'!$A$1:$A$100,0))&lt;&gt;0,INDEX('Coverage Indicators - Section D'!B$1:B$100,MATCH('Print View'!$A201,'Coverage Indicators - Section D'!$A$1:$A$100,0)),""),"")</f>
        <v/>
      </c>
      <c r="C201" s="404" t="str">
        <f ca="1">IFERROR(IF(INDEX('Coverage Indicators - Section D'!D$1:D$100,MATCH('Print View'!$A201,'Coverage Indicators - Section D'!$A$1:$A$100,0))&lt;&gt;0,INDEX('Coverage Indicators - Section D'!D$1:D$100,MATCH('Print View'!$A201,'Coverage Indicators - Section D'!$A$1:$A$100,0)),""),"")</f>
        <v/>
      </c>
      <c r="D201" s="404" t="str">
        <f ca="1">IFERROR(IF(INDEX('Coverage Indicators - Section D'!E$1:E$100,MATCH('Print View'!$A201,'Coverage Indicators - Section D'!$A$1:$A$100,0))&lt;&gt;0,INDEX('Coverage Indicators - Section D'!E$1:E$100,MATCH('Print View'!$A201,'Coverage Indicators - Section D'!$A$1:$A$100,0)),""),"")</f>
        <v/>
      </c>
      <c r="E201" s="405" t="str">
        <f ca="1">IFERROR(IF(INDEX('Coverage Indicators - Section D'!F$1:F$100,MATCH('Print View'!$A201,'Coverage Indicators - Section D'!$A$1:$A$100,0))&lt;&gt;0,INDEX('Coverage Indicators - Section D'!F$1:F$100,MATCH('Print View'!$A201,'Coverage Indicators - Section D'!$A$1:$A$100,0)),""),"")&amp;"/"&amp;IFERROR(IF(INDEX('Coverage Indicators - Section D'!F$1:F$100,MATCH('Print View'!$A201,'Coverage Indicators - Section D'!$A$1:$A$100,0)+1)&lt;&gt;0,INDEX('Coverage Indicators - Section D'!F$1:F$100,MATCH('Print View'!$A201,'Coverage Indicators - Section D'!$A$1:$A$100,0)+1),""),"")&amp;CHAR(10)&amp;IFERROR(IF(INDEX('Coverage Indicators - Section D'!G$1:G$100,MATCH('Print View'!$A201,'Coverage Indicators - Section D'!$A$1:$A$100,0))&lt;&gt;0,TEXT(INDEX('Coverage Indicators - Section D'!G$1:G$100,MATCH('Print View'!$A201,'Coverage Indicators - Section D'!$A$1:$A$100,0)),"0.00%"),""),"")</f>
        <v xml:space="preserve">/
</v>
      </c>
      <c r="F201" s="406"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407" t="str">
        <f>IFERROR(IF(INDEX('Coverage Indicators - Section D'!J61:J90,MATCH('Print View'!$A201,'Coverage Indicators - Section D'!$A$9:$A$38,0))&lt;&gt;0,INDEX('Coverage Indicators - Section D'!J61:J90,MATCH('Print View'!$A201,'Coverage Indicators - Section D'!$A$9:$A$38,0)),""),"")</f>
        <v/>
      </c>
      <c r="H201" s="408" t="str">
        <f ca="1">IFERROR(IF(INDEX('Coverage Indicators - Section D'!K$1:K$100,MATCH('Print View'!$A201,'Coverage Indicators - Section D'!$A$1:$A$100,0))&lt;&gt;0,INDEX('Coverage Indicators - Section D'!K$1:K$100,MATCH('Print View'!$A201,'Coverage Indicators - Section D'!$A$1:$A$100,0)),""),"")</f>
        <v/>
      </c>
      <c r="I201" s="407" t="str">
        <f ca="1">IFERROR(IF(INDEX('Coverage Indicators - Section D'!L$1:L$100,MATCH('Print View'!$A201,'Coverage Indicators - Section D'!$A$1:$A$100,0))&lt;&gt;0,INDEX('Coverage Indicators - Section D'!L$1:L$100,MATCH('Print View'!$A201,'Coverage Indicators - Section D'!$A$1:$A$100,0)),""),"")</f>
        <v/>
      </c>
      <c r="J201" s="405"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405" t="str">
        <f ca="1">IFERROR(IF(INDEX('Coverage Indicators - Section D'!N$1:N$100,MATCH('Print View'!$A201,'Coverage Indicators - Section D'!$A$1:$A$100,0))&lt;&gt;0,INDEX('Coverage Indicators - Section D'!N$1:N$100,MATCH('Print View'!$A201,'Coverage Indicators - Section D'!$A$1:$A$100,0)),""),"")</f>
        <v/>
      </c>
      <c r="L201" s="405" t="str">
        <f ca="1">IFERROR(IF(INDEX('Coverage Indicators - Section D'!O$1:O$100,MATCH('Print View'!$A201,'Coverage Indicators - Section D'!$A$1:$A$100,0))&lt;&gt;0,INDEX('Coverage Indicators - Section D'!O$1:O$100,MATCH('Print View'!$A201,'Coverage Indicators - Section D'!$A$1:$A$100,0)),""),"")&amp;"/"&amp;IFERROR(IF(INDEX('Coverage Indicators - Section D'!O$1:O$100,MATCH('Print View'!$A201,'Coverage Indicators - Section D'!$A$1:$A$100,0)+1)&lt;&gt;0,INDEX('Coverage Indicators - Section D'!O$1:O$100,MATCH('Print View'!$A201,'Coverage Indicators - Section D'!$A$1:$A$100,0)+1),""),"")&amp;CHAR(10)&amp;IFERROR(IF(INDEX('Coverage Indicators - Section D'!P$1:P$100,MATCH('Print View'!$A201,'Coverage Indicators - Section D'!$A$1:$A$100,0))&lt;&gt;0,TEXT(INDEX('Coverage Indicators - Section D'!P$1:P$100,MATCH('Print View'!$A201,'Coverage Indicators - Section D'!$A$1:$A$100,0)),"0.00%"),""),"")&amp;CHAR(10)&amp;IFERROR(IF(INDEX('Coverage Indicators - Section D'!Q$1:Q$100,MATCH('Print View'!$A201,'Coverage Indicators - Section D'!$A$1:$A$100,0))&lt;&gt;0,INDEX('Coverage Indicators - Section D'!Q$1:Q$100,MATCH('Print View'!$A201,'Coverage Indicators - Section D'!$A$1:$A$100,0)),""),"")</f>
        <v xml:space="preserve">/
</v>
      </c>
      <c r="M201" s="406" t="str">
        <f ca="1">IFERROR(IF(INDEX('Coverage Indicators - Section D'!R$1:R$100,MATCH('Print View'!$A201,'Coverage Indicators - Section D'!$A$1:$A$100,0))&lt;&gt;0,INDEX('Coverage Indicators - Section D'!R$1:R$100,MATCH('Print View'!$A201,'Coverage Indicators - Section D'!$A$1:$A$100,0)),""),"")&amp;"/"&amp;IFERROR(IF(INDEX('Coverage Indicators - Section D'!R$1:R$100,MATCH('Print View'!$A201,'Coverage Indicators - Section D'!$A$1:$A$100,0)+1)&lt;&gt;0,INDEX('Coverage Indicators - Section D'!R$1:R$100,MATCH('Print View'!$A201,'Coverage Indicators - Section D'!$A$1:$A$100,0)+1),""),"")&amp;CHAR(10)&amp;IFERROR(IF(INDEX('Coverage Indicators - Section D'!S$1:S$100,MATCH('Print View'!$A201,'Coverage Indicators - Section D'!$A$1:$A$100,0))&lt;&gt;0,TEXT(INDEX('Coverage Indicators - Section D'!S$1:S$100,MATCH('Print View'!$A201,'Coverage Indicators - Section D'!$A$1:$A$100,0)),"0.00%"),""),"")&amp;CHAR(10)&amp;IFERROR(IF(INDEX('Coverage Indicators - Section D'!T$1:T$100,MATCH('Print View'!$A201,'Coverage Indicators - Section D'!$A$1:$A$100,0))&lt;&gt;0,INDEX('Coverage Indicators - Section D'!T$1:T$100,MATCH('Print View'!$A201,'Coverage Indicators - Section D'!$A$1:$A$100,0)),""),"")</f>
        <v xml:space="preserve">/
</v>
      </c>
      <c r="N201" s="405" t="str">
        <f ca="1">IFERROR(IF(INDEX('Coverage Indicators - Section D'!U$1:U$100,MATCH('Print View'!$A201,'Coverage Indicators - Section D'!$A$1:$A$100,0))&lt;&gt;0,INDEX('Coverage Indicators - Section D'!U$1:U$100,MATCH('Print View'!$A201,'Coverage Indicators - Section D'!$A$1:$A$100,0)),""),"")&amp;"/"&amp;IFERROR(IF(INDEX('Coverage Indicators - Section D'!U$1:U$100,MATCH('Print View'!$A201,'Coverage Indicators - Section D'!$A$1:$A$100,0)+1)&lt;&gt;0,INDEX('Coverage Indicators - Section D'!U$1:U$100,MATCH('Print View'!$A201,'Coverage Indicators - Section D'!$A$1:$A$100,0)+1),""),"")&amp;CHAR(10)&amp;IFERROR(IF(INDEX('Coverage Indicators - Section D'!V$1:V$100,MATCH('Print View'!$A201,'Coverage Indicators - Section D'!$A$1:$A$100,0))&lt;&gt;0,TEXT(INDEX('Coverage Indicators - Section D'!V$1:V$100,MATCH('Print View'!$A201,'Coverage Indicators - Section D'!$A$1:$A$100,0)),"0.00%"),""),"")&amp;CHAR(10)&amp;IFERROR(IF(INDEX('Coverage Indicators - Section D'!W$1:W$100,MATCH('Print View'!$A201,'Coverage Indicators - Section D'!$A$1:$A$100,0))&lt;&gt;0,INDEX('Coverage Indicators - Section D'!W$1:W$100,MATCH('Print View'!$A201,'Coverage Indicators - Section D'!$A$1:$A$100,0)),""),"")</f>
        <v xml:space="preserve">/
</v>
      </c>
      <c r="O201" s="406" t="str">
        <f ca="1">IFERROR(IF(INDEX('Coverage Indicators - Section D'!X$1:X$100,MATCH('Print View'!$A201,'Coverage Indicators - Section D'!$A$1:$A$100,0))&lt;&gt;0,INDEX('Coverage Indicators - Section D'!X$1:X$100,MATCH('Print View'!$A201,'Coverage Indicators - Section D'!$A$1:$A$100,0)),""),"")&amp;"/"&amp;IFERROR(IF(INDEX('Coverage Indicators - Section D'!X$1:X$100,MATCH('Print View'!$A201,'Coverage Indicators - Section D'!$A$1:$A$100,0)+1)&lt;&gt;0,INDEX('Coverage Indicators - Section D'!X$1:X$100,MATCH('Print View'!$A201,'Coverage Indicators - Section D'!$A$1:$A$100,0)+1),""),"")&amp;CHAR(10)&amp;IFERROR(IF(INDEX('Coverage Indicators - Section D'!Y$1:Y$100,MATCH('Print View'!$A201,'Coverage Indicators - Section D'!$A$1:$A$100,0))&lt;&gt;0,TEXT(INDEX('Coverage Indicators - Section D'!Y$1:Y$100,MATCH('Print View'!$A201,'Coverage Indicators - Section D'!$A$1:$A$100,0)),"0.00%"),""),"")&amp;CHAR(10)&amp;IFERROR(IF(INDEX('Coverage Indicators - Section D'!Z$1:Z$100,MATCH('Print View'!$A201,'Coverage Indicators - Section D'!$A$1:$A$100,0))&lt;&gt;0,INDEX('Coverage Indicators - Section D'!Z$1:Z$100,MATCH('Print View'!$A201,'Coverage Indicators - Section D'!$A$1:$A$100,0)),""),"")</f>
        <v xml:space="preserve">/
</v>
      </c>
      <c r="P201" s="406" t="str">
        <f ca="1">IFERROR(IF(INDEX('Coverage Indicators - Section D'!AA$1:AA$100,MATCH('Print View'!$A201,'Coverage Indicators - Section D'!$A$1:$A$100,0))&lt;&gt;0,INDEX('Coverage Indicators - Section D'!AA$1:AA$100,MATCH('Print View'!$A201,'Coverage Indicators - Section D'!$A$1:$A$100,0)),""),"")&amp;"/"&amp;IFERROR(IF(INDEX('Coverage Indicators - Section D'!AA$1:AA$100,MATCH('Print View'!$A201,'Coverage Indicators - Section D'!$A$1:$A$100,0)+1)&lt;&gt;0,INDEX('Coverage Indicators - Section D'!AA$1:AA$100,MATCH('Print View'!$A201,'Coverage Indicators - Section D'!$A$1:$A$100,0)+1),""),"")&amp;CHAR(10)&amp;IFERROR(IF(INDEX('Coverage Indicators - Section D'!AB$1:AB$100,MATCH('Print View'!$A201,'Coverage Indicators - Section D'!$A$1:$A$100,0))&lt;&gt;0,TEXT(INDEX('Coverage Indicators - Section D'!AB$1:AB$100,MATCH('Print View'!$A201,'Coverage Indicators - Section D'!$A$1:$A$100,0)),"0.00%"),""),"")&amp;CHAR(10)&amp;IFERROR(IF(INDEX('Coverage Indicators - Section D'!AC$1:AC$100,MATCH('Print View'!$A201,'Coverage Indicators - Section D'!$A$1:$A$100,0))&lt;&gt;0,INDEX('Coverage Indicators - Section D'!AC$1:AC$100,MATCH('Print View'!$A201,'Coverage Indicators - Section D'!$A$1:$A$100,0)),""),"")</f>
        <v xml:space="preserve">/
</v>
      </c>
      <c r="Q201" s="406" t="str">
        <f ca="1">IFERROR(IF(INDEX('Coverage Indicators - Section D'!AD$1:AD$100,MATCH('Print View'!$A201,'Coverage Indicators - Section D'!$A$1:$A$100,0))&lt;&gt;0,INDEX('Coverage Indicators - Section D'!AD$1:AD$100,MATCH('Print View'!$A201,'Coverage Indicators - Section D'!$A$1:$A$100,0)),""),"")&amp;"/"&amp;IFERROR(IF(INDEX('Coverage Indicators - Section D'!AD$1:AD$100,MATCH('Print View'!$A201,'Coverage Indicators - Section D'!$A$1:$A$100,0)+1)&lt;&gt;0,INDEX('Coverage Indicators - Section D'!AD$1:AD$100,MATCH('Print View'!$A201,'Coverage Indicators - Section D'!$A$1:$A$100,0)+1),""),"")&amp;CHAR(10)&amp;IFERROR(IF(INDEX('Coverage Indicators - Section D'!AE$1:AE$100,MATCH('Print View'!$A201,'Coverage Indicators - Section D'!$A$1:$A$100,0))&lt;&gt;0,TEXT(INDEX('Coverage Indicators - Section D'!AE$1:AE$100,MATCH('Print View'!$A201,'Coverage Indicators - Section D'!$A$1:$A$100,0)),"0.00%"),""),"")&amp;CHAR(10)&amp;IFERROR(IF(INDEX('Coverage Indicators - Section D'!AF$1:AF$100,MATCH('Print View'!$A201,'Coverage Indicators - Section D'!$A$1:$A$100,0))&lt;&gt;0,INDEX('Coverage Indicators - Section D'!AF$1:AF$100,MATCH('Print View'!$A201,'Coverage Indicators - Section D'!$A$1:$A$100,0)),""),"")</f>
        <v xml:space="preserve">/
</v>
      </c>
      <c r="R201" s="406" t="str">
        <f ca="1">IFERROR(IF(INDEX('Coverage Indicators - Section D'!AG$1:AG$100,MATCH('Print View'!$A201,'Coverage Indicators - Section D'!$A$1:$A$100,0))&lt;&gt;0,INDEX('Coverage Indicators - Section D'!AG$1:AG$100,MATCH('Print View'!$A201,'Coverage Indicators - Section D'!$A$1:$A$100,0)),""),"")&amp;"/"&amp;IFERROR(IF(INDEX('Coverage Indicators - Section D'!AG$1:AG$100,MATCH('Print View'!$A201,'Coverage Indicators - Section D'!$A$1:$A$100,0)+1)&lt;&gt;0,INDEX('Coverage Indicators - Section D'!AG$1:AG$100,MATCH('Print View'!$A201,'Coverage Indicators - Section D'!$A$1:$A$100,0)+1),""),"")&amp;CHAR(10)&amp;IFERROR(IF(INDEX('Coverage Indicators - Section D'!AH$1:AH$100,MATCH('Print View'!$A201,'Coverage Indicators - Section D'!$A$1:$A$100,0))&lt;&gt;0,TEXT(INDEX('Coverage Indicators - Section D'!AH$1:AH$100,MATCH('Print View'!$A201,'Coverage Indicators - Section D'!$A$1:$A$100,0)),"0.00%"),""),"")&amp;CHAR(10)&amp;IFERROR(IF(INDEX('Coverage Indicators - Section D'!AI$1:AI$100,MATCH('Print View'!$A201,'Coverage Indicators - Section D'!$A$1:$A$100,0))&lt;&gt;0,INDEX('Coverage Indicators - Section D'!AI$1:AI$100,MATCH('Print View'!$A201,'Coverage Indicators - Section D'!$A$1:$A$100,0)),""),"")</f>
        <v xml:space="preserve">/
</v>
      </c>
      <c r="S201" s="406" t="str">
        <f ca="1">IFERROR(IF(INDEX('Coverage Indicators - Section D'!AJ$1:AJ$100,MATCH('Print View'!$A201,'Coverage Indicators - Section D'!$A$1:$A$100,0))&lt;&gt;0,INDEX('Coverage Indicators - Section D'!AJ$1:AJ$100,MATCH('Print View'!$A201,'Coverage Indicators - Section D'!$A$1:$A$100,0)),""),"")&amp;"/"&amp;IFERROR(IF(INDEX('Coverage Indicators - Section D'!AJ$1:AJ$100,MATCH('Print View'!$A201,'Coverage Indicators - Section D'!$A$1:$A$100,0)+1)&lt;&gt;0,INDEX('Coverage Indicators - Section D'!AJ$1:AJ$100,MATCH('Print View'!$A201,'Coverage Indicators - Section D'!$A$1:$A$100,0)+1),""),"")&amp;CHAR(10)&amp;IFERROR(IF(INDEX('Coverage Indicators - Section D'!AK$1:AK$100,MATCH('Print View'!$A201,'Coverage Indicators - Section D'!$A$1:$A$100,0))&lt;&gt;0,TEXT(INDEX('Coverage Indicators - Section D'!AK$1:AK$100,MATCH('Print View'!$A201,'Coverage Indicators - Section D'!$A$1:$A$100,0)),"0.00%"),""),"")&amp;CHAR(10)&amp;IFERROR(IF(INDEX('Coverage Indicators - Section D'!AL$1:AL$100,MATCH('Print View'!$A201,'Coverage Indicators - Section D'!$A$1:$A$100,0))&lt;&gt;0,INDEX('Coverage Indicators - Section D'!AL$1:AL$100,MATCH('Print View'!$A201,'Coverage Indicators - Section D'!$A$1:$A$100,0)),""),"")</f>
        <v xml:space="preserve">/
</v>
      </c>
      <c r="T201" s="385"/>
      <c r="U201" s="216"/>
      <c r="V201" s="216"/>
      <c r="W201" s="216"/>
      <c r="X201" s="216"/>
      <c r="Y201" s="216"/>
      <c r="Z201" s="216"/>
      <c r="AA201" s="216"/>
      <c r="AB201" s="216"/>
      <c r="AC201" s="216"/>
      <c r="AD201" s="216"/>
      <c r="AE201" s="216"/>
      <c r="AF201" s="216"/>
      <c r="AG201" s="216"/>
      <c r="AH201" s="216"/>
      <c r="AI201" s="216"/>
      <c r="AJ201" s="216"/>
      <c r="AK201" s="216"/>
      <c r="AL201" s="216"/>
      <c r="AM201" s="216"/>
      <c r="AN201" s="216"/>
      <c r="AO201" s="216" t="str">
        <f ca="1">IFERROR(IF(INDEX('Coverage Indicators - Section D'!AD$1:AD$110,MATCH('Print View'!$A201,'Coverage Indicators - Section D'!$A$1:$A$110,0))&lt;&gt;0,INDEX('Coverage Indicators - Section D'!AD$1:AD$110,MATCH('Print View'!$A201,'Coverage Indicators - Section D'!$A$1:$A$110,0)),""),"")</f>
        <v/>
      </c>
      <c r="AP201" s="216"/>
      <c r="AQ201" s="216"/>
      <c r="AR201" s="216"/>
      <c r="AS201" s="216"/>
      <c r="AT201" s="711" t="str">
        <f ca="1">CONCATENATE($A201,N$147)</f>
        <v>2730-Jun-22</v>
      </c>
      <c r="AU201" s="710" t="str">
        <f ca="1">CONCATENATE($A201,Q$147)</f>
        <v>2731-Dec-23</v>
      </c>
      <c r="AV201" s="710" t="str">
        <f t="shared" ref="AV201" si="178">CONCATENATE($A201,V$147)</f>
        <v>27</v>
      </c>
      <c r="AW201" s="710" t="str">
        <f t="shared" ref="AW201" si="179">CONCATENATE($A201,Y$147)</f>
        <v>27</v>
      </c>
      <c r="AX201" s="710" t="str">
        <f t="shared" ref="AX201" si="180">CONCATENATE($A201,AB$147)</f>
        <v>27</v>
      </c>
      <c r="AY201" s="710" t="str">
        <f t="shared" ref="AY201" si="181">CONCATENATE($A201,AE$147)</f>
        <v>27</v>
      </c>
      <c r="AZ201" s="710" t="str">
        <f t="shared" ref="AZ201" si="182">CONCATENATE($A201,AH$147)</f>
        <v>27</v>
      </c>
      <c r="BA201" s="710" t="str">
        <f t="shared" ref="BA201" si="183">CONCATENATE($A201,AK$147)</f>
        <v>27</v>
      </c>
      <c r="BB201" s="409"/>
      <c r="BC201" s="410"/>
    </row>
    <row r="202" spans="1:55" s="411" customFormat="1" ht="88.2" customHeight="1" x14ac:dyDescent="0.3">
      <c r="A202" s="709"/>
      <c r="B202" s="714" t="str">
        <f ca="1">IFERROR(IF(INDEX('Coverage Indicators - Section D'!AM$1:AM$110,MATCH('Print View'!$A201,'Coverage Indicators - Section D'!$A$1:$A$110,0))&lt;&gt;0,INDEX('Coverage Indicators - Section D'!AM$1:AM$110,MATCH('Print View'!$A201,'Coverage Indicators - Section D'!$A$1:$A$110,0)),""),"")</f>
        <v/>
      </c>
      <c r="C202" s="715"/>
      <c r="D202" s="715"/>
      <c r="E202" s="715"/>
      <c r="F202" s="715"/>
      <c r="G202" s="715"/>
      <c r="H202" s="715"/>
      <c r="I202" s="715"/>
      <c r="J202" s="715"/>
      <c r="K202" s="715"/>
      <c r="L202" s="715"/>
      <c r="M202" s="715"/>
      <c r="N202" s="715"/>
      <c r="O202" s="715"/>
      <c r="P202" s="715"/>
      <c r="Q202" s="715"/>
      <c r="R202" s="715"/>
      <c r="S202" s="716"/>
      <c r="T202" s="412"/>
      <c r="U202" s="216"/>
      <c r="V202" s="216"/>
      <c r="W202" s="216"/>
      <c r="X202" s="216"/>
      <c r="Y202" s="216"/>
      <c r="Z202" s="216"/>
      <c r="AA202" s="216"/>
      <c r="AB202" s="216"/>
      <c r="AC202" s="216"/>
      <c r="AD202" s="216"/>
      <c r="AE202" s="216"/>
      <c r="AF202" s="216"/>
      <c r="AG202" s="216"/>
      <c r="AH202" s="216"/>
      <c r="AI202" s="216"/>
      <c r="AJ202" s="216"/>
      <c r="AK202" s="216"/>
      <c r="AL202" s="216"/>
      <c r="AM202" s="216"/>
      <c r="AN202" s="216"/>
      <c r="AO202" s="216"/>
      <c r="AP202" s="216"/>
      <c r="AQ202" s="216"/>
      <c r="AR202" s="216"/>
      <c r="AS202" s="216"/>
      <c r="AT202" s="711"/>
      <c r="AU202" s="710"/>
      <c r="AV202" s="710"/>
      <c r="AW202" s="710"/>
      <c r="AX202" s="710"/>
      <c r="AY202" s="710"/>
      <c r="AZ202" s="710"/>
      <c r="BA202" s="710"/>
      <c r="BB202" s="409"/>
      <c r="BC202" s="410"/>
    </row>
    <row r="203" spans="1:55" s="411" customFormat="1" ht="177" customHeight="1" x14ac:dyDescent="0.3">
      <c r="A203" s="712">
        <v>28</v>
      </c>
      <c r="B203" s="380" t="str">
        <f ca="1">IFERROR(IF(INDEX('Coverage Indicators - Section D'!B$1:B$100,MATCH('Print View'!$A203,'Coverage Indicators - Section D'!$A$1:$A$100,0))&lt;&gt;0,INDEX('Coverage Indicators - Section D'!B$1:B$100,MATCH('Print View'!$A203,'Coverage Indicators - Section D'!$A$1:$A$100,0)),""),"")</f>
        <v/>
      </c>
      <c r="C203" s="380" t="str">
        <f ca="1">IFERROR(IF(INDEX('Coverage Indicators - Section D'!D$1:D$100,MATCH('Print View'!$A203,'Coverage Indicators - Section D'!$A$1:$A$100,0))&lt;&gt;0,INDEX('Coverage Indicators - Section D'!D$1:D$100,MATCH('Print View'!$A203,'Coverage Indicators - Section D'!$A$1:$A$100,0)),""),"")</f>
        <v/>
      </c>
      <c r="D203" s="380" t="str">
        <f ca="1">IFERROR(IF(INDEX('Coverage Indicators - Section D'!E$1:E$100,MATCH('Print View'!$A203,'Coverage Indicators - Section D'!$A$1:$A$100,0))&lt;&gt;0,INDEX('Coverage Indicators - Section D'!E$1:E$100,MATCH('Print View'!$A203,'Coverage Indicators - Section D'!$A$1:$A$100,0)),""),"")</f>
        <v/>
      </c>
      <c r="E203" s="381" t="str">
        <f ca="1">IFERROR(IF(INDEX('Coverage Indicators - Section D'!F$1:F$100,MATCH('Print View'!$A203,'Coverage Indicators - Section D'!$A$1:$A$100,0))&lt;&gt;0,INDEX('Coverage Indicators - Section D'!F$1:F$100,MATCH('Print View'!$A203,'Coverage Indicators - Section D'!$A$1:$A$100,0)),""),"")&amp;"/"&amp;IFERROR(IF(INDEX('Coverage Indicators - Section D'!F$1:F$100,MATCH('Print View'!$A203,'Coverage Indicators - Section D'!$A$1:$A$100,0)+1)&lt;&gt;0,INDEX('Coverage Indicators - Section D'!F$1:F$100,MATCH('Print View'!$A203,'Coverage Indicators - Section D'!$A$1:$A$100,0)+1),""),"")&amp;CHAR(10)&amp;IFERROR(IF(INDEX('Coverage Indicators - Section D'!G$1:G$100,MATCH('Print View'!$A203,'Coverage Indicators - Section D'!$A$1:$A$100,0))&lt;&gt;0,TEXT(INDEX('Coverage Indicators - Section D'!G$1:G$100,MATCH('Print View'!$A203,'Coverage Indicators - Section D'!$A$1:$A$100,0)),"0.00%"),""),"")</f>
        <v xml:space="preserve">/
</v>
      </c>
      <c r="F203" s="413"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414" t="str">
        <f>IFERROR(IF(INDEX('Coverage Indicators - Section D'!J61:J90,MATCH('Print View'!$A203,'Coverage Indicators - Section D'!$A$9:$A$38,0))&lt;&gt;0,INDEX('Coverage Indicators - Section D'!J61:J90,MATCH('Print View'!$A203,'Coverage Indicators - Section D'!$A$9:$A$38,0)),""),"")</f>
        <v/>
      </c>
      <c r="H203" s="413" t="str">
        <f ca="1">IFERROR(IF(INDEX('Coverage Indicators - Section D'!K$1:K$100,MATCH('Print View'!$A203,'Coverage Indicators - Section D'!$A$1:$A$100,0))&lt;&gt;0,INDEX('Coverage Indicators - Section D'!K$1:K$100,MATCH('Print View'!$A203,'Coverage Indicators - Section D'!$A$1:$A$100,0)),""),"")</f>
        <v/>
      </c>
      <c r="I203" s="414" t="str">
        <f ca="1">IFERROR(IF(INDEX('Coverage Indicators - Section D'!L$1:L$100,MATCH('Print View'!$A203,'Coverage Indicators - Section D'!$A$1:$A$100,0))&lt;&gt;0,INDEX('Coverage Indicators - Section D'!L$1:L$100,MATCH('Print View'!$A203,'Coverage Indicators - Section D'!$A$1:$A$100,0)),""),"")</f>
        <v/>
      </c>
      <c r="J203" s="413"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413" t="str">
        <f ca="1">IFERROR(IF(INDEX('Coverage Indicators - Section D'!N$1:N$100,MATCH('Print View'!$A203,'Coverage Indicators - Section D'!$A$1:$A$100,0))&lt;&gt;0,INDEX('Coverage Indicators - Section D'!N$1:N$100,MATCH('Print View'!$A203,'Coverage Indicators - Section D'!$A$1:$A$100,0)),""),"")</f>
        <v/>
      </c>
      <c r="L203" s="415" t="str">
        <f ca="1">IFERROR(IF(INDEX('Coverage Indicators - Section D'!O$1:O$100,MATCH('Print View'!$A203,'Coverage Indicators - Section D'!$A$1:$A$100,0))&lt;&gt;0,INDEX('Coverage Indicators - Section D'!O$1:O$100,MATCH('Print View'!$A203,'Coverage Indicators - Section D'!$A$1:$A$100,0)),""),"")&amp;"/"&amp;IFERROR(IF(INDEX('Coverage Indicators - Section D'!O$1:O$100,MATCH('Print View'!$A203,'Coverage Indicators - Section D'!$A$1:$A$100,0)+1)&lt;&gt;0,INDEX('Coverage Indicators - Section D'!O$1:O$100,MATCH('Print View'!$A203,'Coverage Indicators - Section D'!$A$1:$A$100,0)+1),""),"")&amp;CHAR(10)&amp;IFERROR(IF(INDEX('Coverage Indicators - Section D'!P$1:P$100,MATCH('Print View'!$A203,'Coverage Indicators - Section D'!$A$1:$A$100,0))&lt;&gt;0,TEXT(INDEX('Coverage Indicators - Section D'!P$1:P$100,MATCH('Print View'!$A203,'Coverage Indicators - Section D'!$A$1:$A$100,0)),"0.00%"),""),"")&amp;CHAR(10)&amp;IFERROR(IF(INDEX('Coverage Indicators - Section D'!Q$1:Q$100,MATCH('Print View'!$A203,'Coverage Indicators - Section D'!$A$1:$A$100,0))&lt;&gt;0,INDEX('Coverage Indicators - Section D'!Q$1:Q$100,MATCH('Print View'!$A203,'Coverage Indicators - Section D'!$A$1:$A$100,0)),""),"")</f>
        <v xml:space="preserve">/
</v>
      </c>
      <c r="M203" s="415" t="str">
        <f ca="1">IFERROR(IF(INDEX('Coverage Indicators - Section D'!R$1:R$100,MATCH('Print View'!$A203,'Coverage Indicators - Section D'!$A$1:$A$100,0))&lt;&gt;0,INDEX('Coverage Indicators - Section D'!R$1:R$100,MATCH('Print View'!$A203,'Coverage Indicators - Section D'!$A$1:$A$100,0)),""),"")&amp;"/"&amp;IFERROR(IF(INDEX('Coverage Indicators - Section D'!R$1:R$100,MATCH('Print View'!$A203,'Coverage Indicators - Section D'!$A$1:$A$100,0)+1)&lt;&gt;0,INDEX('Coverage Indicators - Section D'!R$1:R$100,MATCH('Print View'!$A203,'Coverage Indicators - Section D'!$A$1:$A$100,0)+1),""),"")&amp;CHAR(10)&amp;IFERROR(IF(INDEX('Coverage Indicators - Section D'!S$1:S$100,MATCH('Print View'!$A203,'Coverage Indicators - Section D'!$A$1:$A$100,0))&lt;&gt;0,TEXT(INDEX('Coverage Indicators - Section D'!S$1:S$100,MATCH('Print View'!$A203,'Coverage Indicators - Section D'!$A$1:$A$100,0)),"0.00%"),""),"")&amp;CHAR(10)&amp;IFERROR(IF(INDEX('Coverage Indicators - Section D'!T$1:T$100,MATCH('Print View'!$A203,'Coverage Indicators - Section D'!$A$1:$A$100,0))&lt;&gt;0,INDEX('Coverage Indicators - Section D'!T$1:T$100,MATCH('Print View'!$A203,'Coverage Indicators - Section D'!$A$1:$A$100,0)),""),"")</f>
        <v xml:space="preserve">/
</v>
      </c>
      <c r="N203" s="415" t="str">
        <f ca="1">IFERROR(IF(INDEX('Coverage Indicators - Section D'!U$1:U$100,MATCH('Print View'!$A203,'Coverage Indicators - Section D'!$A$1:$A$100,0))&lt;&gt;0,INDEX('Coverage Indicators - Section D'!U$1:U$100,MATCH('Print View'!$A203,'Coverage Indicators - Section D'!$A$1:$A$100,0)),""),"")&amp;"/"&amp;IFERROR(IF(INDEX('Coverage Indicators - Section D'!U$1:U$100,MATCH('Print View'!$A203,'Coverage Indicators - Section D'!$A$1:$A$100,0)+1)&lt;&gt;0,INDEX('Coverage Indicators - Section D'!U$1:U$100,MATCH('Print View'!$A203,'Coverage Indicators - Section D'!$A$1:$A$100,0)+1),""),"")&amp;CHAR(10)&amp;IFERROR(IF(INDEX('Coverage Indicators - Section D'!V$1:V$100,MATCH('Print View'!$A203,'Coverage Indicators - Section D'!$A$1:$A$100,0))&lt;&gt;0,TEXT(INDEX('Coverage Indicators - Section D'!V$1:V$100,MATCH('Print View'!$A203,'Coverage Indicators - Section D'!$A$1:$A$100,0)),"0.00%"),""),"")&amp;CHAR(10)&amp;IFERROR(IF(INDEX('Coverage Indicators - Section D'!W$1:W$100,MATCH('Print View'!$A203,'Coverage Indicators - Section D'!$A$1:$A$100,0))&lt;&gt;0,INDEX('Coverage Indicators - Section D'!W$1:W$100,MATCH('Print View'!$A203,'Coverage Indicators - Section D'!$A$1:$A$100,0)),""),"")</f>
        <v xml:space="preserve">/
</v>
      </c>
      <c r="O203" s="415" t="str">
        <f ca="1">IFERROR(IF(INDEX('Coverage Indicators - Section D'!X$1:X$100,MATCH('Print View'!$A203,'Coverage Indicators - Section D'!$A$1:$A$100,0))&lt;&gt;0,INDEX('Coverage Indicators - Section D'!X$1:X$100,MATCH('Print View'!$A203,'Coverage Indicators - Section D'!$A$1:$A$100,0)),""),"")&amp;"/"&amp;IFERROR(IF(INDEX('Coverage Indicators - Section D'!X$1:X$100,MATCH('Print View'!$A203,'Coverage Indicators - Section D'!$A$1:$A$100,0)+1)&lt;&gt;0,INDEX('Coverage Indicators - Section D'!X$1:X$100,MATCH('Print View'!$A203,'Coverage Indicators - Section D'!$A$1:$A$100,0)+1),""),"")&amp;CHAR(10)&amp;IFERROR(IF(INDEX('Coverage Indicators - Section D'!Y$1:Y$100,MATCH('Print View'!$A203,'Coverage Indicators - Section D'!$A$1:$A$100,0))&lt;&gt;0,TEXT(INDEX('Coverage Indicators - Section D'!Y$1:Y$100,MATCH('Print View'!$A203,'Coverage Indicators - Section D'!$A$1:$A$100,0)),"0.00%"),""),"")&amp;CHAR(10)&amp;IFERROR(IF(INDEX('Coverage Indicators - Section D'!Z$1:Z$100,MATCH('Print View'!$A203,'Coverage Indicators - Section D'!$A$1:$A$100,0))&lt;&gt;0,INDEX('Coverage Indicators - Section D'!Z$1:Z$100,MATCH('Print View'!$A203,'Coverage Indicators - Section D'!$A$1:$A$100,0)),""),"")</f>
        <v xml:space="preserve">/
</v>
      </c>
      <c r="P203" s="415" t="str">
        <f ca="1">IFERROR(IF(INDEX('Coverage Indicators - Section D'!AA$1:AA$100,MATCH('Print View'!$A203,'Coverage Indicators - Section D'!$A$1:$A$100,0))&lt;&gt;0,INDEX('Coverage Indicators - Section D'!AA$1:AA$100,MATCH('Print View'!$A203,'Coverage Indicators - Section D'!$A$1:$A$100,0)),""),"")&amp;"/"&amp;IFERROR(IF(INDEX('Coverage Indicators - Section D'!AA$1:AA$100,MATCH('Print View'!$A203,'Coverage Indicators - Section D'!$A$1:$A$100,0)+1)&lt;&gt;0,INDEX('Coverage Indicators - Section D'!AA$1:AA$100,MATCH('Print View'!$A203,'Coverage Indicators - Section D'!$A$1:$A$100,0)+1),""),"")&amp;CHAR(10)&amp;IFERROR(IF(INDEX('Coverage Indicators - Section D'!AB$1:AB$100,MATCH('Print View'!$A203,'Coverage Indicators - Section D'!$A$1:$A$100,0))&lt;&gt;0,TEXT(INDEX('Coverage Indicators - Section D'!AB$1:AB$100,MATCH('Print View'!$A203,'Coverage Indicators - Section D'!$A$1:$A$100,0)),"0.00%"),""),"")&amp;CHAR(10)&amp;IFERROR(IF(INDEX('Coverage Indicators - Section D'!AC$1:AC$100,MATCH('Print View'!$A203,'Coverage Indicators - Section D'!$A$1:$A$100,0))&lt;&gt;0,INDEX('Coverage Indicators - Section D'!AC$1:AC$100,MATCH('Print View'!$A203,'Coverage Indicators - Section D'!$A$1:$A$100,0)),""),"")</f>
        <v xml:space="preserve">/
</v>
      </c>
      <c r="Q203" s="415" t="str">
        <f ca="1">IFERROR(IF(INDEX('Coverage Indicators - Section D'!AD$1:AD$100,MATCH('Print View'!$A203,'Coverage Indicators - Section D'!$A$1:$A$100,0))&lt;&gt;0,INDEX('Coverage Indicators - Section D'!AD$1:AD$100,MATCH('Print View'!$A203,'Coverage Indicators - Section D'!$A$1:$A$100,0)),""),"")&amp;"/"&amp;IFERROR(IF(INDEX('Coverage Indicators - Section D'!AD$1:AD$100,MATCH('Print View'!$A203,'Coverage Indicators - Section D'!$A$1:$A$100,0)+1)&lt;&gt;0,INDEX('Coverage Indicators - Section D'!AD$1:AD$100,MATCH('Print View'!$A203,'Coverage Indicators - Section D'!$A$1:$A$100,0)+1),""),"")&amp;CHAR(10)&amp;IFERROR(IF(INDEX('Coverage Indicators - Section D'!AE$1:AE$100,MATCH('Print View'!$A203,'Coverage Indicators - Section D'!$A$1:$A$100,0))&lt;&gt;0,TEXT(INDEX('Coverage Indicators - Section D'!AE$1:AE$100,MATCH('Print View'!$A203,'Coverage Indicators - Section D'!$A$1:$A$100,0)),"0.00%"),""),"")&amp;CHAR(10)&amp;IFERROR(IF(INDEX('Coverage Indicators - Section D'!AF$1:AF$100,MATCH('Print View'!$A203,'Coverage Indicators - Section D'!$A$1:$A$100,0))&lt;&gt;0,INDEX('Coverage Indicators - Section D'!AF$1:AF$100,MATCH('Print View'!$A203,'Coverage Indicators - Section D'!$A$1:$A$100,0)),""),"")</f>
        <v xml:space="preserve">/
</v>
      </c>
      <c r="R203" s="415" t="str">
        <f ca="1">IFERROR(IF(INDEX('Coverage Indicators - Section D'!AG$1:AG$100,MATCH('Print View'!$A203,'Coverage Indicators - Section D'!$A$1:$A$100,0))&lt;&gt;0,INDEX('Coverage Indicators - Section D'!AG$1:AG$100,MATCH('Print View'!$A203,'Coverage Indicators - Section D'!$A$1:$A$100,0)),""),"")&amp;"/"&amp;IFERROR(IF(INDEX('Coverage Indicators - Section D'!AG$1:AG$100,MATCH('Print View'!$A203,'Coverage Indicators - Section D'!$A$1:$A$100,0)+1)&lt;&gt;0,INDEX('Coverage Indicators - Section D'!AG$1:AG$100,MATCH('Print View'!$A203,'Coverage Indicators - Section D'!$A$1:$A$100,0)+1),""),"")&amp;CHAR(10)&amp;IFERROR(IF(INDEX('Coverage Indicators - Section D'!AH$1:AH$100,MATCH('Print View'!$A203,'Coverage Indicators - Section D'!$A$1:$A$100,0))&lt;&gt;0,TEXT(INDEX('Coverage Indicators - Section D'!AH$1:AH$100,MATCH('Print View'!$A203,'Coverage Indicators - Section D'!$A$1:$A$100,0)),"0.00%"),""),"")&amp;CHAR(10)&amp;IFERROR(IF(INDEX('Coverage Indicators - Section D'!AI$1:AI$100,MATCH('Print View'!$A203,'Coverage Indicators - Section D'!$A$1:$A$100,0))&lt;&gt;0,INDEX('Coverage Indicators - Section D'!AI$1:AI$100,MATCH('Print View'!$A203,'Coverage Indicators - Section D'!$A$1:$A$100,0)),""),"")</f>
        <v xml:space="preserve">/
</v>
      </c>
      <c r="S203" s="415" t="str">
        <f ca="1">IFERROR(IF(INDEX('Coverage Indicators - Section D'!AJ$1:AJ$100,MATCH('Print View'!$A203,'Coverage Indicators - Section D'!$A$1:$A$100,0))&lt;&gt;0,INDEX('Coverage Indicators - Section D'!AJ$1:AJ$100,MATCH('Print View'!$A203,'Coverage Indicators - Section D'!$A$1:$A$100,0)),""),"")&amp;"/"&amp;IFERROR(IF(INDEX('Coverage Indicators - Section D'!AJ$1:AJ$100,MATCH('Print View'!$A203,'Coverage Indicators - Section D'!$A$1:$A$100,0)+1)&lt;&gt;0,INDEX('Coverage Indicators - Section D'!AJ$1:AJ$100,MATCH('Print View'!$A203,'Coverage Indicators - Section D'!$A$1:$A$100,0)+1),""),"")&amp;CHAR(10)&amp;IFERROR(IF(INDEX('Coverage Indicators - Section D'!AK$1:AK$100,MATCH('Print View'!$A203,'Coverage Indicators - Section D'!$A$1:$A$100,0))&lt;&gt;0,TEXT(INDEX('Coverage Indicators - Section D'!AK$1:AK$100,MATCH('Print View'!$A203,'Coverage Indicators - Section D'!$A$1:$A$100,0)),"0.00%"),""),"")&amp;CHAR(10)&amp;IFERROR(IF(INDEX('Coverage Indicators - Section D'!AL$1:AL$100,MATCH('Print View'!$A203,'Coverage Indicators - Section D'!$A$1:$A$100,0))&lt;&gt;0,INDEX('Coverage Indicators - Section D'!AL$1:AL$100,MATCH('Print View'!$A203,'Coverage Indicators - Section D'!$A$1:$A$100,0)),""),"")</f>
        <v xml:space="preserve">/
</v>
      </c>
      <c r="T203" s="416"/>
      <c r="U203" s="216"/>
      <c r="V203" s="216"/>
      <c r="W203" s="216"/>
      <c r="X203" s="216"/>
      <c r="Y203" s="216"/>
      <c r="Z203" s="216"/>
      <c r="AA203" s="216"/>
      <c r="AB203" s="216"/>
      <c r="AC203" s="216"/>
      <c r="AD203" s="216"/>
      <c r="AE203" s="216"/>
      <c r="AF203" s="216"/>
      <c r="AG203" s="216"/>
      <c r="AH203" s="216"/>
      <c r="AI203" s="216"/>
      <c r="AJ203" s="216"/>
      <c r="AK203" s="216"/>
      <c r="AL203" s="216"/>
      <c r="AM203" s="216"/>
      <c r="AN203" s="216"/>
      <c r="AO203" s="216" t="str">
        <f ca="1">IFERROR(IF(INDEX('Coverage Indicators - Section D'!AD$1:AD$110,MATCH('Print View'!$A203,'Coverage Indicators - Section D'!$A$1:$A$110,0))&lt;&gt;0,INDEX('Coverage Indicators - Section D'!AD$1:AD$110,MATCH('Print View'!$A203,'Coverage Indicators - Section D'!$A$1:$A$110,0)),""),"")</f>
        <v/>
      </c>
      <c r="AP203" s="216"/>
      <c r="AQ203" s="216"/>
      <c r="AR203" s="216"/>
      <c r="AS203" s="216"/>
      <c r="AT203" s="711" t="str">
        <f ca="1">CONCATENATE($A203,N$147)</f>
        <v>2830-Jun-22</v>
      </c>
      <c r="AU203" s="710" t="str">
        <f ca="1">CONCATENATE($A203,Q$147)</f>
        <v>2831-Dec-23</v>
      </c>
      <c r="AV203" s="710" t="str">
        <f t="shared" ref="AV203" si="184">CONCATENATE($A203,V$147)</f>
        <v>28</v>
      </c>
      <c r="AW203" s="710" t="str">
        <f t="shared" ref="AW203" si="185">CONCATENATE($A203,Y$147)</f>
        <v>28</v>
      </c>
      <c r="AX203" s="710" t="str">
        <f t="shared" ref="AX203" si="186">CONCATENATE($A203,AB$147)</f>
        <v>28</v>
      </c>
      <c r="AY203" s="710" t="str">
        <f t="shared" ref="AY203" si="187">CONCATENATE($A203,AE$147)</f>
        <v>28</v>
      </c>
      <c r="AZ203" s="710" t="str">
        <f t="shared" ref="AZ203" si="188">CONCATENATE($A203,AH$147)</f>
        <v>28</v>
      </c>
      <c r="BA203" s="710" t="str">
        <f t="shared" ref="BA203" si="189">CONCATENATE($A203,AK$147)</f>
        <v>28</v>
      </c>
      <c r="BB203" s="409"/>
      <c r="BC203" s="410"/>
    </row>
    <row r="204" spans="1:55" s="411" customFormat="1" ht="88.2" customHeight="1" x14ac:dyDescent="0.3">
      <c r="A204" s="712"/>
      <c r="B204" s="717" t="str">
        <f ca="1">IFERROR(IF(INDEX('Coverage Indicators - Section D'!AM$1:AM$110,MATCH('Print View'!$A203,'Coverage Indicators - Section D'!$A$1:$A$110,0))&lt;&gt;0,INDEX('Coverage Indicators - Section D'!AM$1:AM$110,MATCH('Print View'!$A203,'Coverage Indicators - Section D'!$A$1:$A$110,0)),""),"")</f>
        <v/>
      </c>
      <c r="C204" s="718"/>
      <c r="D204" s="718"/>
      <c r="E204" s="718"/>
      <c r="F204" s="718"/>
      <c r="G204" s="718"/>
      <c r="H204" s="718"/>
      <c r="I204" s="719"/>
      <c r="J204" s="719"/>
      <c r="K204" s="719"/>
      <c r="L204" s="719"/>
      <c r="M204" s="719"/>
      <c r="N204" s="719"/>
      <c r="O204" s="719"/>
      <c r="P204" s="719"/>
      <c r="Q204" s="719"/>
      <c r="R204" s="719"/>
      <c r="S204" s="720"/>
      <c r="T204" s="417"/>
      <c r="U204" s="216"/>
      <c r="V204" s="216"/>
      <c r="W204" s="216"/>
      <c r="X204" s="216"/>
      <c r="Y204" s="21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711"/>
      <c r="AU204" s="710"/>
      <c r="AV204" s="710"/>
      <c r="AW204" s="710"/>
      <c r="AX204" s="710"/>
      <c r="AY204" s="710"/>
      <c r="AZ204" s="710"/>
      <c r="BA204" s="710"/>
      <c r="BB204" s="409"/>
      <c r="BC204" s="410"/>
    </row>
    <row r="205" spans="1:55" s="411" customFormat="1" ht="177" customHeight="1" x14ac:dyDescent="0.3">
      <c r="A205" s="709">
        <v>29</v>
      </c>
      <c r="B205" s="404" t="str">
        <f ca="1">IFERROR(IF(INDEX('Coverage Indicators - Section D'!B$1:B$100,MATCH('Print View'!$A205,'Coverage Indicators - Section D'!$A$1:$A$100,0))&lt;&gt;0,INDEX('Coverage Indicators - Section D'!B$1:B$100,MATCH('Print View'!$A205,'Coverage Indicators - Section D'!$A$1:$A$100,0)),""),"")</f>
        <v/>
      </c>
      <c r="C205" s="404" t="str">
        <f ca="1">IFERROR(IF(INDEX('Coverage Indicators - Section D'!D$1:D$100,MATCH('Print View'!$A205,'Coverage Indicators - Section D'!$A$1:$A$100,0))&lt;&gt;0,INDEX('Coverage Indicators - Section D'!D$1:D$100,MATCH('Print View'!$A205,'Coverage Indicators - Section D'!$A$1:$A$100,0)),""),"")</f>
        <v/>
      </c>
      <c r="D205" s="404" t="str">
        <f ca="1">IFERROR(IF(INDEX('Coverage Indicators - Section D'!E$1:E$100,MATCH('Print View'!$A205,'Coverage Indicators - Section D'!$A$1:$A$100,0))&lt;&gt;0,INDEX('Coverage Indicators - Section D'!E$1:E$100,MATCH('Print View'!$A205,'Coverage Indicators - Section D'!$A$1:$A$100,0)),""),"")</f>
        <v/>
      </c>
      <c r="E205" s="405" t="str">
        <f ca="1">IFERROR(IF(INDEX('Coverage Indicators - Section D'!F$1:F$100,MATCH('Print View'!$A205,'Coverage Indicators - Section D'!$A$1:$A$100,0))&lt;&gt;0,INDEX('Coverage Indicators - Section D'!F$1:F$100,MATCH('Print View'!$A205,'Coverage Indicators - Section D'!$A$1:$A$100,0)),""),"")&amp;"/"&amp;IFERROR(IF(INDEX('Coverage Indicators - Section D'!F$1:F$100,MATCH('Print View'!$A205,'Coverage Indicators - Section D'!$A$1:$A$100,0)+1)&lt;&gt;0,INDEX('Coverage Indicators - Section D'!F$1:F$100,MATCH('Print View'!$A205,'Coverage Indicators - Section D'!$A$1:$A$100,0)+1),""),"")&amp;CHAR(10)&amp;IFERROR(IF(INDEX('Coverage Indicators - Section D'!G$1:G$100,MATCH('Print View'!$A205,'Coverage Indicators - Section D'!$A$1:$A$100,0))&lt;&gt;0,TEXT(INDEX('Coverage Indicators - Section D'!G$1:G$100,MATCH('Print View'!$A205,'Coverage Indicators - Section D'!$A$1:$A$100,0)),"0.00%"),""),"")</f>
        <v xml:space="preserve">/
</v>
      </c>
      <c r="F205" s="406"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407" t="str">
        <f>IFERROR(IF(INDEX('Coverage Indicators - Section D'!J65:J94,MATCH('Print View'!$A205,'Coverage Indicators - Section D'!$A$9:$A$38,0))&lt;&gt;0,INDEX('Coverage Indicators - Section D'!J65:J94,MATCH('Print View'!$A205,'Coverage Indicators - Section D'!$A$9:$A$38,0)),""),"")</f>
        <v/>
      </c>
      <c r="H205" s="408" t="str">
        <f ca="1">IFERROR(IF(INDEX('Coverage Indicators - Section D'!K$1:K$100,MATCH('Print View'!$A205,'Coverage Indicators - Section D'!$A$1:$A$100,0))&lt;&gt;0,INDEX('Coverage Indicators - Section D'!K$1:K$100,MATCH('Print View'!$A205,'Coverage Indicators - Section D'!$A$1:$A$100,0)),""),"")</f>
        <v/>
      </c>
      <c r="I205" s="407" t="str">
        <f ca="1">IFERROR(IF(INDEX('Coverage Indicators - Section D'!L$1:L$100,MATCH('Print View'!$A205,'Coverage Indicators - Section D'!$A$1:$A$100,0))&lt;&gt;0,INDEX('Coverage Indicators - Section D'!L$1:L$100,MATCH('Print View'!$A205,'Coverage Indicators - Section D'!$A$1:$A$100,0)),""),"")</f>
        <v/>
      </c>
      <c r="J205" s="405"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405" t="str">
        <f ca="1">IFERROR(IF(INDEX('Coverage Indicators - Section D'!N$1:N$100,MATCH('Print View'!$A205,'Coverage Indicators - Section D'!$A$1:$A$100,0))&lt;&gt;0,INDEX('Coverage Indicators - Section D'!N$1:N$100,MATCH('Print View'!$A205,'Coverage Indicators - Section D'!$A$1:$A$100,0)),""),"")</f>
        <v/>
      </c>
      <c r="L205" s="405" t="str">
        <f ca="1">IFERROR(IF(INDEX('Coverage Indicators - Section D'!O$1:O$100,MATCH('Print View'!$A205,'Coverage Indicators - Section D'!$A$1:$A$100,0))&lt;&gt;0,INDEX('Coverage Indicators - Section D'!O$1:O$100,MATCH('Print View'!$A205,'Coverage Indicators - Section D'!$A$1:$A$100,0)),""),"")&amp;"/"&amp;IFERROR(IF(INDEX('Coverage Indicators - Section D'!O$1:O$100,MATCH('Print View'!$A205,'Coverage Indicators - Section D'!$A$1:$A$100,0)+1)&lt;&gt;0,INDEX('Coverage Indicators - Section D'!O$1:O$100,MATCH('Print View'!$A205,'Coverage Indicators - Section D'!$A$1:$A$100,0)+1),""),"")&amp;CHAR(10)&amp;IFERROR(IF(INDEX('Coverage Indicators - Section D'!P$1:P$100,MATCH('Print View'!$A205,'Coverage Indicators - Section D'!$A$1:$A$100,0))&lt;&gt;0,TEXT(INDEX('Coverage Indicators - Section D'!P$1:P$100,MATCH('Print View'!$A205,'Coverage Indicators - Section D'!$A$1:$A$100,0)),"0.00%"),""),"")&amp;CHAR(10)&amp;IFERROR(IF(INDEX('Coverage Indicators - Section D'!Q$1:Q$100,MATCH('Print View'!$A205,'Coverage Indicators - Section D'!$A$1:$A$100,0))&lt;&gt;0,INDEX('Coverage Indicators - Section D'!Q$1:Q$100,MATCH('Print View'!$A205,'Coverage Indicators - Section D'!$A$1:$A$100,0)),""),"")</f>
        <v xml:space="preserve">/
</v>
      </c>
      <c r="M205" s="406" t="str">
        <f ca="1">IFERROR(IF(INDEX('Coverage Indicators - Section D'!R$1:R$100,MATCH('Print View'!$A205,'Coverage Indicators - Section D'!$A$1:$A$100,0))&lt;&gt;0,INDEX('Coverage Indicators - Section D'!R$1:R$100,MATCH('Print View'!$A205,'Coverage Indicators - Section D'!$A$1:$A$100,0)),""),"")&amp;"/"&amp;IFERROR(IF(INDEX('Coverage Indicators - Section D'!R$1:R$100,MATCH('Print View'!$A205,'Coverage Indicators - Section D'!$A$1:$A$100,0)+1)&lt;&gt;0,INDEX('Coverage Indicators - Section D'!R$1:R$100,MATCH('Print View'!$A205,'Coverage Indicators - Section D'!$A$1:$A$100,0)+1),""),"")&amp;CHAR(10)&amp;IFERROR(IF(INDEX('Coverage Indicators - Section D'!S$1:S$100,MATCH('Print View'!$A205,'Coverage Indicators - Section D'!$A$1:$A$100,0))&lt;&gt;0,TEXT(INDEX('Coverage Indicators - Section D'!S$1:S$100,MATCH('Print View'!$A205,'Coverage Indicators - Section D'!$A$1:$A$100,0)),"0.00%"),""),"")&amp;CHAR(10)&amp;IFERROR(IF(INDEX('Coverage Indicators - Section D'!T$1:T$100,MATCH('Print View'!$A205,'Coverage Indicators - Section D'!$A$1:$A$100,0))&lt;&gt;0,INDEX('Coverage Indicators - Section D'!T$1:T$100,MATCH('Print View'!$A205,'Coverage Indicators - Section D'!$A$1:$A$100,0)),""),"")</f>
        <v xml:space="preserve">/
</v>
      </c>
      <c r="N205" s="405" t="str">
        <f ca="1">IFERROR(IF(INDEX('Coverage Indicators - Section D'!U$1:U$100,MATCH('Print View'!$A205,'Coverage Indicators - Section D'!$A$1:$A$100,0))&lt;&gt;0,INDEX('Coverage Indicators - Section D'!U$1:U$100,MATCH('Print View'!$A205,'Coverage Indicators - Section D'!$A$1:$A$100,0)),""),"")&amp;"/"&amp;IFERROR(IF(INDEX('Coverage Indicators - Section D'!U$1:U$100,MATCH('Print View'!$A205,'Coverage Indicators - Section D'!$A$1:$A$100,0)+1)&lt;&gt;0,INDEX('Coverage Indicators - Section D'!U$1:U$100,MATCH('Print View'!$A205,'Coverage Indicators - Section D'!$A$1:$A$100,0)+1),""),"")&amp;CHAR(10)&amp;IFERROR(IF(INDEX('Coverage Indicators - Section D'!V$1:V$100,MATCH('Print View'!$A205,'Coverage Indicators - Section D'!$A$1:$A$100,0))&lt;&gt;0,TEXT(INDEX('Coverage Indicators - Section D'!V$1:V$100,MATCH('Print View'!$A205,'Coverage Indicators - Section D'!$A$1:$A$100,0)),"0.00%"),""),"")&amp;CHAR(10)&amp;IFERROR(IF(INDEX('Coverage Indicators - Section D'!W$1:W$100,MATCH('Print View'!$A205,'Coverage Indicators - Section D'!$A$1:$A$100,0))&lt;&gt;0,INDEX('Coverage Indicators - Section D'!W$1:W$100,MATCH('Print View'!$A205,'Coverage Indicators - Section D'!$A$1:$A$100,0)),""),"")</f>
        <v xml:space="preserve">/
</v>
      </c>
      <c r="O205" s="406" t="str">
        <f ca="1">IFERROR(IF(INDEX('Coverage Indicators - Section D'!X$1:X$100,MATCH('Print View'!$A205,'Coverage Indicators - Section D'!$A$1:$A$100,0))&lt;&gt;0,INDEX('Coverage Indicators - Section D'!X$1:X$100,MATCH('Print View'!$A205,'Coverage Indicators - Section D'!$A$1:$A$100,0)),""),"")&amp;"/"&amp;IFERROR(IF(INDEX('Coverage Indicators - Section D'!X$1:X$100,MATCH('Print View'!$A205,'Coverage Indicators - Section D'!$A$1:$A$100,0)+1)&lt;&gt;0,INDEX('Coverage Indicators - Section D'!X$1:X$100,MATCH('Print View'!$A205,'Coverage Indicators - Section D'!$A$1:$A$100,0)+1),""),"")&amp;CHAR(10)&amp;IFERROR(IF(INDEX('Coverage Indicators - Section D'!Y$1:Y$100,MATCH('Print View'!$A205,'Coverage Indicators - Section D'!$A$1:$A$100,0))&lt;&gt;0,TEXT(INDEX('Coverage Indicators - Section D'!Y$1:Y$100,MATCH('Print View'!$A205,'Coverage Indicators - Section D'!$A$1:$A$100,0)),"0.00%"),""),"")&amp;CHAR(10)&amp;IFERROR(IF(INDEX('Coverage Indicators - Section D'!Z$1:Z$100,MATCH('Print View'!$A205,'Coverage Indicators - Section D'!$A$1:$A$100,0))&lt;&gt;0,INDEX('Coverage Indicators - Section D'!Z$1:Z$100,MATCH('Print View'!$A205,'Coverage Indicators - Section D'!$A$1:$A$100,0)),""),"")</f>
        <v xml:space="preserve">/
</v>
      </c>
      <c r="P205" s="406" t="str">
        <f ca="1">IFERROR(IF(INDEX('Coverage Indicators - Section D'!AA$1:AA$100,MATCH('Print View'!$A205,'Coverage Indicators - Section D'!$A$1:$A$100,0))&lt;&gt;0,INDEX('Coverage Indicators - Section D'!AA$1:AA$100,MATCH('Print View'!$A205,'Coverage Indicators - Section D'!$A$1:$A$100,0)),""),"")&amp;"/"&amp;IFERROR(IF(INDEX('Coverage Indicators - Section D'!AA$1:AA$100,MATCH('Print View'!$A205,'Coverage Indicators - Section D'!$A$1:$A$100,0)+1)&lt;&gt;0,INDEX('Coverage Indicators - Section D'!AA$1:AA$100,MATCH('Print View'!$A205,'Coverage Indicators - Section D'!$A$1:$A$100,0)+1),""),"")&amp;CHAR(10)&amp;IFERROR(IF(INDEX('Coverage Indicators - Section D'!AB$1:AB$100,MATCH('Print View'!$A205,'Coverage Indicators - Section D'!$A$1:$A$100,0))&lt;&gt;0,TEXT(INDEX('Coverage Indicators - Section D'!AB$1:AB$100,MATCH('Print View'!$A205,'Coverage Indicators - Section D'!$A$1:$A$100,0)),"0.00%"),""),"")&amp;CHAR(10)&amp;IFERROR(IF(INDEX('Coverage Indicators - Section D'!AC$1:AC$100,MATCH('Print View'!$A205,'Coverage Indicators - Section D'!$A$1:$A$100,0))&lt;&gt;0,INDEX('Coverage Indicators - Section D'!AC$1:AC$100,MATCH('Print View'!$A205,'Coverage Indicators - Section D'!$A$1:$A$100,0)),""),"")</f>
        <v xml:space="preserve">/
</v>
      </c>
      <c r="Q205" s="406" t="str">
        <f ca="1">IFERROR(IF(INDEX('Coverage Indicators - Section D'!AD$1:AD$100,MATCH('Print View'!$A205,'Coverage Indicators - Section D'!$A$1:$A$100,0))&lt;&gt;0,INDEX('Coverage Indicators - Section D'!AD$1:AD$100,MATCH('Print View'!$A205,'Coverage Indicators - Section D'!$A$1:$A$100,0)),""),"")&amp;"/"&amp;IFERROR(IF(INDEX('Coverage Indicators - Section D'!AD$1:AD$100,MATCH('Print View'!$A205,'Coverage Indicators - Section D'!$A$1:$A$100,0)+1)&lt;&gt;0,INDEX('Coverage Indicators - Section D'!AD$1:AD$100,MATCH('Print View'!$A205,'Coverage Indicators - Section D'!$A$1:$A$100,0)+1),""),"")&amp;CHAR(10)&amp;IFERROR(IF(INDEX('Coverage Indicators - Section D'!AE$1:AE$100,MATCH('Print View'!$A205,'Coverage Indicators - Section D'!$A$1:$A$100,0))&lt;&gt;0,TEXT(INDEX('Coverage Indicators - Section D'!AE$1:AE$100,MATCH('Print View'!$A205,'Coverage Indicators - Section D'!$A$1:$A$100,0)),"0.00%"),""),"")&amp;CHAR(10)&amp;IFERROR(IF(INDEX('Coverage Indicators - Section D'!AF$1:AF$100,MATCH('Print View'!$A205,'Coverage Indicators - Section D'!$A$1:$A$100,0))&lt;&gt;0,INDEX('Coverage Indicators - Section D'!AF$1:AF$100,MATCH('Print View'!$A205,'Coverage Indicators - Section D'!$A$1:$A$100,0)),""),"")</f>
        <v xml:space="preserve">/
</v>
      </c>
      <c r="R205" s="406" t="str">
        <f ca="1">IFERROR(IF(INDEX('Coverage Indicators - Section D'!AG$1:AG$100,MATCH('Print View'!$A205,'Coverage Indicators - Section D'!$A$1:$A$100,0))&lt;&gt;0,INDEX('Coverage Indicators - Section D'!AG$1:AG$100,MATCH('Print View'!$A205,'Coverage Indicators - Section D'!$A$1:$A$100,0)),""),"")&amp;"/"&amp;IFERROR(IF(INDEX('Coverage Indicators - Section D'!AG$1:AG$100,MATCH('Print View'!$A205,'Coverage Indicators - Section D'!$A$1:$A$100,0)+1)&lt;&gt;0,INDEX('Coverage Indicators - Section D'!AG$1:AG$100,MATCH('Print View'!$A205,'Coverage Indicators - Section D'!$A$1:$A$100,0)+1),""),"")&amp;CHAR(10)&amp;IFERROR(IF(INDEX('Coverage Indicators - Section D'!AH$1:AH$100,MATCH('Print View'!$A205,'Coverage Indicators - Section D'!$A$1:$A$100,0))&lt;&gt;0,TEXT(INDEX('Coverage Indicators - Section D'!AH$1:AH$100,MATCH('Print View'!$A205,'Coverage Indicators - Section D'!$A$1:$A$100,0)),"0.00%"),""),"")&amp;CHAR(10)&amp;IFERROR(IF(INDEX('Coverage Indicators - Section D'!AI$1:AI$100,MATCH('Print View'!$A205,'Coverage Indicators - Section D'!$A$1:$A$100,0))&lt;&gt;0,INDEX('Coverage Indicators - Section D'!AI$1:AI$100,MATCH('Print View'!$A205,'Coverage Indicators - Section D'!$A$1:$A$100,0)),""),"")</f>
        <v xml:space="preserve">/
</v>
      </c>
      <c r="S205" s="406" t="str">
        <f ca="1">IFERROR(IF(INDEX('Coverage Indicators - Section D'!AJ$1:AJ$100,MATCH('Print View'!$A205,'Coverage Indicators - Section D'!$A$1:$A$100,0))&lt;&gt;0,INDEX('Coverage Indicators - Section D'!AJ$1:AJ$100,MATCH('Print View'!$A205,'Coverage Indicators - Section D'!$A$1:$A$100,0)),""),"")&amp;"/"&amp;IFERROR(IF(INDEX('Coverage Indicators - Section D'!AJ$1:AJ$100,MATCH('Print View'!$A205,'Coverage Indicators - Section D'!$A$1:$A$100,0)+1)&lt;&gt;0,INDEX('Coverage Indicators - Section D'!AJ$1:AJ$100,MATCH('Print View'!$A205,'Coverage Indicators - Section D'!$A$1:$A$100,0)+1),""),"")&amp;CHAR(10)&amp;IFERROR(IF(INDEX('Coverage Indicators - Section D'!AK$1:AK$100,MATCH('Print View'!$A205,'Coverage Indicators - Section D'!$A$1:$A$100,0))&lt;&gt;0,TEXT(INDEX('Coverage Indicators - Section D'!AK$1:AK$100,MATCH('Print View'!$A205,'Coverage Indicators - Section D'!$A$1:$A$100,0)),"0.00%"),""),"")&amp;CHAR(10)&amp;IFERROR(IF(INDEX('Coverage Indicators - Section D'!AL$1:AL$100,MATCH('Print View'!$A205,'Coverage Indicators - Section D'!$A$1:$A$100,0))&lt;&gt;0,INDEX('Coverage Indicators - Section D'!AL$1:AL$100,MATCH('Print View'!$A205,'Coverage Indicators - Section D'!$A$1:$A$100,0)),""),"")</f>
        <v xml:space="preserve">/
</v>
      </c>
      <c r="T205" s="385"/>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t="str">
        <f ca="1">IFERROR(IF(INDEX('Coverage Indicators - Section D'!AD$1:AD$110,MATCH('Print View'!$A205,'Coverage Indicators - Section D'!$A$1:$A$110,0))&lt;&gt;0,INDEX('Coverage Indicators - Section D'!AD$1:AD$110,MATCH('Print View'!$A205,'Coverage Indicators - Section D'!$A$1:$A$110,0)),""),"")</f>
        <v/>
      </c>
      <c r="AP205" s="216"/>
      <c r="AQ205" s="216"/>
      <c r="AR205" s="216"/>
      <c r="AS205" s="216"/>
      <c r="AT205" s="711" t="str">
        <f ca="1">CONCATENATE($A205,N$147)</f>
        <v>2930-Jun-22</v>
      </c>
      <c r="AU205" s="710" t="str">
        <f ca="1">CONCATENATE($A205,Q$147)</f>
        <v>2931-Dec-23</v>
      </c>
      <c r="AV205" s="710" t="str">
        <f t="shared" ref="AV205" si="190">CONCATENATE($A205,V$147)</f>
        <v>29</v>
      </c>
      <c r="AW205" s="710" t="str">
        <f t="shared" ref="AW205" si="191">CONCATENATE($A205,Y$147)</f>
        <v>29</v>
      </c>
      <c r="AX205" s="710" t="str">
        <f t="shared" ref="AX205" si="192">CONCATENATE($A205,AB$147)</f>
        <v>29</v>
      </c>
      <c r="AY205" s="710" t="str">
        <f t="shared" ref="AY205" si="193">CONCATENATE($A205,AE$147)</f>
        <v>29</v>
      </c>
      <c r="AZ205" s="710" t="str">
        <f t="shared" ref="AZ205" si="194">CONCATENATE($A205,AH$147)</f>
        <v>29</v>
      </c>
      <c r="BA205" s="710" t="str">
        <f t="shared" ref="BA205" si="195">CONCATENATE($A205,AK$147)</f>
        <v>29</v>
      </c>
      <c r="BB205" s="409"/>
      <c r="BC205" s="410"/>
    </row>
    <row r="206" spans="1:55" s="411" customFormat="1" ht="88.2" customHeight="1" x14ac:dyDescent="0.3">
      <c r="A206" s="709"/>
      <c r="B206" s="714" t="str">
        <f ca="1">IFERROR(IF(INDEX('Coverage Indicators - Section D'!AM$1:AM$110,MATCH('Print View'!$A205,'Coverage Indicators - Section D'!$A$1:$A$110,0))&lt;&gt;0,INDEX('Coverage Indicators - Section D'!AM$1:AM$110,MATCH('Print View'!$A205,'Coverage Indicators - Section D'!$A$1:$A$110,0)),""),"")</f>
        <v/>
      </c>
      <c r="C206" s="715"/>
      <c r="D206" s="715"/>
      <c r="E206" s="715"/>
      <c r="F206" s="715"/>
      <c r="G206" s="715"/>
      <c r="H206" s="715"/>
      <c r="I206" s="715"/>
      <c r="J206" s="715"/>
      <c r="K206" s="715"/>
      <c r="L206" s="715"/>
      <c r="M206" s="715"/>
      <c r="N206" s="715"/>
      <c r="O206" s="715"/>
      <c r="P206" s="715"/>
      <c r="Q206" s="715"/>
      <c r="R206" s="715"/>
      <c r="S206" s="716"/>
      <c r="T206" s="412"/>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711"/>
      <c r="AU206" s="710"/>
      <c r="AV206" s="710"/>
      <c r="AW206" s="710"/>
      <c r="AX206" s="710"/>
      <c r="AY206" s="710"/>
      <c r="AZ206" s="710"/>
      <c r="BA206" s="710"/>
      <c r="BB206" s="409"/>
      <c r="BC206" s="410"/>
    </row>
    <row r="207" spans="1:55" s="411" customFormat="1" ht="177" customHeight="1" x14ac:dyDescent="0.3">
      <c r="A207" s="712">
        <v>30</v>
      </c>
      <c r="B207" s="380" t="str">
        <f ca="1">IFERROR(IF(INDEX('Coverage Indicators - Section D'!B$1:B$100,MATCH('Print View'!$A207,'Coverage Indicators - Section D'!$A$1:$A$100,0))&lt;&gt;0,INDEX('Coverage Indicators - Section D'!B$1:B$100,MATCH('Print View'!$A207,'Coverage Indicators - Section D'!$A$1:$A$100,0)),""),"")</f>
        <v/>
      </c>
      <c r="C207" s="380" t="str">
        <f ca="1">IFERROR(IF(INDEX('Coverage Indicators - Section D'!D$1:D$100,MATCH('Print View'!$A207,'Coverage Indicators - Section D'!$A$1:$A$100,0))&lt;&gt;0,INDEX('Coverage Indicators - Section D'!D$1:D$100,MATCH('Print View'!$A207,'Coverage Indicators - Section D'!$A$1:$A$100,0)),""),"")</f>
        <v/>
      </c>
      <c r="D207" s="380" t="str">
        <f ca="1">IFERROR(IF(INDEX('Coverage Indicators - Section D'!E$1:E$100,MATCH('Print View'!$A207,'Coverage Indicators - Section D'!$A$1:$A$100,0))&lt;&gt;0,INDEX('Coverage Indicators - Section D'!E$1:E$100,MATCH('Print View'!$A207,'Coverage Indicators - Section D'!$A$1:$A$100,0)),""),"")</f>
        <v/>
      </c>
      <c r="E207" s="381" t="str">
        <f ca="1">IFERROR(IF(INDEX('Coverage Indicators - Section D'!F$1:F$100,MATCH('Print View'!$A207,'Coverage Indicators - Section D'!$A$1:$A$100,0))&lt;&gt;0,INDEX('Coverage Indicators - Section D'!F$1:F$100,MATCH('Print View'!$A207,'Coverage Indicators - Section D'!$A$1:$A$100,0)),""),"")&amp;"/"&amp;IFERROR(IF(INDEX('Coverage Indicators - Section D'!F$1:F$100,MATCH('Print View'!$A207,'Coverage Indicators - Section D'!$A$1:$A$100,0)+1)&lt;&gt;0,INDEX('Coverage Indicators - Section D'!F$1:F$100,MATCH('Print View'!$A207,'Coverage Indicators - Section D'!$A$1:$A$100,0)+1),""),"")&amp;CHAR(10)&amp;IFERROR(IF(INDEX('Coverage Indicators - Section D'!G$1:G$100,MATCH('Print View'!$A207,'Coverage Indicators - Section D'!$A$1:$A$100,0))&lt;&gt;0,TEXT(INDEX('Coverage Indicators - Section D'!G$1:G$100,MATCH('Print View'!$A207,'Coverage Indicators - Section D'!$A$1:$A$100,0)),"0.00%"),""),"")</f>
        <v xml:space="preserve">/
</v>
      </c>
      <c r="F207" s="413"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414" t="str">
        <f>IFERROR(IF(INDEX('Coverage Indicators - Section D'!J65:J94,MATCH('Print View'!$A207,'Coverage Indicators - Section D'!$A$9:$A$38,0))&lt;&gt;0,INDEX('Coverage Indicators - Section D'!J65:J94,MATCH('Print View'!$A207,'Coverage Indicators - Section D'!$A$9:$A$38,0)),""),"")</f>
        <v/>
      </c>
      <c r="H207" s="413" t="str">
        <f ca="1">IFERROR(IF(INDEX('Coverage Indicators - Section D'!K$1:K$100,MATCH('Print View'!$A207,'Coverage Indicators - Section D'!$A$1:$A$100,0))&lt;&gt;0,INDEX('Coverage Indicators - Section D'!K$1:K$100,MATCH('Print View'!$A207,'Coverage Indicators - Section D'!$A$1:$A$100,0)),""),"")</f>
        <v/>
      </c>
      <c r="I207" s="414" t="str">
        <f ca="1">IFERROR(IF(INDEX('Coverage Indicators - Section D'!L$1:L$100,MATCH('Print View'!$A207,'Coverage Indicators - Section D'!$A$1:$A$100,0))&lt;&gt;0,INDEX('Coverage Indicators - Section D'!L$1:L$100,MATCH('Print View'!$A207,'Coverage Indicators - Section D'!$A$1:$A$100,0)),""),"")</f>
        <v/>
      </c>
      <c r="J207" s="413"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413" t="str">
        <f ca="1">IFERROR(IF(INDEX('Coverage Indicators - Section D'!N$1:N$100,MATCH('Print View'!$A207,'Coverage Indicators - Section D'!$A$1:$A$100,0))&lt;&gt;0,INDEX('Coverage Indicators - Section D'!N$1:N$100,MATCH('Print View'!$A207,'Coverage Indicators - Section D'!$A$1:$A$100,0)),""),"")</f>
        <v/>
      </c>
      <c r="L207" s="415" t="str">
        <f ca="1">IFERROR(IF(INDEX('Coverage Indicators - Section D'!O$1:O$100,MATCH('Print View'!$A207,'Coverage Indicators - Section D'!$A$1:$A$100,0))&lt;&gt;0,INDEX('Coverage Indicators - Section D'!O$1:O$100,MATCH('Print View'!$A207,'Coverage Indicators - Section D'!$A$1:$A$100,0)),""),"")&amp;"/"&amp;IFERROR(IF(INDEX('Coverage Indicators - Section D'!O$1:O$100,MATCH('Print View'!$A207,'Coverage Indicators - Section D'!$A$1:$A$100,0)+1)&lt;&gt;0,INDEX('Coverage Indicators - Section D'!O$1:O$100,MATCH('Print View'!$A207,'Coverage Indicators - Section D'!$A$1:$A$100,0)+1),""),"")&amp;CHAR(10)&amp;IFERROR(IF(INDEX('Coverage Indicators - Section D'!P$1:P$100,MATCH('Print View'!$A207,'Coverage Indicators - Section D'!$A$1:$A$100,0))&lt;&gt;0,TEXT(INDEX('Coverage Indicators - Section D'!P$1:P$100,MATCH('Print View'!$A207,'Coverage Indicators - Section D'!$A$1:$A$100,0)),"0.00%"),""),"")&amp;CHAR(10)&amp;IFERROR(IF(INDEX('Coverage Indicators - Section D'!Q$1:Q$100,MATCH('Print View'!$A207,'Coverage Indicators - Section D'!$A$1:$A$100,0))&lt;&gt;0,INDEX('Coverage Indicators - Section D'!Q$1:Q$100,MATCH('Print View'!$A207,'Coverage Indicators - Section D'!$A$1:$A$100,0)),""),"")</f>
        <v xml:space="preserve">/
</v>
      </c>
      <c r="M207" s="415" t="str">
        <f ca="1">IFERROR(IF(INDEX('Coverage Indicators - Section D'!R$1:R$100,MATCH('Print View'!$A207,'Coverage Indicators - Section D'!$A$1:$A$100,0))&lt;&gt;0,INDEX('Coverage Indicators - Section D'!R$1:R$100,MATCH('Print View'!$A207,'Coverage Indicators - Section D'!$A$1:$A$100,0)),""),"")&amp;"/"&amp;IFERROR(IF(INDEX('Coverage Indicators - Section D'!R$1:R$100,MATCH('Print View'!$A207,'Coverage Indicators - Section D'!$A$1:$A$100,0)+1)&lt;&gt;0,INDEX('Coverage Indicators - Section D'!R$1:R$100,MATCH('Print View'!$A207,'Coverage Indicators - Section D'!$A$1:$A$100,0)+1),""),"")&amp;CHAR(10)&amp;IFERROR(IF(INDEX('Coverage Indicators - Section D'!S$1:S$100,MATCH('Print View'!$A207,'Coverage Indicators - Section D'!$A$1:$A$100,0))&lt;&gt;0,TEXT(INDEX('Coverage Indicators - Section D'!S$1:S$100,MATCH('Print View'!$A207,'Coverage Indicators - Section D'!$A$1:$A$100,0)),"0.00%"),""),"")&amp;CHAR(10)&amp;IFERROR(IF(INDEX('Coverage Indicators - Section D'!T$1:T$100,MATCH('Print View'!$A207,'Coverage Indicators - Section D'!$A$1:$A$100,0))&lt;&gt;0,INDEX('Coverage Indicators - Section D'!T$1:T$100,MATCH('Print View'!$A207,'Coverage Indicators - Section D'!$A$1:$A$100,0)),""),"")</f>
        <v xml:space="preserve">/
</v>
      </c>
      <c r="N207" s="415" t="str">
        <f ca="1">IFERROR(IF(INDEX('Coverage Indicators - Section D'!U$1:U$100,MATCH('Print View'!$A207,'Coverage Indicators - Section D'!$A$1:$A$100,0))&lt;&gt;0,INDEX('Coverage Indicators - Section D'!U$1:U$100,MATCH('Print View'!$A207,'Coverage Indicators - Section D'!$A$1:$A$100,0)),""),"")&amp;"/"&amp;IFERROR(IF(INDEX('Coverage Indicators - Section D'!U$1:U$100,MATCH('Print View'!$A207,'Coverage Indicators - Section D'!$A$1:$A$100,0)+1)&lt;&gt;0,INDEX('Coverage Indicators - Section D'!U$1:U$100,MATCH('Print View'!$A207,'Coverage Indicators - Section D'!$A$1:$A$100,0)+1),""),"")&amp;CHAR(10)&amp;IFERROR(IF(INDEX('Coverage Indicators - Section D'!V$1:V$100,MATCH('Print View'!$A207,'Coverage Indicators - Section D'!$A$1:$A$100,0))&lt;&gt;0,TEXT(INDEX('Coverage Indicators - Section D'!V$1:V$100,MATCH('Print View'!$A207,'Coverage Indicators - Section D'!$A$1:$A$100,0)),"0.00%"),""),"")&amp;CHAR(10)&amp;IFERROR(IF(INDEX('Coverage Indicators - Section D'!W$1:W$100,MATCH('Print View'!$A207,'Coverage Indicators - Section D'!$A$1:$A$100,0))&lt;&gt;0,INDEX('Coverage Indicators - Section D'!W$1:W$100,MATCH('Print View'!$A207,'Coverage Indicators - Section D'!$A$1:$A$100,0)),""),"")</f>
        <v xml:space="preserve">/
</v>
      </c>
      <c r="O207" s="415" t="str">
        <f ca="1">IFERROR(IF(INDEX('Coverage Indicators - Section D'!X$1:X$100,MATCH('Print View'!$A207,'Coverage Indicators - Section D'!$A$1:$A$100,0))&lt;&gt;0,INDEX('Coverage Indicators - Section D'!X$1:X$100,MATCH('Print View'!$A207,'Coverage Indicators - Section D'!$A$1:$A$100,0)),""),"")&amp;"/"&amp;IFERROR(IF(INDEX('Coverage Indicators - Section D'!X$1:X$100,MATCH('Print View'!$A207,'Coverage Indicators - Section D'!$A$1:$A$100,0)+1)&lt;&gt;0,INDEX('Coverage Indicators - Section D'!X$1:X$100,MATCH('Print View'!$A207,'Coverage Indicators - Section D'!$A$1:$A$100,0)+1),""),"")&amp;CHAR(10)&amp;IFERROR(IF(INDEX('Coverage Indicators - Section D'!Y$1:Y$100,MATCH('Print View'!$A207,'Coverage Indicators - Section D'!$A$1:$A$100,0))&lt;&gt;0,TEXT(INDEX('Coverage Indicators - Section D'!Y$1:Y$100,MATCH('Print View'!$A207,'Coverage Indicators - Section D'!$A$1:$A$100,0)),"0.00%"),""),"")&amp;CHAR(10)&amp;IFERROR(IF(INDEX('Coverage Indicators - Section D'!Z$1:Z$100,MATCH('Print View'!$A207,'Coverage Indicators - Section D'!$A$1:$A$100,0))&lt;&gt;0,INDEX('Coverage Indicators - Section D'!Z$1:Z$100,MATCH('Print View'!$A207,'Coverage Indicators - Section D'!$A$1:$A$100,0)),""),"")</f>
        <v xml:space="preserve">/
</v>
      </c>
      <c r="P207" s="415" t="str">
        <f ca="1">IFERROR(IF(INDEX('Coverage Indicators - Section D'!AA$1:AA$100,MATCH('Print View'!$A207,'Coverage Indicators - Section D'!$A$1:$A$100,0))&lt;&gt;0,INDEX('Coverage Indicators - Section D'!AA$1:AA$100,MATCH('Print View'!$A207,'Coverage Indicators - Section D'!$A$1:$A$100,0)),""),"")&amp;"/"&amp;IFERROR(IF(INDEX('Coverage Indicators - Section D'!AA$1:AA$100,MATCH('Print View'!$A207,'Coverage Indicators - Section D'!$A$1:$A$100,0)+1)&lt;&gt;0,INDEX('Coverage Indicators - Section D'!AA$1:AA$100,MATCH('Print View'!$A207,'Coverage Indicators - Section D'!$A$1:$A$100,0)+1),""),"")&amp;CHAR(10)&amp;IFERROR(IF(INDEX('Coverage Indicators - Section D'!AB$1:AB$100,MATCH('Print View'!$A207,'Coverage Indicators - Section D'!$A$1:$A$100,0))&lt;&gt;0,TEXT(INDEX('Coverage Indicators - Section D'!AB$1:AB$100,MATCH('Print View'!$A207,'Coverage Indicators - Section D'!$A$1:$A$100,0)),"0.00%"),""),"")&amp;CHAR(10)&amp;IFERROR(IF(INDEX('Coverage Indicators - Section D'!AC$1:AC$100,MATCH('Print View'!$A207,'Coverage Indicators - Section D'!$A$1:$A$100,0))&lt;&gt;0,INDEX('Coverage Indicators - Section D'!AC$1:AC$100,MATCH('Print View'!$A207,'Coverage Indicators - Section D'!$A$1:$A$100,0)),""),"")</f>
        <v xml:space="preserve">/
</v>
      </c>
      <c r="Q207" s="415" t="str">
        <f ca="1">IFERROR(IF(INDEX('Coverage Indicators - Section D'!AD$1:AD$100,MATCH('Print View'!$A207,'Coverage Indicators - Section D'!$A$1:$A$100,0))&lt;&gt;0,INDEX('Coverage Indicators - Section D'!AD$1:AD$100,MATCH('Print View'!$A207,'Coverage Indicators - Section D'!$A$1:$A$100,0)),""),"")&amp;"/"&amp;IFERROR(IF(INDEX('Coverage Indicators - Section D'!AD$1:AD$100,MATCH('Print View'!$A207,'Coverage Indicators - Section D'!$A$1:$A$100,0)+1)&lt;&gt;0,INDEX('Coverage Indicators - Section D'!AD$1:AD$100,MATCH('Print View'!$A207,'Coverage Indicators - Section D'!$A$1:$A$100,0)+1),""),"")&amp;CHAR(10)&amp;IFERROR(IF(INDEX('Coverage Indicators - Section D'!AE$1:AE$100,MATCH('Print View'!$A207,'Coverage Indicators - Section D'!$A$1:$A$100,0))&lt;&gt;0,TEXT(INDEX('Coverage Indicators - Section D'!AE$1:AE$100,MATCH('Print View'!$A207,'Coverage Indicators - Section D'!$A$1:$A$100,0)),"0.00%"),""),"")&amp;CHAR(10)&amp;IFERROR(IF(INDEX('Coverage Indicators - Section D'!AF$1:AF$100,MATCH('Print View'!$A207,'Coverage Indicators - Section D'!$A$1:$A$100,0))&lt;&gt;0,INDEX('Coverage Indicators - Section D'!AF$1:AF$100,MATCH('Print View'!$A207,'Coverage Indicators - Section D'!$A$1:$A$100,0)),""),"")</f>
        <v xml:space="preserve">/
</v>
      </c>
      <c r="R207" s="415" t="str">
        <f ca="1">IFERROR(IF(INDEX('Coverage Indicators - Section D'!AG$1:AG$100,MATCH('Print View'!$A207,'Coverage Indicators - Section D'!$A$1:$A$100,0))&lt;&gt;0,INDEX('Coverage Indicators - Section D'!AG$1:AG$100,MATCH('Print View'!$A207,'Coverage Indicators - Section D'!$A$1:$A$100,0)),""),"")&amp;"/"&amp;IFERROR(IF(INDEX('Coverage Indicators - Section D'!AG$1:AG$100,MATCH('Print View'!$A207,'Coverage Indicators - Section D'!$A$1:$A$100,0)+1)&lt;&gt;0,INDEX('Coverage Indicators - Section D'!AG$1:AG$100,MATCH('Print View'!$A207,'Coverage Indicators - Section D'!$A$1:$A$100,0)+1),""),"")&amp;CHAR(10)&amp;IFERROR(IF(INDEX('Coverage Indicators - Section D'!AH$1:AH$100,MATCH('Print View'!$A207,'Coverage Indicators - Section D'!$A$1:$A$100,0))&lt;&gt;0,TEXT(INDEX('Coverage Indicators - Section D'!AH$1:AH$100,MATCH('Print View'!$A207,'Coverage Indicators - Section D'!$A$1:$A$100,0)),"0.00%"),""),"")&amp;CHAR(10)&amp;IFERROR(IF(INDEX('Coverage Indicators - Section D'!AI$1:AI$100,MATCH('Print View'!$A207,'Coverage Indicators - Section D'!$A$1:$A$100,0))&lt;&gt;0,INDEX('Coverage Indicators - Section D'!AI$1:AI$100,MATCH('Print View'!$A207,'Coverage Indicators - Section D'!$A$1:$A$100,0)),""),"")</f>
        <v xml:space="preserve">/
</v>
      </c>
      <c r="S207" s="415" t="str">
        <f ca="1">IFERROR(IF(INDEX('Coverage Indicators - Section D'!AJ$1:AJ$100,MATCH('Print View'!$A207,'Coverage Indicators - Section D'!$A$1:$A$100,0))&lt;&gt;0,INDEX('Coverage Indicators - Section D'!AJ$1:AJ$100,MATCH('Print View'!$A207,'Coverage Indicators - Section D'!$A$1:$A$100,0)),""),"")&amp;"/"&amp;IFERROR(IF(INDEX('Coverage Indicators - Section D'!AJ$1:AJ$100,MATCH('Print View'!$A207,'Coverage Indicators - Section D'!$A$1:$A$100,0)+1)&lt;&gt;0,INDEX('Coverage Indicators - Section D'!AJ$1:AJ$100,MATCH('Print View'!$A207,'Coverage Indicators - Section D'!$A$1:$A$100,0)+1),""),"")&amp;CHAR(10)&amp;IFERROR(IF(INDEX('Coverage Indicators - Section D'!AK$1:AK$100,MATCH('Print View'!$A207,'Coverage Indicators - Section D'!$A$1:$A$100,0))&lt;&gt;0,TEXT(INDEX('Coverage Indicators - Section D'!AK$1:AK$100,MATCH('Print View'!$A207,'Coverage Indicators - Section D'!$A$1:$A$100,0)),"0.00%"),""),"")&amp;CHAR(10)&amp;IFERROR(IF(INDEX('Coverage Indicators - Section D'!AL$1:AL$100,MATCH('Print View'!$A207,'Coverage Indicators - Section D'!$A$1:$A$100,0))&lt;&gt;0,INDEX('Coverage Indicators - Section D'!AL$1:AL$100,MATCH('Print View'!$A207,'Coverage Indicators - Section D'!$A$1:$A$100,0)),""),"")</f>
        <v xml:space="preserve">/
</v>
      </c>
      <c r="T207" s="4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t="str">
        <f ca="1">IFERROR(IF(INDEX('Coverage Indicators - Section D'!AD$1:AD$110,MATCH('Print View'!$A207,'Coverage Indicators - Section D'!$A$1:$A$110,0))&lt;&gt;0,INDEX('Coverage Indicators - Section D'!AD$1:AD$110,MATCH('Print View'!$A207,'Coverage Indicators - Section D'!$A$1:$A$110,0)),""),"")</f>
        <v/>
      </c>
      <c r="AP207" s="216"/>
      <c r="AQ207" s="216"/>
      <c r="AR207" s="216"/>
      <c r="AS207" s="216"/>
      <c r="AT207" s="711"/>
      <c r="AU207" s="710" t="str">
        <f ca="1">CONCATENATE($A207,Q$147)</f>
        <v>3031-Dec-23</v>
      </c>
      <c r="AV207" s="710" t="str">
        <f t="shared" ref="AV207" si="196">CONCATENATE($A207,V$147)</f>
        <v>30</v>
      </c>
      <c r="AW207" s="710" t="str">
        <f t="shared" ref="AW207" si="197">CONCATENATE($A207,Y$147)</f>
        <v>30</v>
      </c>
      <c r="AX207" s="710" t="str">
        <f t="shared" ref="AX207" si="198">CONCATENATE($A207,AB$147)</f>
        <v>30</v>
      </c>
      <c r="AY207" s="710" t="str">
        <f t="shared" ref="AY207" si="199">CONCATENATE($A207,AE$147)</f>
        <v>30</v>
      </c>
      <c r="AZ207" s="710" t="str">
        <f t="shared" ref="AZ207" si="200">CONCATENATE($A207,AH$147)</f>
        <v>30</v>
      </c>
      <c r="BA207" s="710" t="str">
        <f t="shared" ref="BA207" si="201">CONCATENATE($A207,AK$147)</f>
        <v>30</v>
      </c>
      <c r="BB207" s="409"/>
      <c r="BC207" s="410"/>
    </row>
    <row r="208" spans="1:55" ht="88.2" customHeight="1" thickBot="1" x14ac:dyDescent="0.35">
      <c r="A208" s="713"/>
      <c r="B208" s="717" t="str">
        <f ca="1">IFERROR(IF(INDEX('Coverage Indicators - Section D'!AM$1:AM$110,MATCH('Print View'!$A207,'Coverage Indicators - Section D'!$A$1:$A$110,0))&lt;&gt;0,INDEX('Coverage Indicators - Section D'!AM$1:AM$110,MATCH('Print View'!$A207,'Coverage Indicators - Section D'!$A$1:$A$110,0)),""),"")</f>
        <v/>
      </c>
      <c r="C208" s="718"/>
      <c r="D208" s="718"/>
      <c r="E208" s="718"/>
      <c r="F208" s="718"/>
      <c r="G208" s="718"/>
      <c r="H208" s="718"/>
      <c r="I208" s="719"/>
      <c r="J208" s="719"/>
      <c r="K208" s="719"/>
      <c r="L208" s="719"/>
      <c r="M208" s="719"/>
      <c r="N208" s="719"/>
      <c r="O208" s="719"/>
      <c r="P208" s="719"/>
      <c r="Q208" s="719"/>
      <c r="R208" s="719"/>
      <c r="S208" s="720"/>
      <c r="T208" s="417"/>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Q208" s="216"/>
      <c r="AR208" s="216"/>
      <c r="AS208" s="216"/>
      <c r="AT208" s="711"/>
      <c r="AU208" s="710"/>
      <c r="AV208" s="710"/>
      <c r="AW208" s="710"/>
      <c r="AX208" s="710"/>
      <c r="AY208" s="710"/>
      <c r="AZ208" s="710"/>
      <c r="BA208" s="710"/>
      <c r="BB208" s="366"/>
    </row>
    <row r="209" spans="1:86" x14ac:dyDescent="0.3">
      <c r="A209" s="386"/>
      <c r="B209" s="418"/>
      <c r="C209" s="386"/>
      <c r="D209" s="386"/>
      <c r="E209" s="386"/>
      <c r="F209" s="386"/>
      <c r="G209" s="386"/>
      <c r="H209" s="386"/>
      <c r="I209" s="386"/>
      <c r="J209" s="386"/>
      <c r="K209" s="386"/>
      <c r="L209" s="386"/>
      <c r="M209" s="386"/>
      <c r="N209" s="386"/>
      <c r="O209" s="386"/>
      <c r="P209" s="386"/>
      <c r="Q209" s="386"/>
      <c r="R209" s="386"/>
      <c r="S209" s="386"/>
      <c r="T209" s="38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Q209" s="216"/>
      <c r="AR209" s="216"/>
      <c r="AS209" s="216"/>
      <c r="AT209" s="218"/>
      <c r="AU209" s="366"/>
      <c r="AV209" s="366"/>
      <c r="AW209" s="366"/>
      <c r="AX209" s="366"/>
      <c r="AY209" s="366"/>
      <c r="AZ209" s="366"/>
      <c r="BA209" s="366"/>
      <c r="BB209" s="366"/>
    </row>
    <row r="210" spans="1:86" x14ac:dyDescent="0.3">
      <c r="A210" s="386"/>
      <c r="B210" s="386"/>
      <c r="C210" s="386"/>
      <c r="D210" s="386"/>
      <c r="E210" s="386"/>
      <c r="F210" s="386"/>
      <c r="G210" s="386"/>
      <c r="H210" s="386"/>
      <c r="I210" s="386"/>
      <c r="J210" s="386"/>
      <c r="K210" s="386"/>
      <c r="L210" s="386"/>
      <c r="M210" s="386"/>
      <c r="N210" s="386"/>
      <c r="O210" s="386"/>
      <c r="P210" s="386"/>
      <c r="Q210" s="386"/>
      <c r="R210" s="386"/>
      <c r="S210" s="386"/>
      <c r="T210" s="386"/>
      <c r="U210" s="216"/>
      <c r="V210" s="216"/>
      <c r="W210" s="216"/>
      <c r="X210" s="216"/>
      <c r="Y210" s="216"/>
      <c r="Z210" s="216"/>
      <c r="AA210" s="216"/>
      <c r="AB210" s="216"/>
      <c r="AC210" s="216"/>
      <c r="AD210" s="216"/>
      <c r="AE210" s="216"/>
      <c r="AF210" s="216"/>
      <c r="AG210" s="216"/>
      <c r="AH210" s="216"/>
      <c r="AI210" s="216"/>
      <c r="AJ210" s="216"/>
      <c r="AK210" s="216"/>
      <c r="AL210" s="216"/>
      <c r="AM210" s="216"/>
      <c r="AN210" s="216"/>
      <c r="AO210" s="216"/>
      <c r="AQ210" s="216"/>
      <c r="AR210" s="216"/>
      <c r="AS210" s="216"/>
      <c r="AT210" s="218"/>
      <c r="AU210" s="366"/>
      <c r="AV210" s="366"/>
      <c r="AW210" s="366"/>
      <c r="AX210" s="366"/>
      <c r="AY210" s="366"/>
      <c r="AZ210" s="366"/>
      <c r="BA210" s="366"/>
      <c r="BB210" s="366"/>
    </row>
    <row r="211" spans="1:86" x14ac:dyDescent="0.3">
      <c r="A211" s="386"/>
      <c r="B211" s="386"/>
      <c r="C211" s="386"/>
      <c r="D211" s="386"/>
      <c r="E211" s="386"/>
      <c r="F211" s="386"/>
      <c r="G211" s="386"/>
      <c r="H211" s="386"/>
      <c r="I211" s="386"/>
      <c r="J211" s="386"/>
      <c r="K211" s="386"/>
      <c r="L211" s="386"/>
      <c r="M211" s="386"/>
      <c r="N211" s="386"/>
      <c r="O211" s="386"/>
      <c r="P211" s="386"/>
      <c r="Q211" s="386"/>
      <c r="R211" s="386"/>
      <c r="S211" s="386"/>
      <c r="T211" s="386"/>
      <c r="U211" s="216"/>
      <c r="V211" s="216"/>
      <c r="W211" s="216"/>
      <c r="X211" s="216"/>
      <c r="Y211" s="216"/>
      <c r="Z211" s="216"/>
      <c r="AA211" s="216"/>
      <c r="AB211" s="216"/>
      <c r="AC211" s="216"/>
      <c r="AD211" s="216"/>
      <c r="AE211" s="216"/>
      <c r="AF211" s="216"/>
      <c r="AG211" s="216"/>
      <c r="AH211" s="216"/>
      <c r="AI211" s="216"/>
      <c r="AJ211" s="216"/>
      <c r="AK211" s="216"/>
      <c r="AL211" s="216"/>
      <c r="AM211" s="216"/>
      <c r="AN211" s="216"/>
      <c r="AO211" s="216"/>
      <c r="AQ211" s="216"/>
      <c r="AR211" s="216"/>
      <c r="AS211" s="216"/>
      <c r="AT211" s="218"/>
      <c r="AU211" s="366"/>
      <c r="AV211" s="366"/>
      <c r="AW211" s="366"/>
      <c r="AX211" s="366"/>
      <c r="AY211" s="366"/>
      <c r="AZ211" s="366"/>
      <c r="BA211" s="366"/>
      <c r="BB211" s="366"/>
    </row>
    <row r="212" spans="1:86" x14ac:dyDescent="0.3">
      <c r="A212" s="386"/>
      <c r="B212" s="418"/>
      <c r="C212" s="386"/>
      <c r="D212" s="386"/>
      <c r="E212" s="386"/>
      <c r="F212" s="386"/>
      <c r="G212" s="386"/>
      <c r="H212" s="386"/>
      <c r="I212" s="386"/>
      <c r="J212" s="386"/>
      <c r="K212" s="386"/>
      <c r="L212" s="386"/>
      <c r="M212" s="386"/>
      <c r="N212" s="386"/>
      <c r="O212" s="386"/>
      <c r="P212" s="386"/>
      <c r="Q212" s="386"/>
      <c r="R212" s="386"/>
      <c r="S212" s="386"/>
      <c r="T212" s="38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Q212" s="216"/>
      <c r="AR212" s="216"/>
      <c r="AS212" s="216"/>
      <c r="AT212" s="218"/>
      <c r="AU212" s="366"/>
      <c r="AV212" s="366"/>
      <c r="AW212" s="366"/>
      <c r="AX212" s="366"/>
      <c r="AY212" s="366"/>
      <c r="AZ212" s="366"/>
      <c r="BA212" s="366"/>
      <c r="BB212" s="366"/>
    </row>
    <row r="213" spans="1:86" ht="45.75" customHeight="1" x14ac:dyDescent="0.3">
      <c r="A213" s="733" t="str">
        <f ca="1">Translations!A98</f>
        <v xml:space="preserve">Mesures de Suivi du Plan de Travail </v>
      </c>
      <c r="B213" s="734"/>
      <c r="C213" s="734"/>
      <c r="D213" s="734"/>
      <c r="E213" s="734"/>
      <c r="F213" s="734"/>
      <c r="G213" s="734"/>
      <c r="H213" s="734"/>
      <c r="I213" s="734"/>
      <c r="J213" s="734"/>
      <c r="K213" s="734"/>
      <c r="L213" s="734"/>
      <c r="M213" s="734"/>
      <c r="N213" s="734"/>
      <c r="O213" s="734"/>
      <c r="P213" s="734"/>
      <c r="Q213" s="734"/>
      <c r="R213" s="734"/>
      <c r="S213" s="734"/>
      <c r="T213" s="386"/>
      <c r="U213" s="216"/>
      <c r="V213" s="216"/>
      <c r="W213" s="216"/>
      <c r="X213" s="216"/>
      <c r="Y213" s="216"/>
      <c r="Z213" s="216"/>
      <c r="AA213" s="216"/>
      <c r="AB213" s="216"/>
      <c r="AC213" s="216"/>
      <c r="AD213" s="216"/>
      <c r="AE213" s="216"/>
      <c r="AF213" s="216"/>
      <c r="AG213" s="216"/>
      <c r="AH213" s="216"/>
      <c r="AI213" s="216"/>
      <c r="AJ213" s="216"/>
      <c r="AK213" s="216"/>
      <c r="AL213" s="216"/>
      <c r="AM213" s="216"/>
      <c r="AN213" s="216"/>
      <c r="AO213" s="216"/>
      <c r="AQ213" s="216"/>
      <c r="AR213" s="216"/>
      <c r="AS213" s="216"/>
      <c r="AT213" s="218"/>
      <c r="AU213" s="366"/>
      <c r="AV213" s="366"/>
      <c r="AW213" s="366"/>
      <c r="AX213" s="366"/>
      <c r="AY213" s="366"/>
      <c r="AZ213" s="366"/>
      <c r="BA213" s="366"/>
      <c r="BB213" s="366"/>
    </row>
    <row r="214" spans="1:86" ht="45.75" customHeight="1" x14ac:dyDescent="0.3">
      <c r="A214" s="386"/>
      <c r="B214" s="386"/>
      <c r="C214" s="386"/>
      <c r="D214" s="386"/>
      <c r="E214" s="386"/>
      <c r="F214" s="386"/>
      <c r="G214" s="386"/>
      <c r="H214" s="386"/>
      <c r="I214" s="386"/>
      <c r="J214" s="386"/>
      <c r="K214" s="386"/>
      <c r="L214" s="386"/>
      <c r="M214" s="386"/>
      <c r="N214" s="386"/>
      <c r="O214" s="386"/>
      <c r="P214" s="386"/>
      <c r="Q214" s="386"/>
      <c r="R214" s="386"/>
      <c r="S214" s="386"/>
      <c r="T214" s="38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Q214" s="216"/>
      <c r="AR214" s="216"/>
      <c r="AS214" s="216"/>
    </row>
    <row r="215" spans="1:86" ht="45.75" hidden="1" customHeight="1" x14ac:dyDescent="0.3">
      <c r="A215" s="386"/>
      <c r="B215" s="386"/>
      <c r="C215" s="386"/>
      <c r="D215" s="386"/>
      <c r="E215" s="386"/>
      <c r="F215" s="386"/>
      <c r="G215" s="386"/>
      <c r="H215" s="386"/>
      <c r="I215" s="386"/>
      <c r="J215" s="386"/>
      <c r="K215" s="386"/>
      <c r="L215" s="386"/>
      <c r="M215" s="386"/>
      <c r="N215" s="386"/>
      <c r="O215" s="386"/>
      <c r="P215" s="386"/>
      <c r="Q215" s="386"/>
      <c r="R215" s="386"/>
      <c r="S215" s="386"/>
      <c r="T215" s="38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Q215" s="216"/>
      <c r="AR215" s="216"/>
      <c r="AS215" s="216"/>
    </row>
    <row r="216" spans="1:86" ht="45.75" hidden="1" customHeight="1" x14ac:dyDescent="0.3">
      <c r="A216" s="386"/>
      <c r="B216" s="386"/>
      <c r="C216" s="386"/>
      <c r="D216" s="386"/>
      <c r="E216" s="386"/>
      <c r="F216" s="386"/>
      <c r="G216" s="386"/>
      <c r="H216" s="386"/>
      <c r="I216" s="386"/>
      <c r="J216" s="386"/>
      <c r="K216" s="386"/>
      <c r="L216" s="386"/>
      <c r="M216" s="386"/>
      <c r="N216" s="386"/>
      <c r="O216" s="386"/>
      <c r="P216" s="386"/>
      <c r="Q216" s="386"/>
      <c r="R216" s="386"/>
      <c r="S216" s="386"/>
      <c r="T216" s="38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Q216" s="216"/>
      <c r="AR216" s="216"/>
      <c r="AS216" s="216"/>
    </row>
    <row r="217" spans="1:86" ht="45.75" hidden="1" customHeight="1" x14ac:dyDescent="0.3">
      <c r="A217" s="386"/>
      <c r="B217" s="386"/>
      <c r="C217" s="386"/>
      <c r="D217" s="386"/>
      <c r="E217" s="386"/>
      <c r="F217" s="386"/>
      <c r="G217" s="386"/>
      <c r="H217" s="386"/>
      <c r="I217" s="386"/>
      <c r="J217" s="386"/>
      <c r="K217" s="386"/>
      <c r="L217" s="386"/>
      <c r="M217" s="386"/>
      <c r="N217" s="386"/>
      <c r="O217" s="386"/>
      <c r="P217" s="386"/>
      <c r="Q217" s="386"/>
      <c r="R217" s="386"/>
      <c r="S217" s="386"/>
      <c r="T217" s="386"/>
      <c r="U217" s="216"/>
      <c r="V217" s="216"/>
      <c r="W217" s="216"/>
      <c r="X217" s="216"/>
      <c r="Y217" s="216"/>
      <c r="Z217" s="216"/>
      <c r="AA217" s="216"/>
      <c r="AB217" s="216"/>
      <c r="AC217" s="216"/>
      <c r="AD217" s="216"/>
      <c r="AE217" s="216"/>
      <c r="AF217" s="216"/>
      <c r="AG217" s="216"/>
      <c r="AH217" s="216"/>
      <c r="AI217" s="216"/>
      <c r="AJ217" s="216"/>
      <c r="AK217" s="216"/>
      <c r="AL217" s="216"/>
      <c r="AM217" s="216"/>
      <c r="AN217" s="216"/>
      <c r="AO217" s="216"/>
      <c r="AQ217" s="216"/>
      <c r="AR217" s="216"/>
      <c r="AS217" s="216"/>
    </row>
    <row r="218" spans="1:86" ht="16.2" thickBot="1" x14ac:dyDescent="0.35">
      <c r="A218" s="386"/>
      <c r="B218" s="418"/>
      <c r="C218" s="386"/>
      <c r="D218" s="386"/>
      <c r="E218" s="386"/>
      <c r="F218" s="386"/>
      <c r="G218" s="386"/>
      <c r="H218" s="386"/>
      <c r="I218" s="386"/>
      <c r="J218" s="386"/>
      <c r="K218" s="386"/>
      <c r="L218" s="386"/>
      <c r="M218" s="386"/>
      <c r="N218" s="386"/>
      <c r="O218" s="386"/>
      <c r="P218" s="386"/>
      <c r="Q218" s="386"/>
      <c r="R218" s="386"/>
      <c r="S218" s="386"/>
      <c r="T218" s="38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Q218" s="216"/>
      <c r="AR218" s="216"/>
      <c r="AS218" s="216"/>
    </row>
    <row r="219" spans="1:86" ht="29.4" thickBot="1" x14ac:dyDescent="0.6">
      <c r="A219" s="419"/>
      <c r="B219" s="420"/>
      <c r="C219" s="420"/>
      <c r="D219" s="420"/>
      <c r="E219" s="420"/>
      <c r="F219" s="420"/>
      <c r="G219" s="420"/>
      <c r="H219" s="786"/>
      <c r="I219" s="787"/>
      <c r="J219" s="787"/>
      <c r="K219" s="788"/>
      <c r="L219" s="786"/>
      <c r="M219" s="787"/>
      <c r="N219" s="787"/>
      <c r="O219" s="788"/>
      <c r="P219" s="421"/>
      <c r="Q219" s="422"/>
      <c r="R219" s="422"/>
      <c r="S219" s="422"/>
      <c r="T219" s="423"/>
      <c r="U219" s="216"/>
      <c r="V219" s="216"/>
      <c r="W219" s="216"/>
      <c r="X219" s="216"/>
      <c r="Y219" s="216"/>
      <c r="Z219" s="216"/>
      <c r="AA219" s="216"/>
      <c r="AB219" s="216"/>
      <c r="AC219" s="216"/>
      <c r="AD219" s="216"/>
      <c r="AE219" s="216"/>
      <c r="AF219" s="216"/>
      <c r="AG219" s="216"/>
      <c r="AH219" s="216"/>
      <c r="AI219" s="216"/>
      <c r="AJ219" s="216"/>
      <c r="AK219" s="216"/>
      <c r="AL219" s="216"/>
      <c r="AM219" s="216"/>
      <c r="AN219" s="216"/>
      <c r="AO219" s="216"/>
      <c r="AQ219" s="216"/>
      <c r="AR219" s="216"/>
      <c r="AS219" s="216"/>
      <c r="AT219" s="216"/>
      <c r="AU219" s="216"/>
      <c r="AV219" s="216"/>
      <c r="AW219" s="216"/>
      <c r="AX219" s="216"/>
      <c r="AY219" s="216"/>
      <c r="AZ219" s="216"/>
      <c r="BA219" s="216"/>
      <c r="BB219" s="216"/>
      <c r="BC219" s="216"/>
    </row>
    <row r="220" spans="1:86" ht="87" customHeight="1" x14ac:dyDescent="0.3">
      <c r="A220" s="240" t="str">
        <f ca="1">Translations!A91</f>
        <v>No.</v>
      </c>
      <c r="B220" s="241" t="str">
        <f ca="1">Translations!A28</f>
        <v>Modules</v>
      </c>
      <c r="C220" s="241" t="str">
        <f ca="1">Translations!A35</f>
        <v>Population</v>
      </c>
      <c r="D220" s="241" t="str">
        <f ca="1">Translations!A46</f>
        <v>Interventions</v>
      </c>
      <c r="E220" s="241" t="str">
        <f ca="1">Translations!A85</f>
        <v>Activité principale</v>
      </c>
      <c r="F220" s="241" t="str">
        <f ca="1">Translations!A52</f>
        <v xml:space="preserve">Récipiendaire principal responsable </v>
      </c>
      <c r="G220" s="242" t="str">
        <f ca="1">Translations!A53</f>
        <v>Pays</v>
      </c>
      <c r="H220" s="243" t="str">
        <f ca="1">Translations!A100</f>
        <v>Dates</v>
      </c>
      <c r="I220" s="789" t="str">
        <f ca="1">Translations!A99</f>
        <v>Repères</v>
      </c>
      <c r="J220" s="789"/>
      <c r="K220" s="789"/>
      <c r="L220" s="789"/>
      <c r="M220" s="790"/>
      <c r="N220" s="794" t="str">
        <f ca="1">Translations!A87</f>
        <v>Critère de réalisation</v>
      </c>
      <c r="O220" s="789"/>
      <c r="P220" s="789"/>
      <c r="Q220" s="789"/>
      <c r="R220" s="789"/>
      <c r="S220" s="789"/>
      <c r="T220" s="282"/>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Q220" s="216"/>
      <c r="AR220" s="216"/>
      <c r="AS220" s="216"/>
      <c r="AT220" s="216"/>
      <c r="AU220" s="216"/>
      <c r="AV220" s="216"/>
      <c r="AW220" s="216"/>
      <c r="AX220" s="216"/>
      <c r="AY220" s="216"/>
      <c r="AZ220" s="216"/>
      <c r="BA220" s="216"/>
      <c r="BB220" s="216"/>
      <c r="BC220" s="216"/>
    </row>
    <row r="221" spans="1:86" ht="60" customHeight="1" x14ac:dyDescent="0.55000000000000004">
      <c r="A221" s="801">
        <v>1</v>
      </c>
      <c r="B221" s="804" t="str">
        <f ca="1">IFERROR(IF(INDEX('WPTM - Section F'!B$1:B$100,MATCH('Print View'!$A221,'WPTM - Section F'!$A$1:$A$100,0))&lt;&gt;0,INDEX('WPTM - Section F'!B$1:B$100,MATCH('Print View'!$A221,'WPTM - Section F'!$A$1:$A$100,0)),""),"")</f>
        <v/>
      </c>
      <c r="C221" s="807" t="str">
        <f ca="1">IFERROR(IF(INDEX('WPTM - Section F'!C$1:C$100,MATCH('Print View'!$A221,'WPTM - Section F'!$A$1:$A$100,0))&lt;&gt;0,INDEX('WPTM - Section F'!C$1:C$100,MATCH('Print View'!$A221,'WPTM - Section F'!$A$1:$A$100,0)),""),"")</f>
        <v/>
      </c>
      <c r="D221" s="804" t="str">
        <f ca="1">IFERROR(IF(INDEX('WPTM - Section F'!D$1:D$100,MATCH('Print View'!$A221,'WPTM - Section F'!$A$1:$A$100,0))&lt;&gt;0,INDEX('WPTM - Section F'!D$1:D$100,MATCH('Print View'!$A221,'WPTM - Section F'!$A$1:$A$100,0)),""),"")</f>
        <v/>
      </c>
      <c r="E221" s="804" t="str">
        <f ca="1">IFERROR(IF(INDEX('WPTM - Section F'!E$1:E$100,MATCH('Print View'!$A221,'WPTM - Section F'!$A$1:$A$100,0))&lt;&gt;0,INDEX('WPTM - Section F'!E$1:E$100,MATCH('Print View'!$A221,'WPTM - Section F'!$A$1:$A$100,0)),""),"")</f>
        <v/>
      </c>
      <c r="F221" s="804" t="str">
        <f ca="1">IFERROR(IF(INDEX('WPTM - Section F'!F$1:F$100,MATCH('Print View'!$A221,'WPTM - Section F'!$A$1:$A$100,0))&lt;&gt;0,INDEX('WPTM - Section F'!F$1:F$100,MATCH('Print View'!$A221,'WPTM - Section F'!$A$1:$A$100,0)),""),"")</f>
        <v/>
      </c>
      <c r="G221" s="810" t="str">
        <f ca="1">IFERROR(IF(INDEX('WPTM - Section F'!G$1:G$100,MATCH('Print View'!$A221,'WPTM - Section F'!$A$1:$A$100,0))&lt;&gt;0,INDEX('WPTM - Section F'!G$1:G$100,MATCH('Print View'!$A221,'WPTM - Section F'!$A$1:$A$100,0)),""),"")</f>
        <v/>
      </c>
      <c r="H221" s="424"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21" s="795" t="str">
        <f ca="1">IFERROR(IF(INDEX('WPTM - Section F'!J$1:J$100,MATCH('Print View'!$A221,'WPTM - Section F'!$A$1:$A$100,0))&lt;&gt;0,INDEX('WPTM - Section F'!J$1:J$100,MATCH('Print View'!$A221,'WPTM - Section F'!$A$1:$A$100,0)),""),"")</f>
        <v/>
      </c>
      <c r="J221" s="796"/>
      <c r="K221" s="796"/>
      <c r="L221" s="796"/>
      <c r="M221" s="797"/>
      <c r="N221" s="795" t="str">
        <f ca="1">IFERROR(IF(INDEX('WPTM - Section F'!K$1:K$100,MATCH('Print View'!$A221,'WPTM - Section F'!$A$1:$A$100,0))&lt;&gt;0,INDEX('WPTM - Section F'!K$1:K$100,MATCH('Print View'!$A221,'WPTM - Section F'!$A$1:$A$100,0)),""),"")</f>
        <v/>
      </c>
      <c r="O221" s="796"/>
      <c r="P221" s="796"/>
      <c r="Q221" s="796"/>
      <c r="R221" s="796"/>
      <c r="S221" s="797"/>
      <c r="T221" s="425"/>
      <c r="U221" s="216"/>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row>
    <row r="222" spans="1:86" ht="60" customHeight="1" x14ac:dyDescent="0.55000000000000004">
      <c r="A222" s="802"/>
      <c r="B222" s="805"/>
      <c r="C222" s="808"/>
      <c r="D222" s="805"/>
      <c r="E222" s="805"/>
      <c r="F222" s="805"/>
      <c r="G222" s="811"/>
      <c r="H222" s="424"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22" s="795" t="str">
        <f ca="1">IFERROR(IF(INDEX('WPTM - Section F'!N$1:N$100,MATCH('Print View'!$A221,'WPTM - Section F'!$A$1:$A$100,0))&lt;&gt;0,INDEX('WPTM - Section F'!N$1:N$100,MATCH('Print View'!$A221,'WPTM - Section F'!$A$1:$A$100,0)),""),"")</f>
        <v/>
      </c>
      <c r="J222" s="796"/>
      <c r="K222" s="796"/>
      <c r="L222" s="796"/>
      <c r="M222" s="797"/>
      <c r="N222" s="795" t="str">
        <f ca="1">IFERROR(IF(INDEX('WPTM - Section F'!O$1:O$100,MATCH('Print View'!$A221,'WPTM - Section F'!$A$1:$A$100,0))&lt;&gt;0,INDEX('WPTM - Section F'!O$1:O$100,MATCH('Print View'!$A221,'WPTM - Section F'!$A$1:$A$100,0)),""),"")</f>
        <v/>
      </c>
      <c r="O222" s="796"/>
      <c r="P222" s="796"/>
      <c r="Q222" s="796"/>
      <c r="R222" s="796"/>
      <c r="S222" s="797"/>
      <c r="T222" s="425"/>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row>
    <row r="223" spans="1:86" ht="60" customHeight="1" x14ac:dyDescent="0.55000000000000004">
      <c r="A223" s="802"/>
      <c r="B223" s="805"/>
      <c r="C223" s="808"/>
      <c r="D223" s="805"/>
      <c r="E223" s="805"/>
      <c r="F223" s="805"/>
      <c r="G223" s="811"/>
      <c r="H223" s="424"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23" s="795" t="str">
        <f ca="1">IFERROR(IF(INDEX('WPTM - Section F'!R$1:R$100,MATCH('Print View'!$A221,'WPTM - Section F'!$A$1:$A$100,0))&lt;&gt;0,INDEX('WPTM - Section F'!R$1:R$100,MATCH('Print View'!$A221,'WPTM - Section F'!$A$1:$A$100,0)),""),"")</f>
        <v/>
      </c>
      <c r="J223" s="796"/>
      <c r="K223" s="796"/>
      <c r="L223" s="796"/>
      <c r="M223" s="797"/>
      <c r="N223" s="795" t="str">
        <f ca="1">IFERROR(IF(INDEX('WPTM - Section F'!S$1:S$100,MATCH('Print View'!$A221,'WPTM - Section F'!$A$1:$A$100,0))&lt;&gt;0,INDEX('WPTM - Section F'!S$1:S$100,MATCH('Print View'!$A221,'WPTM - Section F'!$A$1:$A$100,0)),""),"")</f>
        <v/>
      </c>
      <c r="O223" s="796"/>
      <c r="P223" s="796"/>
      <c r="Q223" s="796"/>
      <c r="R223" s="796"/>
      <c r="S223" s="797"/>
      <c r="T223" s="425"/>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16"/>
      <c r="BL223" s="216"/>
      <c r="BM223" s="216"/>
      <c r="BN223" s="216"/>
      <c r="BO223" s="216"/>
      <c r="BP223" s="216"/>
      <c r="BQ223" s="216"/>
      <c r="BR223" s="216"/>
      <c r="BS223" s="216"/>
      <c r="BT223" s="216"/>
      <c r="BU223" s="216"/>
      <c r="BV223" s="216"/>
      <c r="BW223" s="216"/>
      <c r="BX223" s="216"/>
      <c r="BY223" s="216"/>
      <c r="BZ223" s="216"/>
      <c r="CA223" s="216"/>
      <c r="CB223" s="216"/>
      <c r="CC223" s="216"/>
      <c r="CD223" s="216"/>
      <c r="CE223" s="216"/>
      <c r="CF223" s="216"/>
      <c r="CG223" s="216"/>
      <c r="CH223" s="216"/>
    </row>
    <row r="224" spans="1:86" ht="60" customHeight="1" x14ac:dyDescent="0.55000000000000004">
      <c r="A224" s="802"/>
      <c r="B224" s="805"/>
      <c r="C224" s="808"/>
      <c r="D224" s="805"/>
      <c r="E224" s="805"/>
      <c r="F224" s="805"/>
      <c r="G224" s="811"/>
      <c r="H224" s="424"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24" s="795" t="str">
        <f ca="1">IFERROR(IF(INDEX('WPTM - Section F'!V$1:V$100,MATCH('Print View'!$A221,'WPTM - Section F'!$A$1:$A$100,0))&lt;&gt;0,INDEX('WPTM - Section F'!V$1:V$100,MATCH('Print View'!$A221,'WPTM - Section F'!$A$1:$A$100,0)),""),"")</f>
        <v/>
      </c>
      <c r="J224" s="796"/>
      <c r="K224" s="796"/>
      <c r="L224" s="796"/>
      <c r="M224" s="797"/>
      <c r="N224" s="795" t="str">
        <f ca="1">IFERROR(IF(INDEX('WPTM - Section F'!W$1:W$100,MATCH('Print View'!$A221,'WPTM - Section F'!$A$1:$A$100,0))&lt;&gt;0,INDEX('WPTM - Section F'!W$1:W$100,MATCH('Print View'!$A221,'WPTM - Section F'!$A$1:$A$100,0)),""),"")</f>
        <v/>
      </c>
      <c r="O224" s="796"/>
      <c r="P224" s="796"/>
      <c r="Q224" s="796"/>
      <c r="R224" s="796"/>
      <c r="S224" s="797"/>
      <c r="T224" s="425"/>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16"/>
      <c r="BK224" s="216"/>
      <c r="BL224" s="216"/>
      <c r="BM224" s="216"/>
      <c r="BN224" s="216"/>
      <c r="BO224" s="216"/>
      <c r="BP224" s="216"/>
      <c r="BQ224" s="216"/>
      <c r="BR224" s="216"/>
      <c r="BS224" s="216"/>
      <c r="BT224" s="216"/>
      <c r="BU224" s="216"/>
      <c r="BV224" s="216"/>
      <c r="BW224" s="216"/>
      <c r="BX224" s="216"/>
      <c r="BY224" s="216"/>
      <c r="BZ224" s="216"/>
      <c r="CA224" s="216"/>
      <c r="CB224" s="216"/>
      <c r="CC224" s="216"/>
      <c r="CD224" s="216"/>
      <c r="CE224" s="216"/>
      <c r="CF224" s="216"/>
      <c r="CG224" s="216"/>
      <c r="CH224" s="216"/>
    </row>
    <row r="225" spans="1:86" ht="60" customHeight="1" x14ac:dyDescent="0.55000000000000004">
      <c r="A225" s="802"/>
      <c r="B225" s="805"/>
      <c r="C225" s="808"/>
      <c r="D225" s="805"/>
      <c r="E225" s="805"/>
      <c r="F225" s="805"/>
      <c r="G225" s="811"/>
      <c r="H225" s="424"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25" s="795" t="str">
        <f ca="1">IFERROR(IF(INDEX('WPTM - Section F'!Z$1:Z$100,MATCH('Print View'!$A221,'WPTM - Section F'!$A$1:$A$100,0))&lt;&gt;0,INDEX('WPTM - Section F'!Z$1:Z$100,MATCH('Print View'!$A221,'WPTM - Section F'!$A$1:$A$100,0)),""),"")</f>
        <v/>
      </c>
      <c r="J225" s="796"/>
      <c r="K225" s="796"/>
      <c r="L225" s="796"/>
      <c r="M225" s="797"/>
      <c r="N225" s="795" t="str">
        <f ca="1">IFERROR(IF(INDEX('WPTM - Section F'!AA$1:AA$100,MATCH('Print View'!$A221,'WPTM - Section F'!$A$1:$A$100,0))&lt;&gt;0,INDEX('WPTM - Section F'!AA$1:AA$100,MATCH('Print View'!$A221,'WPTM - Section F'!$A$1:$A$100,0)),""),"")</f>
        <v/>
      </c>
      <c r="O225" s="796"/>
      <c r="P225" s="796"/>
      <c r="Q225" s="796"/>
      <c r="R225" s="796"/>
      <c r="S225" s="797"/>
      <c r="T225" s="425"/>
      <c r="U225" s="216"/>
      <c r="V225" s="216"/>
      <c r="W225" s="216"/>
      <c r="X225" s="216"/>
      <c r="Y225" s="216"/>
      <c r="Z225" s="216"/>
      <c r="AA225" s="216"/>
      <c r="AB225" s="216"/>
      <c r="AC225" s="216"/>
      <c r="AD225" s="216"/>
      <c r="AE225" s="216"/>
      <c r="AF225" s="216"/>
      <c r="AG225" s="216"/>
      <c r="AH225" s="216"/>
      <c r="AI225" s="216"/>
      <c r="AJ225" s="216"/>
      <c r="AK225" s="216"/>
      <c r="AL225" s="216"/>
      <c r="AM225" s="216"/>
      <c r="AN225" s="216"/>
      <c r="AO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16"/>
      <c r="BL225" s="216"/>
      <c r="BM225" s="216"/>
      <c r="BN225" s="216"/>
      <c r="BO225" s="216"/>
      <c r="BP225" s="216"/>
      <c r="BQ225" s="216"/>
      <c r="BR225" s="216"/>
      <c r="BS225" s="216"/>
      <c r="BT225" s="216"/>
      <c r="BU225" s="216"/>
      <c r="BV225" s="216"/>
      <c r="BW225" s="216"/>
      <c r="BX225" s="216"/>
      <c r="BY225" s="216"/>
      <c r="BZ225" s="216"/>
      <c r="CA225" s="216"/>
      <c r="CB225" s="216"/>
      <c r="CC225" s="216"/>
      <c r="CD225" s="216"/>
      <c r="CE225" s="216"/>
      <c r="CF225" s="216"/>
      <c r="CG225" s="216"/>
      <c r="CH225" s="216"/>
    </row>
    <row r="226" spans="1:86" ht="60" customHeight="1" x14ac:dyDescent="0.55000000000000004">
      <c r="A226" s="802"/>
      <c r="B226" s="805"/>
      <c r="C226" s="808"/>
      <c r="D226" s="805"/>
      <c r="E226" s="805"/>
      <c r="F226" s="805"/>
      <c r="G226" s="811"/>
      <c r="H226" s="424"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26" s="795" t="str">
        <f ca="1">IFERROR(IF(INDEX('WPTM - Section F'!AD$1:AD$100,MATCH('Print View'!$A221,'WPTM - Section F'!$A$1:$A$100,0))&lt;&gt;0,INDEX('WPTM - Section F'!AD$1:AD$100,MATCH('Print View'!$A221,'WPTM - Section F'!$A$1:$A$100,0)),""),"")</f>
        <v/>
      </c>
      <c r="J226" s="796"/>
      <c r="K226" s="796"/>
      <c r="L226" s="796"/>
      <c r="M226" s="797"/>
      <c r="N226" s="795" t="str">
        <f ca="1">IFERROR(IF(INDEX('WPTM - Section F'!AE$1:AE$100,MATCH('Print View'!$A221,'WPTM - Section F'!$A$1:$A$100,0))&lt;&gt;0,INDEX('WPTM - Section F'!AE$1:AE$100,MATCH('Print View'!$A221,'WPTM - Section F'!$A$1:$A$100,0)),""),"")</f>
        <v/>
      </c>
      <c r="O226" s="796"/>
      <c r="P226" s="796"/>
      <c r="Q226" s="796"/>
      <c r="R226" s="796"/>
      <c r="S226" s="797"/>
      <c r="T226" s="425"/>
      <c r="U226" s="216"/>
      <c r="V226" s="216"/>
      <c r="W226" s="216"/>
      <c r="X226" s="216"/>
      <c r="Y226" s="216"/>
      <c r="Z226" s="216"/>
      <c r="AA226" s="216"/>
      <c r="AB226" s="216"/>
      <c r="AC226" s="216"/>
      <c r="AD226" s="216"/>
      <c r="AE226" s="216"/>
      <c r="AF226" s="216"/>
      <c r="AG226" s="216"/>
      <c r="AH226" s="216"/>
      <c r="AI226" s="216"/>
      <c r="AJ226" s="216"/>
      <c r="AK226" s="216"/>
      <c r="AL226" s="216"/>
      <c r="AM226" s="216"/>
      <c r="AN226" s="216"/>
      <c r="AO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216"/>
      <c r="BK226" s="216"/>
      <c r="BL226" s="216"/>
      <c r="BM226" s="216"/>
      <c r="BN226" s="216"/>
      <c r="BO226" s="216"/>
      <c r="BP226" s="216"/>
      <c r="BQ226" s="216"/>
      <c r="BR226" s="216"/>
      <c r="BS226" s="216"/>
      <c r="BT226" s="216"/>
      <c r="BU226" s="216"/>
      <c r="BV226" s="216"/>
      <c r="BW226" s="216"/>
      <c r="BX226" s="216"/>
      <c r="BY226" s="216"/>
      <c r="BZ226" s="216"/>
      <c r="CA226" s="216"/>
      <c r="CB226" s="216"/>
      <c r="CC226" s="216"/>
      <c r="CD226" s="216"/>
      <c r="CE226" s="216"/>
      <c r="CF226" s="216"/>
      <c r="CG226" s="216"/>
      <c r="CH226" s="216"/>
    </row>
    <row r="227" spans="1:86" ht="60" customHeight="1" x14ac:dyDescent="0.55000000000000004">
      <c r="A227" s="802"/>
      <c r="B227" s="806"/>
      <c r="C227" s="809"/>
      <c r="D227" s="806"/>
      <c r="E227" s="806"/>
      <c r="F227" s="806"/>
      <c r="G227" s="812"/>
      <c r="H227" s="424" t="str">
        <f>IF(IFERROR(INDEX('Overview - Section A'!$A$46:$A$53,MATCH(D$29,'Overview - Section A'!$B$46:$B$53,0)),"")="","",TEXT(IFERROR(INDEX('Overview - Section A'!$A$46:$A$53,MATCH(D$29,'Overview - Section A'!$B$46:$B$53,0)),""),Setup!$A$33) &amp;" to " &amp; TEXT(IFERROR(INDEX('Overview - Section A'!$E$46:$E$53,MATCH(D$29,'Overview - Section A'!$B$46:$B$53,0)),""),Setup!$A$33))</f>
        <v/>
      </c>
      <c r="I227" s="795" t="str">
        <f ca="1">IFERROR(IF(INDEX('WPTM - Section F'!AH$1:AH$100,MATCH('Print View'!$A221,'WPTM - Section F'!$A$1:$A$100,0))&lt;&gt;0,INDEX('WPTM - Section F'!AH$1:AH$100,MATCH('Print View'!$A221,'WPTM - Section F'!$A$1:$A$100,0)),""),"")</f>
        <v/>
      </c>
      <c r="J227" s="796"/>
      <c r="K227" s="796"/>
      <c r="L227" s="796"/>
      <c r="M227" s="797"/>
      <c r="N227" s="795" t="str">
        <f ca="1">IFERROR(IF(INDEX('WPTM - Section F'!AI$1:AI$100,MATCH('Print View'!$A221,'WPTM - Section F'!$A$1:$A$100,0))&lt;&gt;0,INDEX('WPTM - Section F'!AI$1:AI$100,MATCH('Print View'!$A221,'WPTM - Section F'!$A$1:$A$100,0)),""),"")</f>
        <v/>
      </c>
      <c r="O227" s="796"/>
      <c r="P227" s="796"/>
      <c r="Q227" s="796"/>
      <c r="R227" s="796"/>
      <c r="S227" s="797"/>
      <c r="T227" s="425"/>
      <c r="U227" s="216"/>
      <c r="V227" s="216"/>
      <c r="W227" s="216"/>
      <c r="X227" s="216"/>
      <c r="Y227" s="216"/>
      <c r="Z227" s="216"/>
      <c r="AA227" s="216"/>
      <c r="AB227" s="216"/>
      <c r="AC227" s="216"/>
      <c r="AD227" s="216"/>
      <c r="AE227" s="216"/>
      <c r="AF227" s="216"/>
      <c r="AG227" s="216"/>
      <c r="AH227" s="216"/>
      <c r="AI227" s="216"/>
      <c r="AJ227" s="216"/>
      <c r="AK227" s="216"/>
      <c r="AL227" s="216"/>
      <c r="AM227" s="216"/>
      <c r="AN227" s="216"/>
      <c r="AO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216"/>
      <c r="BK227" s="216"/>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row>
    <row r="228" spans="1:86" ht="60" customHeight="1" x14ac:dyDescent="0.55000000000000004">
      <c r="A228" s="803"/>
      <c r="B228" s="791" t="str">
        <f ca="1">IFERROR(IF(INDEX('WPTM - Section F'!AV$1:AV$100,MATCH('Print View'!$A221,'WPTM - Section F'!$A$1:$A$100,0))&lt;&gt;0,INDEX('WPTM - Section F'!AV$1:AV$100,MATCH('Print View'!$A221,'WPTM - Section F'!$A$1:$A$100,0)),""),"")</f>
        <v/>
      </c>
      <c r="C228" s="792"/>
      <c r="D228" s="792"/>
      <c r="E228" s="792"/>
      <c r="F228" s="792"/>
      <c r="G228" s="792"/>
      <c r="H228" s="792"/>
      <c r="I228" s="792"/>
      <c r="J228" s="792"/>
      <c r="K228" s="792"/>
      <c r="L228" s="792"/>
      <c r="M228" s="792"/>
      <c r="N228" s="792"/>
      <c r="O228" s="792"/>
      <c r="P228" s="792"/>
      <c r="Q228" s="792"/>
      <c r="R228" s="792"/>
      <c r="S228" s="793"/>
      <c r="T228" s="42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216"/>
      <c r="BK228" s="216"/>
      <c r="BL228" s="216"/>
      <c r="BM228" s="216"/>
      <c r="BN228" s="216"/>
      <c r="BO228" s="216"/>
      <c r="BP228" s="216"/>
      <c r="BQ228" s="216"/>
      <c r="BR228" s="216"/>
      <c r="BS228" s="216"/>
      <c r="BT228" s="216"/>
      <c r="BU228" s="216"/>
      <c r="BV228" s="216"/>
      <c r="BW228" s="216"/>
      <c r="BX228" s="216"/>
      <c r="BY228" s="216"/>
      <c r="BZ228" s="216"/>
      <c r="CA228" s="216"/>
      <c r="CB228" s="216"/>
      <c r="CC228" s="216"/>
      <c r="CD228" s="216"/>
      <c r="CE228" s="216"/>
      <c r="CF228" s="216"/>
      <c r="CG228" s="216"/>
      <c r="CH228" s="216"/>
    </row>
    <row r="229" spans="1:86" ht="60" customHeight="1" x14ac:dyDescent="0.3">
      <c r="A229" s="819">
        <v>2</v>
      </c>
      <c r="B229" s="804" t="str">
        <f ca="1">IFERROR(IF(INDEX('WPTM - Section F'!B$1:B$100,MATCH('Print View'!$A229,'WPTM - Section F'!$A$1:$A$100,0))&lt;&gt;0,INDEX('WPTM - Section F'!B$1:B$100,MATCH('Print View'!$A229,'WPTM - Section F'!$A$1:$A$100,0)),""),"")</f>
        <v/>
      </c>
      <c r="C229" s="807" t="str">
        <f ca="1">IFERROR(IF(INDEX('WPTM - Section F'!C$1:C$100,MATCH('Print View'!$A229,'WPTM - Section F'!$A$1:$A$100,0))&lt;&gt;0,INDEX('WPTM - Section F'!C$1:C$100,MATCH('Print View'!$A229,'WPTM - Section F'!$A$1:$A$100,0)),""),"")</f>
        <v/>
      </c>
      <c r="D229" s="804" t="str">
        <f ca="1">IFERROR(IF(INDEX('WPTM - Section F'!D$1:D$100,MATCH('Print View'!$A229,'WPTM - Section F'!$A$1:$A$100,0))&lt;&gt;0,INDEX('WPTM - Section F'!D$1:D$100,MATCH('Print View'!$A229,'WPTM - Section F'!$A$1:$A$100,0)),""),"")</f>
        <v/>
      </c>
      <c r="E229" s="804" t="str">
        <f ca="1">IFERROR(IF(INDEX('WPTM - Section F'!E$1:E$100,MATCH('Print View'!$A229,'WPTM - Section F'!$A$1:$A$100,0))&lt;&gt;0,INDEX('WPTM - Section F'!E$1:E$100,MATCH('Print View'!$A229,'WPTM - Section F'!$A$1:$A$100,0)),""),"")</f>
        <v/>
      </c>
      <c r="F229" s="804" t="str">
        <f ca="1">IFERROR(IF(INDEX('WPTM - Section F'!F$1:F$100,MATCH('Print View'!$A229,'WPTM - Section F'!$A$1:$A$100,0))&lt;&gt;0,INDEX('WPTM - Section F'!F$1:F$100,MATCH('Print View'!$A229,'WPTM - Section F'!$A$1:$A$100,0)),""),"")</f>
        <v/>
      </c>
      <c r="G229" s="816" t="str">
        <f ca="1">IFERROR(IF(INDEX('WPTM - Section F'!G$1:G$100,MATCH('Print View'!$A229,'WPTM - Section F'!$A$1:$A$100,0))&lt;&gt;0,INDEX('WPTM - Section F'!G$1:G$100,MATCH('Print View'!$A229,'WPTM - Section F'!$A$1:$A$100,0)),""),"")</f>
        <v/>
      </c>
      <c r="H229" s="427"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29" s="798" t="str">
        <f ca="1">IFERROR(IF(INDEX('WPTM - Section F'!J$1:J$100,MATCH('Print View'!$A229,'WPTM - Section F'!$A$1:$A$100,0))&lt;&gt;0,INDEX('WPTM - Section F'!J$1:J$100,MATCH('Print View'!$A229,'WPTM - Section F'!$A$1:$A$100,0)),""),"")</f>
        <v/>
      </c>
      <c r="J229" s="799"/>
      <c r="K229" s="799"/>
      <c r="L229" s="799"/>
      <c r="M229" s="800"/>
      <c r="N229" s="798" t="str">
        <f ca="1">IFERROR(IF(INDEX('WPTM - Section F'!K$1:K$100,MATCH('Print View'!$A229,'WPTM - Section F'!$A$1:$A$100,0))&lt;&gt;0,INDEX('WPTM - Section F'!K$1:K$100,MATCH('Print View'!$A229,'WPTM - Section F'!$A$1:$A$100,0)),""),"")</f>
        <v/>
      </c>
      <c r="O229" s="799"/>
      <c r="P229" s="799"/>
      <c r="Q229" s="799"/>
      <c r="R229" s="799"/>
      <c r="S229" s="799"/>
      <c r="T229" s="428"/>
      <c r="U229" s="216"/>
      <c r="V229" s="216"/>
      <c r="W229" s="216"/>
      <c r="X229" s="216"/>
      <c r="Y229" s="216"/>
      <c r="Z229" s="216"/>
      <c r="AA229" s="216"/>
      <c r="AB229" s="216"/>
      <c r="AC229" s="216"/>
      <c r="AD229" s="216"/>
      <c r="AE229" s="216"/>
      <c r="AF229" s="216"/>
      <c r="AG229" s="216"/>
      <c r="AH229" s="216"/>
      <c r="AI229" s="216"/>
      <c r="AJ229" s="216"/>
      <c r="AK229" s="216"/>
      <c r="AL229" s="216"/>
      <c r="AM229" s="216"/>
      <c r="AN229" s="216"/>
      <c r="AO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216"/>
      <c r="BK229" s="216"/>
      <c r="BL229" s="216"/>
      <c r="BM229" s="216"/>
      <c r="BN229" s="216"/>
      <c r="BO229" s="216"/>
      <c r="BP229" s="216"/>
      <c r="BQ229" s="216"/>
      <c r="BR229" s="216"/>
      <c r="BS229" s="216"/>
      <c r="BT229" s="216"/>
      <c r="BU229" s="216"/>
      <c r="BV229" s="216"/>
      <c r="BW229" s="216"/>
      <c r="BX229" s="216"/>
      <c r="BY229" s="216"/>
      <c r="BZ229" s="216"/>
      <c r="CA229" s="216"/>
      <c r="CB229" s="216"/>
      <c r="CC229" s="216"/>
      <c r="CD229" s="216"/>
      <c r="CE229" s="216"/>
      <c r="CF229" s="216"/>
      <c r="CG229" s="216"/>
      <c r="CH229" s="216"/>
    </row>
    <row r="230" spans="1:86" ht="60" customHeight="1" x14ac:dyDescent="0.3">
      <c r="A230" s="820"/>
      <c r="B230" s="805"/>
      <c r="C230" s="808"/>
      <c r="D230" s="805"/>
      <c r="E230" s="805"/>
      <c r="F230" s="805"/>
      <c r="G230" s="817"/>
      <c r="H230" s="427"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30" s="798" t="str">
        <f ca="1">IFERROR(IF(INDEX('WPTM - Section F'!N$1:N$100,MATCH('Print View'!$A229,'WPTM - Section F'!$A$1:$A$100,0))&lt;&gt;0,INDEX('WPTM - Section F'!N$1:N$100,MATCH('Print View'!$A229,'WPTM - Section F'!$A$1:$A$100,0)),""),"")</f>
        <v/>
      </c>
      <c r="J230" s="799"/>
      <c r="K230" s="799"/>
      <c r="L230" s="799"/>
      <c r="M230" s="800"/>
      <c r="N230" s="798" t="str">
        <f ca="1">IFERROR(IF(INDEX('WPTM - Section F'!O$1:O$100,MATCH('Print View'!$A229,'WPTM - Section F'!$A$1:$A$100,0))&lt;&gt;0,INDEX('WPTM - Section F'!O$1:O$100,MATCH('Print View'!$A229,'WPTM - Section F'!$A$1:$A$100,0)),""),"")</f>
        <v/>
      </c>
      <c r="O230" s="799"/>
      <c r="P230" s="799"/>
      <c r="Q230" s="799"/>
      <c r="R230" s="799"/>
      <c r="S230" s="799"/>
      <c r="T230" s="428"/>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216"/>
      <c r="BU230" s="216"/>
      <c r="BV230" s="216"/>
      <c r="BW230" s="216"/>
      <c r="BX230" s="216"/>
      <c r="BY230" s="216"/>
      <c r="BZ230" s="216"/>
      <c r="CA230" s="216"/>
      <c r="CB230" s="216"/>
      <c r="CC230" s="216"/>
      <c r="CD230" s="216"/>
      <c r="CE230" s="216"/>
      <c r="CF230" s="216"/>
      <c r="CG230" s="216"/>
      <c r="CH230" s="216"/>
    </row>
    <row r="231" spans="1:86" ht="60" customHeight="1" x14ac:dyDescent="0.3">
      <c r="A231" s="820"/>
      <c r="B231" s="805"/>
      <c r="C231" s="808"/>
      <c r="D231" s="805"/>
      <c r="E231" s="805"/>
      <c r="F231" s="805"/>
      <c r="G231" s="817"/>
      <c r="H231" s="427"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31" s="798" t="str">
        <f ca="1">IFERROR(IF(INDEX('WPTM - Section F'!R$1:R$100,MATCH('Print View'!$A229,'WPTM - Section F'!$A$1:$A$100,0))&lt;&gt;0,INDEX('WPTM - Section F'!R$1:R$100,MATCH('Print View'!$A229,'WPTM - Section F'!$A$1:$A$100,0)),""),"")</f>
        <v/>
      </c>
      <c r="J231" s="799"/>
      <c r="K231" s="799"/>
      <c r="L231" s="799"/>
      <c r="M231" s="800"/>
      <c r="N231" s="798" t="str">
        <f ca="1">IFERROR(IF(INDEX('WPTM - Section F'!S$1:S$100,MATCH('Print View'!$A229,'WPTM - Section F'!$A$1:$A$100,0))&lt;&gt;0,INDEX('WPTM - Section F'!S$1:S$100,MATCH('Print View'!$A229,'WPTM - Section F'!$A$1:$A$100,0)),""),"")</f>
        <v/>
      </c>
      <c r="O231" s="799"/>
      <c r="P231" s="799"/>
      <c r="Q231" s="799"/>
      <c r="R231" s="799"/>
      <c r="S231" s="799"/>
      <c r="T231" s="428"/>
      <c r="U231" s="216"/>
      <c r="V231" s="216"/>
      <c r="W231" s="216"/>
      <c r="X231" s="216"/>
      <c r="Y231" s="216"/>
      <c r="Z231" s="216"/>
      <c r="AA231" s="216"/>
      <c r="AB231" s="216"/>
      <c r="AC231" s="216"/>
      <c r="AD231" s="216"/>
      <c r="AE231" s="216"/>
      <c r="AF231" s="216"/>
      <c r="AG231" s="216"/>
      <c r="AH231" s="216"/>
      <c r="AI231" s="216"/>
      <c r="AJ231" s="216"/>
      <c r="AK231" s="216"/>
      <c r="AL231" s="216"/>
      <c r="AM231" s="216"/>
      <c r="AN231" s="216"/>
      <c r="AO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16"/>
      <c r="BK231" s="216"/>
      <c r="BL231" s="216"/>
      <c r="BM231" s="216"/>
      <c r="BN231" s="216"/>
      <c r="BO231" s="216"/>
      <c r="BP231" s="216"/>
      <c r="BQ231" s="216"/>
      <c r="BR231" s="216"/>
      <c r="BS231" s="216"/>
      <c r="BT231" s="216"/>
      <c r="BU231" s="216"/>
      <c r="BV231" s="216"/>
      <c r="BW231" s="216"/>
      <c r="BX231" s="216"/>
      <c r="BY231" s="216"/>
      <c r="BZ231" s="216"/>
      <c r="CA231" s="216"/>
      <c r="CB231" s="216"/>
      <c r="CC231" s="216"/>
      <c r="CD231" s="216"/>
      <c r="CE231" s="216"/>
      <c r="CF231" s="216"/>
      <c r="CG231" s="216"/>
      <c r="CH231" s="216"/>
    </row>
    <row r="232" spans="1:86" ht="60" customHeight="1" x14ac:dyDescent="0.3">
      <c r="A232" s="820"/>
      <c r="B232" s="805"/>
      <c r="C232" s="808"/>
      <c r="D232" s="805"/>
      <c r="E232" s="805"/>
      <c r="F232" s="805"/>
      <c r="G232" s="817"/>
      <c r="H232" s="427"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32" s="798" t="str">
        <f ca="1">IFERROR(IF(INDEX('WPTM - Section F'!V$1:V$100,MATCH('Print View'!$A229,'WPTM - Section F'!$A$1:$A$100,0))&lt;&gt;0,INDEX('WPTM - Section F'!V$1:V$100,MATCH('Print View'!$A229,'WPTM - Section F'!$A$1:$A$100,0)),""),"")</f>
        <v/>
      </c>
      <c r="J232" s="799"/>
      <c r="K232" s="799"/>
      <c r="L232" s="799"/>
      <c r="M232" s="800"/>
      <c r="N232" s="798" t="str">
        <f ca="1">IFERROR(IF(INDEX('WPTM - Section F'!W$1:W$100,MATCH('Print View'!$A229,'WPTM - Section F'!$A$1:$A$100,0))&lt;&gt;0,INDEX('WPTM - Section F'!W$1:W$100,MATCH('Print View'!$A229,'WPTM - Section F'!$A$1:$A$100,0)),""),"")</f>
        <v/>
      </c>
      <c r="O232" s="799"/>
      <c r="P232" s="799"/>
      <c r="Q232" s="799"/>
      <c r="R232" s="799"/>
      <c r="S232" s="799"/>
      <c r="T232" s="428"/>
      <c r="U232" s="216"/>
      <c r="V232" s="216"/>
      <c r="W232" s="216"/>
      <c r="X232" s="216"/>
      <c r="Y232" s="216"/>
      <c r="Z232" s="216"/>
      <c r="AA232" s="216"/>
      <c r="AB232" s="216"/>
      <c r="AC232" s="216"/>
      <c r="AD232" s="216"/>
      <c r="AE232" s="216"/>
      <c r="AF232" s="216"/>
      <c r="AG232" s="216"/>
      <c r="AH232" s="216"/>
      <c r="AI232" s="216"/>
      <c r="AJ232" s="216"/>
      <c r="AK232" s="216"/>
      <c r="AL232" s="216"/>
      <c r="AM232" s="216"/>
      <c r="AN232" s="216"/>
      <c r="AO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216"/>
      <c r="BK232" s="216"/>
      <c r="BL232" s="216"/>
      <c r="BM232" s="216"/>
      <c r="BN232" s="216"/>
      <c r="BO232" s="216"/>
      <c r="BP232" s="216"/>
      <c r="BQ232" s="216"/>
      <c r="BR232" s="216"/>
      <c r="BS232" s="216"/>
      <c r="BT232" s="216"/>
      <c r="BU232" s="216"/>
      <c r="BV232" s="216"/>
      <c r="BW232" s="216"/>
      <c r="BX232" s="216"/>
      <c r="BY232" s="216"/>
      <c r="BZ232" s="216"/>
      <c r="CA232" s="216"/>
      <c r="CB232" s="216"/>
      <c r="CC232" s="216"/>
      <c r="CD232" s="216"/>
      <c r="CE232" s="216"/>
      <c r="CF232" s="216"/>
      <c r="CG232" s="216"/>
      <c r="CH232" s="216"/>
    </row>
    <row r="233" spans="1:86" ht="60" customHeight="1" x14ac:dyDescent="0.3">
      <c r="A233" s="820"/>
      <c r="B233" s="805"/>
      <c r="C233" s="808"/>
      <c r="D233" s="805"/>
      <c r="E233" s="805"/>
      <c r="F233" s="805"/>
      <c r="G233" s="817"/>
      <c r="H233" s="427"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33" s="798" t="str">
        <f ca="1">IFERROR(IF(INDEX('WPTM - Section F'!Z$1:Z$100,MATCH('Print View'!$A229,'WPTM - Section F'!$A$1:$A$100,0))&lt;&gt;0,INDEX('WPTM - Section F'!Z$1:Z$100,MATCH('Print View'!$A229,'WPTM - Section F'!$A$1:$A$100,0)),""),"")</f>
        <v/>
      </c>
      <c r="J233" s="799"/>
      <c r="K233" s="799"/>
      <c r="L233" s="799"/>
      <c r="M233" s="800"/>
      <c r="N233" s="798" t="str">
        <f ca="1">IFERROR(IF(INDEX('WPTM - Section F'!AA$1:AA$100,MATCH('Print View'!$A229,'WPTM - Section F'!$A$1:$A$100,0))&lt;&gt;0,INDEX('WPTM - Section F'!AA$1:AA$100,MATCH('Print View'!$A229,'WPTM - Section F'!$A$1:$A$100,0)),""),"")</f>
        <v/>
      </c>
      <c r="O233" s="799"/>
      <c r="P233" s="799"/>
      <c r="Q233" s="799"/>
      <c r="R233" s="799"/>
      <c r="S233" s="799"/>
      <c r="T233" s="428"/>
      <c r="U233" s="216"/>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16"/>
      <c r="BK233" s="216"/>
      <c r="BL233" s="216"/>
      <c r="BM233" s="216"/>
      <c r="BN233" s="216"/>
      <c r="BO233" s="216"/>
      <c r="BP233" s="216"/>
      <c r="BQ233" s="216"/>
      <c r="BR233" s="216"/>
      <c r="BS233" s="216"/>
      <c r="BT233" s="216"/>
      <c r="BU233" s="216"/>
      <c r="BV233" s="216"/>
      <c r="BW233" s="216"/>
      <c r="BX233" s="216"/>
      <c r="BY233" s="216"/>
      <c r="BZ233" s="216"/>
      <c r="CA233" s="216"/>
      <c r="CB233" s="216"/>
      <c r="CC233" s="216"/>
      <c r="CD233" s="216"/>
      <c r="CE233" s="216"/>
      <c r="CF233" s="216"/>
      <c r="CG233" s="216"/>
      <c r="CH233" s="216"/>
    </row>
    <row r="234" spans="1:86" ht="60" customHeight="1" x14ac:dyDescent="0.3">
      <c r="A234" s="820"/>
      <c r="B234" s="805"/>
      <c r="C234" s="808"/>
      <c r="D234" s="805"/>
      <c r="E234" s="805"/>
      <c r="F234" s="805"/>
      <c r="G234" s="817"/>
      <c r="H234" s="427"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34" s="798" t="str">
        <f ca="1">IFERROR(IF(INDEX('WPTM - Section F'!AD$1:AD$100,MATCH('Print View'!$A229,'WPTM - Section F'!$A$1:$A$100,0))&lt;&gt;0,INDEX('WPTM - Section F'!AD$1:AD$100,MATCH('Print View'!$A229,'WPTM - Section F'!$A$1:$A$100,0)),""),"")</f>
        <v/>
      </c>
      <c r="J234" s="799"/>
      <c r="K234" s="799"/>
      <c r="L234" s="799"/>
      <c r="M234" s="800"/>
      <c r="N234" s="798" t="str">
        <f ca="1">IFERROR(IF(INDEX('WPTM - Section F'!AE$1:AE$100,MATCH('Print View'!$A229,'WPTM - Section F'!$A$1:$A$100,0))&lt;&gt;0,INDEX('WPTM - Section F'!AE$1:AE$100,MATCH('Print View'!$A229,'WPTM - Section F'!$A$1:$A$100,0)),""),"")</f>
        <v/>
      </c>
      <c r="O234" s="799"/>
      <c r="P234" s="799"/>
      <c r="Q234" s="799"/>
      <c r="R234" s="799"/>
      <c r="S234" s="799"/>
      <c r="T234" s="428"/>
      <c r="U234" s="216"/>
      <c r="V234" s="216"/>
      <c r="W234" s="216"/>
      <c r="X234" s="216"/>
      <c r="Y234" s="216"/>
      <c r="Z234" s="216"/>
      <c r="AA234" s="216"/>
      <c r="AB234" s="216"/>
      <c r="AC234" s="216"/>
      <c r="AD234" s="216"/>
      <c r="AE234" s="216"/>
      <c r="AF234" s="216"/>
      <c r="AG234" s="216"/>
      <c r="AH234" s="216"/>
      <c r="AI234" s="216"/>
      <c r="AJ234" s="216"/>
      <c r="AK234" s="216"/>
      <c r="AL234" s="216"/>
      <c r="AM234" s="216"/>
      <c r="AN234" s="216"/>
      <c r="AO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216"/>
      <c r="BK234" s="216"/>
      <c r="BL234" s="216"/>
      <c r="BM234" s="216"/>
      <c r="BN234" s="216"/>
      <c r="BO234" s="216"/>
      <c r="BP234" s="216"/>
      <c r="BQ234" s="216"/>
      <c r="BR234" s="216"/>
      <c r="BS234" s="216"/>
      <c r="BT234" s="216"/>
      <c r="BU234" s="216"/>
      <c r="BV234" s="216"/>
      <c r="BW234" s="216"/>
      <c r="BX234" s="216"/>
      <c r="BY234" s="216"/>
      <c r="BZ234" s="216"/>
      <c r="CA234" s="216"/>
      <c r="CB234" s="216"/>
      <c r="CC234" s="216"/>
      <c r="CD234" s="216"/>
      <c r="CE234" s="216"/>
      <c r="CF234" s="216"/>
      <c r="CG234" s="216"/>
      <c r="CH234" s="216"/>
    </row>
    <row r="235" spans="1:86" ht="60" customHeight="1" x14ac:dyDescent="0.3">
      <c r="A235" s="820"/>
      <c r="B235" s="806"/>
      <c r="C235" s="809"/>
      <c r="D235" s="806"/>
      <c r="E235" s="806"/>
      <c r="F235" s="806"/>
      <c r="G235" s="818"/>
      <c r="H235" s="427" t="str">
        <f>IF(IFERROR(INDEX('Overview - Section A'!$A$46:$A$53,MATCH(D$29,'Overview - Section A'!$B$46:$B$53,0)),"")="","",TEXT(IFERROR(INDEX('Overview - Section A'!$A$46:$A$53,MATCH(D$29,'Overview - Section A'!$B$46:$B$53,0)),""),Setup!$A$33) &amp;" to " &amp; TEXT(IFERROR(INDEX('Overview - Section A'!$E$46:$E$53,MATCH(D$29,'Overview - Section A'!$B$46:$B$53,0)),""),Setup!$A$33))</f>
        <v/>
      </c>
      <c r="I235" s="798" t="str">
        <f ca="1">IFERROR(IF(INDEX('WPTM - Section F'!AH$1:AH$100,MATCH('Print View'!$A229,'WPTM - Section F'!$A$1:$A$100,0))&lt;&gt;0,INDEX('WPTM - Section F'!AH$1:AH$100,MATCH('Print View'!$A229,'WPTM - Section F'!$A$1:$A$100,0)),""),"")</f>
        <v/>
      </c>
      <c r="J235" s="799"/>
      <c r="K235" s="799"/>
      <c r="L235" s="799"/>
      <c r="M235" s="800"/>
      <c r="N235" s="798" t="str">
        <f ca="1">IFERROR(IF(INDEX('WPTM - Section F'!AI$1:AI$100,MATCH('Print View'!$A229,'WPTM - Section F'!$A$1:$A$100,0))&lt;&gt;0,INDEX('WPTM - Section F'!AI$1:AI$100,MATCH('Print View'!$A229,'WPTM - Section F'!$A$1:$A$100,0)),""),"")</f>
        <v/>
      </c>
      <c r="O235" s="799"/>
      <c r="P235" s="799"/>
      <c r="Q235" s="799"/>
      <c r="R235" s="799"/>
      <c r="S235" s="799"/>
      <c r="T235" s="428"/>
      <c r="U235" s="216"/>
      <c r="V235" s="216"/>
      <c r="W235" s="216"/>
      <c r="X235" s="216"/>
      <c r="Y235" s="216"/>
      <c r="Z235" s="216"/>
      <c r="AA235" s="216"/>
      <c r="AB235" s="216"/>
      <c r="AC235" s="216"/>
      <c r="AD235" s="216"/>
      <c r="AE235" s="216"/>
      <c r="AF235" s="216"/>
      <c r="AG235" s="216"/>
      <c r="AH235" s="216"/>
      <c r="AI235" s="216"/>
      <c r="AJ235" s="216"/>
      <c r="AK235" s="216"/>
      <c r="AL235" s="216"/>
      <c r="AM235" s="216"/>
      <c r="AN235" s="216"/>
      <c r="AO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216"/>
      <c r="BK235" s="216"/>
      <c r="BL235" s="216"/>
      <c r="BM235" s="216"/>
      <c r="BN235" s="216"/>
      <c r="BO235" s="216"/>
      <c r="BP235" s="216"/>
      <c r="BQ235" s="216"/>
      <c r="BR235" s="216"/>
      <c r="BS235" s="216"/>
      <c r="BT235" s="216"/>
      <c r="BU235" s="216"/>
      <c r="BV235" s="216"/>
      <c r="BW235" s="216"/>
      <c r="BX235" s="216"/>
      <c r="BY235" s="216"/>
      <c r="BZ235" s="216"/>
      <c r="CA235" s="216"/>
      <c r="CB235" s="216"/>
      <c r="CC235" s="216"/>
      <c r="CD235" s="216"/>
      <c r="CE235" s="216"/>
      <c r="CF235" s="216"/>
      <c r="CG235" s="216"/>
      <c r="CH235" s="216"/>
    </row>
    <row r="236" spans="1:86" ht="60" customHeight="1" x14ac:dyDescent="0.55000000000000004">
      <c r="A236" s="821"/>
      <c r="B236" s="813" t="str">
        <f ca="1">IFERROR(IF(INDEX('WPTM - Section F'!AV$1:AV$100,MATCH('Print View'!$A229,'WPTM - Section F'!$A$1:$A$100,0))&lt;&gt;0,INDEX('WPTM - Section F'!AV$1:AV$100,MATCH('Print View'!$A229,'WPTM - Section F'!$A$1:$A$100,0)),""),"")</f>
        <v/>
      </c>
      <c r="C236" s="814"/>
      <c r="D236" s="814"/>
      <c r="E236" s="814"/>
      <c r="F236" s="814"/>
      <c r="G236" s="814"/>
      <c r="H236" s="814"/>
      <c r="I236" s="814"/>
      <c r="J236" s="814"/>
      <c r="K236" s="814"/>
      <c r="L236" s="814"/>
      <c r="M236" s="814"/>
      <c r="N236" s="814"/>
      <c r="O236" s="814"/>
      <c r="P236" s="814"/>
      <c r="Q236" s="814"/>
      <c r="R236" s="814"/>
      <c r="S236" s="815"/>
      <c r="T236" s="417"/>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16"/>
      <c r="BL236" s="216"/>
      <c r="BM236" s="216"/>
      <c r="BN236" s="216"/>
      <c r="BO236" s="216"/>
      <c r="BP236" s="216"/>
      <c r="BQ236" s="216"/>
      <c r="BR236" s="216"/>
      <c r="BS236" s="216"/>
      <c r="BT236" s="216"/>
      <c r="BU236" s="216"/>
      <c r="BV236" s="216"/>
      <c r="BW236" s="216"/>
      <c r="BX236" s="216"/>
      <c r="BY236" s="216"/>
      <c r="BZ236" s="216"/>
      <c r="CA236" s="216"/>
      <c r="CB236" s="216"/>
      <c r="CC236" s="216"/>
      <c r="CD236" s="216"/>
      <c r="CE236" s="216"/>
      <c r="CF236" s="216"/>
      <c r="CG236" s="216"/>
      <c r="CH236" s="216"/>
    </row>
    <row r="237" spans="1:86" ht="60" customHeight="1" x14ac:dyDescent="0.55000000000000004">
      <c r="A237" s="801">
        <v>3</v>
      </c>
      <c r="B237" s="804" t="str">
        <f ca="1">IFERROR(IF(INDEX('WPTM - Section F'!B$1:B$100,MATCH('Print View'!$A237,'WPTM - Section F'!$A$1:$A$100,0))&lt;&gt;0,INDEX('WPTM - Section F'!B$1:B$100,MATCH('Print View'!$A237,'WPTM - Section F'!$A$1:$A$100,0)),""),"")</f>
        <v/>
      </c>
      <c r="C237" s="807" t="str">
        <f ca="1">IFERROR(IF(INDEX('WPTM - Section F'!C$1:C$100,MATCH('Print View'!$A237,'WPTM - Section F'!$A$1:$A$100,0))&lt;&gt;0,INDEX('WPTM - Section F'!C$1:C$100,MATCH('Print View'!$A237,'WPTM - Section F'!$A$1:$A$100,0)),""),"")</f>
        <v/>
      </c>
      <c r="D237" s="804" t="str">
        <f ca="1">IFERROR(IF(INDEX('WPTM - Section F'!D$1:D$100,MATCH('Print View'!$A237,'WPTM - Section F'!$A$1:$A$100,0))&lt;&gt;0,INDEX('WPTM - Section F'!D$1:D$100,MATCH('Print View'!$A237,'WPTM - Section F'!$A$1:$A$100,0)),""),"")</f>
        <v/>
      </c>
      <c r="E237" s="804" t="str">
        <f ca="1">IFERROR(IF(INDEX('WPTM - Section F'!E$1:E$100,MATCH('Print View'!$A237,'WPTM - Section F'!$A$1:$A$100,0))&lt;&gt;0,INDEX('WPTM - Section F'!E$1:E$100,MATCH('Print View'!$A237,'WPTM - Section F'!$A$1:$A$100,0)),""),"")</f>
        <v/>
      </c>
      <c r="F237" s="804" t="str">
        <f ca="1">IFERROR(IF(INDEX('WPTM - Section F'!F$1:F$100,MATCH('Print View'!$A237,'WPTM - Section F'!$A$1:$A$100,0))&lt;&gt;0,INDEX('WPTM - Section F'!F$1:F$100,MATCH('Print View'!$A237,'WPTM - Section F'!$A$1:$A$100,0)),""),"")</f>
        <v/>
      </c>
      <c r="G237" s="816" t="str">
        <f ca="1">IFERROR(IF(INDEX('WPTM - Section F'!G$1:G$100,MATCH('Print View'!$A237,'WPTM - Section F'!$A$1:$A$100,0))&lt;&gt;0,INDEX('WPTM - Section F'!G$1:G$100,MATCH('Print View'!$A237,'WPTM - Section F'!$A$1:$A$100,0)),""),"")</f>
        <v/>
      </c>
      <c r="H237" s="424"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37" s="795" t="str">
        <f ca="1">IFERROR(IF(INDEX('WPTM - Section F'!J$1:J$100,MATCH('Print View'!$A237,'WPTM - Section F'!$A$1:$A$100,0))&lt;&gt;0,INDEX('WPTM - Section F'!J$1:J$100,MATCH('Print View'!$A237,'WPTM - Section F'!$A$1:$A$100,0)),""),"")</f>
        <v/>
      </c>
      <c r="J237" s="796"/>
      <c r="K237" s="796"/>
      <c r="L237" s="796"/>
      <c r="M237" s="797"/>
      <c r="N237" s="795" t="str">
        <f ca="1">IFERROR(IF(INDEX('WPTM - Section F'!K$1:K$100,MATCH('Print View'!$A237,'WPTM - Section F'!$A$1:$A$100,0))&lt;&gt;0,INDEX('WPTM - Section F'!K$1:K$100,MATCH('Print View'!$A237,'WPTM - Section F'!$A$1:$A$100,0)),""),"")</f>
        <v/>
      </c>
      <c r="O237" s="796"/>
      <c r="P237" s="796"/>
      <c r="Q237" s="796"/>
      <c r="R237" s="796"/>
      <c r="S237" s="797"/>
      <c r="T237" s="426"/>
      <c r="U237" s="216"/>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216"/>
      <c r="CF237" s="216"/>
      <c r="CG237" s="216"/>
      <c r="CH237" s="216"/>
    </row>
    <row r="238" spans="1:86" ht="60" customHeight="1" x14ac:dyDescent="0.55000000000000004">
      <c r="A238" s="802"/>
      <c r="B238" s="805"/>
      <c r="C238" s="808"/>
      <c r="D238" s="805"/>
      <c r="E238" s="805"/>
      <c r="F238" s="805"/>
      <c r="G238" s="817"/>
      <c r="H238" s="424"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38" s="795" t="str">
        <f ca="1">IFERROR(IF(INDEX('WPTM - Section F'!N$1:N$100,MATCH('Print View'!$A237,'WPTM - Section F'!$A$1:$A$100,0))&lt;&gt;0,INDEX('WPTM - Section F'!N$1:N$100,MATCH('Print View'!$A237,'WPTM - Section F'!$A$1:$A$100,0)),""),"")</f>
        <v/>
      </c>
      <c r="J238" s="796"/>
      <c r="K238" s="796"/>
      <c r="L238" s="796"/>
      <c r="M238" s="797"/>
      <c r="N238" s="795" t="str">
        <f ca="1">IFERROR(IF(INDEX('WPTM - Section F'!O$1:O$100,MATCH('Print View'!$A237,'WPTM - Section F'!$A$1:$A$100,0))&lt;&gt;0,INDEX('WPTM - Section F'!O$1:O$100,MATCH('Print View'!$A237,'WPTM - Section F'!$A$1:$A$100,0)),""),"")</f>
        <v/>
      </c>
      <c r="O238" s="796"/>
      <c r="P238" s="796"/>
      <c r="Q238" s="796"/>
      <c r="R238" s="796"/>
      <c r="S238" s="797"/>
      <c r="T238" s="42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16"/>
      <c r="BK238" s="216"/>
      <c r="BL238" s="216"/>
      <c r="BM238" s="216"/>
      <c r="BN238" s="216"/>
      <c r="BO238" s="216"/>
      <c r="BP238" s="216"/>
      <c r="BQ238" s="216"/>
      <c r="BR238" s="216"/>
      <c r="BS238" s="216"/>
      <c r="BT238" s="216"/>
      <c r="BU238" s="216"/>
      <c r="BV238" s="216"/>
      <c r="BW238" s="216"/>
      <c r="BX238" s="216"/>
      <c r="BY238" s="216"/>
      <c r="BZ238" s="216"/>
      <c r="CA238" s="216"/>
      <c r="CB238" s="216"/>
      <c r="CC238" s="216"/>
      <c r="CD238" s="216"/>
      <c r="CE238" s="216"/>
      <c r="CF238" s="216"/>
      <c r="CG238" s="216"/>
      <c r="CH238" s="216"/>
    </row>
    <row r="239" spans="1:86" ht="60" customHeight="1" x14ac:dyDescent="0.55000000000000004">
      <c r="A239" s="802"/>
      <c r="B239" s="805"/>
      <c r="C239" s="808"/>
      <c r="D239" s="805"/>
      <c r="E239" s="805"/>
      <c r="F239" s="805"/>
      <c r="G239" s="817"/>
      <c r="H239" s="424"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39" s="795" t="str">
        <f ca="1">IFERROR(IF(INDEX('WPTM - Section F'!R$1:R$100,MATCH('Print View'!$A237,'WPTM - Section F'!$A$1:$A$100,0))&lt;&gt;0,INDEX('WPTM - Section F'!R$1:R$100,MATCH('Print View'!$A237,'WPTM - Section F'!$A$1:$A$100,0)),""),"")</f>
        <v/>
      </c>
      <c r="J239" s="796"/>
      <c r="K239" s="796"/>
      <c r="L239" s="796"/>
      <c r="M239" s="797"/>
      <c r="N239" s="795" t="str">
        <f ca="1">IFERROR(IF(INDEX('WPTM - Section F'!S$1:S$100,MATCH('Print View'!$A237,'WPTM - Section F'!$A$1:$A$100,0))&lt;&gt;0,INDEX('WPTM - Section F'!S$1:S$100,MATCH('Print View'!$A237,'WPTM - Section F'!$A$1:$A$100,0)),""),"")</f>
        <v/>
      </c>
      <c r="O239" s="796"/>
      <c r="P239" s="796"/>
      <c r="Q239" s="796"/>
      <c r="R239" s="796"/>
      <c r="S239" s="797"/>
      <c r="T239" s="426"/>
      <c r="U239" s="216"/>
      <c r="V239" s="216"/>
      <c r="W239" s="216"/>
      <c r="X239" s="216"/>
      <c r="Y239" s="216"/>
      <c r="Z239" s="216"/>
      <c r="AA239" s="216"/>
      <c r="AB239" s="216"/>
      <c r="AC239" s="216"/>
      <c r="AD239" s="216"/>
      <c r="AE239" s="216"/>
      <c r="AF239" s="216"/>
      <c r="AG239" s="216"/>
      <c r="AH239" s="216"/>
      <c r="AI239" s="216"/>
      <c r="AJ239" s="216"/>
      <c r="AK239" s="216"/>
      <c r="AL239" s="216"/>
      <c r="AM239" s="216"/>
      <c r="AN239" s="216"/>
      <c r="AO239" s="216"/>
      <c r="AQ239" s="216"/>
      <c r="AR239" s="216"/>
      <c r="AS239" s="216"/>
      <c r="AT239" s="216"/>
      <c r="AU239" s="216"/>
      <c r="AV239" s="216"/>
      <c r="AW239" s="216"/>
      <c r="AX239" s="216"/>
      <c r="AY239" s="216"/>
      <c r="AZ239" s="216"/>
      <c r="BA239" s="216"/>
      <c r="BB239" s="216"/>
      <c r="BC239" s="216"/>
      <c r="BD239" s="216"/>
      <c r="BE239" s="216"/>
      <c r="BF239" s="216"/>
      <c r="BG239" s="216"/>
      <c r="BH239" s="216"/>
      <c r="BI239" s="216"/>
      <c r="BJ239" s="216"/>
      <c r="BK239" s="216"/>
      <c r="BL239" s="216"/>
      <c r="BM239" s="216"/>
      <c r="BN239" s="216"/>
      <c r="BO239" s="216"/>
      <c r="BP239" s="216"/>
      <c r="BQ239" s="216"/>
      <c r="BR239" s="216"/>
      <c r="BS239" s="216"/>
      <c r="BT239" s="216"/>
      <c r="BU239" s="216"/>
      <c r="BV239" s="216"/>
      <c r="BW239" s="216"/>
      <c r="BX239" s="216"/>
      <c r="BY239" s="216"/>
      <c r="BZ239" s="216"/>
      <c r="CA239" s="216"/>
      <c r="CB239" s="216"/>
      <c r="CC239" s="216"/>
      <c r="CD239" s="216"/>
      <c r="CE239" s="216"/>
      <c r="CF239" s="216"/>
      <c r="CG239" s="216"/>
      <c r="CH239" s="216"/>
    </row>
    <row r="240" spans="1:86" ht="60" customHeight="1" x14ac:dyDescent="0.55000000000000004">
      <c r="A240" s="802"/>
      <c r="B240" s="805"/>
      <c r="C240" s="808"/>
      <c r="D240" s="805"/>
      <c r="E240" s="805"/>
      <c r="F240" s="805"/>
      <c r="G240" s="817"/>
      <c r="H240" s="424"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40" s="795" t="str">
        <f ca="1">IFERROR(IF(INDEX('WPTM - Section F'!V$1:V$100,MATCH('Print View'!$A237,'WPTM - Section F'!$A$1:$A$100,0))&lt;&gt;0,INDEX('WPTM - Section F'!V$1:V$100,MATCH('Print View'!$A237,'WPTM - Section F'!$A$1:$A$100,0)),""),"")</f>
        <v/>
      </c>
      <c r="J240" s="796"/>
      <c r="K240" s="796"/>
      <c r="L240" s="796"/>
      <c r="M240" s="797"/>
      <c r="N240" s="795" t="str">
        <f ca="1">IFERROR(IF(INDEX('WPTM - Section F'!W$1:W$100,MATCH('Print View'!$A237,'WPTM - Section F'!$A$1:$A$100,0))&lt;&gt;0,INDEX('WPTM - Section F'!W$1:W$100,MATCH('Print View'!$A237,'WPTM - Section F'!$A$1:$A$100,0)),""),"")</f>
        <v/>
      </c>
      <c r="O240" s="796"/>
      <c r="P240" s="796"/>
      <c r="Q240" s="796"/>
      <c r="R240" s="796"/>
      <c r="S240" s="797"/>
      <c r="T240" s="426"/>
      <c r="U240" s="216"/>
      <c r="V240" s="216"/>
      <c r="W240" s="216"/>
      <c r="X240" s="216"/>
      <c r="Y240" s="216"/>
      <c r="Z240" s="216"/>
      <c r="AA240" s="216"/>
      <c r="AB240" s="216"/>
      <c r="AC240" s="216"/>
      <c r="AD240" s="216"/>
      <c r="AE240" s="216"/>
      <c r="AF240" s="216"/>
      <c r="AG240" s="216"/>
      <c r="AH240" s="216"/>
      <c r="AI240" s="216"/>
      <c r="AJ240" s="216"/>
      <c r="AK240" s="216"/>
      <c r="AL240" s="216"/>
      <c r="AM240" s="216"/>
      <c r="AN240" s="216"/>
      <c r="AO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216"/>
      <c r="BK240" s="216"/>
      <c r="BL240" s="216"/>
      <c r="BM240" s="216"/>
      <c r="BN240" s="216"/>
      <c r="BO240" s="216"/>
      <c r="BP240" s="216"/>
      <c r="BQ240" s="216"/>
      <c r="BR240" s="216"/>
      <c r="BS240" s="216"/>
      <c r="BT240" s="216"/>
      <c r="BU240" s="216"/>
      <c r="BV240" s="216"/>
      <c r="BW240" s="216"/>
      <c r="BX240" s="216"/>
      <c r="BY240" s="216"/>
      <c r="BZ240" s="216"/>
      <c r="CA240" s="216"/>
      <c r="CB240" s="216"/>
      <c r="CC240" s="216"/>
      <c r="CD240" s="216"/>
      <c r="CE240" s="216"/>
      <c r="CF240" s="216"/>
      <c r="CG240" s="216"/>
      <c r="CH240" s="216"/>
    </row>
    <row r="241" spans="1:86" ht="60" customHeight="1" x14ac:dyDescent="0.55000000000000004">
      <c r="A241" s="802"/>
      <c r="B241" s="805"/>
      <c r="C241" s="808"/>
      <c r="D241" s="805"/>
      <c r="E241" s="805"/>
      <c r="F241" s="805"/>
      <c r="G241" s="817"/>
      <c r="H241" s="424"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41" s="795" t="str">
        <f ca="1">IFERROR(IF(INDEX('WPTM - Section F'!Z$1:Z$100,MATCH('Print View'!$A237,'WPTM - Section F'!$A$1:$A$100,0))&lt;&gt;0,INDEX('WPTM - Section F'!Z$1:Z$100,MATCH('Print View'!$A237,'WPTM - Section F'!$A$1:$A$100,0)),""),"")</f>
        <v/>
      </c>
      <c r="J241" s="796"/>
      <c r="K241" s="796"/>
      <c r="L241" s="796"/>
      <c r="M241" s="797"/>
      <c r="N241" s="795" t="str">
        <f ca="1">IFERROR(IF(INDEX('WPTM - Section F'!AA$1:AA$100,MATCH('Print View'!$A237,'WPTM - Section F'!$A$1:$A$100,0))&lt;&gt;0,INDEX('WPTM - Section F'!AA$1:AA$100,MATCH('Print View'!$A237,'WPTM - Section F'!$A$1:$A$100,0)),""),"")</f>
        <v/>
      </c>
      <c r="O241" s="796"/>
      <c r="P241" s="796"/>
      <c r="Q241" s="796"/>
      <c r="R241" s="796"/>
      <c r="S241" s="797"/>
      <c r="T241" s="426"/>
      <c r="U241" s="216"/>
      <c r="V241" s="216"/>
      <c r="W241" s="216"/>
      <c r="X241" s="216"/>
      <c r="Y241" s="216"/>
      <c r="Z241" s="216"/>
      <c r="AA241" s="216"/>
      <c r="AB241" s="216"/>
      <c r="AC241" s="216"/>
      <c r="AD241" s="216"/>
      <c r="AE241" s="216"/>
      <c r="AF241" s="216"/>
      <c r="AG241" s="216"/>
      <c r="AH241" s="216"/>
      <c r="AI241" s="216"/>
      <c r="AJ241" s="216"/>
      <c r="AK241" s="216"/>
      <c r="AL241" s="216"/>
      <c r="AM241" s="216"/>
      <c r="AN241" s="216"/>
      <c r="AO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216"/>
      <c r="BK241" s="216"/>
      <c r="BL241" s="216"/>
      <c r="BM241" s="216"/>
      <c r="BN241" s="216"/>
      <c r="BO241" s="216"/>
      <c r="BP241" s="216"/>
      <c r="BQ241" s="216"/>
      <c r="BR241" s="216"/>
      <c r="BS241" s="216"/>
      <c r="BT241" s="216"/>
      <c r="BU241" s="216"/>
      <c r="BV241" s="216"/>
      <c r="BW241" s="216"/>
      <c r="BX241" s="216"/>
      <c r="BY241" s="216"/>
      <c r="BZ241" s="216"/>
      <c r="CA241" s="216"/>
      <c r="CB241" s="216"/>
      <c r="CC241" s="216"/>
      <c r="CD241" s="216"/>
      <c r="CE241" s="216"/>
      <c r="CF241" s="216"/>
      <c r="CG241" s="216"/>
      <c r="CH241" s="216"/>
    </row>
    <row r="242" spans="1:86" ht="60" customHeight="1" x14ac:dyDescent="0.55000000000000004">
      <c r="A242" s="802"/>
      <c r="B242" s="805"/>
      <c r="C242" s="808"/>
      <c r="D242" s="805"/>
      <c r="E242" s="805"/>
      <c r="F242" s="805"/>
      <c r="G242" s="817"/>
      <c r="H242" s="424"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42" s="795" t="str">
        <f ca="1">IFERROR(IF(INDEX('WPTM - Section F'!AD$1:AD$100,MATCH('Print View'!$A237,'WPTM - Section F'!$A$1:$A$100,0))&lt;&gt;0,INDEX('WPTM - Section F'!AD$1:AD$100,MATCH('Print View'!$A237,'WPTM - Section F'!$A$1:$A$100,0)),""),"")</f>
        <v/>
      </c>
      <c r="J242" s="796"/>
      <c r="K242" s="796"/>
      <c r="L242" s="796"/>
      <c r="M242" s="797"/>
      <c r="N242" s="795" t="str">
        <f ca="1">IFERROR(IF(INDEX('WPTM - Section F'!AE$1:AE$100,MATCH('Print View'!$A237,'WPTM - Section F'!$A$1:$A$100,0))&lt;&gt;0,INDEX('WPTM - Section F'!AE$1:AE$100,MATCH('Print View'!$A237,'WPTM - Section F'!$A$1:$A$100,0)),""),"")</f>
        <v/>
      </c>
      <c r="O242" s="796"/>
      <c r="P242" s="796"/>
      <c r="Q242" s="796"/>
      <c r="R242" s="796"/>
      <c r="S242" s="797"/>
      <c r="T242" s="426"/>
      <c r="U242" s="216"/>
      <c r="V242" s="216"/>
      <c r="W242" s="216"/>
      <c r="X242" s="216"/>
      <c r="Y242" s="216"/>
      <c r="Z242" s="216"/>
      <c r="AA242" s="216"/>
      <c r="AB242" s="216"/>
      <c r="AC242" s="216"/>
      <c r="AD242" s="216"/>
      <c r="AE242" s="216"/>
      <c r="AF242" s="216"/>
      <c r="AG242" s="216"/>
      <c r="AH242" s="216"/>
      <c r="AI242" s="216"/>
      <c r="AJ242" s="216"/>
      <c r="AK242" s="216"/>
      <c r="AL242" s="216"/>
      <c r="AM242" s="216"/>
      <c r="AN242" s="216"/>
      <c r="AO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216"/>
      <c r="BK242" s="216"/>
      <c r="BL242" s="216"/>
      <c r="BM242" s="216"/>
      <c r="BN242" s="216"/>
      <c r="BO242" s="216"/>
      <c r="BP242" s="216"/>
      <c r="BQ242" s="216"/>
      <c r="BR242" s="216"/>
      <c r="BS242" s="216"/>
      <c r="BT242" s="216"/>
      <c r="BU242" s="216"/>
      <c r="BV242" s="216"/>
      <c r="BW242" s="216"/>
      <c r="BX242" s="216"/>
      <c r="BY242" s="216"/>
      <c r="BZ242" s="216"/>
      <c r="CA242" s="216"/>
      <c r="CB242" s="216"/>
      <c r="CC242" s="216"/>
      <c r="CD242" s="216"/>
      <c r="CE242" s="216"/>
      <c r="CF242" s="216"/>
      <c r="CG242" s="216"/>
      <c r="CH242" s="216"/>
    </row>
    <row r="243" spans="1:86" ht="60" customHeight="1" x14ac:dyDescent="0.55000000000000004">
      <c r="A243" s="802"/>
      <c r="B243" s="806"/>
      <c r="C243" s="809"/>
      <c r="D243" s="806"/>
      <c r="E243" s="806"/>
      <c r="F243" s="806"/>
      <c r="G243" s="818"/>
      <c r="H243" s="424" t="str">
        <f>IF(IFERROR(INDEX('Overview - Section A'!$A$46:$A$53,MATCH(D$29,'Overview - Section A'!$B$46:$B$53,0)),"")="","",TEXT(IFERROR(INDEX('Overview - Section A'!$A$46:$A$53,MATCH(D$29,'Overview - Section A'!$B$46:$B$53,0)),""),Setup!$A$33) &amp;" to " &amp; TEXT(IFERROR(INDEX('Overview - Section A'!$E$46:$E$53,MATCH(D$29,'Overview - Section A'!$B$46:$B$53,0)),""),Setup!$A$33))</f>
        <v/>
      </c>
      <c r="I243" s="795" t="str">
        <f ca="1">IFERROR(IF(INDEX('WPTM - Section F'!AH$1:AH$100,MATCH('Print View'!$A237,'WPTM - Section F'!$A$1:$A$100,0))&lt;&gt;0,INDEX('WPTM - Section F'!AH$1:AH$100,MATCH('Print View'!$A237,'WPTM - Section F'!$A$1:$A$100,0)),""),"")</f>
        <v/>
      </c>
      <c r="J243" s="796"/>
      <c r="K243" s="796"/>
      <c r="L243" s="796"/>
      <c r="M243" s="797"/>
      <c r="N243" s="795" t="str">
        <f ca="1">IFERROR(IF(INDEX('WPTM - Section F'!AI$1:AI$100,MATCH('Print View'!$A237,'WPTM - Section F'!$A$1:$A$100,0))&lt;&gt;0,INDEX('WPTM - Section F'!AI$1:AI$100,MATCH('Print View'!$A237,'WPTM - Section F'!$A$1:$A$100,0)),""),"")</f>
        <v/>
      </c>
      <c r="O243" s="796"/>
      <c r="P243" s="796"/>
      <c r="Q243" s="796"/>
      <c r="R243" s="796"/>
      <c r="S243" s="797"/>
      <c r="T243" s="426"/>
      <c r="U243" s="216"/>
      <c r="V243" s="216"/>
      <c r="W243" s="216"/>
      <c r="X243" s="216"/>
      <c r="Y243" s="216"/>
      <c r="Z243" s="216"/>
      <c r="AA243" s="216"/>
      <c r="AB243" s="216"/>
      <c r="AC243" s="216"/>
      <c r="AD243" s="216"/>
      <c r="AE243" s="216"/>
      <c r="AF243" s="216"/>
      <c r="AG243" s="216"/>
      <c r="AH243" s="216"/>
      <c r="AI243" s="216"/>
      <c r="AJ243" s="216"/>
      <c r="AK243" s="216"/>
      <c r="AL243" s="216"/>
      <c r="AM243" s="216"/>
      <c r="AN243" s="216"/>
      <c r="AO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16"/>
      <c r="BK243" s="216"/>
      <c r="BL243" s="216"/>
      <c r="BM243" s="216"/>
      <c r="BN243" s="216"/>
      <c r="BO243" s="216"/>
      <c r="BP243" s="216"/>
      <c r="BQ243" s="216"/>
      <c r="BR243" s="216"/>
      <c r="BS243" s="216"/>
      <c r="BT243" s="216"/>
      <c r="BU243" s="216"/>
      <c r="BV243" s="216"/>
      <c r="BW243" s="216"/>
      <c r="BX243" s="216"/>
      <c r="BY243" s="216"/>
      <c r="BZ243" s="216"/>
      <c r="CA243" s="216"/>
      <c r="CB243" s="216"/>
      <c r="CC243" s="216"/>
      <c r="CD243" s="216"/>
      <c r="CE243" s="216"/>
      <c r="CF243" s="216"/>
      <c r="CG243" s="216"/>
      <c r="CH243" s="216"/>
    </row>
    <row r="244" spans="1:86" ht="60" customHeight="1" x14ac:dyDescent="0.55000000000000004">
      <c r="A244" s="802"/>
      <c r="B244" s="791" t="str">
        <f ca="1">IFERROR(IF(INDEX('WPTM - Section F'!AV$1:AV$100,MATCH('Print View'!$A237,'WPTM - Section F'!$A$1:$A$100,0))&lt;&gt;0,INDEX('WPTM - Section F'!AV$1:AV$100,MATCH('Print View'!$A237,'WPTM - Section F'!$A$1:$A$100,0)),""),"")</f>
        <v/>
      </c>
      <c r="C244" s="792"/>
      <c r="D244" s="792"/>
      <c r="E244" s="792"/>
      <c r="F244" s="792"/>
      <c r="G244" s="792"/>
      <c r="H244" s="792"/>
      <c r="I244" s="792"/>
      <c r="J244" s="792"/>
      <c r="K244" s="792"/>
      <c r="L244" s="792"/>
      <c r="M244" s="792"/>
      <c r="N244" s="792"/>
      <c r="O244" s="792"/>
      <c r="P244" s="792"/>
      <c r="Q244" s="792"/>
      <c r="R244" s="792"/>
      <c r="S244" s="793"/>
      <c r="T244" s="426"/>
      <c r="U244" s="216"/>
      <c r="V244" s="216"/>
      <c r="W244" s="216"/>
      <c r="X244" s="216"/>
      <c r="Y244" s="216"/>
      <c r="Z244" s="216"/>
      <c r="AA244" s="216"/>
      <c r="AB244" s="216"/>
      <c r="AC244" s="216"/>
      <c r="AD244" s="216"/>
      <c r="AE244" s="216"/>
      <c r="AF244" s="216"/>
      <c r="AG244" s="216"/>
      <c r="AH244" s="216"/>
      <c r="AI244" s="216"/>
      <c r="AJ244" s="216"/>
      <c r="AK244" s="216"/>
      <c r="AL244" s="216"/>
      <c r="AM244" s="216"/>
      <c r="AN244" s="216"/>
      <c r="AO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16"/>
      <c r="BK244" s="216"/>
      <c r="BL244" s="216"/>
      <c r="BM244" s="216"/>
      <c r="BN244" s="216"/>
      <c r="BO244" s="216"/>
      <c r="BP244" s="216"/>
      <c r="BQ244" s="216"/>
      <c r="BR244" s="216"/>
      <c r="BS244" s="216"/>
      <c r="BT244" s="216"/>
      <c r="BU244" s="216"/>
      <c r="BV244" s="216"/>
      <c r="BW244" s="216"/>
      <c r="BX244" s="216"/>
      <c r="BY244" s="216"/>
      <c r="BZ244" s="216"/>
      <c r="CA244" s="216"/>
      <c r="CB244" s="216"/>
      <c r="CC244" s="216"/>
      <c r="CD244" s="216"/>
      <c r="CE244" s="216"/>
      <c r="CF244" s="216"/>
      <c r="CG244" s="216"/>
      <c r="CH244" s="216"/>
    </row>
    <row r="245" spans="1:86" ht="60" customHeight="1" x14ac:dyDescent="0.3">
      <c r="A245" s="801">
        <v>4</v>
      </c>
      <c r="B245" s="804" t="str">
        <f ca="1">IFERROR(IF(INDEX('WPTM - Section F'!B$1:B$100,MATCH('Print View'!$A245,'WPTM - Section F'!$A$1:$A$100,0))&lt;&gt;0,INDEX('WPTM - Section F'!B$1:B$100,MATCH('Print View'!$A245,'WPTM - Section F'!$A$1:$A$100,0)),""),"")</f>
        <v/>
      </c>
      <c r="C245" s="807" t="str">
        <f ca="1">IFERROR(IF(INDEX('WPTM - Section F'!C$1:C$100,MATCH('Print View'!$A245,'WPTM - Section F'!$A$1:$A$100,0))&lt;&gt;0,INDEX('WPTM - Section F'!C$1:C$100,MATCH('Print View'!$A245,'WPTM - Section F'!$A$1:$A$100,0)),""),"")</f>
        <v/>
      </c>
      <c r="D245" s="804" t="str">
        <f ca="1">IFERROR(IF(INDEX('WPTM - Section F'!D$1:D$100,MATCH('Print View'!$A245,'WPTM - Section F'!$A$1:$A$100,0))&lt;&gt;0,INDEX('WPTM - Section F'!D$1:D$100,MATCH('Print View'!$A245,'WPTM - Section F'!$A$1:$A$100,0)),""),"")</f>
        <v/>
      </c>
      <c r="E245" s="804" t="str">
        <f ca="1">IFERROR(IF(INDEX('WPTM - Section F'!E$1:E$100,MATCH('Print View'!$A245,'WPTM - Section F'!$A$1:$A$100,0))&lt;&gt;0,INDEX('WPTM - Section F'!E$1:E$100,MATCH('Print View'!$A245,'WPTM - Section F'!$A$1:$A$100,0)),""),"")</f>
        <v/>
      </c>
      <c r="F245" s="804" t="str">
        <f ca="1">IFERROR(IF(INDEX('WPTM - Section F'!F$1:F$100,MATCH('Print View'!$A245,'WPTM - Section F'!$A$1:$A$100,0))&lt;&gt;0,INDEX('WPTM - Section F'!F$1:F$100,MATCH('Print View'!$A245,'WPTM - Section F'!$A$1:$A$100,0)),""),"")</f>
        <v/>
      </c>
      <c r="G245" s="804" t="str">
        <f ca="1">IFERROR(IF(INDEX('WPTM - Section F'!G$1:G$100,MATCH('Print View'!A245,'WPTM - Section F'!$A$1:$A$100,0))&lt;&gt;0,INDEX('WPTM - Section F'!G$1:G$100,MATCH('Print View'!A245,'WPTM - Section F'!$A$1:$A$100,0)),""),"")</f>
        <v/>
      </c>
      <c r="H245" s="427"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45" s="798" t="str">
        <f ca="1">IFERROR(IF(INDEX('WPTM - Section F'!J$1:J$100,MATCH('Print View'!$A245,'WPTM - Section F'!$A$1:$A$100,0))&lt;&gt;0,INDEX('WPTM - Section F'!J$1:J$100,MATCH('Print View'!$A245,'WPTM - Section F'!$A$1:$A$100,0)),""),"")</f>
        <v/>
      </c>
      <c r="J245" s="799"/>
      <c r="K245" s="799"/>
      <c r="L245" s="799"/>
      <c r="M245" s="800"/>
      <c r="N245" s="798" t="str">
        <f ca="1">IFERROR(IF(INDEX('WPTM - Section F'!K$1:K$100,MATCH('Print View'!$A245,'WPTM - Section F'!$A$1:$A$100,0))&lt;&gt;0,INDEX('WPTM - Section F'!K$1:K$100,MATCH('Print View'!$A245,'WPTM - Section F'!$A$1:$A$100,0)),""),"")</f>
        <v/>
      </c>
      <c r="O245" s="799"/>
      <c r="P245" s="799"/>
      <c r="Q245" s="799"/>
      <c r="R245" s="799"/>
      <c r="S245" s="799"/>
      <c r="T245" s="417"/>
      <c r="U245" s="216"/>
      <c r="V245" s="216"/>
      <c r="W245" s="216"/>
      <c r="X245" s="216"/>
      <c r="Y245" s="216"/>
      <c r="Z245" s="216"/>
      <c r="AA245" s="216"/>
      <c r="AB245" s="216"/>
      <c r="AC245" s="216"/>
      <c r="AD245" s="216"/>
      <c r="AE245" s="216"/>
      <c r="AF245" s="216"/>
      <c r="AG245" s="216"/>
      <c r="AH245" s="216"/>
      <c r="AI245" s="216"/>
      <c r="AJ245" s="216"/>
      <c r="AK245" s="216"/>
      <c r="AL245" s="216"/>
      <c r="AM245" s="216"/>
      <c r="AN245" s="216"/>
      <c r="AO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16"/>
      <c r="BK245" s="216"/>
      <c r="BL245" s="216"/>
      <c r="BM245" s="216"/>
      <c r="BN245" s="216"/>
      <c r="BO245" s="216"/>
      <c r="BP245" s="216"/>
      <c r="BQ245" s="216"/>
      <c r="BR245" s="216"/>
      <c r="BS245" s="216"/>
      <c r="BT245" s="216"/>
      <c r="BU245" s="216"/>
      <c r="BV245" s="216"/>
      <c r="BW245" s="216"/>
      <c r="BX245" s="216"/>
      <c r="BY245" s="216"/>
      <c r="BZ245" s="216"/>
      <c r="CA245" s="216"/>
      <c r="CB245" s="216"/>
      <c r="CC245" s="216"/>
      <c r="CD245" s="216"/>
      <c r="CE245" s="216"/>
      <c r="CF245" s="216"/>
      <c r="CG245" s="216"/>
      <c r="CH245" s="216"/>
    </row>
    <row r="246" spans="1:86" ht="60" customHeight="1" x14ac:dyDescent="0.3">
      <c r="A246" s="802"/>
      <c r="B246" s="805"/>
      <c r="C246" s="808"/>
      <c r="D246" s="805"/>
      <c r="E246" s="805"/>
      <c r="F246" s="805"/>
      <c r="G246" s="805"/>
      <c r="H246" s="427"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46" s="798" t="str">
        <f ca="1">IFERROR(IF(INDEX('WPTM - Section F'!J$1:J$100,MATCH('Print View'!$A245,'WPTM - Section F'!$A$1:$A$100,0))&lt;&gt;0,INDEX('WPTM - Section F'!J$1:J$100,MATCH('Print View'!$A245,'WPTM - Section F'!$A$1:$A$100,0)),""),"")</f>
        <v/>
      </c>
      <c r="J246" s="799"/>
      <c r="K246" s="799"/>
      <c r="L246" s="799"/>
      <c r="M246" s="800"/>
      <c r="N246" s="798" t="str">
        <f ca="1">IFERROR(IF(INDEX('WPTM - Section F'!O$1:O$100,MATCH('Print View'!$A245,'WPTM - Section F'!$A$1:$A$100,0))&lt;&gt;0,INDEX('WPTM - Section F'!O$1:O$100,MATCH('Print View'!$A245,'WPTM - Section F'!$A$1:$A$100,0)),""),"")</f>
        <v/>
      </c>
      <c r="O246" s="799"/>
      <c r="P246" s="799"/>
      <c r="Q246" s="799"/>
      <c r="R246" s="799"/>
      <c r="S246" s="799"/>
      <c r="T246" s="417"/>
      <c r="U246" s="216"/>
      <c r="V246" s="216"/>
      <c r="W246" s="216"/>
      <c r="X246" s="216"/>
      <c r="Y246" s="216"/>
      <c r="Z246" s="216"/>
      <c r="AA246" s="216"/>
      <c r="AB246" s="216"/>
      <c r="AC246" s="216"/>
      <c r="AD246" s="216"/>
      <c r="AE246" s="216"/>
      <c r="AF246" s="216"/>
      <c r="AG246" s="216"/>
      <c r="AH246" s="216"/>
      <c r="AI246" s="216"/>
      <c r="AJ246" s="216"/>
      <c r="AK246" s="216"/>
      <c r="AL246" s="216"/>
      <c r="AM246" s="216"/>
      <c r="AN246" s="216"/>
      <c r="AO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16"/>
      <c r="BL246" s="216"/>
      <c r="BM246" s="216"/>
      <c r="BN246" s="216"/>
      <c r="BO246" s="216"/>
      <c r="BP246" s="216"/>
      <c r="BQ246" s="216"/>
      <c r="BR246" s="216"/>
      <c r="BS246" s="216"/>
      <c r="BT246" s="216"/>
      <c r="BU246" s="216"/>
      <c r="BV246" s="216"/>
      <c r="BW246" s="216"/>
      <c r="BX246" s="216"/>
      <c r="BY246" s="216"/>
      <c r="BZ246" s="216"/>
      <c r="CA246" s="216"/>
      <c r="CB246" s="216"/>
      <c r="CC246" s="216"/>
      <c r="CD246" s="216"/>
      <c r="CE246" s="216"/>
      <c r="CF246" s="216"/>
      <c r="CG246" s="216"/>
      <c r="CH246" s="216"/>
    </row>
    <row r="247" spans="1:86" ht="60" customHeight="1" x14ac:dyDescent="0.3">
      <c r="A247" s="802"/>
      <c r="B247" s="805"/>
      <c r="C247" s="808"/>
      <c r="D247" s="805"/>
      <c r="E247" s="805"/>
      <c r="F247" s="805"/>
      <c r="G247" s="805"/>
      <c r="H247" s="427"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47" s="798" t="str">
        <f ca="1">IFERROR(IF(INDEX('WPTM - Section F'!R$1:R$100,MATCH('Print View'!$A245,'WPTM - Section F'!$A$1:$A$100,0))&lt;&gt;0,INDEX('WPTM - Section F'!R$1:R$100,MATCH('Print View'!$A245,'WPTM - Section F'!$A$1:$A$100,0)),""),"")</f>
        <v/>
      </c>
      <c r="J247" s="799"/>
      <c r="K247" s="799"/>
      <c r="L247" s="799"/>
      <c r="M247" s="800"/>
      <c r="N247" s="798" t="str">
        <f ca="1">IFERROR(IF(INDEX('WPTM - Section F'!S$1:S$100,MATCH('Print View'!$A245,'WPTM - Section F'!$A$1:$A$100,0))&lt;&gt;0,INDEX('WPTM - Section F'!S$1:S$100,MATCH('Print View'!$A245,'WPTM - Section F'!$A$1:$A$100,0)),""),"")</f>
        <v/>
      </c>
      <c r="O247" s="799"/>
      <c r="P247" s="799"/>
      <c r="Q247" s="799"/>
      <c r="R247" s="799"/>
      <c r="S247" s="799"/>
      <c r="T247" s="417"/>
      <c r="U247" s="216"/>
      <c r="V247" s="216"/>
      <c r="W247" s="216"/>
      <c r="X247" s="216"/>
      <c r="Y247" s="216"/>
      <c r="Z247" s="216"/>
      <c r="AA247" s="216"/>
      <c r="AB247" s="216"/>
      <c r="AC247" s="216"/>
      <c r="AD247" s="216"/>
      <c r="AE247" s="216"/>
      <c r="AF247" s="216"/>
      <c r="AG247" s="216"/>
      <c r="AH247" s="216"/>
      <c r="AI247" s="216"/>
      <c r="AJ247" s="216"/>
      <c r="AK247" s="216"/>
      <c r="AL247" s="216"/>
      <c r="AM247" s="216"/>
      <c r="AN247" s="216"/>
      <c r="AO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16"/>
      <c r="BK247" s="216"/>
      <c r="BL247" s="216"/>
      <c r="BM247" s="216"/>
      <c r="BN247" s="216"/>
      <c r="BO247" s="216"/>
      <c r="BP247" s="216"/>
      <c r="BQ247" s="216"/>
      <c r="BR247" s="216"/>
      <c r="BS247" s="216"/>
      <c r="BT247" s="216"/>
      <c r="BU247" s="216"/>
      <c r="BV247" s="216"/>
      <c r="BW247" s="216"/>
      <c r="BX247" s="216"/>
      <c r="BY247" s="216"/>
      <c r="BZ247" s="216"/>
      <c r="CA247" s="216"/>
      <c r="CB247" s="216"/>
      <c r="CC247" s="216"/>
      <c r="CD247" s="216"/>
      <c r="CE247" s="216"/>
      <c r="CF247" s="216"/>
      <c r="CG247" s="216"/>
      <c r="CH247" s="216"/>
    </row>
    <row r="248" spans="1:86" ht="60" customHeight="1" x14ac:dyDescent="0.3">
      <c r="A248" s="802"/>
      <c r="B248" s="805"/>
      <c r="C248" s="808"/>
      <c r="D248" s="805"/>
      <c r="E248" s="805"/>
      <c r="F248" s="805"/>
      <c r="G248" s="805"/>
      <c r="H248" s="427"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48" s="798" t="str">
        <f ca="1">IFERROR(IF(INDEX('WPTM - Section F'!V$1:V$100,MATCH('Print View'!$A245,'WPTM - Section F'!$A$1:$A$100,0))&lt;&gt;0,INDEX('WPTM - Section F'!V$1:V$100,MATCH('Print View'!$A245,'WPTM - Section F'!$A$1:$A$100,0)),""),"")</f>
        <v/>
      </c>
      <c r="J248" s="799"/>
      <c r="K248" s="799"/>
      <c r="L248" s="799"/>
      <c r="M248" s="800"/>
      <c r="N248" s="798" t="str">
        <f ca="1">IFERROR(IF(INDEX('WPTM - Section F'!W$1:W$100,MATCH('Print View'!$A245,'WPTM - Section F'!$A$1:$A$100,0))&lt;&gt;0,INDEX('WPTM - Section F'!W$1:W$100,MATCH('Print View'!$A245,'WPTM - Section F'!$A$1:$A$100,0)),""),"")</f>
        <v/>
      </c>
      <c r="O248" s="799"/>
      <c r="P248" s="799"/>
      <c r="Q248" s="799"/>
      <c r="R248" s="799"/>
      <c r="S248" s="799"/>
      <c r="T248" s="417"/>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16"/>
      <c r="BL248" s="216"/>
      <c r="BM248" s="216"/>
      <c r="BN248" s="216"/>
      <c r="BO248" s="216"/>
      <c r="BP248" s="216"/>
      <c r="BQ248" s="216"/>
      <c r="BR248" s="216"/>
      <c r="BS248" s="216"/>
      <c r="BT248" s="216"/>
      <c r="BU248" s="216"/>
      <c r="BV248" s="216"/>
      <c r="BW248" s="216"/>
      <c r="BX248" s="216"/>
      <c r="BY248" s="216"/>
      <c r="BZ248" s="216"/>
      <c r="CA248" s="216"/>
      <c r="CB248" s="216"/>
      <c r="CC248" s="216"/>
      <c r="CD248" s="216"/>
      <c r="CE248" s="216"/>
      <c r="CF248" s="216"/>
      <c r="CG248" s="216"/>
      <c r="CH248" s="216"/>
    </row>
    <row r="249" spans="1:86" ht="60" customHeight="1" x14ac:dyDescent="0.3">
      <c r="A249" s="802"/>
      <c r="B249" s="805"/>
      <c r="C249" s="808"/>
      <c r="D249" s="805"/>
      <c r="E249" s="805"/>
      <c r="F249" s="805"/>
      <c r="G249" s="805"/>
      <c r="H249" s="427"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49" s="798" t="str">
        <f ca="1">IFERROR(IF(INDEX('WPTM - Section F'!Z$1:Z$100,MATCH('Print View'!$A245,'WPTM - Section F'!$A$1:$A$100,0))&lt;&gt;0,INDEX('WPTM - Section F'!Z$1:Z$100,MATCH('Print View'!$A245,'WPTM - Section F'!$A$1:$A$100,0)),""),"")</f>
        <v/>
      </c>
      <c r="J249" s="799"/>
      <c r="K249" s="799"/>
      <c r="L249" s="799"/>
      <c r="M249" s="800"/>
      <c r="N249" s="798" t="str">
        <f ca="1">IFERROR(IF(INDEX('WPTM - Section F'!AA$1:AA$100,MATCH('Print View'!$A245,'WPTM - Section F'!$A$1:$A$100,0))&lt;&gt;0,INDEX('WPTM - Section F'!AA$1:AA$100,MATCH('Print View'!$A245,'WPTM - Section F'!$A$1:$A$100,0)),""),"")</f>
        <v/>
      </c>
      <c r="O249" s="799"/>
      <c r="P249" s="799"/>
      <c r="Q249" s="799"/>
      <c r="R249" s="799"/>
      <c r="S249" s="799"/>
      <c r="T249" s="417"/>
      <c r="U249" s="216"/>
      <c r="V249" s="216"/>
      <c r="W249" s="216"/>
      <c r="X249" s="216"/>
      <c r="Y249" s="216"/>
      <c r="Z249" s="216"/>
      <c r="AA249" s="216"/>
      <c r="AB249" s="216"/>
      <c r="AC249" s="216"/>
      <c r="AD249" s="216"/>
      <c r="AE249" s="216"/>
      <c r="AF249" s="216"/>
      <c r="AG249" s="216"/>
      <c r="AH249" s="216"/>
      <c r="AI249" s="216"/>
      <c r="AJ249" s="216"/>
      <c r="AK249" s="216"/>
      <c r="AL249" s="216"/>
      <c r="AM249" s="216"/>
      <c r="AN249" s="216"/>
      <c r="AO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16"/>
      <c r="BK249" s="216"/>
      <c r="BL249" s="216"/>
      <c r="BM249" s="216"/>
      <c r="BN249" s="216"/>
      <c r="BO249" s="216"/>
      <c r="BP249" s="216"/>
      <c r="BQ249" s="216"/>
      <c r="BR249" s="216"/>
      <c r="BS249" s="216"/>
      <c r="BT249" s="216"/>
      <c r="BU249" s="216"/>
      <c r="BV249" s="216"/>
      <c r="BW249" s="216"/>
      <c r="BX249" s="216"/>
      <c r="BY249" s="216"/>
      <c r="BZ249" s="216"/>
      <c r="CA249" s="216"/>
      <c r="CB249" s="216"/>
      <c r="CC249" s="216"/>
      <c r="CD249" s="216"/>
      <c r="CE249" s="216"/>
      <c r="CF249" s="216"/>
      <c r="CG249" s="216"/>
      <c r="CH249" s="216"/>
    </row>
    <row r="250" spans="1:86" ht="60" customHeight="1" x14ac:dyDescent="0.3">
      <c r="A250" s="802"/>
      <c r="B250" s="805"/>
      <c r="C250" s="808"/>
      <c r="D250" s="805"/>
      <c r="E250" s="805"/>
      <c r="F250" s="805"/>
      <c r="G250" s="805"/>
      <c r="H250" s="427"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50" s="798" t="str">
        <f ca="1">IFERROR(IF(INDEX('WPTM - Section F'!AD$1:AD$100,MATCH('Print View'!$A245,'WPTM - Section F'!$A$1:$A$100,0))&lt;&gt;0,INDEX('WPTM - Section F'!AD$1:AD$100,MATCH('Print View'!$A245,'WPTM - Section F'!$A$1:$A$100,0)),""),"")</f>
        <v/>
      </c>
      <c r="J250" s="799"/>
      <c r="K250" s="799"/>
      <c r="L250" s="799"/>
      <c r="M250" s="800"/>
      <c r="N250" s="798" t="str">
        <f ca="1">IFERROR(IF(INDEX('WPTM - Section F'!AE$1:AE$100,MATCH('Print View'!$A245,'WPTM - Section F'!$A$1:$A$100,0))&lt;&gt;0,INDEX('WPTM - Section F'!AE$1:AE$100,MATCH('Print View'!$A245,'WPTM - Section F'!$A$1:$A$100,0)),""),"")</f>
        <v/>
      </c>
      <c r="O250" s="799"/>
      <c r="P250" s="799"/>
      <c r="Q250" s="799"/>
      <c r="R250" s="799"/>
      <c r="S250" s="799"/>
      <c r="T250" s="417"/>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16"/>
      <c r="BK250" s="216"/>
      <c r="BL250" s="216"/>
      <c r="BM250" s="216"/>
      <c r="BN250" s="216"/>
      <c r="BO250" s="216"/>
      <c r="BP250" s="216"/>
      <c r="BQ250" s="216"/>
      <c r="BR250" s="216"/>
      <c r="BS250" s="216"/>
      <c r="BT250" s="216"/>
      <c r="BU250" s="216"/>
      <c r="BV250" s="216"/>
      <c r="BW250" s="216"/>
      <c r="BX250" s="216"/>
      <c r="BY250" s="216"/>
      <c r="BZ250" s="216"/>
      <c r="CA250" s="216"/>
      <c r="CB250" s="216"/>
      <c r="CC250" s="216"/>
      <c r="CD250" s="216"/>
      <c r="CE250" s="216"/>
      <c r="CF250" s="216"/>
      <c r="CG250" s="216"/>
      <c r="CH250" s="216"/>
    </row>
    <row r="251" spans="1:86" ht="60" customHeight="1" x14ac:dyDescent="0.3">
      <c r="A251" s="802"/>
      <c r="B251" s="806"/>
      <c r="C251" s="809"/>
      <c r="D251" s="806"/>
      <c r="E251" s="806"/>
      <c r="F251" s="806"/>
      <c r="G251" s="806"/>
      <c r="H251" s="427" t="str">
        <f>IF(IFERROR(INDEX('Overview - Section A'!$A$46:$A$53,MATCH(D$29,'Overview - Section A'!$B$46:$B$53,0)),"")="","",TEXT(IFERROR(INDEX('Overview - Section A'!$A$46:$A$53,MATCH(D$29,'Overview - Section A'!$B$46:$B$53,0)),""),Setup!$A$33) &amp;" to " &amp; TEXT(IFERROR(INDEX('Overview - Section A'!$E$46:$E$53,MATCH(D$29,'Overview - Section A'!$B$46:$B$53,0)),""),Setup!$A$33))</f>
        <v/>
      </c>
      <c r="I251" s="798" t="str">
        <f ca="1">IFERROR(IF(INDEX('WPTM - Section F'!AH$1:AH$100,MATCH('Print View'!$A245,'WPTM - Section F'!$A$1:$A$100,0))&lt;&gt;0,INDEX('WPTM - Section F'!AH$1:AH$100,MATCH('Print View'!$A245,'WPTM - Section F'!$A$1:$A$100,0)),""),"")</f>
        <v/>
      </c>
      <c r="J251" s="799"/>
      <c r="K251" s="799"/>
      <c r="L251" s="799"/>
      <c r="M251" s="800"/>
      <c r="N251" s="798" t="str">
        <f ca="1">IFERROR(IF(INDEX('WPTM - Section F'!AI$1:AI$100,MATCH('Print View'!$A245,'WPTM - Section F'!$A$1:$A$100,0))&lt;&gt;0,INDEX('WPTM - Section F'!AI$1:AI$100,MATCH('Print View'!$A245,'WPTM - Section F'!$A$1:$A$100,0)),""),"")</f>
        <v/>
      </c>
      <c r="O251" s="799"/>
      <c r="P251" s="799"/>
      <c r="Q251" s="799"/>
      <c r="R251" s="799"/>
      <c r="S251" s="799"/>
      <c r="T251" s="417"/>
      <c r="U251" s="216"/>
      <c r="V251" s="216"/>
      <c r="W251" s="216"/>
      <c r="X251" s="216"/>
      <c r="Y251" s="216"/>
      <c r="Z251" s="216"/>
      <c r="AA251" s="216"/>
      <c r="AB251" s="216"/>
      <c r="AC251" s="216"/>
      <c r="AD251" s="216"/>
      <c r="AE251" s="216"/>
      <c r="AF251" s="216"/>
      <c r="AG251" s="216"/>
      <c r="AH251" s="216"/>
      <c r="AI251" s="216"/>
      <c r="AJ251" s="216"/>
      <c r="AK251" s="216"/>
      <c r="AL251" s="216"/>
      <c r="AM251" s="216"/>
      <c r="AN251" s="216"/>
      <c r="AO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16"/>
      <c r="BK251" s="216"/>
      <c r="BL251" s="216"/>
      <c r="BM251" s="216"/>
      <c r="BN251" s="216"/>
      <c r="BO251" s="216"/>
      <c r="BP251" s="216"/>
      <c r="BQ251" s="216"/>
      <c r="BR251" s="216"/>
      <c r="BS251" s="216"/>
      <c r="BT251" s="216"/>
      <c r="BU251" s="216"/>
      <c r="BV251" s="216"/>
      <c r="BW251" s="216"/>
      <c r="BX251" s="216"/>
      <c r="BY251" s="216"/>
      <c r="BZ251" s="216"/>
      <c r="CA251" s="216"/>
      <c r="CB251" s="216"/>
      <c r="CC251" s="216"/>
      <c r="CD251" s="216"/>
      <c r="CE251" s="216"/>
      <c r="CF251" s="216"/>
      <c r="CG251" s="216"/>
      <c r="CH251" s="216"/>
    </row>
    <row r="252" spans="1:86" ht="60" customHeight="1" x14ac:dyDescent="0.55000000000000004">
      <c r="A252" s="803"/>
      <c r="B252" s="813" t="str">
        <f ca="1">IFERROR(IF(INDEX('WPTM - Section F'!AV$1:AV$100,MATCH('Print View'!$A245,'WPTM - Section F'!$A$1:$A$100,0))&lt;&gt;0,INDEX('WPTM - Section F'!AV$1:AV$100,MATCH('Print View'!$A245,'WPTM - Section F'!$A$1:$A$100,0)),""),"")</f>
        <v/>
      </c>
      <c r="C252" s="814"/>
      <c r="D252" s="814"/>
      <c r="E252" s="814"/>
      <c r="F252" s="814"/>
      <c r="G252" s="814"/>
      <c r="H252" s="814"/>
      <c r="I252" s="814"/>
      <c r="J252" s="814"/>
      <c r="K252" s="814"/>
      <c r="L252" s="814"/>
      <c r="M252" s="814"/>
      <c r="N252" s="814"/>
      <c r="O252" s="814"/>
      <c r="P252" s="814"/>
      <c r="Q252" s="814"/>
      <c r="R252" s="814"/>
      <c r="S252" s="815"/>
      <c r="T252" s="417"/>
      <c r="U252" s="216"/>
      <c r="V252" s="216"/>
      <c r="W252" s="216"/>
      <c r="X252" s="216"/>
      <c r="Y252" s="216"/>
      <c r="Z252" s="216"/>
      <c r="AA252" s="216"/>
      <c r="AB252" s="216"/>
      <c r="AC252" s="216"/>
      <c r="AD252" s="216"/>
      <c r="AE252" s="216"/>
      <c r="AF252" s="216"/>
      <c r="AG252" s="216"/>
      <c r="AH252" s="216"/>
      <c r="AI252" s="216"/>
      <c r="AJ252" s="216"/>
      <c r="AK252" s="216"/>
      <c r="AL252" s="216"/>
      <c r="AM252" s="216"/>
      <c r="AN252" s="216"/>
      <c r="AO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16"/>
      <c r="BK252" s="216"/>
      <c r="BL252" s="216"/>
      <c r="BM252" s="216"/>
      <c r="BN252" s="216"/>
      <c r="BO252" s="216"/>
      <c r="BP252" s="216"/>
      <c r="BQ252" s="216"/>
      <c r="BR252" s="216"/>
      <c r="BS252" s="216"/>
      <c r="BT252" s="216"/>
      <c r="BU252" s="216"/>
      <c r="BV252" s="216"/>
      <c r="BW252" s="216"/>
      <c r="BX252" s="216"/>
      <c r="BY252" s="216"/>
      <c r="BZ252" s="216"/>
      <c r="CA252" s="216"/>
      <c r="CB252" s="216"/>
      <c r="CC252" s="216"/>
      <c r="CD252" s="216"/>
      <c r="CE252" s="216"/>
      <c r="CF252" s="216"/>
      <c r="CG252" s="216"/>
      <c r="CH252" s="216"/>
    </row>
    <row r="253" spans="1:86" ht="60" customHeight="1" x14ac:dyDescent="0.55000000000000004">
      <c r="A253" s="801">
        <v>5</v>
      </c>
      <c r="B253" s="804" t="str">
        <f ca="1">IFERROR(IF(INDEX('WPTM - Section F'!B$1:B$100,MATCH('Print View'!$A253,'WPTM - Section F'!$A$1:$A$100,0))&lt;&gt;0,INDEX('WPTM - Section F'!B$1:B$100,MATCH('Print View'!$A253,'WPTM - Section F'!$A$1:$A$100,0)),""),"")</f>
        <v/>
      </c>
      <c r="C253" s="807" t="str">
        <f ca="1">IFERROR(IF(INDEX('WPTM - Section F'!C$1:C$100,MATCH('Print View'!$A253,'WPTM - Section F'!$A$1:$A$100,0))&lt;&gt;0,INDEX('WPTM - Section F'!C$1:C$100,MATCH('Print View'!$A253,'WPTM - Section F'!$A$1:$A$100,0)),""),"")</f>
        <v/>
      </c>
      <c r="D253" s="804" t="str">
        <f ca="1">IFERROR(IF(INDEX('WPTM - Section F'!D$1:D$100,MATCH('Print View'!$A253,'WPTM - Section F'!$A$1:$A$100,0))&lt;&gt;0,INDEX('WPTM - Section F'!D$1:D$100,MATCH('Print View'!$A253,'WPTM - Section F'!$A$1:$A$100,0)),""),"")</f>
        <v/>
      </c>
      <c r="E253" s="804" t="str">
        <f ca="1">IFERROR(IF(INDEX('WPTM - Section F'!E$1:E$100,MATCH('Print View'!$A253,'WPTM - Section F'!$A$1:$A$100,0))&lt;&gt;0,INDEX('WPTM - Section F'!E$1:E$100,MATCH('Print View'!$A253,'WPTM - Section F'!$A$1:$A$100,0)),""),"")</f>
        <v/>
      </c>
      <c r="F253" s="804" t="str">
        <f ca="1">IFERROR(IF(INDEX('WPTM - Section F'!F$1:F$100,MATCH('Print View'!$A253,'WPTM - Section F'!$A$1:$A$100,0))&lt;&gt;0,INDEX('WPTM - Section F'!F$1:F$100,MATCH('Print View'!$A253,'WPTM - Section F'!$A$1:$A$100,0)),""),"")</f>
        <v/>
      </c>
      <c r="G253" s="816" t="str">
        <f ca="1">IFERROR(IF(INDEX('WPTM - Section F'!G$1:G$100,MATCH('Print View'!$A253,'WPTM - Section F'!$A$1:$A$100,0))&lt;&gt;0,INDEX('WPTM - Section F'!G$1:G$100,MATCH('Print View'!$A253,'WPTM - Section F'!$A$1:$A$100,0)),""),"")</f>
        <v/>
      </c>
      <c r="H253" s="424"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53" s="795" t="str">
        <f ca="1">IFERROR(IF(INDEX('WPTM - Section F'!J$1:J$100,MATCH('Print View'!$A253,'WPTM - Section F'!$A$1:$A$100,0))&lt;&gt;0,INDEX('WPTM - Section F'!J$1:J$100,MATCH('Print View'!$A253,'WPTM - Section F'!$A$1:$A$100,0)),""),"")</f>
        <v/>
      </c>
      <c r="J253" s="796"/>
      <c r="K253" s="796"/>
      <c r="L253" s="796"/>
      <c r="M253" s="797"/>
      <c r="N253" s="795" t="str">
        <f ca="1">IFERROR(IF(INDEX('WPTM - Section F'!K$1:K$100,MATCH('Print View'!$A253,'WPTM - Section F'!$A$1:$A$100,0))&lt;&gt;0,INDEX('WPTM - Section F'!K$1:K$100,MATCH('Print View'!$A253,'WPTM - Section F'!$A$1:$A$100,0)),""),"")</f>
        <v/>
      </c>
      <c r="O253" s="796"/>
      <c r="P253" s="796"/>
      <c r="Q253" s="796"/>
      <c r="R253" s="796"/>
      <c r="S253" s="797"/>
      <c r="T253" s="426"/>
      <c r="U253" s="216"/>
      <c r="V253" s="216"/>
      <c r="W253" s="216"/>
      <c r="X253" s="216"/>
      <c r="Y253" s="216"/>
      <c r="Z253" s="216"/>
      <c r="AA253" s="216"/>
      <c r="AB253" s="216"/>
      <c r="AC253" s="216"/>
      <c r="AD253" s="216"/>
      <c r="AE253" s="216"/>
      <c r="AF253" s="216"/>
      <c r="AG253" s="216"/>
      <c r="AH253" s="216"/>
      <c r="AI253" s="216"/>
      <c r="AJ253" s="216"/>
      <c r="AK253" s="216"/>
      <c r="AL253" s="216"/>
      <c r="AM253" s="216"/>
      <c r="AN253" s="216"/>
      <c r="AO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216"/>
      <c r="CF253" s="216"/>
      <c r="CG253" s="216"/>
      <c r="CH253" s="216"/>
    </row>
    <row r="254" spans="1:86" ht="60" customHeight="1" x14ac:dyDescent="0.55000000000000004">
      <c r="A254" s="802">
        <v>34</v>
      </c>
      <c r="B254" s="805"/>
      <c r="C254" s="808" t="str">
        <f ca="1">IFERROR(IF(INDEX('WPTM - Section F'!C$1:C$100,MATCH('Print View'!$A254,'WPTM - Section F'!$A$1:$A$100,0))&lt;&gt;0,INDEX('WPTM - Section F'!C$1:C$100,MATCH('Print View'!$A254,'WPTM - Section F'!$A$1:$A$100,0)),""),"")</f>
        <v/>
      </c>
      <c r="D254" s="805"/>
      <c r="E254" s="805"/>
      <c r="F254" s="805"/>
      <c r="G254" s="817" t="str">
        <f ca="1">IFERROR(IF(INDEX('WPTM - Section F'!G$1:G$100,MATCH('Print View'!$A254,'WPTM - Section F'!$A$1:$A$100,0))&lt;&gt;0,INDEX('WPTM - Section F'!G$1:G$100,MATCH('Print View'!$A254,'WPTM - Section F'!$A$1:$A$100,0)),""),"")</f>
        <v/>
      </c>
      <c r="H254" s="424"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54" s="795" t="str">
        <f ca="1">IFERROR(IF(INDEX('WPTM - Section F'!N$1:N$100,MATCH('Print View'!$A253,'WPTM - Section F'!$A$1:$A$100,0))&lt;&gt;0,INDEX('WPTM - Section F'!N$1:N$100,MATCH('Print View'!$A253,'WPTM - Section F'!$A$1:$A$100,0)),""),"")</f>
        <v/>
      </c>
      <c r="J254" s="796"/>
      <c r="K254" s="796"/>
      <c r="L254" s="796"/>
      <c r="M254" s="797"/>
      <c r="N254" s="795" t="str">
        <f ca="1">IFERROR(IF(INDEX('WPTM - Section F'!O$1:O$100,MATCH('Print View'!$A253,'WPTM - Section F'!$A$1:$A$100,0))&lt;&gt;0,INDEX('WPTM - Section F'!O$1:O$100,MATCH('Print View'!$A253,'WPTM - Section F'!$A$1:$A$100,0)),""),"")</f>
        <v/>
      </c>
      <c r="O254" s="796"/>
      <c r="P254" s="796"/>
      <c r="Q254" s="796"/>
      <c r="R254" s="796"/>
      <c r="S254" s="797"/>
      <c r="T254" s="426"/>
      <c r="U254" s="216"/>
      <c r="V254" s="216"/>
      <c r="W254" s="216"/>
      <c r="X254" s="216"/>
      <c r="Y254" s="216"/>
      <c r="Z254" s="216"/>
      <c r="AA254" s="216"/>
      <c r="AB254" s="216"/>
      <c r="AC254" s="216"/>
      <c r="AD254" s="216"/>
      <c r="AE254" s="216"/>
      <c r="AF254" s="216"/>
      <c r="AG254" s="216"/>
      <c r="AH254" s="216"/>
      <c r="AI254" s="216"/>
      <c r="AJ254" s="216"/>
      <c r="AK254" s="216"/>
      <c r="AL254" s="216"/>
      <c r="AM254" s="216"/>
      <c r="AN254" s="216"/>
      <c r="AO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16"/>
      <c r="BK254" s="216"/>
      <c r="BL254" s="216"/>
      <c r="BM254" s="216"/>
      <c r="BN254" s="216"/>
      <c r="BO254" s="216"/>
      <c r="BP254" s="216"/>
      <c r="BQ254" s="216"/>
      <c r="BR254" s="216"/>
      <c r="BS254" s="216"/>
      <c r="BT254" s="216"/>
      <c r="BU254" s="216"/>
      <c r="BV254" s="216"/>
      <c r="BW254" s="216"/>
      <c r="BX254" s="216"/>
      <c r="BY254" s="216"/>
      <c r="BZ254" s="216"/>
      <c r="CA254" s="216"/>
      <c r="CB254" s="216"/>
      <c r="CC254" s="216"/>
      <c r="CD254" s="216"/>
      <c r="CE254" s="216"/>
      <c r="CF254" s="216"/>
      <c r="CG254" s="216"/>
      <c r="CH254" s="216"/>
    </row>
    <row r="255" spans="1:86" ht="60" customHeight="1" x14ac:dyDescent="0.55000000000000004">
      <c r="A255" s="802">
        <v>35</v>
      </c>
      <c r="B255" s="805"/>
      <c r="C255" s="808" t="str">
        <f ca="1">IFERROR(IF(INDEX('WPTM - Section F'!C$1:C$100,MATCH('Print View'!$A255,'WPTM - Section F'!$A$1:$A$100,0))&lt;&gt;0,INDEX('WPTM - Section F'!C$1:C$100,MATCH('Print View'!$A255,'WPTM - Section F'!$A$1:$A$100,0)),""),"")</f>
        <v/>
      </c>
      <c r="D255" s="805"/>
      <c r="E255" s="805"/>
      <c r="F255" s="805"/>
      <c r="G255" s="817" t="str">
        <f ca="1">IFERROR(IF(INDEX('WPTM - Section F'!G$1:G$100,MATCH('Print View'!$A255,'WPTM - Section F'!$A$1:$A$100,0))&lt;&gt;0,INDEX('WPTM - Section F'!G$1:G$100,MATCH('Print View'!$A255,'WPTM - Section F'!$A$1:$A$100,0)),""),"")</f>
        <v/>
      </c>
      <c r="H255" s="424"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55" s="795" t="str">
        <f ca="1">IFERROR(IF(INDEX('WPTM - Section F'!R$1:R$100,MATCH('Print View'!$A253,'WPTM - Section F'!$A$1:$A$100,0))&lt;&gt;0,INDEX('WPTM - Section F'!R$1:R$100,MATCH('Print View'!$A253,'WPTM - Section F'!$A$1:$A$100,0)),""),"")</f>
        <v/>
      </c>
      <c r="J255" s="796"/>
      <c r="K255" s="796"/>
      <c r="L255" s="796"/>
      <c r="M255" s="797"/>
      <c r="N255" s="795" t="str">
        <f ca="1">IFERROR(IF(INDEX('WPTM - Section F'!S$1:S$100,MATCH('Print View'!$A253,'WPTM - Section F'!$A$1:$A$100,0))&lt;&gt;0,INDEX('WPTM - Section F'!S$1:S$100,MATCH('Print View'!$A253,'WPTM - Section F'!$A$1:$A$100,0)),""),"")</f>
        <v/>
      </c>
      <c r="O255" s="796"/>
      <c r="P255" s="796"/>
      <c r="Q255" s="796"/>
      <c r="R255" s="796"/>
      <c r="S255" s="797"/>
      <c r="T255" s="426"/>
      <c r="U255" s="216"/>
      <c r="V255" s="216"/>
      <c r="W255" s="216"/>
      <c r="X255" s="216"/>
      <c r="Y255" s="216"/>
      <c r="Z255" s="216"/>
      <c r="AA255" s="216"/>
      <c r="AB255" s="216"/>
      <c r="AC255" s="216"/>
      <c r="AD255" s="216"/>
      <c r="AE255" s="216"/>
      <c r="AF255" s="216"/>
      <c r="AG255" s="216"/>
      <c r="AH255" s="216"/>
      <c r="AI255" s="216"/>
      <c r="AJ255" s="216"/>
      <c r="AK255" s="216"/>
      <c r="AL255" s="216"/>
      <c r="AM255" s="216"/>
      <c r="AN255" s="216"/>
      <c r="AO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16"/>
      <c r="BK255" s="216"/>
      <c r="BL255" s="216"/>
      <c r="BM255" s="216"/>
      <c r="BN255" s="216"/>
      <c r="BO255" s="216"/>
      <c r="BP255" s="216"/>
      <c r="BQ255" s="216"/>
      <c r="BR255" s="216"/>
      <c r="BS255" s="216"/>
      <c r="BT255" s="216"/>
      <c r="BU255" s="216"/>
      <c r="BV255" s="216"/>
      <c r="BW255" s="216"/>
      <c r="BX255" s="216"/>
      <c r="BY255" s="216"/>
      <c r="BZ255" s="216"/>
      <c r="CA255" s="216"/>
      <c r="CB255" s="216"/>
      <c r="CC255" s="216"/>
      <c r="CD255" s="216"/>
      <c r="CE255" s="216"/>
      <c r="CF255" s="216"/>
      <c r="CG255" s="216"/>
      <c r="CH255" s="216"/>
    </row>
    <row r="256" spans="1:86" ht="60" customHeight="1" x14ac:dyDescent="0.55000000000000004">
      <c r="A256" s="802">
        <v>36</v>
      </c>
      <c r="B256" s="805"/>
      <c r="C256" s="808" t="str">
        <f ca="1">IFERROR(IF(INDEX('WPTM - Section F'!C$1:C$100,MATCH('Print View'!$A256,'WPTM - Section F'!$A$1:$A$100,0))&lt;&gt;0,INDEX('WPTM - Section F'!C$1:C$100,MATCH('Print View'!$A256,'WPTM - Section F'!$A$1:$A$100,0)),""),"")</f>
        <v/>
      </c>
      <c r="D256" s="805"/>
      <c r="E256" s="805"/>
      <c r="F256" s="805"/>
      <c r="G256" s="817" t="str">
        <f ca="1">IFERROR(IF(INDEX('WPTM - Section F'!G$1:G$100,MATCH('Print View'!$A256,'WPTM - Section F'!$A$1:$A$100,0))&lt;&gt;0,INDEX('WPTM - Section F'!G$1:G$100,MATCH('Print View'!$A256,'WPTM - Section F'!$A$1:$A$100,0)),""),"")</f>
        <v/>
      </c>
      <c r="H256" s="424"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56" s="795" t="str">
        <f ca="1">IFERROR(IF(INDEX('WPTM - Section F'!V$1:V$100,MATCH('Print View'!$A253,'WPTM - Section F'!$A$1:$A$100,0))&lt;&gt;0,INDEX('WPTM - Section F'!V$1:V$100,MATCH('Print View'!$A253,'WPTM - Section F'!$A$1:$A$100,0)),""),"")</f>
        <v/>
      </c>
      <c r="J256" s="796"/>
      <c r="K256" s="796"/>
      <c r="L256" s="796"/>
      <c r="M256" s="797"/>
      <c r="N256" s="795" t="str">
        <f ca="1">IFERROR(IF(INDEX('WPTM - Section F'!W$1:W$100,MATCH('Print View'!$A253,'WPTM - Section F'!$A$1:$A$100,0))&lt;&gt;0,INDEX('WPTM - Section F'!W$1:W$100,MATCH('Print View'!$A253,'WPTM - Section F'!$A$1:$A$100,0)),""),"")</f>
        <v/>
      </c>
      <c r="O256" s="796"/>
      <c r="P256" s="796"/>
      <c r="Q256" s="796"/>
      <c r="R256" s="796"/>
      <c r="S256" s="797"/>
      <c r="T256" s="426"/>
      <c r="U256" s="216"/>
      <c r="V256" s="216"/>
      <c r="W256" s="216"/>
      <c r="X256" s="216"/>
      <c r="Y256" s="216"/>
      <c r="Z256" s="216"/>
      <c r="AA256" s="216"/>
      <c r="AB256" s="216"/>
      <c r="AC256" s="216"/>
      <c r="AD256" s="216"/>
      <c r="AE256" s="216"/>
      <c r="AF256" s="216"/>
      <c r="AG256" s="216"/>
      <c r="AH256" s="216"/>
      <c r="AI256" s="216"/>
      <c r="AJ256" s="216"/>
      <c r="AK256" s="216"/>
      <c r="AL256" s="216"/>
      <c r="AM256" s="216"/>
      <c r="AN256" s="216"/>
      <c r="AO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16"/>
      <c r="BK256" s="216"/>
      <c r="BL256" s="216"/>
      <c r="BM256" s="216"/>
      <c r="BN256" s="216"/>
      <c r="BO256" s="216"/>
      <c r="BP256" s="216"/>
      <c r="BQ256" s="216"/>
      <c r="BR256" s="216"/>
      <c r="BS256" s="216"/>
      <c r="BT256" s="216"/>
      <c r="BU256" s="216"/>
      <c r="BV256" s="216"/>
      <c r="BW256" s="216"/>
      <c r="BX256" s="216"/>
      <c r="BY256" s="216"/>
      <c r="BZ256" s="216"/>
      <c r="CA256" s="216"/>
      <c r="CB256" s="216"/>
      <c r="CC256" s="216"/>
      <c r="CD256" s="216"/>
      <c r="CE256" s="216"/>
      <c r="CF256" s="216"/>
      <c r="CG256" s="216"/>
      <c r="CH256" s="216"/>
    </row>
    <row r="257" spans="1:86" ht="60" customHeight="1" x14ac:dyDescent="0.55000000000000004">
      <c r="A257" s="802">
        <v>37</v>
      </c>
      <c r="B257" s="805"/>
      <c r="C257" s="808" t="str">
        <f ca="1">IFERROR(IF(INDEX('WPTM - Section F'!C$1:C$100,MATCH('Print View'!$A257,'WPTM - Section F'!$A$1:$A$100,0))&lt;&gt;0,INDEX('WPTM - Section F'!C$1:C$100,MATCH('Print View'!$A257,'WPTM - Section F'!$A$1:$A$100,0)),""),"")</f>
        <v/>
      </c>
      <c r="D257" s="805"/>
      <c r="E257" s="805"/>
      <c r="F257" s="805"/>
      <c r="G257" s="817" t="str">
        <f ca="1">IFERROR(IF(INDEX('WPTM - Section F'!G$1:G$100,MATCH('Print View'!$A257,'WPTM - Section F'!$A$1:$A$100,0))&lt;&gt;0,INDEX('WPTM - Section F'!G$1:G$100,MATCH('Print View'!$A257,'WPTM - Section F'!$A$1:$A$100,0)),""),"")</f>
        <v/>
      </c>
      <c r="H257" s="424"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57" s="795" t="str">
        <f ca="1">IFERROR(IF(INDEX('WPTM - Section F'!Z$1:Z$100,MATCH('Print View'!$A253,'WPTM - Section F'!$A$1:$A$100,0))&lt;&gt;0,INDEX('WPTM - Section F'!Z$1:Z$100,MATCH('Print View'!$A253,'WPTM - Section F'!$A$1:$A$100,0)),""),"")</f>
        <v/>
      </c>
      <c r="J257" s="796"/>
      <c r="K257" s="796"/>
      <c r="L257" s="796"/>
      <c r="M257" s="797"/>
      <c r="N257" s="795" t="str">
        <f ca="1">IFERROR(IF(INDEX('WPTM - Section F'!AA$1:AA$100,MATCH('Print View'!$A253,'WPTM - Section F'!$A$1:$A$100,0))&lt;&gt;0,INDEX('WPTM - Section F'!AA$1:AA$100,MATCH('Print View'!$A253,'WPTM - Section F'!$A$1:$A$100,0)),""),"")</f>
        <v/>
      </c>
      <c r="O257" s="796"/>
      <c r="P257" s="796"/>
      <c r="Q257" s="796"/>
      <c r="R257" s="796"/>
      <c r="S257" s="797"/>
      <c r="T257" s="426"/>
      <c r="U257" s="216"/>
      <c r="V257" s="216"/>
      <c r="W257" s="216"/>
      <c r="X257" s="216"/>
      <c r="Y257" s="216"/>
      <c r="Z257" s="216"/>
      <c r="AA257" s="216"/>
      <c r="AB257" s="216"/>
      <c r="AC257" s="216"/>
      <c r="AD257" s="216"/>
      <c r="AE257" s="216"/>
      <c r="AF257" s="216"/>
      <c r="AG257" s="216"/>
      <c r="AH257" s="216"/>
      <c r="AI257" s="216"/>
      <c r="AJ257" s="216"/>
      <c r="AK257" s="216"/>
      <c r="AL257" s="216"/>
      <c r="AM257" s="216"/>
      <c r="AN257" s="216"/>
      <c r="AO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16"/>
      <c r="BK257" s="216"/>
      <c r="BL257" s="216"/>
      <c r="BM257" s="216"/>
      <c r="BN257" s="216"/>
      <c r="BO257" s="216"/>
      <c r="BP257" s="216"/>
      <c r="BQ257" s="216"/>
      <c r="BR257" s="216"/>
      <c r="BS257" s="216"/>
      <c r="BT257" s="216"/>
      <c r="BU257" s="216"/>
      <c r="BV257" s="216"/>
      <c r="BW257" s="216"/>
      <c r="BX257" s="216"/>
      <c r="BY257" s="216"/>
      <c r="BZ257" s="216"/>
      <c r="CA257" s="216"/>
      <c r="CB257" s="216"/>
      <c r="CC257" s="216"/>
      <c r="CD257" s="216"/>
      <c r="CE257" s="216"/>
      <c r="CF257" s="216"/>
      <c r="CG257" s="216"/>
      <c r="CH257" s="216"/>
    </row>
    <row r="258" spans="1:86" ht="60" customHeight="1" x14ac:dyDescent="0.55000000000000004">
      <c r="A258" s="802">
        <v>38</v>
      </c>
      <c r="B258" s="805"/>
      <c r="C258" s="808" t="str">
        <f ca="1">IFERROR(IF(INDEX('WPTM - Section F'!C$1:C$100,MATCH('Print View'!$A258,'WPTM - Section F'!$A$1:$A$100,0))&lt;&gt;0,INDEX('WPTM - Section F'!C$1:C$100,MATCH('Print View'!$A258,'WPTM - Section F'!$A$1:$A$100,0)),""),"")</f>
        <v/>
      </c>
      <c r="D258" s="805"/>
      <c r="E258" s="805"/>
      <c r="F258" s="805"/>
      <c r="G258" s="817" t="str">
        <f ca="1">IFERROR(IF(INDEX('WPTM - Section F'!G$1:G$100,MATCH('Print View'!$A258,'WPTM - Section F'!$A$1:$A$100,0))&lt;&gt;0,INDEX('WPTM - Section F'!G$1:G$100,MATCH('Print View'!$A258,'WPTM - Section F'!$A$1:$A$100,0)),""),"")</f>
        <v/>
      </c>
      <c r="H258" s="424"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58" s="795" t="str">
        <f ca="1">IFERROR(IF(INDEX('WPTM - Section F'!AD$1:AD$100,MATCH('Print View'!$A253,'WPTM - Section F'!$A$1:$A$100,0))&lt;&gt;0,INDEX('WPTM - Section F'!AD$1:AD$100,MATCH('Print View'!$A253,'WPTM - Section F'!$A$1:$A$100,0)),""),"")</f>
        <v/>
      </c>
      <c r="J258" s="796"/>
      <c r="K258" s="796"/>
      <c r="L258" s="796"/>
      <c r="M258" s="797"/>
      <c r="N258" s="795" t="str">
        <f ca="1">IFERROR(IF(INDEX('WPTM - Section F'!AE$1:AE$100,MATCH('Print View'!$A253,'WPTM - Section F'!$A$1:$A$100,0))&lt;&gt;0,INDEX('WPTM - Section F'!AE$1:AE$100,MATCH('Print View'!$A253,'WPTM - Section F'!$A$1:$A$100,0)),""),"")</f>
        <v/>
      </c>
      <c r="O258" s="796"/>
      <c r="P258" s="796"/>
      <c r="Q258" s="796"/>
      <c r="R258" s="796"/>
      <c r="S258" s="797"/>
      <c r="T258" s="42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row>
    <row r="259" spans="1:86" ht="60" customHeight="1" x14ac:dyDescent="0.55000000000000004">
      <c r="A259" s="802">
        <v>39</v>
      </c>
      <c r="B259" s="806"/>
      <c r="C259" s="809" t="str">
        <f ca="1">IFERROR(IF(INDEX('WPTM - Section F'!C$1:C$100,MATCH('Print View'!$A259,'WPTM - Section F'!$A$1:$A$100,0))&lt;&gt;0,INDEX('WPTM - Section F'!C$1:C$100,MATCH('Print View'!$A259,'WPTM - Section F'!$A$1:$A$100,0)),""),"")</f>
        <v/>
      </c>
      <c r="D259" s="806"/>
      <c r="E259" s="806"/>
      <c r="F259" s="806"/>
      <c r="G259" s="818" t="str">
        <f ca="1">IFERROR(IF(INDEX('WPTM - Section F'!G$1:G$100,MATCH('Print View'!$A259,'WPTM - Section F'!$A$1:$A$100,0))&lt;&gt;0,INDEX('WPTM - Section F'!G$1:G$100,MATCH('Print View'!$A259,'WPTM - Section F'!$A$1:$A$100,0)),""),"")</f>
        <v/>
      </c>
      <c r="H259" s="424" t="str">
        <f>IF(IFERROR(INDEX('Overview - Section A'!$A$46:$A$53,MATCH(D$29,'Overview - Section A'!$B$46:$B$53,0)),"")="","",TEXT(IFERROR(INDEX('Overview - Section A'!$A$46:$A$53,MATCH(D$29,'Overview - Section A'!$B$46:$B$53,0)),""),Setup!$A$33) &amp;" to " &amp; TEXT(IFERROR(INDEX('Overview - Section A'!$E$46:$E$53,MATCH(D$29,'Overview - Section A'!$B$46:$B$53,0)),""),Setup!$A$33))</f>
        <v/>
      </c>
      <c r="I259" s="795" t="str">
        <f ca="1">IFERROR(IF(INDEX('WPTM - Section F'!AH$1:AH$100,MATCH('Print View'!$A253,'WPTM - Section F'!$A$1:$A$100,0))&lt;&gt;0,INDEX('WPTM - Section F'!AH$1:AH$100,MATCH('Print View'!$A253,'WPTM - Section F'!$A$1:$A$100,0)),""),"")</f>
        <v/>
      </c>
      <c r="J259" s="796"/>
      <c r="K259" s="796"/>
      <c r="L259" s="796"/>
      <c r="M259" s="797"/>
      <c r="N259" s="795" t="str">
        <f ca="1">IFERROR(IF(INDEX('WPTM - Section F'!AI$1:AI$100,MATCH('Print View'!$A253,'WPTM - Section F'!$A$1:$A$100,0))&lt;&gt;0,INDEX('WPTM - Section F'!AI$1:AI$100,MATCH('Print View'!$A253,'WPTM - Section F'!$A$1:$A$100,0)),""),"")</f>
        <v/>
      </c>
      <c r="O259" s="796"/>
      <c r="P259" s="796"/>
      <c r="Q259" s="796"/>
      <c r="R259" s="796"/>
      <c r="S259" s="797"/>
      <c r="T259" s="426"/>
      <c r="U259" s="216"/>
      <c r="V259" s="216"/>
      <c r="W259" s="216"/>
      <c r="X259" s="216"/>
      <c r="Y259" s="216"/>
      <c r="Z259" s="216"/>
      <c r="AA259" s="216"/>
      <c r="AB259" s="216"/>
      <c r="AC259" s="216"/>
      <c r="AD259" s="216"/>
      <c r="AE259" s="216"/>
      <c r="AF259" s="216"/>
      <c r="AG259" s="216"/>
      <c r="AH259" s="216"/>
      <c r="AI259" s="216"/>
      <c r="AJ259" s="216"/>
      <c r="AK259" s="216"/>
      <c r="AL259" s="216"/>
      <c r="AM259" s="216"/>
      <c r="AN259" s="216"/>
      <c r="AO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16"/>
      <c r="BK259" s="216"/>
      <c r="BL259" s="216"/>
      <c r="BM259" s="216"/>
      <c r="BN259" s="216"/>
      <c r="BO259" s="216"/>
      <c r="BP259" s="216"/>
      <c r="BQ259" s="216"/>
      <c r="BR259" s="216"/>
      <c r="BS259" s="216"/>
      <c r="BT259" s="216"/>
      <c r="BU259" s="216"/>
      <c r="BV259" s="216"/>
      <c r="BW259" s="216"/>
      <c r="BX259" s="216"/>
      <c r="BY259" s="216"/>
      <c r="BZ259" s="216"/>
      <c r="CA259" s="216"/>
      <c r="CB259" s="216"/>
      <c r="CC259" s="216"/>
      <c r="CD259" s="216"/>
      <c r="CE259" s="216"/>
      <c r="CF259" s="216"/>
      <c r="CG259" s="216"/>
      <c r="CH259" s="216"/>
    </row>
    <row r="260" spans="1:86" ht="60" customHeight="1" x14ac:dyDescent="0.55000000000000004">
      <c r="A260" s="803">
        <v>40</v>
      </c>
      <c r="B260" s="791" t="str">
        <f ca="1">IFERROR(IF(INDEX('WPTM - Section F'!AV$1:AV$100,MATCH('Print View'!$A253,'WPTM - Section F'!$A$1:$A$100,0))&lt;&gt;0,INDEX('WPTM - Section F'!AV$1:AV$100,MATCH('Print View'!$A253,'WPTM - Section F'!$A$1:$A$100,0)),""),"")</f>
        <v/>
      </c>
      <c r="C260" s="792"/>
      <c r="D260" s="792"/>
      <c r="E260" s="792"/>
      <c r="F260" s="792"/>
      <c r="G260" s="792"/>
      <c r="H260" s="792"/>
      <c r="I260" s="792"/>
      <c r="J260" s="792"/>
      <c r="K260" s="792"/>
      <c r="L260" s="792"/>
      <c r="M260" s="792"/>
      <c r="N260" s="792"/>
      <c r="O260" s="792"/>
      <c r="P260" s="792"/>
      <c r="Q260" s="792"/>
      <c r="R260" s="792"/>
      <c r="S260" s="793"/>
      <c r="T260" s="426"/>
      <c r="U260" s="216"/>
      <c r="V260" s="216"/>
      <c r="W260" s="216"/>
      <c r="X260" s="216"/>
      <c r="Y260" s="216"/>
      <c r="Z260" s="216"/>
      <c r="AA260" s="216"/>
      <c r="AB260" s="216"/>
      <c r="AC260" s="216"/>
      <c r="AD260" s="216"/>
      <c r="AE260" s="216"/>
      <c r="AF260" s="216"/>
      <c r="AG260" s="216"/>
      <c r="AH260" s="216"/>
      <c r="AI260" s="216"/>
      <c r="AJ260" s="216"/>
      <c r="AK260" s="216"/>
      <c r="AL260" s="216"/>
      <c r="AM260" s="216"/>
      <c r="AN260" s="216"/>
      <c r="AO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16"/>
      <c r="BK260" s="216"/>
      <c r="BL260" s="216"/>
      <c r="BM260" s="216"/>
      <c r="BN260" s="216"/>
      <c r="BO260" s="216"/>
      <c r="BP260" s="216"/>
      <c r="BQ260" s="216"/>
      <c r="BR260" s="216"/>
      <c r="BS260" s="216"/>
      <c r="BT260" s="216"/>
      <c r="BU260" s="216"/>
      <c r="BV260" s="216"/>
      <c r="BW260" s="216"/>
      <c r="BX260" s="216"/>
      <c r="BY260" s="216"/>
      <c r="BZ260" s="216"/>
      <c r="CA260" s="216"/>
      <c r="CB260" s="216"/>
      <c r="CC260" s="216"/>
      <c r="CD260" s="216"/>
      <c r="CE260" s="216"/>
      <c r="CF260" s="216"/>
      <c r="CG260" s="216"/>
      <c r="CH260" s="216"/>
    </row>
    <row r="261" spans="1:86" ht="60" customHeight="1" x14ac:dyDescent="0.3">
      <c r="A261" s="801">
        <v>6</v>
      </c>
      <c r="B261" s="804" t="str">
        <f ca="1">IFERROR(IF(INDEX('WPTM - Section F'!B$1:B$100,MATCH('Print View'!$A261,'WPTM - Section F'!$A$1:$A$100,0))&lt;&gt;0,INDEX('WPTM - Section F'!B$1:B$100,MATCH('Print View'!$A261,'WPTM - Section F'!$A$1:$A$100,0)),""),"")</f>
        <v/>
      </c>
      <c r="C261" s="807" t="str">
        <f ca="1">IFERROR(IF(INDEX('WPTM - Section F'!C$1:C$100,MATCH('Print View'!$A261,'WPTM - Section F'!$A$1:$A$100,0))&lt;&gt;0,INDEX('WPTM - Section F'!C$1:C$100,MATCH('Print View'!$A261,'WPTM - Section F'!$A$1:$A$100,0)),""),"")</f>
        <v/>
      </c>
      <c r="D261" s="804" t="str">
        <f ca="1">IFERROR(IF(INDEX('WPTM - Section F'!D$1:D$100,MATCH('Print View'!$A261,'WPTM - Section F'!$A$1:$A$100,0))&lt;&gt;0,INDEX('WPTM - Section F'!D$1:D$100,MATCH('Print View'!$A261,'WPTM - Section F'!$A$1:$A$100,0)),""),"")</f>
        <v/>
      </c>
      <c r="E261" s="804" t="str">
        <f ca="1">IFERROR(IF(INDEX('WPTM - Section F'!E$1:E$100,MATCH('Print View'!$A261,'WPTM - Section F'!$A$1:$A$100,0))&lt;&gt;0,INDEX('WPTM - Section F'!E$1:E$100,MATCH('Print View'!$A261,'WPTM - Section F'!$A$1:$A$100,0)),""),"")</f>
        <v/>
      </c>
      <c r="F261" s="804" t="str">
        <f ca="1">IFERROR(IF(INDEX('WPTM - Section F'!F$1:F$100,MATCH('Print View'!$A261,'WPTM - Section F'!$A$1:$A$100,0))&lt;&gt;0,INDEX('WPTM - Section F'!F$1:F$100,MATCH('Print View'!$A261,'WPTM - Section F'!$A$1:$A$100,0)),""),"")</f>
        <v/>
      </c>
      <c r="G261" s="807" t="str">
        <f ca="1">IFERROR(IF(INDEX('WPTM - Section F'!G$1:G$100,MATCH('Print View'!$A261,'WPTM - Section F'!$A$1:$A$100,0))&lt;&gt;0,INDEX('WPTM - Section F'!G$1:G$100,MATCH('Print View'!$A261,'WPTM - Section F'!$A$1:$A$100,0)),""),"")</f>
        <v/>
      </c>
      <c r="H261" s="427"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61" s="798" t="str">
        <f ca="1">IFERROR(IF(INDEX('WPTM - Section F'!J$1:J$100,MATCH('Print View'!$A261,'WPTM - Section F'!$A$1:$A$100,0))&lt;&gt;0,INDEX('WPTM - Section F'!J$1:J$100,MATCH('Print View'!$A261,'WPTM - Section F'!$A$1:$A$100,0)),""),"")</f>
        <v/>
      </c>
      <c r="J261" s="799"/>
      <c r="K261" s="799"/>
      <c r="L261" s="799"/>
      <c r="M261" s="800"/>
      <c r="N261" s="798" t="str">
        <f ca="1">IFERROR(IF(INDEX('WPTM - Section F'!K$1:K$100,MATCH('Print View'!$A261,'WPTM - Section F'!$A$1:$A$100,0))&lt;&gt;0,INDEX('WPTM - Section F'!K$1:K$100,MATCH('Print View'!$A261,'WPTM - Section F'!$A$1:$A$100,0)),""),"")</f>
        <v/>
      </c>
      <c r="O261" s="799"/>
      <c r="P261" s="799"/>
      <c r="Q261" s="799"/>
      <c r="R261" s="799"/>
      <c r="S261" s="799"/>
      <c r="T261" s="417"/>
      <c r="U261" s="216"/>
      <c r="V261" s="216"/>
      <c r="W261" s="216"/>
      <c r="X261" s="216"/>
      <c r="Y261" s="216"/>
      <c r="Z261" s="216"/>
      <c r="AA261" s="216"/>
      <c r="AB261" s="216"/>
      <c r="AC261" s="216"/>
      <c r="AD261" s="216"/>
      <c r="AE261" s="216"/>
      <c r="AF261" s="216"/>
      <c r="AG261" s="216"/>
      <c r="AH261" s="216"/>
      <c r="AI261" s="216"/>
      <c r="AJ261" s="216"/>
      <c r="AK261" s="216"/>
      <c r="AL261" s="216"/>
      <c r="AM261" s="216"/>
      <c r="AN261" s="216"/>
      <c r="AO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16"/>
      <c r="BK261" s="216"/>
      <c r="BL261" s="216"/>
      <c r="BM261" s="216"/>
      <c r="BN261" s="216"/>
      <c r="BO261" s="216"/>
      <c r="BP261" s="216"/>
      <c r="BQ261" s="216"/>
      <c r="BR261" s="216"/>
      <c r="BS261" s="216"/>
      <c r="BT261" s="216"/>
      <c r="BU261" s="216"/>
      <c r="BV261" s="216"/>
      <c r="BW261" s="216"/>
      <c r="BX261" s="216"/>
      <c r="BY261" s="216"/>
      <c r="BZ261" s="216"/>
      <c r="CA261" s="216"/>
      <c r="CB261" s="216"/>
      <c r="CC261" s="216"/>
      <c r="CD261" s="216"/>
      <c r="CE261" s="216"/>
      <c r="CF261" s="216"/>
      <c r="CG261" s="216"/>
      <c r="CH261" s="216"/>
    </row>
    <row r="262" spans="1:86" ht="60" customHeight="1" x14ac:dyDescent="0.3">
      <c r="A262" s="802">
        <v>42</v>
      </c>
      <c r="B262" s="805"/>
      <c r="C262" s="808" t="str">
        <f ca="1">IFERROR(IF(INDEX('WPTM - Section F'!C$1:C$100,MATCH('Print View'!$A262,'WPTM - Section F'!$A$1:$A$100,0))&lt;&gt;0,INDEX('WPTM - Section F'!C$1:C$100,MATCH('Print View'!$A262,'WPTM - Section F'!$A$1:$A$100,0)),""),"")</f>
        <v/>
      </c>
      <c r="D262" s="805"/>
      <c r="E262" s="805"/>
      <c r="F262" s="805"/>
      <c r="G262" s="808" t="str">
        <f ca="1">IFERROR(IF(INDEX('WPTM - Section F'!G$1:G$100,MATCH('Print View'!$A262,'WPTM - Section F'!$A$1:$A$100,0))&lt;&gt;0,INDEX('WPTM - Section F'!G$1:G$100,MATCH('Print View'!$A262,'WPTM - Section F'!$A$1:$A$100,0)),""),"")</f>
        <v/>
      </c>
      <c r="H262" s="427"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62" s="798" t="str">
        <f ca="1">IFERROR(IF(INDEX('WPTM - Section F'!J$1:J$100,MATCH('Print View'!$A261,'WPTM - Section F'!$A$1:$A$100,0))&lt;&gt;0,INDEX('WPTM - Section F'!J$1:J$100,MATCH('Print View'!$A261,'WPTM - Section F'!$A$1:$A$100,0)),""),"")</f>
        <v/>
      </c>
      <c r="J262" s="799"/>
      <c r="K262" s="799"/>
      <c r="L262" s="799"/>
      <c r="M262" s="800"/>
      <c r="N262" s="798" t="str">
        <f ca="1">IFERROR(IF(INDEX('WPTM - Section F'!O$1:O$100,MATCH('Print View'!$A261,'WPTM - Section F'!$A$1:$A$100,0))&lt;&gt;0,INDEX('WPTM - Section F'!O$1:O$100,MATCH('Print View'!$A261,'WPTM - Section F'!$A$1:$A$100,0)),""),"")</f>
        <v/>
      </c>
      <c r="O262" s="799"/>
      <c r="P262" s="799"/>
      <c r="Q262" s="799"/>
      <c r="R262" s="799"/>
      <c r="S262" s="799"/>
      <c r="T262" s="417"/>
      <c r="U262" s="216"/>
      <c r="V262" s="216"/>
      <c r="W262" s="216"/>
      <c r="X262" s="216"/>
      <c r="Y262" s="216"/>
      <c r="Z262" s="216"/>
      <c r="AA262" s="216"/>
      <c r="AB262" s="216"/>
      <c r="AC262" s="216"/>
      <c r="AD262" s="216"/>
      <c r="AE262" s="216"/>
      <c r="AF262" s="216"/>
      <c r="AG262" s="216"/>
      <c r="AH262" s="216"/>
      <c r="AI262" s="216"/>
      <c r="AJ262" s="216"/>
      <c r="AK262" s="216"/>
      <c r="AL262" s="216"/>
      <c r="AM262" s="216"/>
      <c r="AN262" s="216"/>
      <c r="AO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16"/>
      <c r="BK262" s="216"/>
      <c r="BL262" s="216"/>
      <c r="BM262" s="216"/>
      <c r="BN262" s="216"/>
      <c r="BO262" s="216"/>
      <c r="BP262" s="216"/>
      <c r="BQ262" s="216"/>
      <c r="BR262" s="216"/>
      <c r="BS262" s="216"/>
      <c r="BT262" s="216"/>
      <c r="BU262" s="216"/>
      <c r="BV262" s="216"/>
      <c r="BW262" s="216"/>
      <c r="BX262" s="216"/>
      <c r="BY262" s="216"/>
      <c r="BZ262" s="216"/>
      <c r="CA262" s="216"/>
      <c r="CB262" s="216"/>
      <c r="CC262" s="216"/>
      <c r="CD262" s="216"/>
      <c r="CE262" s="216"/>
      <c r="CF262" s="216"/>
      <c r="CG262" s="216"/>
      <c r="CH262" s="216"/>
    </row>
    <row r="263" spans="1:86" ht="60" customHeight="1" x14ac:dyDescent="0.3">
      <c r="A263" s="802">
        <v>43</v>
      </c>
      <c r="B263" s="805"/>
      <c r="C263" s="808" t="str">
        <f ca="1">IFERROR(IF(INDEX('WPTM - Section F'!C$1:C$100,MATCH('Print View'!$A263,'WPTM - Section F'!$A$1:$A$100,0))&lt;&gt;0,INDEX('WPTM - Section F'!C$1:C$100,MATCH('Print View'!$A263,'WPTM - Section F'!$A$1:$A$100,0)),""),"")</f>
        <v/>
      </c>
      <c r="D263" s="805"/>
      <c r="E263" s="805"/>
      <c r="F263" s="805"/>
      <c r="G263" s="808" t="str">
        <f ca="1">IFERROR(IF(INDEX('WPTM - Section F'!G$1:G$100,MATCH('Print View'!$A263,'WPTM - Section F'!$A$1:$A$100,0))&lt;&gt;0,INDEX('WPTM - Section F'!G$1:G$100,MATCH('Print View'!$A263,'WPTM - Section F'!$A$1:$A$100,0)),""),"")</f>
        <v/>
      </c>
      <c r="H263" s="427"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63" s="798" t="str">
        <f ca="1">IFERROR(IF(INDEX('WPTM - Section F'!R$1:R$100,MATCH('Print View'!$A261,'WPTM - Section F'!$A$1:$A$100,0))&lt;&gt;0,INDEX('WPTM - Section F'!R$1:R$100,MATCH('Print View'!$A261,'WPTM - Section F'!$A$1:$A$100,0)),""),"")</f>
        <v/>
      </c>
      <c r="J263" s="799"/>
      <c r="K263" s="799"/>
      <c r="L263" s="799"/>
      <c r="M263" s="800"/>
      <c r="N263" s="798" t="str">
        <f ca="1">IFERROR(IF(INDEX('WPTM - Section F'!S$1:S$100,MATCH('Print View'!$A261,'WPTM - Section F'!$A$1:$A$100,0))&lt;&gt;0,INDEX('WPTM - Section F'!S$1:S$100,MATCH('Print View'!$A261,'WPTM - Section F'!$A$1:$A$100,0)),""),"")</f>
        <v/>
      </c>
      <c r="O263" s="799"/>
      <c r="P263" s="799"/>
      <c r="Q263" s="799"/>
      <c r="R263" s="799"/>
      <c r="S263" s="799"/>
      <c r="T263" s="417"/>
      <c r="U263" s="216"/>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16"/>
      <c r="BL263" s="216"/>
      <c r="BM263" s="216"/>
      <c r="BN263" s="216"/>
      <c r="BO263" s="216"/>
      <c r="BP263" s="216"/>
      <c r="BQ263" s="216"/>
      <c r="BR263" s="216"/>
      <c r="BS263" s="216"/>
      <c r="BT263" s="216"/>
      <c r="BU263" s="216"/>
      <c r="BV263" s="216"/>
      <c r="BW263" s="216"/>
      <c r="BX263" s="216"/>
      <c r="BY263" s="216"/>
      <c r="BZ263" s="216"/>
      <c r="CA263" s="216"/>
      <c r="CB263" s="216"/>
      <c r="CC263" s="216"/>
      <c r="CD263" s="216"/>
      <c r="CE263" s="216"/>
      <c r="CF263" s="216"/>
      <c r="CG263" s="216"/>
      <c r="CH263" s="216"/>
    </row>
    <row r="264" spans="1:86" ht="60" customHeight="1" x14ac:dyDescent="0.3">
      <c r="A264" s="802">
        <v>44</v>
      </c>
      <c r="B264" s="805"/>
      <c r="C264" s="808" t="str">
        <f ca="1">IFERROR(IF(INDEX('WPTM - Section F'!C$1:C$100,MATCH('Print View'!$A264,'WPTM - Section F'!$A$1:$A$100,0))&lt;&gt;0,INDEX('WPTM - Section F'!C$1:C$100,MATCH('Print View'!$A264,'WPTM - Section F'!$A$1:$A$100,0)),""),"")</f>
        <v/>
      </c>
      <c r="D264" s="805"/>
      <c r="E264" s="805"/>
      <c r="F264" s="805"/>
      <c r="G264" s="808" t="str">
        <f ca="1">IFERROR(IF(INDEX('WPTM - Section F'!G$1:G$100,MATCH('Print View'!$A264,'WPTM - Section F'!$A$1:$A$100,0))&lt;&gt;0,INDEX('WPTM - Section F'!G$1:G$100,MATCH('Print View'!$A264,'WPTM - Section F'!$A$1:$A$100,0)),""),"")</f>
        <v/>
      </c>
      <c r="H264" s="427"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64" s="798" t="str">
        <f ca="1">IFERROR(IF(INDEX('WPTM - Section F'!V$1:V$100,MATCH('Print View'!$A261,'WPTM - Section F'!$A$1:$A$100,0))&lt;&gt;0,INDEX('WPTM - Section F'!V$1:V$100,MATCH('Print View'!$A261,'WPTM - Section F'!$A$1:$A$100,0)),""),"")</f>
        <v/>
      </c>
      <c r="J264" s="799"/>
      <c r="K264" s="799"/>
      <c r="L264" s="799"/>
      <c r="M264" s="800"/>
      <c r="N264" s="798" t="str">
        <f ca="1">IFERROR(IF(INDEX('WPTM - Section F'!W$1:W$100,MATCH('Print View'!$A261,'WPTM - Section F'!$A$1:$A$100,0))&lt;&gt;0,INDEX('WPTM - Section F'!W$1:W$100,MATCH('Print View'!$A261,'WPTM - Section F'!$A$1:$A$100,0)),""),"")</f>
        <v/>
      </c>
      <c r="O264" s="799"/>
      <c r="P264" s="799"/>
      <c r="Q264" s="799"/>
      <c r="R264" s="799"/>
      <c r="S264" s="799"/>
      <c r="T264" s="417"/>
      <c r="U264" s="216"/>
      <c r="V264" s="216"/>
      <c r="W264" s="216"/>
      <c r="X264" s="216"/>
      <c r="Y264" s="216"/>
      <c r="Z264" s="216"/>
      <c r="AA264" s="216"/>
      <c r="AB264" s="216"/>
      <c r="AC264" s="216"/>
      <c r="AD264" s="216"/>
      <c r="AE264" s="216"/>
      <c r="AF264" s="216"/>
      <c r="AG264" s="216"/>
      <c r="AH264" s="216"/>
      <c r="AI264" s="216"/>
      <c r="AJ264" s="216"/>
      <c r="AK264" s="216"/>
      <c r="AL264" s="216"/>
      <c r="AM264" s="216"/>
      <c r="AN264" s="216"/>
      <c r="AO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16"/>
      <c r="BK264" s="216"/>
      <c r="BL264" s="216"/>
      <c r="BM264" s="216"/>
      <c r="BN264" s="216"/>
      <c r="BO264" s="216"/>
      <c r="BP264" s="216"/>
      <c r="BQ264" s="216"/>
      <c r="BR264" s="216"/>
      <c r="BS264" s="216"/>
      <c r="BT264" s="216"/>
      <c r="BU264" s="216"/>
      <c r="BV264" s="216"/>
      <c r="BW264" s="216"/>
      <c r="BX264" s="216"/>
      <c r="BY264" s="216"/>
      <c r="BZ264" s="216"/>
      <c r="CA264" s="216"/>
      <c r="CB264" s="216"/>
      <c r="CC264" s="216"/>
      <c r="CD264" s="216"/>
      <c r="CE264" s="216"/>
      <c r="CF264" s="216"/>
      <c r="CG264" s="216"/>
      <c r="CH264" s="216"/>
    </row>
    <row r="265" spans="1:86" ht="60" customHeight="1" x14ac:dyDescent="0.3">
      <c r="A265" s="802">
        <v>45</v>
      </c>
      <c r="B265" s="805"/>
      <c r="C265" s="808" t="str">
        <f ca="1">IFERROR(IF(INDEX('WPTM - Section F'!C$1:C$100,MATCH('Print View'!$A265,'WPTM - Section F'!$A$1:$A$100,0))&lt;&gt;0,INDEX('WPTM - Section F'!C$1:C$100,MATCH('Print View'!$A265,'WPTM - Section F'!$A$1:$A$100,0)),""),"")</f>
        <v/>
      </c>
      <c r="D265" s="805"/>
      <c r="E265" s="805"/>
      <c r="F265" s="805"/>
      <c r="G265" s="808" t="str">
        <f ca="1">IFERROR(IF(INDEX('WPTM - Section F'!G$1:G$100,MATCH('Print View'!$A265,'WPTM - Section F'!$A$1:$A$100,0))&lt;&gt;0,INDEX('WPTM - Section F'!G$1:G$100,MATCH('Print View'!$A265,'WPTM - Section F'!$A$1:$A$100,0)),""),"")</f>
        <v/>
      </c>
      <c r="H265" s="427"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65" s="798" t="str">
        <f ca="1">IFERROR(IF(INDEX('WPTM - Section F'!Z$1:Z$100,MATCH('Print View'!$A261,'WPTM - Section F'!$A$1:$A$100,0))&lt;&gt;0,INDEX('WPTM - Section F'!Z$1:Z$100,MATCH('Print View'!$A261,'WPTM - Section F'!$A$1:$A$100,0)),""),"")</f>
        <v/>
      </c>
      <c r="J265" s="799"/>
      <c r="K265" s="799"/>
      <c r="L265" s="799"/>
      <c r="M265" s="800"/>
      <c r="N265" s="798" t="str">
        <f ca="1">IFERROR(IF(INDEX('WPTM - Section F'!AA$1:AA$100,MATCH('Print View'!$A261,'WPTM - Section F'!$A$1:$A$100,0))&lt;&gt;0,INDEX('WPTM - Section F'!AA$1:AA$100,MATCH('Print View'!$A261,'WPTM - Section F'!$A$1:$A$100,0)),""),"")</f>
        <v/>
      </c>
      <c r="O265" s="799"/>
      <c r="P265" s="799"/>
      <c r="Q265" s="799"/>
      <c r="R265" s="799"/>
      <c r="S265" s="799"/>
      <c r="T265" s="417"/>
      <c r="U265" s="216"/>
      <c r="V265" s="216"/>
      <c r="W265" s="216"/>
      <c r="X265" s="216"/>
      <c r="Y265" s="216"/>
      <c r="Z265" s="216"/>
      <c r="AA265" s="216"/>
      <c r="AB265" s="216"/>
      <c r="AC265" s="216"/>
      <c r="AD265" s="216"/>
      <c r="AE265" s="216"/>
      <c r="AF265" s="216"/>
      <c r="AG265" s="216"/>
      <c r="AH265" s="216"/>
      <c r="AI265" s="216"/>
      <c r="AJ265" s="216"/>
      <c r="AK265" s="216"/>
      <c r="AL265" s="216"/>
      <c r="AM265" s="216"/>
      <c r="AN265" s="216"/>
      <c r="AO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16"/>
      <c r="BK265" s="216"/>
      <c r="BL265" s="216"/>
      <c r="BM265" s="216"/>
      <c r="BN265" s="216"/>
      <c r="BO265" s="216"/>
      <c r="BP265" s="216"/>
      <c r="BQ265" s="216"/>
      <c r="BR265" s="216"/>
      <c r="BS265" s="216"/>
      <c r="BT265" s="216"/>
      <c r="BU265" s="216"/>
      <c r="BV265" s="216"/>
      <c r="BW265" s="216"/>
      <c r="BX265" s="216"/>
      <c r="BY265" s="216"/>
      <c r="BZ265" s="216"/>
      <c r="CA265" s="216"/>
      <c r="CB265" s="216"/>
      <c r="CC265" s="216"/>
      <c r="CD265" s="216"/>
      <c r="CE265" s="216"/>
      <c r="CF265" s="216"/>
      <c r="CG265" s="216"/>
      <c r="CH265" s="216"/>
    </row>
    <row r="266" spans="1:86" ht="60" customHeight="1" x14ac:dyDescent="0.3">
      <c r="A266" s="802">
        <v>46</v>
      </c>
      <c r="B266" s="805"/>
      <c r="C266" s="808" t="str">
        <f ca="1">IFERROR(IF(INDEX('WPTM - Section F'!C$1:C$100,MATCH('Print View'!$A266,'WPTM - Section F'!$A$1:$A$100,0))&lt;&gt;0,INDEX('WPTM - Section F'!C$1:C$100,MATCH('Print View'!$A266,'WPTM - Section F'!$A$1:$A$100,0)),""),"")</f>
        <v/>
      </c>
      <c r="D266" s="805"/>
      <c r="E266" s="805"/>
      <c r="F266" s="805"/>
      <c r="G266" s="808" t="str">
        <f ca="1">IFERROR(IF(INDEX('WPTM - Section F'!G$1:G$100,MATCH('Print View'!$A266,'WPTM - Section F'!$A$1:$A$100,0))&lt;&gt;0,INDEX('WPTM - Section F'!G$1:G$100,MATCH('Print View'!$A266,'WPTM - Section F'!$A$1:$A$100,0)),""),"")</f>
        <v/>
      </c>
      <c r="H266" s="427"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66" s="798" t="str">
        <f ca="1">IFERROR(IF(INDEX('WPTM - Section F'!AD$1:AD$100,MATCH('Print View'!$A261,'WPTM - Section F'!$A$1:$A$100,0))&lt;&gt;0,INDEX('WPTM - Section F'!AD$1:AD$100,MATCH('Print View'!$A261,'WPTM - Section F'!$A$1:$A$100,0)),""),"")</f>
        <v/>
      </c>
      <c r="J266" s="799"/>
      <c r="K266" s="799"/>
      <c r="L266" s="799"/>
      <c r="M266" s="800"/>
      <c r="N266" s="798" t="str">
        <f ca="1">IFERROR(IF(INDEX('WPTM - Section F'!AE$1:AE$100,MATCH('Print View'!$A261,'WPTM - Section F'!$A$1:$A$100,0))&lt;&gt;0,INDEX('WPTM - Section F'!AE$1:AE$100,MATCH('Print View'!$A261,'WPTM - Section F'!$A$1:$A$100,0)),""),"")</f>
        <v/>
      </c>
      <c r="O266" s="799"/>
      <c r="P266" s="799"/>
      <c r="Q266" s="799"/>
      <c r="R266" s="799"/>
      <c r="S266" s="799"/>
      <c r="T266" s="417"/>
      <c r="U266" s="216"/>
      <c r="V266" s="216"/>
      <c r="W266" s="216"/>
      <c r="X266" s="216"/>
      <c r="Y266" s="216"/>
      <c r="Z266" s="216"/>
      <c r="AA266" s="216"/>
      <c r="AB266" s="216"/>
      <c r="AC266" s="216"/>
      <c r="AD266" s="216"/>
      <c r="AE266" s="216"/>
      <c r="AF266" s="216"/>
      <c r="AG266" s="216"/>
      <c r="AH266" s="216"/>
      <c r="AI266" s="216"/>
      <c r="AJ266" s="216"/>
      <c r="AK266" s="216"/>
      <c r="AL266" s="216"/>
      <c r="AM266" s="216"/>
      <c r="AN266" s="216"/>
      <c r="AO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16"/>
      <c r="BK266" s="216"/>
      <c r="BL266" s="216"/>
      <c r="BM266" s="216"/>
      <c r="BN266" s="216"/>
      <c r="BO266" s="216"/>
      <c r="BP266" s="216"/>
      <c r="BQ266" s="216"/>
      <c r="BR266" s="216"/>
      <c r="BS266" s="216"/>
      <c r="BT266" s="216"/>
      <c r="BU266" s="216"/>
      <c r="BV266" s="216"/>
      <c r="BW266" s="216"/>
      <c r="BX266" s="216"/>
      <c r="BY266" s="216"/>
      <c r="BZ266" s="216"/>
      <c r="CA266" s="216"/>
      <c r="CB266" s="216"/>
      <c r="CC266" s="216"/>
      <c r="CD266" s="216"/>
      <c r="CE266" s="216"/>
      <c r="CF266" s="216"/>
      <c r="CG266" s="216"/>
      <c r="CH266" s="216"/>
    </row>
    <row r="267" spans="1:86" ht="60" customHeight="1" x14ac:dyDescent="0.3">
      <c r="A267" s="802">
        <v>47</v>
      </c>
      <c r="B267" s="806"/>
      <c r="C267" s="809" t="str">
        <f ca="1">IFERROR(IF(INDEX('WPTM - Section F'!C$1:C$100,MATCH('Print View'!$A267,'WPTM - Section F'!$A$1:$A$100,0))&lt;&gt;0,INDEX('WPTM - Section F'!C$1:C$100,MATCH('Print View'!$A267,'WPTM - Section F'!$A$1:$A$100,0)),""),"")</f>
        <v/>
      </c>
      <c r="D267" s="806"/>
      <c r="E267" s="806"/>
      <c r="F267" s="806"/>
      <c r="G267" s="809" t="str">
        <f ca="1">IFERROR(IF(INDEX('WPTM - Section F'!G$1:G$100,MATCH('Print View'!$A267,'WPTM - Section F'!$A$1:$A$100,0))&lt;&gt;0,INDEX('WPTM - Section F'!G$1:G$100,MATCH('Print View'!$A267,'WPTM - Section F'!$A$1:$A$100,0)),""),"")</f>
        <v/>
      </c>
      <c r="H267" s="427" t="str">
        <f>IF(IFERROR(INDEX('Overview - Section A'!$A$46:$A$53,MATCH(D$29,'Overview - Section A'!$B$46:$B$53,0)),"")="","",TEXT(IFERROR(INDEX('Overview - Section A'!$A$46:$A$53,MATCH(D$29,'Overview - Section A'!$B$46:$B$53,0)),""),Setup!$A$33) &amp;" to " &amp; TEXT(IFERROR(INDEX('Overview - Section A'!$E$46:$E$53,MATCH(D$29,'Overview - Section A'!$B$46:$B$53,0)),""),Setup!$A$33))</f>
        <v/>
      </c>
      <c r="I267" s="798" t="str">
        <f ca="1">IFERROR(IF(INDEX('WPTM - Section F'!AH$1:AH$100,MATCH('Print View'!$A261,'WPTM - Section F'!$A$1:$A$100,0))&lt;&gt;0,INDEX('WPTM - Section F'!AH$1:AH$100,MATCH('Print View'!$A261,'WPTM - Section F'!$A$1:$A$100,0)),""),"")</f>
        <v/>
      </c>
      <c r="J267" s="799"/>
      <c r="K267" s="799"/>
      <c r="L267" s="799"/>
      <c r="M267" s="800"/>
      <c r="N267" s="798" t="str">
        <f ca="1">IFERROR(IF(INDEX('WPTM - Section F'!AI$1:AI$100,MATCH('Print View'!$A261,'WPTM - Section F'!$A$1:$A$100,0))&lt;&gt;0,INDEX('WPTM - Section F'!AI$1:AI$100,MATCH('Print View'!$A261,'WPTM - Section F'!$A$1:$A$100,0)),""),"")</f>
        <v/>
      </c>
      <c r="O267" s="799"/>
      <c r="P267" s="799"/>
      <c r="Q267" s="799"/>
      <c r="R267" s="799"/>
      <c r="S267" s="799"/>
      <c r="T267" s="417"/>
      <c r="U267" s="216"/>
      <c r="V267" s="216"/>
      <c r="W267" s="216"/>
      <c r="X267" s="216"/>
      <c r="Y267" s="216"/>
      <c r="Z267" s="216"/>
      <c r="AA267" s="216"/>
      <c r="AB267" s="216"/>
      <c r="AC267" s="216"/>
      <c r="AD267" s="216"/>
      <c r="AE267" s="216"/>
      <c r="AF267" s="216"/>
      <c r="AG267" s="216"/>
      <c r="AH267" s="216"/>
      <c r="AI267" s="216"/>
      <c r="AJ267" s="216"/>
      <c r="AK267" s="216"/>
      <c r="AL267" s="216"/>
      <c r="AM267" s="216"/>
      <c r="AN267" s="216"/>
      <c r="AO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16"/>
      <c r="BK267" s="216"/>
      <c r="BL267" s="216"/>
      <c r="BM267" s="216"/>
      <c r="BN267" s="216"/>
      <c r="BO267" s="216"/>
      <c r="BP267" s="216"/>
      <c r="BQ267" s="216"/>
      <c r="BR267" s="216"/>
      <c r="BS267" s="216"/>
      <c r="BT267" s="216"/>
      <c r="BU267" s="216"/>
      <c r="BV267" s="216"/>
      <c r="BW267" s="216"/>
      <c r="BX267" s="216"/>
      <c r="BY267" s="216"/>
      <c r="BZ267" s="216"/>
      <c r="CA267" s="216"/>
      <c r="CB267" s="216"/>
      <c r="CC267" s="216"/>
      <c r="CD267" s="216"/>
      <c r="CE267" s="216"/>
      <c r="CF267" s="216"/>
      <c r="CG267" s="216"/>
      <c r="CH267" s="216"/>
    </row>
    <row r="268" spans="1:86" ht="60" customHeight="1" x14ac:dyDescent="0.55000000000000004">
      <c r="A268" s="803">
        <v>48</v>
      </c>
      <c r="B268" s="813" t="str">
        <f ca="1">IFERROR(IF(INDEX('WPTM - Section F'!AV$1:AV$100,MATCH('Print View'!$A261,'WPTM - Section F'!$A$1:$A$100,0))&lt;&gt;0,INDEX('WPTM - Section F'!AV$1:AV$100,MATCH('Print View'!$A261,'WPTM - Section F'!$A$1:$A$100,0)),""),"")</f>
        <v/>
      </c>
      <c r="C268" s="814"/>
      <c r="D268" s="814"/>
      <c r="E268" s="814"/>
      <c r="F268" s="814"/>
      <c r="G268" s="814"/>
      <c r="H268" s="814"/>
      <c r="I268" s="814"/>
      <c r="J268" s="814"/>
      <c r="K268" s="814"/>
      <c r="L268" s="814"/>
      <c r="M268" s="814"/>
      <c r="N268" s="814"/>
      <c r="O268" s="814"/>
      <c r="P268" s="814"/>
      <c r="Q268" s="814"/>
      <c r="R268" s="814"/>
      <c r="S268" s="815"/>
      <c r="T268" s="417"/>
      <c r="U268" s="216"/>
      <c r="V268" s="216"/>
      <c r="W268" s="216"/>
      <c r="X268" s="216"/>
      <c r="Y268" s="216"/>
      <c r="Z268" s="216"/>
      <c r="AA268" s="216"/>
      <c r="AB268" s="216"/>
      <c r="AC268" s="216"/>
      <c r="AD268" s="216"/>
      <c r="AE268" s="216"/>
      <c r="AF268" s="216"/>
      <c r="AG268" s="216"/>
      <c r="AH268" s="216"/>
      <c r="AI268" s="216"/>
      <c r="AJ268" s="216"/>
      <c r="AK268" s="216"/>
      <c r="AL268" s="216"/>
      <c r="AM268" s="216"/>
      <c r="AN268" s="216"/>
      <c r="AO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16"/>
      <c r="BK268" s="216"/>
      <c r="BL268" s="216"/>
      <c r="BM268" s="216"/>
      <c r="BN268" s="216"/>
      <c r="BO268" s="216"/>
      <c r="BP268" s="216"/>
      <c r="BQ268" s="216"/>
      <c r="BR268" s="216"/>
      <c r="BS268" s="216"/>
      <c r="BT268" s="216"/>
      <c r="BU268" s="216"/>
      <c r="BV268" s="216"/>
      <c r="BW268" s="216"/>
      <c r="BX268" s="216"/>
      <c r="BY268" s="216"/>
      <c r="BZ268" s="216"/>
      <c r="CA268" s="216"/>
      <c r="CB268" s="216"/>
      <c r="CC268" s="216"/>
      <c r="CD268" s="216"/>
      <c r="CE268" s="216"/>
      <c r="CF268" s="216"/>
      <c r="CG268" s="216"/>
      <c r="CH268" s="216"/>
    </row>
    <row r="269" spans="1:86" ht="60" customHeight="1" x14ac:dyDescent="0.55000000000000004">
      <c r="A269" s="801">
        <v>7</v>
      </c>
      <c r="B269" s="804" t="str">
        <f ca="1">IFERROR(IF(INDEX('WPTM - Section F'!B$1:B$100,MATCH('Print View'!$A269,'WPTM - Section F'!$A$1:$A$100,0))&lt;&gt;0,INDEX('WPTM - Section F'!B$1:B$100,MATCH('Print View'!$A269,'WPTM - Section F'!$A$1:$A$100,0)),""),"")</f>
        <v/>
      </c>
      <c r="C269" s="807" t="str">
        <f ca="1">IFERROR(IF(INDEX('WPTM - Section F'!C$1:C$100,MATCH('Print View'!$A269,'WPTM - Section F'!$A$1:$A$100,0))&lt;&gt;0,INDEX('WPTM - Section F'!C$1:C$100,MATCH('Print View'!$A269,'WPTM - Section F'!$A$1:$A$100,0)),""),"")</f>
        <v/>
      </c>
      <c r="D269" s="804" t="str">
        <f ca="1">IFERROR(IF(INDEX('WPTM - Section F'!D$1:D$100,MATCH('Print View'!$A269,'WPTM - Section F'!$A$1:$A$100,0))&lt;&gt;0,INDEX('WPTM - Section F'!D$1:D$100,MATCH('Print View'!$A269,'WPTM - Section F'!$A$1:$A$100,0)),""),"")</f>
        <v/>
      </c>
      <c r="E269" s="804" t="str">
        <f ca="1">IFERROR(IF(INDEX('WPTM - Section F'!E$1:E$100,MATCH('Print View'!$A269,'WPTM - Section F'!$A$1:$A$100,0))&lt;&gt;0,INDEX('WPTM - Section F'!E$1:E$100,MATCH('Print View'!$A269,'WPTM - Section F'!$A$1:$A$100,0)),""),"")</f>
        <v/>
      </c>
      <c r="F269" s="804" t="str">
        <f ca="1">IFERROR(IF(INDEX('WPTM - Section F'!F$1:F$100,MATCH('Print View'!$A269,'WPTM - Section F'!$A$1:$A$100,0))&lt;&gt;0,INDEX('WPTM - Section F'!F$1:F$100,MATCH('Print View'!$A269,'WPTM - Section F'!$A$1:$A$100,0)),""),"")</f>
        <v/>
      </c>
      <c r="G269" s="807" t="str">
        <f ca="1">IFERROR(IF(INDEX('WPTM - Section F'!G$1:G$100,MATCH('Print View'!$A269,'WPTM - Section F'!$A$1:$A$100,0))&lt;&gt;0,INDEX('WPTM - Section F'!G$1:G$100,MATCH('Print View'!$A269,'WPTM - Section F'!$A$1:$A$100,0)),""),"")</f>
        <v/>
      </c>
      <c r="H269" s="424"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69" s="795" t="str">
        <f ca="1">IFERROR(IF(INDEX('WPTM - Section F'!J$1:J$100,MATCH('Print View'!$A269,'WPTM - Section F'!$A$1:$A$100,0))&lt;&gt;0,INDEX('WPTM - Section F'!J$1:J$100,MATCH('Print View'!$A269,'WPTM - Section F'!$A$1:$A$100,0)),""),"")</f>
        <v/>
      </c>
      <c r="J269" s="796"/>
      <c r="K269" s="796"/>
      <c r="L269" s="796"/>
      <c r="M269" s="797"/>
      <c r="N269" s="795" t="str">
        <f ca="1">IFERROR(IF(INDEX('WPTM - Section F'!K$1:K$100,MATCH('Print View'!$A269,'WPTM - Section F'!$A$1:$A$100,0))&lt;&gt;0,INDEX('WPTM - Section F'!K$1:K$100,MATCH('Print View'!$A269,'WPTM - Section F'!$A$1:$A$100,0)),""),"")</f>
        <v/>
      </c>
      <c r="O269" s="796"/>
      <c r="P269" s="796"/>
      <c r="Q269" s="796"/>
      <c r="R269" s="796"/>
      <c r="S269" s="797"/>
      <c r="T269" s="429"/>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16"/>
      <c r="BK269" s="216"/>
      <c r="BL269" s="216"/>
      <c r="BM269" s="216"/>
      <c r="BN269" s="216"/>
      <c r="BO269" s="216"/>
      <c r="BP269" s="216"/>
      <c r="BQ269" s="216"/>
      <c r="BR269" s="216"/>
      <c r="BS269" s="216"/>
      <c r="BT269" s="216"/>
      <c r="BU269" s="216"/>
      <c r="BV269" s="216"/>
      <c r="BW269" s="216"/>
      <c r="BX269" s="216"/>
      <c r="BY269" s="216"/>
      <c r="BZ269" s="216"/>
      <c r="CA269" s="216"/>
      <c r="CB269" s="216"/>
      <c r="CC269" s="216"/>
      <c r="CD269" s="216"/>
      <c r="CE269" s="216"/>
      <c r="CF269" s="216"/>
      <c r="CG269" s="216"/>
      <c r="CH269" s="216"/>
    </row>
    <row r="270" spans="1:86" ht="60" customHeight="1" x14ac:dyDescent="0.55000000000000004">
      <c r="A270" s="802">
        <v>50</v>
      </c>
      <c r="B270" s="805"/>
      <c r="C270" s="808" t="str">
        <f ca="1">IFERROR(IF(INDEX('WPTM - Section F'!C$1:C$100,MATCH('Print View'!$A270,'WPTM - Section F'!$A$1:$A$100,0))&lt;&gt;0,INDEX('WPTM - Section F'!C$1:C$100,MATCH('Print View'!$A270,'WPTM - Section F'!$A$1:$A$100,0)),""),"")</f>
        <v/>
      </c>
      <c r="D270" s="805"/>
      <c r="E270" s="805"/>
      <c r="F270" s="805"/>
      <c r="G270" s="808" t="str">
        <f ca="1">IFERROR(IF(INDEX('WPTM - Section F'!G$1:G$100,MATCH('Print View'!$A270,'WPTM - Section F'!$A$1:$A$100,0))&lt;&gt;0,INDEX('WPTM - Section F'!G$1:G$100,MATCH('Print View'!$A270,'WPTM - Section F'!$A$1:$A$100,0)),""),"")</f>
        <v/>
      </c>
      <c r="H270" s="424"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70" s="795" t="str">
        <f ca="1">IFERROR(IF(INDEX('WPTM - Section F'!N$1:N$100,MATCH('Print View'!$A269,'WPTM - Section F'!$A$1:$A$100,0))&lt;&gt;0,INDEX('WPTM - Section F'!N$1:N$100,MATCH('Print View'!$A269,'WPTM - Section F'!$A$1:$A$100,0)),""),"")</f>
        <v/>
      </c>
      <c r="J270" s="796"/>
      <c r="K270" s="796"/>
      <c r="L270" s="796"/>
      <c r="M270" s="797"/>
      <c r="N270" s="795" t="str">
        <f ca="1">IFERROR(IF(INDEX('WPTM - Section F'!O$1:O$100,MATCH('Print View'!$A269,'WPTM - Section F'!$A$1:$A$100,0))&lt;&gt;0,INDEX('WPTM - Section F'!O$1:O$100,MATCH('Print View'!$A269,'WPTM - Section F'!$A$1:$A$100,0)),""),"")</f>
        <v/>
      </c>
      <c r="O270" s="796"/>
      <c r="P270" s="796"/>
      <c r="Q270" s="796"/>
      <c r="R270" s="796"/>
      <c r="S270" s="797"/>
      <c r="T270" s="429"/>
      <c r="U270" s="216"/>
      <c r="V270" s="216"/>
      <c r="W270" s="216"/>
      <c r="X270" s="216"/>
      <c r="Y270" s="216"/>
      <c r="Z270" s="216"/>
      <c r="AA270" s="216"/>
      <c r="AB270" s="216"/>
      <c r="AC270" s="191"/>
      <c r="AD270" s="191"/>
      <c r="AE270" s="191"/>
      <c r="AF270" s="191"/>
      <c r="AG270" s="191"/>
      <c r="AH270" s="191"/>
      <c r="AI270" s="191"/>
      <c r="AJ270" s="191"/>
      <c r="AK270" s="191"/>
      <c r="AL270" s="191"/>
      <c r="AM270" s="191"/>
      <c r="AN270" s="191"/>
      <c r="AO270" s="191"/>
      <c r="AQ270" s="216"/>
      <c r="AR270" s="216"/>
      <c r="AS270" s="216"/>
      <c r="AT270" s="216"/>
      <c r="AU270" s="216"/>
      <c r="AV270" s="216"/>
      <c r="AW270" s="216"/>
      <c r="AX270" s="216"/>
      <c r="AY270" s="216"/>
      <c r="AZ270" s="216"/>
      <c r="BA270" s="216"/>
      <c r="BB270" s="216"/>
      <c r="BC270" s="216"/>
      <c r="BD270" s="216"/>
      <c r="BE270" s="216"/>
      <c r="BF270" s="216"/>
      <c r="BG270" s="216"/>
      <c r="BH270" s="216"/>
      <c r="BI270" s="216"/>
      <c r="BJ270" s="216"/>
      <c r="BK270" s="216"/>
      <c r="BL270" s="216"/>
      <c r="BM270" s="216"/>
      <c r="BN270" s="216"/>
      <c r="BO270" s="216"/>
      <c r="BP270" s="216"/>
      <c r="BQ270" s="216"/>
      <c r="BR270" s="216"/>
      <c r="BS270" s="216"/>
      <c r="BT270" s="216"/>
      <c r="BU270" s="216"/>
      <c r="BV270" s="216"/>
      <c r="BW270" s="216"/>
      <c r="BX270" s="216"/>
      <c r="BY270" s="216"/>
      <c r="BZ270" s="216"/>
      <c r="CA270" s="216"/>
      <c r="CB270" s="216"/>
      <c r="CC270" s="216"/>
      <c r="CD270" s="216"/>
      <c r="CE270" s="216"/>
      <c r="CF270" s="216"/>
      <c r="CG270" s="216"/>
      <c r="CH270" s="216"/>
    </row>
    <row r="271" spans="1:86" ht="60" customHeight="1" x14ac:dyDescent="0.55000000000000004">
      <c r="A271" s="802">
        <v>51</v>
      </c>
      <c r="B271" s="805"/>
      <c r="C271" s="808" t="str">
        <f ca="1">IFERROR(IF(INDEX('WPTM - Section F'!C$1:C$100,MATCH('Print View'!$A271,'WPTM - Section F'!$A$1:$A$100,0))&lt;&gt;0,INDEX('WPTM - Section F'!C$1:C$100,MATCH('Print View'!$A271,'WPTM - Section F'!$A$1:$A$100,0)),""),"")</f>
        <v/>
      </c>
      <c r="D271" s="805"/>
      <c r="E271" s="805"/>
      <c r="F271" s="805"/>
      <c r="G271" s="808" t="str">
        <f ca="1">IFERROR(IF(INDEX('WPTM - Section F'!G$1:G$100,MATCH('Print View'!$A271,'WPTM - Section F'!$A$1:$A$100,0))&lt;&gt;0,INDEX('WPTM - Section F'!G$1:G$100,MATCH('Print View'!$A271,'WPTM - Section F'!$A$1:$A$100,0)),""),"")</f>
        <v/>
      </c>
      <c r="H271" s="424"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71" s="795" t="str">
        <f ca="1">IFERROR(IF(INDEX('WPTM - Section F'!R$1:R$100,MATCH('Print View'!$A269,'WPTM - Section F'!$A$1:$A$100,0))&lt;&gt;0,INDEX('WPTM - Section F'!R$1:R$100,MATCH('Print View'!$A269,'WPTM - Section F'!$A$1:$A$100,0)),""),"")</f>
        <v/>
      </c>
      <c r="J271" s="796"/>
      <c r="K271" s="796"/>
      <c r="L271" s="796"/>
      <c r="M271" s="797"/>
      <c r="N271" s="795" t="str">
        <f ca="1">IFERROR(IF(INDEX('WPTM - Section F'!S$1:S$100,MATCH('Print View'!$A269,'WPTM - Section F'!$A$1:$A$100,0))&lt;&gt;0,INDEX('WPTM - Section F'!S$1:S$100,MATCH('Print View'!$A269,'WPTM - Section F'!$A$1:$A$100,0)),""),"")</f>
        <v/>
      </c>
      <c r="O271" s="796"/>
      <c r="P271" s="796"/>
      <c r="Q271" s="796"/>
      <c r="R271" s="796"/>
      <c r="S271" s="797"/>
      <c r="T271" s="429"/>
      <c r="U271" s="216"/>
      <c r="V271" s="216"/>
      <c r="W271" s="216"/>
      <c r="X271" s="216"/>
      <c r="Y271" s="216"/>
      <c r="Z271" s="216"/>
      <c r="AA271" s="216"/>
      <c r="AB271" s="216"/>
      <c r="AC271" s="191"/>
      <c r="AD271" s="191"/>
      <c r="AE271" s="191"/>
      <c r="AF271" s="191"/>
      <c r="AG271" s="191"/>
      <c r="AH271" s="191"/>
      <c r="AI271" s="191"/>
      <c r="AJ271" s="191"/>
      <c r="AK271" s="191"/>
      <c r="AL271" s="191"/>
      <c r="AM271" s="191"/>
      <c r="AN271" s="191"/>
      <c r="AO271" s="191"/>
      <c r="AQ271" s="216"/>
      <c r="AR271" s="216"/>
      <c r="AS271" s="216"/>
      <c r="AT271" s="216"/>
      <c r="AU271" s="216"/>
      <c r="AV271" s="216"/>
      <c r="AW271" s="216"/>
      <c r="AX271" s="216"/>
      <c r="AY271" s="216"/>
      <c r="AZ271" s="216"/>
      <c r="BA271" s="216"/>
      <c r="BB271" s="216"/>
      <c r="BC271" s="216"/>
      <c r="BD271" s="216"/>
      <c r="BE271" s="216"/>
      <c r="BF271" s="216"/>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216"/>
      <c r="CF271" s="216"/>
      <c r="CG271" s="216"/>
      <c r="CH271" s="216"/>
    </row>
    <row r="272" spans="1:86" ht="60" customHeight="1" x14ac:dyDescent="0.55000000000000004">
      <c r="A272" s="802">
        <v>52</v>
      </c>
      <c r="B272" s="805"/>
      <c r="C272" s="808" t="str">
        <f ca="1">IFERROR(IF(INDEX('WPTM - Section F'!C$1:C$100,MATCH('Print View'!$A272,'WPTM - Section F'!$A$1:$A$100,0))&lt;&gt;0,INDEX('WPTM - Section F'!C$1:C$100,MATCH('Print View'!$A272,'WPTM - Section F'!$A$1:$A$100,0)),""),"")</f>
        <v/>
      </c>
      <c r="D272" s="805"/>
      <c r="E272" s="805"/>
      <c r="F272" s="805"/>
      <c r="G272" s="808" t="str">
        <f ca="1">IFERROR(IF(INDEX('WPTM - Section F'!G$1:G$100,MATCH('Print View'!$A272,'WPTM - Section F'!$A$1:$A$100,0))&lt;&gt;0,INDEX('WPTM - Section F'!G$1:G$100,MATCH('Print View'!$A272,'WPTM - Section F'!$A$1:$A$100,0)),""),"")</f>
        <v/>
      </c>
      <c r="H272" s="424"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72" s="795" t="str">
        <f ca="1">IFERROR(IF(INDEX('WPTM - Section F'!V$1:V$100,MATCH('Print View'!$A269,'WPTM - Section F'!$A$1:$A$100,0))&lt;&gt;0,INDEX('WPTM - Section F'!V$1:V$100,MATCH('Print View'!$A269,'WPTM - Section F'!$A$1:$A$100,0)),""),"")</f>
        <v/>
      </c>
      <c r="J272" s="796"/>
      <c r="K272" s="796"/>
      <c r="L272" s="796"/>
      <c r="M272" s="797"/>
      <c r="N272" s="795" t="str">
        <f ca="1">IFERROR(IF(INDEX('WPTM - Section F'!W$1:W$100,MATCH('Print View'!$A269,'WPTM - Section F'!$A$1:$A$100,0))&lt;&gt;0,INDEX('WPTM - Section F'!W$1:W$100,MATCH('Print View'!$A269,'WPTM - Section F'!$A$1:$A$100,0)),""),"")</f>
        <v/>
      </c>
      <c r="O272" s="796"/>
      <c r="P272" s="796"/>
      <c r="Q272" s="796"/>
      <c r="R272" s="796"/>
      <c r="S272" s="797"/>
      <c r="T272" s="429"/>
      <c r="U272" s="216"/>
      <c r="V272" s="216"/>
      <c r="W272" s="216"/>
      <c r="X272" s="216"/>
      <c r="Y272" s="216"/>
      <c r="Z272" s="216"/>
      <c r="AA272" s="216"/>
      <c r="AB272" s="216"/>
      <c r="AC272" s="191"/>
      <c r="AD272" s="191"/>
      <c r="AE272" s="191"/>
      <c r="AF272" s="191"/>
      <c r="AG272" s="191"/>
      <c r="AH272" s="191"/>
      <c r="AI272" s="191"/>
      <c r="AJ272" s="191"/>
      <c r="AK272" s="191"/>
      <c r="AL272" s="191"/>
      <c r="AM272" s="191"/>
      <c r="AN272" s="191"/>
      <c r="AO272" s="191"/>
      <c r="AQ272" s="216"/>
      <c r="AR272" s="216"/>
      <c r="AS272" s="216"/>
      <c r="AT272" s="216"/>
      <c r="AU272" s="216"/>
      <c r="AV272" s="216"/>
      <c r="AW272" s="216"/>
      <c r="AX272" s="216"/>
      <c r="AY272" s="216"/>
      <c r="AZ272" s="216"/>
      <c r="BA272" s="216"/>
      <c r="BB272" s="216"/>
      <c r="BC272" s="216"/>
      <c r="BD272" s="216"/>
      <c r="BE272" s="216"/>
      <c r="BF272" s="216"/>
      <c r="BG272" s="216"/>
      <c r="BH272" s="216"/>
      <c r="BI272" s="216"/>
      <c r="BJ272" s="216"/>
      <c r="BK272" s="216"/>
      <c r="BL272" s="216"/>
      <c r="BM272" s="216"/>
      <c r="BN272" s="216"/>
      <c r="BO272" s="216"/>
      <c r="BP272" s="216"/>
      <c r="BQ272" s="216"/>
      <c r="BR272" s="216"/>
      <c r="BS272" s="216"/>
      <c r="BT272" s="216"/>
      <c r="BU272" s="216"/>
      <c r="BV272" s="216"/>
      <c r="BW272" s="216"/>
      <c r="BX272" s="216"/>
      <c r="BY272" s="216"/>
      <c r="BZ272" s="216"/>
      <c r="CA272" s="216"/>
      <c r="CB272" s="216"/>
      <c r="CC272" s="216"/>
      <c r="CD272" s="216"/>
      <c r="CE272" s="216"/>
      <c r="CF272" s="216"/>
      <c r="CG272" s="216"/>
      <c r="CH272" s="216"/>
    </row>
    <row r="273" spans="1:86" ht="60" customHeight="1" x14ac:dyDescent="0.55000000000000004">
      <c r="A273" s="802">
        <v>53</v>
      </c>
      <c r="B273" s="805"/>
      <c r="C273" s="808" t="str">
        <f ca="1">IFERROR(IF(INDEX('WPTM - Section F'!C$1:C$100,MATCH('Print View'!$A273,'WPTM - Section F'!$A$1:$A$100,0))&lt;&gt;0,INDEX('WPTM - Section F'!C$1:C$100,MATCH('Print View'!$A273,'WPTM - Section F'!$A$1:$A$100,0)),""),"")</f>
        <v/>
      </c>
      <c r="D273" s="805"/>
      <c r="E273" s="805"/>
      <c r="F273" s="805"/>
      <c r="G273" s="808" t="str">
        <f ca="1">IFERROR(IF(INDEX('WPTM - Section F'!G$1:G$100,MATCH('Print View'!$A273,'WPTM - Section F'!$A$1:$A$100,0))&lt;&gt;0,INDEX('WPTM - Section F'!G$1:G$100,MATCH('Print View'!$A273,'WPTM - Section F'!$A$1:$A$100,0)),""),"")</f>
        <v/>
      </c>
      <c r="H273" s="424"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73" s="795" t="str">
        <f ca="1">IFERROR(IF(INDEX('WPTM - Section F'!Z$1:Z$100,MATCH('Print View'!$A269,'WPTM - Section F'!$A$1:$A$100,0))&lt;&gt;0,INDEX('WPTM - Section F'!Z$1:Z$100,MATCH('Print View'!$A269,'WPTM - Section F'!$A$1:$A$100,0)),""),"")</f>
        <v/>
      </c>
      <c r="J273" s="796"/>
      <c r="K273" s="796"/>
      <c r="L273" s="796"/>
      <c r="M273" s="797"/>
      <c r="N273" s="795" t="str">
        <f ca="1">IFERROR(IF(INDEX('WPTM - Section F'!AA$1:AA$100,MATCH('Print View'!$A269,'WPTM - Section F'!$A$1:$A$100,0))&lt;&gt;0,INDEX('WPTM - Section F'!AA$1:AA$100,MATCH('Print View'!$A269,'WPTM - Section F'!$A$1:$A$100,0)),""),"")</f>
        <v/>
      </c>
      <c r="O273" s="796"/>
      <c r="P273" s="796"/>
      <c r="Q273" s="796"/>
      <c r="R273" s="796"/>
      <c r="S273" s="797"/>
      <c r="T273" s="429"/>
      <c r="U273" s="216"/>
      <c r="V273" s="216"/>
      <c r="W273" s="216"/>
      <c r="X273" s="216"/>
      <c r="Y273" s="216"/>
      <c r="Z273" s="216"/>
      <c r="AA273" s="216"/>
      <c r="AB273" s="216"/>
      <c r="AC273" s="191"/>
      <c r="AD273" s="191"/>
      <c r="AE273" s="191"/>
      <c r="AF273" s="191"/>
      <c r="AG273" s="191"/>
      <c r="AH273" s="191"/>
      <c r="AI273" s="191"/>
      <c r="AJ273" s="191"/>
      <c r="AK273" s="191"/>
      <c r="AL273" s="191"/>
      <c r="AM273" s="191"/>
      <c r="AN273" s="191"/>
      <c r="AO273" s="191"/>
      <c r="AQ273" s="216"/>
      <c r="AR273" s="216"/>
      <c r="AS273" s="216"/>
      <c r="AT273" s="216"/>
      <c r="AU273" s="216"/>
      <c r="AV273" s="216"/>
      <c r="AW273" s="216"/>
      <c r="AX273" s="216"/>
      <c r="AY273" s="216"/>
      <c r="AZ273" s="216"/>
      <c r="BA273" s="216"/>
      <c r="BB273" s="216"/>
      <c r="BC273" s="216"/>
      <c r="BD273" s="216"/>
      <c r="BE273" s="216"/>
      <c r="BF273" s="216"/>
      <c r="BG273" s="216"/>
      <c r="BH273" s="216"/>
      <c r="BI273" s="216"/>
      <c r="BJ273" s="216"/>
      <c r="BK273" s="216"/>
      <c r="BL273" s="216"/>
      <c r="BM273" s="216"/>
      <c r="BN273" s="216"/>
      <c r="BO273" s="216"/>
      <c r="BP273" s="216"/>
      <c r="BQ273" s="216"/>
      <c r="BR273" s="216"/>
      <c r="BS273" s="216"/>
      <c r="BT273" s="216"/>
      <c r="BU273" s="216"/>
      <c r="BV273" s="216"/>
      <c r="BW273" s="216"/>
      <c r="BX273" s="216"/>
      <c r="BY273" s="216"/>
      <c r="BZ273" s="216"/>
      <c r="CA273" s="216"/>
      <c r="CB273" s="216"/>
      <c r="CC273" s="216"/>
      <c r="CD273" s="216"/>
      <c r="CE273" s="216"/>
      <c r="CF273" s="216"/>
      <c r="CG273" s="216"/>
      <c r="CH273" s="216"/>
    </row>
    <row r="274" spans="1:86" ht="60" customHeight="1" x14ac:dyDescent="0.55000000000000004">
      <c r="A274" s="802">
        <v>54</v>
      </c>
      <c r="B274" s="805"/>
      <c r="C274" s="808" t="str">
        <f ca="1">IFERROR(IF(INDEX('WPTM - Section F'!C$1:C$100,MATCH('Print View'!$A274,'WPTM - Section F'!$A$1:$A$100,0))&lt;&gt;0,INDEX('WPTM - Section F'!C$1:C$100,MATCH('Print View'!$A274,'WPTM - Section F'!$A$1:$A$100,0)),""),"")</f>
        <v/>
      </c>
      <c r="D274" s="805"/>
      <c r="E274" s="805"/>
      <c r="F274" s="805"/>
      <c r="G274" s="808" t="str">
        <f ca="1">IFERROR(IF(INDEX('WPTM - Section F'!G$1:G$100,MATCH('Print View'!$A274,'WPTM - Section F'!$A$1:$A$100,0))&lt;&gt;0,INDEX('WPTM - Section F'!G$1:G$100,MATCH('Print View'!$A274,'WPTM - Section F'!$A$1:$A$100,0)),""),"")</f>
        <v/>
      </c>
      <c r="H274" s="424"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74" s="795" t="str">
        <f ca="1">IFERROR(IF(INDEX('WPTM - Section F'!AD$1:AD$100,MATCH('Print View'!$A269,'WPTM - Section F'!$A$1:$A$100,0))&lt;&gt;0,INDEX('WPTM - Section F'!AD$1:AD$100,MATCH('Print View'!$A269,'WPTM - Section F'!$A$1:$A$100,0)),""),"")</f>
        <v/>
      </c>
      <c r="J274" s="796"/>
      <c r="K274" s="796"/>
      <c r="L274" s="796"/>
      <c r="M274" s="797"/>
      <c r="N274" s="795" t="str">
        <f ca="1">IFERROR(IF(INDEX('WPTM - Section F'!AE$1:AE$100,MATCH('Print View'!$A269,'WPTM - Section F'!$A$1:$A$100,0))&lt;&gt;0,INDEX('WPTM - Section F'!AE$1:AE$100,MATCH('Print View'!$A269,'WPTM - Section F'!$A$1:$A$100,0)),""),"")</f>
        <v/>
      </c>
      <c r="O274" s="796"/>
      <c r="P274" s="796"/>
      <c r="Q274" s="796"/>
      <c r="R274" s="796"/>
      <c r="S274" s="797"/>
      <c r="T274" s="429"/>
      <c r="U274" s="216"/>
      <c r="V274" s="216"/>
      <c r="W274" s="216"/>
      <c r="X274" s="216"/>
      <c r="Y274" s="216"/>
      <c r="Z274" s="216"/>
      <c r="AA274" s="216"/>
      <c r="AB274" s="216"/>
      <c r="AC274" s="191"/>
      <c r="AD274" s="191"/>
      <c r="AE274" s="191"/>
      <c r="AF274" s="191"/>
      <c r="AG274" s="191"/>
      <c r="AH274" s="191"/>
      <c r="AI274" s="191"/>
      <c r="AJ274" s="191"/>
      <c r="AK274" s="191"/>
      <c r="AL274" s="191"/>
      <c r="AM274" s="191"/>
      <c r="AN274" s="191"/>
      <c r="AO274" s="191"/>
      <c r="AQ274" s="216"/>
      <c r="AR274" s="216"/>
      <c r="AS274" s="216"/>
      <c r="AT274" s="216"/>
      <c r="AU274" s="216"/>
      <c r="AV274" s="216"/>
      <c r="AW274" s="216"/>
      <c r="AX274" s="216"/>
      <c r="AY274" s="216"/>
      <c r="AZ274" s="216"/>
      <c r="BA274" s="216"/>
      <c r="BB274" s="216"/>
      <c r="BC274" s="216"/>
      <c r="BD274" s="216"/>
      <c r="BE274" s="216"/>
      <c r="BF274" s="216"/>
      <c r="BG274" s="216"/>
      <c r="BH274" s="216"/>
      <c r="BI274" s="216"/>
      <c r="BJ274" s="216"/>
      <c r="BK274" s="216"/>
      <c r="BL274" s="216"/>
      <c r="BM274" s="216"/>
      <c r="BN274" s="216"/>
      <c r="BO274" s="216"/>
      <c r="BP274" s="216"/>
      <c r="BQ274" s="216"/>
      <c r="BR274" s="216"/>
      <c r="BS274" s="216"/>
      <c r="BT274" s="216"/>
      <c r="BU274" s="216"/>
      <c r="BV274" s="216"/>
      <c r="BW274" s="216"/>
      <c r="BX274" s="216"/>
      <c r="BY274" s="216"/>
      <c r="BZ274" s="216"/>
      <c r="CA274" s="216"/>
      <c r="CB274" s="216"/>
      <c r="CC274" s="216"/>
      <c r="CD274" s="216"/>
      <c r="CE274" s="216"/>
      <c r="CF274" s="216"/>
      <c r="CG274" s="216"/>
      <c r="CH274" s="216"/>
    </row>
    <row r="275" spans="1:86" ht="60" customHeight="1" x14ac:dyDescent="0.55000000000000004">
      <c r="A275" s="802">
        <v>55</v>
      </c>
      <c r="B275" s="806"/>
      <c r="C275" s="809" t="str">
        <f ca="1">IFERROR(IF(INDEX('WPTM - Section F'!C$1:C$100,MATCH('Print View'!$A275,'WPTM - Section F'!$A$1:$A$100,0))&lt;&gt;0,INDEX('WPTM - Section F'!C$1:C$100,MATCH('Print View'!$A275,'WPTM - Section F'!$A$1:$A$100,0)),""),"")</f>
        <v/>
      </c>
      <c r="D275" s="806"/>
      <c r="E275" s="806"/>
      <c r="F275" s="806"/>
      <c r="G275" s="809" t="str">
        <f ca="1">IFERROR(IF(INDEX('WPTM - Section F'!G$1:G$100,MATCH('Print View'!$A275,'WPTM - Section F'!$A$1:$A$100,0))&lt;&gt;0,INDEX('WPTM - Section F'!G$1:G$100,MATCH('Print View'!$A275,'WPTM - Section F'!$A$1:$A$100,0)),""),"")</f>
        <v/>
      </c>
      <c r="H275" s="424" t="str">
        <f>IF(IFERROR(INDEX('Overview - Section A'!$A$46:$A$53,MATCH(D$29,'Overview - Section A'!$B$46:$B$53,0)),"")="","",TEXT(IFERROR(INDEX('Overview - Section A'!$A$46:$A$53,MATCH(D$29,'Overview - Section A'!$B$46:$B$53,0)),""),Setup!$A$33) &amp;" to " &amp; TEXT(IFERROR(INDEX('Overview - Section A'!$E$46:$E$53,MATCH(D$29,'Overview - Section A'!$B$46:$B$53,0)),""),Setup!$A$33))</f>
        <v/>
      </c>
      <c r="I275" s="795" t="str">
        <f ca="1">IFERROR(IF(INDEX('WPTM - Section F'!AH$1:AH$100,MATCH('Print View'!$A269,'WPTM - Section F'!$A$1:$A$100,0))&lt;&gt;0,INDEX('WPTM - Section F'!AH$1:AH$100,MATCH('Print View'!$A269,'WPTM - Section F'!$A$1:$A$100,0)),""),"")</f>
        <v/>
      </c>
      <c r="J275" s="796"/>
      <c r="K275" s="796"/>
      <c r="L275" s="796"/>
      <c r="M275" s="797"/>
      <c r="N275" s="795" t="str">
        <f ca="1">IFERROR(IF(INDEX('WPTM - Section F'!AI$1:AI$100,MATCH('Print View'!$A269,'WPTM - Section F'!$A$1:$A$100,0))&lt;&gt;0,INDEX('WPTM - Section F'!AI$1:AI$100,MATCH('Print View'!$A269,'WPTM - Section F'!$A$1:$A$100,0)),""),"")</f>
        <v/>
      </c>
      <c r="O275" s="796"/>
      <c r="P275" s="796"/>
      <c r="Q275" s="796"/>
      <c r="R275" s="796"/>
      <c r="S275" s="797"/>
      <c r="T275" s="429"/>
      <c r="U275" s="216"/>
      <c r="V275" s="216"/>
      <c r="W275" s="216"/>
      <c r="X275" s="216"/>
      <c r="Y275" s="216"/>
      <c r="Z275" s="216"/>
      <c r="AA275" s="216"/>
      <c r="AB275" s="216"/>
      <c r="AC275" s="191"/>
      <c r="AD275" s="191"/>
      <c r="AE275" s="191"/>
      <c r="AF275" s="191"/>
      <c r="AG275" s="191"/>
      <c r="AH275" s="191"/>
      <c r="AI275" s="191"/>
      <c r="AJ275" s="191"/>
      <c r="AK275" s="191"/>
      <c r="AL275" s="191"/>
      <c r="AM275" s="191"/>
      <c r="AN275" s="191"/>
      <c r="AO275" s="191"/>
      <c r="AQ275" s="216"/>
      <c r="AR275" s="216"/>
      <c r="AS275" s="216"/>
      <c r="AT275" s="216"/>
      <c r="AU275" s="216"/>
      <c r="AV275" s="216"/>
      <c r="AW275" s="216"/>
      <c r="AX275" s="216"/>
      <c r="AY275" s="216"/>
      <c r="AZ275" s="216"/>
      <c r="BA275" s="216"/>
      <c r="BB275" s="216"/>
      <c r="BC275" s="216"/>
      <c r="BD275" s="216"/>
      <c r="BE275" s="216"/>
      <c r="BF275" s="216"/>
      <c r="BG275" s="216"/>
      <c r="BH275" s="216"/>
      <c r="BI275" s="216"/>
      <c r="BJ275" s="216"/>
      <c r="BK275" s="216"/>
      <c r="BL275" s="216"/>
      <c r="BM275" s="216"/>
      <c r="BN275" s="216"/>
      <c r="BO275" s="216"/>
      <c r="BP275" s="216"/>
      <c r="BQ275" s="216"/>
      <c r="BR275" s="216"/>
      <c r="BS275" s="216"/>
      <c r="BT275" s="216"/>
      <c r="BU275" s="216"/>
      <c r="BV275" s="216"/>
      <c r="BW275" s="216"/>
      <c r="BX275" s="216"/>
      <c r="BY275" s="216"/>
      <c r="BZ275" s="216"/>
      <c r="CA275" s="216"/>
      <c r="CB275" s="216"/>
      <c r="CC275" s="216"/>
      <c r="CD275" s="216"/>
      <c r="CE275" s="216"/>
      <c r="CF275" s="216"/>
      <c r="CG275" s="216"/>
      <c r="CH275" s="216"/>
    </row>
    <row r="276" spans="1:86" ht="60" customHeight="1" x14ac:dyDescent="0.55000000000000004">
      <c r="A276" s="803">
        <v>56</v>
      </c>
      <c r="B276" s="791" t="str">
        <f ca="1">IFERROR(IF(INDEX('WPTM - Section F'!AV$1:AV$100,MATCH('Print View'!$A269,'WPTM - Section F'!$A$1:$A$100,0))&lt;&gt;0,INDEX('WPTM - Section F'!AV$1:AV$100,MATCH('Print View'!$A269,'WPTM - Section F'!$A$1:$A$100,0)),""),"")</f>
        <v/>
      </c>
      <c r="C276" s="792"/>
      <c r="D276" s="792"/>
      <c r="E276" s="792"/>
      <c r="F276" s="792"/>
      <c r="G276" s="792"/>
      <c r="H276" s="792"/>
      <c r="I276" s="792"/>
      <c r="J276" s="792"/>
      <c r="K276" s="792"/>
      <c r="L276" s="792"/>
      <c r="M276" s="792"/>
      <c r="N276" s="792"/>
      <c r="O276" s="792"/>
      <c r="P276" s="792"/>
      <c r="Q276" s="792"/>
      <c r="R276" s="792"/>
      <c r="S276" s="793"/>
      <c r="T276" s="426"/>
      <c r="U276" s="216"/>
      <c r="V276" s="216"/>
      <c r="W276" s="216"/>
      <c r="X276" s="216"/>
      <c r="Y276" s="216"/>
      <c r="Z276" s="216"/>
      <c r="AA276" s="216"/>
      <c r="AB276" s="216"/>
      <c r="AC276" s="191"/>
      <c r="AD276" s="191"/>
      <c r="AE276" s="191"/>
      <c r="AF276" s="191"/>
      <c r="AG276" s="191"/>
      <c r="AH276" s="191"/>
      <c r="AI276" s="191"/>
      <c r="AJ276" s="191"/>
      <c r="AK276" s="191"/>
      <c r="AL276" s="191"/>
      <c r="AM276" s="191"/>
      <c r="AN276" s="191"/>
      <c r="AO276" s="191"/>
      <c r="AQ276" s="216"/>
      <c r="AR276" s="216"/>
      <c r="AS276" s="216"/>
      <c r="AT276" s="216"/>
      <c r="AU276" s="216"/>
      <c r="AV276" s="216"/>
      <c r="AW276" s="216"/>
      <c r="AX276" s="216"/>
      <c r="AY276" s="216"/>
      <c r="AZ276" s="216"/>
      <c r="BA276" s="216"/>
      <c r="BB276" s="216"/>
      <c r="BC276" s="216"/>
      <c r="BD276" s="216"/>
      <c r="BE276" s="216"/>
      <c r="BF276" s="216"/>
      <c r="BG276" s="216"/>
      <c r="BH276" s="216"/>
      <c r="BI276" s="216"/>
      <c r="BJ276" s="216"/>
      <c r="BK276" s="216"/>
      <c r="BL276" s="216"/>
      <c r="BM276" s="216"/>
      <c r="BN276" s="216"/>
      <c r="BO276" s="216"/>
      <c r="BP276" s="216"/>
      <c r="BQ276" s="216"/>
      <c r="BR276" s="216"/>
      <c r="BS276" s="216"/>
      <c r="BT276" s="216"/>
      <c r="BU276" s="216"/>
      <c r="BV276" s="216"/>
      <c r="BW276" s="216"/>
      <c r="BX276" s="216"/>
      <c r="BY276" s="216"/>
      <c r="BZ276" s="216"/>
      <c r="CA276" s="216"/>
      <c r="CB276" s="216"/>
      <c r="CC276" s="216"/>
      <c r="CD276" s="216"/>
      <c r="CE276" s="216"/>
      <c r="CF276" s="216"/>
      <c r="CG276" s="216"/>
      <c r="CH276" s="216"/>
    </row>
    <row r="277" spans="1:86" ht="60" customHeight="1" x14ac:dyDescent="0.3">
      <c r="A277" s="801">
        <v>8</v>
      </c>
      <c r="B277" s="804" t="str">
        <f ca="1">IFERROR(IF(INDEX('WPTM - Section F'!B$1:B$100,MATCH('Print View'!$A277,'WPTM - Section F'!$A$1:$A$100,0))&lt;&gt;0,INDEX('WPTM - Section F'!B$1:B$100,MATCH('Print View'!$A277,'WPTM - Section F'!$A$1:$A$100,0)),""),"")</f>
        <v/>
      </c>
      <c r="C277" s="807" t="str">
        <f ca="1">IFERROR(IF(INDEX('WPTM - Section F'!C$1:C$100,MATCH('Print View'!$A277,'WPTM - Section F'!$A$1:$A$100,0))&lt;&gt;0,INDEX('WPTM - Section F'!C$1:C$100,MATCH('Print View'!$A277,'WPTM - Section F'!$A$1:$A$100,0)),""),"")</f>
        <v/>
      </c>
      <c r="D277" s="804" t="str">
        <f ca="1">IFERROR(IF(INDEX('WPTM - Section F'!D$1:D$100,MATCH('Print View'!$A277,'WPTM - Section F'!$A$1:$A$100,0))&lt;&gt;0,INDEX('WPTM - Section F'!D$1:D$100,MATCH('Print View'!$A277,'WPTM - Section F'!$A$1:$A$100,0)),""),"")</f>
        <v/>
      </c>
      <c r="E277" s="804" t="str">
        <f ca="1">IFERROR(IF(INDEX('WPTM - Section F'!E$1:E$100,MATCH('Print View'!$A277,'WPTM - Section F'!$A$1:$A$100,0))&lt;&gt;0,INDEX('WPTM - Section F'!E$1:E$100,MATCH('Print View'!$A277,'WPTM - Section F'!$A$1:$A$100,0)),""),"")</f>
        <v/>
      </c>
      <c r="F277" s="804" t="str">
        <f ca="1">IFERROR(IF(INDEX('WPTM - Section F'!F$1:F$100,MATCH('Print View'!$A277,'WPTM - Section F'!$A$1:$A$100,0))&lt;&gt;0,INDEX('WPTM - Section F'!F$1:F$100,MATCH('Print View'!$A277,'WPTM - Section F'!$A$1:$A$100,0)),""),"")</f>
        <v/>
      </c>
      <c r="G277" s="807" t="str">
        <f ca="1">IFERROR(IF(INDEX('WPTM - Section F'!G$1:G$100,MATCH('Print View'!$A277,'WPTM - Section F'!$A$1:$A$100,0))&lt;&gt;0,INDEX('WPTM - Section F'!G$1:G$100,MATCH('Print View'!$A277,'WPTM - Section F'!$A$1:$A$100,0)),""),"")</f>
        <v/>
      </c>
      <c r="H277" s="427"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77" s="798" t="str">
        <f ca="1">IFERROR(IF(INDEX('WPTM - Section F'!J$1:J$100,MATCH('Print View'!$A277,'WPTM - Section F'!$A$1:$A$100,0))&lt;&gt;0,INDEX('WPTM - Section F'!J$1:J$100,MATCH('Print View'!$A277,'WPTM - Section F'!$A$1:$A$100,0)),""),"")</f>
        <v/>
      </c>
      <c r="J277" s="799"/>
      <c r="K277" s="799"/>
      <c r="L277" s="799"/>
      <c r="M277" s="800"/>
      <c r="N277" s="798" t="str">
        <f ca="1">IFERROR(IF(INDEX('WPTM - Section F'!K$1:K$100,MATCH('Print View'!$A277,'WPTM - Section F'!$A$1:$A$100,0))&lt;&gt;0,INDEX('WPTM - Section F'!K$1:K$100,MATCH('Print View'!$A277,'WPTM - Section F'!$A$1:$A$100,0)),""),"")</f>
        <v/>
      </c>
      <c r="O277" s="799"/>
      <c r="P277" s="799"/>
      <c r="Q277" s="799"/>
      <c r="R277" s="799"/>
      <c r="S277" s="799"/>
      <c r="T277" s="417"/>
      <c r="U277" s="216"/>
      <c r="V277" s="216"/>
      <c r="W277" s="216"/>
      <c r="X277" s="216"/>
      <c r="Y277" s="216"/>
      <c r="Z277" s="216"/>
      <c r="AA277" s="216"/>
      <c r="AB277" s="216"/>
      <c r="AC277" s="191"/>
      <c r="AD277" s="191"/>
      <c r="AE277" s="191"/>
      <c r="AF277" s="191"/>
      <c r="AG277" s="191"/>
      <c r="AH277" s="191"/>
      <c r="AI277" s="191"/>
      <c r="AJ277" s="191"/>
      <c r="AK277" s="191"/>
      <c r="AL277" s="191"/>
      <c r="AM277" s="191"/>
      <c r="AN277" s="191"/>
      <c r="AO277" s="191"/>
      <c r="AQ277" s="216"/>
      <c r="AR277" s="216"/>
      <c r="AS277" s="216"/>
      <c r="AT277" s="216"/>
      <c r="AU277" s="216"/>
      <c r="AV277" s="216"/>
      <c r="AW277" s="216"/>
      <c r="AX277" s="216"/>
      <c r="AY277" s="216"/>
      <c r="AZ277" s="216"/>
      <c r="BA277" s="216"/>
      <c r="BB277" s="216"/>
      <c r="BC277" s="216"/>
      <c r="BD277" s="216"/>
      <c r="BE277" s="216"/>
      <c r="BF277" s="216"/>
      <c r="BG277" s="216"/>
      <c r="BH277" s="216"/>
      <c r="BI277" s="216"/>
      <c r="BJ277" s="216"/>
      <c r="BK277" s="216"/>
      <c r="BL277" s="216"/>
      <c r="BM277" s="216"/>
      <c r="BN277" s="216"/>
      <c r="BO277" s="216"/>
      <c r="BP277" s="216"/>
      <c r="BQ277" s="216"/>
      <c r="BR277" s="216"/>
      <c r="BS277" s="216"/>
      <c r="BT277" s="216"/>
      <c r="BU277" s="216"/>
      <c r="BV277" s="216"/>
      <c r="BW277" s="216"/>
      <c r="BX277" s="216"/>
      <c r="BY277" s="216"/>
      <c r="BZ277" s="216"/>
      <c r="CA277" s="216"/>
      <c r="CB277" s="216"/>
      <c r="CC277" s="216"/>
      <c r="CD277" s="216"/>
      <c r="CE277" s="216"/>
      <c r="CF277" s="216"/>
      <c r="CG277" s="216"/>
      <c r="CH277" s="216"/>
    </row>
    <row r="278" spans="1:86" ht="60" customHeight="1" x14ac:dyDescent="0.3">
      <c r="A278" s="802">
        <v>58</v>
      </c>
      <c r="B278" s="805"/>
      <c r="C278" s="808" t="str">
        <f ca="1">IFERROR(IF(INDEX('WPTM - Section F'!C$1:C$100,MATCH('Print View'!$A278,'WPTM - Section F'!$A$1:$A$100,0))&lt;&gt;0,INDEX('WPTM - Section F'!C$1:C$100,MATCH('Print View'!$A278,'WPTM - Section F'!$A$1:$A$100,0)),""),"")</f>
        <v/>
      </c>
      <c r="D278" s="805"/>
      <c r="E278" s="805"/>
      <c r="F278" s="805"/>
      <c r="G278" s="808" t="str">
        <f ca="1">IFERROR(IF(INDEX('WPTM - Section F'!G$1:G$100,MATCH('Print View'!$A278,'WPTM - Section F'!$A$1:$A$100,0))&lt;&gt;0,INDEX('WPTM - Section F'!G$1:G$100,MATCH('Print View'!$A278,'WPTM - Section F'!$A$1:$A$100,0)),""),"")</f>
        <v/>
      </c>
      <c r="H278" s="427"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78" s="798" t="str">
        <f ca="1">IFERROR(IF(INDEX('WPTM - Section F'!J$1:J$100,MATCH('Print View'!$A277,'WPTM - Section F'!$A$1:$A$100,0))&lt;&gt;0,INDEX('WPTM - Section F'!J$1:J$100,MATCH('Print View'!$A277,'WPTM - Section F'!$A$1:$A$100,0)),""),"")</f>
        <v/>
      </c>
      <c r="J278" s="799"/>
      <c r="K278" s="799"/>
      <c r="L278" s="799"/>
      <c r="M278" s="800"/>
      <c r="N278" s="798" t="str">
        <f ca="1">IFERROR(IF(INDEX('WPTM - Section F'!O$1:O$100,MATCH('Print View'!$A277,'WPTM - Section F'!$A$1:$A$100,0))&lt;&gt;0,INDEX('WPTM - Section F'!O$1:O$100,MATCH('Print View'!$A277,'WPTM - Section F'!$A$1:$A$100,0)),""),"")</f>
        <v/>
      </c>
      <c r="O278" s="799"/>
      <c r="P278" s="799"/>
      <c r="Q278" s="799"/>
      <c r="R278" s="799"/>
      <c r="S278" s="799"/>
      <c r="T278" s="417"/>
      <c r="U278" s="216"/>
      <c r="V278" s="216"/>
      <c r="W278" s="216"/>
      <c r="X278" s="216"/>
      <c r="Y278" s="216"/>
      <c r="Z278" s="216"/>
      <c r="AA278" s="216"/>
      <c r="AB278" s="216"/>
      <c r="AC278" s="191"/>
      <c r="AD278" s="191"/>
      <c r="AE278" s="191"/>
      <c r="AF278" s="191"/>
      <c r="AG278" s="191"/>
      <c r="AH278" s="191"/>
      <c r="AI278" s="191"/>
      <c r="AJ278" s="191"/>
      <c r="AK278" s="191"/>
      <c r="AL278" s="191"/>
      <c r="AM278" s="191"/>
      <c r="AN278" s="191"/>
      <c r="AO278" s="191"/>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16"/>
      <c r="BL278" s="216"/>
      <c r="BM278" s="216"/>
      <c r="BN278" s="216"/>
      <c r="BO278" s="216"/>
      <c r="BP278" s="216"/>
      <c r="BQ278" s="216"/>
      <c r="BR278" s="216"/>
      <c r="BS278" s="216"/>
      <c r="BT278" s="216"/>
      <c r="BU278" s="216"/>
      <c r="BV278" s="216"/>
      <c r="BW278" s="216"/>
      <c r="BX278" s="216"/>
      <c r="BY278" s="216"/>
      <c r="BZ278" s="216"/>
      <c r="CA278" s="216"/>
      <c r="CB278" s="216"/>
      <c r="CC278" s="216"/>
      <c r="CD278" s="216"/>
      <c r="CE278" s="216"/>
      <c r="CF278" s="216"/>
      <c r="CG278" s="216"/>
      <c r="CH278" s="216"/>
    </row>
    <row r="279" spans="1:86" ht="60" customHeight="1" x14ac:dyDescent="0.3">
      <c r="A279" s="802">
        <v>59</v>
      </c>
      <c r="B279" s="805"/>
      <c r="C279" s="808" t="str">
        <f ca="1">IFERROR(IF(INDEX('WPTM - Section F'!C$1:C$100,MATCH('Print View'!$A279,'WPTM - Section F'!$A$1:$A$100,0))&lt;&gt;0,INDEX('WPTM - Section F'!C$1:C$100,MATCH('Print View'!$A279,'WPTM - Section F'!$A$1:$A$100,0)),""),"")</f>
        <v/>
      </c>
      <c r="D279" s="805"/>
      <c r="E279" s="805"/>
      <c r="F279" s="805"/>
      <c r="G279" s="808" t="str">
        <f ca="1">IFERROR(IF(INDEX('WPTM - Section F'!G$1:G$100,MATCH('Print View'!$A279,'WPTM - Section F'!$A$1:$A$100,0))&lt;&gt;0,INDEX('WPTM - Section F'!G$1:G$100,MATCH('Print View'!$A279,'WPTM - Section F'!$A$1:$A$100,0)),""),"")</f>
        <v/>
      </c>
      <c r="H279" s="427"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79" s="798" t="str">
        <f ca="1">IFERROR(IF(INDEX('WPTM - Section F'!R$1:R$100,MATCH('Print View'!$A277,'WPTM - Section F'!$A$1:$A$100,0))&lt;&gt;0,INDEX('WPTM - Section F'!R$1:R$100,MATCH('Print View'!$A277,'WPTM - Section F'!$A$1:$A$100,0)),""),"")</f>
        <v/>
      </c>
      <c r="J279" s="799"/>
      <c r="K279" s="799"/>
      <c r="L279" s="799"/>
      <c r="M279" s="800"/>
      <c r="N279" s="798" t="str">
        <f ca="1">IFERROR(IF(INDEX('WPTM - Section F'!S$1:S$100,MATCH('Print View'!$A277,'WPTM - Section F'!$A$1:$A$100,0))&lt;&gt;0,INDEX('WPTM - Section F'!S$1:S$100,MATCH('Print View'!$A277,'WPTM - Section F'!$A$1:$A$100,0)),""),"")</f>
        <v/>
      </c>
      <c r="O279" s="799"/>
      <c r="P279" s="799"/>
      <c r="Q279" s="799"/>
      <c r="R279" s="799"/>
      <c r="S279" s="799"/>
      <c r="T279" s="417"/>
      <c r="U279" s="216"/>
      <c r="V279" s="216"/>
      <c r="W279" s="216"/>
      <c r="X279" s="216"/>
      <c r="Y279" s="216"/>
      <c r="Z279" s="216"/>
      <c r="AA279" s="216"/>
      <c r="AB279" s="216"/>
      <c r="AC279" s="191"/>
      <c r="AD279" s="191"/>
      <c r="AE279" s="191"/>
      <c r="AF279" s="191"/>
      <c r="AG279" s="191"/>
      <c r="AH279" s="191"/>
      <c r="AI279" s="191"/>
      <c r="AJ279" s="191"/>
      <c r="AK279" s="191"/>
      <c r="AL279" s="191"/>
      <c r="AM279" s="191"/>
      <c r="AN279" s="191"/>
      <c r="AO279" s="191"/>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16"/>
      <c r="BL279" s="216"/>
      <c r="BM279" s="216"/>
      <c r="BN279" s="216"/>
      <c r="BO279" s="216"/>
      <c r="BP279" s="216"/>
      <c r="BQ279" s="216"/>
      <c r="BR279" s="216"/>
      <c r="BS279" s="216"/>
      <c r="BT279" s="216"/>
      <c r="BU279" s="216"/>
      <c r="BV279" s="216"/>
      <c r="BW279" s="216"/>
      <c r="BX279" s="216"/>
      <c r="BY279" s="216"/>
      <c r="BZ279" s="216"/>
      <c r="CA279" s="216"/>
      <c r="CB279" s="216"/>
      <c r="CC279" s="216"/>
      <c r="CD279" s="216"/>
      <c r="CE279" s="216"/>
      <c r="CF279" s="216"/>
      <c r="CG279" s="216"/>
      <c r="CH279" s="216"/>
    </row>
    <row r="280" spans="1:86" ht="60" customHeight="1" x14ac:dyDescent="0.3">
      <c r="A280" s="802">
        <v>60</v>
      </c>
      <c r="B280" s="805"/>
      <c r="C280" s="808" t="str">
        <f ca="1">IFERROR(IF(INDEX('WPTM - Section F'!C$1:C$100,MATCH('Print View'!$A280,'WPTM - Section F'!$A$1:$A$100,0))&lt;&gt;0,INDEX('WPTM - Section F'!C$1:C$100,MATCH('Print View'!$A280,'WPTM - Section F'!$A$1:$A$100,0)),""),"")</f>
        <v/>
      </c>
      <c r="D280" s="805"/>
      <c r="E280" s="805"/>
      <c r="F280" s="805"/>
      <c r="G280" s="808" t="str">
        <f ca="1">IFERROR(IF(INDEX('WPTM - Section F'!G$1:G$100,MATCH('Print View'!$A280,'WPTM - Section F'!$A$1:$A$100,0))&lt;&gt;0,INDEX('WPTM - Section F'!G$1:G$100,MATCH('Print View'!$A280,'WPTM - Section F'!$A$1:$A$100,0)),""),"")</f>
        <v/>
      </c>
      <c r="H280" s="427"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80" s="798" t="str">
        <f ca="1">IFERROR(IF(INDEX('WPTM - Section F'!V$1:V$100,MATCH('Print View'!$A277,'WPTM - Section F'!$A$1:$A$100,0))&lt;&gt;0,INDEX('WPTM - Section F'!V$1:V$100,MATCH('Print View'!$A277,'WPTM - Section F'!$A$1:$A$100,0)),""),"")</f>
        <v/>
      </c>
      <c r="J280" s="799"/>
      <c r="K280" s="799"/>
      <c r="L280" s="799"/>
      <c r="M280" s="800"/>
      <c r="N280" s="798" t="str">
        <f ca="1">IFERROR(IF(INDEX('WPTM - Section F'!W$1:W$100,MATCH('Print View'!$A277,'WPTM - Section F'!$A$1:$A$100,0))&lt;&gt;0,INDEX('WPTM - Section F'!W$1:W$100,MATCH('Print View'!$A277,'WPTM - Section F'!$A$1:$A$100,0)),""),"")</f>
        <v/>
      </c>
      <c r="O280" s="799"/>
      <c r="P280" s="799"/>
      <c r="Q280" s="799"/>
      <c r="R280" s="799"/>
      <c r="S280" s="799"/>
      <c r="T280" s="417"/>
      <c r="U280" s="216"/>
      <c r="V280" s="216"/>
      <c r="W280" s="216"/>
      <c r="X280" s="216"/>
      <c r="Y280" s="216"/>
      <c r="Z280" s="216"/>
      <c r="AA280" s="216"/>
      <c r="AB280" s="216"/>
      <c r="AC280" s="191"/>
      <c r="AD280" s="191"/>
      <c r="AE280" s="191"/>
      <c r="AF280" s="191"/>
      <c r="AG280" s="191"/>
      <c r="AH280" s="191"/>
      <c r="AI280" s="191"/>
      <c r="AJ280" s="191"/>
      <c r="AK280" s="191"/>
      <c r="AL280" s="191"/>
      <c r="AM280" s="191"/>
      <c r="AN280" s="191"/>
      <c r="AO280" s="191"/>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16"/>
      <c r="BL280" s="216"/>
      <c r="BM280" s="216"/>
      <c r="BN280" s="216"/>
      <c r="BO280" s="216"/>
      <c r="BP280" s="216"/>
      <c r="BQ280" s="216"/>
      <c r="BR280" s="216"/>
      <c r="BS280" s="216"/>
      <c r="BT280" s="216"/>
      <c r="BU280" s="216"/>
      <c r="BV280" s="216"/>
      <c r="BW280" s="216"/>
      <c r="BX280" s="216"/>
      <c r="BY280" s="216"/>
      <c r="BZ280" s="216"/>
      <c r="CA280" s="216"/>
      <c r="CB280" s="216"/>
      <c r="CC280" s="216"/>
      <c r="CD280" s="216"/>
      <c r="CE280" s="216"/>
      <c r="CF280" s="216"/>
      <c r="CG280" s="216"/>
      <c r="CH280" s="216"/>
    </row>
    <row r="281" spans="1:86" ht="60" customHeight="1" x14ac:dyDescent="0.3">
      <c r="A281" s="802">
        <v>61</v>
      </c>
      <c r="B281" s="805"/>
      <c r="C281" s="808" t="str">
        <f ca="1">IFERROR(IF(INDEX('WPTM - Section F'!C$1:C$100,MATCH('Print View'!$A281,'WPTM - Section F'!$A$1:$A$100,0))&lt;&gt;0,INDEX('WPTM - Section F'!C$1:C$100,MATCH('Print View'!$A281,'WPTM - Section F'!$A$1:$A$100,0)),""),"")</f>
        <v/>
      </c>
      <c r="D281" s="805"/>
      <c r="E281" s="805"/>
      <c r="F281" s="805"/>
      <c r="G281" s="808" t="str">
        <f ca="1">IFERROR(IF(INDEX('WPTM - Section F'!G$1:G$100,MATCH('Print View'!$A281,'WPTM - Section F'!$A$1:$A$100,0))&lt;&gt;0,INDEX('WPTM - Section F'!G$1:G$100,MATCH('Print View'!$A281,'WPTM - Section F'!$A$1:$A$100,0)),""),"")</f>
        <v/>
      </c>
      <c r="H281" s="427"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81" s="798" t="str">
        <f ca="1">IFERROR(IF(INDEX('WPTM - Section F'!Z$1:Z$100,MATCH('Print View'!$A277,'WPTM - Section F'!$A$1:$A$100,0))&lt;&gt;0,INDEX('WPTM - Section F'!Z$1:Z$100,MATCH('Print View'!$A277,'WPTM - Section F'!$A$1:$A$100,0)),""),"")</f>
        <v/>
      </c>
      <c r="J281" s="799"/>
      <c r="K281" s="799"/>
      <c r="L281" s="799"/>
      <c r="M281" s="800"/>
      <c r="N281" s="798" t="str">
        <f ca="1">IFERROR(IF(INDEX('WPTM - Section F'!AA$1:AA$100,MATCH('Print View'!$A277,'WPTM - Section F'!$A$1:$A$100,0))&lt;&gt;0,INDEX('WPTM - Section F'!AA$1:AA$100,MATCH('Print View'!$A277,'WPTM - Section F'!$A$1:$A$100,0)),""),"")</f>
        <v/>
      </c>
      <c r="O281" s="799"/>
      <c r="P281" s="799"/>
      <c r="Q281" s="799"/>
      <c r="R281" s="799"/>
      <c r="S281" s="799"/>
      <c r="T281" s="417"/>
      <c r="U281" s="216"/>
      <c r="V281" s="216"/>
      <c r="W281" s="216"/>
      <c r="X281" s="216"/>
      <c r="Y281" s="216"/>
      <c r="Z281" s="216"/>
      <c r="AA281" s="216"/>
      <c r="AB281" s="216"/>
      <c r="AC281" s="191"/>
      <c r="AD281" s="191"/>
      <c r="AE281" s="191"/>
      <c r="AF281" s="191"/>
      <c r="AG281" s="191"/>
      <c r="AH281" s="191"/>
      <c r="AI281" s="191"/>
      <c r="AJ281" s="191"/>
      <c r="AK281" s="191"/>
      <c r="AL281" s="191"/>
      <c r="AM281" s="191"/>
      <c r="AN281" s="191"/>
      <c r="AO281" s="191"/>
      <c r="AQ281" s="216"/>
      <c r="AR281" s="216"/>
      <c r="AS281" s="216"/>
      <c r="AT281" s="216"/>
      <c r="AU281" s="216"/>
      <c r="AV281" s="216"/>
      <c r="AW281" s="216"/>
      <c r="AX281" s="216"/>
      <c r="AY281" s="216"/>
      <c r="AZ281" s="216"/>
      <c r="BA281" s="216"/>
      <c r="BB281" s="216"/>
      <c r="BC281" s="216"/>
      <c r="BD281" s="216"/>
      <c r="BE281" s="216"/>
      <c r="BF281" s="216"/>
      <c r="BG281" s="216"/>
      <c r="BH281" s="216"/>
      <c r="BI281" s="216"/>
      <c r="BJ281" s="216"/>
      <c r="BK281" s="216"/>
      <c r="BL281" s="216"/>
      <c r="BM281" s="216"/>
      <c r="BN281" s="216"/>
      <c r="BO281" s="216"/>
      <c r="BP281" s="216"/>
      <c r="BQ281" s="216"/>
      <c r="BR281" s="216"/>
      <c r="BS281" s="216"/>
      <c r="BT281" s="216"/>
      <c r="BU281" s="216"/>
      <c r="BV281" s="216"/>
      <c r="BW281" s="216"/>
      <c r="BX281" s="216"/>
      <c r="BY281" s="216"/>
      <c r="BZ281" s="216"/>
      <c r="CA281" s="216"/>
      <c r="CB281" s="216"/>
      <c r="CC281" s="216"/>
      <c r="CD281" s="216"/>
      <c r="CE281" s="216"/>
      <c r="CF281" s="216"/>
      <c r="CG281" s="216"/>
      <c r="CH281" s="216"/>
    </row>
    <row r="282" spans="1:86" ht="60" customHeight="1" x14ac:dyDescent="0.3">
      <c r="A282" s="802">
        <v>62</v>
      </c>
      <c r="B282" s="805"/>
      <c r="C282" s="808" t="str">
        <f ca="1">IFERROR(IF(INDEX('WPTM - Section F'!C$1:C$100,MATCH('Print View'!$A282,'WPTM - Section F'!$A$1:$A$100,0))&lt;&gt;0,INDEX('WPTM - Section F'!C$1:C$100,MATCH('Print View'!$A282,'WPTM - Section F'!$A$1:$A$100,0)),""),"")</f>
        <v/>
      </c>
      <c r="D282" s="805"/>
      <c r="E282" s="805"/>
      <c r="F282" s="805"/>
      <c r="G282" s="808" t="str">
        <f ca="1">IFERROR(IF(INDEX('WPTM - Section F'!G$1:G$100,MATCH('Print View'!$A282,'WPTM - Section F'!$A$1:$A$100,0))&lt;&gt;0,INDEX('WPTM - Section F'!G$1:G$100,MATCH('Print View'!$A282,'WPTM - Section F'!$A$1:$A$100,0)),""),"")</f>
        <v/>
      </c>
      <c r="H282" s="427"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82" s="798" t="str">
        <f ca="1">IFERROR(IF(INDEX('WPTM - Section F'!AD$1:AD$100,MATCH('Print View'!$A277,'WPTM - Section F'!$A$1:$A$100,0))&lt;&gt;0,INDEX('WPTM - Section F'!AD$1:AD$100,MATCH('Print View'!$A277,'WPTM - Section F'!$A$1:$A$100,0)),""),"")</f>
        <v/>
      </c>
      <c r="J282" s="799"/>
      <c r="K282" s="799"/>
      <c r="L282" s="799"/>
      <c r="M282" s="800"/>
      <c r="N282" s="798" t="str">
        <f ca="1">IFERROR(IF(INDEX('WPTM - Section F'!AE$1:AE$100,MATCH('Print View'!$A277,'WPTM - Section F'!$A$1:$A$100,0))&lt;&gt;0,INDEX('WPTM - Section F'!AE$1:AE$100,MATCH('Print View'!$A277,'WPTM - Section F'!$A$1:$A$100,0)),""),"")</f>
        <v/>
      </c>
      <c r="O282" s="799"/>
      <c r="P282" s="799"/>
      <c r="Q282" s="799"/>
      <c r="R282" s="799"/>
      <c r="S282" s="799"/>
      <c r="T282" s="417"/>
      <c r="U282" s="216"/>
      <c r="V282" s="216"/>
      <c r="W282" s="216"/>
      <c r="X282" s="216"/>
      <c r="Y282" s="216"/>
      <c r="Z282" s="216"/>
      <c r="AA282" s="216"/>
      <c r="AB282" s="216"/>
      <c r="AC282" s="191"/>
      <c r="AD282" s="191"/>
      <c r="AE282" s="191"/>
      <c r="AF282" s="191"/>
      <c r="AG282" s="191"/>
      <c r="AH282" s="191"/>
      <c r="AI282" s="191"/>
      <c r="AJ282" s="191"/>
      <c r="AK282" s="191"/>
      <c r="AL282" s="191"/>
      <c r="AM282" s="191"/>
      <c r="AN282" s="191"/>
      <c r="AO282" s="191"/>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row>
    <row r="283" spans="1:86" ht="60" customHeight="1" x14ac:dyDescent="0.3">
      <c r="A283" s="802">
        <v>63</v>
      </c>
      <c r="B283" s="806"/>
      <c r="C283" s="809" t="str">
        <f ca="1">IFERROR(IF(INDEX('WPTM - Section F'!C$1:C$100,MATCH('Print View'!$A283,'WPTM - Section F'!$A$1:$A$100,0))&lt;&gt;0,INDEX('WPTM - Section F'!C$1:C$100,MATCH('Print View'!$A283,'WPTM - Section F'!$A$1:$A$100,0)),""),"")</f>
        <v/>
      </c>
      <c r="D283" s="806"/>
      <c r="E283" s="806"/>
      <c r="F283" s="806"/>
      <c r="G283" s="809" t="str">
        <f ca="1">IFERROR(IF(INDEX('WPTM - Section F'!G$1:G$100,MATCH('Print View'!$A283,'WPTM - Section F'!$A$1:$A$100,0))&lt;&gt;0,INDEX('WPTM - Section F'!G$1:G$100,MATCH('Print View'!$A283,'WPTM - Section F'!$A$1:$A$100,0)),""),"")</f>
        <v/>
      </c>
      <c r="H283" s="427" t="str">
        <f>IF(IFERROR(INDEX('Overview - Section A'!$A$46:$A$53,MATCH(D$29,'Overview - Section A'!$B$46:$B$53,0)),"")="","",TEXT(IFERROR(INDEX('Overview - Section A'!$A$46:$A$53,MATCH(D$29,'Overview - Section A'!$B$46:$B$53,0)),""),Setup!$A$33) &amp;" to " &amp; TEXT(IFERROR(INDEX('Overview - Section A'!$E$46:$E$53,MATCH(D$29,'Overview - Section A'!$B$46:$B$53,0)),""),Setup!$A$33))</f>
        <v/>
      </c>
      <c r="I283" s="798" t="str">
        <f ca="1">IFERROR(IF(INDEX('WPTM - Section F'!AH$1:AH$100,MATCH('Print View'!$A277,'WPTM - Section F'!$A$1:$A$100,0))&lt;&gt;0,INDEX('WPTM - Section F'!AH$1:AH$100,MATCH('Print View'!$A277,'WPTM - Section F'!$A$1:$A$100,0)),""),"")</f>
        <v/>
      </c>
      <c r="J283" s="799"/>
      <c r="K283" s="799"/>
      <c r="L283" s="799"/>
      <c r="M283" s="800"/>
      <c r="N283" s="798" t="str">
        <f ca="1">IFERROR(IF(INDEX('WPTM - Section F'!AI$1:AI$100,MATCH('Print View'!$A277,'WPTM - Section F'!$A$1:$A$100,0))&lt;&gt;0,INDEX('WPTM - Section F'!AI$1:AI$100,MATCH('Print View'!$A277,'WPTM - Section F'!$A$1:$A$100,0)),""),"")</f>
        <v/>
      </c>
      <c r="O283" s="799"/>
      <c r="P283" s="799"/>
      <c r="Q283" s="799"/>
      <c r="R283" s="799"/>
      <c r="S283" s="799"/>
      <c r="T283" s="417"/>
      <c r="U283" s="216"/>
      <c r="V283" s="216"/>
      <c r="W283" s="216"/>
      <c r="X283" s="216"/>
      <c r="Y283" s="216"/>
      <c r="Z283" s="216"/>
      <c r="AA283" s="216"/>
      <c r="AB283" s="216"/>
      <c r="AC283" s="191"/>
      <c r="AD283" s="191"/>
      <c r="AE283" s="191"/>
      <c r="AF283" s="191"/>
      <c r="AG283" s="191"/>
      <c r="AH283" s="191"/>
      <c r="AI283" s="191"/>
      <c r="AJ283" s="191"/>
      <c r="AK283" s="191"/>
      <c r="AL283" s="191"/>
      <c r="AM283" s="191"/>
      <c r="AN283" s="191"/>
      <c r="AO283" s="191"/>
      <c r="AQ283" s="216"/>
      <c r="AR283" s="216"/>
      <c r="AS283" s="216"/>
      <c r="AT283" s="216"/>
      <c r="AU283" s="216"/>
      <c r="AV283" s="216"/>
      <c r="AW283" s="216"/>
      <c r="AX283" s="216"/>
      <c r="AY283" s="216"/>
      <c r="AZ283" s="216"/>
      <c r="BA283" s="216"/>
      <c r="BB283" s="216"/>
      <c r="BC283" s="216"/>
      <c r="BD283" s="216"/>
      <c r="BE283" s="216"/>
      <c r="BF283" s="216"/>
      <c r="BG283" s="216"/>
      <c r="BH283" s="216"/>
      <c r="BI283" s="216"/>
      <c r="BJ283" s="216"/>
      <c r="BK283" s="216"/>
      <c r="BL283" s="216"/>
      <c r="BM283" s="216"/>
      <c r="BN283" s="216"/>
      <c r="BO283" s="216"/>
      <c r="BP283" s="216"/>
      <c r="BQ283" s="216"/>
      <c r="BR283" s="216"/>
      <c r="BS283" s="216"/>
      <c r="BT283" s="216"/>
      <c r="BU283" s="216"/>
      <c r="BV283" s="216"/>
      <c r="BW283" s="216"/>
      <c r="BX283" s="216"/>
      <c r="BY283" s="216"/>
      <c r="BZ283" s="216"/>
      <c r="CA283" s="216"/>
      <c r="CB283" s="216"/>
      <c r="CC283" s="216"/>
      <c r="CD283" s="216"/>
      <c r="CE283" s="216"/>
      <c r="CF283" s="216"/>
      <c r="CG283" s="216"/>
      <c r="CH283" s="216"/>
    </row>
    <row r="284" spans="1:86" ht="60" customHeight="1" x14ac:dyDescent="0.55000000000000004">
      <c r="A284" s="803">
        <v>64</v>
      </c>
      <c r="B284" s="813" t="str">
        <f ca="1">IFERROR(IF(INDEX('WPTM - Section F'!AV$1:AV$100,MATCH('Print View'!$A277,'WPTM - Section F'!$A$1:$A$100,0))&lt;&gt;0,INDEX('WPTM - Section F'!AV$1:AV$100,MATCH('Print View'!$A277,'WPTM - Section F'!$A$1:$A$100,0)),""),"")</f>
        <v/>
      </c>
      <c r="C284" s="814"/>
      <c r="D284" s="814"/>
      <c r="E284" s="814"/>
      <c r="F284" s="814"/>
      <c r="G284" s="814"/>
      <c r="H284" s="814"/>
      <c r="I284" s="814"/>
      <c r="J284" s="814"/>
      <c r="K284" s="814"/>
      <c r="L284" s="814"/>
      <c r="M284" s="814"/>
      <c r="N284" s="814"/>
      <c r="O284" s="814"/>
      <c r="P284" s="814"/>
      <c r="Q284" s="814"/>
      <c r="R284" s="814"/>
      <c r="S284" s="815"/>
      <c r="T284" s="417"/>
      <c r="U284" s="216"/>
      <c r="V284" s="216"/>
      <c r="W284" s="216"/>
      <c r="X284" s="216"/>
      <c r="Y284" s="216"/>
      <c r="Z284" s="216"/>
      <c r="AA284" s="216"/>
      <c r="AB284" s="216"/>
      <c r="AC284" s="191"/>
      <c r="AD284" s="191"/>
      <c r="AE284" s="191"/>
      <c r="AF284" s="191"/>
      <c r="AG284" s="191"/>
      <c r="AH284" s="191"/>
      <c r="AI284" s="191"/>
      <c r="AJ284" s="191"/>
      <c r="AK284" s="191"/>
      <c r="AL284" s="191"/>
      <c r="AM284" s="191"/>
      <c r="AN284" s="191"/>
      <c r="AO284" s="191"/>
      <c r="AQ284" s="216"/>
      <c r="AR284" s="216"/>
      <c r="AS284" s="216"/>
      <c r="AT284" s="216"/>
      <c r="AU284" s="216"/>
      <c r="AV284" s="216"/>
      <c r="AW284" s="216"/>
      <c r="AX284" s="216"/>
      <c r="AY284" s="216"/>
      <c r="AZ284" s="216"/>
      <c r="BA284" s="216"/>
      <c r="BB284" s="216"/>
      <c r="BC284" s="216"/>
      <c r="BD284" s="216"/>
      <c r="BE284" s="216"/>
      <c r="BF284" s="216"/>
      <c r="BG284" s="216"/>
      <c r="BH284" s="216"/>
      <c r="BI284" s="216"/>
      <c r="BJ284" s="216"/>
      <c r="BK284" s="216"/>
      <c r="BL284" s="216"/>
      <c r="BM284" s="216"/>
      <c r="BN284" s="216"/>
      <c r="BO284" s="216"/>
      <c r="BP284" s="216"/>
      <c r="BQ284" s="216"/>
      <c r="BR284" s="216"/>
      <c r="BS284" s="216"/>
      <c r="BT284" s="216"/>
      <c r="BU284" s="216"/>
      <c r="BV284" s="216"/>
      <c r="BW284" s="216"/>
      <c r="BX284" s="216"/>
      <c r="BY284" s="216"/>
      <c r="BZ284" s="216"/>
      <c r="CA284" s="216"/>
      <c r="CB284" s="216"/>
      <c r="CC284" s="216"/>
      <c r="CD284" s="216"/>
      <c r="CE284" s="216"/>
      <c r="CF284" s="216"/>
      <c r="CG284" s="216"/>
      <c r="CH284" s="216"/>
    </row>
    <row r="285" spans="1:86" ht="60" customHeight="1" x14ac:dyDescent="0.55000000000000004">
      <c r="A285" s="801">
        <v>9</v>
      </c>
      <c r="B285" s="804" t="str">
        <f ca="1">IFERROR(IF(INDEX('WPTM - Section F'!B$1:B$100,MATCH('Print View'!$A285,'WPTM - Section F'!$A$1:$A$100,0))&lt;&gt;0,INDEX('WPTM - Section F'!B$1:B$100,MATCH('Print View'!$A285,'WPTM - Section F'!$A$1:$A$100,0)),""),"")</f>
        <v/>
      </c>
      <c r="C285" s="807" t="str">
        <f ca="1">IFERROR(IF(INDEX('WPTM - Section F'!C$1:C$100,MATCH('Print View'!$A285,'WPTM - Section F'!$A$1:$A$100,0))&lt;&gt;0,INDEX('WPTM - Section F'!C$1:C$100,MATCH('Print View'!$A285,'WPTM - Section F'!$A$1:$A$100,0)),""),"")</f>
        <v/>
      </c>
      <c r="D285" s="804" t="str">
        <f ca="1">IFERROR(IF(INDEX('WPTM - Section F'!D$1:D$100,MATCH('Print View'!$A285,'WPTM - Section F'!$A$1:$A$100,0))&lt;&gt;0,INDEX('WPTM - Section F'!D$1:D$100,MATCH('Print View'!$A285,'WPTM - Section F'!$A$1:$A$100,0)),""),"")</f>
        <v/>
      </c>
      <c r="E285" s="804" t="str">
        <f ca="1">IFERROR(IF(INDEX('WPTM - Section F'!E$1:E$100,MATCH('Print View'!$A285,'WPTM - Section F'!$A$1:$A$100,0))&lt;&gt;0,INDEX('WPTM - Section F'!E$1:E$100,MATCH('Print View'!$A285,'WPTM - Section F'!$A$1:$A$100,0)),""),"")</f>
        <v/>
      </c>
      <c r="F285" s="804" t="str">
        <f ca="1">IFERROR(IF(INDEX('WPTM - Section F'!F$1:F$100,MATCH('Print View'!$A285,'WPTM - Section F'!$A$1:$A$100,0))&lt;&gt;0,INDEX('WPTM - Section F'!F$1:F$100,MATCH('Print View'!$A285,'WPTM - Section F'!$A$1:$A$100,0)),""),"")</f>
        <v/>
      </c>
      <c r="G285" s="807" t="str">
        <f ca="1">IFERROR(IF(INDEX('WPTM - Section F'!G$1:G$100,MATCH('Print View'!$A285,'WPTM - Section F'!$A$1:$A$100,0))&lt;&gt;0,INDEX('WPTM - Section F'!G$1:G$100,MATCH('Print View'!$A285,'WPTM - Section F'!$A$1:$A$100,0)),""),"")</f>
        <v/>
      </c>
      <c r="H285" s="424"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85" s="795" t="str">
        <f ca="1">IFERROR(IF(INDEX('WPTM - Section F'!J$1:J$100,MATCH('Print View'!$A285,'WPTM - Section F'!$A$1:$A$100,0))&lt;&gt;0,INDEX('WPTM - Section F'!J$1:J$100,MATCH('Print View'!$A285,'WPTM - Section F'!$A$1:$A$100,0)),""),"")</f>
        <v/>
      </c>
      <c r="J285" s="796"/>
      <c r="K285" s="796"/>
      <c r="L285" s="796"/>
      <c r="M285" s="797"/>
      <c r="N285" s="795" t="str">
        <f ca="1">IFERROR(IF(INDEX('WPTM - Section F'!K$1:K$100,MATCH('Print View'!$A285,'WPTM - Section F'!$A$1:$A$100,0))&lt;&gt;0,INDEX('WPTM - Section F'!K$1:K$100,MATCH('Print View'!$A285,'WPTM - Section F'!$A$1:$A$100,0)),""),"")</f>
        <v/>
      </c>
      <c r="O285" s="796"/>
      <c r="P285" s="796"/>
      <c r="Q285" s="796"/>
      <c r="R285" s="796"/>
      <c r="S285" s="797"/>
      <c r="T285" s="429"/>
      <c r="U285" s="216"/>
      <c r="V285" s="216"/>
      <c r="W285" s="216"/>
      <c r="X285" s="216"/>
      <c r="Y285" s="216"/>
      <c r="Z285" s="216"/>
      <c r="AA285" s="216"/>
      <c r="AB285" s="216"/>
      <c r="AC285" s="191"/>
      <c r="AD285" s="191"/>
      <c r="AE285" s="191"/>
      <c r="AF285" s="191"/>
      <c r="AG285" s="191"/>
      <c r="AH285" s="191"/>
      <c r="AI285" s="191"/>
      <c r="AJ285" s="191"/>
      <c r="AK285" s="191"/>
      <c r="AL285" s="191"/>
      <c r="AM285" s="191"/>
      <c r="AN285" s="191"/>
      <c r="AO285" s="191"/>
      <c r="AQ285" s="216"/>
      <c r="AR285" s="216"/>
      <c r="AS285" s="216"/>
      <c r="AT285" s="216"/>
      <c r="AU285" s="216"/>
      <c r="AV285" s="216"/>
      <c r="AW285" s="216"/>
      <c r="AX285" s="216"/>
      <c r="AY285" s="216"/>
      <c r="AZ285" s="216"/>
      <c r="BA285" s="216"/>
      <c r="BB285" s="216"/>
      <c r="BC285" s="216"/>
      <c r="BD285" s="216"/>
      <c r="BE285" s="216"/>
      <c r="BF285" s="216"/>
      <c r="BG285" s="216"/>
      <c r="BH285" s="216"/>
      <c r="BI285" s="216"/>
      <c r="BJ285" s="216"/>
      <c r="BK285" s="216"/>
      <c r="BL285" s="216"/>
      <c r="BM285" s="216"/>
      <c r="BN285" s="216"/>
      <c r="BO285" s="216"/>
      <c r="BP285" s="216"/>
      <c r="BQ285" s="216"/>
      <c r="BR285" s="216"/>
      <c r="BS285" s="216"/>
      <c r="BT285" s="216"/>
      <c r="BU285" s="216"/>
      <c r="BV285" s="216"/>
      <c r="BW285" s="216"/>
      <c r="BX285" s="216"/>
      <c r="BY285" s="216"/>
      <c r="BZ285" s="216"/>
      <c r="CA285" s="216"/>
      <c r="CB285" s="216"/>
      <c r="CC285" s="216"/>
      <c r="CD285" s="216"/>
      <c r="CE285" s="216"/>
      <c r="CF285" s="216"/>
      <c r="CG285" s="216"/>
      <c r="CH285" s="216"/>
    </row>
    <row r="286" spans="1:86" ht="60" customHeight="1" x14ac:dyDescent="0.55000000000000004">
      <c r="A286" s="802">
        <v>66</v>
      </c>
      <c r="B286" s="805"/>
      <c r="C286" s="808" t="str">
        <f ca="1">IFERROR(IF(INDEX('WPTM - Section F'!C$1:C$100,MATCH('Print View'!$A286,'WPTM - Section F'!$A$1:$A$100,0))&lt;&gt;0,INDEX('WPTM - Section F'!C$1:C$100,MATCH('Print View'!$A286,'WPTM - Section F'!$A$1:$A$100,0)),""),"")</f>
        <v/>
      </c>
      <c r="D286" s="805"/>
      <c r="E286" s="805"/>
      <c r="F286" s="805"/>
      <c r="G286" s="808" t="str">
        <f ca="1">IFERROR(IF(INDEX('WPTM - Section F'!G$1:G$100,MATCH('Print View'!$A286,'WPTM - Section F'!$A$1:$A$100,0))&lt;&gt;0,INDEX('WPTM - Section F'!G$1:G$100,MATCH('Print View'!$A286,'WPTM - Section F'!$A$1:$A$100,0)),""),"")</f>
        <v/>
      </c>
      <c r="H286" s="424"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86" s="795" t="str">
        <f ca="1">IFERROR(IF(INDEX('WPTM - Section F'!N$1:N$100,MATCH('Print View'!$A285,'WPTM - Section F'!$A$1:$A$100,0))&lt;&gt;0,INDEX('WPTM - Section F'!N$1:N$100,MATCH('Print View'!$A285,'WPTM - Section F'!$A$1:$A$100,0)),""),"")</f>
        <v/>
      </c>
      <c r="J286" s="796"/>
      <c r="K286" s="796"/>
      <c r="L286" s="796"/>
      <c r="M286" s="797"/>
      <c r="N286" s="795" t="str">
        <f ca="1">IFERROR(IF(INDEX('WPTM - Section F'!O$1:O$100,MATCH('Print View'!$A285,'WPTM - Section F'!$A$1:$A$100,0))&lt;&gt;0,INDEX('WPTM - Section F'!O$1:O$100,MATCH('Print View'!$A285,'WPTM - Section F'!$A$1:$A$100,0)),""),"")</f>
        <v/>
      </c>
      <c r="O286" s="796"/>
      <c r="P286" s="796"/>
      <c r="Q286" s="796"/>
      <c r="R286" s="796"/>
      <c r="S286" s="797"/>
      <c r="T286" s="429"/>
      <c r="U286" s="216"/>
      <c r="V286" s="216"/>
      <c r="W286" s="216"/>
      <c r="X286" s="216"/>
      <c r="Y286" s="216"/>
      <c r="Z286" s="216"/>
      <c r="AA286" s="216"/>
      <c r="AB286" s="216"/>
      <c r="AC286" s="191"/>
      <c r="AD286" s="191"/>
      <c r="AE286" s="191"/>
      <c r="AF286" s="191"/>
      <c r="AG286" s="191"/>
      <c r="AH286" s="191"/>
      <c r="AI286" s="191"/>
      <c r="AJ286" s="191"/>
      <c r="AK286" s="191"/>
      <c r="AL286" s="191"/>
      <c r="AM286" s="191"/>
      <c r="AN286" s="191"/>
      <c r="AO286" s="191"/>
      <c r="AQ286" s="216"/>
      <c r="AR286" s="216"/>
      <c r="AS286" s="216"/>
      <c r="AT286" s="216"/>
      <c r="AU286" s="216"/>
      <c r="AV286" s="216"/>
      <c r="AW286" s="216"/>
      <c r="AX286" s="216"/>
      <c r="AY286" s="216"/>
      <c r="AZ286" s="216"/>
      <c r="BA286" s="216"/>
      <c r="BB286" s="216"/>
      <c r="BC286" s="216"/>
      <c r="BD286" s="216"/>
      <c r="BE286" s="216"/>
      <c r="BF286" s="216"/>
      <c r="BG286" s="216"/>
      <c r="BH286" s="216"/>
      <c r="BI286" s="216"/>
      <c r="BJ286" s="216"/>
      <c r="BK286" s="216"/>
      <c r="BL286" s="216"/>
      <c r="BM286" s="216"/>
      <c r="BN286" s="216"/>
      <c r="BO286" s="216"/>
      <c r="BP286" s="216"/>
      <c r="BQ286" s="216"/>
      <c r="BR286" s="216"/>
      <c r="BS286" s="216"/>
      <c r="BT286" s="216"/>
      <c r="BU286" s="216"/>
      <c r="BV286" s="216"/>
      <c r="BW286" s="216"/>
      <c r="BX286" s="216"/>
      <c r="BY286" s="216"/>
      <c r="BZ286" s="216"/>
      <c r="CA286" s="216"/>
      <c r="CB286" s="216"/>
      <c r="CC286" s="216"/>
      <c r="CD286" s="216"/>
      <c r="CE286" s="216"/>
      <c r="CF286" s="216"/>
      <c r="CG286" s="216"/>
      <c r="CH286" s="216"/>
    </row>
    <row r="287" spans="1:86" ht="60" customHeight="1" x14ac:dyDescent="0.55000000000000004">
      <c r="A287" s="802">
        <v>67</v>
      </c>
      <c r="B287" s="805"/>
      <c r="C287" s="808" t="str">
        <f ca="1">IFERROR(IF(INDEX('WPTM - Section F'!C$1:C$100,MATCH('Print View'!$A287,'WPTM - Section F'!$A$1:$A$100,0))&lt;&gt;0,INDEX('WPTM - Section F'!C$1:C$100,MATCH('Print View'!$A287,'WPTM - Section F'!$A$1:$A$100,0)),""),"")</f>
        <v/>
      </c>
      <c r="D287" s="805"/>
      <c r="E287" s="805"/>
      <c r="F287" s="805"/>
      <c r="G287" s="808" t="str">
        <f ca="1">IFERROR(IF(INDEX('WPTM - Section F'!G$1:G$100,MATCH('Print View'!$A287,'WPTM - Section F'!$A$1:$A$100,0))&lt;&gt;0,INDEX('WPTM - Section F'!G$1:G$100,MATCH('Print View'!$A287,'WPTM - Section F'!$A$1:$A$100,0)),""),"")</f>
        <v/>
      </c>
      <c r="H287" s="424"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87" s="795" t="str">
        <f ca="1">IFERROR(IF(INDEX('WPTM - Section F'!R$1:R$100,MATCH('Print View'!$A285,'WPTM - Section F'!$A$1:$A$100,0))&lt;&gt;0,INDEX('WPTM - Section F'!R$1:R$100,MATCH('Print View'!$A285,'WPTM - Section F'!$A$1:$A$100,0)),""),"")</f>
        <v/>
      </c>
      <c r="J287" s="796"/>
      <c r="K287" s="796"/>
      <c r="L287" s="796"/>
      <c r="M287" s="797"/>
      <c r="N287" s="795" t="str">
        <f ca="1">IFERROR(IF(INDEX('WPTM - Section F'!S$1:S$100,MATCH('Print View'!$A285,'WPTM - Section F'!$A$1:$A$100,0))&lt;&gt;0,INDEX('WPTM - Section F'!S$1:S$100,MATCH('Print View'!$A285,'WPTM - Section F'!$A$1:$A$100,0)),""),"")</f>
        <v/>
      </c>
      <c r="O287" s="796"/>
      <c r="P287" s="796"/>
      <c r="Q287" s="796"/>
      <c r="R287" s="796"/>
      <c r="S287" s="797"/>
      <c r="T287" s="429"/>
      <c r="U287" s="216"/>
      <c r="V287" s="216"/>
      <c r="W287" s="216"/>
      <c r="X287" s="216"/>
      <c r="Y287" s="216"/>
      <c r="Z287" s="216"/>
      <c r="AA287" s="216"/>
      <c r="AB287" s="216"/>
      <c r="AC287" s="191"/>
      <c r="AD287" s="191"/>
      <c r="AE287" s="191"/>
      <c r="AF287" s="191"/>
      <c r="AG287" s="191"/>
      <c r="AH287" s="191"/>
      <c r="AI287" s="191"/>
      <c r="AJ287" s="191"/>
      <c r="AK287" s="191"/>
      <c r="AL287" s="191"/>
      <c r="AM287" s="191"/>
      <c r="AN287" s="191"/>
      <c r="AO287" s="191"/>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row>
    <row r="288" spans="1:86" ht="60" customHeight="1" x14ac:dyDescent="0.55000000000000004">
      <c r="A288" s="802">
        <v>68</v>
      </c>
      <c r="B288" s="805"/>
      <c r="C288" s="808" t="str">
        <f ca="1">IFERROR(IF(INDEX('WPTM - Section F'!C$1:C$100,MATCH('Print View'!$A288,'WPTM - Section F'!$A$1:$A$100,0))&lt;&gt;0,INDEX('WPTM - Section F'!C$1:C$100,MATCH('Print View'!$A288,'WPTM - Section F'!$A$1:$A$100,0)),""),"")</f>
        <v/>
      </c>
      <c r="D288" s="805"/>
      <c r="E288" s="805"/>
      <c r="F288" s="805"/>
      <c r="G288" s="808" t="str">
        <f ca="1">IFERROR(IF(INDEX('WPTM - Section F'!G$1:G$100,MATCH('Print View'!$A288,'WPTM - Section F'!$A$1:$A$100,0))&lt;&gt;0,INDEX('WPTM - Section F'!G$1:G$100,MATCH('Print View'!$A288,'WPTM - Section F'!$A$1:$A$100,0)),""),"")</f>
        <v/>
      </c>
      <c r="H288" s="424"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88" s="795" t="str">
        <f ca="1">IFERROR(IF(INDEX('WPTM - Section F'!V$1:V$100,MATCH('Print View'!$A285,'WPTM - Section F'!$A$1:$A$100,0))&lt;&gt;0,INDEX('WPTM - Section F'!V$1:V$100,MATCH('Print View'!$A285,'WPTM - Section F'!$A$1:$A$100,0)),""),"")</f>
        <v/>
      </c>
      <c r="J288" s="796"/>
      <c r="K288" s="796"/>
      <c r="L288" s="796"/>
      <c r="M288" s="797"/>
      <c r="N288" s="795" t="str">
        <f ca="1">IFERROR(IF(INDEX('WPTM - Section F'!W$1:W$100,MATCH('Print View'!$A285,'WPTM - Section F'!$A$1:$A$100,0))&lt;&gt;0,INDEX('WPTM - Section F'!W$1:W$100,MATCH('Print View'!$A285,'WPTM - Section F'!$A$1:$A$100,0)),""),"")</f>
        <v/>
      </c>
      <c r="O288" s="796"/>
      <c r="P288" s="796"/>
      <c r="Q288" s="796"/>
      <c r="R288" s="796"/>
      <c r="S288" s="797"/>
      <c r="T288" s="429"/>
      <c r="U288" s="216"/>
      <c r="V288" s="216"/>
      <c r="W288" s="216"/>
      <c r="X288" s="216"/>
      <c r="Y288" s="216"/>
      <c r="Z288" s="216"/>
      <c r="AA288" s="216"/>
      <c r="AB288" s="216"/>
      <c r="AC288" s="191"/>
      <c r="AD288" s="191"/>
      <c r="AE288" s="191"/>
      <c r="AF288" s="191"/>
      <c r="AG288" s="191"/>
      <c r="AH288" s="191"/>
      <c r="AI288" s="191"/>
      <c r="AJ288" s="191"/>
      <c r="AK288" s="191"/>
      <c r="AL288" s="191"/>
      <c r="AM288" s="191"/>
      <c r="AN288" s="191"/>
      <c r="AO288" s="191"/>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16"/>
      <c r="BL288" s="216"/>
      <c r="BM288" s="216"/>
      <c r="BN288" s="216"/>
      <c r="BO288" s="216"/>
      <c r="BP288" s="216"/>
      <c r="BQ288" s="216"/>
      <c r="BR288" s="216"/>
      <c r="BS288" s="216"/>
      <c r="BT288" s="216"/>
      <c r="BU288" s="216"/>
      <c r="BV288" s="216"/>
      <c r="BW288" s="216"/>
      <c r="BX288" s="216"/>
      <c r="BY288" s="216"/>
      <c r="BZ288" s="216"/>
      <c r="CA288" s="216"/>
      <c r="CB288" s="216"/>
      <c r="CC288" s="216"/>
      <c r="CD288" s="216"/>
      <c r="CE288" s="216"/>
      <c r="CF288" s="216"/>
      <c r="CG288" s="216"/>
      <c r="CH288" s="216"/>
    </row>
    <row r="289" spans="1:86" ht="60" customHeight="1" x14ac:dyDescent="0.55000000000000004">
      <c r="A289" s="802">
        <v>69</v>
      </c>
      <c r="B289" s="805"/>
      <c r="C289" s="808" t="str">
        <f ca="1">IFERROR(IF(INDEX('WPTM - Section F'!C$1:C$100,MATCH('Print View'!$A289,'WPTM - Section F'!$A$1:$A$100,0))&lt;&gt;0,INDEX('WPTM - Section F'!C$1:C$100,MATCH('Print View'!$A289,'WPTM - Section F'!$A$1:$A$100,0)),""),"")</f>
        <v/>
      </c>
      <c r="D289" s="805"/>
      <c r="E289" s="805"/>
      <c r="F289" s="805"/>
      <c r="G289" s="808" t="str">
        <f ca="1">IFERROR(IF(INDEX('WPTM - Section F'!G$1:G$100,MATCH('Print View'!$A289,'WPTM - Section F'!$A$1:$A$100,0))&lt;&gt;0,INDEX('WPTM - Section F'!G$1:G$100,MATCH('Print View'!$A289,'WPTM - Section F'!$A$1:$A$100,0)),""),"")</f>
        <v/>
      </c>
      <c r="H289" s="424"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89" s="795" t="str">
        <f ca="1">IFERROR(IF(INDEX('WPTM - Section F'!Z$1:Z$100,MATCH('Print View'!$A285,'WPTM - Section F'!$A$1:$A$100,0))&lt;&gt;0,INDEX('WPTM - Section F'!Z$1:Z$100,MATCH('Print View'!$A285,'WPTM - Section F'!$A$1:$A$100,0)),""),"")</f>
        <v/>
      </c>
      <c r="J289" s="796"/>
      <c r="K289" s="796"/>
      <c r="L289" s="796"/>
      <c r="M289" s="797"/>
      <c r="N289" s="795" t="str">
        <f ca="1">IFERROR(IF(INDEX('WPTM - Section F'!AA$1:AA$100,MATCH('Print View'!$A285,'WPTM - Section F'!$A$1:$A$100,0))&lt;&gt;0,INDEX('WPTM - Section F'!AA$1:AA$100,MATCH('Print View'!$A285,'WPTM - Section F'!$A$1:$A$100,0)),""),"")</f>
        <v/>
      </c>
      <c r="O289" s="796"/>
      <c r="P289" s="796"/>
      <c r="Q289" s="796"/>
      <c r="R289" s="796"/>
      <c r="S289" s="797"/>
      <c r="T289" s="429"/>
      <c r="U289" s="216"/>
      <c r="V289" s="216"/>
      <c r="W289" s="216"/>
      <c r="X289" s="216"/>
      <c r="Y289" s="216"/>
      <c r="Z289" s="216"/>
      <c r="AA289" s="216"/>
      <c r="AB289" s="216"/>
      <c r="AC289" s="191"/>
      <c r="AD289" s="191"/>
      <c r="AE289" s="191"/>
      <c r="AF289" s="191"/>
      <c r="AG289" s="191"/>
      <c r="AH289" s="191"/>
      <c r="AI289" s="191"/>
      <c r="AJ289" s="191"/>
      <c r="AK289" s="191"/>
      <c r="AL289" s="191"/>
      <c r="AM289" s="191"/>
      <c r="AN289" s="191"/>
      <c r="AO289" s="191"/>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16"/>
      <c r="BL289" s="216"/>
      <c r="BM289" s="216"/>
      <c r="BN289" s="216"/>
      <c r="BO289" s="216"/>
      <c r="BP289" s="216"/>
      <c r="BQ289" s="216"/>
      <c r="BR289" s="216"/>
      <c r="BS289" s="216"/>
      <c r="BT289" s="216"/>
      <c r="BU289" s="216"/>
      <c r="BV289" s="216"/>
      <c r="BW289" s="216"/>
      <c r="BX289" s="216"/>
      <c r="BY289" s="216"/>
      <c r="BZ289" s="216"/>
      <c r="CA289" s="216"/>
      <c r="CB289" s="216"/>
      <c r="CC289" s="216"/>
      <c r="CD289" s="216"/>
      <c r="CE289" s="216"/>
      <c r="CF289" s="216"/>
      <c r="CG289" s="216"/>
      <c r="CH289" s="216"/>
    </row>
    <row r="290" spans="1:86" ht="60" customHeight="1" x14ac:dyDescent="0.55000000000000004">
      <c r="A290" s="802">
        <v>70</v>
      </c>
      <c r="B290" s="805"/>
      <c r="C290" s="808" t="str">
        <f ca="1">IFERROR(IF(INDEX('WPTM - Section F'!C$1:C$100,MATCH('Print View'!$A290,'WPTM - Section F'!$A$1:$A$100,0))&lt;&gt;0,INDEX('WPTM - Section F'!C$1:C$100,MATCH('Print View'!$A290,'WPTM - Section F'!$A$1:$A$100,0)),""),"")</f>
        <v/>
      </c>
      <c r="D290" s="805"/>
      <c r="E290" s="805"/>
      <c r="F290" s="805"/>
      <c r="G290" s="808" t="str">
        <f ca="1">IFERROR(IF(INDEX('WPTM - Section F'!G$1:G$100,MATCH('Print View'!$A290,'WPTM - Section F'!$A$1:$A$100,0))&lt;&gt;0,INDEX('WPTM - Section F'!G$1:G$100,MATCH('Print View'!$A290,'WPTM - Section F'!$A$1:$A$100,0)),""),"")</f>
        <v/>
      </c>
      <c r="H290" s="424"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90" s="795" t="str">
        <f ca="1">IFERROR(IF(INDEX('WPTM - Section F'!AD$1:AD$100,MATCH('Print View'!$A285,'WPTM - Section F'!$A$1:$A$100,0))&lt;&gt;0,INDEX('WPTM - Section F'!AD$1:AD$100,MATCH('Print View'!$A285,'WPTM - Section F'!$A$1:$A$100,0)),""),"")</f>
        <v/>
      </c>
      <c r="J290" s="796"/>
      <c r="K290" s="796"/>
      <c r="L290" s="796"/>
      <c r="M290" s="797"/>
      <c r="N290" s="795" t="str">
        <f ca="1">IFERROR(IF(INDEX('WPTM - Section F'!AE$1:AE$100,MATCH('Print View'!$A285,'WPTM - Section F'!$A$1:$A$100,0))&lt;&gt;0,INDEX('WPTM - Section F'!AE$1:AE$100,MATCH('Print View'!$A285,'WPTM - Section F'!$A$1:$A$100,0)),""),"")</f>
        <v/>
      </c>
      <c r="O290" s="796"/>
      <c r="P290" s="796"/>
      <c r="Q290" s="796"/>
      <c r="R290" s="796"/>
      <c r="S290" s="797"/>
      <c r="T290" s="429"/>
      <c r="U290" s="216"/>
      <c r="V290" s="216"/>
      <c r="W290" s="216"/>
      <c r="X290" s="216"/>
      <c r="Y290" s="216"/>
      <c r="Z290" s="216"/>
      <c r="AA290" s="216"/>
      <c r="AB290" s="216"/>
      <c r="AC290" s="191"/>
      <c r="AD290" s="191"/>
      <c r="AE290" s="191"/>
      <c r="AF290" s="191"/>
      <c r="AG290" s="191"/>
      <c r="AH290" s="191"/>
      <c r="AI290" s="191"/>
      <c r="AJ290" s="191"/>
      <c r="AK290" s="191"/>
      <c r="AL290" s="191"/>
      <c r="AM290" s="191"/>
      <c r="AN290" s="191"/>
      <c r="AO290" s="191"/>
      <c r="AQ290" s="216"/>
      <c r="AR290" s="216"/>
      <c r="AS290" s="216"/>
      <c r="AT290" s="216"/>
      <c r="AU290" s="216"/>
      <c r="AV290" s="216"/>
      <c r="AW290" s="216"/>
      <c r="AX290" s="216"/>
      <c r="AY290" s="216"/>
      <c r="AZ290" s="216"/>
      <c r="BA290" s="216"/>
      <c r="BB290" s="216"/>
      <c r="BC290" s="216"/>
      <c r="BD290" s="216"/>
      <c r="BE290" s="216"/>
      <c r="BF290" s="216"/>
      <c r="BG290" s="216"/>
      <c r="BH290" s="216"/>
      <c r="BI290" s="216"/>
      <c r="BJ290" s="216"/>
      <c r="BK290" s="216"/>
      <c r="BL290" s="216"/>
      <c r="BM290" s="216"/>
      <c r="BN290" s="216"/>
      <c r="BO290" s="216"/>
      <c r="BP290" s="216"/>
      <c r="BQ290" s="216"/>
      <c r="BR290" s="216"/>
      <c r="BS290" s="216"/>
      <c r="BT290" s="216"/>
      <c r="BU290" s="216"/>
      <c r="BV290" s="216"/>
      <c r="BW290" s="216"/>
      <c r="BX290" s="216"/>
      <c r="BY290" s="216"/>
      <c r="BZ290" s="216"/>
      <c r="CA290" s="216"/>
      <c r="CB290" s="216"/>
      <c r="CC290" s="216"/>
      <c r="CD290" s="216"/>
      <c r="CE290" s="216"/>
      <c r="CF290" s="216"/>
      <c r="CG290" s="216"/>
      <c r="CH290" s="216"/>
    </row>
    <row r="291" spans="1:86" ht="60" customHeight="1" x14ac:dyDescent="0.55000000000000004">
      <c r="A291" s="802">
        <v>71</v>
      </c>
      <c r="B291" s="806"/>
      <c r="C291" s="809" t="str">
        <f ca="1">IFERROR(IF(INDEX('WPTM - Section F'!C$1:C$100,MATCH('Print View'!$A291,'WPTM - Section F'!$A$1:$A$100,0))&lt;&gt;0,INDEX('WPTM - Section F'!C$1:C$100,MATCH('Print View'!$A291,'WPTM - Section F'!$A$1:$A$100,0)),""),"")</f>
        <v/>
      </c>
      <c r="D291" s="806"/>
      <c r="E291" s="806"/>
      <c r="F291" s="806"/>
      <c r="G291" s="809" t="str">
        <f ca="1">IFERROR(IF(INDEX('WPTM - Section F'!G$1:G$100,MATCH('Print View'!$A291,'WPTM - Section F'!$A$1:$A$100,0))&lt;&gt;0,INDEX('WPTM - Section F'!G$1:G$100,MATCH('Print View'!$A291,'WPTM - Section F'!$A$1:$A$100,0)),""),"")</f>
        <v/>
      </c>
      <c r="H291" s="424" t="str">
        <f>IF(IFERROR(INDEX('Overview - Section A'!$A$46:$A$53,MATCH(D$29,'Overview - Section A'!$B$46:$B$53,0)),"")="","",TEXT(IFERROR(INDEX('Overview - Section A'!$A$46:$A$53,MATCH(D$29,'Overview - Section A'!$B$46:$B$53,0)),""),Setup!$A$33) &amp;" to " &amp; TEXT(IFERROR(INDEX('Overview - Section A'!$E$46:$E$53,MATCH(D$29,'Overview - Section A'!$B$46:$B$53,0)),""),Setup!$A$33))</f>
        <v/>
      </c>
      <c r="I291" s="795" t="str">
        <f ca="1">IFERROR(IF(INDEX('WPTM - Section F'!AH$1:AH$100,MATCH('Print View'!$A285,'WPTM - Section F'!$A$1:$A$100,0))&lt;&gt;0,INDEX('WPTM - Section F'!AH$1:AH$100,MATCH('Print View'!$A285,'WPTM - Section F'!$A$1:$A$100,0)),""),"")</f>
        <v/>
      </c>
      <c r="J291" s="796"/>
      <c r="K291" s="796"/>
      <c r="L291" s="796"/>
      <c r="M291" s="797"/>
      <c r="N291" s="795" t="str">
        <f ca="1">IFERROR(IF(INDEX('WPTM - Section F'!AI$1:AI$100,MATCH('Print View'!$A285,'WPTM - Section F'!$A$1:$A$100,0))&lt;&gt;0,INDEX('WPTM - Section F'!AI$1:AI$100,MATCH('Print View'!$A285,'WPTM - Section F'!$A$1:$A$100,0)),""),"")</f>
        <v/>
      </c>
      <c r="O291" s="796"/>
      <c r="P291" s="796"/>
      <c r="Q291" s="796"/>
      <c r="R291" s="796"/>
      <c r="S291" s="797"/>
      <c r="T291" s="429"/>
      <c r="U291" s="216"/>
      <c r="V291" s="216"/>
      <c r="W291" s="216"/>
      <c r="X291" s="216"/>
      <c r="Y291" s="216"/>
      <c r="Z291" s="216"/>
      <c r="AA291" s="216"/>
      <c r="AB291" s="216"/>
      <c r="AC291" s="191"/>
      <c r="AD291" s="191"/>
      <c r="AE291" s="191"/>
      <c r="AF291" s="191"/>
      <c r="AG291" s="191"/>
      <c r="AH291" s="191"/>
      <c r="AI291" s="191"/>
      <c r="AJ291" s="191"/>
      <c r="AK291" s="191"/>
      <c r="AL291" s="191"/>
      <c r="AM291" s="191"/>
      <c r="AN291" s="191"/>
      <c r="AO291" s="191"/>
      <c r="AQ291" s="216"/>
      <c r="AR291" s="216"/>
      <c r="AS291" s="216"/>
      <c r="AT291" s="216"/>
      <c r="AU291" s="216"/>
      <c r="AV291" s="216"/>
      <c r="AW291" s="216"/>
      <c r="AX291" s="216"/>
      <c r="AY291" s="216"/>
      <c r="AZ291" s="216"/>
      <c r="BA291" s="216"/>
      <c r="BB291" s="216"/>
      <c r="BC291" s="216"/>
      <c r="BD291" s="216"/>
      <c r="BE291" s="216"/>
      <c r="BF291" s="216"/>
      <c r="BG291" s="216"/>
      <c r="BH291" s="216"/>
      <c r="BI291" s="216"/>
      <c r="BJ291" s="216"/>
      <c r="BK291" s="216"/>
      <c r="BL291" s="216"/>
      <c r="BM291" s="216"/>
      <c r="BN291" s="216"/>
      <c r="BO291" s="216"/>
      <c r="BP291" s="216"/>
      <c r="BQ291" s="216"/>
      <c r="BR291" s="216"/>
      <c r="BS291" s="216"/>
      <c r="BT291" s="216"/>
      <c r="BU291" s="216"/>
      <c r="BV291" s="216"/>
      <c r="BW291" s="216"/>
      <c r="BX291" s="216"/>
      <c r="BY291" s="216"/>
      <c r="BZ291" s="216"/>
      <c r="CA291" s="216"/>
      <c r="CB291" s="216"/>
      <c r="CC291" s="216"/>
      <c r="CD291" s="216"/>
      <c r="CE291" s="216"/>
      <c r="CF291" s="216"/>
      <c r="CG291" s="216"/>
      <c r="CH291" s="216"/>
    </row>
    <row r="292" spans="1:86" ht="60" customHeight="1" x14ac:dyDescent="0.55000000000000004">
      <c r="A292" s="803">
        <v>72</v>
      </c>
      <c r="B292" s="791" t="str">
        <f ca="1">IFERROR(IF(INDEX('WPTM - Section F'!AV$1:AV$100,MATCH('Print View'!$A285,'WPTM - Section F'!$A$1:$A$100,0))&lt;&gt;0,INDEX('WPTM - Section F'!AV$1:AV$100,MATCH('Print View'!$A285,'WPTM - Section F'!$A$1:$A$100,0)),""),"")</f>
        <v/>
      </c>
      <c r="C292" s="792"/>
      <c r="D292" s="792"/>
      <c r="E292" s="792"/>
      <c r="F292" s="792"/>
      <c r="G292" s="792"/>
      <c r="H292" s="792"/>
      <c r="I292" s="792"/>
      <c r="J292" s="792"/>
      <c r="K292" s="792"/>
      <c r="L292" s="792"/>
      <c r="M292" s="792"/>
      <c r="N292" s="792"/>
      <c r="O292" s="792"/>
      <c r="P292" s="792"/>
      <c r="Q292" s="792"/>
      <c r="R292" s="792"/>
      <c r="S292" s="793"/>
      <c r="T292" s="426"/>
      <c r="U292" s="216"/>
      <c r="V292" s="216"/>
      <c r="W292" s="216"/>
      <c r="X292" s="216"/>
      <c r="Y292" s="216"/>
      <c r="Z292" s="216"/>
      <c r="AA292" s="216"/>
      <c r="AB292" s="216"/>
      <c r="AC292" s="191"/>
      <c r="AD292" s="191"/>
      <c r="AE292" s="191"/>
      <c r="AF292" s="191"/>
      <c r="AG292" s="191"/>
      <c r="AH292" s="191"/>
      <c r="AI292" s="191"/>
      <c r="AJ292" s="191"/>
      <c r="AK292" s="191"/>
      <c r="AL292" s="191"/>
      <c r="AM292" s="191"/>
      <c r="AN292" s="191"/>
      <c r="AO292" s="191"/>
      <c r="AQ292" s="216"/>
      <c r="AR292" s="216"/>
      <c r="AS292" s="216"/>
      <c r="AT292" s="216"/>
      <c r="AU292" s="216"/>
      <c r="AV292" s="216"/>
      <c r="AW292" s="216"/>
      <c r="AX292" s="216"/>
      <c r="AY292" s="216"/>
      <c r="AZ292" s="216"/>
      <c r="BA292" s="216"/>
      <c r="BB292" s="216"/>
      <c r="BC292" s="216"/>
      <c r="BD292" s="216"/>
      <c r="BE292" s="216"/>
      <c r="BF292" s="216"/>
      <c r="BG292" s="216"/>
      <c r="BH292" s="216"/>
      <c r="BI292" s="216"/>
      <c r="BJ292" s="216"/>
      <c r="BK292" s="216"/>
      <c r="BL292" s="216"/>
      <c r="BM292" s="216"/>
      <c r="BN292" s="216"/>
      <c r="BO292" s="216"/>
      <c r="BP292" s="216"/>
      <c r="BQ292" s="216"/>
      <c r="BR292" s="216"/>
      <c r="BS292" s="216"/>
      <c r="BT292" s="216"/>
      <c r="BU292" s="216"/>
      <c r="BV292" s="216"/>
      <c r="BW292" s="216"/>
      <c r="BX292" s="216"/>
      <c r="BY292" s="216"/>
      <c r="BZ292" s="216"/>
      <c r="CA292" s="216"/>
      <c r="CB292" s="216"/>
      <c r="CC292" s="216"/>
      <c r="CD292" s="216"/>
      <c r="CE292" s="216"/>
      <c r="CF292" s="216"/>
      <c r="CG292" s="216"/>
      <c r="CH292" s="216"/>
    </row>
    <row r="293" spans="1:86" ht="60" customHeight="1" x14ac:dyDescent="0.3">
      <c r="A293" s="801">
        <v>10</v>
      </c>
      <c r="B293" s="804" t="str">
        <f ca="1">IFERROR(IF(INDEX('WPTM - Section F'!B$1:B$100,MATCH('Print View'!$A293,'WPTM - Section F'!$A$1:$A$100,0))&lt;&gt;0,INDEX('WPTM - Section F'!B$1:B$100,MATCH('Print View'!$A293,'WPTM - Section F'!$A$1:$A$100,0)),""),"")</f>
        <v/>
      </c>
      <c r="C293" s="807" t="str">
        <f ca="1">IFERROR(IF(INDEX('WPTM - Section F'!C$1:C$100,MATCH('Print View'!$A293,'WPTM - Section F'!$A$1:$A$100,0))&lt;&gt;0,INDEX('WPTM - Section F'!C$1:C$100,MATCH('Print View'!$A293,'WPTM - Section F'!$A$1:$A$100,0)),""),"")</f>
        <v/>
      </c>
      <c r="D293" s="804" t="str">
        <f ca="1">IFERROR(IF(INDEX('WPTM - Section F'!D$1:D$100,MATCH('Print View'!$A293,'WPTM - Section F'!$A$1:$A$100,0))&lt;&gt;0,INDEX('WPTM - Section F'!D$1:D$100,MATCH('Print View'!$A293,'WPTM - Section F'!$A$1:$A$100,0)),""),"")</f>
        <v/>
      </c>
      <c r="E293" s="804" t="str">
        <f ca="1">IFERROR(IF(INDEX('WPTM - Section F'!E$1:E$100,MATCH('Print View'!$A293,'WPTM - Section F'!$A$1:$A$100,0))&lt;&gt;0,INDEX('WPTM - Section F'!E$1:E$100,MATCH('Print View'!$A293,'WPTM - Section F'!$A$1:$A$100,0)),""),"")</f>
        <v/>
      </c>
      <c r="F293" s="804" t="str">
        <f ca="1">IFERROR(IF(INDEX('WPTM - Section F'!F$1:F$100,MATCH('Print View'!$A293,'WPTM - Section F'!$A$1:$A$100,0))&lt;&gt;0,INDEX('WPTM - Section F'!F$1:F$100,MATCH('Print View'!$A293,'WPTM - Section F'!$A$1:$A$100,0)),""),"")</f>
        <v/>
      </c>
      <c r="G293" s="807" t="str">
        <f ca="1">IFERROR(IF(INDEX('WPTM - Section F'!G$1:G$100,MATCH('Print View'!$A293,'WPTM - Section F'!$A$1:$A$100,0))&lt;&gt;0,INDEX('WPTM - Section F'!G$1:G$100,MATCH('Print View'!$A293,'WPTM - Section F'!$A$1:$A$100,0)),""),"")</f>
        <v/>
      </c>
      <c r="H293" s="427" t="str">
        <f ca="1">IF(IFERROR(INDEX('Overview - Section A'!$A$46:$A$53,MATCH(D$23,'Overview - Section A'!$B$46:$B$53,0)),"")="","",TEXT(IFERROR(INDEX('Overview - Section A'!$A$46:$A$53,MATCH(D$23,'Overview - Section A'!$B$46:$B$53,0)),""),Setup!$A$33) &amp;" to " &amp; TEXT(IFERROR(INDEX('Overview - Section A'!$E$46:$E$53,MATCH(D$23,'Overview - Section A'!$B$46:$B$53,0)),""),Setup!$A$33))</f>
        <v>1-Jan-21 to 30-Jun-21</v>
      </c>
      <c r="I293" s="798" t="str">
        <f ca="1">IFERROR(IF(INDEX('WPTM - Section F'!J$1:J$100,MATCH('Print View'!$A293,'WPTM - Section F'!$A$1:$A$100,0))&lt;&gt;0,INDEX('WPTM - Section F'!J$1:J$100,MATCH('Print View'!$A293,'WPTM - Section F'!$A$1:$A$100,0)),""),"")</f>
        <v/>
      </c>
      <c r="J293" s="799"/>
      <c r="K293" s="799"/>
      <c r="L293" s="799"/>
      <c r="M293" s="800"/>
      <c r="N293" s="798" t="str">
        <f ca="1">IFERROR(IF(INDEX('WPTM - Section F'!K$1:K$100,MATCH('Print View'!$A293,'WPTM - Section F'!$A$1:$A$100,0))&lt;&gt;0,INDEX('WPTM - Section F'!K$1:K$100,MATCH('Print View'!$A293,'WPTM - Section F'!$A$1:$A$100,0)),""),"")</f>
        <v/>
      </c>
      <c r="O293" s="799"/>
      <c r="P293" s="799"/>
      <c r="Q293" s="799"/>
      <c r="R293" s="799"/>
      <c r="S293" s="799"/>
      <c r="T293" s="417"/>
      <c r="U293" s="216"/>
      <c r="V293" s="216"/>
      <c r="W293" s="216"/>
      <c r="X293" s="216"/>
      <c r="Y293" s="216"/>
      <c r="Z293" s="216"/>
      <c r="AA293" s="216"/>
      <c r="AB293" s="216"/>
      <c r="AC293" s="191"/>
      <c r="AD293" s="191"/>
      <c r="AE293" s="191"/>
      <c r="AF293" s="191"/>
      <c r="AG293" s="191"/>
      <c r="AH293" s="191"/>
      <c r="AI293" s="191"/>
      <c r="AJ293" s="191"/>
      <c r="AK293" s="191"/>
      <c r="AL293" s="191"/>
      <c r="AM293" s="191"/>
      <c r="AN293" s="191"/>
      <c r="AO293" s="191"/>
      <c r="AQ293" s="216"/>
      <c r="AR293" s="216"/>
      <c r="AS293" s="216"/>
      <c r="AT293" s="216"/>
      <c r="AU293" s="216"/>
      <c r="AV293" s="216"/>
      <c r="AW293" s="216"/>
      <c r="AX293" s="216"/>
      <c r="AY293" s="216"/>
      <c r="AZ293" s="216"/>
      <c r="BA293" s="216"/>
      <c r="BB293" s="216"/>
      <c r="BC293" s="216"/>
      <c r="BD293" s="216"/>
      <c r="BE293" s="216"/>
      <c r="BF293" s="216"/>
      <c r="BG293" s="216"/>
      <c r="BH293" s="216"/>
      <c r="BI293" s="216"/>
      <c r="BJ293" s="216"/>
      <c r="BK293" s="216"/>
      <c r="BL293" s="216"/>
      <c r="BM293" s="216"/>
      <c r="BN293" s="216"/>
      <c r="BO293" s="216"/>
      <c r="BP293" s="216"/>
      <c r="BQ293" s="216"/>
      <c r="BR293" s="216"/>
      <c r="BS293" s="216"/>
      <c r="BT293" s="216"/>
      <c r="BU293" s="216"/>
      <c r="BV293" s="216"/>
      <c r="BW293" s="216"/>
      <c r="BX293" s="216"/>
      <c r="BY293" s="216"/>
      <c r="BZ293" s="216"/>
      <c r="CA293" s="216"/>
      <c r="CB293" s="216"/>
      <c r="CC293" s="216"/>
      <c r="CD293" s="216"/>
      <c r="CE293" s="216"/>
      <c r="CF293" s="216"/>
      <c r="CG293" s="216"/>
      <c r="CH293" s="216"/>
    </row>
    <row r="294" spans="1:86" ht="60" customHeight="1" x14ac:dyDescent="0.3">
      <c r="A294" s="802">
        <v>74</v>
      </c>
      <c r="B294" s="805"/>
      <c r="C294" s="808" t="str">
        <f ca="1">IFERROR(IF(INDEX('WPTM - Section F'!C$1:C$100,MATCH('Print View'!$A294,'WPTM - Section F'!$A$1:$A$100,0))&lt;&gt;0,INDEX('WPTM - Section F'!C$1:C$100,MATCH('Print View'!$A294,'WPTM - Section F'!$A$1:$A$100,0)),""),"")</f>
        <v/>
      </c>
      <c r="D294" s="805"/>
      <c r="E294" s="805"/>
      <c r="F294" s="805"/>
      <c r="G294" s="808" t="str">
        <f ca="1">IFERROR(IF(INDEX('WPTM - Section F'!G$1:G$100,MATCH('Print View'!$A294,'WPTM - Section F'!$A$1:$A$100,0))&lt;&gt;0,INDEX('WPTM - Section F'!G$1:G$100,MATCH('Print View'!$A294,'WPTM - Section F'!$A$1:$A$100,0)),""),"")</f>
        <v/>
      </c>
      <c r="H294" s="427" t="str">
        <f ca="1">IF(IFERROR(INDEX('Overview - Section A'!$A$46:$A$53,MATCH(D$24,'Overview - Section A'!$B$46:$B$53,0)),"")="","",TEXT(IFERROR(INDEX('Overview - Section A'!$A$46:$A$53,MATCH(D$24,'Overview - Section A'!$B$46:$B$53,0)),""),Setup!$A$33) &amp;" to " &amp; TEXT(IFERROR(INDEX('Overview - Section A'!$E$46:$E$53,MATCH(D$24,'Overview - Section A'!$B$46:$B$53,0)),""),Setup!$A$33))</f>
        <v>1-Jul-21 to 31-Dec-21</v>
      </c>
      <c r="I294" s="798" t="str">
        <f ca="1">IFERROR(IF(INDEX('WPTM - Section F'!J$1:J$100,MATCH('Print View'!$A293,'WPTM - Section F'!$A$1:$A$100,0))&lt;&gt;0,INDEX('WPTM - Section F'!J$1:J$100,MATCH('Print View'!$A293,'WPTM - Section F'!$A$1:$A$100,0)),""),"")</f>
        <v/>
      </c>
      <c r="J294" s="799"/>
      <c r="K294" s="799"/>
      <c r="L294" s="799"/>
      <c r="M294" s="800"/>
      <c r="N294" s="798" t="str">
        <f ca="1">IFERROR(IF(INDEX('WPTM - Section F'!O$1:O$100,MATCH('Print View'!$A293,'WPTM - Section F'!$A$1:$A$100,0))&lt;&gt;0,INDEX('WPTM - Section F'!O$1:O$100,MATCH('Print View'!$A293,'WPTM - Section F'!$A$1:$A$100,0)),""),"")</f>
        <v/>
      </c>
      <c r="O294" s="799"/>
      <c r="P294" s="799"/>
      <c r="Q294" s="799"/>
      <c r="R294" s="799"/>
      <c r="S294" s="799"/>
      <c r="T294" s="417"/>
      <c r="U294" s="216"/>
      <c r="V294" s="216"/>
      <c r="W294" s="216"/>
      <c r="X294" s="216"/>
      <c r="Y294" s="216"/>
      <c r="Z294" s="216"/>
      <c r="AA294" s="216"/>
      <c r="AB294" s="216"/>
      <c r="AC294" s="191"/>
      <c r="AD294" s="191"/>
      <c r="AE294" s="191"/>
      <c r="AF294" s="191"/>
      <c r="AG294" s="191"/>
      <c r="AH294" s="191"/>
      <c r="AI294" s="191"/>
      <c r="AJ294" s="191"/>
      <c r="AK294" s="191"/>
      <c r="AL294" s="191"/>
      <c r="AM294" s="191"/>
      <c r="AN294" s="191"/>
      <c r="AO294" s="191"/>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16"/>
      <c r="BL294" s="216"/>
      <c r="BM294" s="216"/>
      <c r="BN294" s="216"/>
      <c r="BO294" s="216"/>
      <c r="BP294" s="216"/>
      <c r="BQ294" s="216"/>
      <c r="BR294" s="216"/>
      <c r="BS294" s="216"/>
      <c r="BT294" s="216"/>
      <c r="BU294" s="216"/>
      <c r="BV294" s="216"/>
      <c r="BW294" s="216"/>
      <c r="BX294" s="216"/>
      <c r="BY294" s="216"/>
      <c r="BZ294" s="216"/>
      <c r="CA294" s="216"/>
      <c r="CB294" s="216"/>
      <c r="CC294" s="216"/>
      <c r="CD294" s="216"/>
      <c r="CE294" s="216"/>
      <c r="CF294" s="216"/>
      <c r="CG294" s="216"/>
      <c r="CH294" s="216"/>
    </row>
    <row r="295" spans="1:86" ht="60" customHeight="1" x14ac:dyDescent="0.3">
      <c r="A295" s="802">
        <v>75</v>
      </c>
      <c r="B295" s="805"/>
      <c r="C295" s="808" t="str">
        <f ca="1">IFERROR(IF(INDEX('WPTM - Section F'!C$1:C$100,MATCH('Print View'!$A295,'WPTM - Section F'!$A$1:$A$100,0))&lt;&gt;0,INDEX('WPTM - Section F'!C$1:C$100,MATCH('Print View'!$A295,'WPTM - Section F'!$A$1:$A$100,0)),""),"")</f>
        <v/>
      </c>
      <c r="D295" s="805"/>
      <c r="E295" s="805"/>
      <c r="F295" s="805"/>
      <c r="G295" s="808" t="str">
        <f ca="1">IFERROR(IF(INDEX('WPTM - Section F'!G$1:G$100,MATCH('Print View'!$A295,'WPTM - Section F'!$A$1:$A$100,0))&lt;&gt;0,INDEX('WPTM - Section F'!G$1:G$100,MATCH('Print View'!$A295,'WPTM - Section F'!$A$1:$A$100,0)),""),"")</f>
        <v/>
      </c>
      <c r="H295" s="427" t="str">
        <f ca="1">IF(IFERROR(INDEX('Overview - Section A'!$A$46:$A$53,MATCH(D$25,'Overview - Section A'!$B$46:$B$53,0)),"")="","",TEXT(IFERROR(INDEX('Overview - Section A'!$A$46:$A$53,MATCH(D$25,'Overview - Section A'!$B$46:$B$53,0)),""),Setup!$A$33) &amp;" to " &amp; TEXT(IFERROR(INDEX('Overview - Section A'!$E$46:$E$53,MATCH(D$25,'Overview - Section A'!$B$46:$B$53,0)),""),Setup!$A$33))</f>
        <v>1-Jan-22 to 30-Jun-22</v>
      </c>
      <c r="I295" s="798" t="str">
        <f ca="1">IFERROR(IF(INDEX('WPTM - Section F'!R$1:R$100,MATCH('Print View'!$A293,'WPTM - Section F'!$A$1:$A$100,0))&lt;&gt;0,INDEX('WPTM - Section F'!R$1:R$100,MATCH('Print View'!$A293,'WPTM - Section F'!$A$1:$A$100,0)),""),"")</f>
        <v/>
      </c>
      <c r="J295" s="799"/>
      <c r="K295" s="799"/>
      <c r="L295" s="799"/>
      <c r="M295" s="800"/>
      <c r="N295" s="798" t="str">
        <f ca="1">IFERROR(IF(INDEX('WPTM - Section F'!S$1:S$100,MATCH('Print View'!$A293,'WPTM - Section F'!$A$1:$A$100,0))&lt;&gt;0,INDEX('WPTM - Section F'!S$1:S$100,MATCH('Print View'!$A293,'WPTM - Section F'!$A$1:$A$100,0)),""),"")</f>
        <v/>
      </c>
      <c r="O295" s="799"/>
      <c r="P295" s="799"/>
      <c r="Q295" s="799"/>
      <c r="R295" s="799"/>
      <c r="S295" s="799"/>
      <c r="T295" s="417"/>
      <c r="U295" s="216"/>
      <c r="V295" s="216"/>
      <c r="W295" s="216"/>
      <c r="X295" s="216"/>
      <c r="Y295" s="216"/>
      <c r="Z295" s="216"/>
      <c r="AA295" s="216"/>
      <c r="AB295" s="216"/>
      <c r="AC295" s="191"/>
      <c r="AD295" s="191"/>
      <c r="AE295" s="191"/>
      <c r="AF295" s="191"/>
      <c r="AG295" s="191"/>
      <c r="AH295" s="191"/>
      <c r="AI295" s="191"/>
      <c r="AJ295" s="191"/>
      <c r="AK295" s="191"/>
      <c r="AL295" s="191"/>
      <c r="AM295" s="191"/>
      <c r="AN295" s="191"/>
      <c r="AO295" s="191"/>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16"/>
      <c r="BL295" s="216"/>
      <c r="BM295" s="216"/>
      <c r="BN295" s="216"/>
      <c r="BO295" s="216"/>
      <c r="BP295" s="216"/>
      <c r="BQ295" s="216"/>
      <c r="BR295" s="216"/>
      <c r="BS295" s="216"/>
      <c r="BT295" s="216"/>
      <c r="BU295" s="216"/>
      <c r="BV295" s="216"/>
      <c r="BW295" s="216"/>
      <c r="BX295" s="216"/>
      <c r="BY295" s="216"/>
      <c r="BZ295" s="216"/>
      <c r="CA295" s="216"/>
      <c r="CB295" s="216"/>
      <c r="CC295" s="216"/>
      <c r="CD295" s="216"/>
      <c r="CE295" s="216"/>
      <c r="CF295" s="216"/>
      <c r="CG295" s="216"/>
      <c r="CH295" s="216"/>
    </row>
    <row r="296" spans="1:86" ht="60" customHeight="1" x14ac:dyDescent="0.3">
      <c r="A296" s="802">
        <v>76</v>
      </c>
      <c r="B296" s="805"/>
      <c r="C296" s="808" t="str">
        <f ca="1">IFERROR(IF(INDEX('WPTM - Section F'!C$1:C$100,MATCH('Print View'!$A296,'WPTM - Section F'!$A$1:$A$100,0))&lt;&gt;0,INDEX('WPTM - Section F'!C$1:C$100,MATCH('Print View'!$A296,'WPTM - Section F'!$A$1:$A$100,0)),""),"")</f>
        <v/>
      </c>
      <c r="D296" s="805"/>
      <c r="E296" s="805"/>
      <c r="F296" s="805"/>
      <c r="G296" s="808" t="str">
        <f ca="1">IFERROR(IF(INDEX('WPTM - Section F'!G$1:G$100,MATCH('Print View'!$A296,'WPTM - Section F'!$A$1:$A$100,0))&lt;&gt;0,INDEX('WPTM - Section F'!G$1:G$100,MATCH('Print View'!$A296,'WPTM - Section F'!$A$1:$A$100,0)),""),"")</f>
        <v/>
      </c>
      <c r="H296" s="427" t="str">
        <f ca="1">IF(IFERROR(INDEX('Overview - Section A'!$A$46:$A$53,MATCH(D$26,'Overview - Section A'!$B$46:$B$53,0)),"")="","",TEXT(IFERROR(INDEX('Overview - Section A'!$A$46:$A$53,MATCH(D$26,'Overview - Section A'!$B$46:$B$53,0)),""),Setup!$A$33) &amp;" to " &amp; TEXT(IFERROR(INDEX('Overview - Section A'!$E$46:$E$53,MATCH(D$26,'Overview - Section A'!$B$46:$B$53,0)),""),Setup!$A$33))</f>
        <v>1-Jul-22 to 31-Dec-22</v>
      </c>
      <c r="I296" s="798" t="str">
        <f ca="1">IFERROR(IF(INDEX('WPTM - Section F'!V$1:V$100,MATCH('Print View'!$A293,'WPTM - Section F'!$A$1:$A$100,0))&lt;&gt;0,INDEX('WPTM - Section F'!V$1:V$100,MATCH('Print View'!$A293,'WPTM - Section F'!$A$1:$A$100,0)),""),"")</f>
        <v/>
      </c>
      <c r="J296" s="799"/>
      <c r="K296" s="799"/>
      <c r="L296" s="799"/>
      <c r="M296" s="800"/>
      <c r="N296" s="798" t="str">
        <f ca="1">IFERROR(IF(INDEX('WPTM - Section F'!W$1:W$100,MATCH('Print View'!$A293,'WPTM - Section F'!$A$1:$A$100,0))&lt;&gt;0,INDEX('WPTM - Section F'!W$1:W$100,MATCH('Print View'!$A293,'WPTM - Section F'!$A$1:$A$100,0)),""),"")</f>
        <v/>
      </c>
      <c r="O296" s="799"/>
      <c r="P296" s="799"/>
      <c r="Q296" s="799"/>
      <c r="R296" s="799"/>
      <c r="S296" s="799"/>
      <c r="T296" s="417"/>
      <c r="U296" s="216"/>
      <c r="V296" s="216"/>
      <c r="W296" s="216"/>
      <c r="X296" s="216"/>
      <c r="Y296" s="216"/>
      <c r="Z296" s="216"/>
      <c r="AA296" s="216"/>
      <c r="AB296" s="216"/>
      <c r="AC296" s="191"/>
      <c r="AD296" s="191"/>
      <c r="AE296" s="191"/>
      <c r="AF296" s="191"/>
      <c r="AG296" s="191"/>
      <c r="AH296" s="191"/>
      <c r="AI296" s="191"/>
      <c r="AJ296" s="191"/>
      <c r="AK296" s="191"/>
      <c r="AL296" s="191"/>
      <c r="AM296" s="191"/>
      <c r="AN296" s="191"/>
      <c r="AO296" s="191"/>
      <c r="AQ296" s="216"/>
      <c r="AR296" s="216"/>
      <c r="AS296" s="216"/>
      <c r="AT296" s="216"/>
      <c r="AU296" s="216"/>
      <c r="AV296" s="216"/>
      <c r="AW296" s="216"/>
      <c r="AX296" s="216"/>
      <c r="AY296" s="216"/>
      <c r="AZ296" s="216"/>
      <c r="BA296" s="216"/>
      <c r="BB296" s="216"/>
      <c r="BC296" s="216"/>
      <c r="BD296" s="216"/>
      <c r="BE296" s="216"/>
      <c r="BF296" s="216"/>
      <c r="BG296" s="216"/>
      <c r="BH296" s="216"/>
      <c r="BI296" s="216"/>
      <c r="BJ296" s="216"/>
      <c r="BK296" s="216"/>
      <c r="BL296" s="216"/>
      <c r="BM296" s="216"/>
      <c r="BN296" s="216"/>
      <c r="BO296" s="216"/>
      <c r="BP296" s="216"/>
      <c r="BQ296" s="216"/>
      <c r="BR296" s="216"/>
      <c r="BS296" s="216"/>
      <c r="BT296" s="216"/>
      <c r="BU296" s="216"/>
      <c r="BV296" s="216"/>
      <c r="BW296" s="216"/>
      <c r="BX296" s="216"/>
      <c r="BY296" s="216"/>
      <c r="BZ296" s="216"/>
      <c r="CA296" s="216"/>
      <c r="CB296" s="216"/>
      <c r="CC296" s="216"/>
      <c r="CD296" s="216"/>
      <c r="CE296" s="216"/>
      <c r="CF296" s="216"/>
      <c r="CG296" s="216"/>
      <c r="CH296" s="216"/>
    </row>
    <row r="297" spans="1:86" ht="60" customHeight="1" x14ac:dyDescent="0.3">
      <c r="A297" s="802">
        <v>77</v>
      </c>
      <c r="B297" s="805"/>
      <c r="C297" s="808" t="str">
        <f ca="1">IFERROR(IF(INDEX('WPTM - Section F'!C$1:C$100,MATCH('Print View'!$A297,'WPTM - Section F'!$A$1:$A$100,0))&lt;&gt;0,INDEX('WPTM - Section F'!C$1:C$100,MATCH('Print View'!$A297,'WPTM - Section F'!$A$1:$A$100,0)),""),"")</f>
        <v/>
      </c>
      <c r="D297" s="805"/>
      <c r="E297" s="805"/>
      <c r="F297" s="805"/>
      <c r="G297" s="808" t="str">
        <f ca="1">IFERROR(IF(INDEX('WPTM - Section F'!G$1:G$100,MATCH('Print View'!$A297,'WPTM - Section F'!$A$1:$A$100,0))&lt;&gt;0,INDEX('WPTM - Section F'!G$1:G$100,MATCH('Print View'!$A297,'WPTM - Section F'!$A$1:$A$100,0)),""),"")</f>
        <v/>
      </c>
      <c r="H297" s="427" t="str">
        <f ca="1">IF(IFERROR(INDEX('Overview - Section A'!$A$46:$A$53,MATCH(D$27,'Overview - Section A'!$B$46:$B$53,0)),"")="","",TEXT(IFERROR(INDEX('Overview - Section A'!$A$46:$A$53,MATCH(D$27,'Overview - Section A'!$B$46:$B$53,0)),""),Setup!$A$33) &amp;" to " &amp; TEXT(IFERROR(INDEX('Overview - Section A'!$E$46:$E$53,MATCH(D$27,'Overview - Section A'!$B$46:$B$53,0)),""),Setup!$A$33))</f>
        <v>1-Jan-23 to 30-Jun-23</v>
      </c>
      <c r="I297" s="798" t="str">
        <f ca="1">IFERROR(IF(INDEX('WPTM - Section F'!Z$1:Z$100,MATCH('Print View'!$A293,'WPTM - Section F'!$A$1:$A$100,0))&lt;&gt;0,INDEX('WPTM - Section F'!Z$1:Z$100,MATCH('Print View'!$A293,'WPTM - Section F'!$A$1:$A$100,0)),""),"")</f>
        <v/>
      </c>
      <c r="J297" s="799"/>
      <c r="K297" s="799"/>
      <c r="L297" s="799"/>
      <c r="M297" s="800"/>
      <c r="N297" s="798" t="str">
        <f ca="1">IFERROR(IF(INDEX('WPTM - Section F'!AA$1:AA$100,MATCH('Print View'!$A293,'WPTM - Section F'!$A$1:$A$100,0))&lt;&gt;0,INDEX('WPTM - Section F'!AA$1:AA$100,MATCH('Print View'!$A293,'WPTM - Section F'!$A$1:$A$100,0)),""),"")</f>
        <v/>
      </c>
      <c r="O297" s="799"/>
      <c r="P297" s="799"/>
      <c r="Q297" s="799"/>
      <c r="R297" s="799"/>
      <c r="S297" s="799"/>
      <c r="T297" s="417"/>
      <c r="U297" s="216"/>
      <c r="V297" s="216"/>
      <c r="W297" s="216"/>
      <c r="X297" s="216"/>
      <c r="Y297" s="216"/>
      <c r="Z297" s="216"/>
      <c r="AA297" s="216"/>
      <c r="AB297" s="216"/>
      <c r="AC297" s="191"/>
      <c r="AD297" s="191"/>
      <c r="AE297" s="191"/>
      <c r="AF297" s="191"/>
      <c r="AG297" s="191"/>
      <c r="AH297" s="191"/>
      <c r="AI297" s="191"/>
      <c r="AJ297" s="191"/>
      <c r="AK297" s="191"/>
      <c r="AL297" s="191"/>
      <c r="AM297" s="191"/>
      <c r="AN297" s="191"/>
      <c r="AO297" s="191"/>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16"/>
      <c r="BL297" s="216"/>
      <c r="BM297" s="216"/>
      <c r="BN297" s="216"/>
      <c r="BO297" s="216"/>
      <c r="BP297" s="216"/>
      <c r="BQ297" s="216"/>
      <c r="BR297" s="216"/>
      <c r="BS297" s="216"/>
      <c r="BT297" s="216"/>
      <c r="BU297" s="216"/>
      <c r="BV297" s="216"/>
      <c r="BW297" s="216"/>
      <c r="BX297" s="216"/>
      <c r="BY297" s="216"/>
      <c r="BZ297" s="216"/>
      <c r="CA297" s="216"/>
      <c r="CB297" s="216"/>
      <c r="CC297" s="216"/>
      <c r="CD297" s="216"/>
      <c r="CE297" s="216"/>
      <c r="CF297" s="216"/>
      <c r="CG297" s="216"/>
      <c r="CH297" s="216"/>
    </row>
    <row r="298" spans="1:86" ht="60" customHeight="1" x14ac:dyDescent="0.3">
      <c r="A298" s="802">
        <v>78</v>
      </c>
      <c r="B298" s="805"/>
      <c r="C298" s="808" t="str">
        <f ca="1">IFERROR(IF(INDEX('WPTM - Section F'!C$1:C$100,MATCH('Print View'!$A298,'WPTM - Section F'!$A$1:$A$100,0))&lt;&gt;0,INDEX('WPTM - Section F'!C$1:C$100,MATCH('Print View'!$A298,'WPTM - Section F'!$A$1:$A$100,0)),""),"")</f>
        <v/>
      </c>
      <c r="D298" s="805"/>
      <c r="E298" s="805"/>
      <c r="F298" s="805"/>
      <c r="G298" s="808" t="str">
        <f ca="1">IFERROR(IF(INDEX('WPTM - Section F'!G$1:G$100,MATCH('Print View'!$A298,'WPTM - Section F'!$A$1:$A$100,0))&lt;&gt;0,INDEX('WPTM - Section F'!G$1:G$100,MATCH('Print View'!$A298,'WPTM - Section F'!$A$1:$A$100,0)),""),"")</f>
        <v/>
      </c>
      <c r="H298" s="427" t="str">
        <f ca="1">IF(IFERROR(INDEX('Overview - Section A'!$A$46:$A$53,MATCH(D$28,'Overview - Section A'!$B$46:$B$53,0)),"")="","",TEXT(IFERROR(INDEX('Overview - Section A'!$A$46:$A$53,MATCH(D$28,'Overview - Section A'!$B$46:$B$53,0)),""),Setup!$A$33) &amp;" to " &amp; TEXT(IFERROR(INDEX('Overview - Section A'!$E$46:$E$53,MATCH(D$28,'Overview - Section A'!$B$46:$B$53,0)),""),Setup!$A$33))</f>
        <v>1-Jul-23 to 31-Dec-23</v>
      </c>
      <c r="I298" s="798" t="str">
        <f ca="1">IFERROR(IF(INDEX('WPTM - Section F'!AD$1:AD$100,MATCH('Print View'!$A293,'WPTM - Section F'!$A$1:$A$100,0))&lt;&gt;0,INDEX('WPTM - Section F'!AD$1:AD$100,MATCH('Print View'!$A293,'WPTM - Section F'!$A$1:$A$100,0)),""),"")</f>
        <v/>
      </c>
      <c r="J298" s="799"/>
      <c r="K298" s="799"/>
      <c r="L298" s="799"/>
      <c r="M298" s="800"/>
      <c r="N298" s="798" t="str">
        <f ca="1">IFERROR(IF(INDEX('WPTM - Section F'!AE$1:AE$100,MATCH('Print View'!$A293,'WPTM - Section F'!$A$1:$A$100,0))&lt;&gt;0,INDEX('WPTM - Section F'!AE$1:AE$100,MATCH('Print View'!$A293,'WPTM - Section F'!$A$1:$A$100,0)),""),"")</f>
        <v/>
      </c>
      <c r="O298" s="799"/>
      <c r="P298" s="799"/>
      <c r="Q298" s="799"/>
      <c r="R298" s="799"/>
      <c r="S298" s="799"/>
      <c r="T298" s="417"/>
      <c r="U298" s="216"/>
      <c r="V298" s="216"/>
      <c r="W298" s="216"/>
      <c r="X298" s="216"/>
      <c r="Y298" s="216"/>
      <c r="Z298" s="216"/>
      <c r="AA298" s="216"/>
      <c r="AB298" s="216"/>
      <c r="AC298" s="191"/>
      <c r="AD298" s="191"/>
      <c r="AE298" s="191"/>
      <c r="AF298" s="191"/>
      <c r="AG298" s="191"/>
      <c r="AH298" s="191"/>
      <c r="AI298" s="191"/>
      <c r="AJ298" s="191"/>
      <c r="AK298" s="191"/>
      <c r="AL298" s="191"/>
      <c r="AM298" s="191"/>
      <c r="AN298" s="191"/>
      <c r="AO298" s="191"/>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16"/>
      <c r="BL298" s="216"/>
      <c r="BM298" s="216"/>
      <c r="BN298" s="216"/>
      <c r="BO298" s="216"/>
      <c r="BP298" s="216"/>
      <c r="BQ298" s="216"/>
      <c r="BR298" s="216"/>
      <c r="BS298" s="216"/>
      <c r="BT298" s="216"/>
      <c r="BU298" s="216"/>
      <c r="BV298" s="216"/>
      <c r="BW298" s="216"/>
      <c r="BX298" s="216"/>
      <c r="BY298" s="216"/>
      <c r="BZ298" s="216"/>
      <c r="CA298" s="216"/>
      <c r="CB298" s="216"/>
      <c r="CC298" s="216"/>
      <c r="CD298" s="216"/>
      <c r="CE298" s="216"/>
      <c r="CF298" s="216"/>
      <c r="CG298" s="216"/>
      <c r="CH298" s="216"/>
    </row>
    <row r="299" spans="1:86" ht="60" customHeight="1" x14ac:dyDescent="0.3">
      <c r="A299" s="802">
        <v>79</v>
      </c>
      <c r="B299" s="806"/>
      <c r="C299" s="809" t="str">
        <f ca="1">IFERROR(IF(INDEX('WPTM - Section F'!C$1:C$100,MATCH('Print View'!$A299,'WPTM - Section F'!$A$1:$A$100,0))&lt;&gt;0,INDEX('WPTM - Section F'!C$1:C$100,MATCH('Print View'!$A299,'WPTM - Section F'!$A$1:$A$100,0)),""),"")</f>
        <v/>
      </c>
      <c r="D299" s="806"/>
      <c r="E299" s="806"/>
      <c r="F299" s="806"/>
      <c r="G299" s="809" t="str">
        <f ca="1">IFERROR(IF(INDEX('WPTM - Section F'!G$1:G$100,MATCH('Print View'!$A299,'WPTM - Section F'!$A$1:$A$100,0))&lt;&gt;0,INDEX('WPTM - Section F'!G$1:G$100,MATCH('Print View'!$A299,'WPTM - Section F'!$A$1:$A$100,0)),""),"")</f>
        <v/>
      </c>
      <c r="H299" s="427" t="str">
        <f>IF(IFERROR(INDEX('Overview - Section A'!$A$46:$A$53,MATCH(D$29,'Overview - Section A'!$B$46:$B$53,0)),"")="","",TEXT(IFERROR(INDEX('Overview - Section A'!$A$46:$A$53,MATCH(D$29,'Overview - Section A'!$B$46:$B$53,0)),""),Setup!$A$33) &amp;" to " &amp; TEXT(IFERROR(INDEX('Overview - Section A'!$E$46:$E$53,MATCH(D$29,'Overview - Section A'!$B$46:$B$53,0)),""),Setup!$A$33))</f>
        <v/>
      </c>
      <c r="I299" s="798" t="str">
        <f ca="1">IFERROR(IF(INDEX('WPTM - Section F'!AH$1:AH$100,MATCH('Print View'!$A293,'WPTM - Section F'!$A$1:$A$100,0))&lt;&gt;0,INDEX('WPTM - Section F'!AH$1:AH$100,MATCH('Print View'!$A293,'WPTM - Section F'!$A$1:$A$100,0)),""),"")</f>
        <v/>
      </c>
      <c r="J299" s="799"/>
      <c r="K299" s="799"/>
      <c r="L299" s="799"/>
      <c r="M299" s="800"/>
      <c r="N299" s="798" t="str">
        <f ca="1">IFERROR(IF(INDEX('WPTM - Section F'!AI$1:AI$100,MATCH('Print View'!$A293,'WPTM - Section F'!$A$1:$A$100,0))&lt;&gt;0,INDEX('WPTM - Section F'!AI$1:AI$100,MATCH('Print View'!$A293,'WPTM - Section F'!$A$1:$A$100,0)),""),"")</f>
        <v/>
      </c>
      <c r="O299" s="799"/>
      <c r="P299" s="799"/>
      <c r="Q299" s="799"/>
      <c r="R299" s="799"/>
      <c r="S299" s="799"/>
      <c r="T299" s="417"/>
      <c r="U299" s="216"/>
      <c r="V299" s="216"/>
      <c r="W299" s="216"/>
      <c r="X299" s="216"/>
      <c r="Y299" s="216"/>
      <c r="Z299" s="216"/>
      <c r="AA299" s="216"/>
      <c r="AB299" s="216"/>
      <c r="AC299" s="191"/>
      <c r="AD299" s="191"/>
      <c r="AE299" s="191"/>
      <c r="AF299" s="191"/>
      <c r="AG299" s="191"/>
      <c r="AH299" s="191"/>
      <c r="AI299" s="191"/>
      <c r="AJ299" s="191"/>
      <c r="AK299" s="191"/>
      <c r="AL299" s="191"/>
      <c r="AM299" s="191"/>
      <c r="AN299" s="191"/>
      <c r="AO299" s="191"/>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16"/>
      <c r="BL299" s="216"/>
      <c r="BM299" s="216"/>
      <c r="BN299" s="216"/>
      <c r="BO299" s="216"/>
      <c r="BP299" s="216"/>
      <c r="BQ299" s="216"/>
      <c r="BR299" s="216"/>
      <c r="BS299" s="216"/>
      <c r="BT299" s="216"/>
      <c r="BU299" s="216"/>
      <c r="BV299" s="216"/>
      <c r="BW299" s="216"/>
      <c r="BX299" s="216"/>
      <c r="BY299" s="216"/>
      <c r="BZ299" s="216"/>
      <c r="CA299" s="216"/>
      <c r="CB299" s="216"/>
      <c r="CC299" s="216"/>
      <c r="CD299" s="216"/>
      <c r="CE299" s="216"/>
      <c r="CF299" s="216"/>
      <c r="CG299" s="216"/>
      <c r="CH299" s="216"/>
    </row>
    <row r="300" spans="1:86" ht="60" customHeight="1" x14ac:dyDescent="0.55000000000000004">
      <c r="A300" s="803">
        <v>80</v>
      </c>
      <c r="B300" s="813" t="str">
        <f ca="1">IFERROR(IF(INDEX('WPTM - Section F'!AV$1:AV$100,MATCH('Print View'!$A293,'WPTM - Section F'!$A$1:$A$100,0))&lt;&gt;0,INDEX('WPTM - Section F'!AV$1:AV$100,MATCH('Print View'!$A293,'WPTM - Section F'!$A$1:$A$100,0)),""),"")</f>
        <v/>
      </c>
      <c r="C300" s="814"/>
      <c r="D300" s="814"/>
      <c r="E300" s="814"/>
      <c r="F300" s="814"/>
      <c r="G300" s="814"/>
      <c r="H300" s="814"/>
      <c r="I300" s="814"/>
      <c r="J300" s="814"/>
      <c r="K300" s="814"/>
      <c r="L300" s="814"/>
      <c r="M300" s="814"/>
      <c r="N300" s="814"/>
      <c r="O300" s="814"/>
      <c r="P300" s="814"/>
      <c r="Q300" s="814"/>
      <c r="R300" s="814"/>
      <c r="S300" s="815"/>
      <c r="T300" s="417"/>
      <c r="U300" s="216"/>
      <c r="V300" s="216"/>
      <c r="W300" s="216"/>
      <c r="X300" s="216"/>
      <c r="Y300" s="216"/>
      <c r="Z300" s="216"/>
      <c r="AA300" s="216"/>
      <c r="AB300" s="216"/>
      <c r="AC300" s="191"/>
      <c r="AD300" s="191"/>
      <c r="AE300" s="191"/>
      <c r="AF300" s="191"/>
      <c r="AG300" s="191"/>
      <c r="AH300" s="191"/>
      <c r="AI300" s="191"/>
      <c r="AJ300" s="191"/>
      <c r="AK300" s="191"/>
      <c r="AL300" s="191"/>
      <c r="AM300" s="191"/>
      <c r="AN300" s="191"/>
      <c r="AO300" s="191"/>
      <c r="AQ300" s="216"/>
      <c r="AR300" s="216"/>
      <c r="AS300" s="216"/>
      <c r="AT300" s="216"/>
      <c r="AU300" s="216"/>
      <c r="AV300" s="216"/>
      <c r="AW300" s="216"/>
      <c r="AX300" s="216"/>
      <c r="AY300" s="216"/>
      <c r="AZ300" s="216"/>
      <c r="BA300" s="216"/>
      <c r="BB300" s="216"/>
      <c r="BC300" s="216"/>
      <c r="BD300" s="216"/>
      <c r="BE300" s="216"/>
      <c r="BF300" s="216"/>
      <c r="BG300" s="216"/>
      <c r="BH300" s="216"/>
      <c r="BI300" s="216"/>
      <c r="BJ300" s="216"/>
      <c r="BK300" s="216"/>
      <c r="BL300" s="216"/>
      <c r="BM300" s="216"/>
      <c r="BN300" s="216"/>
      <c r="BO300" s="216"/>
      <c r="BP300" s="216"/>
      <c r="BQ300" s="216"/>
      <c r="BR300" s="216"/>
      <c r="BS300" s="216"/>
      <c r="BT300" s="216"/>
      <c r="BU300" s="216"/>
      <c r="BV300" s="216"/>
      <c r="BW300" s="216"/>
      <c r="BX300" s="216"/>
      <c r="BY300" s="216"/>
      <c r="BZ300" s="216"/>
      <c r="CA300" s="216"/>
      <c r="CB300" s="216"/>
      <c r="CC300" s="216"/>
      <c r="CD300" s="216"/>
      <c r="CE300" s="216"/>
      <c r="CF300" s="216"/>
      <c r="CG300" s="216"/>
      <c r="CH300" s="216"/>
    </row>
    <row r="301" spans="1:86" x14ac:dyDescent="0.3">
      <c r="A301" s="418"/>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Q301" s="216"/>
      <c r="AR301" s="216"/>
      <c r="AS301" s="216"/>
      <c r="AT301" s="218"/>
      <c r="AU301" s="366"/>
      <c r="AV301" s="366"/>
      <c r="AW301" s="366"/>
      <c r="AX301" s="366"/>
      <c r="AY301" s="366"/>
      <c r="AZ301" s="366"/>
      <c r="BA301" s="366"/>
      <c r="BB301" s="366"/>
      <c r="BC301" s="366"/>
      <c r="BD301" s="216"/>
      <c r="BE301" s="216"/>
      <c r="BF301" s="216"/>
      <c r="BG301" s="216"/>
      <c r="BH301" s="216"/>
      <c r="BI301" s="216"/>
      <c r="BJ301" s="216"/>
      <c r="BK301" s="216"/>
      <c r="BL301" s="216"/>
      <c r="BM301" s="216"/>
      <c r="BN301" s="216"/>
      <c r="BO301" s="216"/>
      <c r="BP301" s="216"/>
      <c r="BQ301" s="216"/>
      <c r="BR301" s="216"/>
      <c r="BS301" s="216"/>
      <c r="BT301" s="216"/>
      <c r="BU301" s="216"/>
      <c r="BV301" s="216"/>
      <c r="BW301" s="216"/>
      <c r="BX301" s="216"/>
      <c r="BY301" s="216"/>
      <c r="BZ301" s="216"/>
      <c r="CA301" s="216"/>
      <c r="CB301" s="216"/>
      <c r="CC301" s="216"/>
      <c r="CD301" s="216"/>
      <c r="CE301" s="216"/>
      <c r="CF301" s="216"/>
      <c r="CG301" s="216"/>
      <c r="CH301" s="216"/>
    </row>
    <row r="302" spans="1:86" x14ac:dyDescent="0.3">
      <c r="A302" s="418"/>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Q302" s="216"/>
      <c r="AR302" s="216"/>
      <c r="AS302" s="216"/>
      <c r="AT302" s="218"/>
      <c r="AU302" s="366"/>
      <c r="AV302" s="366"/>
      <c r="AW302" s="366"/>
      <c r="AX302" s="366"/>
      <c r="AY302" s="366"/>
      <c r="AZ302" s="366"/>
      <c r="BA302" s="366"/>
      <c r="BB302" s="366"/>
      <c r="BC302" s="366"/>
      <c r="BD302" s="216"/>
      <c r="BE302" s="216"/>
      <c r="BF302" s="216"/>
      <c r="BG302" s="216"/>
      <c r="BH302" s="216"/>
      <c r="BI302" s="216"/>
      <c r="BJ302" s="216"/>
      <c r="BK302" s="216"/>
      <c r="BL302" s="216"/>
      <c r="BM302" s="216"/>
      <c r="BN302" s="216"/>
      <c r="BO302" s="216"/>
      <c r="BP302" s="216"/>
      <c r="BQ302" s="216"/>
      <c r="BR302" s="216"/>
      <c r="BS302" s="216"/>
      <c r="BT302" s="216"/>
      <c r="BU302" s="216"/>
      <c r="BV302" s="216"/>
      <c r="BW302" s="216"/>
      <c r="BX302" s="216"/>
      <c r="BY302" s="216"/>
      <c r="BZ302" s="216"/>
      <c r="CA302" s="216"/>
      <c r="CB302" s="216"/>
      <c r="CC302" s="216"/>
      <c r="CD302" s="216"/>
      <c r="CE302" s="216"/>
      <c r="CF302" s="216"/>
      <c r="CG302" s="216"/>
      <c r="CH302" s="216"/>
    </row>
    <row r="303" spans="1:86" x14ac:dyDescent="0.3">
      <c r="A303" s="418"/>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Q303" s="216"/>
      <c r="AR303" s="216"/>
      <c r="AS303" s="216"/>
      <c r="AT303" s="218"/>
      <c r="AU303" s="366"/>
      <c r="AV303" s="366"/>
      <c r="AW303" s="366"/>
      <c r="AX303" s="366"/>
      <c r="AY303" s="366"/>
      <c r="AZ303" s="366"/>
      <c r="BA303" s="366"/>
      <c r="BB303" s="366"/>
      <c r="BC303" s="366"/>
      <c r="BD303" s="216"/>
      <c r="BE303" s="216"/>
      <c r="BF303" s="216"/>
      <c r="BG303" s="216"/>
      <c r="BH303" s="216"/>
      <c r="BI303" s="216"/>
      <c r="BJ303" s="216"/>
      <c r="BK303" s="216"/>
      <c r="BL303" s="216"/>
      <c r="BM303" s="216"/>
      <c r="BN303" s="216"/>
      <c r="BO303" s="216"/>
      <c r="BP303" s="216"/>
      <c r="BQ303" s="216"/>
      <c r="BR303" s="216"/>
      <c r="BS303" s="216"/>
      <c r="BT303" s="216"/>
      <c r="BU303" s="216"/>
      <c r="BV303" s="216"/>
      <c r="BW303" s="216"/>
      <c r="BX303" s="216"/>
      <c r="BY303" s="216"/>
      <c r="BZ303" s="216"/>
      <c r="CA303" s="216"/>
      <c r="CB303" s="216"/>
      <c r="CC303" s="216"/>
      <c r="CD303" s="216"/>
      <c r="CE303" s="216"/>
      <c r="CF303" s="216"/>
      <c r="CG303" s="216"/>
      <c r="CH303" s="216"/>
    </row>
    <row r="304" spans="1:86" x14ac:dyDescent="0.3">
      <c r="A304" s="418"/>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Q304" s="216"/>
      <c r="AR304" s="216"/>
      <c r="AS304" s="216"/>
      <c r="AT304" s="218"/>
      <c r="AU304" s="366"/>
      <c r="AV304" s="366"/>
      <c r="AW304" s="366"/>
      <c r="AX304" s="366"/>
      <c r="AY304" s="366"/>
      <c r="AZ304" s="366"/>
      <c r="BA304" s="366"/>
      <c r="BB304" s="366"/>
      <c r="BC304" s="366"/>
      <c r="BD304" s="216"/>
      <c r="BE304" s="216"/>
      <c r="BF304" s="216"/>
      <c r="BG304" s="216"/>
      <c r="BH304" s="216"/>
      <c r="BI304" s="216"/>
      <c r="BJ304" s="216"/>
      <c r="BK304" s="216"/>
      <c r="BL304" s="216"/>
      <c r="BM304" s="216"/>
      <c r="BN304" s="216"/>
      <c r="BO304" s="216"/>
      <c r="BP304" s="216"/>
      <c r="BQ304" s="216"/>
      <c r="BR304" s="216"/>
      <c r="BS304" s="216"/>
      <c r="BT304" s="216"/>
      <c r="BU304" s="216"/>
      <c r="BV304" s="216"/>
      <c r="BW304" s="216"/>
      <c r="BX304" s="216"/>
      <c r="BY304" s="216"/>
      <c r="BZ304" s="216"/>
      <c r="CA304" s="216"/>
      <c r="CB304" s="216"/>
      <c r="CC304" s="216"/>
      <c r="CD304" s="216"/>
      <c r="CE304" s="216"/>
      <c r="CF304" s="216"/>
      <c r="CG304" s="216"/>
      <c r="CH304" s="216"/>
    </row>
    <row r="305" spans="1:86" x14ac:dyDescent="0.3">
      <c r="A305" s="418"/>
      <c r="V305" s="216"/>
      <c r="W305" s="216"/>
      <c r="X305" s="216"/>
      <c r="Y305" s="216"/>
      <c r="Z305" s="216"/>
      <c r="AA305" s="216"/>
      <c r="AB305" s="216"/>
      <c r="AC305" s="216"/>
      <c r="AD305" s="216"/>
      <c r="AE305" s="216"/>
      <c r="AF305" s="216"/>
      <c r="AG305" s="216"/>
      <c r="AH305" s="216"/>
      <c r="AI305" s="216"/>
      <c r="AJ305" s="216"/>
      <c r="AK305" s="216"/>
      <c r="AL305" s="216"/>
      <c r="AM305" s="216"/>
      <c r="AN305" s="216"/>
      <c r="AO305" s="216"/>
      <c r="AQ305" s="216"/>
      <c r="AR305" s="216"/>
      <c r="AS305" s="216"/>
      <c r="AT305" s="218"/>
      <c r="AU305" s="366"/>
      <c r="AV305" s="366"/>
      <c r="AW305" s="366"/>
      <c r="AX305" s="366"/>
      <c r="AY305" s="366"/>
      <c r="AZ305" s="366"/>
      <c r="BA305" s="366"/>
      <c r="BB305" s="366"/>
      <c r="BC305" s="366"/>
      <c r="BD305" s="216"/>
      <c r="BE305" s="216"/>
      <c r="BF305" s="216"/>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216"/>
      <c r="CF305" s="216"/>
      <c r="CG305" s="216"/>
      <c r="CH305" s="216"/>
    </row>
    <row r="306" spans="1:86" x14ac:dyDescent="0.3">
      <c r="A306" s="418"/>
      <c r="V306" s="216"/>
      <c r="W306" s="216"/>
      <c r="X306" s="216"/>
      <c r="Y306" s="216"/>
      <c r="Z306" s="216"/>
      <c r="AA306" s="216"/>
      <c r="AB306" s="216"/>
      <c r="AC306" s="216"/>
      <c r="AD306" s="216"/>
      <c r="AE306" s="216"/>
      <c r="AF306" s="216"/>
      <c r="AG306" s="216"/>
      <c r="AH306" s="216"/>
      <c r="AI306" s="216"/>
      <c r="AJ306" s="216"/>
      <c r="AK306" s="216"/>
      <c r="AL306" s="216"/>
      <c r="AM306" s="216"/>
      <c r="AN306" s="216"/>
      <c r="AO306" s="216"/>
      <c r="AQ306" s="216"/>
      <c r="AR306" s="216"/>
      <c r="AS306" s="216"/>
      <c r="AT306" s="218"/>
      <c r="AU306" s="366"/>
      <c r="AV306" s="366"/>
      <c r="AW306" s="366"/>
      <c r="AX306" s="366"/>
      <c r="AY306" s="366"/>
      <c r="AZ306" s="366"/>
      <c r="BA306" s="366"/>
      <c r="BB306" s="366"/>
      <c r="BC306" s="366"/>
      <c r="BD306" s="216"/>
      <c r="BE306" s="216"/>
      <c r="BF306" s="216"/>
      <c r="BG306" s="216"/>
      <c r="BH306" s="216"/>
      <c r="BI306" s="216"/>
      <c r="BJ306" s="216"/>
      <c r="BK306" s="216"/>
      <c r="BL306" s="216"/>
      <c r="BM306" s="216"/>
      <c r="BN306" s="216"/>
      <c r="BO306" s="216"/>
      <c r="BP306" s="216"/>
      <c r="BQ306" s="216"/>
      <c r="BR306" s="216"/>
      <c r="BS306" s="216"/>
      <c r="BT306" s="216"/>
      <c r="BU306" s="216"/>
      <c r="BV306" s="216"/>
      <c r="BW306" s="216"/>
      <c r="BX306" s="216"/>
      <c r="BY306" s="216"/>
      <c r="BZ306" s="216"/>
      <c r="CA306" s="216"/>
      <c r="CB306" s="216"/>
      <c r="CC306" s="216"/>
      <c r="CD306" s="216"/>
      <c r="CE306" s="216"/>
      <c r="CF306" s="216"/>
      <c r="CG306" s="216"/>
      <c r="CH306" s="216"/>
    </row>
    <row r="307" spans="1:86" x14ac:dyDescent="0.3">
      <c r="A307" s="418"/>
      <c r="V307" s="216"/>
      <c r="W307" s="216"/>
      <c r="X307" s="216"/>
      <c r="Y307" s="216"/>
      <c r="Z307" s="216"/>
      <c r="AA307" s="216"/>
      <c r="AB307" s="216"/>
      <c r="AC307" s="216"/>
      <c r="AD307" s="216"/>
      <c r="AE307" s="216"/>
      <c r="AF307" s="216"/>
      <c r="AG307" s="216"/>
      <c r="AH307" s="216"/>
      <c r="AI307" s="216"/>
      <c r="AJ307" s="216"/>
      <c r="AK307" s="216"/>
      <c r="AL307" s="216"/>
      <c r="AM307" s="216"/>
      <c r="AN307" s="216"/>
      <c r="AO307" s="216"/>
      <c r="AQ307" s="216"/>
      <c r="AR307" s="216"/>
      <c r="AS307" s="216"/>
      <c r="AT307" s="218"/>
      <c r="AU307" s="366"/>
      <c r="AV307" s="366"/>
      <c r="AW307" s="366"/>
      <c r="AX307" s="366"/>
      <c r="AY307" s="366"/>
      <c r="AZ307" s="366"/>
      <c r="BA307" s="366"/>
      <c r="BB307" s="366"/>
      <c r="BC307" s="366"/>
      <c r="BD307" s="216"/>
      <c r="BE307" s="216"/>
      <c r="BF307" s="216"/>
      <c r="BG307" s="216"/>
      <c r="BH307" s="216"/>
      <c r="BI307" s="216"/>
      <c r="BJ307" s="216"/>
      <c r="BK307" s="216"/>
      <c r="BL307" s="216"/>
      <c r="BM307" s="216"/>
      <c r="BN307" s="216"/>
      <c r="BO307" s="216"/>
      <c r="BP307" s="216"/>
      <c r="BQ307" s="216"/>
      <c r="BR307" s="216"/>
      <c r="BS307" s="216"/>
      <c r="BT307" s="216"/>
      <c r="BU307" s="216"/>
      <c r="BV307" s="216"/>
      <c r="BW307" s="216"/>
      <c r="BX307" s="216"/>
      <c r="BY307" s="216"/>
      <c r="BZ307" s="216"/>
      <c r="CA307" s="216"/>
      <c r="CB307" s="216"/>
      <c r="CC307" s="216"/>
      <c r="CD307" s="216"/>
      <c r="CE307" s="216"/>
      <c r="CF307" s="216"/>
      <c r="CG307" s="216"/>
      <c r="CH307" s="216"/>
    </row>
    <row r="308" spans="1:86" x14ac:dyDescent="0.3">
      <c r="A308" s="418"/>
      <c r="V308" s="216"/>
      <c r="W308" s="216"/>
      <c r="X308" s="216"/>
      <c r="Y308" s="216"/>
      <c r="Z308" s="216"/>
      <c r="AA308" s="216"/>
      <c r="AB308" s="216"/>
      <c r="AC308" s="216"/>
      <c r="AD308" s="216"/>
      <c r="AE308" s="216"/>
      <c r="AF308" s="216"/>
      <c r="AG308" s="216"/>
      <c r="AH308" s="216"/>
      <c r="AI308" s="216"/>
      <c r="AJ308" s="216"/>
      <c r="AK308" s="216"/>
      <c r="AL308" s="216"/>
      <c r="AM308" s="216"/>
      <c r="AN308" s="216"/>
      <c r="AO308" s="216"/>
      <c r="AQ308" s="216"/>
      <c r="AR308" s="216"/>
      <c r="AS308" s="216"/>
      <c r="AT308" s="218"/>
      <c r="AU308" s="366"/>
      <c r="AV308" s="366"/>
      <c r="AW308" s="366"/>
      <c r="AX308" s="366"/>
      <c r="AY308" s="366"/>
      <c r="AZ308" s="366"/>
      <c r="BA308" s="366"/>
      <c r="BB308" s="366"/>
      <c r="BC308" s="366"/>
      <c r="BD308" s="216"/>
      <c r="BE308" s="216"/>
      <c r="BF308" s="216"/>
      <c r="BG308" s="216"/>
      <c r="BH308" s="216"/>
      <c r="BI308" s="216"/>
      <c r="BJ308" s="216"/>
      <c r="BK308" s="216"/>
      <c r="BL308" s="216"/>
      <c r="BM308" s="216"/>
      <c r="BN308" s="216"/>
      <c r="BO308" s="216"/>
      <c r="BP308" s="216"/>
      <c r="BQ308" s="216"/>
      <c r="BR308" s="216"/>
      <c r="BS308" s="216"/>
      <c r="BT308" s="216"/>
      <c r="BU308" s="216"/>
      <c r="BV308" s="216"/>
      <c r="BW308" s="216"/>
      <c r="BX308" s="216"/>
      <c r="BY308" s="216"/>
      <c r="BZ308" s="216"/>
      <c r="CA308" s="216"/>
      <c r="CB308" s="216"/>
      <c r="CC308" s="216"/>
      <c r="CD308" s="216"/>
      <c r="CE308" s="216"/>
      <c r="CF308" s="216"/>
      <c r="CG308" s="216"/>
      <c r="CH308" s="216"/>
    </row>
    <row r="309" spans="1:86" x14ac:dyDescent="0.3">
      <c r="A309" s="418"/>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Q309" s="216"/>
      <c r="AR309" s="216"/>
      <c r="AS309" s="216"/>
      <c r="AT309" s="218"/>
      <c r="AU309" s="366"/>
      <c r="AV309" s="366"/>
      <c r="AW309" s="366"/>
      <c r="AX309" s="366"/>
      <c r="AY309" s="366"/>
      <c r="AZ309" s="366"/>
      <c r="BA309" s="366"/>
      <c r="BB309" s="366"/>
      <c r="BC309" s="366"/>
      <c r="BD309" s="216"/>
      <c r="BE309" s="216"/>
      <c r="BF309" s="216"/>
      <c r="BG309" s="216"/>
      <c r="BH309" s="216"/>
      <c r="BI309" s="216"/>
      <c r="BJ309" s="216"/>
      <c r="BK309" s="216"/>
      <c r="BL309" s="216"/>
      <c r="BM309" s="216"/>
      <c r="BN309" s="216"/>
      <c r="BO309" s="216"/>
      <c r="BP309" s="216"/>
      <c r="BQ309" s="216"/>
      <c r="BR309" s="216"/>
      <c r="BS309" s="216"/>
      <c r="BT309" s="216"/>
      <c r="BU309" s="216"/>
      <c r="BV309" s="216"/>
      <c r="BW309" s="216"/>
      <c r="BX309" s="216"/>
      <c r="BY309" s="216"/>
      <c r="BZ309" s="216"/>
      <c r="CA309" s="216"/>
      <c r="CB309" s="216"/>
      <c r="CC309" s="216"/>
      <c r="CD309" s="216"/>
      <c r="CE309" s="216"/>
      <c r="CF309" s="216"/>
      <c r="CG309" s="216"/>
      <c r="CH309" s="216"/>
    </row>
    <row r="310" spans="1:86" x14ac:dyDescent="0.3">
      <c r="A310" s="418"/>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Q310" s="216"/>
      <c r="AR310" s="216"/>
      <c r="AS310" s="216"/>
      <c r="AT310" s="218"/>
      <c r="AU310" s="366"/>
      <c r="AV310" s="366"/>
      <c r="AW310" s="366"/>
      <c r="AX310" s="366"/>
      <c r="AY310" s="366"/>
      <c r="AZ310" s="366"/>
      <c r="BA310" s="366"/>
      <c r="BB310" s="366"/>
      <c r="BC310" s="366"/>
      <c r="BD310" s="216"/>
      <c r="BE310" s="216"/>
      <c r="BF310" s="216"/>
      <c r="BG310" s="216"/>
      <c r="BH310" s="216"/>
      <c r="BI310" s="216"/>
      <c r="BJ310" s="216"/>
      <c r="BK310" s="216"/>
      <c r="BL310" s="216"/>
      <c r="BM310" s="216"/>
      <c r="BN310" s="216"/>
      <c r="BO310" s="216"/>
      <c r="BP310" s="216"/>
      <c r="BQ310" s="216"/>
      <c r="BR310" s="216"/>
      <c r="BS310" s="216"/>
      <c r="BT310" s="216"/>
      <c r="BU310" s="216"/>
      <c r="BV310" s="216"/>
      <c r="BW310" s="216"/>
      <c r="BX310" s="216"/>
      <c r="BY310" s="216"/>
      <c r="BZ310" s="216"/>
      <c r="CA310" s="216"/>
      <c r="CB310" s="216"/>
      <c r="CC310" s="216"/>
      <c r="CD310" s="216"/>
      <c r="CE310" s="216"/>
      <c r="CF310" s="216"/>
      <c r="CG310" s="216"/>
      <c r="CH310" s="216"/>
    </row>
    <row r="311" spans="1:86" x14ac:dyDescent="0.3">
      <c r="A311" s="418"/>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Q311" s="216"/>
      <c r="AR311" s="216"/>
      <c r="AS311" s="216"/>
      <c r="AT311" s="218"/>
      <c r="AU311" s="366"/>
      <c r="AV311" s="366"/>
      <c r="AW311" s="366"/>
      <c r="AX311" s="366"/>
      <c r="AY311" s="366"/>
      <c r="AZ311" s="366"/>
      <c r="BA311" s="366"/>
      <c r="BB311" s="366"/>
      <c r="BC311" s="366"/>
      <c r="BD311" s="216"/>
      <c r="BE311" s="216"/>
      <c r="BF311" s="216"/>
      <c r="BG311" s="216"/>
      <c r="BH311" s="216"/>
      <c r="BI311" s="216"/>
      <c r="BJ311" s="216"/>
      <c r="BK311" s="216"/>
      <c r="BL311" s="216"/>
      <c r="BM311" s="216"/>
      <c r="BN311" s="216"/>
      <c r="BO311" s="216"/>
      <c r="BP311" s="216"/>
      <c r="BQ311" s="216"/>
      <c r="BR311" s="216"/>
      <c r="BS311" s="216"/>
      <c r="BT311" s="216"/>
      <c r="BU311" s="216"/>
      <c r="BV311" s="216"/>
      <c r="BW311" s="216"/>
      <c r="BX311" s="216"/>
      <c r="BY311" s="216"/>
      <c r="BZ311" s="216"/>
      <c r="CA311" s="216"/>
      <c r="CB311" s="216"/>
      <c r="CC311" s="216"/>
      <c r="CD311" s="216"/>
      <c r="CE311" s="216"/>
      <c r="CF311" s="216"/>
      <c r="CG311" s="216"/>
      <c r="CH311" s="216"/>
    </row>
    <row r="312" spans="1:86" x14ac:dyDescent="0.3">
      <c r="A312" s="418"/>
      <c r="V312" s="216"/>
      <c r="W312" s="216"/>
      <c r="X312" s="216"/>
      <c r="Y312" s="216"/>
      <c r="Z312" s="216"/>
      <c r="AA312" s="216"/>
      <c r="AB312" s="216"/>
      <c r="AC312" s="216"/>
      <c r="AD312" s="216"/>
      <c r="AE312" s="216"/>
      <c r="AF312" s="216"/>
      <c r="AG312" s="216"/>
      <c r="AH312" s="216"/>
      <c r="AI312" s="216"/>
      <c r="AJ312" s="216"/>
      <c r="AK312" s="216"/>
      <c r="AL312" s="216"/>
      <c r="AM312" s="216"/>
      <c r="AN312" s="216"/>
      <c r="AO312" s="216"/>
      <c r="AQ312" s="216"/>
      <c r="AR312" s="216"/>
      <c r="AS312" s="216"/>
      <c r="AT312" s="218"/>
      <c r="AU312" s="366"/>
      <c r="AV312" s="366"/>
      <c r="AW312" s="366"/>
      <c r="AX312" s="366"/>
      <c r="AY312" s="366"/>
      <c r="AZ312" s="366"/>
      <c r="BA312" s="366"/>
      <c r="BB312" s="366"/>
      <c r="BC312" s="366"/>
      <c r="BD312" s="216"/>
      <c r="BE312" s="216"/>
      <c r="BF312" s="216"/>
      <c r="BG312" s="216"/>
      <c r="BH312" s="216"/>
      <c r="BI312" s="216"/>
      <c r="BJ312" s="216"/>
      <c r="BK312" s="216"/>
      <c r="BL312" s="216"/>
      <c r="BM312" s="216"/>
      <c r="BN312" s="216"/>
      <c r="BO312" s="216"/>
      <c r="BP312" s="216"/>
      <c r="BQ312" s="216"/>
      <c r="BR312" s="216"/>
      <c r="BS312" s="216"/>
      <c r="BT312" s="216"/>
      <c r="BU312" s="216"/>
      <c r="BV312" s="216"/>
      <c r="BW312" s="216"/>
      <c r="BX312" s="216"/>
      <c r="BY312" s="216"/>
      <c r="BZ312" s="216"/>
      <c r="CA312" s="216"/>
      <c r="CB312" s="216"/>
      <c r="CC312" s="216"/>
      <c r="CD312" s="216"/>
      <c r="CE312" s="216"/>
      <c r="CF312" s="216"/>
      <c r="CG312" s="216"/>
      <c r="CH312" s="216"/>
    </row>
    <row r="313" spans="1:86" x14ac:dyDescent="0.3">
      <c r="A313" s="418"/>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Q313" s="216"/>
      <c r="AR313" s="216"/>
      <c r="AS313" s="216"/>
      <c r="AT313" s="218"/>
      <c r="AU313" s="366"/>
      <c r="AV313" s="366"/>
      <c r="AW313" s="366"/>
      <c r="AX313" s="366"/>
      <c r="AY313" s="366"/>
      <c r="AZ313" s="366"/>
      <c r="BA313" s="366"/>
      <c r="BB313" s="366"/>
      <c r="BC313" s="366"/>
      <c r="BD313" s="216"/>
      <c r="BE313" s="216"/>
      <c r="BF313" s="216"/>
      <c r="BG313" s="216"/>
      <c r="BH313" s="216"/>
      <c r="BI313" s="216"/>
      <c r="BJ313" s="216"/>
      <c r="BK313" s="216"/>
      <c r="BL313" s="216"/>
      <c r="BM313" s="216"/>
      <c r="BN313" s="216"/>
      <c r="BO313" s="216"/>
      <c r="BP313" s="216"/>
      <c r="BQ313" s="216"/>
      <c r="BR313" s="216"/>
      <c r="BS313" s="216"/>
      <c r="BT313" s="216"/>
      <c r="BU313" s="216"/>
      <c r="BV313" s="216"/>
      <c r="BW313" s="216"/>
      <c r="BX313" s="216"/>
      <c r="BY313" s="216"/>
      <c r="BZ313" s="216"/>
      <c r="CA313" s="216"/>
      <c r="CB313" s="216"/>
      <c r="CC313" s="216"/>
      <c r="CD313" s="216"/>
      <c r="CE313" s="216"/>
      <c r="CF313" s="216"/>
      <c r="CG313" s="216"/>
      <c r="CH313" s="216"/>
    </row>
    <row r="314" spans="1:86" x14ac:dyDescent="0.3">
      <c r="A314" s="418"/>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Q314" s="216"/>
      <c r="AR314" s="216"/>
      <c r="AS314" s="216"/>
      <c r="AT314" s="218"/>
      <c r="AU314" s="366"/>
      <c r="AV314" s="366"/>
      <c r="AW314" s="366"/>
      <c r="AX314" s="366"/>
      <c r="AY314" s="366"/>
      <c r="AZ314" s="366"/>
      <c r="BA314" s="366"/>
      <c r="BB314" s="366"/>
      <c r="BC314" s="366"/>
      <c r="BD314" s="216"/>
      <c r="BE314" s="216"/>
      <c r="BF314" s="216"/>
      <c r="BG314" s="216"/>
      <c r="BH314" s="216"/>
      <c r="BI314" s="216"/>
      <c r="BJ314" s="216"/>
      <c r="BK314" s="216"/>
      <c r="BL314" s="216"/>
      <c r="BM314" s="216"/>
      <c r="BN314" s="216"/>
      <c r="BO314" s="216"/>
      <c r="BP314" s="216"/>
      <c r="BQ314" s="216"/>
      <c r="BR314" s="216"/>
      <c r="BS314" s="216"/>
      <c r="BT314" s="216"/>
      <c r="BU314" s="216"/>
      <c r="BV314" s="216"/>
      <c r="BW314" s="216"/>
      <c r="BX314" s="216"/>
      <c r="BY314" s="216"/>
      <c r="BZ314" s="216"/>
      <c r="CA314" s="216"/>
      <c r="CB314" s="216"/>
      <c r="CC314" s="216"/>
      <c r="CD314" s="216"/>
      <c r="CE314" s="216"/>
      <c r="CF314" s="216"/>
      <c r="CG314" s="216"/>
      <c r="CH314" s="216"/>
    </row>
    <row r="315" spans="1:86" x14ac:dyDescent="0.3">
      <c r="A315" s="418"/>
      <c r="V315" s="216"/>
      <c r="W315" s="216"/>
      <c r="X315" s="216"/>
      <c r="Y315" s="216"/>
      <c r="Z315" s="216"/>
      <c r="AA315" s="216"/>
      <c r="AB315" s="216"/>
      <c r="AC315" s="216"/>
      <c r="AD315" s="216"/>
      <c r="AE315" s="216"/>
      <c r="AF315" s="216"/>
      <c r="AG315" s="216"/>
      <c r="AH315" s="216"/>
      <c r="AI315" s="216"/>
      <c r="AJ315" s="216"/>
      <c r="AK315" s="216"/>
      <c r="AL315" s="216"/>
      <c r="AM315" s="216"/>
      <c r="AN315" s="216"/>
      <c r="AO315" s="216"/>
      <c r="AQ315" s="216"/>
      <c r="AR315" s="216"/>
      <c r="AS315" s="216"/>
      <c r="AT315" s="218"/>
      <c r="AU315" s="366"/>
      <c r="AV315" s="366"/>
      <c r="AW315" s="366"/>
      <c r="AX315" s="366"/>
      <c r="AY315" s="366"/>
      <c r="AZ315" s="366"/>
      <c r="BA315" s="366"/>
      <c r="BB315" s="366"/>
      <c r="BC315" s="366"/>
      <c r="BD315" s="216"/>
      <c r="BE315" s="216"/>
      <c r="BF315" s="216"/>
      <c r="BG315" s="216"/>
      <c r="BH315" s="216"/>
      <c r="BI315" s="216"/>
      <c r="BJ315" s="216"/>
      <c r="BK315" s="216"/>
      <c r="BL315" s="216"/>
      <c r="BM315" s="216"/>
      <c r="BN315" s="216"/>
      <c r="BO315" s="216"/>
      <c r="BP315" s="216"/>
      <c r="BQ315" s="216"/>
      <c r="BR315" s="216"/>
      <c r="BS315" s="216"/>
      <c r="BT315" s="216"/>
      <c r="BU315" s="216"/>
      <c r="BV315" s="216"/>
      <c r="BW315" s="216"/>
      <c r="BX315" s="216"/>
      <c r="BY315" s="216"/>
      <c r="BZ315" s="216"/>
      <c r="CA315" s="216"/>
      <c r="CB315" s="216"/>
      <c r="CC315" s="216"/>
      <c r="CD315" s="216"/>
      <c r="CE315" s="216"/>
      <c r="CF315" s="216"/>
      <c r="CG315" s="216"/>
      <c r="CH315" s="216"/>
    </row>
    <row r="316" spans="1:86" x14ac:dyDescent="0.3">
      <c r="A316" s="418"/>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Q316" s="216"/>
      <c r="AR316" s="216"/>
      <c r="AS316" s="216"/>
      <c r="AT316" s="218"/>
      <c r="AU316" s="366"/>
      <c r="AV316" s="366"/>
      <c r="AW316" s="366"/>
      <c r="AX316" s="366"/>
      <c r="AY316" s="366"/>
      <c r="AZ316" s="366"/>
      <c r="BA316" s="366"/>
      <c r="BB316" s="366"/>
      <c r="BC316" s="36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row>
    <row r="317" spans="1:86" x14ac:dyDescent="0.3">
      <c r="A317" s="418"/>
      <c r="V317" s="216"/>
      <c r="W317" s="216"/>
      <c r="X317" s="216"/>
      <c r="Y317" s="216"/>
      <c r="Z317" s="216"/>
      <c r="AA317" s="216"/>
      <c r="AB317" s="216"/>
      <c r="AC317" s="216"/>
      <c r="AD317" s="216"/>
      <c r="AE317" s="216"/>
      <c r="AF317" s="216"/>
      <c r="AG317" s="216"/>
      <c r="AH317" s="216"/>
      <c r="AI317" s="216"/>
      <c r="AJ317" s="216"/>
      <c r="AK317" s="216"/>
      <c r="AL317" s="216"/>
      <c r="AM317" s="216"/>
      <c r="AN317" s="216"/>
      <c r="AO317" s="216"/>
      <c r="AQ317" s="216"/>
      <c r="AR317" s="216"/>
      <c r="AS317" s="216"/>
      <c r="AT317" s="218"/>
      <c r="AU317" s="366"/>
      <c r="AV317" s="366"/>
      <c r="AW317" s="366"/>
      <c r="AX317" s="366"/>
      <c r="AY317" s="366"/>
      <c r="AZ317" s="366"/>
      <c r="BA317" s="366"/>
      <c r="BB317" s="366"/>
      <c r="BC317" s="366"/>
      <c r="BD317" s="216"/>
      <c r="BE317" s="216"/>
      <c r="BF317" s="216"/>
      <c r="BG317" s="216"/>
      <c r="BH317" s="216"/>
      <c r="BI317" s="216"/>
      <c r="BJ317" s="216"/>
      <c r="BK317" s="216"/>
      <c r="BL317" s="216"/>
      <c r="BM317" s="216"/>
      <c r="BN317" s="216"/>
      <c r="BO317" s="216"/>
      <c r="BP317" s="216"/>
      <c r="BQ317" s="216"/>
      <c r="BR317" s="216"/>
      <c r="BS317" s="216"/>
      <c r="BT317" s="216"/>
      <c r="BU317" s="216"/>
      <c r="BV317" s="216"/>
      <c r="BW317" s="216"/>
      <c r="BX317" s="216"/>
      <c r="BY317" s="216"/>
      <c r="BZ317" s="216"/>
      <c r="CA317" s="216"/>
      <c r="CB317" s="216"/>
      <c r="CC317" s="216"/>
      <c r="CD317" s="216"/>
      <c r="CE317" s="216"/>
      <c r="CF317" s="216"/>
      <c r="CG317" s="216"/>
      <c r="CH317" s="216"/>
    </row>
    <row r="318" spans="1:86" x14ac:dyDescent="0.3">
      <c r="A318" s="418"/>
      <c r="V318" s="216"/>
      <c r="W318" s="216"/>
      <c r="X318" s="216"/>
      <c r="Y318" s="216"/>
      <c r="Z318" s="216"/>
      <c r="AA318" s="216"/>
      <c r="AB318" s="216"/>
      <c r="AC318" s="216"/>
      <c r="AD318" s="216"/>
      <c r="AE318" s="216"/>
      <c r="AF318" s="216"/>
      <c r="AG318" s="216"/>
      <c r="AH318" s="216"/>
      <c r="AI318" s="216"/>
      <c r="AJ318" s="216"/>
      <c r="AK318" s="216"/>
      <c r="AL318" s="216"/>
      <c r="AM318" s="216"/>
      <c r="AN318" s="216"/>
      <c r="AO318" s="216"/>
      <c r="AQ318" s="216"/>
      <c r="AR318" s="216"/>
      <c r="AS318" s="216"/>
      <c r="AT318" s="218"/>
      <c r="AU318" s="366"/>
      <c r="AV318" s="366"/>
      <c r="AW318" s="366"/>
      <c r="AX318" s="366"/>
      <c r="AY318" s="366"/>
      <c r="AZ318" s="366"/>
      <c r="BA318" s="366"/>
      <c r="BB318" s="366"/>
      <c r="BC318" s="366"/>
      <c r="BD318" s="216"/>
      <c r="BE318" s="216"/>
      <c r="BF318" s="216"/>
      <c r="BG318" s="216"/>
      <c r="BH318" s="216"/>
      <c r="BI318" s="216"/>
      <c r="BJ318" s="216"/>
      <c r="BK318" s="216"/>
      <c r="BL318" s="216"/>
      <c r="BM318" s="216"/>
      <c r="BN318" s="216"/>
      <c r="BO318" s="216"/>
      <c r="BP318" s="216"/>
      <c r="BQ318" s="216"/>
      <c r="BR318" s="216"/>
      <c r="BS318" s="216"/>
      <c r="BT318" s="216"/>
      <c r="BU318" s="216"/>
      <c r="BV318" s="216"/>
      <c r="BW318" s="216"/>
      <c r="BX318" s="216"/>
      <c r="BY318" s="216"/>
      <c r="BZ318" s="216"/>
      <c r="CA318" s="216"/>
      <c r="CB318" s="216"/>
      <c r="CC318" s="216"/>
      <c r="CD318" s="216"/>
      <c r="CE318" s="216"/>
      <c r="CF318" s="216"/>
      <c r="CG318" s="216"/>
      <c r="CH318" s="216"/>
    </row>
    <row r="319" spans="1:86" x14ac:dyDescent="0.3">
      <c r="A319" s="418"/>
      <c r="V319" s="216"/>
      <c r="W319" s="216"/>
      <c r="X319" s="216"/>
      <c r="Y319" s="216"/>
      <c r="Z319" s="216"/>
      <c r="AA319" s="216"/>
      <c r="AB319" s="216"/>
      <c r="AC319" s="216"/>
      <c r="AD319" s="216"/>
      <c r="AE319" s="216"/>
      <c r="AF319" s="216"/>
      <c r="AG319" s="216"/>
      <c r="AH319" s="216"/>
      <c r="AI319" s="216"/>
      <c r="AJ319" s="216"/>
      <c r="AK319" s="216"/>
      <c r="AL319" s="216"/>
      <c r="AM319" s="216"/>
      <c r="AN319" s="216"/>
      <c r="AO319" s="216"/>
      <c r="AQ319" s="216"/>
      <c r="AR319" s="216"/>
      <c r="AS319" s="216"/>
      <c r="AT319" s="218"/>
      <c r="AU319" s="366"/>
      <c r="AV319" s="366"/>
      <c r="AW319" s="366"/>
      <c r="AX319" s="366"/>
      <c r="AY319" s="366"/>
      <c r="AZ319" s="366"/>
      <c r="BA319" s="366"/>
      <c r="BB319" s="366"/>
      <c r="BC319" s="366"/>
      <c r="BD319" s="216"/>
      <c r="BE319" s="216"/>
      <c r="BF319" s="216"/>
      <c r="BG319" s="216"/>
      <c r="BH319" s="216"/>
      <c r="BI319" s="216"/>
      <c r="BJ319" s="216"/>
      <c r="BK319" s="216"/>
      <c r="BL319" s="216"/>
      <c r="BM319" s="216"/>
      <c r="BN319" s="216"/>
      <c r="BO319" s="216"/>
      <c r="BP319" s="216"/>
      <c r="BQ319" s="216"/>
      <c r="BR319" s="216"/>
      <c r="BS319" s="216"/>
      <c r="BT319" s="216"/>
      <c r="BU319" s="216"/>
      <c r="BV319" s="216"/>
      <c r="BW319" s="216"/>
      <c r="BX319" s="216"/>
      <c r="BY319" s="216"/>
      <c r="BZ319" s="216"/>
      <c r="CA319" s="216"/>
      <c r="CB319" s="216"/>
      <c r="CC319" s="216"/>
      <c r="CD319" s="216"/>
      <c r="CE319" s="216"/>
      <c r="CF319" s="216"/>
      <c r="CG319" s="216"/>
      <c r="CH319" s="216"/>
    </row>
    <row r="320" spans="1:86" x14ac:dyDescent="0.3">
      <c r="A320" s="418"/>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Q320" s="216"/>
      <c r="AR320" s="216"/>
      <c r="AS320" s="216"/>
      <c r="AT320" s="218"/>
      <c r="AU320" s="366"/>
      <c r="AV320" s="366"/>
      <c r="AW320" s="366"/>
      <c r="AX320" s="366"/>
      <c r="AY320" s="366"/>
      <c r="AZ320" s="366"/>
      <c r="BA320" s="366"/>
      <c r="BB320" s="366"/>
      <c r="BC320" s="36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row>
    <row r="321" spans="1:86" x14ac:dyDescent="0.3">
      <c r="A321" s="418"/>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Q321" s="216"/>
      <c r="AR321" s="216"/>
      <c r="AS321" s="216"/>
      <c r="AT321" s="218"/>
      <c r="AU321" s="366"/>
      <c r="AV321" s="366"/>
      <c r="AW321" s="366"/>
      <c r="AX321" s="366"/>
      <c r="AY321" s="366"/>
      <c r="AZ321" s="366"/>
      <c r="BA321" s="366"/>
      <c r="BB321" s="366"/>
      <c r="BC321" s="36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row>
    <row r="322" spans="1:86" x14ac:dyDescent="0.3">
      <c r="A322" s="418"/>
      <c r="V322" s="216"/>
      <c r="W322" s="216"/>
      <c r="X322" s="216"/>
      <c r="Y322" s="216"/>
      <c r="Z322" s="216"/>
      <c r="AA322" s="216"/>
      <c r="AB322" s="216"/>
      <c r="AC322" s="216"/>
      <c r="AD322" s="216"/>
      <c r="AE322" s="216"/>
      <c r="AF322" s="216"/>
      <c r="AG322" s="216"/>
      <c r="AH322" s="216"/>
      <c r="AI322" s="216"/>
      <c r="AJ322" s="216"/>
      <c r="AK322" s="216"/>
      <c r="AL322" s="216"/>
      <c r="AM322" s="216"/>
      <c r="AN322" s="216"/>
      <c r="AO322" s="216"/>
      <c r="AQ322" s="216"/>
      <c r="AR322" s="216"/>
      <c r="AS322" s="216"/>
      <c r="AT322" s="218"/>
      <c r="AU322" s="366"/>
      <c r="AV322" s="366"/>
      <c r="AW322" s="366"/>
      <c r="AX322" s="366"/>
      <c r="AY322" s="366"/>
      <c r="AZ322" s="366"/>
      <c r="BA322" s="366"/>
      <c r="BB322" s="366"/>
      <c r="BC322" s="366"/>
      <c r="BD322" s="216"/>
      <c r="BE322" s="216"/>
      <c r="BF322" s="216"/>
      <c r="BG322" s="216"/>
      <c r="BH322" s="216"/>
      <c r="BI322" s="216"/>
      <c r="BJ322" s="216"/>
      <c r="BK322" s="216"/>
      <c r="BL322" s="216"/>
      <c r="BM322" s="216"/>
      <c r="BN322" s="216"/>
      <c r="BO322" s="216"/>
      <c r="BP322" s="216"/>
      <c r="BQ322" s="216"/>
      <c r="BR322" s="216"/>
      <c r="BS322" s="216"/>
      <c r="BT322" s="216"/>
      <c r="BU322" s="216"/>
      <c r="BV322" s="216"/>
      <c r="BW322" s="216"/>
      <c r="BX322" s="216"/>
      <c r="BY322" s="216"/>
      <c r="BZ322" s="216"/>
      <c r="CA322" s="216"/>
      <c r="CB322" s="216"/>
      <c r="CC322" s="216"/>
      <c r="CD322" s="216"/>
      <c r="CE322" s="216"/>
      <c r="CF322" s="216"/>
      <c r="CG322" s="216"/>
      <c r="CH322" s="216"/>
    </row>
    <row r="323" spans="1:86" x14ac:dyDescent="0.3">
      <c r="A323" s="418"/>
      <c r="V323" s="216"/>
      <c r="W323" s="216"/>
      <c r="X323" s="216"/>
      <c r="Y323" s="216"/>
      <c r="Z323" s="216"/>
      <c r="AA323" s="216"/>
      <c r="AB323" s="216"/>
      <c r="AC323" s="216"/>
      <c r="AD323" s="216"/>
      <c r="AE323" s="216"/>
      <c r="AF323" s="216"/>
      <c r="AG323" s="216"/>
      <c r="AH323" s="216"/>
      <c r="AI323" s="216"/>
      <c r="AJ323" s="216"/>
      <c r="AK323" s="216"/>
      <c r="AL323" s="216"/>
      <c r="AM323" s="216"/>
      <c r="AN323" s="216"/>
      <c r="AO323" s="216"/>
      <c r="AQ323" s="216"/>
      <c r="AR323" s="216"/>
      <c r="AS323" s="216"/>
      <c r="AT323" s="218"/>
      <c r="AU323" s="366"/>
      <c r="AV323" s="366"/>
      <c r="AW323" s="366"/>
      <c r="AX323" s="366"/>
      <c r="AY323" s="366"/>
      <c r="AZ323" s="366"/>
      <c r="BA323" s="366"/>
      <c r="BB323" s="366"/>
      <c r="BC323" s="366"/>
      <c r="BD323" s="216"/>
      <c r="BE323" s="216"/>
      <c r="BF323" s="216"/>
      <c r="BG323" s="216"/>
      <c r="BH323" s="216"/>
      <c r="BI323" s="216"/>
      <c r="BJ323" s="216"/>
      <c r="BK323" s="216"/>
      <c r="BL323" s="216"/>
      <c r="BM323" s="216"/>
      <c r="BN323" s="216"/>
      <c r="BO323" s="216"/>
      <c r="BP323" s="216"/>
      <c r="BQ323" s="216"/>
      <c r="BR323" s="216"/>
      <c r="BS323" s="216"/>
      <c r="BT323" s="216"/>
      <c r="BU323" s="216"/>
      <c r="BV323" s="216"/>
      <c r="BW323" s="216"/>
      <c r="BX323" s="216"/>
      <c r="BY323" s="216"/>
      <c r="BZ323" s="216"/>
      <c r="CA323" s="216"/>
      <c r="CB323" s="216"/>
      <c r="CC323" s="216"/>
      <c r="CD323" s="216"/>
      <c r="CE323" s="216"/>
      <c r="CF323" s="216"/>
      <c r="CG323" s="216"/>
      <c r="CH323" s="216"/>
    </row>
    <row r="324" spans="1:86" x14ac:dyDescent="0.3">
      <c r="A324" s="418"/>
      <c r="V324" s="216"/>
      <c r="W324" s="216"/>
      <c r="X324" s="216"/>
      <c r="Y324" s="216"/>
      <c r="Z324" s="216"/>
      <c r="AA324" s="216"/>
      <c r="AB324" s="216"/>
      <c r="AC324" s="216"/>
      <c r="AD324" s="216"/>
      <c r="AE324" s="216"/>
      <c r="AF324" s="216"/>
      <c r="AG324" s="216"/>
      <c r="AH324" s="216"/>
      <c r="AI324" s="216"/>
      <c r="AJ324" s="216"/>
      <c r="AK324" s="216"/>
      <c r="AL324" s="216"/>
      <c r="AM324" s="216"/>
      <c r="AN324" s="216"/>
      <c r="AO324" s="216"/>
      <c r="AQ324" s="216"/>
      <c r="AR324" s="216"/>
      <c r="AS324" s="216"/>
      <c r="AT324" s="218"/>
      <c r="AU324" s="366"/>
      <c r="AV324" s="366"/>
      <c r="AW324" s="366"/>
      <c r="AX324" s="366"/>
      <c r="AY324" s="366"/>
      <c r="AZ324" s="366"/>
      <c r="BA324" s="366"/>
      <c r="BB324" s="366"/>
      <c r="BC324" s="366"/>
      <c r="BD324" s="216"/>
      <c r="BE324" s="216"/>
      <c r="BF324" s="216"/>
      <c r="BG324" s="216"/>
      <c r="BH324" s="216"/>
      <c r="BI324" s="216"/>
      <c r="BJ324" s="216"/>
      <c r="BK324" s="216"/>
      <c r="BL324" s="216"/>
      <c r="BM324" s="216"/>
      <c r="BN324" s="216"/>
      <c r="BO324" s="216"/>
      <c r="BP324" s="216"/>
      <c r="BQ324" s="216"/>
      <c r="BR324" s="216"/>
      <c r="BS324" s="216"/>
      <c r="BT324" s="216"/>
      <c r="BU324" s="216"/>
      <c r="BV324" s="216"/>
      <c r="BW324" s="216"/>
      <c r="BX324" s="216"/>
      <c r="BY324" s="216"/>
      <c r="BZ324" s="216"/>
      <c r="CA324" s="216"/>
      <c r="CB324" s="216"/>
      <c r="CC324" s="216"/>
      <c r="CD324" s="216"/>
      <c r="CE324" s="216"/>
      <c r="CF324" s="216"/>
      <c r="CG324" s="216"/>
      <c r="CH324" s="216"/>
    </row>
    <row r="325" spans="1:86" x14ac:dyDescent="0.3">
      <c r="A325" s="418"/>
      <c r="V325" s="216"/>
      <c r="W325" s="216"/>
      <c r="X325" s="216"/>
      <c r="Y325" s="216"/>
      <c r="Z325" s="216"/>
      <c r="AA325" s="216"/>
      <c r="AB325" s="216"/>
      <c r="AC325" s="216"/>
      <c r="AD325" s="216"/>
      <c r="AE325" s="216"/>
      <c r="AF325" s="216"/>
      <c r="AG325" s="216"/>
      <c r="AH325" s="216"/>
      <c r="AI325" s="216"/>
      <c r="AJ325" s="216"/>
      <c r="AK325" s="216"/>
      <c r="AL325" s="216"/>
      <c r="AM325" s="216"/>
      <c r="AN325" s="216"/>
      <c r="AO325" s="216"/>
      <c r="AQ325" s="216"/>
      <c r="AR325" s="216"/>
      <c r="AS325" s="216"/>
      <c r="AT325" s="218"/>
      <c r="AU325" s="366"/>
      <c r="AV325" s="366"/>
      <c r="AW325" s="366"/>
      <c r="AX325" s="366"/>
      <c r="AY325" s="366"/>
      <c r="AZ325" s="366"/>
      <c r="BA325" s="366"/>
      <c r="BB325" s="366"/>
      <c r="BC325" s="366"/>
      <c r="BD325" s="216"/>
      <c r="BE325" s="216"/>
      <c r="BF325" s="216"/>
      <c r="BG325" s="216"/>
      <c r="BH325" s="216"/>
      <c r="BI325" s="216"/>
      <c r="BJ325" s="216"/>
      <c r="BK325" s="216"/>
      <c r="BL325" s="216"/>
      <c r="BM325" s="216"/>
      <c r="BN325" s="216"/>
      <c r="BO325" s="216"/>
      <c r="BP325" s="216"/>
      <c r="BQ325" s="216"/>
      <c r="BR325" s="216"/>
      <c r="BS325" s="216"/>
      <c r="BT325" s="216"/>
      <c r="BU325" s="216"/>
      <c r="BV325" s="216"/>
      <c r="BW325" s="216"/>
      <c r="BX325" s="216"/>
      <c r="BY325" s="216"/>
      <c r="BZ325" s="216"/>
      <c r="CA325" s="216"/>
      <c r="CB325" s="216"/>
      <c r="CC325" s="216"/>
      <c r="CD325" s="216"/>
      <c r="CE325" s="216"/>
      <c r="CF325" s="216"/>
      <c r="CG325" s="216"/>
      <c r="CH325" s="216"/>
    </row>
    <row r="326" spans="1:86" x14ac:dyDescent="0.3">
      <c r="A326" s="418"/>
      <c r="V326" s="216"/>
      <c r="W326" s="216"/>
      <c r="X326" s="216"/>
      <c r="Y326" s="216"/>
      <c r="Z326" s="216"/>
      <c r="AA326" s="216"/>
      <c r="AB326" s="216"/>
      <c r="AC326" s="216"/>
      <c r="AD326" s="216"/>
      <c r="AE326" s="216"/>
      <c r="AF326" s="216"/>
      <c r="AG326" s="216"/>
      <c r="AH326" s="216"/>
      <c r="AI326" s="216"/>
      <c r="AJ326" s="216"/>
      <c r="AK326" s="216"/>
      <c r="AL326" s="216"/>
      <c r="AM326" s="216"/>
      <c r="AN326" s="216"/>
      <c r="AO326" s="216"/>
      <c r="AQ326" s="216"/>
      <c r="AR326" s="216"/>
      <c r="AS326" s="216"/>
      <c r="AT326" s="218"/>
      <c r="AU326" s="366"/>
      <c r="AV326" s="366"/>
      <c r="AW326" s="366"/>
      <c r="AX326" s="366"/>
      <c r="AY326" s="366"/>
      <c r="AZ326" s="366"/>
      <c r="BA326" s="366"/>
      <c r="BB326" s="366"/>
      <c r="BC326" s="366"/>
      <c r="BD326" s="216"/>
      <c r="BE326" s="216"/>
      <c r="BF326" s="216"/>
      <c r="BG326" s="216"/>
      <c r="BH326" s="216"/>
      <c r="BI326" s="216"/>
      <c r="BJ326" s="216"/>
      <c r="BK326" s="216"/>
      <c r="BL326" s="216"/>
      <c r="BM326" s="216"/>
      <c r="BN326" s="216"/>
      <c r="BO326" s="216"/>
      <c r="BP326" s="216"/>
      <c r="BQ326" s="216"/>
      <c r="BR326" s="216"/>
      <c r="BS326" s="216"/>
      <c r="BT326" s="216"/>
      <c r="BU326" s="216"/>
      <c r="BV326" s="216"/>
      <c r="BW326" s="216"/>
      <c r="BX326" s="216"/>
      <c r="BY326" s="216"/>
      <c r="BZ326" s="216"/>
      <c r="CA326" s="216"/>
      <c r="CB326" s="216"/>
      <c r="CC326" s="216"/>
      <c r="CD326" s="216"/>
      <c r="CE326" s="216"/>
      <c r="CF326" s="216"/>
      <c r="CG326" s="216"/>
      <c r="CH326" s="216"/>
    </row>
    <row r="327" spans="1:86" x14ac:dyDescent="0.3">
      <c r="A327" s="418"/>
      <c r="V327" s="216"/>
      <c r="W327" s="216"/>
      <c r="X327" s="216"/>
      <c r="Y327" s="216"/>
      <c r="Z327" s="216"/>
      <c r="AA327" s="216"/>
      <c r="AB327" s="216"/>
      <c r="AC327" s="216"/>
      <c r="AD327" s="216"/>
      <c r="AE327" s="216"/>
      <c r="AF327" s="216"/>
      <c r="AG327" s="216"/>
      <c r="AH327" s="216"/>
      <c r="AI327" s="216"/>
      <c r="AJ327" s="216"/>
      <c r="AK327" s="216"/>
      <c r="AL327" s="216"/>
      <c r="AM327" s="216"/>
      <c r="AN327" s="216"/>
      <c r="AO327" s="216"/>
      <c r="AQ327" s="216"/>
      <c r="AR327" s="216"/>
      <c r="AS327" s="216"/>
      <c r="AT327" s="218"/>
      <c r="AU327" s="366"/>
      <c r="AV327" s="366"/>
      <c r="AW327" s="366"/>
      <c r="AX327" s="366"/>
      <c r="AY327" s="366"/>
      <c r="AZ327" s="366"/>
      <c r="BA327" s="366"/>
      <c r="BB327" s="366"/>
      <c r="BC327" s="366"/>
      <c r="BD327" s="216"/>
      <c r="BE327" s="216"/>
      <c r="BF327" s="216"/>
      <c r="BG327" s="216"/>
      <c r="BH327" s="216"/>
      <c r="BI327" s="216"/>
      <c r="BJ327" s="216"/>
      <c r="BK327" s="216"/>
      <c r="BL327" s="216"/>
      <c r="BM327" s="216"/>
      <c r="BN327" s="216"/>
      <c r="BO327" s="216"/>
      <c r="BP327" s="216"/>
      <c r="BQ327" s="216"/>
      <c r="BR327" s="216"/>
      <c r="BS327" s="216"/>
      <c r="BT327" s="216"/>
      <c r="BU327" s="216"/>
      <c r="BV327" s="216"/>
      <c r="BW327" s="216"/>
      <c r="BX327" s="216"/>
      <c r="BY327" s="216"/>
      <c r="BZ327" s="216"/>
      <c r="CA327" s="216"/>
      <c r="CB327" s="216"/>
      <c r="CC327" s="216"/>
      <c r="CD327" s="216"/>
      <c r="CE327" s="216"/>
      <c r="CF327" s="216"/>
      <c r="CG327" s="216"/>
      <c r="CH327" s="216"/>
    </row>
    <row r="328" spans="1:86" x14ac:dyDescent="0.3">
      <c r="A328" s="418"/>
      <c r="V328" s="216"/>
      <c r="W328" s="216"/>
      <c r="X328" s="216"/>
      <c r="Y328" s="216"/>
      <c r="Z328" s="216"/>
      <c r="AA328" s="216"/>
      <c r="AB328" s="216"/>
      <c r="AC328" s="216"/>
      <c r="AD328" s="216"/>
      <c r="AE328" s="216"/>
      <c r="AF328" s="216"/>
      <c r="AG328" s="216"/>
      <c r="AH328" s="216"/>
      <c r="AI328" s="216"/>
      <c r="AJ328" s="216"/>
      <c r="AK328" s="216"/>
      <c r="AL328" s="216"/>
      <c r="AM328" s="216"/>
      <c r="AN328" s="216"/>
      <c r="AO328" s="216"/>
      <c r="AQ328" s="216"/>
      <c r="AR328" s="216"/>
      <c r="AS328" s="216"/>
      <c r="AT328" s="218"/>
      <c r="AU328" s="366"/>
      <c r="AV328" s="366"/>
      <c r="AW328" s="366"/>
      <c r="AX328" s="366"/>
      <c r="AY328" s="366"/>
      <c r="AZ328" s="366"/>
      <c r="BA328" s="366"/>
      <c r="BB328" s="366"/>
      <c r="BC328" s="366"/>
      <c r="BD328" s="216"/>
      <c r="BE328" s="216"/>
      <c r="BF328" s="216"/>
      <c r="BG328" s="216"/>
      <c r="BH328" s="216"/>
      <c r="BI328" s="216"/>
      <c r="BJ328" s="216"/>
      <c r="BK328" s="216"/>
      <c r="BL328" s="216"/>
      <c r="BM328" s="216"/>
      <c r="BN328" s="216"/>
      <c r="BO328" s="216"/>
      <c r="BP328" s="216"/>
      <c r="BQ328" s="216"/>
      <c r="BR328" s="216"/>
      <c r="BS328" s="216"/>
      <c r="BT328" s="216"/>
      <c r="BU328" s="216"/>
      <c r="BV328" s="216"/>
      <c r="BW328" s="216"/>
      <c r="BX328" s="216"/>
      <c r="BY328" s="216"/>
      <c r="BZ328" s="216"/>
      <c r="CA328" s="216"/>
      <c r="CB328" s="216"/>
      <c r="CC328" s="216"/>
      <c r="CD328" s="216"/>
      <c r="CE328" s="216"/>
      <c r="CF328" s="216"/>
      <c r="CG328" s="216"/>
      <c r="CH328" s="216"/>
    </row>
    <row r="329" spans="1:86" x14ac:dyDescent="0.3">
      <c r="A329" s="418"/>
      <c r="V329" s="216"/>
      <c r="W329" s="216"/>
      <c r="X329" s="216"/>
      <c r="Y329" s="216"/>
      <c r="Z329" s="216"/>
      <c r="AA329" s="216"/>
      <c r="AB329" s="216"/>
      <c r="AC329" s="216"/>
      <c r="AD329" s="216"/>
      <c r="AE329" s="216"/>
      <c r="AF329" s="216"/>
      <c r="AG329" s="216"/>
      <c r="AH329" s="216"/>
      <c r="AI329" s="216"/>
      <c r="AJ329" s="216"/>
      <c r="AK329" s="216"/>
      <c r="AL329" s="216"/>
      <c r="AM329" s="216"/>
      <c r="AN329" s="216"/>
      <c r="AO329" s="216"/>
      <c r="AQ329" s="216"/>
      <c r="AR329" s="216"/>
      <c r="AS329" s="216"/>
      <c r="AT329" s="218"/>
      <c r="AU329" s="366"/>
      <c r="AV329" s="366"/>
      <c r="AW329" s="366"/>
      <c r="AX329" s="366"/>
      <c r="AY329" s="366"/>
      <c r="AZ329" s="366"/>
      <c r="BA329" s="366"/>
      <c r="BB329" s="366"/>
      <c r="BC329" s="366"/>
      <c r="BD329" s="216"/>
      <c r="BE329" s="216"/>
      <c r="BF329" s="216"/>
      <c r="BG329" s="216"/>
      <c r="BH329" s="216"/>
      <c r="BI329" s="216"/>
      <c r="BJ329" s="216"/>
      <c r="BK329" s="216"/>
      <c r="BL329" s="216"/>
      <c r="BM329" s="216"/>
      <c r="BN329" s="216"/>
      <c r="BO329" s="216"/>
      <c r="BP329" s="216"/>
      <c r="BQ329" s="216"/>
      <c r="BR329" s="216"/>
      <c r="BS329" s="216"/>
      <c r="BT329" s="216"/>
      <c r="BU329" s="216"/>
      <c r="BV329" s="216"/>
      <c r="BW329" s="216"/>
      <c r="BX329" s="216"/>
      <c r="BY329" s="216"/>
      <c r="BZ329" s="216"/>
      <c r="CA329" s="216"/>
      <c r="CB329" s="216"/>
      <c r="CC329" s="216"/>
      <c r="CD329" s="216"/>
      <c r="CE329" s="216"/>
      <c r="CF329" s="216"/>
      <c r="CG329" s="216"/>
      <c r="CH329" s="216"/>
    </row>
    <row r="330" spans="1:86" x14ac:dyDescent="0.3">
      <c r="A330" s="418"/>
      <c r="V330" s="216"/>
      <c r="W330" s="216"/>
      <c r="X330" s="216"/>
      <c r="Y330" s="216"/>
      <c r="Z330" s="216"/>
      <c r="AA330" s="216"/>
      <c r="AB330" s="216"/>
      <c r="AC330" s="216"/>
      <c r="AD330" s="216"/>
      <c r="AE330" s="216"/>
      <c r="AF330" s="216"/>
      <c r="AG330" s="216"/>
      <c r="AH330" s="216"/>
      <c r="AI330" s="216"/>
      <c r="AJ330" s="216"/>
      <c r="AK330" s="216"/>
      <c r="AL330" s="216"/>
      <c r="AM330" s="216"/>
      <c r="AN330" s="216"/>
      <c r="AO330" s="216"/>
      <c r="AQ330" s="216"/>
      <c r="AR330" s="216"/>
      <c r="AS330" s="216"/>
      <c r="AT330" s="218"/>
      <c r="AU330" s="366"/>
      <c r="AV330" s="366"/>
      <c r="AW330" s="366"/>
      <c r="AX330" s="366"/>
      <c r="AY330" s="366"/>
      <c r="AZ330" s="366"/>
      <c r="BA330" s="366"/>
      <c r="BB330" s="366"/>
      <c r="BC330" s="366"/>
      <c r="BD330" s="216"/>
      <c r="BE330" s="216"/>
      <c r="BF330" s="216"/>
      <c r="BG330" s="216"/>
      <c r="BH330" s="216"/>
      <c r="BI330" s="216"/>
      <c r="BJ330" s="216"/>
      <c r="BK330" s="216"/>
      <c r="BL330" s="216"/>
      <c r="BM330" s="216"/>
      <c r="BN330" s="216"/>
      <c r="BO330" s="216"/>
      <c r="BP330" s="216"/>
      <c r="BQ330" s="216"/>
      <c r="BR330" s="216"/>
      <c r="BS330" s="216"/>
      <c r="BT330" s="216"/>
      <c r="BU330" s="216"/>
      <c r="BV330" s="216"/>
      <c r="BW330" s="216"/>
      <c r="BX330" s="216"/>
      <c r="BY330" s="216"/>
      <c r="BZ330" s="216"/>
      <c r="CA330" s="216"/>
      <c r="CB330" s="216"/>
      <c r="CC330" s="216"/>
      <c r="CD330" s="216"/>
      <c r="CE330" s="216"/>
      <c r="CF330" s="216"/>
      <c r="CG330" s="216"/>
      <c r="CH330" s="216"/>
    </row>
    <row r="331" spans="1:86" x14ac:dyDescent="0.3">
      <c r="A331" s="418"/>
      <c r="V331" s="216"/>
      <c r="W331" s="216"/>
      <c r="X331" s="216"/>
      <c r="Y331" s="216"/>
      <c r="Z331" s="216"/>
      <c r="AA331" s="216"/>
      <c r="AB331" s="216"/>
      <c r="AC331" s="216"/>
      <c r="AD331" s="216"/>
      <c r="AE331" s="216"/>
      <c r="AF331" s="216"/>
      <c r="AG331" s="216"/>
      <c r="AH331" s="216"/>
      <c r="AI331" s="216"/>
      <c r="AJ331" s="216"/>
      <c r="AK331" s="216"/>
      <c r="AL331" s="216"/>
      <c r="AM331" s="216"/>
      <c r="AN331" s="216"/>
      <c r="AO331" s="216"/>
      <c r="AQ331" s="216"/>
      <c r="AR331" s="216"/>
      <c r="AS331" s="216"/>
      <c r="AT331" s="218"/>
      <c r="AU331" s="366"/>
      <c r="AV331" s="366"/>
      <c r="AW331" s="366"/>
      <c r="AX331" s="366"/>
      <c r="AY331" s="366"/>
      <c r="AZ331" s="366"/>
      <c r="BA331" s="366"/>
      <c r="BB331" s="366"/>
      <c r="BC331" s="366"/>
      <c r="BD331" s="216"/>
      <c r="BE331" s="216"/>
      <c r="BF331" s="216"/>
      <c r="BG331" s="216"/>
      <c r="BH331" s="216"/>
      <c r="BI331" s="216"/>
      <c r="BJ331" s="216"/>
      <c r="BK331" s="216"/>
      <c r="BL331" s="216"/>
      <c r="BM331" s="216"/>
      <c r="BN331" s="216"/>
      <c r="BO331" s="216"/>
      <c r="BP331" s="216"/>
      <c r="BQ331" s="216"/>
      <c r="BR331" s="216"/>
      <c r="BS331" s="216"/>
      <c r="BT331" s="216"/>
      <c r="BU331" s="216"/>
      <c r="BV331" s="216"/>
      <c r="BW331" s="216"/>
      <c r="BX331" s="216"/>
      <c r="BY331" s="216"/>
      <c r="BZ331" s="216"/>
      <c r="CA331" s="216"/>
      <c r="CB331" s="216"/>
      <c r="CC331" s="216"/>
      <c r="CD331" s="216"/>
      <c r="CE331" s="216"/>
      <c r="CF331" s="216"/>
      <c r="CG331" s="216"/>
      <c r="CH331" s="216"/>
    </row>
    <row r="332" spans="1:86" x14ac:dyDescent="0.3">
      <c r="A332" s="418"/>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Q332" s="216"/>
      <c r="AR332" s="216"/>
      <c r="AS332" s="216"/>
      <c r="AT332" s="218"/>
      <c r="AU332" s="366"/>
      <c r="AV332" s="366"/>
      <c r="AW332" s="366"/>
      <c r="AX332" s="366"/>
      <c r="AY332" s="366"/>
      <c r="AZ332" s="366"/>
      <c r="BA332" s="366"/>
      <c r="BB332" s="366"/>
      <c r="BC332" s="36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row>
    <row r="333" spans="1:86" x14ac:dyDescent="0.3">
      <c r="A333" s="418"/>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Q333" s="216"/>
      <c r="AR333" s="216"/>
      <c r="AS333" s="216"/>
      <c r="AT333" s="218"/>
      <c r="AU333" s="366"/>
      <c r="AV333" s="366"/>
      <c r="AW333" s="366"/>
      <c r="AX333" s="366"/>
      <c r="AY333" s="366"/>
      <c r="AZ333" s="366"/>
      <c r="BA333" s="366"/>
      <c r="BB333" s="366"/>
      <c r="BC333" s="36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row>
    <row r="334" spans="1:86" x14ac:dyDescent="0.3">
      <c r="A334" s="418"/>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Q334" s="216"/>
      <c r="AR334" s="216"/>
      <c r="AS334" s="216"/>
      <c r="AT334" s="218"/>
      <c r="AU334" s="366"/>
      <c r="AV334" s="366"/>
      <c r="AW334" s="366"/>
      <c r="AX334" s="366"/>
      <c r="AY334" s="366"/>
      <c r="AZ334" s="366"/>
      <c r="BA334" s="366"/>
      <c r="BB334" s="366"/>
      <c r="BC334" s="36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row>
    <row r="335" spans="1:86" x14ac:dyDescent="0.3">
      <c r="A335" s="418"/>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Q335" s="216"/>
      <c r="AR335" s="216"/>
      <c r="AS335" s="216"/>
      <c r="AT335" s="218"/>
      <c r="AU335" s="366"/>
      <c r="AV335" s="366"/>
      <c r="AW335" s="366"/>
      <c r="AX335" s="366"/>
      <c r="AY335" s="366"/>
      <c r="AZ335" s="366"/>
      <c r="BA335" s="366"/>
      <c r="BB335" s="366"/>
      <c r="BC335" s="366"/>
      <c r="BD335" s="216"/>
      <c r="BE335" s="216"/>
      <c r="BF335" s="216"/>
      <c r="BG335" s="216"/>
      <c r="BH335" s="216"/>
      <c r="BI335" s="216"/>
      <c r="BJ335" s="216"/>
      <c r="BK335" s="216"/>
      <c r="BL335" s="216"/>
      <c r="BM335" s="216"/>
      <c r="BN335" s="216"/>
      <c r="BO335" s="216"/>
      <c r="BP335" s="216"/>
      <c r="BQ335" s="216"/>
      <c r="BR335" s="216"/>
      <c r="BS335" s="216"/>
      <c r="BT335" s="216"/>
      <c r="BU335" s="216"/>
      <c r="BV335" s="216"/>
      <c r="BW335" s="216"/>
      <c r="BX335" s="216"/>
      <c r="BY335" s="216"/>
      <c r="BZ335" s="216"/>
      <c r="CA335" s="216"/>
      <c r="CB335" s="216"/>
      <c r="CC335" s="216"/>
      <c r="CD335" s="216"/>
      <c r="CE335" s="216"/>
      <c r="CF335" s="216"/>
      <c r="CG335" s="216"/>
      <c r="CH335" s="216"/>
    </row>
    <row r="336" spans="1:86" x14ac:dyDescent="0.3">
      <c r="A336" s="418"/>
    </row>
    <row r="337" spans="1:1" x14ac:dyDescent="0.3">
      <c r="A337" s="418"/>
    </row>
    <row r="338" spans="1:1" x14ac:dyDescent="0.3">
      <c r="A338" s="418"/>
    </row>
    <row r="339" spans="1:1" x14ac:dyDescent="0.3">
      <c r="A339" s="418"/>
    </row>
    <row r="340" spans="1:1" x14ac:dyDescent="0.3">
      <c r="A340" s="418"/>
    </row>
    <row r="341" spans="1:1" x14ac:dyDescent="0.3">
      <c r="A341" s="418"/>
    </row>
    <row r="342" spans="1:1" x14ac:dyDescent="0.3">
      <c r="A342" s="418"/>
    </row>
    <row r="343" spans="1:1" x14ac:dyDescent="0.3">
      <c r="A343" s="418"/>
    </row>
    <row r="344" spans="1:1" x14ac:dyDescent="0.3">
      <c r="A344" s="418"/>
    </row>
    <row r="345" spans="1:1" x14ac:dyDescent="0.3">
      <c r="A345" s="418"/>
    </row>
    <row r="346" spans="1:1" x14ac:dyDescent="0.3">
      <c r="A346" s="418"/>
    </row>
    <row r="347" spans="1:1" x14ac:dyDescent="0.3">
      <c r="A347" s="418"/>
    </row>
    <row r="348" spans="1:1" x14ac:dyDescent="0.3">
      <c r="A348" s="418"/>
    </row>
    <row r="349" spans="1:1" x14ac:dyDescent="0.3">
      <c r="A349" s="418"/>
    </row>
    <row r="350" spans="1:1" x14ac:dyDescent="0.3">
      <c r="A350" s="418"/>
    </row>
    <row r="351" spans="1:1" x14ac:dyDescent="0.3">
      <c r="A351" s="418"/>
    </row>
    <row r="352" spans="1:1" x14ac:dyDescent="0.3">
      <c r="A352" s="418"/>
    </row>
    <row r="353" spans="1:1" x14ac:dyDescent="0.3">
      <c r="A353" s="418"/>
    </row>
    <row r="354" spans="1:1" x14ac:dyDescent="0.3">
      <c r="A354" s="418"/>
    </row>
    <row r="355" spans="1:1" x14ac:dyDescent="0.3">
      <c r="A355" s="418"/>
    </row>
    <row r="356" spans="1:1" x14ac:dyDescent="0.3">
      <c r="A356" s="418"/>
    </row>
    <row r="357" spans="1:1" x14ac:dyDescent="0.3">
      <c r="A357" s="418"/>
    </row>
    <row r="358" spans="1:1" x14ac:dyDescent="0.3">
      <c r="A358" s="418"/>
    </row>
    <row r="359" spans="1:1" x14ac:dyDescent="0.3">
      <c r="A359" s="418"/>
    </row>
    <row r="360" spans="1:1" x14ac:dyDescent="0.3">
      <c r="A360" s="418"/>
    </row>
    <row r="361" spans="1:1" x14ac:dyDescent="0.3">
      <c r="A361" s="418"/>
    </row>
    <row r="362" spans="1:1" x14ac:dyDescent="0.3">
      <c r="A362" s="418"/>
    </row>
    <row r="363" spans="1:1" x14ac:dyDescent="0.3">
      <c r="A363" s="418"/>
    </row>
    <row r="364" spans="1:1" x14ac:dyDescent="0.3">
      <c r="A364" s="418"/>
    </row>
    <row r="365" spans="1:1" x14ac:dyDescent="0.3">
      <c r="A365" s="418"/>
    </row>
    <row r="366" spans="1:1" x14ac:dyDescent="0.3">
      <c r="A366" s="418"/>
    </row>
    <row r="367" spans="1:1" x14ac:dyDescent="0.3">
      <c r="A367" s="418"/>
    </row>
    <row r="368" spans="1:1" x14ac:dyDescent="0.3">
      <c r="A368" s="418"/>
    </row>
    <row r="369" spans="1:1" x14ac:dyDescent="0.3">
      <c r="A369" s="418"/>
    </row>
    <row r="370" spans="1:1" x14ac:dyDescent="0.3">
      <c r="A370" s="418"/>
    </row>
    <row r="371" spans="1:1" x14ac:dyDescent="0.3">
      <c r="A371" s="418"/>
    </row>
    <row r="372" spans="1:1" x14ac:dyDescent="0.3">
      <c r="A372" s="418"/>
    </row>
    <row r="373" spans="1:1" x14ac:dyDescent="0.3">
      <c r="A373" s="418"/>
    </row>
  </sheetData>
  <sheetProtection password="FB8C" sheet="1" formatCells="0" formatColumns="0" formatRows="0"/>
  <mergeCells count="807">
    <mergeCell ref="B164:S164"/>
    <mergeCell ref="B166:S166"/>
    <mergeCell ref="J136:M136"/>
    <mergeCell ref="J107:M107"/>
    <mergeCell ref="J108:M108"/>
    <mergeCell ref="J110:M110"/>
    <mergeCell ref="J112:M112"/>
    <mergeCell ref="J114:M114"/>
    <mergeCell ref="J116:M116"/>
    <mergeCell ref="J118:M118"/>
    <mergeCell ref="J120:M120"/>
    <mergeCell ref="B113:S113"/>
    <mergeCell ref="B114:D114"/>
    <mergeCell ref="E114:G114"/>
    <mergeCell ref="B115:S115"/>
    <mergeCell ref="B116:D116"/>
    <mergeCell ref="E116:G116"/>
    <mergeCell ref="B117:S117"/>
    <mergeCell ref="E134:G134"/>
    <mergeCell ref="B135:S135"/>
    <mergeCell ref="B136:D136"/>
    <mergeCell ref="E136:G136"/>
    <mergeCell ref="B158:S158"/>
    <mergeCell ref="B120:D120"/>
    <mergeCell ref="B62:D62"/>
    <mergeCell ref="E62:G62"/>
    <mergeCell ref="B63:S63"/>
    <mergeCell ref="N246:S246"/>
    <mergeCell ref="B245:B251"/>
    <mergeCell ref="N250:S250"/>
    <mergeCell ref="N251:S251"/>
    <mergeCell ref="N238:S238"/>
    <mergeCell ref="I239:M239"/>
    <mergeCell ref="N239:S239"/>
    <mergeCell ref="I240:M240"/>
    <mergeCell ref="N240:S240"/>
    <mergeCell ref="I241:M241"/>
    <mergeCell ref="N241:S241"/>
    <mergeCell ref="I234:M234"/>
    <mergeCell ref="N234:S234"/>
    <mergeCell ref="I235:M235"/>
    <mergeCell ref="N235:S235"/>
    <mergeCell ref="B236:S236"/>
    <mergeCell ref="J64:M64"/>
    <mergeCell ref="J62:M62"/>
    <mergeCell ref="J66:M66"/>
    <mergeCell ref="J68:M68"/>
    <mergeCell ref="J70:M70"/>
    <mergeCell ref="A245:A252"/>
    <mergeCell ref="C245:C251"/>
    <mergeCell ref="C237:C243"/>
    <mergeCell ref="D237:D243"/>
    <mergeCell ref="E237:E243"/>
    <mergeCell ref="F237:F243"/>
    <mergeCell ref="G237:G243"/>
    <mergeCell ref="I237:M237"/>
    <mergeCell ref="B73:S73"/>
    <mergeCell ref="B74:D74"/>
    <mergeCell ref="E74:G74"/>
    <mergeCell ref="A237:A244"/>
    <mergeCell ref="A229:A236"/>
    <mergeCell ref="B229:B235"/>
    <mergeCell ref="C229:C235"/>
    <mergeCell ref="D229:D235"/>
    <mergeCell ref="E229:E235"/>
    <mergeCell ref="F229:F235"/>
    <mergeCell ref="G229:G235"/>
    <mergeCell ref="I229:M229"/>
    <mergeCell ref="N229:S229"/>
    <mergeCell ref="I230:M230"/>
    <mergeCell ref="N230:S230"/>
    <mergeCell ref="I231:M231"/>
    <mergeCell ref="A269:A276"/>
    <mergeCell ref="B269:B275"/>
    <mergeCell ref="C269:C275"/>
    <mergeCell ref="D269:D275"/>
    <mergeCell ref="E269:E275"/>
    <mergeCell ref="F269:F275"/>
    <mergeCell ref="G269:G275"/>
    <mergeCell ref="I269:M269"/>
    <mergeCell ref="I274:M274"/>
    <mergeCell ref="A293:A300"/>
    <mergeCell ref="B293:B299"/>
    <mergeCell ref="C293:C299"/>
    <mergeCell ref="D293:D299"/>
    <mergeCell ref="E293:E299"/>
    <mergeCell ref="F293:F299"/>
    <mergeCell ref="G293:G299"/>
    <mergeCell ref="I293:M293"/>
    <mergeCell ref="I298:M298"/>
    <mergeCell ref="N293:S293"/>
    <mergeCell ref="I294:M294"/>
    <mergeCell ref="N294:S294"/>
    <mergeCell ref="I295:M295"/>
    <mergeCell ref="N295:S295"/>
    <mergeCell ref="I296:M296"/>
    <mergeCell ref="N296:S296"/>
    <mergeCell ref="I297:M297"/>
    <mergeCell ref="N297:S297"/>
    <mergeCell ref="N298:S298"/>
    <mergeCell ref="I299:M299"/>
    <mergeCell ref="N299:S299"/>
    <mergeCell ref="B300:S300"/>
    <mergeCell ref="A285:A292"/>
    <mergeCell ref="B285:B291"/>
    <mergeCell ref="C285:C291"/>
    <mergeCell ref="D285:D291"/>
    <mergeCell ref="E285:E291"/>
    <mergeCell ref="F285:F291"/>
    <mergeCell ref="G285:G291"/>
    <mergeCell ref="I285:M285"/>
    <mergeCell ref="N285:S285"/>
    <mergeCell ref="I286:M286"/>
    <mergeCell ref="N286:S286"/>
    <mergeCell ref="I287:M287"/>
    <mergeCell ref="N287:S287"/>
    <mergeCell ref="I288:M288"/>
    <mergeCell ref="N288:S288"/>
    <mergeCell ref="I289:M289"/>
    <mergeCell ref="N289:S289"/>
    <mergeCell ref="I290:M290"/>
    <mergeCell ref="N290:S290"/>
    <mergeCell ref="I291:M291"/>
    <mergeCell ref="N291:S291"/>
    <mergeCell ref="B292:S292"/>
    <mergeCell ref="A277:A284"/>
    <mergeCell ref="B277:B283"/>
    <mergeCell ref="C277:C283"/>
    <mergeCell ref="D277:D283"/>
    <mergeCell ref="E277:E283"/>
    <mergeCell ref="F277:F283"/>
    <mergeCell ref="G277:G283"/>
    <mergeCell ref="I277:M277"/>
    <mergeCell ref="N277:S277"/>
    <mergeCell ref="I278:M278"/>
    <mergeCell ref="N278:S278"/>
    <mergeCell ref="I279:M279"/>
    <mergeCell ref="N279:S279"/>
    <mergeCell ref="I280:M280"/>
    <mergeCell ref="N280:S280"/>
    <mergeCell ref="I281:M281"/>
    <mergeCell ref="N281:S281"/>
    <mergeCell ref="I282:M282"/>
    <mergeCell ref="N282:S282"/>
    <mergeCell ref="I283:M283"/>
    <mergeCell ref="N283:S283"/>
    <mergeCell ref="B284:S284"/>
    <mergeCell ref="N269:S269"/>
    <mergeCell ref="I270:M270"/>
    <mergeCell ref="N270:S270"/>
    <mergeCell ref="I271:M271"/>
    <mergeCell ref="N271:S271"/>
    <mergeCell ref="I272:M272"/>
    <mergeCell ref="N272:S272"/>
    <mergeCell ref="I273:M273"/>
    <mergeCell ref="N273:S273"/>
    <mergeCell ref="N274:S274"/>
    <mergeCell ref="I275:M275"/>
    <mergeCell ref="N275:S275"/>
    <mergeCell ref="B276:S276"/>
    <mergeCell ref="A261:A268"/>
    <mergeCell ref="B261:B267"/>
    <mergeCell ref="C261:C267"/>
    <mergeCell ref="D261:D267"/>
    <mergeCell ref="E261:E267"/>
    <mergeCell ref="F261:F267"/>
    <mergeCell ref="G261:G267"/>
    <mergeCell ref="I261:M261"/>
    <mergeCell ref="N261:S261"/>
    <mergeCell ref="I262:M262"/>
    <mergeCell ref="N262:S262"/>
    <mergeCell ref="I263:M263"/>
    <mergeCell ref="N263:S263"/>
    <mergeCell ref="I264:M264"/>
    <mergeCell ref="N264:S264"/>
    <mergeCell ref="I265:M265"/>
    <mergeCell ref="N265:S265"/>
    <mergeCell ref="I266:M266"/>
    <mergeCell ref="N266:S266"/>
    <mergeCell ref="I267:M267"/>
    <mergeCell ref="A253:A260"/>
    <mergeCell ref="B253:B259"/>
    <mergeCell ref="C253:C259"/>
    <mergeCell ref="D253:D259"/>
    <mergeCell ref="E253:E259"/>
    <mergeCell ref="F253:F259"/>
    <mergeCell ref="G253:G259"/>
    <mergeCell ref="I253:M253"/>
    <mergeCell ref="N253:S253"/>
    <mergeCell ref="I254:M254"/>
    <mergeCell ref="N254:S254"/>
    <mergeCell ref="I255:M255"/>
    <mergeCell ref="N255:S255"/>
    <mergeCell ref="I256:M256"/>
    <mergeCell ref="N256:S256"/>
    <mergeCell ref="I257:M257"/>
    <mergeCell ref="N257:S257"/>
    <mergeCell ref="I258:M258"/>
    <mergeCell ref="N258:S258"/>
    <mergeCell ref="I259:M259"/>
    <mergeCell ref="N259:S259"/>
    <mergeCell ref="B260:S260"/>
    <mergeCell ref="N267:S267"/>
    <mergeCell ref="B268:S268"/>
    <mergeCell ref="I242:M242"/>
    <mergeCell ref="D245:D251"/>
    <mergeCell ref="E245:E251"/>
    <mergeCell ref="F245:F251"/>
    <mergeCell ref="I246:M246"/>
    <mergeCell ref="I251:M251"/>
    <mergeCell ref="B252:S252"/>
    <mergeCell ref="I247:M247"/>
    <mergeCell ref="N247:S247"/>
    <mergeCell ref="I248:M248"/>
    <mergeCell ref="N248:S248"/>
    <mergeCell ref="I249:M249"/>
    <mergeCell ref="N249:S249"/>
    <mergeCell ref="I250:M250"/>
    <mergeCell ref="B237:B243"/>
    <mergeCell ref="N242:S242"/>
    <mergeCell ref="I243:M243"/>
    <mergeCell ref="N243:S243"/>
    <mergeCell ref="G245:G251"/>
    <mergeCell ref="I245:M245"/>
    <mergeCell ref="N245:S245"/>
    <mergeCell ref="B244:S244"/>
    <mergeCell ref="N231:S231"/>
    <mergeCell ref="I232:M232"/>
    <mergeCell ref="N232:S232"/>
    <mergeCell ref="I233:M233"/>
    <mergeCell ref="N233:S233"/>
    <mergeCell ref="N237:S237"/>
    <mergeCell ref="I238:M238"/>
    <mergeCell ref="A221:A228"/>
    <mergeCell ref="B221:B227"/>
    <mergeCell ref="C221:C227"/>
    <mergeCell ref="D221:D227"/>
    <mergeCell ref="E221:E227"/>
    <mergeCell ref="F221:F227"/>
    <mergeCell ref="G221:G227"/>
    <mergeCell ref="I221:M221"/>
    <mergeCell ref="I220:M220"/>
    <mergeCell ref="B228:S228"/>
    <mergeCell ref="N220:S220"/>
    <mergeCell ref="N221:S221"/>
    <mergeCell ref="I222:M222"/>
    <mergeCell ref="I223:M223"/>
    <mergeCell ref="I224:M224"/>
    <mergeCell ref="I225:M225"/>
    <mergeCell ref="I226:M226"/>
    <mergeCell ref="I227:M227"/>
    <mergeCell ref="N222:S222"/>
    <mergeCell ref="N223:S223"/>
    <mergeCell ref="N224:S224"/>
    <mergeCell ref="N225:S225"/>
    <mergeCell ref="N226:S226"/>
    <mergeCell ref="N227:S227"/>
    <mergeCell ref="B186:S186"/>
    <mergeCell ref="B188:S188"/>
    <mergeCell ref="B190:S190"/>
    <mergeCell ref="B192:S192"/>
    <mergeCell ref="H219:K219"/>
    <mergeCell ref="L219:O219"/>
    <mergeCell ref="B194:S194"/>
    <mergeCell ref="B196:S196"/>
    <mergeCell ref="B152:S152"/>
    <mergeCell ref="B154:S154"/>
    <mergeCell ref="B156:S156"/>
    <mergeCell ref="B204:S204"/>
    <mergeCell ref="B168:S168"/>
    <mergeCell ref="B170:S170"/>
    <mergeCell ref="B172:S172"/>
    <mergeCell ref="B174:S174"/>
    <mergeCell ref="B176:S176"/>
    <mergeCell ref="B178:S178"/>
    <mergeCell ref="B180:S180"/>
    <mergeCell ref="B182:S182"/>
    <mergeCell ref="B184:S184"/>
    <mergeCell ref="A213:S213"/>
    <mergeCell ref="B160:S160"/>
    <mergeCell ref="B162:S162"/>
    <mergeCell ref="E120:G120"/>
    <mergeCell ref="B121:S121"/>
    <mergeCell ref="B122:D122"/>
    <mergeCell ref="E122:G122"/>
    <mergeCell ref="B123:S123"/>
    <mergeCell ref="B124:D124"/>
    <mergeCell ref="E124:G124"/>
    <mergeCell ref="B125:S125"/>
    <mergeCell ref="B126:D126"/>
    <mergeCell ref="E126:G126"/>
    <mergeCell ref="B127:S127"/>
    <mergeCell ref="B128:D128"/>
    <mergeCell ref="E128:G128"/>
    <mergeCell ref="B132:D132"/>
    <mergeCell ref="E132:G132"/>
    <mergeCell ref="A144:S144"/>
    <mergeCell ref="J132:M132"/>
    <mergeCell ref="J134:M134"/>
    <mergeCell ref="B64:D64"/>
    <mergeCell ref="E64:G64"/>
    <mergeCell ref="B65:S65"/>
    <mergeCell ref="B66:D66"/>
    <mergeCell ref="E66:G66"/>
    <mergeCell ref="B118:D118"/>
    <mergeCell ref="E118:G118"/>
    <mergeCell ref="B137:S137"/>
    <mergeCell ref="B67:S67"/>
    <mergeCell ref="B68:D68"/>
    <mergeCell ref="E68:G68"/>
    <mergeCell ref="B69:S69"/>
    <mergeCell ref="A80:A81"/>
    <mergeCell ref="B83:S83"/>
    <mergeCell ref="B79:S79"/>
    <mergeCell ref="B80:D80"/>
    <mergeCell ref="B150:S150"/>
    <mergeCell ref="B133:S133"/>
    <mergeCell ref="B134:D134"/>
    <mergeCell ref="B70:D70"/>
    <mergeCell ref="E70:G70"/>
    <mergeCell ref="B71:S71"/>
    <mergeCell ref="B72:D72"/>
    <mergeCell ref="E72:G72"/>
    <mergeCell ref="J72:M72"/>
    <mergeCell ref="J74:M74"/>
    <mergeCell ref="J76:M76"/>
    <mergeCell ref="J78:M78"/>
    <mergeCell ref="B95:S95"/>
    <mergeCell ref="B96:S96"/>
    <mergeCell ref="B76:D76"/>
    <mergeCell ref="E76:G76"/>
    <mergeCell ref="B88:S88"/>
    <mergeCell ref="A87:S87"/>
    <mergeCell ref="B89:S89"/>
    <mergeCell ref="B90:S90"/>
    <mergeCell ref="B91:S91"/>
    <mergeCell ref="B92:S92"/>
    <mergeCell ref="B93:S93"/>
    <mergeCell ref="A78:A79"/>
    <mergeCell ref="A56:A57"/>
    <mergeCell ref="A60:A61"/>
    <mergeCell ref="A58:A59"/>
    <mergeCell ref="B61:S61"/>
    <mergeCell ref="J54:M54"/>
    <mergeCell ref="J56:M56"/>
    <mergeCell ref="J60:M60"/>
    <mergeCell ref="J58:M58"/>
    <mergeCell ref="A50:S50"/>
    <mergeCell ref="B53:D53"/>
    <mergeCell ref="E53:G53"/>
    <mergeCell ref="B54:D54"/>
    <mergeCell ref="E54:G54"/>
    <mergeCell ref="B55:S55"/>
    <mergeCell ref="B56:D56"/>
    <mergeCell ref="E56:G56"/>
    <mergeCell ref="J53:M53"/>
    <mergeCell ref="B57:S57"/>
    <mergeCell ref="B58:D58"/>
    <mergeCell ref="E58:G58"/>
    <mergeCell ref="B59:S59"/>
    <mergeCell ref="B60:D60"/>
    <mergeCell ref="E60:G60"/>
    <mergeCell ref="E80:G80"/>
    <mergeCell ref="B81:S81"/>
    <mergeCell ref="B82:D82"/>
    <mergeCell ref="E82:G82"/>
    <mergeCell ref="J80:M80"/>
    <mergeCell ref="J82:M82"/>
    <mergeCell ref="E78:G78"/>
    <mergeCell ref="B75:S75"/>
    <mergeCell ref="B77:S77"/>
    <mergeCell ref="B78:D78"/>
    <mergeCell ref="AZ161:AZ162"/>
    <mergeCell ref="BA161:BA162"/>
    <mergeCell ref="AZ163:AZ164"/>
    <mergeCell ref="BA163:BA164"/>
    <mergeCell ref="AZ165:AZ166"/>
    <mergeCell ref="BA165:BA166"/>
    <mergeCell ref="AW151:AW152"/>
    <mergeCell ref="AX151:AX152"/>
    <mergeCell ref="AY151:AY152"/>
    <mergeCell ref="AT153:AT154"/>
    <mergeCell ref="AU153:AU154"/>
    <mergeCell ref="AV153:AV154"/>
    <mergeCell ref="AW153:AW154"/>
    <mergeCell ref="AX153:AX154"/>
    <mergeCell ref="AY153:AY154"/>
    <mergeCell ref="AU155:AU156"/>
    <mergeCell ref="AY155:AY156"/>
    <mergeCell ref="AT157:AT158"/>
    <mergeCell ref="AU157:AU158"/>
    <mergeCell ref="AV157:AV158"/>
    <mergeCell ref="AY157:AY158"/>
    <mergeCell ref="B94:S94"/>
    <mergeCell ref="AZ179:AZ180"/>
    <mergeCell ref="BA179:BA180"/>
    <mergeCell ref="AZ181:AZ182"/>
    <mergeCell ref="BA181:BA182"/>
    <mergeCell ref="AZ183:AZ184"/>
    <mergeCell ref="BA183:BA184"/>
    <mergeCell ref="AZ185:AZ186"/>
    <mergeCell ref="BA185:BA186"/>
    <mergeCell ref="BA159:BA160"/>
    <mergeCell ref="BA175:BA176"/>
    <mergeCell ref="AZ177:AZ178"/>
    <mergeCell ref="BA177:BA178"/>
    <mergeCell ref="AZ159:AZ160"/>
    <mergeCell ref="AZ167:AZ168"/>
    <mergeCell ref="BA167:BA168"/>
    <mergeCell ref="AZ169:AZ170"/>
    <mergeCell ref="BA169:BA170"/>
    <mergeCell ref="AZ171:AZ172"/>
    <mergeCell ref="BA171:BA172"/>
    <mergeCell ref="AZ173:AZ174"/>
    <mergeCell ref="BA173:BA174"/>
    <mergeCell ref="AZ175:AZ176"/>
    <mergeCell ref="AZ149:AZ150"/>
    <mergeCell ref="AZ205:AZ206"/>
    <mergeCell ref="BA205:BA206"/>
    <mergeCell ref="AZ207:AZ208"/>
    <mergeCell ref="BA207:BA208"/>
    <mergeCell ref="AZ187:AZ188"/>
    <mergeCell ref="BA187:BA188"/>
    <mergeCell ref="AZ189:AZ190"/>
    <mergeCell ref="BA189:BA190"/>
    <mergeCell ref="AZ191:AZ192"/>
    <mergeCell ref="BA191:BA192"/>
    <mergeCell ref="AZ193:AZ194"/>
    <mergeCell ref="BA193:BA194"/>
    <mergeCell ref="AZ195:AZ196"/>
    <mergeCell ref="BA195:BA196"/>
    <mergeCell ref="AZ197:AZ198"/>
    <mergeCell ref="BA197:BA198"/>
    <mergeCell ref="AZ199:AZ200"/>
    <mergeCell ref="BA199:BA200"/>
    <mergeCell ref="AZ201:AZ202"/>
    <mergeCell ref="BA201:BA202"/>
    <mergeCell ref="AZ203:AZ204"/>
    <mergeCell ref="BA203:BA204"/>
    <mergeCell ref="A2:D2"/>
    <mergeCell ref="E2:H2"/>
    <mergeCell ref="I2:L2"/>
    <mergeCell ref="M2:P2"/>
    <mergeCell ref="Q2:S2"/>
    <mergeCell ref="A1:S1"/>
    <mergeCell ref="A10:C10"/>
    <mergeCell ref="D10:E10"/>
    <mergeCell ref="A11:C11"/>
    <mergeCell ref="D11:E11"/>
    <mergeCell ref="BA149:BA150"/>
    <mergeCell ref="AZ151:AZ152"/>
    <mergeCell ref="BA151:BA152"/>
    <mergeCell ref="AZ153:AZ154"/>
    <mergeCell ref="BA153:BA154"/>
    <mergeCell ref="AZ155:AZ156"/>
    <mergeCell ref="BA155:BA156"/>
    <mergeCell ref="AZ157:AZ158"/>
    <mergeCell ref="BA157:BA158"/>
    <mergeCell ref="AY149:AY150"/>
    <mergeCell ref="AT151:AT152"/>
    <mergeCell ref="AU151:AU152"/>
    <mergeCell ref="AV151:AV152"/>
    <mergeCell ref="A21:C21"/>
    <mergeCell ref="A22:B22"/>
    <mergeCell ref="A23:B23"/>
    <mergeCell ref="A24:B24"/>
    <mergeCell ref="A25:B25"/>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4:A55"/>
    <mergeCell ref="A62:A63"/>
    <mergeCell ref="A66:A67"/>
    <mergeCell ref="A68:A69"/>
    <mergeCell ref="A72:A73"/>
    <mergeCell ref="A70:A71"/>
    <mergeCell ref="A76:A77"/>
    <mergeCell ref="A74:A75"/>
    <mergeCell ref="A108:A109"/>
    <mergeCell ref="A82:A83"/>
    <mergeCell ref="A64:A65"/>
    <mergeCell ref="A110:A111"/>
    <mergeCell ref="B109:S109"/>
    <mergeCell ref="B110:D110"/>
    <mergeCell ref="A112:A113"/>
    <mergeCell ref="A116:A117"/>
    <mergeCell ref="A114:A115"/>
    <mergeCell ref="B119:S119"/>
    <mergeCell ref="A118:A119"/>
    <mergeCell ref="B97:S97"/>
    <mergeCell ref="B98:S98"/>
    <mergeCell ref="B99:S99"/>
    <mergeCell ref="A104:S104"/>
    <mergeCell ref="B107:D107"/>
    <mergeCell ref="E107:G107"/>
    <mergeCell ref="B108:D108"/>
    <mergeCell ref="E108:G108"/>
    <mergeCell ref="E110:G110"/>
    <mergeCell ref="B111:S111"/>
    <mergeCell ref="B112:D112"/>
    <mergeCell ref="E112:G112"/>
    <mergeCell ref="AV114:AV115"/>
    <mergeCell ref="AW114:AW115"/>
    <mergeCell ref="AX114:AX115"/>
    <mergeCell ref="AU116:AU117"/>
    <mergeCell ref="AV116:AV117"/>
    <mergeCell ref="AW116:AW117"/>
    <mergeCell ref="AX116:AX117"/>
    <mergeCell ref="A181:A182"/>
    <mergeCell ref="A179:A180"/>
    <mergeCell ref="A161:A162"/>
    <mergeCell ref="A159:A160"/>
    <mergeCell ref="A165:A166"/>
    <mergeCell ref="A163:A164"/>
    <mergeCell ref="A169:A170"/>
    <mergeCell ref="A167:A168"/>
    <mergeCell ref="A173:A174"/>
    <mergeCell ref="A171:A172"/>
    <mergeCell ref="A177:A178"/>
    <mergeCell ref="A175:A176"/>
    <mergeCell ref="A132:A133"/>
    <mergeCell ref="A134:A135"/>
    <mergeCell ref="A149:A150"/>
    <mergeCell ref="A136:A137"/>
    <mergeCell ref="A122:A123"/>
    <mergeCell ref="AV108:AV109"/>
    <mergeCell ref="AW108:AW109"/>
    <mergeCell ref="AX108:AX109"/>
    <mergeCell ref="AU110:AU111"/>
    <mergeCell ref="AV110:AV111"/>
    <mergeCell ref="AW110:AW111"/>
    <mergeCell ref="AX110:AX111"/>
    <mergeCell ref="AU112:AU113"/>
    <mergeCell ref="AV112:AV113"/>
    <mergeCell ref="AW112:AW113"/>
    <mergeCell ref="AX112:AX113"/>
    <mergeCell ref="A151:A152"/>
    <mergeCell ref="A153:A154"/>
    <mergeCell ref="A157:A158"/>
    <mergeCell ref="A155:A156"/>
    <mergeCell ref="B198:S198"/>
    <mergeCell ref="B200:S200"/>
    <mergeCell ref="B202:S202"/>
    <mergeCell ref="AT149:AT150"/>
    <mergeCell ref="AU108:AU109"/>
    <mergeCell ref="AU114:AU115"/>
    <mergeCell ref="A120:A121"/>
    <mergeCell ref="A126:A127"/>
    <mergeCell ref="A124:A125"/>
    <mergeCell ref="A128:A129"/>
    <mergeCell ref="B129:S129"/>
    <mergeCell ref="A130:A131"/>
    <mergeCell ref="B130:D130"/>
    <mergeCell ref="E130:G130"/>
    <mergeCell ref="B131:S131"/>
    <mergeCell ref="J122:M122"/>
    <mergeCell ref="J124:M124"/>
    <mergeCell ref="J126:M126"/>
    <mergeCell ref="J128:M128"/>
    <mergeCell ref="J130:M130"/>
    <mergeCell ref="A199:A200"/>
    <mergeCell ref="A197:A198"/>
    <mergeCell ref="A201:A202"/>
    <mergeCell ref="A203:A204"/>
    <mergeCell ref="A185:A186"/>
    <mergeCell ref="A183:A184"/>
    <mergeCell ref="A189:A190"/>
    <mergeCell ref="A187:A188"/>
    <mergeCell ref="A191:A192"/>
    <mergeCell ref="A193:A194"/>
    <mergeCell ref="A195:A196"/>
    <mergeCell ref="AU124:AU125"/>
    <mergeCell ref="AV124:AV125"/>
    <mergeCell ref="AW124:AW125"/>
    <mergeCell ref="AX124:AX125"/>
    <mergeCell ref="AU126:AU127"/>
    <mergeCell ref="AV126:AV127"/>
    <mergeCell ref="AW126:AW127"/>
    <mergeCell ref="AX126:AX127"/>
    <mergeCell ref="AU128:AU129"/>
    <mergeCell ref="AV128:AV129"/>
    <mergeCell ref="AW128:AW129"/>
    <mergeCell ref="AX128:AX129"/>
    <mergeCell ref="AU118:AU119"/>
    <mergeCell ref="AV118:AV119"/>
    <mergeCell ref="AW118:AW119"/>
    <mergeCell ref="AX118:AX119"/>
    <mergeCell ref="AU120:AU121"/>
    <mergeCell ref="AV120:AV121"/>
    <mergeCell ref="AW120:AW121"/>
    <mergeCell ref="AX120:AX121"/>
    <mergeCell ref="AU122:AU123"/>
    <mergeCell ref="AV122:AV123"/>
    <mergeCell ref="AW122:AW123"/>
    <mergeCell ref="AX122:AX123"/>
    <mergeCell ref="AU130:AU131"/>
    <mergeCell ref="AV155:AV156"/>
    <mergeCell ref="AW155:AW156"/>
    <mergeCell ref="AX155:AX156"/>
    <mergeCell ref="AU134:AU135"/>
    <mergeCell ref="AV134:AV135"/>
    <mergeCell ref="AW134:AW135"/>
    <mergeCell ref="AX134:AX135"/>
    <mergeCell ref="AU136:AU137"/>
    <mergeCell ref="AV136:AV137"/>
    <mergeCell ref="AW136:AW137"/>
    <mergeCell ref="AX136:AX137"/>
    <mergeCell ref="AU149:AU150"/>
    <mergeCell ref="AV149:AV150"/>
    <mergeCell ref="AW149:AW150"/>
    <mergeCell ref="AX149:AX150"/>
    <mergeCell ref="AV130:AV131"/>
    <mergeCell ref="AW130:AW131"/>
    <mergeCell ref="AX130:AX131"/>
    <mergeCell ref="AU132:AU133"/>
    <mergeCell ref="AV132:AV133"/>
    <mergeCell ref="AW132:AW133"/>
    <mergeCell ref="AX132:AX133"/>
    <mergeCell ref="AT159:AT160"/>
    <mergeCell ref="AU159:AU160"/>
    <mergeCell ref="AV159:AV160"/>
    <mergeCell ref="AW159:AW160"/>
    <mergeCell ref="AX159:AX160"/>
    <mergeCell ref="AY159:AY160"/>
    <mergeCell ref="AT155:AT156"/>
    <mergeCell ref="AT161:AT162"/>
    <mergeCell ref="AU161:AU162"/>
    <mergeCell ref="AV161:AV162"/>
    <mergeCell ref="AW161:AW162"/>
    <mergeCell ref="AX161:AX162"/>
    <mergeCell ref="AY161:AY162"/>
    <mergeCell ref="AW157:AW158"/>
    <mergeCell ref="AX157:AX158"/>
    <mergeCell ref="AT163:AT164"/>
    <mergeCell ref="AU163:AU164"/>
    <mergeCell ref="AV163:AV164"/>
    <mergeCell ref="AW163:AW164"/>
    <mergeCell ref="AX163:AX164"/>
    <mergeCell ref="AY163:AY164"/>
    <mergeCell ref="AT165:AT166"/>
    <mergeCell ref="AU165:AU166"/>
    <mergeCell ref="AV165:AV166"/>
    <mergeCell ref="AW165:AW166"/>
    <mergeCell ref="AX165:AX166"/>
    <mergeCell ref="AY165:AY166"/>
    <mergeCell ref="AT167:AT168"/>
    <mergeCell ref="AU167:AU168"/>
    <mergeCell ref="AV167:AV168"/>
    <mergeCell ref="AW167:AW168"/>
    <mergeCell ref="AX167:AX168"/>
    <mergeCell ref="AY167:AY168"/>
    <mergeCell ref="AT169:AT170"/>
    <mergeCell ref="AU169:AU170"/>
    <mergeCell ref="AV169:AV170"/>
    <mergeCell ref="AW169:AW170"/>
    <mergeCell ref="AX169:AX170"/>
    <mergeCell ref="AY169:AY170"/>
    <mergeCell ref="AT171:AT172"/>
    <mergeCell ref="AU171:AU172"/>
    <mergeCell ref="AV171:AV172"/>
    <mergeCell ref="AW171:AW172"/>
    <mergeCell ref="AX171:AX172"/>
    <mergeCell ref="AY171:AY172"/>
    <mergeCell ref="AT173:AT174"/>
    <mergeCell ref="AU173:AU174"/>
    <mergeCell ref="AV173:AV174"/>
    <mergeCell ref="AW173:AW174"/>
    <mergeCell ref="AX173:AX174"/>
    <mergeCell ref="AY173:AY174"/>
    <mergeCell ref="AT175:AT176"/>
    <mergeCell ref="AU175:AU176"/>
    <mergeCell ref="AV175:AV176"/>
    <mergeCell ref="AW175:AW176"/>
    <mergeCell ref="AX175:AX176"/>
    <mergeCell ref="AY175:AY176"/>
    <mergeCell ref="AT177:AT178"/>
    <mergeCell ref="AU177:AU178"/>
    <mergeCell ref="AV177:AV178"/>
    <mergeCell ref="AW177:AW178"/>
    <mergeCell ref="AX177:AX178"/>
    <mergeCell ref="AY177:AY178"/>
    <mergeCell ref="AT179:AT180"/>
    <mergeCell ref="AU179:AU180"/>
    <mergeCell ref="AV179:AV180"/>
    <mergeCell ref="AW179:AW180"/>
    <mergeCell ref="AX179:AX180"/>
    <mergeCell ref="AY179:AY180"/>
    <mergeCell ref="AT181:AT182"/>
    <mergeCell ref="AU181:AU182"/>
    <mergeCell ref="AV181:AV182"/>
    <mergeCell ref="AW181:AW182"/>
    <mergeCell ref="AX181:AX182"/>
    <mergeCell ref="AY181:AY182"/>
    <mergeCell ref="AT183:AT184"/>
    <mergeCell ref="AU183:AU184"/>
    <mergeCell ref="AV183:AV184"/>
    <mergeCell ref="AW183:AW184"/>
    <mergeCell ref="AX183:AX184"/>
    <mergeCell ref="AY183:AY184"/>
    <mergeCell ref="AT185:AT186"/>
    <mergeCell ref="AU185:AU186"/>
    <mergeCell ref="AV185:AV186"/>
    <mergeCell ref="AW185:AW186"/>
    <mergeCell ref="AX185:AX186"/>
    <mergeCell ref="AY185:AY186"/>
    <mergeCell ref="AT187:AT188"/>
    <mergeCell ref="AU187:AU188"/>
    <mergeCell ref="AV187:AV188"/>
    <mergeCell ref="AW187:AW188"/>
    <mergeCell ref="AX187:AX188"/>
    <mergeCell ref="AY187:AY188"/>
    <mergeCell ref="AT189:AT190"/>
    <mergeCell ref="AU189:AU190"/>
    <mergeCell ref="AV189:AV190"/>
    <mergeCell ref="AW189:AW190"/>
    <mergeCell ref="AX189:AX190"/>
    <mergeCell ref="AY189:AY190"/>
    <mergeCell ref="AT191:AT192"/>
    <mergeCell ref="AU191:AU192"/>
    <mergeCell ref="AV191:AV192"/>
    <mergeCell ref="AW191:AW192"/>
    <mergeCell ref="AX191:AX192"/>
    <mergeCell ref="AY191:AY192"/>
    <mergeCell ref="AT193:AT194"/>
    <mergeCell ref="AU193:AU194"/>
    <mergeCell ref="AV193:AV194"/>
    <mergeCell ref="AW193:AW194"/>
    <mergeCell ref="AX193:AX194"/>
    <mergeCell ref="AY193:AY194"/>
    <mergeCell ref="AT195:AT196"/>
    <mergeCell ref="AU195:AU196"/>
    <mergeCell ref="AV195:AV196"/>
    <mergeCell ref="AW195:AW196"/>
    <mergeCell ref="AX195:AX196"/>
    <mergeCell ref="AY195:AY196"/>
    <mergeCell ref="AX197:AX198"/>
    <mergeCell ref="AY197:AY198"/>
    <mergeCell ref="AT199:AT200"/>
    <mergeCell ref="AU199:AU200"/>
    <mergeCell ref="AV199:AV200"/>
    <mergeCell ref="AW199:AW200"/>
    <mergeCell ref="AX199:AX200"/>
    <mergeCell ref="AY199:AY200"/>
    <mergeCell ref="AT201:AT202"/>
    <mergeCell ref="AU201:AU202"/>
    <mergeCell ref="AV201:AV202"/>
    <mergeCell ref="AW201:AW202"/>
    <mergeCell ref="AX201:AX202"/>
    <mergeCell ref="AY201:AY202"/>
    <mergeCell ref="AT197:AT198"/>
    <mergeCell ref="AU197:AU198"/>
    <mergeCell ref="AV197:AV198"/>
    <mergeCell ref="AW197:AW198"/>
    <mergeCell ref="AT203:AT204"/>
    <mergeCell ref="AU203:AU204"/>
    <mergeCell ref="AV203:AV204"/>
    <mergeCell ref="AW203:AW204"/>
    <mergeCell ref="AX203:AX204"/>
    <mergeCell ref="AY203:AY204"/>
    <mergeCell ref="AT205:AT206"/>
    <mergeCell ref="AU205:AU206"/>
    <mergeCell ref="AV205:AV206"/>
    <mergeCell ref="AW205:AW206"/>
    <mergeCell ref="A205:A206"/>
    <mergeCell ref="AX205:AX206"/>
    <mergeCell ref="AY205:AY206"/>
    <mergeCell ref="AT207:AT208"/>
    <mergeCell ref="AU207:AU208"/>
    <mergeCell ref="AV207:AV208"/>
    <mergeCell ref="AW207:AW208"/>
    <mergeCell ref="AX207:AX208"/>
    <mergeCell ref="AY207:AY208"/>
    <mergeCell ref="A207:A208"/>
    <mergeCell ref="B206:S206"/>
    <mergeCell ref="B208:S208"/>
    <mergeCell ref="A26:B26"/>
    <mergeCell ref="A27:B27"/>
    <mergeCell ref="A28:B28"/>
    <mergeCell ref="A29:B29"/>
    <mergeCell ref="G10:J10"/>
    <mergeCell ref="G11:J11"/>
    <mergeCell ref="G12:J12"/>
    <mergeCell ref="G13:J13"/>
    <mergeCell ref="G14:J14"/>
    <mergeCell ref="G15:J15"/>
    <mergeCell ref="G16:J16"/>
    <mergeCell ref="D12:E12"/>
    <mergeCell ref="D13:E13"/>
    <mergeCell ref="A12:C12"/>
    <mergeCell ref="A13:C13"/>
    <mergeCell ref="A14:C14"/>
    <mergeCell ref="A15:C15"/>
    <mergeCell ref="D14:E14"/>
    <mergeCell ref="D15:E15"/>
    <mergeCell ref="A16:C16"/>
    <mergeCell ref="D16:E16"/>
  </mergeCells>
  <conditionalFormatting sqref="O52:T52 P106:T106">
    <cfRule type="expression" dxfId="668" priority="1757">
      <formula>$J$52&gt;$D$13</formula>
    </cfRule>
  </conditionalFormatting>
  <conditionalFormatting sqref="A54:B54 E54 A55 H54:J54 A150 A154 A156 A158 A160 A162 A164 A166 A168 A170 A172 A174 A176 A178 A180 A182 A184 A186 A188 A190 A192 A194 A196 A198 A200 A202 A204 A206 A208 A149:N149 Q54:T54 P149:T149 T153 T151 T155 T157 T159 T161 T163 T165 T167 T169 T171 T173 T175 T177 T179 T181 T183 T185 T187 T189 T191 T193 T195 T197 T199 T201 T203 T205 T207 R56 R58 R60 R62 R64 R66 R68 R70 R72 R74 R76 R78 R80 R82 A165:H165 A169:H169 A173:H173 A177:H177 A181:H181 A185:H185 A189:H189 A193:H193 A197:H197 A201:H201 A205:H205 B151:N151 A153:N153 A157:N157 A161:N161 J165:N165 J169:N169 J173:N173 J177:N177 J181:N181 J185:N185 J189:N189 J193:N193 J197:N197 J201:N201 J205:N205 A155:N155 A159:N159 A163:N163 A167:N167 A171:N171 A175:N175 A179:N179 A183:N183 A187:N187 A191:N191 A195:N195 A199:N199 A203:N203 A207:N207">
    <cfRule type="expression" dxfId="667" priority="1754">
      <formula>MOD($A54,2)=1</formula>
    </cfRule>
  </conditionalFormatting>
  <conditionalFormatting sqref="O107 E107:E108 H108:J108 A108:B109 A133:A136 B107 N108:T108 R110 R112 R114 R116 R118 R120 R122 R124 R126 R128 R130 R132 R134 R136">
    <cfRule type="expression" dxfId="666" priority="1743">
      <formula>MOD($A109,2)=1</formula>
    </cfRule>
  </conditionalFormatting>
  <conditionalFormatting sqref="A221">
    <cfRule type="expression" dxfId="665" priority="1738">
      <formula>MOD($A221,2)=1</formula>
    </cfRule>
  </conditionalFormatting>
  <conditionalFormatting sqref="A221:G221 AQ221:AS244 AQ246:AS251 AQ253:AS300">
    <cfRule type="expression" dxfId="664" priority="1736">
      <formula>MOD($A221,2)=0</formula>
    </cfRule>
  </conditionalFormatting>
  <conditionalFormatting sqref="B55">
    <cfRule type="expression" dxfId="663" priority="1729">
      <formula>MOD($A55,2)=1</formula>
    </cfRule>
  </conditionalFormatting>
  <conditionalFormatting sqref="N54:O54">
    <cfRule type="expression" dxfId="662" priority="1695">
      <formula>MOD($A54,2)=1</formula>
    </cfRule>
  </conditionalFormatting>
  <conditionalFormatting sqref="V54:X79">
    <cfRule type="expression" dxfId="661" priority="1693">
      <formula>MOD($A54,2)=1</formula>
    </cfRule>
  </conditionalFormatting>
  <conditionalFormatting sqref="U54 U56 U58 U62 U66 U70 U74 U78 U60 U64 U68 U72 U76">
    <cfRule type="expression" dxfId="660" priority="1707">
      <formula>MOD($A54,2)=1</formula>
    </cfRule>
  </conditionalFormatting>
  <conditionalFormatting sqref="Y54 Y56 Y58 Y62 Y66 Y70 Y74 Y78 Y60 Y64 Y68 Y72 Y76">
    <cfRule type="expression" dxfId="659" priority="1706">
      <formula>MOD($A54,2)=1</formula>
    </cfRule>
  </conditionalFormatting>
  <conditionalFormatting sqref="U55 U59 U63 U67 U71 U75 U79">
    <cfRule type="expression" dxfId="658" priority="1703">
      <formula>MOD($A55,2)=1</formula>
    </cfRule>
  </conditionalFormatting>
  <conditionalFormatting sqref="Y55 Y59 Y63 Y67 Y71 Y75 Y79">
    <cfRule type="expression" dxfId="657" priority="1702">
      <formula>MOD($A55,2)=1</formula>
    </cfRule>
  </conditionalFormatting>
  <conditionalFormatting sqref="U57 U61 U65 U69 U73 U77">
    <cfRule type="expression" dxfId="656" priority="1699">
      <formula>MOD($A57,2)=1</formula>
    </cfRule>
  </conditionalFormatting>
  <conditionalFormatting sqref="Y57 Y61 Y65 Y69 Y73 Y77">
    <cfRule type="expression" dxfId="655" priority="1698">
      <formula>MOD($A57,2)=1</formula>
    </cfRule>
  </conditionalFormatting>
  <conditionalFormatting sqref="Z54:AA79">
    <cfRule type="expression" dxfId="654" priority="1692">
      <formula>MOD($A54,2)=1</formula>
    </cfRule>
  </conditionalFormatting>
  <conditionalFormatting sqref="A22:B22">
    <cfRule type="expression" dxfId="653" priority="1668">
      <formula>$D22&gt;$D$13</formula>
    </cfRule>
  </conditionalFormatting>
  <conditionalFormatting sqref="C22:C23">
    <cfRule type="expression" dxfId="652" priority="1666">
      <formula>$D22&gt;$D$13</formula>
    </cfRule>
  </conditionalFormatting>
  <conditionalFormatting sqref="A23:C23">
    <cfRule type="expression" dxfId="651" priority="1657">
      <formula>$A23&gt;$D$13</formula>
    </cfRule>
  </conditionalFormatting>
  <conditionalFormatting sqref="A70:B70 A56:A69 A71:A79">
    <cfRule type="expression" dxfId="650" priority="1654">
      <formula>MOD($A56,2)=1</formula>
    </cfRule>
  </conditionalFormatting>
  <conditionalFormatting sqref="A285">
    <cfRule type="expression" dxfId="649" priority="1288">
      <formula>MOD($A285,2)=1</formula>
    </cfRule>
  </conditionalFormatting>
  <conditionalFormatting sqref="A80:A83">
    <cfRule type="expression" dxfId="648" priority="1648">
      <formula>MOD($A80,2)=1</formula>
    </cfRule>
  </conditionalFormatting>
  <conditionalFormatting sqref="U80:AA83">
    <cfRule type="expression" dxfId="647" priority="1642">
      <formula>MOD($A80,2)=1</formula>
    </cfRule>
  </conditionalFormatting>
  <conditionalFormatting sqref="A110:A132">
    <cfRule type="expression" dxfId="646" priority="1639">
      <formula>MOD($A112,2)=1</formula>
    </cfRule>
  </conditionalFormatting>
  <conditionalFormatting sqref="P54">
    <cfRule type="expression" dxfId="645" priority="1634">
      <formula>MOD($A54,2)=1</formula>
    </cfRule>
  </conditionalFormatting>
  <conditionalFormatting sqref="A269">
    <cfRule type="expression" dxfId="644" priority="1353">
      <formula>MOD($A269,2)=1</formula>
    </cfRule>
  </conditionalFormatting>
  <conditionalFormatting sqref="A137">
    <cfRule type="expression" dxfId="643" priority="2459">
      <formula>MOD($A143,2)=1</formula>
    </cfRule>
  </conditionalFormatting>
  <conditionalFormatting sqref="A151:A152">
    <cfRule type="expression" dxfId="642" priority="1543">
      <formula>MOD($A151,2)=1</formula>
    </cfRule>
  </conditionalFormatting>
  <conditionalFormatting sqref="C237 G237">
    <cfRule type="expression" dxfId="641" priority="1525">
      <formula>MOD($A237,2)=0</formula>
    </cfRule>
  </conditionalFormatting>
  <conditionalFormatting sqref="C253 G253">
    <cfRule type="expression" dxfId="640" priority="1495">
      <formula>MOD($A253,2)=0</formula>
    </cfRule>
  </conditionalFormatting>
  <conditionalFormatting sqref="A261">
    <cfRule type="expression" dxfId="639" priority="1447">
      <formula>MOD($A261,2)=1</formula>
    </cfRule>
  </conditionalFormatting>
  <conditionalFormatting sqref="A261">
    <cfRule type="expression" dxfId="638" priority="1446">
      <formula>MOD($A261,2)=0</formula>
    </cfRule>
  </conditionalFormatting>
  <conditionalFormatting sqref="A261">
    <cfRule type="expression" dxfId="637" priority="1445">
      <formula>MOD($A261,2)=1</formula>
    </cfRule>
  </conditionalFormatting>
  <conditionalFormatting sqref="A261">
    <cfRule type="expression" dxfId="636" priority="1444">
      <formula>MOD($A261,2)=0</formula>
    </cfRule>
  </conditionalFormatting>
  <conditionalFormatting sqref="A253">
    <cfRule type="expression" dxfId="635" priority="1443">
      <formula>MOD($A253,2)=1</formula>
    </cfRule>
  </conditionalFormatting>
  <conditionalFormatting sqref="A253">
    <cfRule type="expression" dxfId="634" priority="1442">
      <formula>MOD($A253,2)=0</formula>
    </cfRule>
  </conditionalFormatting>
  <conditionalFormatting sqref="A253">
    <cfRule type="expression" dxfId="633" priority="1441">
      <formula>MOD($A253,2)=1</formula>
    </cfRule>
  </conditionalFormatting>
  <conditionalFormatting sqref="A253">
    <cfRule type="expression" dxfId="632" priority="1440">
      <formula>MOD($A253,2)=0</formula>
    </cfRule>
  </conditionalFormatting>
  <conditionalFormatting sqref="AQ252:AS252">
    <cfRule type="expression" dxfId="631" priority="2461">
      <formula>MOD($A245,2)=0</formula>
    </cfRule>
  </conditionalFormatting>
  <conditionalFormatting sqref="AQ245:AS245">
    <cfRule type="expression" dxfId="630" priority="2462">
      <formula>MOD(#REF!,2)=0</formula>
    </cfRule>
  </conditionalFormatting>
  <conditionalFormatting sqref="A237">
    <cfRule type="expression" dxfId="629" priority="1420">
      <formula>MOD($A237,2)=1</formula>
    </cfRule>
  </conditionalFormatting>
  <conditionalFormatting sqref="A237">
    <cfRule type="expression" dxfId="628" priority="1419">
      <formula>MOD($A237,2)=0</formula>
    </cfRule>
  </conditionalFormatting>
  <conditionalFormatting sqref="A237">
    <cfRule type="expression" dxfId="627" priority="1418">
      <formula>MOD($A237,2)=1</formula>
    </cfRule>
  </conditionalFormatting>
  <conditionalFormatting sqref="A237">
    <cfRule type="expression" dxfId="626" priority="1417">
      <formula>MOD($A237,2)=0</formula>
    </cfRule>
  </conditionalFormatting>
  <conditionalFormatting sqref="G245">
    <cfRule type="expression" dxfId="625" priority="1407">
      <formula>MOD($A245,2)=0</formula>
    </cfRule>
  </conditionalFormatting>
  <conditionalFormatting sqref="A245">
    <cfRule type="expression" dxfId="624" priority="1406">
      <formula>MOD($A245,2)=1</formula>
    </cfRule>
  </conditionalFormatting>
  <conditionalFormatting sqref="A245">
    <cfRule type="expression" dxfId="623" priority="1405">
      <formula>MOD($A245,2)=0</formula>
    </cfRule>
  </conditionalFormatting>
  <conditionalFormatting sqref="A245">
    <cfRule type="expression" dxfId="622" priority="1404">
      <formula>MOD($A245,2)=1</formula>
    </cfRule>
  </conditionalFormatting>
  <conditionalFormatting sqref="A245">
    <cfRule type="expression" dxfId="621" priority="1403">
      <formula>MOD($A245,2)=0</formula>
    </cfRule>
  </conditionalFormatting>
  <conditionalFormatting sqref="A269">
    <cfRule type="expression" dxfId="620" priority="1351">
      <formula>MOD($A269,2)=1</formula>
    </cfRule>
  </conditionalFormatting>
  <conditionalFormatting sqref="A285">
    <cfRule type="expression" dxfId="619" priority="1289">
      <formula>MOD($A285,2)=0</formula>
    </cfRule>
  </conditionalFormatting>
  <conditionalFormatting sqref="A285">
    <cfRule type="expression" dxfId="618" priority="1287">
      <formula>MOD($A285,2)=0</formula>
    </cfRule>
  </conditionalFormatting>
  <conditionalFormatting sqref="A269">
    <cfRule type="expression" dxfId="617" priority="1350">
      <formula>MOD($A269,2)=0</formula>
    </cfRule>
  </conditionalFormatting>
  <conditionalFormatting sqref="A269">
    <cfRule type="expression" dxfId="616" priority="1352">
      <formula>MOD($A269,2)=0</formula>
    </cfRule>
  </conditionalFormatting>
  <conditionalFormatting sqref="A277">
    <cfRule type="expression" dxfId="615" priority="1325">
      <formula>MOD($A277,2)=1</formula>
    </cfRule>
  </conditionalFormatting>
  <conditionalFormatting sqref="A277">
    <cfRule type="expression" dxfId="614" priority="1324">
      <formula>MOD($A277,2)=0</formula>
    </cfRule>
  </conditionalFormatting>
  <conditionalFormatting sqref="A277">
    <cfRule type="expression" dxfId="613" priority="1323">
      <formula>MOD($A277,2)=1</formula>
    </cfRule>
  </conditionalFormatting>
  <conditionalFormatting sqref="A277">
    <cfRule type="expression" dxfId="612" priority="1322">
      <formula>MOD($A277,2)=0</formula>
    </cfRule>
  </conditionalFormatting>
  <conditionalFormatting sqref="A285">
    <cfRule type="expression" dxfId="611" priority="1290">
      <formula>MOD($A285,2)=1</formula>
    </cfRule>
  </conditionalFormatting>
  <conditionalFormatting sqref="G277">
    <cfRule type="expression" dxfId="610" priority="1261">
      <formula>MOD($A277,2)=0</formula>
    </cfRule>
  </conditionalFormatting>
  <conditionalFormatting sqref="C285">
    <cfRule type="expression" dxfId="609" priority="1259">
      <formula>MOD($A285,2)=0</formula>
    </cfRule>
  </conditionalFormatting>
  <conditionalFormatting sqref="G285">
    <cfRule type="expression" dxfId="608" priority="1255">
      <formula>MOD($A285,2)=0</formula>
    </cfRule>
  </conditionalFormatting>
  <conditionalFormatting sqref="C269">
    <cfRule type="expression" dxfId="607" priority="1278">
      <formula>MOD($A269,2)=0</formula>
    </cfRule>
  </conditionalFormatting>
  <conditionalFormatting sqref="G269">
    <cfRule type="expression" dxfId="606" priority="1274">
      <formula>MOD($A269,2)=0</formula>
    </cfRule>
  </conditionalFormatting>
  <conditionalFormatting sqref="C261">
    <cfRule type="expression" dxfId="605" priority="1271">
      <formula>MOD($A261,2)=0</formula>
    </cfRule>
  </conditionalFormatting>
  <conditionalFormatting sqref="G261">
    <cfRule type="expression" dxfId="604" priority="1267">
      <formula>MOD($A261,2)=0</formula>
    </cfRule>
  </conditionalFormatting>
  <conditionalFormatting sqref="C277">
    <cfRule type="expression" dxfId="603" priority="1265">
      <formula>MOD($A277,2)=0</formula>
    </cfRule>
  </conditionalFormatting>
  <conditionalFormatting sqref="C293">
    <cfRule type="expression" dxfId="602" priority="1249">
      <formula>MOD($A293,2)=0</formula>
    </cfRule>
  </conditionalFormatting>
  <conditionalFormatting sqref="G293">
    <cfRule type="expression" dxfId="601" priority="1245">
      <formula>MOD($A293,2)=0</formula>
    </cfRule>
  </conditionalFormatting>
  <conditionalFormatting sqref="A293">
    <cfRule type="expression" dxfId="600" priority="1236">
      <formula>MOD($A293,2)=1</formula>
    </cfRule>
  </conditionalFormatting>
  <conditionalFormatting sqref="A293">
    <cfRule type="expression" dxfId="599" priority="1235">
      <formula>MOD($A293,2)=0</formula>
    </cfRule>
  </conditionalFormatting>
  <conditionalFormatting sqref="A293">
    <cfRule type="expression" dxfId="598" priority="1234">
      <formula>MOD($A293,2)=1</formula>
    </cfRule>
  </conditionalFormatting>
  <conditionalFormatting sqref="A293">
    <cfRule type="expression" dxfId="597" priority="1233">
      <formula>MOD($A293,2)=0</formula>
    </cfRule>
  </conditionalFormatting>
  <conditionalFormatting sqref="B56">
    <cfRule type="expression" dxfId="596" priority="1225">
      <formula>MOD($A56,2)=1</formula>
    </cfRule>
  </conditionalFormatting>
  <conditionalFormatting sqref="B58">
    <cfRule type="expression" dxfId="595" priority="1224">
      <formula>MOD($A58,2)=1</formula>
    </cfRule>
  </conditionalFormatting>
  <conditionalFormatting sqref="B72">
    <cfRule type="expression" dxfId="594" priority="1217">
      <formula>MOD($A72,2)=1</formula>
    </cfRule>
  </conditionalFormatting>
  <conditionalFormatting sqref="B62">
    <cfRule type="expression" dxfId="593" priority="1222">
      <formula>MOD($A62,2)=1</formula>
    </cfRule>
  </conditionalFormatting>
  <conditionalFormatting sqref="B64">
    <cfRule type="expression" dxfId="592" priority="1221">
      <formula>MOD($A64,2)=1</formula>
    </cfRule>
  </conditionalFormatting>
  <conditionalFormatting sqref="B66">
    <cfRule type="expression" dxfId="591" priority="1220">
      <formula>MOD($A66,2)=1</formula>
    </cfRule>
  </conditionalFormatting>
  <conditionalFormatting sqref="B68">
    <cfRule type="expression" dxfId="590" priority="1218">
      <formula>MOD($A68,2)=1</formula>
    </cfRule>
  </conditionalFormatting>
  <conditionalFormatting sqref="B74">
    <cfRule type="expression" dxfId="589" priority="1216">
      <formula>MOD($A74,2)=1</formula>
    </cfRule>
  </conditionalFormatting>
  <conditionalFormatting sqref="B76">
    <cfRule type="expression" dxfId="588" priority="1215">
      <formula>MOD($A76,2)=1</formula>
    </cfRule>
  </conditionalFormatting>
  <conditionalFormatting sqref="B78">
    <cfRule type="expression" dxfId="587" priority="1214">
      <formula>MOD($A78,2)=1</formula>
    </cfRule>
  </conditionalFormatting>
  <conditionalFormatting sqref="B80">
    <cfRule type="expression" dxfId="586" priority="1213">
      <formula>MOD($A80,2)=1</formula>
    </cfRule>
  </conditionalFormatting>
  <conditionalFormatting sqref="B82">
    <cfRule type="expression" dxfId="585" priority="1212">
      <formula>MOD($A82,2)=1</formula>
    </cfRule>
  </conditionalFormatting>
  <conditionalFormatting sqref="E56">
    <cfRule type="expression" dxfId="584" priority="1211">
      <formula>MOD($A56,2)=1</formula>
    </cfRule>
  </conditionalFormatting>
  <conditionalFormatting sqref="E58">
    <cfRule type="expression" dxfId="583" priority="1210">
      <formula>MOD($A58,2)=1</formula>
    </cfRule>
  </conditionalFormatting>
  <conditionalFormatting sqref="E60">
    <cfRule type="expression" dxfId="582" priority="1209">
      <formula>MOD($A60,2)=1</formula>
    </cfRule>
  </conditionalFormatting>
  <conditionalFormatting sqref="E62">
    <cfRule type="expression" dxfId="581" priority="1208">
      <formula>MOD($A62,2)=1</formula>
    </cfRule>
  </conditionalFormatting>
  <conditionalFormatting sqref="E64">
    <cfRule type="expression" dxfId="580" priority="1207">
      <formula>MOD($A64,2)=1</formula>
    </cfRule>
  </conditionalFormatting>
  <conditionalFormatting sqref="E66">
    <cfRule type="expression" dxfId="579" priority="1206">
      <formula>MOD($A66,2)=1</formula>
    </cfRule>
  </conditionalFormatting>
  <conditionalFormatting sqref="E68">
    <cfRule type="expression" dxfId="578" priority="1205">
      <formula>MOD($A68,2)=1</formula>
    </cfRule>
  </conditionalFormatting>
  <conditionalFormatting sqref="E70">
    <cfRule type="expression" dxfId="577" priority="1204">
      <formula>MOD($A70,2)=1</formula>
    </cfRule>
  </conditionalFormatting>
  <conditionalFormatting sqref="E72">
    <cfRule type="expression" dxfId="576" priority="1203">
      <formula>MOD($A72,2)=1</formula>
    </cfRule>
  </conditionalFormatting>
  <conditionalFormatting sqref="E74">
    <cfRule type="expression" dxfId="575" priority="1202">
      <formula>MOD($A74,2)=1</formula>
    </cfRule>
  </conditionalFormatting>
  <conditionalFormatting sqref="E76">
    <cfRule type="expression" dxfId="574" priority="1201">
      <formula>MOD($A76,2)=1</formula>
    </cfRule>
  </conditionalFormatting>
  <conditionalFormatting sqref="E78">
    <cfRule type="expression" dxfId="573" priority="1200">
      <formula>MOD($A78,2)=1</formula>
    </cfRule>
  </conditionalFormatting>
  <conditionalFormatting sqref="E80">
    <cfRule type="expression" dxfId="572" priority="1199">
      <formula>MOD($A80,2)=1</formula>
    </cfRule>
  </conditionalFormatting>
  <conditionalFormatting sqref="E82">
    <cfRule type="expression" dxfId="571" priority="1198">
      <formula>MOD($A82,2)=1</formula>
    </cfRule>
  </conditionalFormatting>
  <conditionalFormatting sqref="B131">
    <cfRule type="expression" dxfId="570" priority="955">
      <formula>MOD($A131,2)=1</formula>
    </cfRule>
  </conditionalFormatting>
  <conditionalFormatting sqref="I56">
    <cfRule type="expression" dxfId="569" priority="1181">
      <formula>MOD($A56,2)=1</formula>
    </cfRule>
  </conditionalFormatting>
  <conditionalFormatting sqref="I58">
    <cfRule type="expression" dxfId="568" priority="1180">
      <formula>MOD($A58,2)=1</formula>
    </cfRule>
  </conditionalFormatting>
  <conditionalFormatting sqref="I60">
    <cfRule type="expression" dxfId="567" priority="1179">
      <formula>MOD($A60,2)=1</formula>
    </cfRule>
  </conditionalFormatting>
  <conditionalFormatting sqref="I62">
    <cfRule type="expression" dxfId="566" priority="1178">
      <formula>MOD($A62,2)=1</formula>
    </cfRule>
  </conditionalFormatting>
  <conditionalFormatting sqref="I64">
    <cfRule type="expression" dxfId="565" priority="1177">
      <formula>MOD($A64,2)=1</formula>
    </cfRule>
  </conditionalFormatting>
  <conditionalFormatting sqref="I66">
    <cfRule type="expression" dxfId="564" priority="1176">
      <formula>MOD($A66,2)=1</formula>
    </cfRule>
  </conditionalFormatting>
  <conditionalFormatting sqref="I68">
    <cfRule type="expression" dxfId="563" priority="1175">
      <formula>MOD($A68,2)=1</formula>
    </cfRule>
  </conditionalFormatting>
  <conditionalFormatting sqref="I70">
    <cfRule type="expression" dxfId="562" priority="1174">
      <formula>MOD($A70,2)=1</formula>
    </cfRule>
  </conditionalFormatting>
  <conditionalFormatting sqref="I72">
    <cfRule type="expression" dxfId="561" priority="1173">
      <formula>MOD($A72,2)=1</formula>
    </cfRule>
  </conditionalFormatting>
  <conditionalFormatting sqref="I74">
    <cfRule type="expression" dxfId="560" priority="1172">
      <formula>MOD($A74,2)=1</formula>
    </cfRule>
  </conditionalFormatting>
  <conditionalFormatting sqref="I76">
    <cfRule type="expression" dxfId="559" priority="1171">
      <formula>MOD($A76,2)=1</formula>
    </cfRule>
  </conditionalFormatting>
  <conditionalFormatting sqref="I78">
    <cfRule type="expression" dxfId="558" priority="1170">
      <formula>MOD($A78,2)=1</formula>
    </cfRule>
  </conditionalFormatting>
  <conditionalFormatting sqref="I80">
    <cfRule type="expression" dxfId="557" priority="1169">
      <formula>MOD($A80,2)=1</formula>
    </cfRule>
  </conditionalFormatting>
  <conditionalFormatting sqref="I82">
    <cfRule type="expression" dxfId="556" priority="1168">
      <formula>MOD($A82,2)=1</formula>
    </cfRule>
  </conditionalFormatting>
  <conditionalFormatting sqref="J56">
    <cfRule type="expression" dxfId="555" priority="1167">
      <formula>MOD($A56,2)=1</formula>
    </cfRule>
  </conditionalFormatting>
  <conditionalFormatting sqref="J58">
    <cfRule type="expression" dxfId="554" priority="1166">
      <formula>MOD($A58,2)=1</formula>
    </cfRule>
  </conditionalFormatting>
  <conditionalFormatting sqref="J60">
    <cfRule type="expression" dxfId="553" priority="1165">
      <formula>MOD($A60,2)=1</formula>
    </cfRule>
  </conditionalFormatting>
  <conditionalFormatting sqref="J62">
    <cfRule type="expression" dxfId="552" priority="1164">
      <formula>MOD($A62,2)=1</formula>
    </cfRule>
  </conditionalFormatting>
  <conditionalFormatting sqref="J64">
    <cfRule type="expression" dxfId="551" priority="1163">
      <formula>MOD($A64,2)=1</formula>
    </cfRule>
  </conditionalFormatting>
  <conditionalFormatting sqref="J66">
    <cfRule type="expression" dxfId="550" priority="1162">
      <formula>MOD($A66,2)=1</formula>
    </cfRule>
  </conditionalFormatting>
  <conditionalFormatting sqref="J68">
    <cfRule type="expression" dxfId="549" priority="1161">
      <formula>MOD($A68,2)=1</formula>
    </cfRule>
  </conditionalFormatting>
  <conditionalFormatting sqref="J70">
    <cfRule type="expression" dxfId="548" priority="1160">
      <formula>MOD($A70,2)=1</formula>
    </cfRule>
  </conditionalFormatting>
  <conditionalFormatting sqref="J72">
    <cfRule type="expression" dxfId="547" priority="1159">
      <formula>MOD($A72,2)=1</formula>
    </cfRule>
  </conditionalFormatting>
  <conditionalFormatting sqref="J74">
    <cfRule type="expression" dxfId="546" priority="1158">
      <formula>MOD($A74,2)=1</formula>
    </cfRule>
  </conditionalFormatting>
  <conditionalFormatting sqref="J76">
    <cfRule type="expression" dxfId="545" priority="1157">
      <formula>MOD($A76,2)=1</formula>
    </cfRule>
  </conditionalFormatting>
  <conditionalFormatting sqref="J78">
    <cfRule type="expression" dxfId="544" priority="1156">
      <formula>MOD($A78,2)=1</formula>
    </cfRule>
  </conditionalFormatting>
  <conditionalFormatting sqref="J80">
    <cfRule type="expression" dxfId="543" priority="1155">
      <formula>MOD($A80,2)=1</formula>
    </cfRule>
  </conditionalFormatting>
  <conditionalFormatting sqref="J82">
    <cfRule type="expression" dxfId="542" priority="1154">
      <formula>MOD($A82,2)=1</formula>
    </cfRule>
  </conditionalFormatting>
  <conditionalFormatting sqref="N56">
    <cfRule type="expression" dxfId="541" priority="1153">
      <formula>MOD($A56,2)=1</formula>
    </cfRule>
  </conditionalFormatting>
  <conditionalFormatting sqref="N58">
    <cfRule type="expression" dxfId="540" priority="1152">
      <formula>MOD($A58,2)=1</formula>
    </cfRule>
  </conditionalFormatting>
  <conditionalFormatting sqref="N60">
    <cfRule type="expression" dxfId="539" priority="1151">
      <formula>MOD($A60,2)=1</formula>
    </cfRule>
  </conditionalFormatting>
  <conditionalFormatting sqref="N62">
    <cfRule type="expression" dxfId="538" priority="1150">
      <formula>MOD($A62,2)=1</formula>
    </cfRule>
  </conditionalFormatting>
  <conditionalFormatting sqref="N64">
    <cfRule type="expression" dxfId="537" priority="1149">
      <formula>MOD($A64,2)=1</formula>
    </cfRule>
  </conditionalFormatting>
  <conditionalFormatting sqref="N66">
    <cfRule type="expression" dxfId="536" priority="1148">
      <formula>MOD($A66,2)=1</formula>
    </cfRule>
  </conditionalFormatting>
  <conditionalFormatting sqref="N68">
    <cfRule type="expression" dxfId="535" priority="1147">
      <formula>MOD($A68,2)=1</formula>
    </cfRule>
  </conditionalFormatting>
  <conditionalFormatting sqref="N70">
    <cfRule type="expression" dxfId="534" priority="1146">
      <formula>MOD($A70,2)=1</formula>
    </cfRule>
  </conditionalFormatting>
  <conditionalFormatting sqref="N72">
    <cfRule type="expression" dxfId="533" priority="1145">
      <formula>MOD($A72,2)=1</formula>
    </cfRule>
  </conditionalFormatting>
  <conditionalFormatting sqref="N74">
    <cfRule type="expression" dxfId="532" priority="1144">
      <formula>MOD($A74,2)=1</formula>
    </cfRule>
  </conditionalFormatting>
  <conditionalFormatting sqref="N76">
    <cfRule type="expression" dxfId="531" priority="1143">
      <formula>MOD($A76,2)=1</formula>
    </cfRule>
  </conditionalFormatting>
  <conditionalFormatting sqref="N78">
    <cfRule type="expression" dxfId="530" priority="1142">
      <formula>MOD($A78,2)=1</formula>
    </cfRule>
  </conditionalFormatting>
  <conditionalFormatting sqref="N80">
    <cfRule type="expression" dxfId="529" priority="1141">
      <formula>MOD($A80,2)=1</formula>
    </cfRule>
  </conditionalFormatting>
  <conditionalFormatting sqref="N82">
    <cfRule type="expression" dxfId="528" priority="1140">
      <formula>MOD($A82,2)=1</formula>
    </cfRule>
  </conditionalFormatting>
  <conditionalFormatting sqref="O56">
    <cfRule type="expression" dxfId="527" priority="1139">
      <formula>MOD($A56,2)=1</formula>
    </cfRule>
  </conditionalFormatting>
  <conditionalFormatting sqref="O58">
    <cfRule type="expression" dxfId="526" priority="1138">
      <formula>MOD($A58,2)=1</formula>
    </cfRule>
  </conditionalFormatting>
  <conditionalFormatting sqref="O60">
    <cfRule type="expression" dxfId="525" priority="1137">
      <formula>MOD($A60,2)=1</formula>
    </cfRule>
  </conditionalFormatting>
  <conditionalFormatting sqref="O62">
    <cfRule type="expression" dxfId="524" priority="1136">
      <formula>MOD($A62,2)=1</formula>
    </cfRule>
  </conditionalFormatting>
  <conditionalFormatting sqref="O64">
    <cfRule type="expression" dxfId="523" priority="1135">
      <formula>MOD($A64,2)=1</formula>
    </cfRule>
  </conditionalFormatting>
  <conditionalFormatting sqref="O66">
    <cfRule type="expression" dxfId="522" priority="1134">
      <formula>MOD($A66,2)=1</formula>
    </cfRule>
  </conditionalFormatting>
  <conditionalFormatting sqref="O68">
    <cfRule type="expression" dxfId="521" priority="1133">
      <formula>MOD($A68,2)=1</formula>
    </cfRule>
  </conditionalFormatting>
  <conditionalFormatting sqref="O70">
    <cfRule type="expression" dxfId="520" priority="1132">
      <formula>MOD($A70,2)=1</formula>
    </cfRule>
  </conditionalFormatting>
  <conditionalFormatting sqref="O72">
    <cfRule type="expression" dxfId="519" priority="1131">
      <formula>MOD($A72,2)=1</formula>
    </cfRule>
  </conditionalFormatting>
  <conditionalFormatting sqref="O74">
    <cfRule type="expression" dxfId="518" priority="1130">
      <formula>MOD($A74,2)=1</formula>
    </cfRule>
  </conditionalFormatting>
  <conditionalFormatting sqref="O76">
    <cfRule type="expression" dxfId="517" priority="1129">
      <formula>MOD($A76,2)=1</formula>
    </cfRule>
  </conditionalFormatting>
  <conditionalFormatting sqref="O78">
    <cfRule type="expression" dxfId="516" priority="1128">
      <formula>MOD($A78,2)=1</formula>
    </cfRule>
  </conditionalFormatting>
  <conditionalFormatting sqref="O80">
    <cfRule type="expression" dxfId="515" priority="1127">
      <formula>MOD($A80,2)=1</formula>
    </cfRule>
  </conditionalFormatting>
  <conditionalFormatting sqref="O82">
    <cfRule type="expression" dxfId="514" priority="1126">
      <formula>MOD($A82,2)=1</formula>
    </cfRule>
  </conditionalFormatting>
  <conditionalFormatting sqref="B59">
    <cfRule type="expression" dxfId="513" priority="1124">
      <formula>MOD($A59,2)=1</formula>
    </cfRule>
  </conditionalFormatting>
  <conditionalFormatting sqref="B63">
    <cfRule type="expression" dxfId="512" priority="1122">
      <formula>MOD($A63,2)=1</formula>
    </cfRule>
  </conditionalFormatting>
  <conditionalFormatting sqref="B67">
    <cfRule type="expression" dxfId="511" priority="1120">
      <formula>MOD($A67,2)=1</formula>
    </cfRule>
  </conditionalFormatting>
  <conditionalFormatting sqref="B71">
    <cfRule type="expression" dxfId="510" priority="1118">
      <formula>MOD($A71,2)=1</formula>
    </cfRule>
  </conditionalFormatting>
  <conditionalFormatting sqref="B75">
    <cfRule type="expression" dxfId="509" priority="1116">
      <formula>MOD($A75,2)=1</formula>
    </cfRule>
  </conditionalFormatting>
  <conditionalFormatting sqref="B79">
    <cfRule type="expression" dxfId="508" priority="1114">
      <formula>MOD($A79,2)=1</formula>
    </cfRule>
  </conditionalFormatting>
  <conditionalFormatting sqref="B110">
    <cfRule type="expression" dxfId="507" priority="1013">
      <formula>MOD($A112,2)=1</formula>
    </cfRule>
  </conditionalFormatting>
  <conditionalFormatting sqref="B116">
    <cfRule type="expression" dxfId="506" priority="1010">
      <formula>MOD($A118,2)=1</formula>
    </cfRule>
  </conditionalFormatting>
  <conditionalFormatting sqref="B120">
    <cfRule type="expression" dxfId="505" priority="1001">
      <formula>MOD($A122,2)=1</formula>
    </cfRule>
  </conditionalFormatting>
  <conditionalFormatting sqref="B122">
    <cfRule type="expression" dxfId="504" priority="1000">
      <formula>MOD($A124,2)=1</formula>
    </cfRule>
  </conditionalFormatting>
  <conditionalFormatting sqref="B124">
    <cfRule type="expression" dxfId="503" priority="999">
      <formula>MOD($A126,2)=1</formula>
    </cfRule>
  </conditionalFormatting>
  <conditionalFormatting sqref="B126">
    <cfRule type="expression" dxfId="502" priority="998">
      <formula>MOD($A128,2)=1</formula>
    </cfRule>
  </conditionalFormatting>
  <conditionalFormatting sqref="B128">
    <cfRule type="expression" dxfId="501" priority="997">
      <formula>MOD($A130,2)=1</formula>
    </cfRule>
  </conditionalFormatting>
  <conditionalFormatting sqref="B130">
    <cfRule type="expression" dxfId="500" priority="996">
      <formula>MOD($A132,2)=1</formula>
    </cfRule>
  </conditionalFormatting>
  <conditionalFormatting sqref="B132">
    <cfRule type="expression" dxfId="499" priority="995">
      <formula>MOD($A134,2)=1</formula>
    </cfRule>
  </conditionalFormatting>
  <conditionalFormatting sqref="B134">
    <cfRule type="expression" dxfId="498" priority="994">
      <formula>MOD($A136,2)=1</formula>
    </cfRule>
  </conditionalFormatting>
  <conditionalFormatting sqref="B136">
    <cfRule type="expression" dxfId="497" priority="993">
      <formula>MOD($A138,2)=1</formula>
    </cfRule>
  </conditionalFormatting>
  <conditionalFormatting sqref="B112">
    <cfRule type="expression" dxfId="496" priority="992">
      <formula>MOD($A114,2)=1</formula>
    </cfRule>
  </conditionalFormatting>
  <conditionalFormatting sqref="B114">
    <cfRule type="expression" dxfId="495" priority="991">
      <formula>MOD($A116,2)=1</formula>
    </cfRule>
  </conditionalFormatting>
  <conditionalFormatting sqref="B118">
    <cfRule type="expression" dxfId="494" priority="990">
      <formula>MOD($A120,2)=1</formula>
    </cfRule>
  </conditionalFormatting>
  <conditionalFormatting sqref="E110">
    <cfRule type="expression" dxfId="493" priority="989">
      <formula>MOD($A112,2)=1</formula>
    </cfRule>
  </conditionalFormatting>
  <conditionalFormatting sqref="E112">
    <cfRule type="expression" dxfId="492" priority="988">
      <formula>MOD($A114,2)=1</formula>
    </cfRule>
  </conditionalFormatting>
  <conditionalFormatting sqref="E114">
    <cfRule type="expression" dxfId="491" priority="987">
      <formula>MOD($A116,2)=1</formula>
    </cfRule>
  </conditionalFormatting>
  <conditionalFormatting sqref="E116">
    <cfRule type="expression" dxfId="490" priority="986">
      <formula>MOD($A118,2)=1</formula>
    </cfRule>
  </conditionalFormatting>
  <conditionalFormatting sqref="E118">
    <cfRule type="expression" dxfId="489" priority="985">
      <formula>MOD($A120,2)=1</formula>
    </cfRule>
  </conditionalFormatting>
  <conditionalFormatting sqref="E120">
    <cfRule type="expression" dxfId="488" priority="984">
      <formula>MOD($A122,2)=1</formula>
    </cfRule>
  </conditionalFormatting>
  <conditionalFormatting sqref="E122">
    <cfRule type="expression" dxfId="487" priority="983">
      <formula>MOD($A124,2)=1</formula>
    </cfRule>
  </conditionalFormatting>
  <conditionalFormatting sqref="E124">
    <cfRule type="expression" dxfId="486" priority="982">
      <formula>MOD($A126,2)=1</formula>
    </cfRule>
  </conditionalFormatting>
  <conditionalFormatting sqref="E126">
    <cfRule type="expression" dxfId="485" priority="981">
      <formula>MOD($A128,2)=1</formula>
    </cfRule>
  </conditionalFormatting>
  <conditionalFormatting sqref="E128">
    <cfRule type="expression" dxfId="484" priority="980">
      <formula>MOD($A130,2)=1</formula>
    </cfRule>
  </conditionalFormatting>
  <conditionalFormatting sqref="E130">
    <cfRule type="expression" dxfId="483" priority="979">
      <formula>MOD($A132,2)=1</formula>
    </cfRule>
  </conditionalFormatting>
  <conditionalFormatting sqref="E132">
    <cfRule type="expression" dxfId="482" priority="978">
      <formula>MOD($A134,2)=1</formula>
    </cfRule>
  </conditionalFormatting>
  <conditionalFormatting sqref="E134">
    <cfRule type="expression" dxfId="481" priority="977">
      <formula>MOD($A136,2)=1</formula>
    </cfRule>
  </conditionalFormatting>
  <conditionalFormatting sqref="E136">
    <cfRule type="expression" dxfId="480" priority="976">
      <formula>MOD($A138,2)=1</formula>
    </cfRule>
  </conditionalFormatting>
  <conditionalFormatting sqref="B111">
    <cfRule type="expression" dxfId="479" priority="960">
      <formula>MOD($A111,2)=1</formula>
    </cfRule>
  </conditionalFormatting>
  <conditionalFormatting sqref="B115">
    <cfRule type="expression" dxfId="478" priority="959">
      <formula>MOD($A115,2)=1</formula>
    </cfRule>
  </conditionalFormatting>
  <conditionalFormatting sqref="B119">
    <cfRule type="expression" dxfId="477" priority="958">
      <formula>MOD($A119,2)=1</formula>
    </cfRule>
  </conditionalFormatting>
  <conditionalFormatting sqref="B123">
    <cfRule type="expression" dxfId="476" priority="957">
      <formula>MOD($A123,2)=1</formula>
    </cfRule>
  </conditionalFormatting>
  <conditionalFormatting sqref="B127">
    <cfRule type="expression" dxfId="475" priority="956">
      <formula>MOD($A127,2)=1</formula>
    </cfRule>
  </conditionalFormatting>
  <conditionalFormatting sqref="B135">
    <cfRule type="expression" dxfId="474" priority="954">
      <formula>MOD($A135,2)=1</formula>
    </cfRule>
  </conditionalFormatting>
  <conditionalFormatting sqref="J110">
    <cfRule type="expression" dxfId="473" priority="925">
      <formula>MOD($A112,2)=1</formula>
    </cfRule>
  </conditionalFormatting>
  <conditionalFormatting sqref="J112">
    <cfRule type="expression" dxfId="472" priority="924">
      <formula>MOD($A114,2)=1</formula>
    </cfRule>
  </conditionalFormatting>
  <conditionalFormatting sqref="J114">
    <cfRule type="expression" dxfId="471" priority="923">
      <formula>MOD($A116,2)=1</formula>
    </cfRule>
  </conditionalFormatting>
  <conditionalFormatting sqref="J116">
    <cfRule type="expression" dxfId="470" priority="922">
      <formula>MOD($A118,2)=1</formula>
    </cfRule>
  </conditionalFormatting>
  <conditionalFormatting sqref="J118">
    <cfRule type="expression" dxfId="469" priority="921">
      <formula>MOD($A120,2)=1</formula>
    </cfRule>
  </conditionalFormatting>
  <conditionalFormatting sqref="J120">
    <cfRule type="expression" dxfId="468" priority="920">
      <formula>MOD($A122,2)=1</formula>
    </cfRule>
  </conditionalFormatting>
  <conditionalFormatting sqref="J122">
    <cfRule type="expression" dxfId="467" priority="919">
      <formula>MOD($A124,2)=1</formula>
    </cfRule>
  </conditionalFormatting>
  <conditionalFormatting sqref="J124">
    <cfRule type="expression" dxfId="466" priority="918">
      <formula>MOD($A126,2)=1</formula>
    </cfRule>
  </conditionalFormatting>
  <conditionalFormatting sqref="J126">
    <cfRule type="expression" dxfId="465" priority="917">
      <formula>MOD($A128,2)=1</formula>
    </cfRule>
  </conditionalFormatting>
  <conditionalFormatting sqref="J128">
    <cfRule type="expression" dxfId="464" priority="916">
      <formula>MOD($A130,2)=1</formula>
    </cfRule>
  </conditionalFormatting>
  <conditionalFormatting sqref="J130">
    <cfRule type="expression" dxfId="463" priority="915">
      <formula>MOD($A132,2)=1</formula>
    </cfRule>
  </conditionalFormatting>
  <conditionalFormatting sqref="J132">
    <cfRule type="expression" dxfId="462" priority="914">
      <formula>MOD($A134,2)=1</formula>
    </cfRule>
  </conditionalFormatting>
  <conditionalFormatting sqref="J134">
    <cfRule type="expression" dxfId="461" priority="913">
      <formula>MOD($A136,2)=1</formula>
    </cfRule>
  </conditionalFormatting>
  <conditionalFormatting sqref="J136">
    <cfRule type="expression" dxfId="460" priority="912">
      <formula>MOD($A138,2)=1</formula>
    </cfRule>
  </conditionalFormatting>
  <conditionalFormatting sqref="N110">
    <cfRule type="expression" dxfId="459" priority="911">
      <formula>MOD($A112,2)=1</formula>
    </cfRule>
  </conditionalFormatting>
  <conditionalFormatting sqref="N112">
    <cfRule type="expression" dxfId="458" priority="910">
      <formula>MOD($A114,2)=1</formula>
    </cfRule>
  </conditionalFormatting>
  <conditionalFormatting sqref="N114">
    <cfRule type="expression" dxfId="457" priority="909">
      <formula>MOD($A116,2)=1</formula>
    </cfRule>
  </conditionalFormatting>
  <conditionalFormatting sqref="N116">
    <cfRule type="expression" dxfId="456" priority="908">
      <formula>MOD($A118,2)=1</formula>
    </cfRule>
  </conditionalFormatting>
  <conditionalFormatting sqref="N118">
    <cfRule type="expression" dxfId="455" priority="907">
      <formula>MOD($A120,2)=1</formula>
    </cfRule>
  </conditionalFormatting>
  <conditionalFormatting sqref="N120">
    <cfRule type="expression" dxfId="454" priority="906">
      <formula>MOD($A122,2)=1</formula>
    </cfRule>
  </conditionalFormatting>
  <conditionalFormatting sqref="N122">
    <cfRule type="expression" dxfId="453" priority="905">
      <formula>MOD($A124,2)=1</formula>
    </cfRule>
  </conditionalFormatting>
  <conditionalFormatting sqref="N124">
    <cfRule type="expression" dxfId="452" priority="904">
      <formula>MOD($A126,2)=1</formula>
    </cfRule>
  </conditionalFormatting>
  <conditionalFormatting sqref="N126">
    <cfRule type="expression" dxfId="451" priority="903">
      <formula>MOD($A128,2)=1</formula>
    </cfRule>
  </conditionalFormatting>
  <conditionalFormatting sqref="N128">
    <cfRule type="expression" dxfId="450" priority="902">
      <formula>MOD($A130,2)=1</formula>
    </cfRule>
  </conditionalFormatting>
  <conditionalFormatting sqref="N130">
    <cfRule type="expression" dxfId="449" priority="901">
      <formula>MOD($A132,2)=1</formula>
    </cfRule>
  </conditionalFormatting>
  <conditionalFormatting sqref="N132">
    <cfRule type="expression" dxfId="448" priority="900">
      <formula>MOD($A134,2)=1</formula>
    </cfRule>
  </conditionalFormatting>
  <conditionalFormatting sqref="N134">
    <cfRule type="expression" dxfId="447" priority="899">
      <formula>MOD($A136,2)=1</formula>
    </cfRule>
  </conditionalFormatting>
  <conditionalFormatting sqref="N136">
    <cfRule type="expression" dxfId="446" priority="898">
      <formula>MOD($A138,2)=1</formula>
    </cfRule>
  </conditionalFormatting>
  <conditionalFormatting sqref="O110">
    <cfRule type="expression" dxfId="445" priority="897">
      <formula>MOD($A112,2)=1</formula>
    </cfRule>
  </conditionalFormatting>
  <conditionalFormatting sqref="C229 G229">
    <cfRule type="expression" dxfId="444" priority="766">
      <formula>MOD($A229,2)=0</formula>
    </cfRule>
  </conditionalFormatting>
  <conditionalFormatting sqref="A229">
    <cfRule type="expression" dxfId="443" priority="765">
      <formula>MOD($A229,2)=1</formula>
    </cfRule>
  </conditionalFormatting>
  <conditionalFormatting sqref="A229">
    <cfRule type="expression" dxfId="442" priority="764">
      <formula>MOD($A229,2)=0</formula>
    </cfRule>
  </conditionalFormatting>
  <conditionalFormatting sqref="A229">
    <cfRule type="expression" dxfId="441" priority="763">
      <formula>MOD($A229,2)=1</formula>
    </cfRule>
  </conditionalFormatting>
  <conditionalFormatting sqref="A229">
    <cfRule type="expression" dxfId="440" priority="762">
      <formula>MOD($A229,2)=0</formula>
    </cfRule>
  </conditionalFormatting>
  <conditionalFormatting sqref="B229">
    <cfRule type="expression" dxfId="439" priority="733">
      <formula>MOD($A229,2)=0</formula>
    </cfRule>
  </conditionalFormatting>
  <conditionalFormatting sqref="B237">
    <cfRule type="expression" dxfId="438" priority="732">
      <formula>MOD($A237,2)=0</formula>
    </cfRule>
  </conditionalFormatting>
  <conditionalFormatting sqref="B253">
    <cfRule type="expression" dxfId="437" priority="730">
      <formula>MOD($A253,2)=0</formula>
    </cfRule>
  </conditionalFormatting>
  <conditionalFormatting sqref="B261">
    <cfRule type="expression" dxfId="436" priority="729">
      <formula>MOD($A261,2)=0</formula>
    </cfRule>
  </conditionalFormatting>
  <conditionalFormatting sqref="B269">
    <cfRule type="expression" dxfId="435" priority="728">
      <formula>MOD($A269,2)=0</formula>
    </cfRule>
  </conditionalFormatting>
  <conditionalFormatting sqref="B277">
    <cfRule type="expression" dxfId="434" priority="727">
      <formula>MOD($A277,2)=0</formula>
    </cfRule>
  </conditionalFormatting>
  <conditionalFormatting sqref="B285">
    <cfRule type="expression" dxfId="433" priority="726">
      <formula>MOD($A285,2)=0</formula>
    </cfRule>
  </conditionalFormatting>
  <conditionalFormatting sqref="B293">
    <cfRule type="expression" dxfId="432" priority="725">
      <formula>MOD($A293,2)=0</formula>
    </cfRule>
  </conditionalFormatting>
  <conditionalFormatting sqref="D229">
    <cfRule type="expression" dxfId="431" priority="724">
      <formula>MOD($A229,2)=0</formula>
    </cfRule>
  </conditionalFormatting>
  <conditionalFormatting sqref="D237">
    <cfRule type="expression" dxfId="430" priority="723">
      <formula>MOD($A237,2)=0</formula>
    </cfRule>
  </conditionalFormatting>
  <conditionalFormatting sqref="D245">
    <cfRule type="expression" dxfId="429" priority="722">
      <formula>MOD($A245,2)=0</formula>
    </cfRule>
  </conditionalFormatting>
  <conditionalFormatting sqref="D253">
    <cfRule type="expression" dxfId="428" priority="721">
      <formula>MOD($A253,2)=0</formula>
    </cfRule>
  </conditionalFormatting>
  <conditionalFormatting sqref="D261">
    <cfRule type="expression" dxfId="427" priority="720">
      <formula>MOD($A261,2)=0</formula>
    </cfRule>
  </conditionalFormatting>
  <conditionalFormatting sqref="D269">
    <cfRule type="expression" dxfId="426" priority="719">
      <formula>MOD($A269,2)=0</formula>
    </cfRule>
  </conditionalFormatting>
  <conditionalFormatting sqref="D277">
    <cfRule type="expression" dxfId="425" priority="718">
      <formula>MOD($A277,2)=0</formula>
    </cfRule>
  </conditionalFormatting>
  <conditionalFormatting sqref="D285">
    <cfRule type="expression" dxfId="424" priority="717">
      <formula>MOD($A285,2)=0</formula>
    </cfRule>
  </conditionalFormatting>
  <conditionalFormatting sqref="D293">
    <cfRule type="expression" dxfId="423" priority="716">
      <formula>MOD($A293,2)=0</formula>
    </cfRule>
  </conditionalFormatting>
  <conditionalFormatting sqref="E229">
    <cfRule type="expression" dxfId="422" priority="715">
      <formula>MOD($A229,2)=0</formula>
    </cfRule>
  </conditionalFormatting>
  <conditionalFormatting sqref="E237">
    <cfRule type="expression" dxfId="421" priority="714">
      <formula>MOD($A237,2)=0</formula>
    </cfRule>
  </conditionalFormatting>
  <conditionalFormatting sqref="E245">
    <cfRule type="expression" dxfId="420" priority="713">
      <formula>MOD($A245,2)=0</formula>
    </cfRule>
  </conditionalFormatting>
  <conditionalFormatting sqref="E253">
    <cfRule type="expression" dxfId="419" priority="712">
      <formula>MOD($A253,2)=0</formula>
    </cfRule>
  </conditionalFormatting>
  <conditionalFormatting sqref="E261">
    <cfRule type="expression" dxfId="418" priority="711">
      <formula>MOD($A261,2)=0</formula>
    </cfRule>
  </conditionalFormatting>
  <conditionalFormatting sqref="E269">
    <cfRule type="expression" dxfId="417" priority="710">
      <formula>MOD($A269,2)=0</formula>
    </cfRule>
  </conditionalFormatting>
  <conditionalFormatting sqref="E277">
    <cfRule type="expression" dxfId="416" priority="709">
      <formula>MOD($A277,2)=0</formula>
    </cfRule>
  </conditionalFormatting>
  <conditionalFormatting sqref="E285">
    <cfRule type="expression" dxfId="415" priority="708">
      <formula>MOD($A285,2)=0</formula>
    </cfRule>
  </conditionalFormatting>
  <conditionalFormatting sqref="E293">
    <cfRule type="expression" dxfId="414" priority="707">
      <formula>MOD($A293,2)=0</formula>
    </cfRule>
  </conditionalFormatting>
  <conditionalFormatting sqref="F229">
    <cfRule type="expression" dxfId="413" priority="706">
      <formula>MOD($A229,2)=0</formula>
    </cfRule>
  </conditionalFormatting>
  <conditionalFormatting sqref="F237">
    <cfRule type="expression" dxfId="412" priority="705">
      <formula>MOD($A237,2)=0</formula>
    </cfRule>
  </conditionalFormatting>
  <conditionalFormatting sqref="F245">
    <cfRule type="expression" dxfId="411" priority="704">
      <formula>MOD($A245,2)=0</formula>
    </cfRule>
  </conditionalFormatting>
  <conditionalFormatting sqref="F253">
    <cfRule type="expression" dxfId="410" priority="703">
      <formula>MOD($A253,2)=0</formula>
    </cfRule>
  </conditionalFormatting>
  <conditionalFormatting sqref="F261">
    <cfRule type="expression" dxfId="409" priority="702">
      <formula>MOD($A261,2)=0</formula>
    </cfRule>
  </conditionalFormatting>
  <conditionalFormatting sqref="F269">
    <cfRule type="expression" dxfId="408" priority="701">
      <formula>MOD($A269,2)=0</formula>
    </cfRule>
  </conditionalFormatting>
  <conditionalFormatting sqref="F277">
    <cfRule type="expression" dxfId="407" priority="700">
      <formula>MOD($A277,2)=0</formula>
    </cfRule>
  </conditionalFormatting>
  <conditionalFormatting sqref="F285">
    <cfRule type="expression" dxfId="406" priority="699">
      <formula>MOD($A285,2)=0</formula>
    </cfRule>
  </conditionalFormatting>
  <conditionalFormatting sqref="F293">
    <cfRule type="expression" dxfId="405" priority="698">
      <formula>MOD($A293,2)=0</formula>
    </cfRule>
  </conditionalFormatting>
  <conditionalFormatting sqref="I229">
    <cfRule type="expression" dxfId="404" priority="696">
      <formula>MOD($A229,2)=0</formula>
    </cfRule>
  </conditionalFormatting>
  <conditionalFormatting sqref="I231:I235">
    <cfRule type="expression" dxfId="403" priority="695">
      <formula>MOD($A231,2)=0</formula>
    </cfRule>
  </conditionalFormatting>
  <conditionalFormatting sqref="H56">
    <cfRule type="expression" dxfId="402" priority="687">
      <formula>MOD($A56,2)=1</formula>
    </cfRule>
  </conditionalFormatting>
  <conditionalFormatting sqref="H58">
    <cfRule type="expression" dxfId="401" priority="686">
      <formula>MOD($A58,2)=1</formula>
    </cfRule>
  </conditionalFormatting>
  <conditionalFormatting sqref="H60">
    <cfRule type="expression" dxfId="400" priority="685">
      <formula>MOD($A60,2)=1</formula>
    </cfRule>
  </conditionalFormatting>
  <conditionalFormatting sqref="H62">
    <cfRule type="expression" dxfId="399" priority="684">
      <formula>MOD($A62,2)=1</formula>
    </cfRule>
  </conditionalFormatting>
  <conditionalFormatting sqref="H64">
    <cfRule type="expression" dxfId="398" priority="683">
      <formula>MOD($A64,2)=1</formula>
    </cfRule>
  </conditionalFormatting>
  <conditionalFormatting sqref="H66">
    <cfRule type="expression" dxfId="397" priority="682">
      <formula>MOD($A66,2)=1</formula>
    </cfRule>
  </conditionalFormatting>
  <conditionalFormatting sqref="H68">
    <cfRule type="expression" dxfId="396" priority="681">
      <formula>MOD($A68,2)=1</formula>
    </cfRule>
  </conditionalFormatting>
  <conditionalFormatting sqref="H70">
    <cfRule type="expression" dxfId="395" priority="680">
      <formula>MOD($A70,2)=1</formula>
    </cfRule>
  </conditionalFormatting>
  <conditionalFormatting sqref="H72">
    <cfRule type="expression" dxfId="394" priority="679">
      <formula>MOD($A72,2)=1</formula>
    </cfRule>
  </conditionalFormatting>
  <conditionalFormatting sqref="H74">
    <cfRule type="expression" dxfId="393" priority="678">
      <formula>MOD($A74,2)=1</formula>
    </cfRule>
  </conditionalFormatting>
  <conditionalFormatting sqref="H76">
    <cfRule type="expression" dxfId="392" priority="677">
      <formula>MOD($A76,2)=1</formula>
    </cfRule>
  </conditionalFormatting>
  <conditionalFormatting sqref="H78">
    <cfRule type="expression" dxfId="391" priority="676">
      <formula>MOD($A78,2)=1</formula>
    </cfRule>
  </conditionalFormatting>
  <conditionalFormatting sqref="H80">
    <cfRule type="expression" dxfId="390" priority="675">
      <formula>MOD($A80,2)=1</formula>
    </cfRule>
  </conditionalFormatting>
  <conditionalFormatting sqref="H82">
    <cfRule type="expression" dxfId="389" priority="674">
      <formula>MOD($A82,2)=1</formula>
    </cfRule>
  </conditionalFormatting>
  <conditionalFormatting sqref="H110">
    <cfRule type="expression" dxfId="388" priority="617">
      <formula>MOD($A112,2)=1</formula>
    </cfRule>
  </conditionalFormatting>
  <conditionalFormatting sqref="H112">
    <cfRule type="expression" dxfId="387" priority="616">
      <formula>MOD($A114,2)=1</formula>
    </cfRule>
  </conditionalFormatting>
  <conditionalFormatting sqref="H114">
    <cfRule type="expression" dxfId="386" priority="615">
      <formula>MOD($A116,2)=1</formula>
    </cfRule>
  </conditionalFormatting>
  <conditionalFormatting sqref="H116">
    <cfRule type="expression" dxfId="385" priority="614">
      <formula>MOD($A118,2)=1</formula>
    </cfRule>
  </conditionalFormatting>
  <conditionalFormatting sqref="H118">
    <cfRule type="expression" dxfId="384" priority="613">
      <formula>MOD($A120,2)=1</formula>
    </cfRule>
  </conditionalFormatting>
  <conditionalFormatting sqref="H120">
    <cfRule type="expression" dxfId="383" priority="612">
      <formula>MOD($A122,2)=1</formula>
    </cfRule>
  </conditionalFormatting>
  <conditionalFormatting sqref="H122">
    <cfRule type="expression" dxfId="382" priority="611">
      <formula>MOD($A124,2)=1</formula>
    </cfRule>
  </conditionalFormatting>
  <conditionalFormatting sqref="H124">
    <cfRule type="expression" dxfId="381" priority="610">
      <formula>MOD($A126,2)=1</formula>
    </cfRule>
  </conditionalFormatting>
  <conditionalFormatting sqref="H126">
    <cfRule type="expression" dxfId="380" priority="609">
      <formula>MOD($A128,2)=1</formula>
    </cfRule>
  </conditionalFormatting>
  <conditionalFormatting sqref="H128">
    <cfRule type="expression" dxfId="379" priority="608">
      <formula>MOD($A130,2)=1</formula>
    </cfRule>
  </conditionalFormatting>
  <conditionalFormatting sqref="H130">
    <cfRule type="expression" dxfId="378" priority="607">
      <formula>MOD($A132,2)=1</formula>
    </cfRule>
  </conditionalFormatting>
  <conditionalFormatting sqref="H132">
    <cfRule type="expression" dxfId="377" priority="606">
      <formula>MOD($A134,2)=1</formula>
    </cfRule>
  </conditionalFormatting>
  <conditionalFormatting sqref="H134">
    <cfRule type="expression" dxfId="376" priority="605">
      <formula>MOD($A136,2)=1</formula>
    </cfRule>
  </conditionalFormatting>
  <conditionalFormatting sqref="H136">
    <cfRule type="expression" dxfId="375" priority="604">
      <formula>MOD($A138,2)=1</formula>
    </cfRule>
  </conditionalFormatting>
  <conditionalFormatting sqref="I110">
    <cfRule type="expression" dxfId="374" priority="603">
      <formula>MOD($A112,2)=1</formula>
    </cfRule>
  </conditionalFormatting>
  <conditionalFormatting sqref="I112">
    <cfRule type="expression" dxfId="373" priority="602">
      <formula>MOD($A114,2)=1</formula>
    </cfRule>
  </conditionalFormatting>
  <conditionalFormatting sqref="I114">
    <cfRule type="expression" dxfId="372" priority="601">
      <formula>MOD($A116,2)=1</formula>
    </cfRule>
  </conditionalFormatting>
  <conditionalFormatting sqref="I116">
    <cfRule type="expression" dxfId="371" priority="600">
      <formula>MOD($A118,2)=1</formula>
    </cfRule>
  </conditionalFormatting>
  <conditionalFormatting sqref="I118">
    <cfRule type="expression" dxfId="370" priority="599">
      <formula>MOD($A120,2)=1</formula>
    </cfRule>
  </conditionalFormatting>
  <conditionalFormatting sqref="I120">
    <cfRule type="expression" dxfId="369" priority="598">
      <formula>MOD($A122,2)=1</formula>
    </cfRule>
  </conditionalFormatting>
  <conditionalFormatting sqref="I122">
    <cfRule type="expression" dxfId="368" priority="597">
      <formula>MOD($A124,2)=1</formula>
    </cfRule>
  </conditionalFormatting>
  <conditionalFormatting sqref="I124">
    <cfRule type="expression" dxfId="367" priority="596">
      <formula>MOD($A126,2)=1</formula>
    </cfRule>
  </conditionalFormatting>
  <conditionalFormatting sqref="I126">
    <cfRule type="expression" dxfId="366" priority="595">
      <formula>MOD($A128,2)=1</formula>
    </cfRule>
  </conditionalFormatting>
  <conditionalFormatting sqref="I128">
    <cfRule type="expression" dxfId="365" priority="594">
      <formula>MOD($A130,2)=1</formula>
    </cfRule>
  </conditionalFormatting>
  <conditionalFormatting sqref="I130">
    <cfRule type="expression" dxfId="364" priority="593">
      <formula>MOD($A132,2)=1</formula>
    </cfRule>
  </conditionalFormatting>
  <conditionalFormatting sqref="I132">
    <cfRule type="expression" dxfId="363" priority="592">
      <formula>MOD($A134,2)=1</formula>
    </cfRule>
  </conditionalFormatting>
  <conditionalFormatting sqref="I134">
    <cfRule type="expression" dxfId="362" priority="591">
      <formula>MOD($A136,2)=1</formula>
    </cfRule>
  </conditionalFormatting>
  <conditionalFormatting sqref="I136">
    <cfRule type="expression" dxfId="361" priority="590">
      <formula>MOD($A138,2)=1</formula>
    </cfRule>
  </conditionalFormatting>
  <conditionalFormatting sqref="P110">
    <cfRule type="expression" dxfId="360" priority="589">
      <formula>MOD($A112,2)=1</formula>
    </cfRule>
  </conditionalFormatting>
  <conditionalFormatting sqref="P112">
    <cfRule type="expression" dxfId="359" priority="588">
      <formula>MOD($A114,2)=1</formula>
    </cfRule>
  </conditionalFormatting>
  <conditionalFormatting sqref="P114">
    <cfRule type="expression" dxfId="358" priority="587">
      <formula>MOD($A116,2)=1</formula>
    </cfRule>
  </conditionalFormatting>
  <conditionalFormatting sqref="P116">
    <cfRule type="expression" dxfId="357" priority="586">
      <formula>MOD($A118,2)=1</formula>
    </cfRule>
  </conditionalFormatting>
  <conditionalFormatting sqref="P118">
    <cfRule type="expression" dxfId="356" priority="585">
      <formula>MOD($A120,2)=1</formula>
    </cfRule>
  </conditionalFormatting>
  <conditionalFormatting sqref="P120">
    <cfRule type="expression" dxfId="355" priority="584">
      <formula>MOD($A122,2)=1</formula>
    </cfRule>
  </conditionalFormatting>
  <conditionalFormatting sqref="P122">
    <cfRule type="expression" dxfId="354" priority="583">
      <formula>MOD($A124,2)=1</formula>
    </cfRule>
  </conditionalFormatting>
  <conditionalFormatting sqref="P124">
    <cfRule type="expression" dxfId="353" priority="582">
      <formula>MOD($A126,2)=1</formula>
    </cfRule>
  </conditionalFormatting>
  <conditionalFormatting sqref="P126">
    <cfRule type="expression" dxfId="352" priority="581">
      <formula>MOD($A128,2)=1</formula>
    </cfRule>
  </conditionalFormatting>
  <conditionalFormatting sqref="P128">
    <cfRule type="expression" dxfId="351" priority="580">
      <formula>MOD($A130,2)=1</formula>
    </cfRule>
  </conditionalFormatting>
  <conditionalFormatting sqref="P130">
    <cfRule type="expression" dxfId="350" priority="579">
      <formula>MOD($A132,2)=1</formula>
    </cfRule>
  </conditionalFormatting>
  <conditionalFormatting sqref="P132">
    <cfRule type="expression" dxfId="349" priority="578">
      <formula>MOD($A134,2)=1</formula>
    </cfRule>
  </conditionalFormatting>
  <conditionalFormatting sqref="P134">
    <cfRule type="expression" dxfId="348" priority="577">
      <formula>MOD($A136,2)=1</formula>
    </cfRule>
  </conditionalFormatting>
  <conditionalFormatting sqref="P136">
    <cfRule type="expression" dxfId="347" priority="576">
      <formula>MOD($A138,2)=1</formula>
    </cfRule>
  </conditionalFormatting>
  <conditionalFormatting sqref="S110:T110">
    <cfRule type="expression" dxfId="346" priority="533">
      <formula>MOD($A112,2)=1</formula>
    </cfRule>
  </conditionalFormatting>
  <conditionalFormatting sqref="S112:T112">
    <cfRule type="expression" dxfId="345" priority="532">
      <formula>MOD($A114,2)=1</formula>
    </cfRule>
  </conditionalFormatting>
  <conditionalFormatting sqref="S114:T114">
    <cfRule type="expression" dxfId="344" priority="531">
      <formula>MOD($A116,2)=1</formula>
    </cfRule>
  </conditionalFormatting>
  <conditionalFormatting sqref="S116:T116">
    <cfRule type="expression" dxfId="343" priority="530">
      <formula>MOD($A118,2)=1</formula>
    </cfRule>
  </conditionalFormatting>
  <conditionalFormatting sqref="S118:T118">
    <cfRule type="expression" dxfId="342" priority="529">
      <formula>MOD($A120,2)=1</formula>
    </cfRule>
  </conditionalFormatting>
  <conditionalFormatting sqref="S120:T120">
    <cfRule type="expression" dxfId="341" priority="528">
      <formula>MOD($A122,2)=1</formula>
    </cfRule>
  </conditionalFormatting>
  <conditionalFormatting sqref="S122:T122">
    <cfRule type="expression" dxfId="340" priority="527">
      <formula>MOD($A124,2)=1</formula>
    </cfRule>
  </conditionalFormatting>
  <conditionalFormatting sqref="S124:T124">
    <cfRule type="expression" dxfId="339" priority="526">
      <formula>MOD($A126,2)=1</formula>
    </cfRule>
  </conditionalFormatting>
  <conditionalFormatting sqref="S126:T126">
    <cfRule type="expression" dxfId="338" priority="525">
      <formula>MOD($A128,2)=1</formula>
    </cfRule>
  </conditionalFormatting>
  <conditionalFormatting sqref="S128:T128">
    <cfRule type="expression" dxfId="337" priority="524">
      <formula>MOD($A130,2)=1</formula>
    </cfRule>
  </conditionalFormatting>
  <conditionalFormatting sqref="S130:T130">
    <cfRule type="expression" dxfId="336" priority="523">
      <formula>MOD($A132,2)=1</formula>
    </cfRule>
  </conditionalFormatting>
  <conditionalFormatting sqref="S132:T132">
    <cfRule type="expression" dxfId="335" priority="522">
      <formula>MOD($A134,2)=1</formula>
    </cfRule>
  </conditionalFormatting>
  <conditionalFormatting sqref="S134:T134">
    <cfRule type="expression" dxfId="334" priority="521">
      <formula>MOD($A136,2)=1</formula>
    </cfRule>
  </conditionalFormatting>
  <conditionalFormatting sqref="S136:T136">
    <cfRule type="expression" dxfId="333" priority="520">
      <formula>MOD($A138,2)=1</formula>
    </cfRule>
  </conditionalFormatting>
  <conditionalFormatting sqref="P56">
    <cfRule type="expression" dxfId="332" priority="519">
      <formula>MOD($A56,2)=1</formula>
    </cfRule>
  </conditionalFormatting>
  <conditionalFormatting sqref="P58">
    <cfRule type="expression" dxfId="331" priority="518">
      <formula>MOD($A58,2)=1</formula>
    </cfRule>
  </conditionalFormatting>
  <conditionalFormatting sqref="P60">
    <cfRule type="expression" dxfId="330" priority="517">
      <formula>MOD($A60,2)=1</formula>
    </cfRule>
  </conditionalFormatting>
  <conditionalFormatting sqref="P62">
    <cfRule type="expression" dxfId="329" priority="516">
      <formula>MOD($A62,2)=1</formula>
    </cfRule>
  </conditionalFormatting>
  <conditionalFormatting sqref="P64">
    <cfRule type="expression" dxfId="328" priority="515">
      <formula>MOD($A64,2)=1</formula>
    </cfRule>
  </conditionalFormatting>
  <conditionalFormatting sqref="P66">
    <cfRule type="expression" dxfId="327" priority="514">
      <formula>MOD($A66,2)=1</formula>
    </cfRule>
  </conditionalFormatting>
  <conditionalFormatting sqref="P68">
    <cfRule type="expression" dxfId="326" priority="513">
      <formula>MOD($A68,2)=1</formula>
    </cfRule>
  </conditionalFormatting>
  <conditionalFormatting sqref="P70">
    <cfRule type="expression" dxfId="325" priority="512">
      <formula>MOD($A70,2)=1</formula>
    </cfRule>
  </conditionalFormatting>
  <conditionalFormatting sqref="P72">
    <cfRule type="expression" dxfId="324" priority="511">
      <formula>MOD($A72,2)=1</formula>
    </cfRule>
  </conditionalFormatting>
  <conditionalFormatting sqref="P74">
    <cfRule type="expression" dxfId="323" priority="510">
      <formula>MOD($A74,2)=1</formula>
    </cfRule>
  </conditionalFormatting>
  <conditionalFormatting sqref="P76">
    <cfRule type="expression" dxfId="322" priority="509">
      <formula>MOD($A76,2)=1</formula>
    </cfRule>
  </conditionalFormatting>
  <conditionalFormatting sqref="P78">
    <cfRule type="expression" dxfId="321" priority="508">
      <formula>MOD($A78,2)=1</formula>
    </cfRule>
  </conditionalFormatting>
  <conditionalFormatting sqref="P80">
    <cfRule type="expression" dxfId="320" priority="507">
      <formula>MOD($A80,2)=1</formula>
    </cfRule>
  </conditionalFormatting>
  <conditionalFormatting sqref="P82">
    <cfRule type="expression" dxfId="319" priority="506">
      <formula>MOD($A82,2)=1</formula>
    </cfRule>
  </conditionalFormatting>
  <conditionalFormatting sqref="Q56">
    <cfRule type="expression" dxfId="318" priority="505">
      <formula>MOD($A56,2)=1</formula>
    </cfRule>
  </conditionalFormatting>
  <conditionalFormatting sqref="Q58">
    <cfRule type="expression" dxfId="317" priority="504">
      <formula>MOD($A58,2)=1</formula>
    </cfRule>
  </conditionalFormatting>
  <conditionalFormatting sqref="Q60">
    <cfRule type="expression" dxfId="316" priority="503">
      <formula>MOD($A60,2)=1</formula>
    </cfRule>
  </conditionalFormatting>
  <conditionalFormatting sqref="Q62">
    <cfRule type="expression" dxfId="315" priority="502">
      <formula>MOD($A62,2)=1</formula>
    </cfRule>
  </conditionalFormatting>
  <conditionalFormatting sqref="Q64">
    <cfRule type="expression" dxfId="314" priority="501">
      <formula>MOD($A64,2)=1</formula>
    </cfRule>
  </conditionalFormatting>
  <conditionalFormatting sqref="Q66">
    <cfRule type="expression" dxfId="313" priority="500">
      <formula>MOD($A66,2)=1</formula>
    </cfRule>
  </conditionalFormatting>
  <conditionalFormatting sqref="Q68">
    <cfRule type="expression" dxfId="312" priority="499">
      <formula>MOD($A68,2)=1</formula>
    </cfRule>
  </conditionalFormatting>
  <conditionalFormatting sqref="Q70">
    <cfRule type="expression" dxfId="311" priority="498">
      <formula>MOD($A70,2)=1</formula>
    </cfRule>
  </conditionalFormatting>
  <conditionalFormatting sqref="Q72">
    <cfRule type="expression" dxfId="310" priority="497">
      <formula>MOD($A72,2)=1</formula>
    </cfRule>
  </conditionalFormatting>
  <conditionalFormatting sqref="Q74">
    <cfRule type="expression" dxfId="309" priority="496">
      <formula>MOD($A74,2)=1</formula>
    </cfRule>
  </conditionalFormatting>
  <conditionalFormatting sqref="Q76">
    <cfRule type="expression" dxfId="308" priority="495">
      <formula>MOD($A76,2)=1</formula>
    </cfRule>
  </conditionalFormatting>
  <conditionalFormatting sqref="Q78">
    <cfRule type="expression" dxfId="307" priority="494">
      <formula>MOD($A78,2)=1</formula>
    </cfRule>
  </conditionalFormatting>
  <conditionalFormatting sqref="Q80">
    <cfRule type="expression" dxfId="306" priority="493">
      <formula>MOD($A80,2)=1</formula>
    </cfRule>
  </conditionalFormatting>
  <conditionalFormatting sqref="Q82">
    <cfRule type="expression" dxfId="305" priority="492">
      <formula>MOD($A82,2)=1</formula>
    </cfRule>
  </conditionalFormatting>
  <conditionalFormatting sqref="S56:T56">
    <cfRule type="expression" dxfId="304" priority="477">
      <formula>MOD($A56,2)=1</formula>
    </cfRule>
  </conditionalFormatting>
  <conditionalFormatting sqref="S58:T58">
    <cfRule type="expression" dxfId="303" priority="476">
      <formula>MOD($A58,2)=1</formula>
    </cfRule>
  </conditionalFormatting>
  <conditionalFormatting sqref="S60:T60">
    <cfRule type="expression" dxfId="302" priority="475">
      <formula>MOD($A60,2)=1</formula>
    </cfRule>
  </conditionalFormatting>
  <conditionalFormatting sqref="S62:T62">
    <cfRule type="expression" dxfId="301" priority="474">
      <formula>MOD($A62,2)=1</formula>
    </cfRule>
  </conditionalFormatting>
  <conditionalFormatting sqref="S64:T64">
    <cfRule type="expression" dxfId="300" priority="473">
      <formula>MOD($A64,2)=1</formula>
    </cfRule>
  </conditionalFormatting>
  <conditionalFormatting sqref="S66:T66">
    <cfRule type="expression" dxfId="299" priority="472">
      <formula>MOD($A66,2)=1</formula>
    </cfRule>
  </conditionalFormatting>
  <conditionalFormatting sqref="S68:T68">
    <cfRule type="expression" dxfId="298" priority="471">
      <formula>MOD($A68,2)=1</formula>
    </cfRule>
  </conditionalFormatting>
  <conditionalFormatting sqref="S70:T70">
    <cfRule type="expression" dxfId="297" priority="470">
      <formula>MOD($A70,2)=1</formula>
    </cfRule>
  </conditionalFormatting>
  <conditionalFormatting sqref="S72:T72">
    <cfRule type="expression" dxfId="296" priority="469">
      <formula>MOD($A72,2)=1</formula>
    </cfRule>
  </conditionalFormatting>
  <conditionalFormatting sqref="S74:T74">
    <cfRule type="expression" dxfId="295" priority="468">
      <formula>MOD($A74,2)=1</formula>
    </cfRule>
  </conditionalFormatting>
  <conditionalFormatting sqref="S76:T76">
    <cfRule type="expression" dxfId="294" priority="467">
      <formula>MOD($A76,2)=1</formula>
    </cfRule>
  </conditionalFormatting>
  <conditionalFormatting sqref="S78:T78">
    <cfRule type="expression" dxfId="293" priority="466">
      <formula>MOD($A78,2)=1</formula>
    </cfRule>
  </conditionalFormatting>
  <conditionalFormatting sqref="S80:T80">
    <cfRule type="expression" dxfId="292" priority="465">
      <formula>MOD($A80,2)=1</formula>
    </cfRule>
  </conditionalFormatting>
  <conditionalFormatting sqref="S82:T82">
    <cfRule type="expression" dxfId="291" priority="464">
      <formula>MOD($A82,2)=1</formula>
    </cfRule>
  </conditionalFormatting>
  <conditionalFormatting sqref="I165">
    <cfRule type="expression" dxfId="290" priority="449">
      <formula>MOD($A165,2)=1</formula>
    </cfRule>
  </conditionalFormatting>
  <conditionalFormatting sqref="I169">
    <cfRule type="expression" dxfId="289" priority="448">
      <formula>MOD($A169,2)=1</formula>
    </cfRule>
  </conditionalFormatting>
  <conditionalFormatting sqref="I173">
    <cfRule type="expression" dxfId="288" priority="447">
      <formula>MOD($A173,2)=1</formula>
    </cfRule>
  </conditionalFormatting>
  <conditionalFormatting sqref="I177">
    <cfRule type="expression" dxfId="287" priority="446">
      <formula>MOD($A177,2)=1</formula>
    </cfRule>
  </conditionalFormatting>
  <conditionalFormatting sqref="I181">
    <cfRule type="expression" dxfId="286" priority="445">
      <formula>MOD($A181,2)=1</formula>
    </cfRule>
  </conditionalFormatting>
  <conditionalFormatting sqref="I185">
    <cfRule type="expression" dxfId="285" priority="444">
      <formula>MOD($A185,2)=1</formula>
    </cfRule>
  </conditionalFormatting>
  <conditionalFormatting sqref="I189">
    <cfRule type="expression" dxfId="284" priority="443">
      <formula>MOD($A189,2)=1</formula>
    </cfRule>
  </conditionalFormatting>
  <conditionalFormatting sqref="I193">
    <cfRule type="expression" dxfId="283" priority="442">
      <formula>MOD($A193,2)=1</formula>
    </cfRule>
  </conditionalFormatting>
  <conditionalFormatting sqref="I197">
    <cfRule type="expression" dxfId="282" priority="441">
      <formula>MOD($A197,2)=1</formula>
    </cfRule>
  </conditionalFormatting>
  <conditionalFormatting sqref="I201">
    <cfRule type="expression" dxfId="281" priority="440">
      <formula>MOD($A201,2)=1</formula>
    </cfRule>
  </conditionalFormatting>
  <conditionalFormatting sqref="I205">
    <cfRule type="expression" dxfId="280" priority="439">
      <formula>MOD($A205,2)=1</formula>
    </cfRule>
  </conditionalFormatting>
  <conditionalFormatting sqref="O149">
    <cfRule type="expression" dxfId="279" priority="438">
      <formula>MOD($A149,2)=1</formula>
    </cfRule>
  </conditionalFormatting>
  <conditionalFormatting sqref="T52 S56:T56 S58:T58 S60:T60 S62:T62 S64:T64 S66:T66 S68:T68 S70:T70 S72:T72 S74:T74 S76:T76 S78:T78 S80:T80 S82:T82 S54:T54">
    <cfRule type="expression" dxfId="278" priority="430">
      <formula>#REF!&gt;YEAR($F$13)</formula>
    </cfRule>
  </conditionalFormatting>
  <conditionalFormatting sqref="S106:T106 S108:T108 S110:T110 S112:T112 S116:T116 S120:T120 S124:T124 S128:T128 S132:T132 S136:T136 S114:T114 S118:T118 S122:T122 S126:T126 S130:T130 S134:T134">
    <cfRule type="expression" dxfId="277" priority="429">
      <formula>$S$106&gt;YEAR($D$10)</formula>
    </cfRule>
  </conditionalFormatting>
  <conditionalFormatting sqref="B150">
    <cfRule type="expression" dxfId="276" priority="414">
      <formula>MOD($A150,2)=1</formula>
    </cfRule>
  </conditionalFormatting>
  <conditionalFormatting sqref="B154">
    <cfRule type="expression" dxfId="275" priority="406">
      <formula>MOD($A154,2)=1</formula>
    </cfRule>
  </conditionalFormatting>
  <conditionalFormatting sqref="B158">
    <cfRule type="expression" dxfId="274" priority="404">
      <formula>MOD($A158,2)=1</formula>
    </cfRule>
  </conditionalFormatting>
  <conditionalFormatting sqref="B162">
    <cfRule type="expression" dxfId="273" priority="402">
      <formula>MOD($A162,2)=1</formula>
    </cfRule>
  </conditionalFormatting>
  <conditionalFormatting sqref="B166">
    <cfRule type="expression" dxfId="272" priority="400">
      <formula>MOD($A166,2)=1</formula>
    </cfRule>
  </conditionalFormatting>
  <conditionalFormatting sqref="B170">
    <cfRule type="expression" dxfId="271" priority="398">
      <formula>MOD($A170,2)=1</formula>
    </cfRule>
  </conditionalFormatting>
  <conditionalFormatting sqref="B174">
    <cfRule type="expression" dxfId="270" priority="396">
      <formula>MOD($A174,2)=1</formula>
    </cfRule>
  </conditionalFormatting>
  <conditionalFormatting sqref="B178">
    <cfRule type="expression" dxfId="269" priority="394">
      <formula>MOD($A178,2)=1</formula>
    </cfRule>
  </conditionalFormatting>
  <conditionalFormatting sqref="B182">
    <cfRule type="expression" dxfId="268" priority="392">
      <formula>MOD($A182,2)=1</formula>
    </cfRule>
  </conditionalFormatting>
  <conditionalFormatting sqref="B186">
    <cfRule type="expression" dxfId="267" priority="390">
      <formula>MOD($A186,2)=1</formula>
    </cfRule>
  </conditionalFormatting>
  <conditionalFormatting sqref="B190">
    <cfRule type="expression" dxfId="266" priority="388">
      <formula>MOD($A190,2)=1</formula>
    </cfRule>
  </conditionalFormatting>
  <conditionalFormatting sqref="B194">
    <cfRule type="expression" dxfId="265" priority="386">
      <formula>MOD($A194,2)=1</formula>
    </cfRule>
  </conditionalFormatting>
  <conditionalFormatting sqref="B198">
    <cfRule type="expression" dxfId="264" priority="384">
      <formula>MOD($A198,2)=1</formula>
    </cfRule>
  </conditionalFormatting>
  <conditionalFormatting sqref="B202">
    <cfRule type="expression" dxfId="263" priority="382">
      <formula>MOD($A202,2)=1</formula>
    </cfRule>
  </conditionalFormatting>
  <conditionalFormatting sqref="B206">
    <cfRule type="expression" dxfId="262" priority="380">
      <formula>MOD($A206,2)=1</formula>
    </cfRule>
  </conditionalFormatting>
  <conditionalFormatting sqref="C24">
    <cfRule type="expression" dxfId="261" priority="305">
      <formula>$D24&gt;$D$13</formula>
    </cfRule>
  </conditionalFormatting>
  <conditionalFormatting sqref="A24:C24">
    <cfRule type="expression" dxfId="260" priority="304">
      <formula>$A24&gt;$D$13</formula>
    </cfRule>
  </conditionalFormatting>
  <conditionalFormatting sqref="C25">
    <cfRule type="expression" dxfId="259" priority="303">
      <formula>$D25&gt;$D$13</formula>
    </cfRule>
  </conditionalFormatting>
  <conditionalFormatting sqref="A25:C25">
    <cfRule type="expression" dxfId="258" priority="302">
      <formula>$A25&gt;$D$13</formula>
    </cfRule>
  </conditionalFormatting>
  <conditionalFormatting sqref="C26">
    <cfRule type="expression" dxfId="257" priority="301">
      <formula>$D26&gt;$D$13</formula>
    </cfRule>
  </conditionalFormatting>
  <conditionalFormatting sqref="A26:C26">
    <cfRule type="expression" dxfId="256" priority="300">
      <formula>$A26&gt;$D$13</formula>
    </cfRule>
  </conditionalFormatting>
  <conditionalFormatting sqref="C27">
    <cfRule type="expression" dxfId="255" priority="299">
      <formula>$D27&gt;$D$13</formula>
    </cfRule>
  </conditionalFormatting>
  <conditionalFormatting sqref="A27:C27">
    <cfRule type="expression" dxfId="254" priority="298">
      <formula>$A27&gt;$D$13</formula>
    </cfRule>
  </conditionalFormatting>
  <conditionalFormatting sqref="C28">
    <cfRule type="expression" dxfId="253" priority="295">
      <formula>$D28&gt;$D$13</formula>
    </cfRule>
  </conditionalFormatting>
  <conditionalFormatting sqref="A28:C28">
    <cfRule type="expression" dxfId="252" priority="294">
      <formula>$A28&gt;$D$13</formula>
    </cfRule>
  </conditionalFormatting>
  <conditionalFormatting sqref="C29">
    <cfRule type="expression" dxfId="251" priority="293">
      <formula>$D29&gt;$D$13</formula>
    </cfRule>
  </conditionalFormatting>
  <conditionalFormatting sqref="A29:C29">
    <cfRule type="expression" dxfId="250" priority="292">
      <formula>$A29&gt;$D$13</formula>
    </cfRule>
  </conditionalFormatting>
  <conditionalFormatting sqref="C30">
    <cfRule type="expression" dxfId="249" priority="291">
      <formula>$D30&gt;$D$13</formula>
    </cfRule>
  </conditionalFormatting>
  <conditionalFormatting sqref="A30:C30">
    <cfRule type="expression" dxfId="248" priority="290">
      <formula>$A30&gt;$D$13</formula>
    </cfRule>
  </conditionalFormatting>
  <conditionalFormatting sqref="B60">
    <cfRule type="expression" dxfId="247" priority="289">
      <formula>MOD($A60,2)=1</formula>
    </cfRule>
  </conditionalFormatting>
  <conditionalFormatting sqref="H229:H235">
    <cfRule type="expression" dxfId="246" priority="288">
      <formula>MOD(#REF!,2)=0</formula>
    </cfRule>
  </conditionalFormatting>
  <conditionalFormatting sqref="H245:H251">
    <cfRule type="expression" dxfId="245" priority="287">
      <formula>MOD(#REF!,2)=0</formula>
    </cfRule>
  </conditionalFormatting>
  <conditionalFormatting sqref="H261:H267">
    <cfRule type="expression" dxfId="244" priority="286">
      <formula>MOD(#REF!,2)=0</formula>
    </cfRule>
  </conditionalFormatting>
  <conditionalFormatting sqref="H277:H283">
    <cfRule type="expression" dxfId="243" priority="285">
      <formula>MOD(#REF!,2)=0</formula>
    </cfRule>
  </conditionalFormatting>
  <conditionalFormatting sqref="H293:H299">
    <cfRule type="expression" dxfId="242" priority="284">
      <formula>MOD(#REF!,2)=0</formula>
    </cfRule>
  </conditionalFormatting>
  <conditionalFormatting sqref="O112">
    <cfRule type="expression" dxfId="241" priority="283">
      <formula>MOD($A114,2)=1</formula>
    </cfRule>
  </conditionalFormatting>
  <conditionalFormatting sqref="O116">
    <cfRule type="expression" dxfId="240" priority="282">
      <formula>MOD($A118,2)=1</formula>
    </cfRule>
  </conditionalFormatting>
  <conditionalFormatting sqref="O120">
    <cfRule type="expression" dxfId="239" priority="281">
      <formula>MOD($A122,2)=1</formula>
    </cfRule>
  </conditionalFormatting>
  <conditionalFormatting sqref="O124">
    <cfRule type="expression" dxfId="238" priority="280">
      <formula>MOD($A126,2)=1</formula>
    </cfRule>
  </conditionalFormatting>
  <conditionalFormatting sqref="O128">
    <cfRule type="expression" dxfId="237" priority="279">
      <formula>MOD($A130,2)=1</formula>
    </cfRule>
  </conditionalFormatting>
  <conditionalFormatting sqref="O132">
    <cfRule type="expression" dxfId="236" priority="278">
      <formula>MOD($A134,2)=1</formula>
    </cfRule>
  </conditionalFormatting>
  <conditionalFormatting sqref="O136">
    <cfRule type="expression" dxfId="235" priority="277">
      <formula>MOD($A138,2)=1</formula>
    </cfRule>
  </conditionalFormatting>
  <conditionalFormatting sqref="O114">
    <cfRule type="expression" dxfId="234" priority="276">
      <formula>MOD($A116,2)=1</formula>
    </cfRule>
  </conditionalFormatting>
  <conditionalFormatting sqref="O118">
    <cfRule type="expression" dxfId="233" priority="275">
      <formula>MOD($A120,2)=1</formula>
    </cfRule>
  </conditionalFormatting>
  <conditionalFormatting sqref="O122">
    <cfRule type="expression" dxfId="232" priority="274">
      <formula>MOD($A124,2)=1</formula>
    </cfRule>
  </conditionalFormatting>
  <conditionalFormatting sqref="O126">
    <cfRule type="expression" dxfId="231" priority="273">
      <formula>MOD($A128,2)=1</formula>
    </cfRule>
  </conditionalFormatting>
  <conditionalFormatting sqref="O130">
    <cfRule type="expression" dxfId="230" priority="272">
      <formula>MOD($A132,2)=1</formula>
    </cfRule>
  </conditionalFormatting>
  <conditionalFormatting sqref="O134">
    <cfRule type="expression" dxfId="229" priority="271">
      <formula>MOD($A136,2)=1</formula>
    </cfRule>
  </conditionalFormatting>
  <conditionalFormatting sqref="S120">
    <cfRule type="expression" dxfId="228" priority="246">
      <formula>MOD($A122,2)=1</formula>
    </cfRule>
  </conditionalFormatting>
  <conditionalFormatting sqref="Q110">
    <cfRule type="expression" dxfId="227" priority="235">
      <formula>MOD($A112,2)=1</formula>
    </cfRule>
  </conditionalFormatting>
  <conditionalFormatting sqref="Q112">
    <cfRule type="expression" dxfId="226" priority="234">
      <formula>MOD($A114,2)=1</formula>
    </cfRule>
  </conditionalFormatting>
  <conditionalFormatting sqref="Q114">
    <cfRule type="expression" dxfId="225" priority="233">
      <formula>MOD($A116,2)=1</formula>
    </cfRule>
  </conditionalFormatting>
  <conditionalFormatting sqref="Q116">
    <cfRule type="expression" dxfId="224" priority="232">
      <formula>MOD($A118,2)=1</formula>
    </cfRule>
  </conditionalFormatting>
  <conditionalFormatting sqref="Q118">
    <cfRule type="expression" dxfId="223" priority="231">
      <formula>MOD($A120,2)=1</formula>
    </cfRule>
  </conditionalFormatting>
  <conditionalFormatting sqref="Q120">
    <cfRule type="expression" dxfId="222" priority="230">
      <formula>MOD($A122,2)=1</formula>
    </cfRule>
  </conditionalFormatting>
  <conditionalFormatting sqref="Q122">
    <cfRule type="expression" dxfId="221" priority="229">
      <formula>MOD($A124,2)=1</formula>
    </cfRule>
  </conditionalFormatting>
  <conditionalFormatting sqref="Q124">
    <cfRule type="expression" dxfId="220" priority="228">
      <formula>MOD($A126,2)=1</formula>
    </cfRule>
  </conditionalFormatting>
  <conditionalFormatting sqref="Q126">
    <cfRule type="expression" dxfId="219" priority="227">
      <formula>MOD($A128,2)=1</formula>
    </cfRule>
  </conditionalFormatting>
  <conditionalFormatting sqref="Q128">
    <cfRule type="expression" dxfId="218" priority="226">
      <formula>MOD($A130,2)=1</formula>
    </cfRule>
  </conditionalFormatting>
  <conditionalFormatting sqref="Q130">
    <cfRule type="expression" dxfId="217" priority="225">
      <formula>MOD($A132,2)=1</formula>
    </cfRule>
  </conditionalFormatting>
  <conditionalFormatting sqref="Q132">
    <cfRule type="expression" dxfId="216" priority="224">
      <formula>MOD($A134,2)=1</formula>
    </cfRule>
  </conditionalFormatting>
  <conditionalFormatting sqref="Q134">
    <cfRule type="expression" dxfId="215" priority="223">
      <formula>MOD($A136,2)=1</formula>
    </cfRule>
  </conditionalFormatting>
  <conditionalFormatting sqref="Q136">
    <cfRule type="expression" dxfId="214" priority="222">
      <formula>MOD($A138,2)=1</formula>
    </cfRule>
  </conditionalFormatting>
  <conditionalFormatting sqref="I245">
    <cfRule type="expression" dxfId="213" priority="221">
      <formula>MOD($A245,2)=0</formula>
    </cfRule>
  </conditionalFormatting>
  <conditionalFormatting sqref="I246:I251">
    <cfRule type="expression" dxfId="212" priority="220">
      <formula>MOD($A246,2)=0</formula>
    </cfRule>
  </conditionalFormatting>
  <conditionalFormatting sqref="I261">
    <cfRule type="expression" dxfId="211" priority="219">
      <formula>MOD($A$261,2)=0</formula>
    </cfRule>
  </conditionalFormatting>
  <conditionalFormatting sqref="I262 I264:I267">
    <cfRule type="expression" dxfId="210" priority="218">
      <formula>MOD($A$261,2)=0</formula>
    </cfRule>
  </conditionalFormatting>
  <conditionalFormatting sqref="I263">
    <cfRule type="expression" dxfId="209" priority="217">
      <formula>MOD($A$261,2)=0</formula>
    </cfRule>
  </conditionalFormatting>
  <conditionalFormatting sqref="I277">
    <cfRule type="expression" dxfId="208" priority="216">
      <formula>MOD($A$261,2)=0</formula>
    </cfRule>
  </conditionalFormatting>
  <conditionalFormatting sqref="I278 I280:I283">
    <cfRule type="expression" dxfId="207" priority="215">
      <formula>MOD($A$261,2)=0</formula>
    </cfRule>
  </conditionalFormatting>
  <conditionalFormatting sqref="I279">
    <cfRule type="expression" dxfId="206" priority="214">
      <formula>MOD($A$261,2)=0</formula>
    </cfRule>
  </conditionalFormatting>
  <conditionalFormatting sqref="I293">
    <cfRule type="expression" dxfId="205" priority="213">
      <formula>MOD($A$261,2)=0</formula>
    </cfRule>
  </conditionalFormatting>
  <conditionalFormatting sqref="I294 I296:I299">
    <cfRule type="expression" dxfId="204" priority="212">
      <formula>MOD($A$261,2)=0</formula>
    </cfRule>
  </conditionalFormatting>
  <conditionalFormatting sqref="I295">
    <cfRule type="expression" dxfId="203" priority="211">
      <formula>MOD($A$261,2)=0</formula>
    </cfRule>
  </conditionalFormatting>
  <conditionalFormatting sqref="O151">
    <cfRule type="expression" dxfId="202" priority="209">
      <formula>MOD($A151,2)=1</formula>
    </cfRule>
  </conditionalFormatting>
  <conditionalFormatting sqref="O153">
    <cfRule type="expression" dxfId="201" priority="208">
      <formula>MOD($A153,2)=1</formula>
    </cfRule>
  </conditionalFormatting>
  <conditionalFormatting sqref="O157">
    <cfRule type="expression" dxfId="200" priority="207">
      <formula>MOD($A157,2)=1</formula>
    </cfRule>
  </conditionalFormatting>
  <conditionalFormatting sqref="O161">
    <cfRule type="expression" dxfId="199" priority="206">
      <formula>MOD($A161,2)=1</formula>
    </cfRule>
  </conditionalFormatting>
  <conditionalFormatting sqref="O165">
    <cfRule type="expression" dxfId="198" priority="205">
      <formula>MOD($A165,2)=1</formula>
    </cfRule>
  </conditionalFormatting>
  <conditionalFormatting sqref="O169">
    <cfRule type="expression" dxfId="197" priority="204">
      <formula>MOD($A169,2)=1</formula>
    </cfRule>
  </conditionalFormatting>
  <conditionalFormatting sqref="O173">
    <cfRule type="expression" dxfId="196" priority="203">
      <formula>MOD($A173,2)=1</formula>
    </cfRule>
  </conditionalFormatting>
  <conditionalFormatting sqref="O177">
    <cfRule type="expression" dxfId="195" priority="202">
      <formula>MOD($A177,2)=1</formula>
    </cfRule>
  </conditionalFormatting>
  <conditionalFormatting sqref="O181">
    <cfRule type="expression" dxfId="194" priority="201">
      <formula>MOD($A181,2)=1</formula>
    </cfRule>
  </conditionalFormatting>
  <conditionalFormatting sqref="O185">
    <cfRule type="expression" dxfId="193" priority="200">
      <formula>MOD($A185,2)=1</formula>
    </cfRule>
  </conditionalFormatting>
  <conditionalFormatting sqref="O189">
    <cfRule type="expression" dxfId="192" priority="199">
      <formula>MOD($A189,2)=1</formula>
    </cfRule>
  </conditionalFormatting>
  <conditionalFormatting sqref="O193">
    <cfRule type="expression" dxfId="191" priority="198">
      <formula>MOD($A193,2)=1</formula>
    </cfRule>
  </conditionalFormatting>
  <conditionalFormatting sqref="O197">
    <cfRule type="expression" dxfId="190" priority="197">
      <formula>MOD($A197,2)=1</formula>
    </cfRule>
  </conditionalFormatting>
  <conditionalFormatting sqref="O201">
    <cfRule type="expression" dxfId="189" priority="196">
      <formula>MOD($A201,2)=1</formula>
    </cfRule>
  </conditionalFormatting>
  <conditionalFormatting sqref="O205">
    <cfRule type="expression" dxfId="188" priority="195">
      <formula>MOD($A205,2)=1</formula>
    </cfRule>
  </conditionalFormatting>
  <conditionalFormatting sqref="O155">
    <cfRule type="expression" dxfId="187" priority="194">
      <formula>MOD($A155,2)=1</formula>
    </cfRule>
  </conditionalFormatting>
  <conditionalFormatting sqref="O159">
    <cfRule type="expression" dxfId="186" priority="193">
      <formula>MOD($A159,2)=1</formula>
    </cfRule>
  </conditionalFormatting>
  <conditionalFormatting sqref="O163">
    <cfRule type="expression" dxfId="185" priority="192">
      <formula>MOD($A163,2)=1</formula>
    </cfRule>
  </conditionalFormatting>
  <conditionalFormatting sqref="O167">
    <cfRule type="expression" dxfId="184" priority="191">
      <formula>MOD($A167,2)=1</formula>
    </cfRule>
  </conditionalFormatting>
  <conditionalFormatting sqref="O171">
    <cfRule type="expression" dxfId="183" priority="190">
      <formula>MOD($A171,2)=1</formula>
    </cfRule>
  </conditionalFormatting>
  <conditionalFormatting sqref="O175">
    <cfRule type="expression" dxfId="182" priority="189">
      <formula>MOD($A175,2)=1</formula>
    </cfRule>
  </conditionalFormatting>
  <conditionalFormatting sqref="O179">
    <cfRule type="expression" dxfId="181" priority="188">
      <formula>MOD($A179,2)=1</formula>
    </cfRule>
  </conditionalFormatting>
  <conditionalFormatting sqref="O183">
    <cfRule type="expression" dxfId="180" priority="187">
      <formula>MOD($A183,2)=1</formula>
    </cfRule>
  </conditionalFormatting>
  <conditionalFormatting sqref="O187">
    <cfRule type="expression" dxfId="179" priority="186">
      <formula>MOD($A187,2)=1</formula>
    </cfRule>
  </conditionalFormatting>
  <conditionalFormatting sqref="O191">
    <cfRule type="expression" dxfId="178" priority="185">
      <formula>MOD($A191,2)=1</formula>
    </cfRule>
  </conditionalFormatting>
  <conditionalFormatting sqref="O195">
    <cfRule type="expression" dxfId="177" priority="184">
      <formula>MOD($A195,2)=1</formula>
    </cfRule>
  </conditionalFormatting>
  <conditionalFormatting sqref="O199">
    <cfRule type="expression" dxfId="176" priority="183">
      <formula>MOD($A199,2)=1</formula>
    </cfRule>
  </conditionalFormatting>
  <conditionalFormatting sqref="O203">
    <cfRule type="expression" dxfId="175" priority="182">
      <formula>MOD($A203,2)=1</formula>
    </cfRule>
  </conditionalFormatting>
  <conditionalFormatting sqref="O207">
    <cfRule type="expression" dxfId="174" priority="181">
      <formula>MOD($A207,2)=1</formula>
    </cfRule>
  </conditionalFormatting>
  <conditionalFormatting sqref="P151">
    <cfRule type="expression" dxfId="173" priority="179">
      <formula>MOD($A151,2)=1</formula>
    </cfRule>
  </conditionalFormatting>
  <conditionalFormatting sqref="P153">
    <cfRule type="expression" dxfId="172" priority="178">
      <formula>MOD($A153,2)=1</formula>
    </cfRule>
  </conditionalFormatting>
  <conditionalFormatting sqref="P155">
    <cfRule type="expression" dxfId="171" priority="177">
      <formula>MOD($A155,2)=1</formula>
    </cfRule>
  </conditionalFormatting>
  <conditionalFormatting sqref="P157">
    <cfRule type="expression" dxfId="170" priority="176">
      <formula>MOD($A157,2)=1</formula>
    </cfRule>
  </conditionalFormatting>
  <conditionalFormatting sqref="P159">
    <cfRule type="expression" dxfId="169" priority="175">
      <formula>MOD($A159,2)=1</formula>
    </cfRule>
  </conditionalFormatting>
  <conditionalFormatting sqref="P161">
    <cfRule type="expression" dxfId="168" priority="174">
      <formula>MOD($A161,2)=1</formula>
    </cfRule>
  </conditionalFormatting>
  <conditionalFormatting sqref="P163">
    <cfRule type="expression" dxfId="167" priority="173">
      <formula>MOD($A163,2)=1</formula>
    </cfRule>
  </conditionalFormatting>
  <conditionalFormatting sqref="P165">
    <cfRule type="expression" dxfId="166" priority="172">
      <formula>MOD($A165,2)=1</formula>
    </cfRule>
  </conditionalFormatting>
  <conditionalFormatting sqref="P167">
    <cfRule type="expression" dxfId="165" priority="171">
      <formula>MOD($A167,2)=1</formula>
    </cfRule>
  </conditionalFormatting>
  <conditionalFormatting sqref="P169">
    <cfRule type="expression" dxfId="164" priority="170">
      <formula>MOD($A169,2)=1</formula>
    </cfRule>
  </conditionalFormatting>
  <conditionalFormatting sqref="P171">
    <cfRule type="expression" dxfId="163" priority="169">
      <formula>MOD($A171,2)=1</formula>
    </cfRule>
  </conditionalFormatting>
  <conditionalFormatting sqref="P173">
    <cfRule type="expression" dxfId="162" priority="168">
      <formula>MOD($A173,2)=1</formula>
    </cfRule>
  </conditionalFormatting>
  <conditionalFormatting sqref="P175">
    <cfRule type="expression" dxfId="161" priority="167">
      <formula>MOD($A175,2)=1</formula>
    </cfRule>
  </conditionalFormatting>
  <conditionalFormatting sqref="P177">
    <cfRule type="expression" dxfId="160" priority="166">
      <formula>MOD($A177,2)=1</formula>
    </cfRule>
  </conditionalFormatting>
  <conditionalFormatting sqref="P179">
    <cfRule type="expression" dxfId="159" priority="165">
      <formula>MOD($A179,2)=1</formula>
    </cfRule>
  </conditionalFormatting>
  <conditionalFormatting sqref="P181">
    <cfRule type="expression" dxfId="158" priority="164">
      <formula>MOD($A181,2)=1</formula>
    </cfRule>
  </conditionalFormatting>
  <conditionalFormatting sqref="P183">
    <cfRule type="expression" dxfId="157" priority="163">
      <formula>MOD($A183,2)=1</formula>
    </cfRule>
  </conditionalFormatting>
  <conditionalFormatting sqref="P185">
    <cfRule type="expression" dxfId="156" priority="162">
      <formula>MOD($A185,2)=1</formula>
    </cfRule>
  </conditionalFormatting>
  <conditionalFormatting sqref="P187">
    <cfRule type="expression" dxfId="155" priority="161">
      <formula>MOD($A187,2)=1</formula>
    </cfRule>
  </conditionalFormatting>
  <conditionalFormatting sqref="P189">
    <cfRule type="expression" dxfId="154" priority="160">
      <formula>MOD($A189,2)=1</formula>
    </cfRule>
  </conditionalFormatting>
  <conditionalFormatting sqref="P191">
    <cfRule type="expression" dxfId="153" priority="159">
      <formula>MOD($A191,2)=1</formula>
    </cfRule>
  </conditionalFormatting>
  <conditionalFormatting sqref="P193">
    <cfRule type="expression" dxfId="152" priority="158">
      <formula>MOD($A193,2)=1</formula>
    </cfRule>
  </conditionalFormatting>
  <conditionalFormatting sqref="P195">
    <cfRule type="expression" dxfId="151" priority="157">
      <formula>MOD($A195,2)=1</formula>
    </cfRule>
  </conditionalFormatting>
  <conditionalFormatting sqref="P197">
    <cfRule type="expression" dxfId="150" priority="156">
      <formula>MOD($A197,2)=1</formula>
    </cfRule>
  </conditionalFormatting>
  <conditionalFormatting sqref="P199">
    <cfRule type="expression" dxfId="149" priority="155">
      <formula>MOD($A199,2)=1</formula>
    </cfRule>
  </conditionalFormatting>
  <conditionalFormatting sqref="P201">
    <cfRule type="expression" dxfId="148" priority="154">
      <formula>MOD($A201,2)=1</formula>
    </cfRule>
  </conditionalFormatting>
  <conditionalFormatting sqref="P203">
    <cfRule type="expression" dxfId="147" priority="153">
      <formula>MOD($A203,2)=1</formula>
    </cfRule>
  </conditionalFormatting>
  <conditionalFormatting sqref="P205">
    <cfRule type="expression" dxfId="146" priority="152">
      <formula>MOD($A205,2)=1</formula>
    </cfRule>
  </conditionalFormatting>
  <conditionalFormatting sqref="P207">
    <cfRule type="expression" dxfId="145" priority="151">
      <formula>MOD($A207,2)=1</formula>
    </cfRule>
  </conditionalFormatting>
  <conditionalFormatting sqref="Q151">
    <cfRule type="expression" dxfId="144" priority="149">
      <formula>MOD($A151,2)=1</formula>
    </cfRule>
  </conditionalFormatting>
  <conditionalFormatting sqref="Q153">
    <cfRule type="expression" dxfId="143" priority="148">
      <formula>MOD($A153,2)=1</formula>
    </cfRule>
  </conditionalFormatting>
  <conditionalFormatting sqref="Q155">
    <cfRule type="expression" dxfId="142" priority="147">
      <formula>MOD($A155,2)=1</formula>
    </cfRule>
  </conditionalFormatting>
  <conditionalFormatting sqref="Q157">
    <cfRule type="expression" dxfId="141" priority="146">
      <formula>MOD($A157,2)=1</formula>
    </cfRule>
  </conditionalFormatting>
  <conditionalFormatting sqref="Q159">
    <cfRule type="expression" dxfId="140" priority="145">
      <formula>MOD($A159,2)=1</formula>
    </cfRule>
  </conditionalFormatting>
  <conditionalFormatting sqref="Q161">
    <cfRule type="expression" dxfId="139" priority="144">
      <formula>MOD($A161,2)=1</formula>
    </cfRule>
  </conditionalFormatting>
  <conditionalFormatting sqref="Q163">
    <cfRule type="expression" dxfId="138" priority="143">
      <formula>MOD($A163,2)=1</formula>
    </cfRule>
  </conditionalFormatting>
  <conditionalFormatting sqref="Q165">
    <cfRule type="expression" dxfId="137" priority="142">
      <formula>MOD($A165,2)=1</formula>
    </cfRule>
  </conditionalFormatting>
  <conditionalFormatting sqref="Q167">
    <cfRule type="expression" dxfId="136" priority="141">
      <formula>MOD($A167,2)=1</formula>
    </cfRule>
  </conditionalFormatting>
  <conditionalFormatting sqref="Q169">
    <cfRule type="expression" dxfId="135" priority="140">
      <formula>MOD($A169,2)=1</formula>
    </cfRule>
  </conditionalFormatting>
  <conditionalFormatting sqref="Q171">
    <cfRule type="expression" dxfId="134" priority="139">
      <formula>MOD($A171,2)=1</formula>
    </cfRule>
  </conditionalFormatting>
  <conditionalFormatting sqref="Q173">
    <cfRule type="expression" dxfId="133" priority="138">
      <formula>MOD($A173,2)=1</formula>
    </cfRule>
  </conditionalFormatting>
  <conditionalFormatting sqref="Q175">
    <cfRule type="expression" dxfId="132" priority="137">
      <formula>MOD($A175,2)=1</formula>
    </cfRule>
  </conditionalFormatting>
  <conditionalFormatting sqref="Q177">
    <cfRule type="expression" dxfId="131" priority="136">
      <formula>MOD($A177,2)=1</formula>
    </cfRule>
  </conditionalFormatting>
  <conditionalFormatting sqref="Q179">
    <cfRule type="expression" dxfId="130" priority="135">
      <formula>MOD($A179,2)=1</formula>
    </cfRule>
  </conditionalFormatting>
  <conditionalFormatting sqref="Q181">
    <cfRule type="expression" dxfId="129" priority="134">
      <formula>MOD($A181,2)=1</formula>
    </cfRule>
  </conditionalFormatting>
  <conditionalFormatting sqref="Q183">
    <cfRule type="expression" dxfId="128" priority="133">
      <formula>MOD($A183,2)=1</formula>
    </cfRule>
  </conditionalFormatting>
  <conditionalFormatting sqref="Q185">
    <cfRule type="expression" dxfId="127" priority="132">
      <formula>MOD($A185,2)=1</formula>
    </cfRule>
  </conditionalFormatting>
  <conditionalFormatting sqref="Q187">
    <cfRule type="expression" dxfId="126" priority="131">
      <formula>MOD($A187,2)=1</formula>
    </cfRule>
  </conditionalFormatting>
  <conditionalFormatting sqref="Q189">
    <cfRule type="expression" dxfId="125" priority="130">
      <formula>MOD($A189,2)=1</formula>
    </cfRule>
  </conditionalFormatting>
  <conditionalFormatting sqref="Q191">
    <cfRule type="expression" dxfId="124" priority="129">
      <formula>MOD($A191,2)=1</formula>
    </cfRule>
  </conditionalFormatting>
  <conditionalFormatting sqref="Q193">
    <cfRule type="expression" dxfId="123" priority="128">
      <formula>MOD($A193,2)=1</formula>
    </cfRule>
  </conditionalFormatting>
  <conditionalFormatting sqref="Q195">
    <cfRule type="expression" dxfId="122" priority="127">
      <formula>MOD($A195,2)=1</formula>
    </cfRule>
  </conditionalFormatting>
  <conditionalFormatting sqref="Q197">
    <cfRule type="expression" dxfId="121" priority="126">
      <formula>MOD($A197,2)=1</formula>
    </cfRule>
  </conditionalFormatting>
  <conditionalFormatting sqref="Q199">
    <cfRule type="expression" dxfId="120" priority="125">
      <formula>MOD($A199,2)=1</formula>
    </cfRule>
  </conditionalFormatting>
  <conditionalFormatting sqref="Q201">
    <cfRule type="expression" dxfId="119" priority="124">
      <formula>MOD($A201,2)=1</formula>
    </cfRule>
  </conditionalFormatting>
  <conditionalFormatting sqref="Q203">
    <cfRule type="expression" dxfId="118" priority="123">
      <formula>MOD($A203,2)=1</formula>
    </cfRule>
  </conditionalFormatting>
  <conditionalFormatting sqref="Q205">
    <cfRule type="expression" dxfId="117" priority="122">
      <formula>MOD($A205,2)=1</formula>
    </cfRule>
  </conditionalFormatting>
  <conditionalFormatting sqref="Q207">
    <cfRule type="expression" dxfId="116" priority="121">
      <formula>MOD($A207,2)=1</formula>
    </cfRule>
  </conditionalFormatting>
  <conditionalFormatting sqref="R151">
    <cfRule type="expression" dxfId="115" priority="119">
      <formula>MOD($A151,2)=1</formula>
    </cfRule>
  </conditionalFormatting>
  <conditionalFormatting sqref="R153">
    <cfRule type="expression" dxfId="114" priority="118">
      <formula>MOD($A153,2)=1</formula>
    </cfRule>
  </conditionalFormatting>
  <conditionalFormatting sqref="R155">
    <cfRule type="expression" dxfId="113" priority="117">
      <formula>MOD($A155,2)=1</formula>
    </cfRule>
  </conditionalFormatting>
  <conditionalFormatting sqref="R157">
    <cfRule type="expression" dxfId="112" priority="116">
      <formula>MOD($A157,2)=1</formula>
    </cfRule>
  </conditionalFormatting>
  <conditionalFormatting sqref="R159">
    <cfRule type="expression" dxfId="111" priority="115">
      <formula>MOD($A159,2)=1</formula>
    </cfRule>
  </conditionalFormatting>
  <conditionalFormatting sqref="R161">
    <cfRule type="expression" dxfId="110" priority="114">
      <formula>MOD($A161,2)=1</formula>
    </cfRule>
  </conditionalFormatting>
  <conditionalFormatting sqref="R163">
    <cfRule type="expression" dxfId="109" priority="113">
      <formula>MOD($A163,2)=1</formula>
    </cfRule>
  </conditionalFormatting>
  <conditionalFormatting sqref="R165">
    <cfRule type="expression" dxfId="108" priority="112">
      <formula>MOD($A165,2)=1</formula>
    </cfRule>
  </conditionalFormatting>
  <conditionalFormatting sqref="R167">
    <cfRule type="expression" dxfId="107" priority="111">
      <formula>MOD($A167,2)=1</formula>
    </cfRule>
  </conditionalFormatting>
  <conditionalFormatting sqref="R169">
    <cfRule type="expression" dxfId="106" priority="110">
      <formula>MOD($A169,2)=1</formula>
    </cfRule>
  </conditionalFormatting>
  <conditionalFormatting sqref="R171">
    <cfRule type="expression" dxfId="105" priority="109">
      <formula>MOD($A171,2)=1</formula>
    </cfRule>
  </conditionalFormatting>
  <conditionalFormatting sqref="R173">
    <cfRule type="expression" dxfId="104" priority="108">
      <formula>MOD($A173,2)=1</formula>
    </cfRule>
  </conditionalFormatting>
  <conditionalFormatting sqref="R175">
    <cfRule type="expression" dxfId="103" priority="107">
      <formula>MOD($A175,2)=1</formula>
    </cfRule>
  </conditionalFormatting>
  <conditionalFormatting sqref="R177">
    <cfRule type="expression" dxfId="102" priority="106">
      <formula>MOD($A177,2)=1</formula>
    </cfRule>
  </conditionalFormatting>
  <conditionalFormatting sqref="R179">
    <cfRule type="expression" dxfId="101" priority="105">
      <formula>MOD($A179,2)=1</formula>
    </cfRule>
  </conditionalFormatting>
  <conditionalFormatting sqref="R181">
    <cfRule type="expression" dxfId="100" priority="104">
      <formula>MOD($A181,2)=1</formula>
    </cfRule>
  </conditionalFormatting>
  <conditionalFormatting sqref="R183">
    <cfRule type="expression" dxfId="99" priority="103">
      <formula>MOD($A183,2)=1</formula>
    </cfRule>
  </conditionalFormatting>
  <conditionalFormatting sqref="R185">
    <cfRule type="expression" dxfId="98" priority="102">
      <formula>MOD($A185,2)=1</formula>
    </cfRule>
  </conditionalFormatting>
  <conditionalFormatting sqref="R187">
    <cfRule type="expression" dxfId="97" priority="101">
      <formula>MOD($A187,2)=1</formula>
    </cfRule>
  </conditionalFormatting>
  <conditionalFormatting sqref="R189">
    <cfRule type="expression" dxfId="96" priority="100">
      <formula>MOD($A189,2)=1</formula>
    </cfRule>
  </conditionalFormatting>
  <conditionalFormatting sqref="R191">
    <cfRule type="expression" dxfId="95" priority="99">
      <formula>MOD($A191,2)=1</formula>
    </cfRule>
  </conditionalFormatting>
  <conditionalFormatting sqref="R193">
    <cfRule type="expression" dxfId="94" priority="98">
      <formula>MOD($A193,2)=1</formula>
    </cfRule>
  </conditionalFormatting>
  <conditionalFormatting sqref="R195">
    <cfRule type="expression" dxfId="93" priority="97">
      <formula>MOD($A195,2)=1</formula>
    </cfRule>
  </conditionalFormatting>
  <conditionalFormatting sqref="R197">
    <cfRule type="expression" dxfId="92" priority="96">
      <formula>MOD($A197,2)=1</formula>
    </cfRule>
  </conditionalFormatting>
  <conditionalFormatting sqref="R199">
    <cfRule type="expression" dxfId="91" priority="95">
      <formula>MOD($A199,2)=1</formula>
    </cfRule>
  </conditionalFormatting>
  <conditionalFormatting sqref="R201">
    <cfRule type="expression" dxfId="90" priority="94">
      <formula>MOD($A201,2)=1</formula>
    </cfRule>
  </conditionalFormatting>
  <conditionalFormatting sqref="R203">
    <cfRule type="expression" dxfId="89" priority="93">
      <formula>MOD($A203,2)=1</formula>
    </cfRule>
  </conditionalFormatting>
  <conditionalFormatting sqref="R205">
    <cfRule type="expression" dxfId="88" priority="92">
      <formula>MOD($A205,2)=1</formula>
    </cfRule>
  </conditionalFormatting>
  <conditionalFormatting sqref="R207">
    <cfRule type="expression" dxfId="87" priority="91">
      <formula>MOD($A207,2)=1</formula>
    </cfRule>
  </conditionalFormatting>
  <conditionalFormatting sqref="S151">
    <cfRule type="expression" dxfId="86" priority="89">
      <formula>MOD($A151,2)=1</formula>
    </cfRule>
  </conditionalFormatting>
  <conditionalFormatting sqref="S153">
    <cfRule type="expression" dxfId="85" priority="88">
      <formula>MOD($A153,2)=1</formula>
    </cfRule>
  </conditionalFormatting>
  <conditionalFormatting sqref="S155">
    <cfRule type="expression" dxfId="84" priority="87">
      <formula>MOD($A155,2)=1</formula>
    </cfRule>
  </conditionalFormatting>
  <conditionalFormatting sqref="S157">
    <cfRule type="expression" dxfId="83" priority="86">
      <formula>MOD($A157,2)=1</formula>
    </cfRule>
  </conditionalFormatting>
  <conditionalFormatting sqref="S159">
    <cfRule type="expression" dxfId="82" priority="85">
      <formula>MOD($A159,2)=1</formula>
    </cfRule>
  </conditionalFormatting>
  <conditionalFormatting sqref="S161">
    <cfRule type="expression" dxfId="81" priority="84">
      <formula>MOD($A161,2)=1</formula>
    </cfRule>
  </conditionalFormatting>
  <conditionalFormatting sqref="S163">
    <cfRule type="expression" dxfId="80" priority="83">
      <formula>MOD($A163,2)=1</formula>
    </cfRule>
  </conditionalFormatting>
  <conditionalFormatting sqref="S165">
    <cfRule type="expression" dxfId="79" priority="82">
      <formula>MOD($A165,2)=1</formula>
    </cfRule>
  </conditionalFormatting>
  <conditionalFormatting sqref="S167">
    <cfRule type="expression" dxfId="78" priority="81">
      <formula>MOD($A167,2)=1</formula>
    </cfRule>
  </conditionalFormatting>
  <conditionalFormatting sqref="S169">
    <cfRule type="expression" dxfId="77" priority="80">
      <formula>MOD($A169,2)=1</formula>
    </cfRule>
  </conditionalFormatting>
  <conditionalFormatting sqref="S171">
    <cfRule type="expression" dxfId="76" priority="79">
      <formula>MOD($A171,2)=1</formula>
    </cfRule>
  </conditionalFormatting>
  <conditionalFormatting sqref="S173">
    <cfRule type="expression" dxfId="75" priority="78">
      <formula>MOD($A173,2)=1</formula>
    </cfRule>
  </conditionalFormatting>
  <conditionalFormatting sqref="S175">
    <cfRule type="expression" dxfId="74" priority="77">
      <formula>MOD($A175,2)=1</formula>
    </cfRule>
  </conditionalFormatting>
  <conditionalFormatting sqref="S177">
    <cfRule type="expression" dxfId="73" priority="76">
      <formula>MOD($A177,2)=1</formula>
    </cfRule>
  </conditionalFormatting>
  <conditionalFormatting sqref="S179">
    <cfRule type="expression" dxfId="72" priority="75">
      <formula>MOD($A179,2)=1</formula>
    </cfRule>
  </conditionalFormatting>
  <conditionalFormatting sqref="S181">
    <cfRule type="expression" dxfId="71" priority="74">
      <formula>MOD($A181,2)=1</formula>
    </cfRule>
  </conditionalFormatting>
  <conditionalFormatting sqref="S183">
    <cfRule type="expression" dxfId="70" priority="73">
      <formula>MOD($A183,2)=1</formula>
    </cfRule>
  </conditionalFormatting>
  <conditionalFormatting sqref="S185">
    <cfRule type="expression" dxfId="69" priority="72">
      <formula>MOD($A185,2)=1</formula>
    </cfRule>
  </conditionalFormatting>
  <conditionalFormatting sqref="S187">
    <cfRule type="expression" dxfId="68" priority="71">
      <formula>MOD($A187,2)=1</formula>
    </cfRule>
  </conditionalFormatting>
  <conditionalFormatting sqref="S189">
    <cfRule type="expression" dxfId="67" priority="70">
      <formula>MOD($A189,2)=1</formula>
    </cfRule>
  </conditionalFormatting>
  <conditionalFormatting sqref="S191">
    <cfRule type="expression" dxfId="66" priority="69">
      <formula>MOD($A191,2)=1</formula>
    </cfRule>
  </conditionalFormatting>
  <conditionalFormatting sqref="S193">
    <cfRule type="expression" dxfId="65" priority="68">
      <formula>MOD($A193,2)=1</formula>
    </cfRule>
  </conditionalFormatting>
  <conditionalFormatting sqref="S195">
    <cfRule type="expression" dxfId="64" priority="67">
      <formula>MOD($A195,2)=1</formula>
    </cfRule>
  </conditionalFormatting>
  <conditionalFormatting sqref="S197">
    <cfRule type="expression" dxfId="63" priority="66">
      <formula>MOD($A197,2)=1</formula>
    </cfRule>
  </conditionalFormatting>
  <conditionalFormatting sqref="S199">
    <cfRule type="expression" dxfId="62" priority="65">
      <formula>MOD($A199,2)=1</formula>
    </cfRule>
  </conditionalFormatting>
  <conditionalFormatting sqref="S201">
    <cfRule type="expression" dxfId="61" priority="64">
      <formula>MOD($A201,2)=1</formula>
    </cfRule>
  </conditionalFormatting>
  <conditionalFormatting sqref="S203">
    <cfRule type="expression" dxfId="60" priority="63">
      <formula>MOD($A203,2)=1</formula>
    </cfRule>
  </conditionalFormatting>
  <conditionalFormatting sqref="S205">
    <cfRule type="expression" dxfId="59" priority="62">
      <formula>MOD($A205,2)=1</formula>
    </cfRule>
  </conditionalFormatting>
  <conditionalFormatting sqref="S207">
    <cfRule type="expression" dxfId="58" priority="61">
      <formula>MOD($A207,2)=1</formula>
    </cfRule>
  </conditionalFormatting>
  <conditionalFormatting sqref="N229">
    <cfRule type="expression" dxfId="57" priority="60">
      <formula>MOD($A229,2)=0</formula>
    </cfRule>
  </conditionalFormatting>
  <conditionalFormatting sqref="N230:N235">
    <cfRule type="expression" dxfId="56" priority="59">
      <formula>MOD($A230,2)=0</formula>
    </cfRule>
  </conditionalFormatting>
  <conditionalFormatting sqref="N245">
    <cfRule type="expression" dxfId="55" priority="58">
      <formula>MOD($A245,2)=0</formula>
    </cfRule>
  </conditionalFormatting>
  <conditionalFormatting sqref="N246:N251">
    <cfRule type="expression" dxfId="54" priority="57">
      <formula>MOD($A246,2)=0</formula>
    </cfRule>
  </conditionalFormatting>
  <conditionalFormatting sqref="N261">
    <cfRule type="expression" dxfId="53" priority="56">
      <formula>MOD($A$261,2)=0</formula>
    </cfRule>
  </conditionalFormatting>
  <conditionalFormatting sqref="N262">
    <cfRule type="expression" dxfId="52" priority="54">
      <formula>MOD($A$261,2)=0</formula>
    </cfRule>
  </conditionalFormatting>
  <conditionalFormatting sqref="N263">
    <cfRule type="expression" dxfId="51" priority="53">
      <formula>MOD($A$261,2)=0</formula>
    </cfRule>
  </conditionalFormatting>
  <conditionalFormatting sqref="N264">
    <cfRule type="expression" dxfId="50" priority="52">
      <formula>MOD($A$261,2)=0</formula>
    </cfRule>
  </conditionalFormatting>
  <conditionalFormatting sqref="N265">
    <cfRule type="expression" dxfId="49" priority="51">
      <formula>MOD($A$261,2)=0</formula>
    </cfRule>
  </conditionalFormatting>
  <conditionalFormatting sqref="N266">
    <cfRule type="expression" dxfId="48" priority="50">
      <formula>MOD($A$261,2)=0</formula>
    </cfRule>
  </conditionalFormatting>
  <conditionalFormatting sqref="N267">
    <cfRule type="expression" dxfId="47" priority="49">
      <formula>MOD($A$261,2)=0</formula>
    </cfRule>
  </conditionalFormatting>
  <conditionalFormatting sqref="N277">
    <cfRule type="expression" dxfId="46" priority="48">
      <formula>MOD($A$261,2)=0</formula>
    </cfRule>
  </conditionalFormatting>
  <conditionalFormatting sqref="N278">
    <cfRule type="expression" dxfId="45" priority="47">
      <formula>MOD($A$261,2)=0</formula>
    </cfRule>
  </conditionalFormatting>
  <conditionalFormatting sqref="N279">
    <cfRule type="expression" dxfId="44" priority="46">
      <formula>MOD($A$261,2)=0</formula>
    </cfRule>
  </conditionalFormatting>
  <conditionalFormatting sqref="N280">
    <cfRule type="expression" dxfId="43" priority="45">
      <formula>MOD($A$261,2)=0</formula>
    </cfRule>
  </conditionalFormatting>
  <conditionalFormatting sqref="N281">
    <cfRule type="expression" dxfId="42" priority="44">
      <formula>MOD($A$261,2)=0</formula>
    </cfRule>
  </conditionalFormatting>
  <conditionalFormatting sqref="N282">
    <cfRule type="expression" dxfId="41" priority="43">
      <formula>MOD($A$261,2)=0</formula>
    </cfRule>
  </conditionalFormatting>
  <conditionalFormatting sqref="N283">
    <cfRule type="expression" dxfId="40" priority="42">
      <formula>MOD($A$261,2)=0</formula>
    </cfRule>
  </conditionalFormatting>
  <conditionalFormatting sqref="N293">
    <cfRule type="expression" dxfId="39" priority="41">
      <formula>MOD($A$261,2)=0</formula>
    </cfRule>
  </conditionalFormatting>
  <conditionalFormatting sqref="N294">
    <cfRule type="expression" dxfId="38" priority="40">
      <formula>MOD($A$261,2)=0</formula>
    </cfRule>
  </conditionalFormatting>
  <conditionalFormatting sqref="N295">
    <cfRule type="expression" dxfId="37" priority="39">
      <formula>MOD($A$261,2)=0</formula>
    </cfRule>
  </conditionalFormatting>
  <conditionalFormatting sqref="N296">
    <cfRule type="expression" dxfId="36" priority="38">
      <formula>MOD($A$261,2)=0</formula>
    </cfRule>
  </conditionalFormatting>
  <conditionalFormatting sqref="N297">
    <cfRule type="expression" dxfId="35" priority="37">
      <formula>MOD($A$261,2)=0</formula>
    </cfRule>
  </conditionalFormatting>
  <conditionalFormatting sqref="N298">
    <cfRule type="expression" dxfId="34" priority="36">
      <formula>MOD($A$261,2)=0</formula>
    </cfRule>
  </conditionalFormatting>
  <conditionalFormatting sqref="N299">
    <cfRule type="expression" dxfId="33" priority="35">
      <formula>MOD($A$261,2)=0</formula>
    </cfRule>
  </conditionalFormatting>
  <conditionalFormatting sqref="I230">
    <cfRule type="expression" dxfId="32" priority="34">
      <formula>MOD($A230,2)=0</formula>
    </cfRule>
  </conditionalFormatting>
  <conditionalFormatting sqref="B245">
    <cfRule type="expression" dxfId="31" priority="33">
      <formula>MOD($A245,2)=0</formula>
    </cfRule>
  </conditionalFormatting>
  <conditionalFormatting sqref="B81">
    <cfRule type="expression" dxfId="30" priority="31">
      <formula>MOD($A83,2)=1</formula>
    </cfRule>
  </conditionalFormatting>
  <conditionalFormatting sqref="B83">
    <cfRule type="expression" dxfId="29" priority="30">
      <formula>MOD($A83,2)=1</formula>
    </cfRule>
  </conditionalFormatting>
  <conditionalFormatting sqref="B77">
    <cfRule type="expression" dxfId="28" priority="29">
      <formula>MOD($A79,2)=1</formula>
    </cfRule>
  </conditionalFormatting>
  <conditionalFormatting sqref="B73">
    <cfRule type="expression" dxfId="27" priority="28">
      <formula>MOD($A75,2)=1</formula>
    </cfRule>
  </conditionalFormatting>
  <conditionalFormatting sqref="B69">
    <cfRule type="expression" dxfId="26" priority="27">
      <formula>MOD($A71,2)=1</formula>
    </cfRule>
  </conditionalFormatting>
  <conditionalFormatting sqref="B65">
    <cfRule type="expression" dxfId="25" priority="26">
      <formula>MOD($A67,2)=1</formula>
    </cfRule>
  </conditionalFormatting>
  <conditionalFormatting sqref="B61">
    <cfRule type="expression" dxfId="24" priority="25">
      <formula>MOD($A63,2)=1</formula>
    </cfRule>
  </conditionalFormatting>
  <conditionalFormatting sqref="B57">
    <cfRule type="expression" dxfId="23" priority="24">
      <formula>MOD($A59,2)=1</formula>
    </cfRule>
  </conditionalFormatting>
  <conditionalFormatting sqref="B113">
    <cfRule type="expression" dxfId="22" priority="23">
      <formula>MOD($A115,2)=1</formula>
    </cfRule>
  </conditionalFormatting>
  <conditionalFormatting sqref="B117">
    <cfRule type="expression" dxfId="21" priority="22">
      <formula>MOD($A119,2)=1</formula>
    </cfRule>
  </conditionalFormatting>
  <conditionalFormatting sqref="B121">
    <cfRule type="expression" dxfId="20" priority="21">
      <formula>MOD($A123,2)=1</formula>
    </cfRule>
  </conditionalFormatting>
  <conditionalFormatting sqref="B125">
    <cfRule type="expression" dxfId="19" priority="20">
      <formula>MOD($A127,2)=1</formula>
    </cfRule>
  </conditionalFormatting>
  <conditionalFormatting sqref="B129">
    <cfRule type="expression" dxfId="18" priority="19">
      <formula>MOD($A131,2)=1</formula>
    </cfRule>
  </conditionalFormatting>
  <conditionalFormatting sqref="B133">
    <cfRule type="expression" dxfId="17" priority="18">
      <formula>MOD($A135,2)=1</formula>
    </cfRule>
  </conditionalFormatting>
  <conditionalFormatting sqref="B137">
    <cfRule type="expression" dxfId="16" priority="17">
      <formula>MOD($A139,2)=1</formula>
    </cfRule>
  </conditionalFormatting>
  <conditionalFormatting sqref="B152">
    <cfRule type="expression" dxfId="15" priority="16">
      <formula>MOD($A154,2)=1</formula>
    </cfRule>
  </conditionalFormatting>
  <conditionalFormatting sqref="B156">
    <cfRule type="expression" dxfId="14" priority="15">
      <formula>MOD($A158,2)=1</formula>
    </cfRule>
  </conditionalFormatting>
  <conditionalFormatting sqref="B160">
    <cfRule type="expression" dxfId="13" priority="14">
      <formula>MOD($A162,2)=1</formula>
    </cfRule>
  </conditionalFormatting>
  <conditionalFormatting sqref="B164">
    <cfRule type="expression" dxfId="12" priority="13">
      <formula>MOD($A166,2)=1</formula>
    </cfRule>
  </conditionalFormatting>
  <conditionalFormatting sqref="B168">
    <cfRule type="expression" dxfId="11" priority="12">
      <formula>MOD($A170,2)=1</formula>
    </cfRule>
  </conditionalFormatting>
  <conditionalFormatting sqref="B172">
    <cfRule type="expression" dxfId="10" priority="11">
      <formula>MOD($A174,2)=1</formula>
    </cfRule>
  </conditionalFormatting>
  <conditionalFormatting sqref="B176">
    <cfRule type="expression" dxfId="9" priority="10">
      <formula>MOD($A178,2)=1</formula>
    </cfRule>
  </conditionalFormatting>
  <conditionalFormatting sqref="B180">
    <cfRule type="expression" dxfId="8" priority="9">
      <formula>MOD($A182,2)=1</formula>
    </cfRule>
  </conditionalFormatting>
  <conditionalFormatting sqref="B184">
    <cfRule type="expression" dxfId="7" priority="8">
      <formula>MOD($A186,2)=1</formula>
    </cfRule>
  </conditionalFormatting>
  <conditionalFormatting sqref="B188">
    <cfRule type="expression" dxfId="6" priority="7">
      <formula>MOD($A190,2)=1</formula>
    </cfRule>
  </conditionalFormatting>
  <conditionalFormatting sqref="B192">
    <cfRule type="expression" dxfId="5" priority="6">
      <formula>MOD($A194,2)=1</formula>
    </cfRule>
  </conditionalFormatting>
  <conditionalFormatting sqref="B196">
    <cfRule type="expression" dxfId="4" priority="5">
      <formula>MOD($A198,2)=1</formula>
    </cfRule>
  </conditionalFormatting>
  <conditionalFormatting sqref="B200">
    <cfRule type="expression" dxfId="3" priority="4">
      <formula>MOD($A202,2)=1</formula>
    </cfRule>
  </conditionalFormatting>
  <conditionalFormatting sqref="B204">
    <cfRule type="expression" dxfId="2" priority="3">
      <formula>MOD($A206,2)=1</formula>
    </cfRule>
  </conditionalFormatting>
  <conditionalFormatting sqref="B208">
    <cfRule type="expression" dxfId="1" priority="2">
      <formula>MOD($A210,2)=1</formula>
    </cfRule>
  </conditionalFormatting>
  <conditionalFormatting sqref="C245">
    <cfRule type="expression" dxfId="0" priority="1">
      <formula>MOD($A245,2)=0</formula>
    </cfRule>
  </conditionalFormatting>
  <pageMargins left="0.7" right="0.7" top="0.75" bottom="0.75" header="0.3" footer="0.3"/>
  <pageSetup paperSize="8" scale="29" fitToHeight="0" orientation="landscape" r:id="rId1"/>
  <rowBreaks count="2" manualBreakCount="2">
    <brk id="131" max="17" man="1"/>
    <brk id="161" max="1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K314"/>
  <sheetViews>
    <sheetView topLeftCell="B1" workbookViewId="0">
      <selection activeCell="D30" sqref="D30"/>
    </sheetView>
  </sheetViews>
  <sheetFormatPr defaultColWidth="8.59765625" defaultRowHeight="13.2" x14ac:dyDescent="0.25"/>
  <cols>
    <col min="1" max="1" width="19.19921875" style="9" customWidth="1"/>
    <col min="2" max="2" width="28.09765625" style="9" bestFit="1" customWidth="1"/>
    <col min="3" max="3" width="8.59765625" style="9"/>
    <col min="4" max="4" width="17" style="9" customWidth="1"/>
    <col min="5" max="6" width="8.59765625" style="9"/>
    <col min="7" max="7" width="25.5" style="9" customWidth="1"/>
    <col min="8" max="8" width="17.19921875" style="9" customWidth="1"/>
    <col min="9" max="16384" width="8.59765625" style="9"/>
  </cols>
  <sheetData>
    <row r="1" spans="1:11" x14ac:dyDescent="0.25">
      <c r="A1" s="9" t="s">
        <v>209</v>
      </c>
    </row>
    <row r="4" spans="1:11" x14ac:dyDescent="0.25">
      <c r="A4" s="6" t="s">
        <v>92</v>
      </c>
    </row>
    <row r="5" spans="1:11" x14ac:dyDescent="0.25">
      <c r="B5" s="145" t="s">
        <v>89</v>
      </c>
      <c r="C5" s="145"/>
      <c r="D5" s="145" t="s">
        <v>453</v>
      </c>
      <c r="E5" s="145"/>
      <c r="F5" s="145"/>
      <c r="G5" s="145" t="s">
        <v>48</v>
      </c>
      <c r="H5" s="145" t="s">
        <v>228</v>
      </c>
      <c r="I5" s="145" t="s">
        <v>43</v>
      </c>
      <c r="J5" s="145" t="s">
        <v>451</v>
      </c>
      <c r="K5" s="145" t="s">
        <v>449</v>
      </c>
    </row>
    <row r="6" spans="1:11" hidden="1" x14ac:dyDescent="0.25">
      <c r="B6" s="145" t="s">
        <v>88</v>
      </c>
      <c r="C6" s="145"/>
      <c r="D6" s="145" t="str">
        <f>CHOOSE(Translations!$C$1+1,I6,J6,K6)</f>
        <v>[Name - FR]</v>
      </c>
      <c r="E6" s="145"/>
      <c r="F6" s="145"/>
      <c r="G6" s="145" t="s">
        <v>47</v>
      </c>
      <c r="H6" s="146" t="s">
        <v>227</v>
      </c>
      <c r="I6" s="146" t="s">
        <v>66</v>
      </c>
      <c r="J6" s="146" t="s">
        <v>450</v>
      </c>
      <c r="K6" s="146" t="s">
        <v>448</v>
      </c>
    </row>
    <row r="7" spans="1:11" x14ac:dyDescent="0.25">
      <c r="B7" s="145" t="s">
        <v>1521</v>
      </c>
      <c r="C7" s="145"/>
      <c r="D7" s="145" t="str">
        <f>CHOOSE(Translations!$C$1+1,I7,J7,K7)</f>
        <v>HIV I-13 Pourcentage de personnes vivant avec le VIH</v>
      </c>
      <c r="E7" s="145"/>
      <c r="F7" s="145"/>
      <c r="G7" s="145" t="s">
        <v>6128</v>
      </c>
      <c r="H7" s="146"/>
      <c r="I7" s="146" t="s">
        <v>1530</v>
      </c>
      <c r="J7" s="146" t="s">
        <v>1531</v>
      </c>
      <c r="K7" s="146" t="s">
        <v>1532</v>
      </c>
    </row>
    <row r="8" spans="1:11" x14ac:dyDescent="0.25">
      <c r="B8" s="145" t="s">
        <v>1569</v>
      </c>
      <c r="C8" s="145"/>
      <c r="D8" s="145" t="str">
        <f>CHOOSE(Translations!$C$1+1,I8,J8,K8)</f>
        <v>HIV I-14 Nombre de nouvelles infections par le VIH pour 1000 habitants non infectés</v>
      </c>
      <c r="E8" s="145"/>
      <c r="F8" s="145"/>
      <c r="G8" s="145" t="s">
        <v>6129</v>
      </c>
      <c r="H8" s="146"/>
      <c r="I8" s="146" t="s">
        <v>1572</v>
      </c>
      <c r="J8" s="146" t="s">
        <v>1573</v>
      </c>
      <c r="K8" s="146" t="s">
        <v>1574</v>
      </c>
    </row>
    <row r="9" spans="1:11" x14ac:dyDescent="0.25">
      <c r="B9" s="145" t="s">
        <v>1589</v>
      </c>
      <c r="C9" s="145"/>
      <c r="D9" s="145" t="str">
        <f>CHOOSE(Translations!$C$1+1,I9,J9,K9)</f>
        <v>HIV I-4 Nombre de décès liés au sida pour 100,000 habitants</v>
      </c>
      <c r="E9" s="145"/>
      <c r="F9" s="145"/>
      <c r="G9" s="145" t="s">
        <v>6130</v>
      </c>
      <c r="H9" s="146"/>
      <c r="I9" s="146" t="s">
        <v>1592</v>
      </c>
      <c r="J9" s="146" t="s">
        <v>1593</v>
      </c>
      <c r="K9" s="146" t="s">
        <v>1594</v>
      </c>
    </row>
    <row r="10" spans="1:11" x14ac:dyDescent="0.25">
      <c r="B10" s="145" t="s">
        <v>2889</v>
      </c>
      <c r="C10" s="145"/>
      <c r="D10" s="145" t="str">
        <f>CHOOSE(Translations!$C$1+1,I10,J10,K10)</f>
        <v>HIV I-6 Pourcentage estimé d’enfants ayant été nouvellement infectés par le VIH dans le cadre de la transmission de la mère à l’enfant chez les femmes séropositives ayant accouché au cours des 12 derniers mois</v>
      </c>
      <c r="E10" s="145"/>
      <c r="F10" s="145"/>
      <c r="G10" s="145" t="s">
        <v>6131</v>
      </c>
      <c r="H10" s="146"/>
      <c r="I10" s="146" t="s">
        <v>2892</v>
      </c>
      <c r="J10" s="146" t="s">
        <v>2893</v>
      </c>
      <c r="K10" s="146" t="s">
        <v>2894</v>
      </c>
    </row>
    <row r="11" spans="1:11" x14ac:dyDescent="0.25">
      <c r="B11" s="145" t="s">
        <v>1613</v>
      </c>
      <c r="C11" s="145"/>
      <c r="D11" s="145" t="str">
        <f>CHOOSE(Translations!$C$1+1,I11,J11,K11)</f>
        <v>HIV I-9a⁽ᴹ⁾ Pourcentage d’hommes ayant des rapports sexuels avec des hommes vivant avec le VIH</v>
      </c>
      <c r="E11" s="145"/>
      <c r="F11" s="145"/>
      <c r="G11" s="145" t="s">
        <v>6132</v>
      </c>
      <c r="H11" s="146"/>
      <c r="I11" s="146" t="s">
        <v>1617</v>
      </c>
      <c r="J11" s="146" t="s">
        <v>1618</v>
      </c>
      <c r="K11" s="146" t="s">
        <v>1619</v>
      </c>
    </row>
    <row r="12" spans="1:11" x14ac:dyDescent="0.25">
      <c r="B12" s="145" t="s">
        <v>1623</v>
      </c>
      <c r="C12" s="145"/>
      <c r="D12" s="145" t="str">
        <f>CHOOSE(Translations!$C$1+1,I12,J12,K12)</f>
        <v>HIV I-9b⁽ᴹ⁾ Pourcentage de personnes transgenres vivant avec le VIH</v>
      </c>
      <c r="E12" s="145"/>
      <c r="F12" s="145"/>
      <c r="G12" s="145" t="s">
        <v>6133</v>
      </c>
      <c r="H12" s="146"/>
      <c r="I12" s="146" t="s">
        <v>1626</v>
      </c>
      <c r="J12" s="146" t="s">
        <v>1627</v>
      </c>
      <c r="K12" s="146" t="s">
        <v>1628</v>
      </c>
    </row>
    <row r="13" spans="1:11" x14ac:dyDescent="0.25">
      <c r="B13" s="145" t="s">
        <v>1631</v>
      </c>
      <c r="C13" s="145"/>
      <c r="D13" s="145" t="str">
        <f>CHOOSE(Translations!$C$1+1,I13,J13,K13)</f>
        <v>HIV I-10⁽ᴹ⁾ Pourcentage de professionnels du sexe vivant avec le VIH</v>
      </c>
      <c r="E13" s="145"/>
      <c r="F13" s="145"/>
      <c r="G13" s="145" t="s">
        <v>6134</v>
      </c>
      <c r="H13" s="146"/>
      <c r="I13" s="146" t="s">
        <v>1637</v>
      </c>
      <c r="J13" s="146" t="s">
        <v>1638</v>
      </c>
      <c r="K13" s="146" t="s">
        <v>1639</v>
      </c>
    </row>
    <row r="14" spans="1:11" x14ac:dyDescent="0.25">
      <c r="B14" s="145" t="s">
        <v>1648</v>
      </c>
      <c r="C14" s="145"/>
      <c r="D14" s="145" t="str">
        <f>CHOOSE(Translations!$C$1+1,I14,J14,K14)</f>
        <v>HIV I-11⁽ᴹ⁾ Pourcentage de personnes qui s’injectent des drogues vivant avec le VIH</v>
      </c>
      <c r="E14" s="145"/>
      <c r="F14" s="145"/>
      <c r="G14" s="145" t="s">
        <v>6135</v>
      </c>
      <c r="H14" s="146"/>
      <c r="I14" s="146" t="s">
        <v>1651</v>
      </c>
      <c r="J14" s="146" t="s">
        <v>1652</v>
      </c>
      <c r="K14" s="146" t="s">
        <v>1653</v>
      </c>
    </row>
    <row r="15" spans="1:11" x14ac:dyDescent="0.25">
      <c r="B15" s="145" t="s">
        <v>2904</v>
      </c>
      <c r="C15" s="145"/>
      <c r="D15" s="145" t="str">
        <f>CHOOSE(Translations!$C$1+1,I15,J15,K15)</f>
        <v>HIV I-12 Pourcentage de personnes appartenant à d'autres populations vulnérables (à préciser) vivant avec le VIH</v>
      </c>
      <c r="E15" s="145"/>
      <c r="F15" s="145"/>
      <c r="G15" s="145" t="s">
        <v>6136</v>
      </c>
      <c r="H15" s="146"/>
      <c r="I15" s="146" t="s">
        <v>2907</v>
      </c>
      <c r="J15" s="146" t="s">
        <v>2908</v>
      </c>
      <c r="K15" s="146" t="s">
        <v>2909</v>
      </c>
    </row>
    <row r="16" spans="1:11" x14ac:dyDescent="0.25">
      <c r="B16" s="145" t="s">
        <v>2910</v>
      </c>
      <c r="C16" s="145"/>
      <c r="D16" s="145" t="str">
        <f>CHOOSE(Translations!$C$1+1,I16,J16,K16)</f>
        <v>TB/HIV I-1 Taux de mortalité par tuberculose/VIH (pour 100 000 habitants)</v>
      </c>
      <c r="E16" s="145"/>
      <c r="F16" s="145"/>
      <c r="G16" s="145" t="s">
        <v>6137</v>
      </c>
      <c r="H16" s="146"/>
      <c r="I16" s="146" t="s">
        <v>2913</v>
      </c>
      <c r="J16" s="146" t="s">
        <v>2914</v>
      </c>
      <c r="K16" s="146" t="s">
        <v>2915</v>
      </c>
    </row>
    <row r="20" spans="1:11" x14ac:dyDescent="0.25">
      <c r="A20" s="6" t="s">
        <v>93</v>
      </c>
    </row>
    <row r="21" spans="1:11" x14ac:dyDescent="0.25">
      <c r="B21" s="145" t="s">
        <v>89</v>
      </c>
      <c r="C21" s="145"/>
      <c r="D21" s="145" t="s">
        <v>453</v>
      </c>
      <c r="E21" s="145"/>
      <c r="F21" s="145"/>
      <c r="G21" s="145" t="s">
        <v>48</v>
      </c>
      <c r="H21" s="145" t="s">
        <v>228</v>
      </c>
      <c r="I21" s="145" t="s">
        <v>43</v>
      </c>
      <c r="J21" s="145" t="s">
        <v>451</v>
      </c>
      <c r="K21" s="145" t="s">
        <v>449</v>
      </c>
    </row>
    <row r="22" spans="1:11" hidden="1" x14ac:dyDescent="0.25">
      <c r="B22" s="145" t="s">
        <v>88</v>
      </c>
      <c r="C22" s="145"/>
      <c r="D22" s="145" t="str">
        <f>CHOOSE(Translations!$C$1+1,I22,J22,K22)</f>
        <v>[Name - FR]</v>
      </c>
      <c r="E22" s="145"/>
      <c r="F22" s="145"/>
      <c r="G22" s="145" t="s">
        <v>47</v>
      </c>
      <c r="H22" s="146" t="s">
        <v>227</v>
      </c>
      <c r="I22" s="146" t="s">
        <v>66</v>
      </c>
      <c r="J22" s="146" t="s">
        <v>450</v>
      </c>
      <c r="K22" s="146" t="s">
        <v>448</v>
      </c>
    </row>
    <row r="23" spans="1:11" x14ac:dyDescent="0.25">
      <c r="B23" s="145" t="s">
        <v>1785</v>
      </c>
      <c r="C23" s="145"/>
      <c r="D23" s="145" t="str">
        <f>CHOOSE(Translations!$C$1+1,I23,J23,K23)</f>
        <v>HIV O-10 Pourcentage de personnes interrogées qui disent avoir utilisé un préservatif lors de leur dernier rapport sexuel avec un partenaire non marié/ non cohabitant, parmi celles qui ont eu des rapports sexuels avec un tel partenaire au cours des 12 derniers mois</v>
      </c>
      <c r="E23" s="145"/>
      <c r="F23" s="145"/>
      <c r="G23" s="145" t="s">
        <v>6138</v>
      </c>
      <c r="H23" s="146"/>
      <c r="I23" s="146" t="s">
        <v>1788</v>
      </c>
      <c r="J23" s="146" t="s">
        <v>1789</v>
      </c>
      <c r="K23" s="146" t="s">
        <v>1790</v>
      </c>
    </row>
    <row r="24" spans="1:11" x14ac:dyDescent="0.25">
      <c r="B24" s="145" t="s">
        <v>1801</v>
      </c>
      <c r="C24" s="145"/>
      <c r="D24" s="145" t="str">
        <f>CHOOSE(Translations!$C$1+1,I24,J24,K24)</f>
        <v>HIV O-4a⁽ᴹ⁾ Pourcentage d’hommes qui indiquent avoir utilisé un préservatif lors de leur dernier rapport anal avec un partenaire occasionel</v>
      </c>
      <c r="E24" s="145"/>
      <c r="F24" s="145"/>
      <c r="G24" s="145" t="s">
        <v>6139</v>
      </c>
      <c r="H24" s="146"/>
      <c r="I24" s="146" t="s">
        <v>1804</v>
      </c>
      <c r="J24" s="146" t="s">
        <v>1805</v>
      </c>
      <c r="K24" s="146" t="s">
        <v>1806</v>
      </c>
    </row>
    <row r="25" spans="1:11" x14ac:dyDescent="0.25">
      <c r="B25" s="145" t="s">
        <v>1809</v>
      </c>
      <c r="C25" s="145"/>
      <c r="D25" s="145" t="str">
        <f>CHOOSE(Translations!$C$1+1,I25,J25,K25)</f>
        <v>HIV O-4.1b⁽ᴹ⁾ Pourcentage de personnes transgenres qui indiquent avoir utilisé un préservatif lors de leur dernier rapport sexuel anal avec un partenaire occasionel masculin</v>
      </c>
      <c r="E25" s="145"/>
      <c r="F25" s="145"/>
      <c r="G25" s="145" t="s">
        <v>6140</v>
      </c>
      <c r="H25" s="146"/>
      <c r="I25" s="146" t="s">
        <v>1812</v>
      </c>
      <c r="J25" s="146" t="s">
        <v>1813</v>
      </c>
      <c r="K25" s="146" t="s">
        <v>1814</v>
      </c>
    </row>
    <row r="26" spans="1:11" x14ac:dyDescent="0.25">
      <c r="B26" s="145" t="s">
        <v>1817</v>
      </c>
      <c r="C26" s="145"/>
      <c r="D26" s="145" t="str">
        <f>CHOOSE(Translations!$C$1+1,I26,J26,K26)</f>
        <v>HIV O-5⁽ᴹ⁾ Pourcentage de professionnels du sexe qui indiquent avoir utilisé un préservatif avec leur dernier client</v>
      </c>
      <c r="E26" s="145"/>
      <c r="F26" s="145"/>
      <c r="G26" s="145" t="s">
        <v>6141</v>
      </c>
      <c r="H26" s="146"/>
      <c r="I26" s="146" t="s">
        <v>1820</v>
      </c>
      <c r="J26" s="146" t="s">
        <v>1821</v>
      </c>
      <c r="K26" s="146" t="s">
        <v>1822</v>
      </c>
    </row>
    <row r="27" spans="1:11" x14ac:dyDescent="0.25">
      <c r="B27" s="145" t="s">
        <v>1831</v>
      </c>
      <c r="C27" s="145"/>
      <c r="D27" s="145" t="str">
        <f>CHOOSE(Translations!$C$1+1,I27,J27,K27)</f>
        <v>HIV O-6⁽ᴹ⁾ Pourcentage de personnes qui s'injectent des drogues qui indiquent avoir utilisé du matériel d’injection stérile lors de leur dernière injection</v>
      </c>
      <c r="E27" s="145"/>
      <c r="F27" s="145"/>
      <c r="G27" s="145" t="s">
        <v>6142</v>
      </c>
      <c r="H27" s="146"/>
      <c r="I27" s="146" t="s">
        <v>1834</v>
      </c>
      <c r="J27" s="146" t="s">
        <v>1835</v>
      </c>
      <c r="K27" s="146" t="s">
        <v>1836</v>
      </c>
    </row>
    <row r="28" spans="1:11" x14ac:dyDescent="0.25">
      <c r="B28" s="145" t="s">
        <v>1845</v>
      </c>
      <c r="C28" s="145"/>
      <c r="D28" s="145" t="str">
        <f>CHOOSE(Translations!$C$1+1,I28,J28,K28)</f>
        <v>HIV O-9 Pourcentage de personnes qui s'injectent des drogues qui indiquent avoir utilisé un préservatif lors de leur dernier rapport sexuel</v>
      </c>
      <c r="E28" s="145"/>
      <c r="F28" s="145"/>
      <c r="G28" s="145" t="s">
        <v>6143</v>
      </c>
      <c r="H28" s="146"/>
      <c r="I28" s="146" t="s">
        <v>1848</v>
      </c>
      <c r="J28" s="146" t="s">
        <v>1849</v>
      </c>
      <c r="K28" s="146" t="s">
        <v>1850</v>
      </c>
    </row>
    <row r="29" spans="1:11" x14ac:dyDescent="0.25">
      <c r="B29" s="145" t="s">
        <v>2928</v>
      </c>
      <c r="C29" s="145"/>
      <c r="D29" s="145" t="str">
        <f>CHOOSE(Translations!$C$1+1,I29,J29,K29)</f>
        <v>HIV O-7 Pourcentage de personnes appartenant à d'autres populations vulnérables qui indiquent avoir utilisé un préservatif lors de leur dernier rapport sexuel</v>
      </c>
      <c r="E29" s="145"/>
      <c r="F29" s="145"/>
      <c r="G29" s="145" t="s">
        <v>6144</v>
      </c>
      <c r="H29" s="146"/>
      <c r="I29" s="146" t="s">
        <v>2931</v>
      </c>
      <c r="J29" s="146" t="s">
        <v>2932</v>
      </c>
      <c r="K29" s="146" t="s">
        <v>2933</v>
      </c>
    </row>
    <row r="30" spans="1:11" x14ac:dyDescent="0.25">
      <c r="B30" s="145" t="s">
        <v>1859</v>
      </c>
      <c r="C30" s="145"/>
      <c r="D30" s="145" t="str">
        <f>CHOOSE(Translations!$C$1+1,I30,J30,K30)</f>
        <v>HIV O-11⁽ᴹ⁾ Pourcentage de personnes vivant avec le VIH qui connaissent leur statut sérologique à la fin de la période de rapportage</v>
      </c>
      <c r="E30" s="145"/>
      <c r="F30" s="145"/>
      <c r="G30" s="145" t="s">
        <v>6145</v>
      </c>
      <c r="H30" s="146"/>
      <c r="I30" s="146" t="s">
        <v>1862</v>
      </c>
      <c r="J30" s="146" t="s">
        <v>1863</v>
      </c>
      <c r="K30" s="146" t="s">
        <v>1864</v>
      </c>
    </row>
    <row r="31" spans="1:11" x14ac:dyDescent="0.25">
      <c r="B31" s="145" t="s">
        <v>1869</v>
      </c>
      <c r="C31" s="145"/>
      <c r="D31" s="145" t="str">
        <f>CHOOSE(Translations!$C$1+1,I31,J31,K31)</f>
        <v>HIV O-12 Pourcentage de personnes vivant avec le VIH sous traitement antirétroviral qui ont une charge virale indétectable</v>
      </c>
      <c r="E31" s="145"/>
      <c r="F31" s="145"/>
      <c r="G31" s="145" t="s">
        <v>6146</v>
      </c>
      <c r="H31" s="146"/>
      <c r="I31" s="146" t="s">
        <v>1872</v>
      </c>
      <c r="J31" s="146" t="s">
        <v>1873</v>
      </c>
      <c r="K31" s="146" t="s">
        <v>1874</v>
      </c>
    </row>
    <row r="32" spans="1:11" x14ac:dyDescent="0.25">
      <c r="B32" s="145" t="s">
        <v>1879</v>
      </c>
      <c r="C32" s="145"/>
      <c r="D32" s="145" t="str">
        <f>CHOOSE(Translations!$C$1+1,I32,J32,K32)</f>
        <v>HIV O-13 Proportion de femmes âgées de 15 à 49 ans qui sont ou ont été mariées ou sont en couple, et qui ont été victimes de violences physiques ou sexuelles de la part d’un partenaire masculin au cours des 12 derniers mois</v>
      </c>
      <c r="E32" s="145"/>
      <c r="F32" s="145"/>
      <c r="G32" s="145" t="s">
        <v>6147</v>
      </c>
      <c r="H32" s="146"/>
      <c r="I32" s="146" t="s">
        <v>1882</v>
      </c>
      <c r="J32" s="146" t="s">
        <v>1883</v>
      </c>
      <c r="K32" s="146" t="s">
        <v>1884</v>
      </c>
    </row>
    <row r="33" spans="2:11" x14ac:dyDescent="0.25">
      <c r="B33" s="145" t="s">
        <v>2940</v>
      </c>
      <c r="C33" s="145"/>
      <c r="D33" s="145" t="str">
        <f>CHOOSE(Translations!$C$1+1,I33,J33,K33)</f>
        <v>HIV O-14 Pourcentage de femmes et d’hommes de 15 à 49 ans qui font état d’attitudes discriminatoires à l’encontre des personnes vivant avec le VIH</v>
      </c>
      <c r="E33" s="145"/>
      <c r="F33" s="145"/>
      <c r="G33" s="145" t="s">
        <v>6148</v>
      </c>
      <c r="H33" s="146"/>
      <c r="I33" s="146" t="s">
        <v>2943</v>
      </c>
      <c r="J33" s="146" t="s">
        <v>2944</v>
      </c>
      <c r="K33" s="146" t="s">
        <v>2945</v>
      </c>
    </row>
    <row r="34" spans="2:11" x14ac:dyDescent="0.25">
      <c r="B34" s="145" t="s">
        <v>2946</v>
      </c>
      <c r="C34" s="145"/>
      <c r="D34" s="145" t="str">
        <f>CHOOSE(Translations!$C$1+1,I34,J34,K34)</f>
        <v>HIV O-15 Pourcentage de personnes vivant avec le VIH déclarant avoir été victimes de discrimination liée au VIH dans les services de soins de santé</v>
      </c>
      <c r="E34" s="145"/>
      <c r="F34" s="145"/>
      <c r="G34" s="145" t="s">
        <v>6149</v>
      </c>
      <c r="H34" s="146"/>
      <c r="I34" s="146" t="s">
        <v>2949</v>
      </c>
      <c r="J34" s="146" t="s">
        <v>2950</v>
      </c>
      <c r="K34" s="146" t="s">
        <v>2951</v>
      </c>
    </row>
    <row r="35" spans="2:11" x14ac:dyDescent="0.25">
      <c r="B35" s="145" t="s">
        <v>1887</v>
      </c>
      <c r="C35" s="145"/>
      <c r="D35" s="145" t="str">
        <f>CHOOSE(Translations!$C$1+1,I35,J35,K35)</f>
        <v>HIV O-16a Pourcentage d’hommes ayant des rapports sexuels avec des hommes (HSH) évitant d’avoir recours aux services de soins de santé en raison de la stigmatisation et de la discrimination encourues</v>
      </c>
      <c r="E35" s="145"/>
      <c r="F35" s="145"/>
      <c r="G35" s="145" t="s">
        <v>6150</v>
      </c>
      <c r="H35" s="146"/>
      <c r="I35" s="146" t="s">
        <v>1890</v>
      </c>
      <c r="J35" s="146" t="s">
        <v>1891</v>
      </c>
      <c r="K35" s="146" t="s">
        <v>1892</v>
      </c>
    </row>
    <row r="36" spans="2:11" x14ac:dyDescent="0.25">
      <c r="B36" s="145" t="s">
        <v>1895</v>
      </c>
      <c r="C36" s="145"/>
      <c r="D36" s="145" t="str">
        <f>CHOOSE(Translations!$C$1+1,I36,J36,K36)</f>
        <v>HIV O-16b Pourcentage de personnes transgenres évitant d’avoir recours aux services de soins de santé en raison de la stigmatisation et de la discrimination encourues</v>
      </c>
      <c r="E36" s="145"/>
      <c r="F36" s="145"/>
      <c r="G36" s="145" t="s">
        <v>6151</v>
      </c>
      <c r="H36" s="146"/>
      <c r="I36" s="146" t="s">
        <v>1898</v>
      </c>
      <c r="J36" s="146" t="s">
        <v>1899</v>
      </c>
      <c r="K36" s="146" t="s">
        <v>1900</v>
      </c>
    </row>
    <row r="37" spans="2:11" x14ac:dyDescent="0.25">
      <c r="B37" s="145" t="s">
        <v>1903</v>
      </c>
      <c r="C37" s="145"/>
      <c r="D37" s="145" t="str">
        <f>CHOOSE(Translations!$C$1+1,I37,J37,K37)</f>
        <v>HIV O-16c Pourcentage de professionnels du sexe évitant d’avoir recours aux services de soins de santé en raison de la stigmatisation et de la discrimination encourues</v>
      </c>
      <c r="E37" s="145"/>
      <c r="F37" s="145"/>
      <c r="G37" s="145" t="s">
        <v>6152</v>
      </c>
      <c r="H37" s="146"/>
      <c r="I37" s="146" t="s">
        <v>1906</v>
      </c>
      <c r="J37" s="146" t="s">
        <v>1907</v>
      </c>
      <c r="K37" s="146" t="s">
        <v>1908</v>
      </c>
    </row>
    <row r="38" spans="2:11" x14ac:dyDescent="0.25">
      <c r="B38" s="145" t="s">
        <v>1917</v>
      </c>
      <c r="C38" s="145"/>
      <c r="D38" s="145" t="str">
        <f>CHOOSE(Translations!$C$1+1,I38,J38,K38)</f>
        <v>HIV O-16d Pourcentage de personnes qui s'injectent des drogues évitant d’avoir recours aux services de soins de santé en raison de la stigmatisation et de la discrimination encourues</v>
      </c>
      <c r="E38" s="145"/>
      <c r="F38" s="145"/>
      <c r="G38" s="145" t="s">
        <v>6153</v>
      </c>
      <c r="H38" s="146"/>
      <c r="I38" s="146" t="s">
        <v>1920</v>
      </c>
      <c r="J38" s="146" t="s">
        <v>1921</v>
      </c>
      <c r="K38" s="146" t="s">
        <v>1922</v>
      </c>
    </row>
    <row r="39" spans="2:11" x14ac:dyDescent="0.25">
      <c r="B39" s="145" t="s">
        <v>1931</v>
      </c>
      <c r="C39" s="145"/>
      <c r="D39" s="145" t="str">
        <f>CHOOSE(Translations!$C$1+1,I39,J39,K39)</f>
        <v>HIV O-17 Pourcentage de personnes vivant avec le VIH déclarant avoir exercé un recours judiciaire à la suite de la violation de leurs droits</v>
      </c>
      <c r="E39" s="145"/>
      <c r="F39" s="145"/>
      <c r="G39" s="145" t="s">
        <v>6154</v>
      </c>
      <c r="H39" s="146"/>
      <c r="I39" s="146" t="s">
        <v>1940</v>
      </c>
      <c r="J39" s="146" t="s">
        <v>1941</v>
      </c>
      <c r="K39" s="146" t="s">
        <v>1942</v>
      </c>
    </row>
    <row r="40" spans="2:11" x14ac:dyDescent="0.25">
      <c r="B40" s="145" t="s">
        <v>2965</v>
      </c>
      <c r="C40" s="145"/>
      <c r="D40" s="145" t="str">
        <f>CHOOSE(Translations!$C$1+1,I40,J40,K40)</f>
        <v>HIV O-18 Pourcentage de femmes entre 15 et 24 ans qui ont eu plus de 2 partenaires au cours des 12 derniers mois</v>
      </c>
      <c r="E40" s="145"/>
      <c r="F40" s="145"/>
      <c r="G40" s="145" t="s">
        <v>6155</v>
      </c>
      <c r="H40" s="146"/>
      <c r="I40" s="146" t="s">
        <v>2968</v>
      </c>
      <c r="J40" s="146" t="s">
        <v>2969</v>
      </c>
      <c r="K40" s="146" t="s">
        <v>2970</v>
      </c>
    </row>
    <row r="41" spans="2:11" x14ac:dyDescent="0.25">
      <c r="B41" s="145" t="s">
        <v>2971</v>
      </c>
      <c r="C41" s="145"/>
      <c r="D41" s="145" t="str">
        <f>CHOOSE(Translations!$C$1+1,I41,J41,K41)</f>
        <v>HIV O-19 Pourcentage de femmes entre 15 et 19 ans enceintes ou ayant donné naissance à un enfant vivant</v>
      </c>
      <c r="E41" s="145"/>
      <c r="F41" s="145"/>
      <c r="G41" s="145" t="s">
        <v>6156</v>
      </c>
      <c r="H41" s="146"/>
      <c r="I41" s="146" t="s">
        <v>2974</v>
      </c>
      <c r="J41" s="146" t="s">
        <v>2975</v>
      </c>
      <c r="K41" s="146" t="s">
        <v>2976</v>
      </c>
    </row>
    <row r="42" spans="2:11" x14ac:dyDescent="0.25">
      <c r="B42" s="145" t="s">
        <v>2977</v>
      </c>
      <c r="C42" s="145"/>
      <c r="D42" s="145" t="str">
        <f>CHOOSE(Translations!$C$1+1,I42,J42,K42)</f>
        <v>HIV O-20 Pourcentage de femmes entre 15 et 24 ans ayant abandonné l’école durant la dernière année</v>
      </c>
      <c r="E42" s="145"/>
      <c r="F42" s="145"/>
      <c r="G42" s="145" t="s">
        <v>6157</v>
      </c>
      <c r="H42" s="146"/>
      <c r="I42" s="146" t="s">
        <v>2980</v>
      </c>
      <c r="J42" s="146" t="s">
        <v>2981</v>
      </c>
      <c r="K42" s="146" t="s">
        <v>2982</v>
      </c>
    </row>
    <row r="43" spans="2:11" x14ac:dyDescent="0.25">
      <c r="B43" s="145" t="s">
        <v>1967</v>
      </c>
      <c r="C43" s="145"/>
      <c r="D43" s="145" t="str">
        <f>CHOOSE(Translations!$C$1+1,I43,J43,K43)</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E43" s="145"/>
      <c r="F43" s="145"/>
      <c r="G43" s="145" t="s">
        <v>6158</v>
      </c>
      <c r="H43" s="146"/>
      <c r="I43" s="146" t="s">
        <v>1976</v>
      </c>
      <c r="J43" s="146" t="s">
        <v>1977</v>
      </c>
      <c r="K43" s="146" t="s">
        <v>1978</v>
      </c>
    </row>
    <row r="44" spans="2:11" x14ac:dyDescent="0.25">
      <c r="B44" s="145" t="s">
        <v>2988</v>
      </c>
      <c r="C44" s="145"/>
      <c r="D44" s="145" t="str">
        <f>CHOOSE(Translations!$C$1+1,I44,J44,K44)</f>
        <v>HSS O-5 Pourcentage des établissements de santé disposant de médicaments traceurs pour les trois maladies le jour de la visite ou le jour du rapportage</v>
      </c>
      <c r="E44" s="145"/>
      <c r="F44" s="145"/>
      <c r="G44" s="145" t="s">
        <v>6159</v>
      </c>
      <c r="H44" s="146"/>
      <c r="I44" s="146" t="s">
        <v>2991</v>
      </c>
      <c r="J44" s="146" t="s">
        <v>2992</v>
      </c>
      <c r="K44" s="146" t="s">
        <v>2993</v>
      </c>
    </row>
    <row r="45" spans="2:11" x14ac:dyDescent="0.25">
      <c r="B45" s="145" t="s">
        <v>2995</v>
      </c>
      <c r="C45" s="145"/>
      <c r="D45" s="145" t="str">
        <f>CHOOSE(Translations!$C$1+1,I45,J45,K45)</f>
        <v>HSS O-6 Pourcentage d’établissements délivrant des services de diagnostic le jour de l’évaluation</v>
      </c>
      <c r="E45" s="145"/>
      <c r="F45" s="145"/>
      <c r="G45" s="145" t="s">
        <v>6160</v>
      </c>
      <c r="H45" s="146"/>
      <c r="I45" s="146" t="s">
        <v>2998</v>
      </c>
      <c r="J45" s="146" t="s">
        <v>2999</v>
      </c>
      <c r="K45" s="146" t="s">
        <v>3000</v>
      </c>
    </row>
    <row r="46" spans="2:11" x14ac:dyDescent="0.25">
      <c r="B46" s="145" t="s">
        <v>3002</v>
      </c>
      <c r="C46" s="145"/>
      <c r="D46" s="145" t="str">
        <f>CHOOSE(Translations!$C$1+1,I46,J46,K46)</f>
        <v>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v>
      </c>
      <c r="E46" s="145"/>
      <c r="F46" s="145"/>
      <c r="G46" s="145" t="s">
        <v>6161</v>
      </c>
      <c r="H46" s="146"/>
      <c r="I46" s="146" t="s">
        <v>3005</v>
      </c>
      <c r="J46" s="146" t="s">
        <v>3006</v>
      </c>
      <c r="K46" s="146" t="s">
        <v>3007</v>
      </c>
    </row>
    <row r="47" spans="2:11" x14ac:dyDescent="0.25">
      <c r="B47" s="145" t="s">
        <v>2054</v>
      </c>
      <c r="C47" s="145"/>
      <c r="D47" s="145" t="str">
        <f>CHOOSE(Translations!$C$1+1,I47,J47,K47)</f>
        <v>HSS O-8 Agents de santé actifs pour 10,000 habitants</v>
      </c>
      <c r="E47" s="145"/>
      <c r="F47" s="145"/>
      <c r="G47" s="145" t="s">
        <v>6162</v>
      </c>
      <c r="H47" s="146"/>
      <c r="I47" s="146" t="s">
        <v>2063</v>
      </c>
      <c r="J47" s="146" t="s">
        <v>2064</v>
      </c>
      <c r="K47" s="146" t="s">
        <v>2065</v>
      </c>
    </row>
    <row r="48" spans="2:11" x14ac:dyDescent="0.25">
      <c r="B48" s="145" t="s">
        <v>2086</v>
      </c>
      <c r="C48" s="145"/>
      <c r="D48" s="145" t="str">
        <f>CHOOSE(Translations!$C$1+1,I48,J48,K48)</f>
        <v>HSS O-9 Pourcentage de femmes ayant eu une première consultation prénatale avant 12 semaines</v>
      </c>
      <c r="E48" s="145"/>
      <c r="F48" s="145"/>
      <c r="G48" s="145" t="s">
        <v>6163</v>
      </c>
      <c r="H48" s="146"/>
      <c r="I48" s="146" t="s">
        <v>2089</v>
      </c>
      <c r="J48" s="146" t="s">
        <v>2090</v>
      </c>
      <c r="K48" s="146" t="s">
        <v>2091</v>
      </c>
    </row>
    <row r="49" spans="2:11" x14ac:dyDescent="0.25">
      <c r="B49" s="145" t="s">
        <v>3015</v>
      </c>
      <c r="C49" s="145"/>
      <c r="D49" s="145" t="str">
        <f>CHOOSE(Translations!$C$1+1,I49,J49,K49)</f>
        <v>HSS O-10 Part de la population consacrant d’importantes dépenses du ménage dans la santé par rapport aux dépenses totales ou au revenu total du ménage (dépenses catastrophiques dans la santé)</v>
      </c>
      <c r="E49" s="145"/>
      <c r="F49" s="145"/>
      <c r="G49" s="145" t="s">
        <v>6164</v>
      </c>
      <c r="H49" s="146"/>
      <c r="I49" s="146" t="s">
        <v>3018</v>
      </c>
      <c r="J49" s="146" t="s">
        <v>3019</v>
      </c>
      <c r="K49" s="146" t="s">
        <v>3020</v>
      </c>
    </row>
    <row r="50" spans="2:11" x14ac:dyDescent="0.25">
      <c r="B50" s="145" t="s">
        <v>2988</v>
      </c>
      <c r="C50" s="145"/>
      <c r="D50" s="145" t="str">
        <f>CHOOSE(Translations!$C$1+1,I50,J50,K50)</f>
        <v>HSS O-5 Pourcentage des établissements de santé disposant de médicaments traceurs pour les trois maladies le jour de la visite ou le jour du rapportage</v>
      </c>
      <c r="E50" s="145"/>
      <c r="F50" s="145"/>
      <c r="G50" s="145" t="s">
        <v>6165</v>
      </c>
      <c r="H50" s="146"/>
      <c r="I50" s="146" t="s">
        <v>2991</v>
      </c>
      <c r="J50" s="146" t="s">
        <v>2992</v>
      </c>
      <c r="K50" s="146" t="s">
        <v>2993</v>
      </c>
    </row>
    <row r="51" spans="2:11" x14ac:dyDescent="0.25">
      <c r="B51" s="145" t="s">
        <v>2995</v>
      </c>
      <c r="C51" s="145"/>
      <c r="D51" s="145" t="str">
        <f>CHOOSE(Translations!$C$1+1,I51,J51,K51)</f>
        <v>HSS O-6 Pourcentage d’établissements délivrant des services de diagnostic le jour de l’évaluation</v>
      </c>
      <c r="E51" s="145"/>
      <c r="F51" s="145"/>
      <c r="G51" s="145" t="s">
        <v>6166</v>
      </c>
      <c r="H51" s="146"/>
      <c r="I51" s="146" t="s">
        <v>2998</v>
      </c>
      <c r="J51" s="146" t="s">
        <v>2999</v>
      </c>
      <c r="K51" s="146" t="s">
        <v>3000</v>
      </c>
    </row>
    <row r="52" spans="2:11" x14ac:dyDescent="0.25">
      <c r="B52" s="145" t="s">
        <v>3002</v>
      </c>
      <c r="C52" s="145"/>
      <c r="D52" s="145" t="str">
        <f>CHOOSE(Translations!$C$1+1,I52,J52,K52)</f>
        <v>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v>
      </c>
      <c r="E52" s="145"/>
      <c r="F52" s="145"/>
      <c r="G52" s="145" t="s">
        <v>6167</v>
      </c>
      <c r="H52" s="146"/>
      <c r="I52" s="146" t="s">
        <v>3005</v>
      </c>
      <c r="J52" s="146" t="s">
        <v>3006</v>
      </c>
      <c r="K52" s="146" t="s">
        <v>3007</v>
      </c>
    </row>
    <row r="53" spans="2:11" x14ac:dyDescent="0.25">
      <c r="B53" s="145" t="s">
        <v>2054</v>
      </c>
      <c r="C53" s="145"/>
      <c r="D53" s="145" t="str">
        <f>CHOOSE(Translations!$C$1+1,I53,J53,K53)</f>
        <v>HSS O-8 Agents de santé actifs pour 10,000 habitants</v>
      </c>
      <c r="E53" s="145"/>
      <c r="F53" s="145"/>
      <c r="G53" s="145" t="s">
        <v>6168</v>
      </c>
      <c r="H53" s="146"/>
      <c r="I53" s="146" t="s">
        <v>2063</v>
      </c>
      <c r="J53" s="146" t="s">
        <v>2064</v>
      </c>
      <c r="K53" s="146" t="s">
        <v>2065</v>
      </c>
    </row>
    <row r="54" spans="2:11" x14ac:dyDescent="0.25">
      <c r="B54" s="145" t="s">
        <v>2086</v>
      </c>
      <c r="C54" s="145"/>
      <c r="D54" s="145" t="str">
        <f>CHOOSE(Translations!$C$1+1,I54,J54,K54)</f>
        <v>HSS O-9 Pourcentage de femmes ayant eu une première consultation prénatale avant 12 semaines</v>
      </c>
      <c r="E54" s="145"/>
      <c r="F54" s="145"/>
      <c r="G54" s="145" t="s">
        <v>6169</v>
      </c>
      <c r="H54" s="146"/>
      <c r="I54" s="146" t="s">
        <v>2089</v>
      </c>
      <c r="J54" s="146" t="s">
        <v>2090</v>
      </c>
      <c r="K54" s="146" t="s">
        <v>2091</v>
      </c>
    </row>
    <row r="55" spans="2:11" x14ac:dyDescent="0.25">
      <c r="B55" s="145" t="s">
        <v>3015</v>
      </c>
      <c r="C55" s="145"/>
      <c r="D55" s="145" t="str">
        <f>CHOOSE(Translations!$C$1+1,I55,J55,K55)</f>
        <v>HSS O-10 Part de la population consacrant d’importantes dépenses du ménage dans la santé par rapport aux dépenses totales ou au revenu total du ménage (dépenses catastrophiques dans la santé)</v>
      </c>
      <c r="E55" s="145"/>
      <c r="F55" s="145"/>
      <c r="G55" s="145" t="s">
        <v>6170</v>
      </c>
      <c r="H55" s="146"/>
      <c r="I55" s="146" t="s">
        <v>3018</v>
      </c>
      <c r="J55" s="146" t="s">
        <v>3019</v>
      </c>
      <c r="K55" s="146" t="s">
        <v>3020</v>
      </c>
    </row>
    <row r="56" spans="2:11" x14ac:dyDescent="0.25">
      <c r="B56" s="145" t="s">
        <v>6171</v>
      </c>
      <c r="C56" s="145"/>
      <c r="D56" s="145" t="str">
        <f>CHOOSE(Translations!$C$1+1,I56,J56,K56)</f>
        <v>HIV O-1(M): Pourcentage d'adultes et d'enfants vivant avec le VIH et sous traitement 12 mois après le début du traitement antirétroviral</v>
      </c>
      <c r="E56" s="145"/>
      <c r="F56" s="145"/>
      <c r="G56" s="145" t="s">
        <v>6172</v>
      </c>
      <c r="H56" s="146" t="s">
        <v>258</v>
      </c>
      <c r="I56" s="146" t="s">
        <v>6173</v>
      </c>
      <c r="J56" s="146" t="s">
        <v>6174</v>
      </c>
      <c r="K56" s="146" t="s">
        <v>6175</v>
      </c>
    </row>
    <row r="57" spans="2:11" x14ac:dyDescent="0.25">
      <c r="B57" s="145" t="s">
        <v>6176</v>
      </c>
      <c r="C57" s="145"/>
      <c r="D57" s="145" t="str">
        <f>CHOOSE(Translations!$C$1+1,I57,J57,K57)</f>
        <v>HIV O-2: Pourcentage de femmes et d'hommes âgés de 15 à 49 ans ayant eu plus d'un partenaire sexuel au cours des 12 derniers mois</v>
      </c>
      <c r="E57" s="145"/>
      <c r="F57" s="145"/>
      <c r="G57" s="145" t="s">
        <v>6177</v>
      </c>
      <c r="H57" s="146" t="s">
        <v>258</v>
      </c>
      <c r="I57" s="146" t="s">
        <v>6178</v>
      </c>
      <c r="J57" s="146" t="s">
        <v>6179</v>
      </c>
      <c r="K57" s="146" t="s">
        <v>6180</v>
      </c>
    </row>
    <row r="58" spans="2:11" x14ac:dyDescent="0.25">
      <c r="B58" s="145" t="s">
        <v>6181</v>
      </c>
      <c r="C58" s="145"/>
      <c r="D58" s="145" t="str">
        <f>CHOOSE(Translations!$C$1+1,I58,J58,K58)</f>
        <v>HIV O-3: Pourcentage de femmes et d'hommes âgés de 15 à 49 ans ayant eu plus d'un partenaire sexuel au cours des 12 derniers mois et ayant déclaré avoir utilisé un préservatif lors de leur dernier rapport sexuel</v>
      </c>
      <c r="E58" s="145"/>
      <c r="F58" s="145"/>
      <c r="G58" s="145" t="s">
        <v>6182</v>
      </c>
      <c r="H58" s="146" t="s">
        <v>258</v>
      </c>
      <c r="I58" s="146" t="s">
        <v>6183</v>
      </c>
      <c r="J58" s="146" t="s">
        <v>6184</v>
      </c>
      <c r="K58" s="146" t="s">
        <v>6185</v>
      </c>
    </row>
    <row r="59" spans="2:11" x14ac:dyDescent="0.25">
      <c r="B59" s="145" t="s">
        <v>6186</v>
      </c>
      <c r="C59" s="145"/>
      <c r="D59" s="145" t="str">
        <f>CHOOSE(Translations!$C$1+1,I59,J59,K59)</f>
        <v>HIV O-4a(M): Pourcentage d'hommes ayant déclaré avoir utilisé un préservatif lors de leur dernier rapport anal avec un partenaire de sexe masculin</v>
      </c>
      <c r="E59" s="145"/>
      <c r="F59" s="145"/>
      <c r="G59" s="145" t="s">
        <v>6187</v>
      </c>
      <c r="H59" s="146" t="s">
        <v>258</v>
      </c>
      <c r="I59" s="146" t="s">
        <v>6188</v>
      </c>
      <c r="J59" s="146" t="s">
        <v>6189</v>
      </c>
      <c r="K59" s="146" t="s">
        <v>6190</v>
      </c>
    </row>
    <row r="60" spans="2:11" x14ac:dyDescent="0.25">
      <c r="B60" s="145" t="s">
        <v>6191</v>
      </c>
      <c r="C60" s="145"/>
      <c r="D60" s="145" t="str">
        <f>CHOOSE(Translations!$C$1+1,I60,J60,K60)</f>
        <v>HIV O-4b: Pourcentage de transgenres qui pratiquent des rapports sexuels rémunérés ayant déclaré avoir utilisé un préservatif avec leur dernier client</v>
      </c>
      <c r="E60" s="145"/>
      <c r="F60" s="145"/>
      <c r="G60" s="145" t="s">
        <v>6192</v>
      </c>
      <c r="H60" s="146" t="s">
        <v>258</v>
      </c>
      <c r="I60" s="146" t="s">
        <v>6193</v>
      </c>
      <c r="J60" s="146" t="s">
        <v>6194</v>
      </c>
      <c r="K60" s="146" t="s">
        <v>6195</v>
      </c>
    </row>
    <row r="61" spans="2:11" x14ac:dyDescent="0.25">
      <c r="B61" s="145" t="s">
        <v>6196</v>
      </c>
      <c r="C61" s="145"/>
      <c r="D61" s="145" t="str">
        <f>CHOOSE(Translations!$C$1+1,I61,J61,K61)</f>
        <v>HIV O-5(M): Pourcentage de professionnels du sexe ayant déclaré avoir utilisé un préservatif avec leur dernier client</v>
      </c>
      <c r="E61" s="145"/>
      <c r="F61" s="145"/>
      <c r="G61" s="145" t="s">
        <v>6197</v>
      </c>
      <c r="H61" s="146" t="s">
        <v>258</v>
      </c>
      <c r="I61" s="146" t="s">
        <v>6198</v>
      </c>
      <c r="J61" s="146" t="s">
        <v>6199</v>
      </c>
      <c r="K61" s="146" t="s">
        <v>6200</v>
      </c>
    </row>
    <row r="62" spans="2:11" x14ac:dyDescent="0.25">
      <c r="B62" s="145" t="s">
        <v>6201</v>
      </c>
      <c r="C62" s="145"/>
      <c r="D62" s="145" t="str">
        <f>CHOOSE(Translations!$C$1+1,I62,J62,K62)</f>
        <v>HIV O-6(M): Pourcentage de consommateurs de drogues injectables ayant déclaré avoir utilisé du matériel d'injection stérile lors de leur dernière prise de drogue</v>
      </c>
      <c r="E62" s="145"/>
      <c r="F62" s="145"/>
      <c r="G62" s="145" t="s">
        <v>6202</v>
      </c>
      <c r="H62" s="146" t="s">
        <v>258</v>
      </c>
      <c r="I62" s="146" t="s">
        <v>6203</v>
      </c>
      <c r="J62" s="146" t="s">
        <v>6204</v>
      </c>
      <c r="K62" s="146" t="s">
        <v>6205</v>
      </c>
    </row>
    <row r="63" spans="2:11" x14ac:dyDescent="0.25">
      <c r="B63" s="145" t="s">
        <v>6206</v>
      </c>
      <c r="C63" s="145"/>
      <c r="D63" s="145" t="str">
        <f>CHOOSE(Translations!$C$1+1,I63,J63,K63)</f>
        <v>HIV O-7: Pourcentage d'autres populations vulnérables ayant déclaré avoir utilisé un préservatif lors du dernier rapport sexuel</v>
      </c>
      <c r="E63" s="145"/>
      <c r="F63" s="145"/>
      <c r="G63" s="145" t="s">
        <v>6207</v>
      </c>
      <c r="H63" s="146" t="s">
        <v>258</v>
      </c>
      <c r="I63" s="146" t="s">
        <v>6208</v>
      </c>
      <c r="J63" s="146" t="s">
        <v>6209</v>
      </c>
      <c r="K63" s="146" t="s">
        <v>6210</v>
      </c>
    </row>
    <row r="64" spans="2:11" x14ac:dyDescent="0.25">
      <c r="B64" s="145" t="s">
        <v>6211</v>
      </c>
      <c r="C64" s="145"/>
      <c r="D64" s="145" t="str">
        <f>CHOOSE(Translations!$C$1+1,I64,J64,K64)</f>
        <v>HIV O-8: Taux actuel de fréquentation scolaire chez les enfants orphelins et non orphelins</v>
      </c>
      <c r="E64" s="145"/>
      <c r="F64" s="145"/>
      <c r="G64" s="145" t="s">
        <v>6212</v>
      </c>
      <c r="H64" s="146" t="s">
        <v>258</v>
      </c>
      <c r="I64" s="146" t="s">
        <v>6213</v>
      </c>
      <c r="J64" s="146" t="s">
        <v>6214</v>
      </c>
      <c r="K64" s="146" t="s">
        <v>6215</v>
      </c>
    </row>
    <row r="65" spans="2:11" x14ac:dyDescent="0.25">
      <c r="B65" s="145" t="s">
        <v>6216</v>
      </c>
      <c r="C65" s="145"/>
      <c r="D65" s="145" t="str">
        <f>CHOOSE(Translations!$C$1+1,I65,J65,K65)</f>
        <v>HSS O-1: Pourcentage de femmes bénéficiant de soins prénatals</v>
      </c>
      <c r="E65" s="145"/>
      <c r="F65" s="145"/>
      <c r="G65" s="145" t="s">
        <v>6217</v>
      </c>
      <c r="H65" s="146" t="s">
        <v>260</v>
      </c>
      <c r="I65" s="146" t="s">
        <v>6218</v>
      </c>
      <c r="J65" s="146" t="s">
        <v>6219</v>
      </c>
      <c r="K65" s="146" t="s">
        <v>6220</v>
      </c>
    </row>
    <row r="66" spans="2:11" x14ac:dyDescent="0.25">
      <c r="B66" s="145" t="s">
        <v>6221</v>
      </c>
      <c r="C66" s="145"/>
      <c r="D66" s="145" t="str">
        <f>CHOOSE(Translations!$C$1+1,I66,J66,K66)</f>
        <v>HSS O-2: Pourcentage de naissances bénéficiant de l’assistance d’un professionnel de la santé</v>
      </c>
      <c r="E66" s="145"/>
      <c r="F66" s="145"/>
      <c r="G66" s="145" t="s">
        <v>6222</v>
      </c>
      <c r="H66" s="146" t="s">
        <v>260</v>
      </c>
      <c r="I66" s="146" t="s">
        <v>6223</v>
      </c>
      <c r="J66" s="146" t="s">
        <v>6224</v>
      </c>
      <c r="K66" s="146" t="s">
        <v>6225</v>
      </c>
    </row>
    <row r="67" spans="2:11" x14ac:dyDescent="0.25">
      <c r="B67" s="145" t="s">
        <v>6226</v>
      </c>
      <c r="C67" s="145"/>
      <c r="D67" s="145" t="str">
        <f>CHOOSE(Translations!$C$1+1,I67,J67,K67)</f>
        <v>HSS O-3: Part des dépenses des ménages consacrée à la santé par rapport aux dépenses totales de santé</v>
      </c>
      <c r="E67" s="145"/>
      <c r="F67" s="145"/>
      <c r="G67" s="145" t="s">
        <v>6227</v>
      </c>
      <c r="H67" s="146" t="s">
        <v>258</v>
      </c>
      <c r="I67" s="146" t="s">
        <v>6228</v>
      </c>
      <c r="J67" s="146" t="s">
        <v>6229</v>
      </c>
      <c r="K67" s="146" t="s">
        <v>6230</v>
      </c>
    </row>
    <row r="68" spans="2:11" x14ac:dyDescent="0.25">
      <c r="B68" s="145" t="s">
        <v>6231</v>
      </c>
      <c r="C68" s="145"/>
      <c r="D68" s="145" t="str">
        <f>CHOOSE(Translations!$C$1+1,I68,J68,K68)</f>
        <v>HSS O-5: Note de préparation des services spécifiques pour les établissements de santé</v>
      </c>
      <c r="E68" s="145"/>
      <c r="F68" s="145"/>
      <c r="G68" s="145" t="s">
        <v>6232</v>
      </c>
      <c r="H68" s="146" t="s">
        <v>257</v>
      </c>
      <c r="I68" s="146" t="s">
        <v>6233</v>
      </c>
      <c r="J68" s="146" t="s">
        <v>6234</v>
      </c>
      <c r="K68" s="146" t="s">
        <v>6235</v>
      </c>
    </row>
    <row r="69" spans="2:11" x14ac:dyDescent="0.25">
      <c r="B69" s="145" t="s">
        <v>6236</v>
      </c>
      <c r="C69" s="145"/>
      <c r="D69" s="145" t="str">
        <f>CHOOSE(Translations!$C$1+1,I69,J69,K69)</f>
        <v>HSS O-4: Note de préparation du service général pour les établissements de santé</v>
      </c>
      <c r="E69" s="145"/>
      <c r="F69" s="145"/>
      <c r="G69" s="145" t="s">
        <v>6237</v>
      </c>
      <c r="H69" s="146" t="s">
        <v>257</v>
      </c>
      <c r="I69" s="146" t="s">
        <v>6238</v>
      </c>
      <c r="J69" s="146" t="s">
        <v>6239</v>
      </c>
      <c r="K69" s="146" t="s">
        <v>6240</v>
      </c>
    </row>
    <row r="70" spans="2:11" x14ac:dyDescent="0.25">
      <c r="B70" s="145" t="s">
        <v>6241</v>
      </c>
      <c r="C70" s="145"/>
      <c r="D70" s="145" t="str">
        <f>CHOOSE(Translations!$C$1+1,I70,J70,K70)</f>
        <v>HIV O-10: Pourcentage de femmes et d'hommes ayant eu un partenaire non-régulier au cours des 12 derniers mois  qui rapportent l'usage d'un préservatif durant leur dernier rapport sexuel</v>
      </c>
      <c r="E70" s="145"/>
      <c r="F70" s="145"/>
      <c r="G70" s="145" t="s">
        <v>6242</v>
      </c>
      <c r="H70" s="146" t="s">
        <v>258</v>
      </c>
      <c r="I70" s="146" t="s">
        <v>6243</v>
      </c>
      <c r="J70" s="146" t="s">
        <v>6244</v>
      </c>
      <c r="K70" s="146" t="s">
        <v>6245</v>
      </c>
    </row>
    <row r="71" spans="2:11" x14ac:dyDescent="0.25">
      <c r="B71" s="145" t="s">
        <v>6246</v>
      </c>
      <c r="C71" s="145"/>
      <c r="D71" s="145" t="str">
        <f>CHOOSE(Translations!$C$1+1,I71,J71,K71)</f>
        <v>HIV O-4.1b(M): Pourcentage de personnes transgenres qui rapportent l'utilisation de préservatif  lors de leur dernier rapport sexuel</v>
      </c>
      <c r="E71" s="145"/>
      <c r="F71" s="145"/>
      <c r="G71" s="145" t="s">
        <v>6247</v>
      </c>
      <c r="H71" s="146" t="s">
        <v>258</v>
      </c>
      <c r="I71" s="146" t="s">
        <v>6248</v>
      </c>
      <c r="J71" s="146" t="s">
        <v>6249</v>
      </c>
      <c r="K71" s="146" t="s">
        <v>6250</v>
      </c>
    </row>
    <row r="72" spans="2:11" x14ac:dyDescent="0.25">
      <c r="B72" s="145" t="s">
        <v>6251</v>
      </c>
      <c r="C72" s="145"/>
      <c r="D72" s="145" t="str">
        <f>CHOOSE(Translations!$C$1+1,I72,J72,K72)</f>
        <v>HIV O-9: Pourcentage de consommateurs de drogues injectables qui rapportent l'utilisation de préservatif lors de leur dernier rapport sexuel</v>
      </c>
      <c r="E72" s="145"/>
      <c r="F72" s="145"/>
      <c r="G72" s="145" t="s">
        <v>6252</v>
      </c>
      <c r="H72" s="146" t="s">
        <v>258</v>
      </c>
      <c r="I72" s="146" t="s">
        <v>6253</v>
      </c>
      <c r="J72" s="146" t="s">
        <v>6254</v>
      </c>
      <c r="K72" s="146" t="s">
        <v>6255</v>
      </c>
    </row>
    <row r="73" spans="2:11" x14ac:dyDescent="0.25">
      <c r="B73" s="145" t="s">
        <v>6256</v>
      </c>
      <c r="C73" s="145"/>
      <c r="D73" s="145" t="str">
        <f>CHOOSE(Translations!$C$1+1,I73,J73,K73)</f>
        <v>HIV O-11: Pourcentage de personnes (estimées)  vivant avec le VIH  qui ont été dépistées positives au VIH</v>
      </c>
      <c r="E73" s="145"/>
      <c r="F73" s="145"/>
      <c r="G73" s="145" t="s">
        <v>6257</v>
      </c>
      <c r="H73" s="146" t="s">
        <v>258</v>
      </c>
      <c r="I73" s="146" t="s">
        <v>6258</v>
      </c>
      <c r="J73" s="146" t="s">
        <v>6259</v>
      </c>
      <c r="K73" s="146" t="s">
        <v>6260</v>
      </c>
    </row>
    <row r="74" spans="2:11" x14ac:dyDescent="0.25">
      <c r="B74" s="145" t="s">
        <v>6261</v>
      </c>
      <c r="C74" s="145"/>
      <c r="D74" s="145" t="str">
        <f>CHOOSE(Translations!$C$1+1,I74,J74,K74)</f>
        <v>HIV O-12: Pourcentage de personnes vivant avec le VIH sous ARV qui ont une charge virale indétectable (parmi tous ceux actuellement sous traitement qui font l'objet de mesure de la charge virale independamment de quand ils ont commencé le traitement ARV)</v>
      </c>
      <c r="E74" s="145"/>
      <c r="F74" s="145"/>
      <c r="G74" s="145" t="s">
        <v>6262</v>
      </c>
      <c r="H74" s="146" t="s">
        <v>258</v>
      </c>
      <c r="I74" s="146" t="s">
        <v>6263</v>
      </c>
      <c r="J74" s="146" t="s">
        <v>6264</v>
      </c>
      <c r="K74" s="146" t="s">
        <v>6265</v>
      </c>
    </row>
    <row r="75" spans="2:11" x14ac:dyDescent="0.25">
      <c r="B75" s="145" t="s">
        <v>6266</v>
      </c>
      <c r="C75" s="145"/>
      <c r="D75" s="145" t="str">
        <f>CHOOSE(Translations!$C$1+1,I75,J75,K75)</f>
        <v>HIV O-13: Proportion de femmes qui  ont été/sont mariées ou en concubinage agées de 15-49 ans ayant subit des violences physiques ou sexuelles de la part d'un partenaire masculin intime lors des 12 derniers mois</v>
      </c>
      <c r="E75" s="145"/>
      <c r="F75" s="145"/>
      <c r="G75" s="145" t="s">
        <v>6267</v>
      </c>
      <c r="H75" s="146" t="s">
        <v>258</v>
      </c>
      <c r="I75" s="146" t="s">
        <v>6268</v>
      </c>
      <c r="J75" s="146" t="s">
        <v>6269</v>
      </c>
      <c r="K75" s="146" t="s">
        <v>6270</v>
      </c>
    </row>
    <row r="76" spans="2:11" x14ac:dyDescent="0.25">
      <c r="B76" s="145" t="s">
        <v>6271</v>
      </c>
      <c r="C76" s="145"/>
      <c r="D76" s="145" t="str">
        <f>CHOOSE(Translations!$C$1+1,I76,J76,K76)</f>
        <v>HIV O-14: Pourcentage de femmes et d'hommes agés de 15-49 ans rapportant des attitudes discriminatoires envers les personnes vivant avec le VIH</v>
      </c>
      <c r="E76" s="145"/>
      <c r="F76" s="145"/>
      <c r="G76" s="145" t="s">
        <v>6272</v>
      </c>
      <c r="H76" s="146" t="s">
        <v>258</v>
      </c>
      <c r="I76" s="146" t="s">
        <v>6273</v>
      </c>
      <c r="J76" s="146" t="s">
        <v>6274</v>
      </c>
      <c r="K76" s="146" t="s">
        <v>6275</v>
      </c>
    </row>
    <row r="77" spans="2:11" x14ac:dyDescent="0.25">
      <c r="B77" s="145" t="s">
        <v>6276</v>
      </c>
      <c r="C77" s="145"/>
      <c r="D77" s="145" t="str">
        <f>CHOOSE(Translations!$C$1+1,I77,J77,K77)</f>
        <v>HIV O-15: Pourcentage de personnes vivant avec le VIH rapportant avoir récemment subi une discrimination dans les services de santé</v>
      </c>
      <c r="E77" s="145"/>
      <c r="F77" s="145"/>
      <c r="G77" s="145" t="s">
        <v>6277</v>
      </c>
      <c r="H77" s="146" t="s">
        <v>258</v>
      </c>
      <c r="I77" s="146" t="s">
        <v>6278</v>
      </c>
      <c r="J77" s="146" t="s">
        <v>6279</v>
      </c>
      <c r="K77" s="146" t="s">
        <v>6280</v>
      </c>
    </row>
    <row r="78" spans="2:11" x14ac:dyDescent="0.25">
      <c r="B78" s="145" t="s">
        <v>6216</v>
      </c>
      <c r="C78" s="145"/>
      <c r="D78" s="145" t="str">
        <f>CHOOSE(Translations!$C$1+1,I78,J78,K78)</f>
        <v>HSS O-1: Pourcentage de femmes bénéficiant de soins prénatals</v>
      </c>
      <c r="E78" s="145"/>
      <c r="F78" s="145"/>
      <c r="G78" s="145" t="s">
        <v>6281</v>
      </c>
      <c r="H78" s="146" t="s">
        <v>260</v>
      </c>
      <c r="I78" s="146" t="s">
        <v>6218</v>
      </c>
      <c r="J78" s="146" t="s">
        <v>6219</v>
      </c>
      <c r="K78" s="146" t="s">
        <v>6220</v>
      </c>
    </row>
    <row r="79" spans="2:11" x14ac:dyDescent="0.25">
      <c r="B79" s="145" t="s">
        <v>6221</v>
      </c>
      <c r="C79" s="145"/>
      <c r="D79" s="145" t="str">
        <f>CHOOSE(Translations!$C$1+1,I79,J79,K79)</f>
        <v>HSS O-2: Pourcentage de naissances bénéficiant de l’assistance d’un professionnel de la santé</v>
      </c>
      <c r="E79" s="145"/>
      <c r="F79" s="145"/>
      <c r="G79" s="145" t="s">
        <v>6282</v>
      </c>
      <c r="H79" s="146" t="s">
        <v>260</v>
      </c>
      <c r="I79" s="146" t="s">
        <v>6223</v>
      </c>
      <c r="J79" s="146" t="s">
        <v>6224</v>
      </c>
      <c r="K79" s="146" t="s">
        <v>6225</v>
      </c>
    </row>
    <row r="80" spans="2:11" x14ac:dyDescent="0.25">
      <c r="B80" s="145" t="s">
        <v>6226</v>
      </c>
      <c r="C80" s="145"/>
      <c r="D80" s="145" t="str">
        <f>CHOOSE(Translations!$C$1+1,I80,J80,K80)</f>
        <v>HSS O-3: Part des dépenses des ménages consacrée à la santé par rapport aux dépenses totales de santé</v>
      </c>
      <c r="E80" s="145"/>
      <c r="F80" s="145"/>
      <c r="G80" s="145" t="s">
        <v>6283</v>
      </c>
      <c r="H80" s="146" t="s">
        <v>258</v>
      </c>
      <c r="I80" s="146" t="s">
        <v>6228</v>
      </c>
      <c r="J80" s="146" t="s">
        <v>6229</v>
      </c>
      <c r="K80" s="146" t="s">
        <v>6230</v>
      </c>
    </row>
    <row r="81" spans="1:11" x14ac:dyDescent="0.25">
      <c r="B81" s="145" t="s">
        <v>6231</v>
      </c>
      <c r="C81" s="145"/>
      <c r="D81" s="145" t="str">
        <f>CHOOSE(Translations!$C$1+1,I81,J81,K81)</f>
        <v>HSS O-5: Note de préparation des services spécifiques pour les établissements de santé</v>
      </c>
      <c r="E81" s="145"/>
      <c r="F81" s="145"/>
      <c r="G81" s="145" t="s">
        <v>6284</v>
      </c>
      <c r="H81" s="146" t="s">
        <v>257</v>
      </c>
      <c r="I81" s="146" t="s">
        <v>6233</v>
      </c>
      <c r="J81" s="146" t="s">
        <v>6234</v>
      </c>
      <c r="K81" s="146" t="s">
        <v>6235</v>
      </c>
    </row>
    <row r="82" spans="1:11" x14ac:dyDescent="0.25">
      <c r="B82" s="145" t="s">
        <v>6236</v>
      </c>
      <c r="C82" s="145"/>
      <c r="D82" s="145" t="str">
        <f>CHOOSE(Translations!$C$1+1,I82,J82,K82)</f>
        <v>HSS O-4: Note de préparation du service général pour les établissements de santé</v>
      </c>
      <c r="E82" s="145"/>
      <c r="F82" s="145"/>
      <c r="G82" s="145" t="s">
        <v>6285</v>
      </c>
      <c r="H82" s="146" t="s">
        <v>257</v>
      </c>
      <c r="I82" s="146" t="s">
        <v>6238</v>
      </c>
      <c r="J82" s="146" t="s">
        <v>6239</v>
      </c>
      <c r="K82" s="146" t="s">
        <v>6240</v>
      </c>
    </row>
    <row r="85" spans="1:11" x14ac:dyDescent="0.25">
      <c r="A85" s="6" t="s">
        <v>210</v>
      </c>
    </row>
    <row r="86" spans="1:11" x14ac:dyDescent="0.25">
      <c r="B86" s="145" t="s">
        <v>194</v>
      </c>
      <c r="C86" s="145"/>
      <c r="D86" s="145" t="s">
        <v>453</v>
      </c>
      <c r="E86" s="145"/>
      <c r="F86" s="145" t="s">
        <v>236</v>
      </c>
      <c r="G86" s="145" t="s">
        <v>48</v>
      </c>
      <c r="H86" s="145" t="s">
        <v>285</v>
      </c>
      <c r="I86" s="145" t="s">
        <v>43</v>
      </c>
      <c r="J86" s="145" t="s">
        <v>451</v>
      </c>
      <c r="K86" s="145" t="s">
        <v>449</v>
      </c>
    </row>
    <row r="87" spans="1:11" hidden="1" x14ac:dyDescent="0.25">
      <c r="B87" s="145" t="s">
        <v>94</v>
      </c>
      <c r="C87" s="145"/>
      <c r="D87" s="145" t="str">
        <f>CHOOSE(Translations!$C$1+1,I87,J87,K87)</f>
        <v>[Name - FR]</v>
      </c>
      <c r="E87" s="145"/>
      <c r="F87" s="145" t="s">
        <v>47</v>
      </c>
      <c r="G87" s="145" t="s">
        <v>47</v>
      </c>
      <c r="H87" s="146" t="s">
        <v>284</v>
      </c>
      <c r="I87" s="146" t="s">
        <v>66</v>
      </c>
      <c r="J87" s="146" t="s">
        <v>450</v>
      </c>
      <c r="K87" s="146" t="s">
        <v>448</v>
      </c>
    </row>
    <row r="88" spans="1:11" x14ac:dyDescent="0.25">
      <c r="B88" s="145" t="s">
        <v>6286</v>
      </c>
      <c r="C88" s="145"/>
      <c r="D88" s="145" t="str">
        <f>CHOOSE(Translations!$C$1+1,I88,J88,K88)</f>
        <v>COVID-19</v>
      </c>
      <c r="E88" s="145"/>
      <c r="F88" s="145" t="s">
        <v>6287</v>
      </c>
      <c r="G88" s="145" t="s">
        <v>6288</v>
      </c>
      <c r="H88" s="146"/>
      <c r="I88" s="146" t="s">
        <v>6289</v>
      </c>
      <c r="J88" s="146" t="s">
        <v>6289</v>
      </c>
      <c r="K88" s="146" t="s">
        <v>6289</v>
      </c>
    </row>
    <row r="89" spans="1:11" x14ac:dyDescent="0.25">
      <c r="B89" s="145" t="s">
        <v>6286</v>
      </c>
      <c r="C89" s="145"/>
      <c r="D89" s="145" t="str">
        <f>CHOOSE(Translations!$C$1+1,I89,J89,K89)</f>
        <v>COVID-19</v>
      </c>
      <c r="E89" s="145"/>
      <c r="F89" s="145" t="s">
        <v>6287</v>
      </c>
      <c r="G89" s="145" t="s">
        <v>6290</v>
      </c>
      <c r="H89" s="146"/>
      <c r="I89" s="146" t="s">
        <v>6289</v>
      </c>
      <c r="J89" s="146" t="s">
        <v>6289</v>
      </c>
      <c r="K89" s="146" t="s">
        <v>6289</v>
      </c>
    </row>
    <row r="90" spans="1:11" x14ac:dyDescent="0.25">
      <c r="B90" s="145" t="s">
        <v>3046</v>
      </c>
      <c r="C90" s="145"/>
      <c r="D90" s="145" t="str">
        <f>CHOOSE(Translations!$C$1+1,I90,J90,K90)</f>
        <v>Prévention</v>
      </c>
      <c r="E90" s="145"/>
      <c r="F90" s="145" t="s">
        <v>3048</v>
      </c>
      <c r="G90" s="145" t="s">
        <v>3047</v>
      </c>
      <c r="H90" s="146" t="s">
        <v>2878</v>
      </c>
      <c r="I90" s="146" t="s">
        <v>3045</v>
      </c>
      <c r="J90" s="146" t="s">
        <v>3050</v>
      </c>
      <c r="K90" s="146" t="s">
        <v>3051</v>
      </c>
    </row>
    <row r="91" spans="1:11" x14ac:dyDescent="0.25">
      <c r="B91" s="145" t="s">
        <v>3039</v>
      </c>
      <c r="C91" s="145"/>
      <c r="D91" s="145" t="str">
        <f>CHOOSE(Translations!$C$1+1,I91,J91,K91)</f>
        <v>PTME</v>
      </c>
      <c r="E91" s="145"/>
      <c r="F91" s="145" t="s">
        <v>3041</v>
      </c>
      <c r="G91" s="145" t="s">
        <v>3040</v>
      </c>
      <c r="H91" s="146" t="s">
        <v>2878</v>
      </c>
      <c r="I91" s="146" t="s">
        <v>3038</v>
      </c>
      <c r="J91" s="146" t="s">
        <v>3043</v>
      </c>
      <c r="K91" s="146" t="s">
        <v>3044</v>
      </c>
    </row>
    <row r="92" spans="1:11" x14ac:dyDescent="0.25">
      <c r="B92" s="145" t="s">
        <v>3023</v>
      </c>
      <c r="C92" s="145"/>
      <c r="D92" s="145" t="str">
        <f>CHOOSE(Translations!$C$1+1,I92,J92,K92)</f>
        <v>Services de dépistage différencié du VIH</v>
      </c>
      <c r="E92" s="145"/>
      <c r="F92" s="145" t="s">
        <v>3025</v>
      </c>
      <c r="G92" s="145" t="s">
        <v>3024</v>
      </c>
      <c r="H92" s="146" t="s">
        <v>2878</v>
      </c>
      <c r="I92" s="146" t="s">
        <v>3022</v>
      </c>
      <c r="J92" s="146" t="s">
        <v>3027</v>
      </c>
      <c r="K92" s="146" t="s">
        <v>3028</v>
      </c>
    </row>
    <row r="93" spans="1:11" x14ac:dyDescent="0.25">
      <c r="B93" s="145" t="s">
        <v>3148</v>
      </c>
      <c r="C93" s="145"/>
      <c r="D93" s="145" t="str">
        <f>CHOOSE(Translations!$C$1+1,I93,J93,K93)</f>
        <v>Traitement, prise en charge et soutien</v>
      </c>
      <c r="E93" s="145"/>
      <c r="F93" s="145" t="s">
        <v>3150</v>
      </c>
      <c r="G93" s="145" t="s">
        <v>3149</v>
      </c>
      <c r="H93" s="146" t="s">
        <v>2878</v>
      </c>
      <c r="I93" s="146" t="s">
        <v>3147</v>
      </c>
      <c r="J93" s="146" t="s">
        <v>3152</v>
      </c>
      <c r="K93" s="146" t="s">
        <v>3153</v>
      </c>
    </row>
    <row r="94" spans="1:11" x14ac:dyDescent="0.25">
      <c r="B94" s="145" t="s">
        <v>3062</v>
      </c>
      <c r="C94" s="145"/>
      <c r="D94" s="145" t="str">
        <f>CHOOSE(Translations!$C$1+1,I94,J94,K94)</f>
        <v>Réduction des obstacles liés aux droits humains qui entravent l’accès aux services de lutte contre le VIH/la tuberculose</v>
      </c>
      <c r="E94" s="145"/>
      <c r="F94" s="145" t="s">
        <v>3064</v>
      </c>
      <c r="G94" s="145" t="s">
        <v>3063</v>
      </c>
      <c r="H94" s="146" t="s">
        <v>2878</v>
      </c>
      <c r="I94" s="146" t="s">
        <v>3061</v>
      </c>
      <c r="J94" s="146" t="s">
        <v>3066</v>
      </c>
      <c r="K94" s="146" t="s">
        <v>3067</v>
      </c>
    </row>
    <row r="95" spans="1:11" x14ac:dyDescent="0.25">
      <c r="B95" s="145" t="s">
        <v>3141</v>
      </c>
      <c r="C95" s="145"/>
      <c r="D95" s="145" t="str">
        <f>CHOOSE(Translations!$C$1+1,I95,J95,K95)</f>
        <v>Tuberculose/VIH</v>
      </c>
      <c r="E95" s="145"/>
      <c r="F95" s="145" t="s">
        <v>3143</v>
      </c>
      <c r="G95" s="145" t="s">
        <v>3142</v>
      </c>
      <c r="H95" s="146" t="s">
        <v>2878</v>
      </c>
      <c r="I95" s="146" t="s">
        <v>3140</v>
      </c>
      <c r="J95" s="146" t="s">
        <v>3145</v>
      </c>
      <c r="K95" s="146" t="s">
        <v>3146</v>
      </c>
    </row>
    <row r="96" spans="1:11" x14ac:dyDescent="0.25">
      <c r="B96" s="145" t="s">
        <v>3053</v>
      </c>
      <c r="C96" s="145"/>
      <c r="D96" s="145" t="str">
        <f>CHOOSE(Translations!$C$1+1,I96,J96,K96)</f>
        <v>Gestion de programme</v>
      </c>
      <c r="E96" s="145"/>
      <c r="F96" s="145" t="s">
        <v>3055</v>
      </c>
      <c r="G96" s="145" t="s">
        <v>3054</v>
      </c>
      <c r="H96" s="146" t="s">
        <v>2878</v>
      </c>
      <c r="I96" s="146" t="s">
        <v>3052</v>
      </c>
      <c r="J96" s="146" t="s">
        <v>3057</v>
      </c>
      <c r="K96" s="146" t="s">
        <v>3058</v>
      </c>
    </row>
    <row r="97" spans="2:11" x14ac:dyDescent="0.25">
      <c r="B97" s="145" t="s">
        <v>3096</v>
      </c>
      <c r="C97" s="145"/>
      <c r="D97" s="145" t="str">
        <f>CHOOSE(Translations!$C$1+1,I97,J97,K97)</f>
        <v>SRPS: Systèmes de gestion des produits de santé</v>
      </c>
      <c r="E97" s="145"/>
      <c r="F97" s="145" t="s">
        <v>3098</v>
      </c>
      <c r="G97" s="145" t="s">
        <v>3097</v>
      </c>
      <c r="H97" s="146" t="s">
        <v>2878</v>
      </c>
      <c r="I97" s="146" t="s">
        <v>3095</v>
      </c>
      <c r="J97" s="146" t="s">
        <v>3100</v>
      </c>
      <c r="K97" s="146" t="s">
        <v>3101</v>
      </c>
    </row>
    <row r="98" spans="2:11" x14ac:dyDescent="0.25">
      <c r="B98" s="145" t="s">
        <v>3087</v>
      </c>
      <c r="C98" s="145"/>
      <c r="D98" s="145" t="str">
        <f>CHOOSE(Translations!$C$1+1,I98,J98,K98)</f>
        <v>SRPS : Système de gestion de l’information sanitaire et suivi et évaluation</v>
      </c>
      <c r="E98" s="145"/>
      <c r="F98" s="145" t="s">
        <v>3089</v>
      </c>
      <c r="G98" s="145" t="s">
        <v>3088</v>
      </c>
      <c r="H98" s="146" t="s">
        <v>2878</v>
      </c>
      <c r="I98" s="146" t="s">
        <v>3086</v>
      </c>
      <c r="J98" s="146" t="s">
        <v>3091</v>
      </c>
      <c r="K98" s="146" t="s">
        <v>3092</v>
      </c>
    </row>
    <row r="99" spans="2:11" x14ac:dyDescent="0.25">
      <c r="B99" s="145" t="s">
        <v>3114</v>
      </c>
      <c r="C99" s="145"/>
      <c r="D99" s="145" t="str">
        <f>CHOOSE(Translations!$C$1+1,I99,J99,K99)</f>
        <v>SRPS : Ressources humaines pour la santé, y compris agents de santé communautaires</v>
      </c>
      <c r="E99" s="145"/>
      <c r="F99" s="145" t="s">
        <v>3116</v>
      </c>
      <c r="G99" s="145" t="s">
        <v>3115</v>
      </c>
      <c r="H99" s="146" t="s">
        <v>2878</v>
      </c>
      <c r="I99" s="146" t="s">
        <v>3113</v>
      </c>
      <c r="J99" s="146" t="s">
        <v>3118</v>
      </c>
      <c r="K99" s="146" t="s">
        <v>3119</v>
      </c>
    </row>
    <row r="100" spans="2:11" x14ac:dyDescent="0.25">
      <c r="B100" s="145" t="s">
        <v>3123</v>
      </c>
      <c r="C100" s="145"/>
      <c r="D100" s="145" t="str">
        <f>CHOOSE(Translations!$C$1+1,I100,J100,K100)</f>
        <v>SRPS : Fourniture de service intégré et amélioration de la qualité</v>
      </c>
      <c r="E100" s="145"/>
      <c r="F100" s="145" t="s">
        <v>3125</v>
      </c>
      <c r="G100" s="145" t="s">
        <v>3124</v>
      </c>
      <c r="H100" s="146" t="s">
        <v>2878</v>
      </c>
      <c r="I100" s="146" t="s">
        <v>3122</v>
      </c>
      <c r="J100" s="146" t="s">
        <v>3127</v>
      </c>
      <c r="K100" s="146" t="s">
        <v>3128</v>
      </c>
    </row>
    <row r="101" spans="2:11" x14ac:dyDescent="0.25">
      <c r="B101" s="145" t="s">
        <v>3078</v>
      </c>
      <c r="C101" s="145"/>
      <c r="D101" s="145" t="str">
        <f>CHOOSE(Translations!$C$1+1,I101,J101,K101)</f>
        <v>SRPS : Systèmes de gestion financière</v>
      </c>
      <c r="E101" s="145"/>
      <c r="F101" s="145" t="s">
        <v>3080</v>
      </c>
      <c r="G101" s="145" t="s">
        <v>3079</v>
      </c>
      <c r="H101" s="146" t="s">
        <v>2878</v>
      </c>
      <c r="I101" s="146" t="s">
        <v>3077</v>
      </c>
      <c r="J101" s="146" t="s">
        <v>3082</v>
      </c>
      <c r="K101" s="146" t="s">
        <v>3083</v>
      </c>
    </row>
    <row r="102" spans="2:11" x14ac:dyDescent="0.25">
      <c r="B102" s="145" t="s">
        <v>3105</v>
      </c>
      <c r="C102" s="145"/>
      <c r="D102" s="145" t="str">
        <f>CHOOSE(Translations!$C$1+1,I102,J102,K102)</f>
        <v>SRPS : Gouvernance et planification du secteur de la santé</v>
      </c>
      <c r="E102" s="145"/>
      <c r="F102" s="145" t="s">
        <v>3107</v>
      </c>
      <c r="G102" s="145" t="s">
        <v>3106</v>
      </c>
      <c r="H102" s="146" t="s">
        <v>2878</v>
      </c>
      <c r="I102" s="146" t="s">
        <v>3104</v>
      </c>
      <c r="J102" s="146" t="s">
        <v>3109</v>
      </c>
      <c r="K102" s="146" t="s">
        <v>3110</v>
      </c>
    </row>
    <row r="103" spans="2:11" x14ac:dyDescent="0.25">
      <c r="B103" s="145" t="s">
        <v>3069</v>
      </c>
      <c r="C103" s="145"/>
      <c r="D103" s="145" t="str">
        <f>CHOOSE(Translations!$C$1+1,I103,J103,K103)</f>
        <v>SRPS : Renforcement des systèmes communautaires</v>
      </c>
      <c r="E103" s="145"/>
      <c r="F103" s="145" t="s">
        <v>3071</v>
      </c>
      <c r="G103" s="145" t="s">
        <v>3070</v>
      </c>
      <c r="H103" s="146" t="s">
        <v>2878</v>
      </c>
      <c r="I103" s="146" t="s">
        <v>3068</v>
      </c>
      <c r="J103" s="146" t="s">
        <v>3073</v>
      </c>
      <c r="K103" s="146" t="s">
        <v>3074</v>
      </c>
    </row>
    <row r="104" spans="2:11" x14ac:dyDescent="0.25">
      <c r="B104" s="145" t="s">
        <v>3132</v>
      </c>
      <c r="C104" s="145"/>
      <c r="D104" s="145" t="str">
        <f>CHOOSE(Translations!$C$1+1,I104,J104,K104)</f>
        <v>SRPS : Systèmes de laboratoire</v>
      </c>
      <c r="E104" s="145"/>
      <c r="F104" s="145" t="s">
        <v>3134</v>
      </c>
      <c r="G104" s="145" t="s">
        <v>3133</v>
      </c>
      <c r="H104" s="146" t="s">
        <v>2878</v>
      </c>
      <c r="I104" s="146" t="s">
        <v>3131</v>
      </c>
      <c r="J104" s="146" t="s">
        <v>3136</v>
      </c>
      <c r="K104" s="146" t="s">
        <v>3137</v>
      </c>
    </row>
    <row r="105" spans="2:11" x14ac:dyDescent="0.25">
      <c r="B105" s="145" t="s">
        <v>3030</v>
      </c>
      <c r="C105" s="145"/>
      <c r="D105" s="145" t="str">
        <f>CHOOSE(Translations!$C$1+1,I105,J105,K105)</f>
        <v>Financement basé sur les résultats</v>
      </c>
      <c r="E105" s="145"/>
      <c r="F105" s="145" t="s">
        <v>3032</v>
      </c>
      <c r="G105" s="145" t="s">
        <v>3031</v>
      </c>
      <c r="H105" s="146" t="s">
        <v>2878</v>
      </c>
      <c r="I105" s="146" t="s">
        <v>3029</v>
      </c>
      <c r="J105" s="146" t="s">
        <v>3034</v>
      </c>
      <c r="K105" s="146" t="s">
        <v>3035</v>
      </c>
    </row>
    <row r="106" spans="2:11" x14ac:dyDescent="0.25">
      <c r="B106" s="145" t="s">
        <v>3053</v>
      </c>
      <c r="C106" s="145"/>
      <c r="D106" s="145" t="str">
        <f>CHOOSE(Translations!$C$1+1,I106,J106,K106)</f>
        <v>Gestion de programme</v>
      </c>
      <c r="E106" s="145"/>
      <c r="F106" s="145" t="s">
        <v>3055</v>
      </c>
      <c r="G106" s="145" t="s">
        <v>3059</v>
      </c>
      <c r="H106" s="146" t="s">
        <v>2878</v>
      </c>
      <c r="I106" s="146" t="s">
        <v>3052</v>
      </c>
      <c r="J106" s="146" t="s">
        <v>3057</v>
      </c>
      <c r="K106" s="146" t="s">
        <v>3058</v>
      </c>
    </row>
    <row r="107" spans="2:11" x14ac:dyDescent="0.25">
      <c r="B107" s="145" t="s">
        <v>3096</v>
      </c>
      <c r="C107" s="145"/>
      <c r="D107" s="145" t="str">
        <f>CHOOSE(Translations!$C$1+1,I107,J107,K107)</f>
        <v>SRPS: Systèmes de gestion des produits de santé</v>
      </c>
      <c r="E107" s="145"/>
      <c r="F107" s="145" t="s">
        <v>3098</v>
      </c>
      <c r="G107" s="145" t="s">
        <v>3102</v>
      </c>
      <c r="H107" s="146" t="s">
        <v>2878</v>
      </c>
      <c r="I107" s="146" t="s">
        <v>3095</v>
      </c>
      <c r="J107" s="146" t="s">
        <v>3100</v>
      </c>
      <c r="K107" s="146" t="s">
        <v>3101</v>
      </c>
    </row>
    <row r="108" spans="2:11" x14ac:dyDescent="0.25">
      <c r="B108" s="145" t="s">
        <v>3087</v>
      </c>
      <c r="C108" s="145"/>
      <c r="D108" s="145" t="str">
        <f>CHOOSE(Translations!$C$1+1,I108,J108,K108)</f>
        <v>SRPS : Système de gestion de l’information sanitaire et suivi et évaluation</v>
      </c>
      <c r="E108" s="145"/>
      <c r="F108" s="145" t="s">
        <v>3089</v>
      </c>
      <c r="G108" s="145" t="s">
        <v>3093</v>
      </c>
      <c r="H108" s="146" t="s">
        <v>2878</v>
      </c>
      <c r="I108" s="146" t="s">
        <v>3086</v>
      </c>
      <c r="J108" s="146" t="s">
        <v>3091</v>
      </c>
      <c r="K108" s="146" t="s">
        <v>3092</v>
      </c>
    </row>
    <row r="109" spans="2:11" x14ac:dyDescent="0.25">
      <c r="B109" s="145" t="s">
        <v>3114</v>
      </c>
      <c r="C109" s="145"/>
      <c r="D109" s="145" t="str">
        <f>CHOOSE(Translations!$C$1+1,I109,J109,K109)</f>
        <v>SRPS : Ressources humaines pour la santé, y compris agents de santé communautaires</v>
      </c>
      <c r="E109" s="145"/>
      <c r="F109" s="145" t="s">
        <v>3116</v>
      </c>
      <c r="G109" s="145" t="s">
        <v>3120</v>
      </c>
      <c r="H109" s="146" t="s">
        <v>2878</v>
      </c>
      <c r="I109" s="146" t="s">
        <v>3113</v>
      </c>
      <c r="J109" s="146" t="s">
        <v>3118</v>
      </c>
      <c r="K109" s="146" t="s">
        <v>3119</v>
      </c>
    </row>
    <row r="110" spans="2:11" x14ac:dyDescent="0.25">
      <c r="B110" s="145" t="s">
        <v>3123</v>
      </c>
      <c r="C110" s="145"/>
      <c r="D110" s="145" t="str">
        <f>CHOOSE(Translations!$C$1+1,I110,J110,K110)</f>
        <v>SRPS : Fourniture de service intégré et amélioration de la qualité</v>
      </c>
      <c r="E110" s="145"/>
      <c r="F110" s="145" t="s">
        <v>3125</v>
      </c>
      <c r="G110" s="145" t="s">
        <v>3129</v>
      </c>
      <c r="H110" s="146" t="s">
        <v>2878</v>
      </c>
      <c r="I110" s="146" t="s">
        <v>3122</v>
      </c>
      <c r="J110" s="146" t="s">
        <v>3127</v>
      </c>
      <c r="K110" s="146" t="s">
        <v>3128</v>
      </c>
    </row>
    <row r="111" spans="2:11" x14ac:dyDescent="0.25">
      <c r="B111" s="145" t="s">
        <v>3078</v>
      </c>
      <c r="C111" s="145"/>
      <c r="D111" s="145" t="str">
        <f>CHOOSE(Translations!$C$1+1,I111,J111,K111)</f>
        <v>SRPS : Systèmes de gestion financière</v>
      </c>
      <c r="E111" s="145"/>
      <c r="F111" s="145" t="s">
        <v>3080</v>
      </c>
      <c r="G111" s="145" t="s">
        <v>3084</v>
      </c>
      <c r="H111" s="146" t="s">
        <v>2878</v>
      </c>
      <c r="I111" s="146" t="s">
        <v>3077</v>
      </c>
      <c r="J111" s="146" t="s">
        <v>3082</v>
      </c>
      <c r="K111" s="146" t="s">
        <v>3083</v>
      </c>
    </row>
    <row r="112" spans="2:11" x14ac:dyDescent="0.25">
      <c r="B112" s="145" t="s">
        <v>3105</v>
      </c>
      <c r="C112" s="145"/>
      <c r="D112" s="145" t="str">
        <f>CHOOSE(Translations!$C$1+1,I112,J112,K112)</f>
        <v>SRPS : Gouvernance et planification du secteur de la santé</v>
      </c>
      <c r="E112" s="145"/>
      <c r="F112" s="145" t="s">
        <v>3107</v>
      </c>
      <c r="G112" s="145" t="s">
        <v>3111</v>
      </c>
      <c r="H112" s="146" t="s">
        <v>2878</v>
      </c>
      <c r="I112" s="146" t="s">
        <v>3104</v>
      </c>
      <c r="J112" s="146" t="s">
        <v>3109</v>
      </c>
      <c r="K112" s="146" t="s">
        <v>3110</v>
      </c>
    </row>
    <row r="113" spans="2:11" x14ac:dyDescent="0.25">
      <c r="B113" s="145" t="s">
        <v>3069</v>
      </c>
      <c r="C113" s="145"/>
      <c r="D113" s="145" t="str">
        <f>CHOOSE(Translations!$C$1+1,I113,J113,K113)</f>
        <v>SRPS : Renforcement des systèmes communautaires</v>
      </c>
      <c r="E113" s="145"/>
      <c r="F113" s="145" t="s">
        <v>3071</v>
      </c>
      <c r="G113" s="145" t="s">
        <v>3075</v>
      </c>
      <c r="H113" s="146" t="s">
        <v>2878</v>
      </c>
      <c r="I113" s="146" t="s">
        <v>3068</v>
      </c>
      <c r="J113" s="146" t="s">
        <v>3073</v>
      </c>
      <c r="K113" s="146" t="s">
        <v>3074</v>
      </c>
    </row>
    <row r="114" spans="2:11" x14ac:dyDescent="0.25">
      <c r="B114" s="145" t="s">
        <v>3132</v>
      </c>
      <c r="C114" s="145"/>
      <c r="D114" s="145" t="str">
        <f>CHOOSE(Translations!$C$1+1,I114,J114,K114)</f>
        <v>SRPS : Systèmes de laboratoire</v>
      </c>
      <c r="E114" s="145"/>
      <c r="F114" s="145" t="s">
        <v>3134</v>
      </c>
      <c r="G114" s="145" t="s">
        <v>3138</v>
      </c>
      <c r="H114" s="146" t="s">
        <v>2878</v>
      </c>
      <c r="I114" s="146" t="s">
        <v>3131</v>
      </c>
      <c r="J114" s="146" t="s">
        <v>3136</v>
      </c>
      <c r="K114" s="146" t="s">
        <v>3137</v>
      </c>
    </row>
    <row r="115" spans="2:11" x14ac:dyDescent="0.25">
      <c r="B115" s="145" t="s">
        <v>3030</v>
      </c>
      <c r="C115" s="145"/>
      <c r="D115" s="145" t="str">
        <f>CHOOSE(Translations!$C$1+1,I115,J115,K115)</f>
        <v>Financement basé sur les résultats</v>
      </c>
      <c r="E115" s="145"/>
      <c r="F115" s="145" t="s">
        <v>3032</v>
      </c>
      <c r="G115" s="145" t="s">
        <v>3036</v>
      </c>
      <c r="H115" s="146" t="s">
        <v>2878</v>
      </c>
      <c r="I115" s="146" t="s">
        <v>3029</v>
      </c>
      <c r="J115" s="146" t="s">
        <v>3034</v>
      </c>
      <c r="K115" s="146" t="s">
        <v>3035</v>
      </c>
    </row>
    <row r="116" spans="2:11" x14ac:dyDescent="0.25">
      <c r="B116" s="145" t="s">
        <v>6291</v>
      </c>
      <c r="C116" s="145"/>
      <c r="D116" s="145" t="str">
        <f>CHOOSE(Translations!$C$1+1,I116,J116,K116)</f>
        <v>Programmes de prévention destinés à la population générale</v>
      </c>
      <c r="E116" s="145"/>
      <c r="F116" s="145" t="s">
        <v>6292</v>
      </c>
      <c r="G116" s="145" t="s">
        <v>6293</v>
      </c>
      <c r="H116" s="146"/>
      <c r="I116" s="146" t="s">
        <v>6294</v>
      </c>
      <c r="J116" s="146" t="s">
        <v>6295</v>
      </c>
      <c r="K116" s="146" t="s">
        <v>6296</v>
      </c>
    </row>
    <row r="117" spans="2:11" x14ac:dyDescent="0.25">
      <c r="B117" s="145" t="s">
        <v>6297</v>
      </c>
      <c r="C117" s="145"/>
      <c r="D117" s="145" t="str">
        <f>CHOOSE(Translations!$C$1+1,I117,J117,K117)</f>
        <v>Prévention - HSM et transgenres</v>
      </c>
      <c r="E117" s="145"/>
      <c r="F117" s="145" t="s">
        <v>6298</v>
      </c>
      <c r="G117" s="145" t="s">
        <v>6299</v>
      </c>
      <c r="H117" s="146"/>
      <c r="I117" s="146" t="s">
        <v>6300</v>
      </c>
      <c r="J117" s="146" t="s">
        <v>6301</v>
      </c>
      <c r="K117" s="146" t="s">
        <v>6302</v>
      </c>
    </row>
    <row r="118" spans="2:11" x14ac:dyDescent="0.25">
      <c r="B118" s="145" t="s">
        <v>6303</v>
      </c>
      <c r="C118" s="145"/>
      <c r="D118" s="145" t="str">
        <f>CHOOSE(Translations!$C$1+1,I118,J118,K118)</f>
        <v>Programmes de prévention complets destinés aux professionnels du sexe et à leurs clients</v>
      </c>
      <c r="E118" s="145"/>
      <c r="F118" s="145" t="s">
        <v>6304</v>
      </c>
      <c r="G118" s="145" t="s">
        <v>6305</v>
      </c>
      <c r="H118" s="146"/>
      <c r="I118" s="146" t="s">
        <v>6306</v>
      </c>
      <c r="J118" s="146" t="s">
        <v>6307</v>
      </c>
      <c r="K118" s="146" t="s">
        <v>6308</v>
      </c>
    </row>
    <row r="119" spans="2:11" x14ac:dyDescent="0.25">
      <c r="B119" s="145" t="s">
        <v>6309</v>
      </c>
      <c r="C119" s="145"/>
      <c r="D119" s="145" t="str">
        <f>CHOOSE(Translations!$C$1+1,I119,J119,K119)</f>
        <v>Programmes de prévention complets destinés aux consommateurs de drogues injectables et à leurs partenaires</v>
      </c>
      <c r="E119" s="145"/>
      <c r="F119" s="145" t="s">
        <v>6310</v>
      </c>
      <c r="G119" s="145" t="s">
        <v>6311</v>
      </c>
      <c r="H119" s="146"/>
      <c r="I119" s="146" t="s">
        <v>6312</v>
      </c>
      <c r="J119" s="146" t="s">
        <v>6313</v>
      </c>
      <c r="K119" s="146" t="s">
        <v>6314</v>
      </c>
    </row>
    <row r="120" spans="2:11" x14ac:dyDescent="0.25">
      <c r="B120" s="145" t="s">
        <v>6315</v>
      </c>
      <c r="C120" s="145"/>
      <c r="D120" s="145" t="str">
        <f>CHOOSE(Translations!$C$1+1,I120,J120,K120)</f>
        <v>Programmes de prévention destinés aux autres populations vulnérables</v>
      </c>
      <c r="E120" s="145"/>
      <c r="F120" s="145" t="s">
        <v>6316</v>
      </c>
      <c r="G120" s="145" t="s">
        <v>6317</v>
      </c>
      <c r="H120" s="146"/>
      <c r="I120" s="146" t="s">
        <v>6318</v>
      </c>
      <c r="J120" s="146" t="s">
        <v>6319</v>
      </c>
      <c r="K120" s="146" t="s">
        <v>6320</v>
      </c>
    </row>
    <row r="121" spans="2:11" x14ac:dyDescent="0.25">
      <c r="B121" s="145" t="s">
        <v>6321</v>
      </c>
      <c r="C121" s="145"/>
      <c r="D121" s="145" t="str">
        <f>CHOOSE(Translations!$C$1+1,I121,J121,K121)</f>
        <v>Programmes de prévention destinés aux adolescents et aux jeunes, scolarisés ou non</v>
      </c>
      <c r="E121" s="145"/>
      <c r="F121" s="145" t="s">
        <v>6322</v>
      </c>
      <c r="G121" s="145" t="s">
        <v>6323</v>
      </c>
      <c r="H121" s="146"/>
      <c r="I121" s="146" t="s">
        <v>6324</v>
      </c>
      <c r="J121" s="146" t="s">
        <v>6325</v>
      </c>
      <c r="K121" s="146" t="s">
        <v>6326</v>
      </c>
    </row>
    <row r="122" spans="2:11" x14ac:dyDescent="0.25">
      <c r="B122" s="145" t="s">
        <v>6327</v>
      </c>
      <c r="C122" s="145"/>
      <c r="D122" s="145" t="str">
        <f>CHOOSE(Translations!$C$1+1,I122,J122,K122)</f>
        <v>Prévention de la transmission de la mère à l'enfant (PTME)</v>
      </c>
      <c r="E122" s="145"/>
      <c r="F122" s="145" t="s">
        <v>6328</v>
      </c>
      <c r="G122" s="145" t="s">
        <v>6329</v>
      </c>
      <c r="H122" s="146"/>
      <c r="I122" s="146" t="s">
        <v>3038</v>
      </c>
      <c r="J122" s="146" t="s">
        <v>6330</v>
      </c>
      <c r="K122" s="146" t="s">
        <v>3044</v>
      </c>
    </row>
    <row r="123" spans="2:11" x14ac:dyDescent="0.25">
      <c r="B123" s="145" t="s">
        <v>6331</v>
      </c>
      <c r="C123" s="145"/>
      <c r="D123" s="145" t="str">
        <f>CHOOSE(Translations!$C$1+1,I123,J123,K123)</f>
        <v>Traitement, prise en charge et soutien</v>
      </c>
      <c r="E123" s="145"/>
      <c r="F123" s="145" t="s">
        <v>6332</v>
      </c>
      <c r="G123" s="145" t="s">
        <v>6333</v>
      </c>
      <c r="H123" s="146"/>
      <c r="I123" s="146" t="s">
        <v>3147</v>
      </c>
      <c r="J123" s="146" t="s">
        <v>3152</v>
      </c>
      <c r="K123" s="146" t="s">
        <v>3153</v>
      </c>
    </row>
    <row r="124" spans="2:11" x14ac:dyDescent="0.25">
      <c r="B124" s="145" t="s">
        <v>6334</v>
      </c>
      <c r="C124" s="145"/>
      <c r="D124" s="145" t="str">
        <f>CHOOSE(Translations!$C$1+1,I124,J124,K124)</f>
        <v>Tuberculose/VIH</v>
      </c>
      <c r="E124" s="145"/>
      <c r="F124" s="145" t="s">
        <v>6335</v>
      </c>
      <c r="G124" s="145" t="s">
        <v>6336</v>
      </c>
      <c r="H124" s="146"/>
      <c r="I124" s="146" t="s">
        <v>3140</v>
      </c>
      <c r="J124" s="146" t="s">
        <v>3145</v>
      </c>
      <c r="K124" s="146" t="s">
        <v>3146</v>
      </c>
    </row>
    <row r="125" spans="2:11" x14ac:dyDescent="0.25">
      <c r="B125" s="145" t="s">
        <v>6337</v>
      </c>
      <c r="C125" s="145"/>
      <c r="D125" s="145" t="str">
        <f>CHOOSE(Translations!$C$1+1,I125,J125,K125)</f>
        <v>Systèmes de santé résilients et pérennes : prestation de services intégrés et amélioration de la qualité</v>
      </c>
      <c r="E125" s="145"/>
      <c r="F125" s="145" t="s">
        <v>6338</v>
      </c>
      <c r="G125" s="145" t="s">
        <v>6339</v>
      </c>
      <c r="H125" s="146"/>
      <c r="I125" s="146" t="s">
        <v>3122</v>
      </c>
      <c r="J125" s="146" t="s">
        <v>6340</v>
      </c>
      <c r="K125" s="146" t="s">
        <v>6341</v>
      </c>
    </row>
    <row r="126" spans="2:11" x14ac:dyDescent="0.25">
      <c r="B126" s="145" t="s">
        <v>6342</v>
      </c>
      <c r="C126" s="145"/>
      <c r="D126" s="145" t="str">
        <f>CHOOSE(Translations!$C$1+1,I126,J126,K126)</f>
        <v>Systèmes de santé résilients et pérennes : ressources humaines pour la santé, y compris agents de santé communautaires</v>
      </c>
      <c r="E126" s="145"/>
      <c r="F126" s="145" t="s">
        <v>6343</v>
      </c>
      <c r="G126" s="145" t="s">
        <v>6344</v>
      </c>
      <c r="H126" s="146"/>
      <c r="I126" s="146" t="s">
        <v>6345</v>
      </c>
      <c r="J126" s="146" t="s">
        <v>6346</v>
      </c>
      <c r="K126" s="146" t="s">
        <v>6347</v>
      </c>
    </row>
    <row r="127" spans="2:11" x14ac:dyDescent="0.25">
      <c r="B127" s="145" t="s">
        <v>6348</v>
      </c>
      <c r="C127" s="145"/>
      <c r="D127" s="145" t="str">
        <f>CHOOSE(Translations!$C$1+1,I127,J127,K127)</f>
        <v>Systèmes de santé résilients et pérennes : systèmes de gestion des achats et de la chaîne d'approvisionnement</v>
      </c>
      <c r="E127" s="145"/>
      <c r="F127" s="145" t="s">
        <v>6349</v>
      </c>
      <c r="G127" s="145" t="s">
        <v>6350</v>
      </c>
      <c r="H127" s="146"/>
      <c r="I127" s="146" t="s">
        <v>6351</v>
      </c>
      <c r="J127" s="146" t="s">
        <v>6352</v>
      </c>
      <c r="K127" s="146" t="s">
        <v>6353</v>
      </c>
    </row>
    <row r="128" spans="2:11" x14ac:dyDescent="0.25">
      <c r="B128" s="145" t="s">
        <v>6354</v>
      </c>
      <c r="C128" s="145"/>
      <c r="D128" s="145" t="str">
        <f>CHOOSE(Translations!$C$1+1,I128,J128,K128)</f>
        <v>RSS - Politique et gouvernance</v>
      </c>
      <c r="E128" s="145"/>
      <c r="F128" s="145" t="s">
        <v>6355</v>
      </c>
      <c r="G128" s="145" t="s">
        <v>6356</v>
      </c>
      <c r="H128" s="146"/>
      <c r="I128" s="146" t="s">
        <v>6357</v>
      </c>
      <c r="J128" s="146" t="s">
        <v>6358</v>
      </c>
      <c r="K128" s="146" t="s">
        <v>6359</v>
      </c>
    </row>
    <row r="129" spans="2:11" x14ac:dyDescent="0.25">
      <c r="B129" s="145" t="s">
        <v>6360</v>
      </c>
      <c r="C129" s="145"/>
      <c r="D129" s="145" t="str">
        <f>CHOOSE(Translations!$C$1+1,I129,J129,K129)</f>
        <v>RSS - Financement des soins de santé</v>
      </c>
      <c r="E129" s="145"/>
      <c r="F129" s="145" t="s">
        <v>6361</v>
      </c>
      <c r="G129" s="145" t="s">
        <v>6362</v>
      </c>
      <c r="H129" s="146"/>
      <c r="I129" s="146" t="s">
        <v>6363</v>
      </c>
      <c r="J129" s="146" t="s">
        <v>6364</v>
      </c>
      <c r="K129" s="146" t="s">
        <v>6365</v>
      </c>
    </row>
    <row r="130" spans="2:11" x14ac:dyDescent="0.25">
      <c r="B130" s="145" t="s">
        <v>6366</v>
      </c>
      <c r="C130" s="145"/>
      <c r="D130" s="145" t="str">
        <f>CHOOSE(Translations!$C$1+1,I130,J130,K130)</f>
        <v>Systèmes de santé résilients et pérennes : système de gestion financière</v>
      </c>
      <c r="E130" s="145"/>
      <c r="F130" s="145" t="s">
        <v>6367</v>
      </c>
      <c r="G130" s="145" t="s">
        <v>6368</v>
      </c>
      <c r="H130" s="146"/>
      <c r="I130" s="146" t="s">
        <v>3077</v>
      </c>
      <c r="J130" s="146" t="s">
        <v>6369</v>
      </c>
      <c r="K130" s="146" t="s">
        <v>6370</v>
      </c>
    </row>
    <row r="131" spans="2:11" x14ac:dyDescent="0.25">
      <c r="B131" s="145" t="s">
        <v>6371</v>
      </c>
      <c r="C131" s="145"/>
      <c r="D131" s="145" t="str">
        <f>CHOOSE(Translations!$C$1+1,I131,J131,K131)</f>
        <v>Suppression des obstacles juridiques à l'accès aux services</v>
      </c>
      <c r="E131" s="145"/>
      <c r="F131" s="145" t="s">
        <v>6372</v>
      </c>
      <c r="G131" s="145" t="s">
        <v>6373</v>
      </c>
      <c r="H131" s="146"/>
      <c r="I131" s="146" t="s">
        <v>6374</v>
      </c>
      <c r="J131" s="146" t="s">
        <v>6375</v>
      </c>
      <c r="K131" s="146" t="s">
        <v>6376</v>
      </c>
    </row>
    <row r="132" spans="2:11" x14ac:dyDescent="0.25">
      <c r="B132" s="145" t="s">
        <v>6377</v>
      </c>
      <c r="C132" s="145"/>
      <c r="D132" s="145" t="str">
        <f>CHOOSE(Translations!$C$1+1,I132,J132,K132)</f>
        <v>Systèmes de santé résilients et pérennes : ripostes et systèmes communautaires</v>
      </c>
      <c r="E132" s="145"/>
      <c r="F132" s="145" t="s">
        <v>6378</v>
      </c>
      <c r="G132" s="145" t="s">
        <v>6379</v>
      </c>
      <c r="H132" s="146"/>
      <c r="I132" s="146" t="s">
        <v>6380</v>
      </c>
      <c r="J132" s="146" t="s">
        <v>6381</v>
      </c>
      <c r="K132" s="146" t="s">
        <v>6382</v>
      </c>
    </row>
    <row r="133" spans="2:11" x14ac:dyDescent="0.25">
      <c r="B133" s="145" t="s">
        <v>6383</v>
      </c>
      <c r="C133" s="145"/>
      <c r="D133" s="145" t="str">
        <f>CHOOSE(Translations!$C$1+1,I133,J133,K133)</f>
        <v>Systèmes de santé résilients et pérennes : système de gestion de l'information sanitaire et suivi et évaluation</v>
      </c>
      <c r="E133" s="145"/>
      <c r="F133" s="145" t="s">
        <v>6384</v>
      </c>
      <c r="G133" s="145" t="s">
        <v>6385</v>
      </c>
      <c r="H133" s="146"/>
      <c r="I133" s="146" t="s">
        <v>3086</v>
      </c>
      <c r="J133" s="146" t="s">
        <v>6386</v>
      </c>
      <c r="K133" s="146" t="s">
        <v>6387</v>
      </c>
    </row>
    <row r="134" spans="2:11" x14ac:dyDescent="0.25">
      <c r="B134" s="145" t="s">
        <v>6388</v>
      </c>
      <c r="C134" s="145"/>
      <c r="D134" s="145" t="str">
        <f>CHOOSE(Translations!$C$1+1,I134,J134,K134)</f>
        <v>Gestion de programme</v>
      </c>
      <c r="E134" s="145"/>
      <c r="F134" s="145" t="s">
        <v>6389</v>
      </c>
      <c r="G134" s="145" t="s">
        <v>6390</v>
      </c>
      <c r="H134" s="146"/>
      <c r="I134" s="146" t="s">
        <v>3052</v>
      </c>
      <c r="J134" s="146" t="s">
        <v>3057</v>
      </c>
      <c r="K134" s="146" t="s">
        <v>3058</v>
      </c>
    </row>
    <row r="135" spans="2:11" x14ac:dyDescent="0.25">
      <c r="B135" s="145" t="s">
        <v>6391</v>
      </c>
      <c r="C135" s="145"/>
      <c r="D135" s="145" t="str">
        <f>CHOOSE(Translations!$C$1+1,I135,J135,K135)</f>
        <v>Financement basé sur les résultats</v>
      </c>
      <c r="E135" s="145"/>
      <c r="F135" s="145" t="s">
        <v>6392</v>
      </c>
      <c r="G135" s="145" t="s">
        <v>6393</v>
      </c>
      <c r="H135" s="146"/>
      <c r="I135" s="146" t="s">
        <v>3029</v>
      </c>
      <c r="J135" s="146" t="s">
        <v>3034</v>
      </c>
      <c r="K135" s="146" t="s">
        <v>3035</v>
      </c>
    </row>
    <row r="136" spans="2:11" x14ac:dyDescent="0.25">
      <c r="B136" s="145" t="s">
        <v>6394</v>
      </c>
      <c r="C136" s="145"/>
      <c r="D136" s="145" t="str">
        <f>CHOOSE(Translations!$C$1+1,I136,J136,K136)</f>
        <v>Autre module</v>
      </c>
      <c r="E136" s="145"/>
      <c r="F136" s="145" t="s">
        <v>6395</v>
      </c>
      <c r="G136" s="145" t="s">
        <v>6396</v>
      </c>
      <c r="H136" s="146"/>
      <c r="I136" s="146" t="s">
        <v>6397</v>
      </c>
      <c r="J136" s="146" t="s">
        <v>6398</v>
      </c>
      <c r="K136" s="146" t="s">
        <v>6399</v>
      </c>
    </row>
    <row r="137" spans="2:11" x14ac:dyDescent="0.25">
      <c r="B137" s="145" t="s">
        <v>6400</v>
      </c>
      <c r="C137" s="145"/>
      <c r="D137" s="145" t="str">
        <f>CHOOSE(Translations!$C$1+1,I137,J137,K137)</f>
        <v>Programmes de prévention complets destinés aux personnes transgenres</v>
      </c>
      <c r="E137" s="145"/>
      <c r="F137" s="145" t="s">
        <v>6401</v>
      </c>
      <c r="G137" s="145" t="s">
        <v>6402</v>
      </c>
      <c r="H137" s="146"/>
      <c r="I137" s="146" t="s">
        <v>6403</v>
      </c>
      <c r="J137" s="146" t="s">
        <v>6404</v>
      </c>
      <c r="K137" s="146" t="s">
        <v>6405</v>
      </c>
    </row>
    <row r="138" spans="2:11" x14ac:dyDescent="0.25">
      <c r="B138" s="145" t="s">
        <v>6406</v>
      </c>
      <c r="C138" s="145"/>
      <c r="D138" s="145" t="str">
        <f>CHOOSE(Translations!$C$1+1,I138,J138,K138)</f>
        <v>Programmes complets destinés aux personnes en détention ou se trouvant dans d’autres lieux fermés</v>
      </c>
      <c r="E138" s="145"/>
      <c r="F138" s="145" t="s">
        <v>6407</v>
      </c>
      <c r="G138" s="145" t="s">
        <v>6408</v>
      </c>
      <c r="H138" s="146"/>
      <c r="I138" s="146" t="s">
        <v>6409</v>
      </c>
      <c r="J138" s="146" t="s">
        <v>6410</v>
      </c>
      <c r="K138" s="146" t="s">
        <v>6411</v>
      </c>
    </row>
    <row r="139" spans="2:11" x14ac:dyDescent="0.25">
      <c r="B139" s="145" t="s">
        <v>6412</v>
      </c>
      <c r="C139" s="145"/>
      <c r="D139" s="145" t="str">
        <f>CHOOSE(Translations!$C$1+1,I139,J139,K139)</f>
        <v>Services de dépistage du VIH</v>
      </c>
      <c r="E139" s="145"/>
      <c r="F139" s="145" t="s">
        <v>6413</v>
      </c>
      <c r="G139" s="145" t="s">
        <v>6414</v>
      </c>
      <c r="H139" s="146"/>
      <c r="I139" s="146" t="s">
        <v>6415</v>
      </c>
      <c r="J139" s="146" t="s">
        <v>6416</v>
      </c>
      <c r="K139" s="146" t="s">
        <v>6417</v>
      </c>
    </row>
    <row r="140" spans="2:11" x14ac:dyDescent="0.25">
      <c r="B140" s="145" t="s">
        <v>6337</v>
      </c>
      <c r="C140" s="145"/>
      <c r="D140" s="145" t="str">
        <f>CHOOSE(Translations!$C$1+1,I140,J140,K140)</f>
        <v>Systèmes de santé résilients et pérennes : prestation de services intégrés et amélioration de la qualité</v>
      </c>
      <c r="E140" s="145"/>
      <c r="F140" s="145" t="s">
        <v>6338</v>
      </c>
      <c r="G140" s="145" t="s">
        <v>6418</v>
      </c>
      <c r="H140" s="146"/>
      <c r="I140" s="146" t="s">
        <v>3122</v>
      </c>
      <c r="J140" s="146" t="s">
        <v>6340</v>
      </c>
      <c r="K140" s="146" t="s">
        <v>6341</v>
      </c>
    </row>
    <row r="141" spans="2:11" x14ac:dyDescent="0.25">
      <c r="B141" s="145" t="s">
        <v>6342</v>
      </c>
      <c r="C141" s="145"/>
      <c r="D141" s="145" t="str">
        <f>CHOOSE(Translations!$C$1+1,I141,J141,K141)</f>
        <v>Systèmes de santé résilients et pérennes : ressources humaines pour la santé, y compris agents de santé communautaires</v>
      </c>
      <c r="E141" s="145"/>
      <c r="F141" s="145" t="s">
        <v>6343</v>
      </c>
      <c r="G141" s="145" t="s">
        <v>6419</v>
      </c>
      <c r="H141" s="146"/>
      <c r="I141" s="146" t="s">
        <v>6345</v>
      </c>
      <c r="J141" s="146" t="s">
        <v>6346</v>
      </c>
      <c r="K141" s="146" t="s">
        <v>6347</v>
      </c>
    </row>
    <row r="142" spans="2:11" x14ac:dyDescent="0.25">
      <c r="B142" s="145" t="s">
        <v>6348</v>
      </c>
      <c r="C142" s="145"/>
      <c r="D142" s="145" t="str">
        <f>CHOOSE(Translations!$C$1+1,I142,J142,K142)</f>
        <v>Systèmes de santé résilients et pérennes : systèmes de gestion des achats et de la chaîne d'approvisionnement</v>
      </c>
      <c r="E142" s="145"/>
      <c r="F142" s="145" t="s">
        <v>6349</v>
      </c>
      <c r="G142" s="145" t="s">
        <v>6420</v>
      </c>
      <c r="H142" s="146"/>
      <c r="I142" s="146" t="s">
        <v>6351</v>
      </c>
      <c r="J142" s="146" t="s">
        <v>6352</v>
      </c>
      <c r="K142" s="146" t="s">
        <v>6353</v>
      </c>
    </row>
    <row r="143" spans="2:11" x14ac:dyDescent="0.25">
      <c r="B143" s="145" t="s">
        <v>6354</v>
      </c>
      <c r="C143" s="145"/>
      <c r="D143" s="145" t="str">
        <f>CHOOSE(Translations!$C$1+1,I143,J143,K143)</f>
        <v>RSS - Politique et gouvernance</v>
      </c>
      <c r="E143" s="145"/>
      <c r="F143" s="145" t="s">
        <v>6355</v>
      </c>
      <c r="G143" s="145" t="s">
        <v>6421</v>
      </c>
      <c r="H143" s="146"/>
      <c r="I143" s="146" t="s">
        <v>6357</v>
      </c>
      <c r="J143" s="146" t="s">
        <v>6358</v>
      </c>
      <c r="K143" s="146" t="s">
        <v>6359</v>
      </c>
    </row>
    <row r="144" spans="2:11" x14ac:dyDescent="0.25">
      <c r="B144" s="145" t="s">
        <v>6360</v>
      </c>
      <c r="C144" s="145"/>
      <c r="D144" s="145" t="str">
        <f>CHOOSE(Translations!$C$1+1,I144,J144,K144)</f>
        <v>RSS - Financement des soins de santé</v>
      </c>
      <c r="E144" s="145"/>
      <c r="F144" s="145" t="s">
        <v>6361</v>
      </c>
      <c r="G144" s="145" t="s">
        <v>6422</v>
      </c>
      <c r="H144" s="146"/>
      <c r="I144" s="146" t="s">
        <v>6363</v>
      </c>
      <c r="J144" s="146" t="s">
        <v>6364</v>
      </c>
      <c r="K144" s="146" t="s">
        <v>6365</v>
      </c>
    </row>
    <row r="145" spans="1:11" x14ac:dyDescent="0.25">
      <c r="B145" s="145" t="s">
        <v>6366</v>
      </c>
      <c r="C145" s="145"/>
      <c r="D145" s="145" t="str">
        <f>CHOOSE(Translations!$C$1+1,I145,J145,K145)</f>
        <v>Systèmes de santé résilients et pérennes : système de gestion financière</v>
      </c>
      <c r="E145" s="145"/>
      <c r="F145" s="145" t="s">
        <v>6367</v>
      </c>
      <c r="G145" s="145" t="s">
        <v>6423</v>
      </c>
      <c r="H145" s="146"/>
      <c r="I145" s="146" t="s">
        <v>3077</v>
      </c>
      <c r="J145" s="146" t="s">
        <v>6369</v>
      </c>
      <c r="K145" s="146" t="s">
        <v>6370</v>
      </c>
    </row>
    <row r="146" spans="1:11" x14ac:dyDescent="0.25">
      <c r="B146" s="145" t="s">
        <v>6377</v>
      </c>
      <c r="C146" s="145"/>
      <c r="D146" s="145" t="str">
        <f>CHOOSE(Translations!$C$1+1,I146,J146,K146)</f>
        <v>Systèmes de santé résilients et pérennes : ripostes et systèmes communautaires</v>
      </c>
      <c r="E146" s="145"/>
      <c r="F146" s="145" t="s">
        <v>6378</v>
      </c>
      <c r="G146" s="145" t="s">
        <v>6424</v>
      </c>
      <c r="H146" s="146"/>
      <c r="I146" s="146" t="s">
        <v>6380</v>
      </c>
      <c r="J146" s="146" t="s">
        <v>6381</v>
      </c>
      <c r="K146" s="146" t="s">
        <v>6382</v>
      </c>
    </row>
    <row r="147" spans="1:11" x14ac:dyDescent="0.25">
      <c r="B147" s="145" t="s">
        <v>6383</v>
      </c>
      <c r="C147" s="145"/>
      <c r="D147" s="145" t="str">
        <f>CHOOSE(Translations!$C$1+1,I147,J147,K147)</f>
        <v>Systèmes de santé résilients et pérennes : système de gestion de l'information sanitaire et suivi et évaluation</v>
      </c>
      <c r="E147" s="145"/>
      <c r="F147" s="145" t="s">
        <v>6384</v>
      </c>
      <c r="G147" s="145" t="s">
        <v>6425</v>
      </c>
      <c r="H147" s="146"/>
      <c r="I147" s="146" t="s">
        <v>3086</v>
      </c>
      <c r="J147" s="146" t="s">
        <v>6386</v>
      </c>
      <c r="K147" s="146" t="s">
        <v>6387</v>
      </c>
    </row>
    <row r="148" spans="1:11" x14ac:dyDescent="0.25">
      <c r="B148" s="145" t="s">
        <v>6388</v>
      </c>
      <c r="C148" s="145"/>
      <c r="D148" s="145" t="str">
        <f>CHOOSE(Translations!$C$1+1,I148,J148,K148)</f>
        <v>Gestion de programme</v>
      </c>
      <c r="E148" s="145"/>
      <c r="F148" s="145" t="s">
        <v>6389</v>
      </c>
      <c r="G148" s="145" t="s">
        <v>6426</v>
      </c>
      <c r="H148" s="146"/>
      <c r="I148" s="146" t="s">
        <v>3052</v>
      </c>
      <c r="J148" s="146" t="s">
        <v>3057</v>
      </c>
      <c r="K148" s="146" t="s">
        <v>3058</v>
      </c>
    </row>
    <row r="149" spans="1:11" x14ac:dyDescent="0.25">
      <c r="B149" s="145" t="s">
        <v>6394</v>
      </c>
      <c r="C149" s="145"/>
      <c r="D149" s="145" t="str">
        <f>CHOOSE(Translations!$C$1+1,I149,J149,K149)</f>
        <v>Autre module</v>
      </c>
      <c r="E149" s="145"/>
      <c r="F149" s="145" t="s">
        <v>6395</v>
      </c>
      <c r="G149" s="145" t="s">
        <v>6427</v>
      </c>
      <c r="H149" s="146"/>
      <c r="I149" s="146" t="s">
        <v>6397</v>
      </c>
      <c r="J149" s="146" t="s">
        <v>6398</v>
      </c>
      <c r="K149" s="146" t="s">
        <v>6399</v>
      </c>
    </row>
    <row r="150" spans="1:11" x14ac:dyDescent="0.25">
      <c r="B150" s="145" t="s">
        <v>6428</v>
      </c>
      <c r="C150" s="145"/>
      <c r="D150" s="145" t="str">
        <f>CHOOSE(Translations!$C$1+1,I150,J150,K150)</f>
        <v>Programmes de prévention complets destinés aux hommes ayant des rapports sexuels avec des hommes (HSH)</v>
      </c>
      <c r="E150" s="145"/>
      <c r="F150" s="145" t="s">
        <v>6429</v>
      </c>
      <c r="G150" s="145" t="s">
        <v>6430</v>
      </c>
      <c r="H150" s="146"/>
      <c r="I150" s="146" t="s">
        <v>6431</v>
      </c>
      <c r="J150" s="146" t="s">
        <v>6432</v>
      </c>
      <c r="K150" s="146" t="s">
        <v>6433</v>
      </c>
    </row>
    <row r="151" spans="1:11" x14ac:dyDescent="0.25">
      <c r="B151" s="145" t="s">
        <v>6434</v>
      </c>
      <c r="C151" s="145"/>
      <c r="D151" s="145" t="str">
        <f>CHOOSE(Translations!$C$1+1,I151,J151,K151)</f>
        <v>Programmes visant à réduire les obstacles liés aux droits humains qui entravent l’accès aux services VIH</v>
      </c>
      <c r="E151" s="145"/>
      <c r="F151" s="145" t="s">
        <v>6435</v>
      </c>
      <c r="G151" s="145" t="s">
        <v>6436</v>
      </c>
      <c r="H151" s="146"/>
      <c r="I151" s="146" t="s">
        <v>6437</v>
      </c>
      <c r="J151" s="146" t="s">
        <v>6438</v>
      </c>
      <c r="K151" s="146" t="s">
        <v>6439</v>
      </c>
    </row>
    <row r="152" spans="1:11" x14ac:dyDescent="0.25">
      <c r="B152" s="145" t="s">
        <v>6440</v>
      </c>
      <c r="C152" s="145"/>
      <c r="D152" s="145" t="str">
        <f>CHOOSE(Translations!$C$1+1,I152,J152,K152)</f>
        <v>Systèmes de santé résilients et pérennes  : stratégies nationales de santé</v>
      </c>
      <c r="E152" s="145"/>
      <c r="F152" s="145" t="s">
        <v>6441</v>
      </c>
      <c r="G152" s="145" t="s">
        <v>6442</v>
      </c>
      <c r="H152" s="146"/>
      <c r="I152" s="146" t="s">
        <v>6443</v>
      </c>
      <c r="J152" s="146" t="s">
        <v>6444</v>
      </c>
      <c r="K152" s="146" t="s">
        <v>6445</v>
      </c>
    </row>
    <row r="153" spans="1:11" x14ac:dyDescent="0.25">
      <c r="B153" s="145" t="s">
        <v>6440</v>
      </c>
      <c r="C153" s="145"/>
      <c r="D153" s="145" t="str">
        <f>CHOOSE(Translations!$C$1+1,I153,J153,K153)</f>
        <v>Systèmes de santé résilients et pérennes  : stratégies nationales de santé</v>
      </c>
      <c r="E153" s="145"/>
      <c r="F153" s="145" t="s">
        <v>6441</v>
      </c>
      <c r="G153" s="145" t="s">
        <v>6446</v>
      </c>
      <c r="H153" s="146"/>
      <c r="I153" s="146" t="s">
        <v>6443</v>
      </c>
      <c r="J153" s="146" t="s">
        <v>6444</v>
      </c>
      <c r="K153" s="146" t="s">
        <v>6445</v>
      </c>
    </row>
    <row r="157" spans="1:11" x14ac:dyDescent="0.25">
      <c r="A157" s="6" t="s">
        <v>124</v>
      </c>
    </row>
    <row r="158" spans="1:11" x14ac:dyDescent="0.25">
      <c r="B158" s="145" t="s">
        <v>107</v>
      </c>
      <c r="C158" s="145"/>
      <c r="D158" s="145" t="s">
        <v>453</v>
      </c>
      <c r="E158" s="145"/>
      <c r="F158" s="145"/>
      <c r="G158" s="145" t="s">
        <v>48</v>
      </c>
      <c r="H158" s="145" t="s">
        <v>230</v>
      </c>
      <c r="I158" s="145" t="s">
        <v>43</v>
      </c>
      <c r="J158" s="145" t="s">
        <v>451</v>
      </c>
      <c r="K158" s="145" t="s">
        <v>449</v>
      </c>
    </row>
    <row r="159" spans="1:11" ht="18" hidden="1" customHeight="1" x14ac:dyDescent="0.25">
      <c r="B159" s="146" t="s">
        <v>79</v>
      </c>
      <c r="C159" s="145"/>
      <c r="D159" s="145" t="str">
        <f>CHOOSE(Translations!$C$1+1,I159,J159,K159)</f>
        <v>[Name - FR]</v>
      </c>
      <c r="E159" s="145"/>
      <c r="F159" s="145"/>
      <c r="G159" s="145" t="s">
        <v>47</v>
      </c>
      <c r="H159" s="146" t="s">
        <v>229</v>
      </c>
      <c r="I159" s="146" t="s">
        <v>66</v>
      </c>
      <c r="J159" s="146" t="s">
        <v>450</v>
      </c>
      <c r="K159" s="146" t="s">
        <v>448</v>
      </c>
    </row>
    <row r="160" spans="1:11" ht="18" customHeight="1" x14ac:dyDescent="0.25">
      <c r="B160" s="146" t="s">
        <v>3196</v>
      </c>
      <c r="C160" s="145"/>
      <c r="D160" s="145" t="str">
        <f>CHOOSE(Translations!$C$1+1,I160,J160,K160)</f>
        <v>MEN-1 Nombre de circoncisions masculines médicales pratiquées selon les normes nationales</v>
      </c>
      <c r="E160" s="145"/>
      <c r="F160" s="145"/>
      <c r="G160" s="145" t="s">
        <v>3197</v>
      </c>
      <c r="H160" s="146"/>
      <c r="I160" s="146" t="s">
        <v>3198</v>
      </c>
      <c r="J160" s="146" t="s">
        <v>3199</v>
      </c>
      <c r="K160" s="146" t="s">
        <v>3200</v>
      </c>
    </row>
    <row r="161" spans="2:11" ht="18" customHeight="1" x14ac:dyDescent="0.25">
      <c r="B161" s="146" t="s">
        <v>2095</v>
      </c>
      <c r="C161" s="145"/>
      <c r="D161" s="145" t="str">
        <f>CHOOSE(Translations!$C$1+1,I161,J161,K161)</f>
        <v>KP-1a⁽ᴹ⁾ Pourcentage de HSH ayant bénéficié de programmes préventifs de lutte contre le VIH (paquet de services définis)</v>
      </c>
      <c r="E161" s="145"/>
      <c r="F161" s="145"/>
      <c r="G161" s="145" t="s">
        <v>3154</v>
      </c>
      <c r="H161" s="146"/>
      <c r="I161" s="146" t="s">
        <v>2098</v>
      </c>
      <c r="J161" s="146" t="s">
        <v>2099</v>
      </c>
      <c r="K161" s="146" t="s">
        <v>2100</v>
      </c>
    </row>
    <row r="162" spans="2:11" ht="18" customHeight="1" x14ac:dyDescent="0.25">
      <c r="B162" s="146" t="s">
        <v>2862</v>
      </c>
      <c r="C162" s="145"/>
      <c r="D162" s="145" t="str">
        <f>CHOOSE(Translations!$C$1+1,I162,J162,K162)</f>
        <v>TB/HIV-3.1a Pourcentage de personnes vivant avec le VIH ayant nouvellement initié la TARV chez qui les signes de la tuberculose ont été recherchés</v>
      </c>
      <c r="E162" s="145"/>
      <c r="F162" s="145"/>
      <c r="G162" s="145" t="s">
        <v>3254</v>
      </c>
      <c r="H162" s="146"/>
      <c r="I162" s="146" t="s">
        <v>2865</v>
      </c>
      <c r="J162" s="146" t="s">
        <v>2866</v>
      </c>
      <c r="K162" s="146" t="s">
        <v>2867</v>
      </c>
    </row>
    <row r="163" spans="2:11" ht="18" customHeight="1" x14ac:dyDescent="0.25">
      <c r="B163" s="146" t="s">
        <v>2103</v>
      </c>
      <c r="C163" s="145"/>
      <c r="D163" s="145" t="str">
        <f>CHOOSE(Translations!$C$1+1,I163,J163,K163)</f>
        <v>KP-1b⁽ᴹ⁾ Pourcentage de personnes transgenres ayant bénéficié de programmes préventifs de lutte contre le VIH (paquet de services définis)</v>
      </c>
      <c r="E163" s="145"/>
      <c r="F163" s="145"/>
      <c r="G163" s="145" t="s">
        <v>3157</v>
      </c>
      <c r="H163" s="146"/>
      <c r="I163" s="146" t="s">
        <v>2106</v>
      </c>
      <c r="J163" s="146" t="s">
        <v>2107</v>
      </c>
      <c r="K163" s="146" t="s">
        <v>2108</v>
      </c>
    </row>
    <row r="164" spans="2:11" ht="18" customHeight="1" x14ac:dyDescent="0.25">
      <c r="B164" s="146" t="s">
        <v>2111</v>
      </c>
      <c r="C164" s="145"/>
      <c r="D164" s="145" t="str">
        <f>CHOOSE(Translations!$C$1+1,I164,J164,K164)</f>
        <v>KP-1c⁽ᴹ⁾ Pourcentage de professionnels du sexe ayant bénéficié de programmes préventifs de lutte contre le VIH (paquet de services définis)</v>
      </c>
      <c r="E164" s="145"/>
      <c r="F164" s="145"/>
      <c r="G164" s="145" t="s">
        <v>3158</v>
      </c>
      <c r="H164" s="146"/>
      <c r="I164" s="146" t="s">
        <v>2114</v>
      </c>
      <c r="J164" s="146" t="s">
        <v>2115</v>
      </c>
      <c r="K164" s="146" t="s">
        <v>2116</v>
      </c>
    </row>
    <row r="165" spans="2:11" ht="18" customHeight="1" x14ac:dyDescent="0.25">
      <c r="B165" s="146" t="s">
        <v>2125</v>
      </c>
      <c r="C165" s="145"/>
      <c r="D165" s="145" t="str">
        <f>CHOOSE(Translations!$C$1+1,I165,J165,K165)</f>
        <v>KP-1d⁽ᴹ⁾ Pourcentage de personnes qui s'injectent des drogues ayant bénéficié de programmes préventifs de lutte contre le VIH (paquet de services définis)</v>
      </c>
      <c r="E165" s="145"/>
      <c r="F165" s="145"/>
      <c r="G165" s="145" t="s">
        <v>3159</v>
      </c>
      <c r="H165" s="146"/>
      <c r="I165" s="146" t="s">
        <v>2128</v>
      </c>
      <c r="J165" s="146" t="s">
        <v>2129</v>
      </c>
      <c r="K165" s="146" t="s">
        <v>2130</v>
      </c>
    </row>
    <row r="166" spans="2:11" ht="18" customHeight="1" x14ac:dyDescent="0.25">
      <c r="B166" s="146" t="s">
        <v>3161</v>
      </c>
      <c r="C166" s="145"/>
      <c r="D166" s="145" t="str">
        <f>CHOOSE(Translations!$C$1+1,I166,J166,K166)</f>
        <v>KP-1e Pourcentage de personnes ayant bénéficié de programmes préventifs de lutte contre le VIH parmi les autres populations vulnérables (paquet de services définis)</v>
      </c>
      <c r="E166" s="145"/>
      <c r="F166" s="145"/>
      <c r="G166" s="145" t="s">
        <v>3162</v>
      </c>
      <c r="H166" s="146"/>
      <c r="I166" s="146" t="s">
        <v>3163</v>
      </c>
      <c r="J166" s="146" t="s">
        <v>3164</v>
      </c>
      <c r="K166" s="146" t="s">
        <v>3165</v>
      </c>
    </row>
    <row r="167" spans="2:11" ht="18" customHeight="1" x14ac:dyDescent="0.25">
      <c r="B167" s="146" t="s">
        <v>3166</v>
      </c>
      <c r="C167" s="145"/>
      <c r="D167" s="145" t="str">
        <f>CHOOSE(Translations!$C$1+1,I167,J167,K167)</f>
        <v>KP-1f⁽ᴹ⁾ Pourcentage de personnes en détention ou se trouvant dans d’autres lieux fermés ayant bénéficié de programmes préventifs de lutte contre le VIH (paquet de services définis)</v>
      </c>
      <c r="E167" s="145"/>
      <c r="F167" s="145"/>
      <c r="G167" s="145" t="s">
        <v>3167</v>
      </c>
      <c r="H167" s="146"/>
      <c r="I167" s="146" t="s">
        <v>3168</v>
      </c>
      <c r="J167" s="146" t="s">
        <v>3169</v>
      </c>
      <c r="K167" s="146" t="s">
        <v>3170</v>
      </c>
    </row>
    <row r="168" spans="2:11" ht="18" customHeight="1" x14ac:dyDescent="0.25">
      <c r="B168" s="146" t="s">
        <v>3171</v>
      </c>
      <c r="C168" s="145"/>
      <c r="D168" s="145" t="str">
        <f>CHOOSE(Translations!$C$1+1,I168,J168,K168)</f>
        <v>KP-4 Nombre d’aiguilles et de seringues distribuées par les personnes qui s'injectent des drogues, par an et lors de programmes d’échange d’aiguilles et de seringues</v>
      </c>
      <c r="E168" s="145"/>
      <c r="F168" s="145"/>
      <c r="G168" s="145" t="s">
        <v>3172</v>
      </c>
      <c r="H168" s="146"/>
      <c r="I168" s="146" t="s">
        <v>3173</v>
      </c>
      <c r="J168" s="146" t="s">
        <v>3174</v>
      </c>
      <c r="K168" s="146" t="s">
        <v>3175</v>
      </c>
    </row>
    <row r="169" spans="2:11" ht="18" customHeight="1" x14ac:dyDescent="0.25">
      <c r="B169" s="146" t="s">
        <v>3176</v>
      </c>
      <c r="C169" s="145"/>
      <c r="D169" s="145" t="str">
        <f>CHOOSE(Translations!$C$1+1,I169,J169,K169)</f>
        <v>KP-5 Pourcentage d’individus recevant un traitement de substitution aux opioïdes depuis au moins 6 mois</v>
      </c>
      <c r="E169" s="145"/>
      <c r="F169" s="145"/>
      <c r="G169" s="145" t="s">
        <v>3177</v>
      </c>
      <c r="H169" s="146"/>
      <c r="I169" s="146" t="s">
        <v>3178</v>
      </c>
      <c r="J169" s="146" t="s">
        <v>3179</v>
      </c>
      <c r="K169" s="146" t="s">
        <v>3180</v>
      </c>
    </row>
    <row r="170" spans="2:11" ht="18" customHeight="1" x14ac:dyDescent="0.25">
      <c r="B170" s="146" t="s">
        <v>3181</v>
      </c>
      <c r="C170" s="145"/>
      <c r="D170" s="145" t="str">
        <f>CHOOSE(Translations!$C$1+1,I170,J170,K170)</f>
        <v>KP-6a Pourcentage d’hommes éligibles ayant des rapports sexuels avec des hommes ayant commencé un traitement antirétroviral oral par PrEP durant la période de rapportage</v>
      </c>
      <c r="E170" s="145"/>
      <c r="F170" s="145"/>
      <c r="G170" s="145" t="s">
        <v>3182</v>
      </c>
      <c r="H170" s="146"/>
      <c r="I170" s="146" t="s">
        <v>3183</v>
      </c>
      <c r="J170" s="146" t="s">
        <v>3184</v>
      </c>
      <c r="K170" s="146" t="s">
        <v>3185</v>
      </c>
    </row>
    <row r="171" spans="2:11" ht="18" customHeight="1" x14ac:dyDescent="0.25">
      <c r="B171" s="146" t="s">
        <v>3186</v>
      </c>
      <c r="C171" s="145"/>
      <c r="D171" s="145" t="str">
        <f>CHOOSE(Translations!$C$1+1,I171,J171,K171)</f>
        <v>KP-6b Pourcentage de personnes transgenres éligibles ayant commencé un traitement antirétroviral oral par PrEP durant la période de rapportage</v>
      </c>
      <c r="E171" s="145"/>
      <c r="F171" s="145"/>
      <c r="G171" s="145" t="s">
        <v>3187</v>
      </c>
      <c r="H171" s="146"/>
      <c r="I171" s="146" t="s">
        <v>3188</v>
      </c>
      <c r="J171" s="146" t="s">
        <v>3189</v>
      </c>
      <c r="K171" s="146" t="s">
        <v>3190</v>
      </c>
    </row>
    <row r="172" spans="2:11" ht="18" customHeight="1" x14ac:dyDescent="0.25">
      <c r="B172" s="146" t="s">
        <v>3191</v>
      </c>
      <c r="C172" s="145"/>
      <c r="D172" s="145" t="str">
        <f>CHOOSE(Translations!$C$1+1,I172,J172,K172)</f>
        <v>KP-6c Pourcentage de professionnels du sexe éligibles ayant commencé un traitement antirétroviral oral par PrEP durant la période de rapportage</v>
      </c>
      <c r="E172" s="145"/>
      <c r="F172" s="145"/>
      <c r="G172" s="145" t="s">
        <v>3192</v>
      </c>
      <c r="H172" s="146"/>
      <c r="I172" s="146" t="s">
        <v>3193</v>
      </c>
      <c r="J172" s="146" t="s">
        <v>3194</v>
      </c>
      <c r="K172" s="146" t="s">
        <v>3195</v>
      </c>
    </row>
    <row r="173" spans="2:11" ht="18" customHeight="1" x14ac:dyDescent="0.25">
      <c r="B173" s="146" t="s">
        <v>3261</v>
      </c>
      <c r="C173" s="145"/>
      <c r="D173" s="145" t="str">
        <f>CHOOSE(Translations!$C$1+1,I173,J173,K173)</f>
        <v>PSM-3 Pourcentage des établissements de santé fournissant des services de diagnostic avec des éléments traceurs le jour de la visite ou du rapportage.</v>
      </c>
      <c r="E173" s="145"/>
      <c r="F173" s="145"/>
      <c r="G173" s="145" t="s">
        <v>3262</v>
      </c>
      <c r="H173" s="146"/>
      <c r="I173" s="146" t="s">
        <v>3264</v>
      </c>
      <c r="J173" s="146" t="s">
        <v>3265</v>
      </c>
      <c r="K173" s="146" t="s">
        <v>3266</v>
      </c>
    </row>
    <row r="174" spans="2:11" ht="18" customHeight="1" x14ac:dyDescent="0.25">
      <c r="B174" s="146" t="s">
        <v>3267</v>
      </c>
      <c r="C174" s="145"/>
      <c r="D174" s="145" t="str">
        <f>CHOOSE(Translations!$C$1+1,I174,J174,K174)</f>
        <v>PSM-4 Pourcentage des établissements de santé disposant de médicaments traceurs pour les trois maladies le jour de la visite ou du rapportage</v>
      </c>
      <c r="E174" s="145"/>
      <c r="F174" s="145"/>
      <c r="G174" s="145" t="s">
        <v>3268</v>
      </c>
      <c r="H174" s="146"/>
      <c r="I174" s="146" t="s">
        <v>3269</v>
      </c>
      <c r="J174" s="146" t="s">
        <v>3270</v>
      </c>
      <c r="K174" s="146" t="s">
        <v>3271</v>
      </c>
    </row>
    <row r="175" spans="2:11" ht="18" customHeight="1" x14ac:dyDescent="0.25">
      <c r="B175" s="146" t="s">
        <v>2139</v>
      </c>
      <c r="C175" s="145"/>
      <c r="D175" s="145" t="str">
        <f>CHOOSE(Translations!$C$1+1,I175,J175,K175)</f>
        <v>YP-1a Pourcentage d’élèves âgés de 10 à 24 ans fréquentant un établissement scolaire bénéficiant d’une éducation sexuelle complète ou de l’enseignement de compétences psychosociales (concernant les questions liées au VIH)</v>
      </c>
      <c r="E175" s="145"/>
      <c r="F175" s="145"/>
      <c r="G175" s="145" t="s">
        <v>3201</v>
      </c>
      <c r="H175" s="146"/>
      <c r="I175" s="146" t="s">
        <v>2142</v>
      </c>
      <c r="J175" s="146" t="s">
        <v>2143</v>
      </c>
      <c r="K175" s="146" t="s">
        <v>2144</v>
      </c>
    </row>
    <row r="176" spans="2:11" ht="18" customHeight="1" x14ac:dyDescent="0.25">
      <c r="B176" s="146" t="s">
        <v>2147</v>
      </c>
      <c r="C176" s="145"/>
      <c r="D176" s="145" t="str">
        <f>CHOOSE(Translations!$C$1+1,I176,J176,K176)</f>
        <v>YP-1b Pourcentage de jeunes âgés de 10 à 24 ans bénéficiant d’une éducation sexuelle complète ou de l’enseignement de compétences psychosociales (concernant les questions liées au VIH) en dehors du cadre scolaire</v>
      </c>
      <c r="E176" s="145"/>
      <c r="F176" s="145"/>
      <c r="G176" s="145" t="s">
        <v>3202</v>
      </c>
      <c r="H176" s="146"/>
      <c r="I176" s="146" t="s">
        <v>2150</v>
      </c>
      <c r="J176" s="146" t="s">
        <v>2151</v>
      </c>
      <c r="K176" s="146" t="s">
        <v>2152</v>
      </c>
    </row>
    <row r="177" spans="2:11" ht="18" customHeight="1" x14ac:dyDescent="0.25">
      <c r="B177" s="146" t="s">
        <v>2155</v>
      </c>
      <c r="C177" s="145"/>
      <c r="D177" s="145" t="str">
        <f>CHOOSE(Translations!$C$1+1,I177,J177,K177)</f>
        <v>YP-2 Pourcentage d’adolescentes et de jeunes femmes bénéficiant de programmes préventifs de lutte contre le VIH (paquet de services définis)</v>
      </c>
      <c r="E177" s="145"/>
      <c r="F177" s="145"/>
      <c r="G177" s="145" t="s">
        <v>3203</v>
      </c>
      <c r="H177" s="146"/>
      <c r="I177" s="146" t="s">
        <v>2158</v>
      </c>
      <c r="J177" s="146" t="s">
        <v>2159</v>
      </c>
      <c r="K177" s="146" t="s">
        <v>2160</v>
      </c>
    </row>
    <row r="178" spans="2:11" ht="18" customHeight="1" x14ac:dyDescent="0.25">
      <c r="B178" s="146" t="s">
        <v>3204</v>
      </c>
      <c r="C178" s="145"/>
      <c r="D178" s="145" t="str">
        <f>CHOOSE(Translations!$C$1+1,I178,J178,K178)</f>
        <v>YP-4 Pourcentage d’adolescentes et de jeunes femmes éligibles ayant commencé un traitement antirétroviral oral par PrEP durant la période de rapportage</v>
      </c>
      <c r="E178" s="145"/>
      <c r="F178" s="145"/>
      <c r="G178" s="145" t="s">
        <v>3205</v>
      </c>
      <c r="H178" s="146"/>
      <c r="I178" s="146" t="s">
        <v>3206</v>
      </c>
      <c r="J178" s="146" t="s">
        <v>3207</v>
      </c>
      <c r="K178" s="146" t="s">
        <v>3208</v>
      </c>
    </row>
    <row r="179" spans="2:11" ht="18" customHeight="1" x14ac:dyDescent="0.25">
      <c r="B179" s="146" t="s">
        <v>2165</v>
      </c>
      <c r="C179" s="145"/>
      <c r="D179" s="145" t="str">
        <f>CHOOSE(Translations!$C$1+1,I179,J179,K179)</f>
        <v>PMTCT-1 Pourcentage de femmes enceintes qui connaissent leur statut sérologique pour le VIH</v>
      </c>
      <c r="E179" s="145"/>
      <c r="F179" s="145"/>
      <c r="G179" s="145" t="s">
        <v>3209</v>
      </c>
      <c r="H179" s="146"/>
      <c r="I179" s="146" t="s">
        <v>2174</v>
      </c>
      <c r="J179" s="146" t="s">
        <v>2175</v>
      </c>
      <c r="K179" s="146" t="s">
        <v>2176</v>
      </c>
    </row>
    <row r="180" spans="2:11" ht="18" customHeight="1" x14ac:dyDescent="0.25">
      <c r="B180" s="146" t="s">
        <v>3210</v>
      </c>
      <c r="C180" s="145"/>
      <c r="D180" s="145" t="str">
        <f>CHOOSE(Translations!$C$1+1,I180,J180,K180)</f>
        <v>PMTCT-2.1 Pourcentage de femmes enceintes séropositives pour le VIH ayant reçu une TARV durant leur grossesse et/ou le travail et l'accouchement</v>
      </c>
      <c r="E180" s="145"/>
      <c r="F180" s="145"/>
      <c r="G180" s="145" t="s">
        <v>3211</v>
      </c>
      <c r="H180" s="146"/>
      <c r="I180" s="146" t="s">
        <v>3212</v>
      </c>
      <c r="J180" s="146" t="s">
        <v>3213</v>
      </c>
      <c r="K180" s="146" t="s">
        <v>3214</v>
      </c>
    </row>
    <row r="181" spans="2:11" ht="18" customHeight="1" x14ac:dyDescent="0.25">
      <c r="B181" s="146" t="s">
        <v>3272</v>
      </c>
      <c r="C181" s="145"/>
      <c r="D181" s="145" t="str">
        <f>CHOOSE(Translations!$C$1+1,I181,J181,K181)</f>
        <v>PSM-5 Pourcentage de lots expédiés livrés en intégralité et dans les délais par rapport au nombre total de lots expédiés devant être fournis pour les trois maladies pendant la période de rapportage</v>
      </c>
      <c r="E181" s="145"/>
      <c r="F181" s="145"/>
      <c r="G181" s="145" t="s">
        <v>3273</v>
      </c>
      <c r="H181" s="146"/>
      <c r="I181" s="146" t="s">
        <v>3274</v>
      </c>
      <c r="J181" s="146" t="s">
        <v>3275</v>
      </c>
      <c r="K181" s="146" t="s">
        <v>3276</v>
      </c>
    </row>
    <row r="182" spans="2:11" ht="18" customHeight="1" x14ac:dyDescent="0.25">
      <c r="B182" s="146" t="s">
        <v>3277</v>
      </c>
      <c r="C182" s="145"/>
      <c r="D182" s="145" t="str">
        <f>CHOOSE(Translations!$C$1+1,I182,J182,K182)</f>
        <v>PSM-6 Pourcentage de produits de santé pour les bons de commande confirmés avec les fournisseurs par rapport aux quantités prévues, pour les trois maladies pendant la période de rapportage.</v>
      </c>
      <c r="E182" s="145"/>
      <c r="F182" s="145"/>
      <c r="G182" s="145" t="s">
        <v>3278</v>
      </c>
      <c r="H182" s="146"/>
      <c r="I182" s="146" t="s">
        <v>3279</v>
      </c>
      <c r="J182" s="146" t="s">
        <v>3280</v>
      </c>
      <c r="K182" s="146" t="s">
        <v>3281</v>
      </c>
    </row>
    <row r="183" spans="2:11" ht="18" customHeight="1" x14ac:dyDescent="0.25">
      <c r="B183" s="146" t="s">
        <v>3282</v>
      </c>
      <c r="C183" s="145"/>
      <c r="D183" s="145" t="str">
        <f>CHOOSE(Translations!$C$1+1,I183,J183,K183)</f>
        <v>PSM-7 Pourcentage de lots de produits de santé pour les trois maladies ayant fait l’objet d’un test de la qualité, conformément à la politique d’assurance qualité du Fonds mondial</v>
      </c>
      <c r="E183" s="145"/>
      <c r="F183" s="145"/>
      <c r="G183" s="145" t="s">
        <v>3283</v>
      </c>
      <c r="H183" s="146"/>
      <c r="I183" s="146" t="s">
        <v>3284</v>
      </c>
      <c r="J183" s="146" t="s">
        <v>3285</v>
      </c>
      <c r="K183" s="146" t="s">
        <v>3286</v>
      </c>
    </row>
    <row r="184" spans="2:11" ht="18" customHeight="1" x14ac:dyDescent="0.25">
      <c r="B184" s="146" t="s">
        <v>2770</v>
      </c>
      <c r="C184" s="145"/>
      <c r="D184" s="145" t="str">
        <f>CHOOSE(Translations!$C$1+1,I184,J184,K184)</f>
        <v>M&amp;E-2a Complétude des rapports des établissements de santé : Pourcentage de rapports mensuels attendus des établissements (pour la période de rapportage) qui ont été réellement reçus</v>
      </c>
      <c r="E184" s="145"/>
      <c r="F184" s="145"/>
      <c r="G184" s="145" t="s">
        <v>3287</v>
      </c>
      <c r="H184" s="146"/>
      <c r="I184" s="146" t="s">
        <v>2779</v>
      </c>
      <c r="J184" s="146" t="s">
        <v>2780</v>
      </c>
      <c r="K184" s="146" t="s">
        <v>2781</v>
      </c>
    </row>
    <row r="185" spans="2:11" ht="18" customHeight="1" x14ac:dyDescent="0.25">
      <c r="B185" s="146" t="s">
        <v>2797</v>
      </c>
      <c r="C185" s="145"/>
      <c r="D185" s="145" t="str">
        <f>CHOOSE(Translations!$C$1+1,I185,J185,K185)</f>
        <v>M&amp;E-2b Promptitude des rapports des établissements de santé: Pourcentage de rapports mensuels remis par les établissements (pour la période d’établissement de rapport) reçus dans les délais, conformément aux directives nationales</v>
      </c>
      <c r="E185" s="145"/>
      <c r="F185" s="145"/>
      <c r="G185" s="145" t="s">
        <v>3288</v>
      </c>
      <c r="H185" s="146"/>
      <c r="I185" s="146" t="s">
        <v>2800</v>
      </c>
      <c r="J185" s="146" t="s">
        <v>2801</v>
      </c>
      <c r="K185" s="146" t="s">
        <v>2802</v>
      </c>
    </row>
    <row r="186" spans="2:11" ht="18" customHeight="1" x14ac:dyDescent="0.25">
      <c r="B186" s="146" t="s">
        <v>2182</v>
      </c>
      <c r="C186" s="145"/>
      <c r="D186" s="145" t="str">
        <f>CHOOSE(Translations!$C$1+1,I186,J186,K186)</f>
        <v>PMTCT-3.1 Pourcentage de nourrissons exposés au VIH ayant bénéficié d’un dépistage du VIH dans les 2 mois qui ont suivi leur naissance</v>
      </c>
      <c r="E186" s="145"/>
      <c r="F186" s="145"/>
      <c r="G186" s="145" t="s">
        <v>3215</v>
      </c>
      <c r="H186" s="146"/>
      <c r="I186" s="146" t="s">
        <v>2185</v>
      </c>
      <c r="J186" s="146" t="s">
        <v>2186</v>
      </c>
      <c r="K186" s="146" t="s">
        <v>2187</v>
      </c>
    </row>
    <row r="187" spans="2:11" ht="18" customHeight="1" x14ac:dyDescent="0.25">
      <c r="B187" s="146" t="s">
        <v>3216</v>
      </c>
      <c r="C187" s="145"/>
      <c r="D187" s="145" t="str">
        <f>CHOOSE(Translations!$C$1+1,I187,J187,K187)</f>
        <v>PMTCT-4 Pourcentage de femmes recevant des soins prénatals ayant bénéficié d’un dépistage de la syphilis</v>
      </c>
      <c r="E187" s="145"/>
      <c r="F187" s="145"/>
      <c r="G187" s="145" t="s">
        <v>3217</v>
      </c>
      <c r="H187" s="146"/>
      <c r="I187" s="146" t="s">
        <v>3218</v>
      </c>
      <c r="J187" s="146" t="s">
        <v>3219</v>
      </c>
      <c r="K187" s="146" t="s">
        <v>3220</v>
      </c>
    </row>
    <row r="188" spans="2:11" ht="18" customHeight="1" x14ac:dyDescent="0.25">
      <c r="B188" s="146" t="s">
        <v>2195</v>
      </c>
      <c r="C188" s="145"/>
      <c r="D188" s="145" t="str">
        <f>CHOOSE(Translations!$C$1+1,I188,J188,K188)</f>
        <v>HTS-2 Pourcentage d’adolescentes et de jeunes femmes chez lesquelles un dépistage du VIH a été réalisé durant la période de rapportage et qui connaissent leur résultat</v>
      </c>
      <c r="E188" s="145"/>
      <c r="F188" s="145"/>
      <c r="G188" s="145" t="s">
        <v>3221</v>
      </c>
      <c r="H188" s="146"/>
      <c r="I188" s="146" t="s">
        <v>2198</v>
      </c>
      <c r="J188" s="146" t="s">
        <v>2199</v>
      </c>
      <c r="K188" s="146" t="s">
        <v>2200</v>
      </c>
    </row>
    <row r="189" spans="2:11" ht="18" customHeight="1" x14ac:dyDescent="0.25">
      <c r="B189" s="146" t="s">
        <v>2210</v>
      </c>
      <c r="C189" s="145"/>
      <c r="D189" s="145" t="str">
        <f>CHOOSE(Translations!$C$1+1,I189,J189,K189)</f>
        <v>HTS-3a⁽ᴹ⁾ Pourcentage de HSH chez lesquels un dépistage du VIH a été réalisé durant la période de rapportage et qui connaissent leur résultat</v>
      </c>
      <c r="E189" s="145"/>
      <c r="F189" s="145"/>
      <c r="G189" s="145" t="s">
        <v>3225</v>
      </c>
      <c r="H189" s="146"/>
      <c r="I189" s="146" t="s">
        <v>2213</v>
      </c>
      <c r="J189" s="146" t="s">
        <v>2214</v>
      </c>
      <c r="K189" s="146" t="s">
        <v>2215</v>
      </c>
    </row>
    <row r="190" spans="2:11" ht="18" customHeight="1" x14ac:dyDescent="0.25">
      <c r="B190" s="146" t="s">
        <v>2222</v>
      </c>
      <c r="C190" s="145"/>
      <c r="D190" s="145" t="str">
        <f>CHOOSE(Translations!$C$1+1,I190,J190,K190)</f>
        <v>HTS-3b⁽ᴹ⁾ Pourcentage de personnes transgenres chez lesquels un dépistage du VIH a été réalisé durant la période de rapportage et qui connaissent leur résultat</v>
      </c>
      <c r="E190" s="145"/>
      <c r="F190" s="145"/>
      <c r="G190" s="145" t="s">
        <v>3226</v>
      </c>
      <c r="H190" s="146"/>
      <c r="I190" s="146" t="s">
        <v>2225</v>
      </c>
      <c r="J190" s="146" t="s">
        <v>2226</v>
      </c>
      <c r="K190" s="146" t="s">
        <v>2227</v>
      </c>
    </row>
    <row r="191" spans="2:11" ht="18" customHeight="1" x14ac:dyDescent="0.25">
      <c r="B191" s="146" t="s">
        <v>2234</v>
      </c>
      <c r="C191" s="145"/>
      <c r="D191" s="145" t="str">
        <f>CHOOSE(Translations!$C$1+1,I191,J191,K191)</f>
        <v>HTS-3c⁽ᴹ⁾  Pourcentage de professionnels du sexe chez lesquels un dépistage du VIH a été réalisé durant la période de rapportage et qui connaissent leur résultat</v>
      </c>
      <c r="E191" s="145"/>
      <c r="F191" s="145"/>
      <c r="G191" s="145" t="s">
        <v>3227</v>
      </c>
      <c r="H191" s="146"/>
      <c r="I191" s="146" t="s">
        <v>2237</v>
      </c>
      <c r="J191" s="146" t="s">
        <v>2238</v>
      </c>
      <c r="K191" s="146" t="s">
        <v>2239</v>
      </c>
    </row>
    <row r="192" spans="2:11" ht="18" customHeight="1" x14ac:dyDescent="0.25">
      <c r="B192" s="146" t="s">
        <v>3289</v>
      </c>
      <c r="C192" s="145"/>
      <c r="D192" s="145" t="str">
        <f>CHOOSE(Translations!$C$1+1,I192,J192,K192)</f>
        <v>M&amp;E-4 Pourcentage de rapports de prestation de services d’agents de santé communautaires intégrés dans le SGIS</v>
      </c>
      <c r="E192" s="145"/>
      <c r="F192" s="145"/>
      <c r="G192" s="145" t="s">
        <v>3290</v>
      </c>
      <c r="H192" s="146"/>
      <c r="I192" s="146" t="s">
        <v>3291</v>
      </c>
      <c r="J192" s="146" t="s">
        <v>3292</v>
      </c>
      <c r="K192" s="146" t="s">
        <v>3293</v>
      </c>
    </row>
    <row r="193" spans="2:11" ht="18" customHeight="1" x14ac:dyDescent="0.25">
      <c r="B193" s="146" t="s">
        <v>3294</v>
      </c>
      <c r="C193" s="145"/>
      <c r="D193" s="145" t="str">
        <f>CHOOSE(Translations!$C$1+1,I193,J193,K193)</f>
        <v>M&amp;E-5 Pourcentage d'établissements de santé ayant enregistré et transmis des données à l'aide du système d'information électronique</v>
      </c>
      <c r="E193" s="145"/>
      <c r="F193" s="145"/>
      <c r="G193" s="145" t="s">
        <v>3295</v>
      </c>
      <c r="H193" s="146"/>
      <c r="I193" s="146" t="s">
        <v>3296</v>
      </c>
      <c r="J193" s="146" t="s">
        <v>3297</v>
      </c>
      <c r="K193" s="146" t="s">
        <v>3298</v>
      </c>
    </row>
    <row r="194" spans="2:11" ht="18" customHeight="1" x14ac:dyDescent="0.25">
      <c r="B194" s="146" t="s">
        <v>3299</v>
      </c>
      <c r="C194" s="145"/>
      <c r="D194" s="145" t="str">
        <f>CHOOSE(Translations!$C$1+1,I194,J194,K194)</f>
        <v>M&amp;E-6 Pourcentage de districts ayant rédigé un ou des rapports analytiques périodiques selon le plan national et le format convenus, au cours de la période de rapportage</v>
      </c>
      <c r="E194" s="145"/>
      <c r="F194" s="145"/>
      <c r="G194" s="145" t="s">
        <v>3300</v>
      </c>
      <c r="H194" s="146"/>
      <c r="I194" s="146" t="s">
        <v>3301</v>
      </c>
      <c r="J194" s="146" t="s">
        <v>3302</v>
      </c>
      <c r="K194" s="146" t="s">
        <v>3303</v>
      </c>
    </row>
    <row r="195" spans="2:11" ht="18" customHeight="1" x14ac:dyDescent="0.25">
      <c r="B195" s="146" t="s">
        <v>2809</v>
      </c>
      <c r="C195" s="145"/>
      <c r="D195" s="145" t="str">
        <f>CHOOSE(Translations!$C$1+1,I195,J195,K195)</f>
        <v>HRH-1 Taux de vacance : Nombre de postes à temps complet restés vacants pendant au moins 6 mois, en pourcentage du nombre total de postes financés</v>
      </c>
      <c r="E195" s="145"/>
      <c r="F195" s="145"/>
      <c r="G195" s="145" t="s">
        <v>3304</v>
      </c>
      <c r="H195" s="146"/>
      <c r="I195" s="146" t="s">
        <v>2812</v>
      </c>
      <c r="J195" s="146" t="s">
        <v>2813</v>
      </c>
      <c r="K195" s="146" t="s">
        <v>2814</v>
      </c>
    </row>
    <row r="196" spans="2:11" ht="18" customHeight="1" x14ac:dyDescent="0.25">
      <c r="B196" s="146" t="s">
        <v>2270</v>
      </c>
      <c r="C196" s="145"/>
      <c r="D196" s="145" t="str">
        <f>CHOOSE(Translations!$C$1+1,I196,J196,K196)</f>
        <v>HTS-3e Pourcentage de personnes parmi d'autres populations vulnérables chez lesquels un dépistage du VIH a été réalisé durant la période de communication de l’information et qui connaissent leur résultat</v>
      </c>
      <c r="E196" s="145"/>
      <c r="F196" s="145"/>
      <c r="G196" s="145" t="s">
        <v>3232</v>
      </c>
      <c r="H196" s="146"/>
      <c r="I196" s="146" t="s">
        <v>2273</v>
      </c>
      <c r="J196" s="146" t="s">
        <v>2274</v>
      </c>
      <c r="K196" s="146" t="s">
        <v>2275</v>
      </c>
    </row>
    <row r="197" spans="2:11" ht="18" customHeight="1" x14ac:dyDescent="0.25">
      <c r="B197" s="146" t="s">
        <v>2278</v>
      </c>
      <c r="C197" s="145"/>
      <c r="D197" s="145" t="str">
        <f>CHOOSE(Translations!$C$1+1,I197,J197,K197)</f>
        <v>HTS-3f⁽ᴹ⁾ Pourcentage de personnes en détention ou se trouvant dans d’autres lieux fermés chez lesquels un dépistage du VIH a été réalisé durant la période de communication de l’information et qui connaissent leur résultat</v>
      </c>
      <c r="E197" s="145"/>
      <c r="F197" s="145"/>
      <c r="G197" s="145" t="s">
        <v>3233</v>
      </c>
      <c r="H197" s="146"/>
      <c r="I197" s="146" t="s">
        <v>2281</v>
      </c>
      <c r="J197" s="146" t="s">
        <v>2282</v>
      </c>
      <c r="K197" s="146" t="s">
        <v>2283</v>
      </c>
    </row>
    <row r="198" spans="2:11" ht="18" customHeight="1" x14ac:dyDescent="0.25">
      <c r="B198" s="146" t="s">
        <v>2286</v>
      </c>
      <c r="C198" s="145"/>
      <c r="D198" s="145" t="str">
        <f>CHOOSE(Translations!$C$1+1,I198,J198,K198)</f>
        <v>HTS-4 Pourcentage de résultats de test VIH positifs parmi le total des tests de dépistage du VIH effectués au cours de la période de rapportage</v>
      </c>
      <c r="E198" s="145"/>
      <c r="F198" s="145"/>
      <c r="G198" s="145" t="s">
        <v>3234</v>
      </c>
      <c r="H198" s="146"/>
      <c r="I198" s="146" t="s">
        <v>2289</v>
      </c>
      <c r="J198" s="146" t="s">
        <v>2290</v>
      </c>
      <c r="K198" s="146" t="s">
        <v>2291</v>
      </c>
    </row>
    <row r="199" spans="2:11" ht="18" customHeight="1" x14ac:dyDescent="0.25">
      <c r="B199" s="146" t="s">
        <v>2339</v>
      </c>
      <c r="C199" s="145"/>
      <c r="D199" s="145" t="str">
        <f>CHOOSE(Translations!$C$1+1,I199,J199,K199)</f>
        <v>HTS-5 Pourcentage de personnes récemment diagnostiquées comme séropositives admises dans des services de prise en charge du VIH</v>
      </c>
      <c r="E199" s="145"/>
      <c r="F199" s="145"/>
      <c r="G199" s="145" t="s">
        <v>3238</v>
      </c>
      <c r="H199" s="146"/>
      <c r="I199" s="146" t="s">
        <v>2342</v>
      </c>
      <c r="J199" s="146" t="s">
        <v>2343</v>
      </c>
      <c r="K199" s="146" t="s">
        <v>2344</v>
      </c>
    </row>
    <row r="200" spans="2:11" ht="18" customHeight="1" x14ac:dyDescent="0.25">
      <c r="B200" s="146" t="s">
        <v>2252</v>
      </c>
      <c r="C200" s="145"/>
      <c r="D200" s="145" t="str">
        <f>CHOOSE(Translations!$C$1+1,I200,J200,K200)</f>
        <v>HTS-3d⁽ᴹ⁾ Pourcentage de personnes qui s’injectent des drogues chez lesquels un dépistage du VIH a été réalisé durant la période de rapportage et qui connaissent leur résultat</v>
      </c>
      <c r="E200" s="145"/>
      <c r="F200" s="145"/>
      <c r="G200" s="145" t="s">
        <v>3231</v>
      </c>
      <c r="H200" s="146"/>
      <c r="I200" s="146" t="s">
        <v>2255</v>
      </c>
      <c r="J200" s="146" t="s">
        <v>2256</v>
      </c>
      <c r="K200" s="146" t="s">
        <v>2257</v>
      </c>
    </row>
    <row r="201" spans="2:11" ht="18" customHeight="1" x14ac:dyDescent="0.25">
      <c r="B201" s="146" t="s">
        <v>2415</v>
      </c>
      <c r="C201" s="145"/>
      <c r="D201" s="145" t="str">
        <f>CHOOSE(Translations!$C$1+1,I201,J201,K201)</f>
        <v>TCS-1b⁽ᴹ⁾ Pourcentage d'adultes (15 ans et plus) sous TARV parmi tous les adultes vivant avec le VIH à la fin de la période de rapportage</v>
      </c>
      <c r="E201" s="145"/>
      <c r="F201" s="145"/>
      <c r="G201" s="145" t="s">
        <v>3246</v>
      </c>
      <c r="H201" s="146"/>
      <c r="I201" s="146" t="s">
        <v>2418</v>
      </c>
      <c r="J201" s="146" t="s">
        <v>2419</v>
      </c>
      <c r="K201" s="146" t="s">
        <v>2420</v>
      </c>
    </row>
    <row r="202" spans="2:11" ht="18" customHeight="1" x14ac:dyDescent="0.25">
      <c r="B202" s="146" t="s">
        <v>2451</v>
      </c>
      <c r="C202" s="145"/>
      <c r="D202" s="145" t="str">
        <f>CHOOSE(Translations!$C$1+1,I202,J202,K202)</f>
        <v>TCS-1c⁽ᴹ⁾ Pourcentage d'enfants (de moins de 15 ans) sous TARV parmi tous les enfants vivant avec le VIH à la fin de la période de rapportage</v>
      </c>
      <c r="E202" s="145"/>
      <c r="F202" s="145"/>
      <c r="G202" s="145" t="s">
        <v>3250</v>
      </c>
      <c r="H202" s="146"/>
      <c r="I202" s="146" t="s">
        <v>2454</v>
      </c>
      <c r="J202" s="146" t="s">
        <v>2455</v>
      </c>
      <c r="K202" s="146" t="s">
        <v>2456</v>
      </c>
    </row>
    <row r="203" spans="2:11" ht="18" customHeight="1" x14ac:dyDescent="0.25">
      <c r="B203" s="146" t="s">
        <v>2357</v>
      </c>
      <c r="C203" s="145"/>
      <c r="D203" s="145" t="str">
        <f>CHOOSE(Translations!$C$1+1,I203,J203,K203)</f>
        <v>TCS-1.1⁽ᴹ⁾ Pourcentage de personnes sous TARV parmi toutes les personnes vivant avec le VIH à la fin de la période de rapportage</v>
      </c>
      <c r="E203" s="145"/>
      <c r="F203" s="145"/>
      <c r="G203" s="145" t="s">
        <v>3242</v>
      </c>
      <c r="H203" s="146"/>
      <c r="I203" s="146" t="s">
        <v>2360</v>
      </c>
      <c r="J203" s="146" t="s">
        <v>2361</v>
      </c>
      <c r="K203" s="146" t="s">
        <v>2362</v>
      </c>
    </row>
    <row r="204" spans="2:11" ht="18" customHeight="1" x14ac:dyDescent="0.25">
      <c r="B204" s="146" t="s">
        <v>3306</v>
      </c>
      <c r="C204" s="145"/>
      <c r="D204" s="145" t="str">
        <f>CHOOSE(Translations!$C$1+1,I204,J204,K204)</f>
        <v>HRH-3 Proportion d'agents de santé communautaires qui ont bénéficié d’au moins une supervision formative au cours de la période de rapportage</v>
      </c>
      <c r="E204" s="145"/>
      <c r="F204" s="145"/>
      <c r="G204" s="145" t="s">
        <v>3307</v>
      </c>
      <c r="H204" s="146"/>
      <c r="I204" s="146" t="s">
        <v>3308</v>
      </c>
      <c r="J204" s="146" t="s">
        <v>3309</v>
      </c>
      <c r="K204" s="146" t="s">
        <v>3310</v>
      </c>
    </row>
    <row r="205" spans="2:11" ht="18" customHeight="1" x14ac:dyDescent="0.25">
      <c r="B205" s="146" t="s">
        <v>2823</v>
      </c>
      <c r="C205" s="145"/>
      <c r="D205" s="145" t="str">
        <f>CHOOSE(Translations!$C$1+1,I205,J205,K205)</f>
        <v>HRH-2 Proportion d’étudiants diplômés d’un programme d’éducation et de formation des agents de santé par rapport au nombre d’étudiants inscrits en première année</v>
      </c>
      <c r="E205" s="145"/>
      <c r="F205" s="145"/>
      <c r="G205" s="145" t="s">
        <v>3305</v>
      </c>
      <c r="H205" s="146"/>
      <c r="I205" s="146" t="s">
        <v>2826</v>
      </c>
      <c r="J205" s="146" t="s">
        <v>2827</v>
      </c>
      <c r="K205" s="146" t="s">
        <v>2828</v>
      </c>
    </row>
    <row r="206" spans="2:11" ht="18" customHeight="1" x14ac:dyDescent="0.25">
      <c r="B206" s="146" t="s">
        <v>3311</v>
      </c>
      <c r="C206" s="145"/>
      <c r="D206" s="145" t="str">
        <f>CHOOSE(Translations!$C$1+1,I206,J206,K206)</f>
        <v>SD-3 Nombre de consultations ambulatoires externes du département par personne par an</v>
      </c>
      <c r="E206" s="145"/>
      <c r="F206" s="145"/>
      <c r="G206" s="145" t="s">
        <v>3312</v>
      </c>
      <c r="H206" s="146"/>
      <c r="I206" s="146" t="s">
        <v>3313</v>
      </c>
      <c r="J206" s="146" t="s">
        <v>3314</v>
      </c>
      <c r="K206" s="146" t="s">
        <v>3315</v>
      </c>
    </row>
    <row r="207" spans="2:11" ht="18" customHeight="1" x14ac:dyDescent="0.25">
      <c r="B207" s="146" t="s">
        <v>3316</v>
      </c>
      <c r="C207" s="145"/>
      <c r="D207" s="145" t="str">
        <f>CHOOSE(Translations!$C$1+1,I207,J207,K207)</f>
        <v>SD-4 Pourcentage d’établissements de santé  dotés d’un comité de la santé en fonction (ou similaire) qui comprend des membres communautaires et se réunit au moins tous les trimestres</v>
      </c>
      <c r="E207" s="145"/>
      <c r="F207" s="145"/>
      <c r="G207" s="145" t="s">
        <v>3317</v>
      </c>
      <c r="H207" s="146"/>
      <c r="I207" s="146" t="s">
        <v>3318</v>
      </c>
      <c r="J207" s="146" t="s">
        <v>3319</v>
      </c>
      <c r="K207" s="146" t="s">
        <v>3320</v>
      </c>
    </row>
    <row r="208" spans="2:11" ht="18" customHeight="1" x14ac:dyDescent="0.25">
      <c r="B208" s="146" t="s">
        <v>3321</v>
      </c>
      <c r="C208" s="145"/>
      <c r="D208" s="145" t="str">
        <f>CHOOSE(Translations!$C$1+1,I208,J208,K208)</f>
        <v>SD-5 Pourcentage d’établissements de santé  ayant bénéficié d’une supervision formative (au moins une fois par trimestre)</v>
      </c>
      <c r="E208" s="145"/>
      <c r="F208" s="145"/>
      <c r="G208" s="145" t="s">
        <v>3322</v>
      </c>
      <c r="H208" s="146"/>
      <c r="I208" s="146" t="s">
        <v>3323</v>
      </c>
      <c r="J208" s="146" t="s">
        <v>3324</v>
      </c>
      <c r="K208" s="146" t="s">
        <v>3325</v>
      </c>
    </row>
    <row r="209" spans="1:11" ht="18" customHeight="1" x14ac:dyDescent="0.25">
      <c r="B209" s="146" t="s">
        <v>2837</v>
      </c>
      <c r="C209" s="145"/>
      <c r="D209" s="145" t="str">
        <f>CHOOSE(Translations!$C$1+1,I209,J209,K209)</f>
        <v>SD-6 Nombre de conditions PEC-C traitées parmi les enfants de moins de cinq ans dans zones cibles au cours de la période de rapportage</v>
      </c>
      <c r="E209" s="145"/>
      <c r="F209" s="145"/>
      <c r="G209" s="145" t="s">
        <v>3326</v>
      </c>
      <c r="H209" s="146"/>
      <c r="I209" s="146" t="s">
        <v>2845</v>
      </c>
      <c r="J209" s="146" t="s">
        <v>2846</v>
      </c>
      <c r="K209" s="146" t="s">
        <v>2847</v>
      </c>
    </row>
    <row r="210" spans="1:11" ht="18" customHeight="1" x14ac:dyDescent="0.25">
      <c r="B210" s="146" t="s">
        <v>3327</v>
      </c>
      <c r="C210" s="145"/>
      <c r="D210" s="145" t="str">
        <f>CHOOSE(Translations!$C$1+1,I210,J210,K210)</f>
        <v>FMS-1 Pourcentage de composants du système de gestion financière publique utilisés pour la gestion financière de la subvention</v>
      </c>
      <c r="E210" s="145"/>
      <c r="F210" s="145"/>
      <c r="G210" s="145" t="s">
        <v>3328</v>
      </c>
      <c r="H210" s="146"/>
      <c r="I210" s="146" t="s">
        <v>3329</v>
      </c>
      <c r="J210" s="146" t="s">
        <v>3330</v>
      </c>
      <c r="K210" s="146" t="s">
        <v>3331</v>
      </c>
    </row>
    <row r="211" spans="1:11" ht="18" customHeight="1" x14ac:dyDescent="0.25">
      <c r="B211" s="146" t="s">
        <v>3332</v>
      </c>
      <c r="C211" s="145"/>
      <c r="D211" s="145" t="str">
        <f>CHOOSE(Translations!$C$1+1,I211,J211,K211)</f>
        <v>HSG-1 Pourcentage d’équipes de gestion de la santé dans les districts ou d'autres unités administratives qui ont élaboré un plan de suivi comprenant des objectifs de travail annuels et des mesures de résultats</v>
      </c>
      <c r="E211" s="145"/>
      <c r="F211" s="145"/>
      <c r="G211" s="145" t="s">
        <v>3333</v>
      </c>
      <c r="H211" s="146"/>
      <c r="I211" s="146" t="s">
        <v>3334</v>
      </c>
      <c r="J211" s="146" t="s">
        <v>3335</v>
      </c>
      <c r="K211" s="146" t="s">
        <v>3336</v>
      </c>
    </row>
    <row r="212" spans="1:11" ht="18" customHeight="1" x14ac:dyDescent="0.25">
      <c r="B212" s="146" t="s">
        <v>3342</v>
      </c>
      <c r="C212" s="145"/>
      <c r="D212" s="145" t="str">
        <f>CHOOSE(Translations!$C$1+1,I212,J212,K212)</f>
        <v>CSS-2 Nombre d’organisations basées dans la communauté ayant reçu un paquet prédéfini de formation</v>
      </c>
      <c r="E212" s="145"/>
      <c r="F212" s="145"/>
      <c r="G212" s="145" t="s">
        <v>3343</v>
      </c>
      <c r="H212" s="146"/>
      <c r="I212" s="146" t="s">
        <v>3344</v>
      </c>
      <c r="J212" s="146" t="s">
        <v>3345</v>
      </c>
      <c r="K212" s="146" t="s">
        <v>3346</v>
      </c>
    </row>
    <row r="213" spans="1:11" ht="18" customHeight="1" x14ac:dyDescent="0.25">
      <c r="B213" s="146" t="s">
        <v>3347</v>
      </c>
      <c r="C213" s="145"/>
      <c r="D213" s="145" t="str">
        <f>CHOOSE(Translations!$C$1+1,I213,J213,K213)</f>
        <v>LAB-1 Pourcentage de laboratoires nationaux de référence accrédités selon la norme ISO15189 ou ayant obtenu au moins quatre étoiles en vue de l’homologation</v>
      </c>
      <c r="E213" s="145"/>
      <c r="F213" s="145"/>
      <c r="G213" s="145" t="s">
        <v>3348</v>
      </c>
      <c r="H213" s="146"/>
      <c r="I213" s="146" t="s">
        <v>3349</v>
      </c>
      <c r="J213" s="146" t="s">
        <v>3350</v>
      </c>
      <c r="K213" s="146" t="s">
        <v>3351</v>
      </c>
    </row>
    <row r="214" spans="1:11" ht="18" customHeight="1" x14ac:dyDescent="0.25">
      <c r="B214" s="146" t="s">
        <v>3337</v>
      </c>
      <c r="C214" s="145"/>
      <c r="D214" s="145" t="str">
        <f>CHOOSE(Translations!$C$1+1,I214,J214,K214)</f>
        <v>CSS-1 Pourcentage de rapports de suivi d’organisations basées dans la communauté présentés aux mécanismes de suivi pertinents</v>
      </c>
      <c r="E214" s="145"/>
      <c r="F214" s="145"/>
      <c r="G214" s="145" t="s">
        <v>3338</v>
      </c>
      <c r="H214" s="146"/>
      <c r="I214" s="146" t="s">
        <v>3339</v>
      </c>
      <c r="J214" s="146" t="s">
        <v>3340</v>
      </c>
      <c r="K214" s="146" t="s">
        <v>3341</v>
      </c>
    </row>
    <row r="215" spans="1:11" ht="18" customHeight="1" x14ac:dyDescent="0.25">
      <c r="B215" s="146" t="s">
        <v>2585</v>
      </c>
      <c r="C215" s="145"/>
      <c r="D215" s="145" t="str">
        <f>CHOOSE(Translations!$C$1+1,I215,J215,K215)</f>
        <v>TB/HIV-5 Pourcentage de patients tuberculeux enregistrés (nouveaux cas et récidives) dont le statut sérologique VIH est documenté</v>
      </c>
      <c r="E215" s="145"/>
      <c r="F215" s="145"/>
      <c r="G215" s="145" t="s">
        <v>3255</v>
      </c>
      <c r="H215" s="146"/>
      <c r="I215" s="146" t="s">
        <v>2588</v>
      </c>
      <c r="J215" s="146" t="s">
        <v>2589</v>
      </c>
      <c r="K215" s="146" t="s">
        <v>2590</v>
      </c>
    </row>
    <row r="216" spans="1:11" ht="18" customHeight="1" x14ac:dyDescent="0.25">
      <c r="B216" s="146" t="s">
        <v>2601</v>
      </c>
      <c r="C216" s="145"/>
      <c r="D216" s="145" t="str">
        <f>CHOOSE(Translations!$C$1+1,I216,J216,K216)</f>
        <v>TB/HIV-6⁽ᴹ⁾ Pourcentage de patients tuberculeux (nouveaux cas et récidives) séropositifs au VIH sous traitement antirétroviral pendant leur traitement antituberculeux</v>
      </c>
      <c r="E216" s="145"/>
      <c r="F216" s="145"/>
      <c r="G216" s="145" t="s">
        <v>3256</v>
      </c>
      <c r="H216" s="146"/>
      <c r="I216" s="146" t="s">
        <v>2604</v>
      </c>
      <c r="J216" s="146" t="s">
        <v>2605</v>
      </c>
      <c r="K216" s="146" t="s">
        <v>2606</v>
      </c>
    </row>
    <row r="217" spans="1:11" ht="18" customHeight="1" x14ac:dyDescent="0.25">
      <c r="B217" s="146" t="s">
        <v>2615</v>
      </c>
      <c r="C217" s="145"/>
      <c r="D217" s="145" t="str">
        <f>CHOOSE(Translations!$C$1+1,I217,J217,K217)</f>
        <v>TB/HIV-7 Pourcentage de personnes vivant avec le VIH recevant un traitement antirétroviral qui ont commencé la thérapie préventive de la tuberculose parmi celles éligibles durant la période de rapportage</v>
      </c>
      <c r="E217" s="145"/>
      <c r="F217" s="145"/>
      <c r="G217" s="145" t="s">
        <v>3257</v>
      </c>
      <c r="H217" s="146"/>
      <c r="I217" s="146" t="s">
        <v>2618</v>
      </c>
      <c r="J217" s="146" t="s">
        <v>2619</v>
      </c>
      <c r="K217" s="146" t="s">
        <v>2620</v>
      </c>
    </row>
    <row r="219" spans="1:11" hidden="1" x14ac:dyDescent="0.25"/>
    <row r="220" spans="1:11" hidden="1" x14ac:dyDescent="0.25"/>
    <row r="222" spans="1:11" x14ac:dyDescent="0.25">
      <c r="A222" s="6" t="s">
        <v>211</v>
      </c>
    </row>
    <row r="223" spans="1:11" ht="31.95" customHeight="1" x14ac:dyDescent="0.25">
      <c r="B223" s="145" t="s">
        <v>107</v>
      </c>
      <c r="C223" s="145"/>
      <c r="D223" s="145" t="s">
        <v>453</v>
      </c>
      <c r="E223" s="145"/>
      <c r="F223" s="145"/>
      <c r="G223" s="145" t="s">
        <v>48</v>
      </c>
      <c r="H223" s="145"/>
      <c r="I223" s="145" t="s">
        <v>43</v>
      </c>
      <c r="J223" s="145" t="s">
        <v>451</v>
      </c>
      <c r="K223" s="145" t="s">
        <v>449</v>
      </c>
    </row>
    <row r="224" spans="1:11" ht="12" hidden="1" customHeight="1" x14ac:dyDescent="0.25">
      <c r="B224" s="146" t="s">
        <v>79</v>
      </c>
      <c r="C224" s="145"/>
      <c r="D224" s="145" t="str">
        <f>CHOOSE(Translations!$C$1+1,I224,J224,K224)</f>
        <v>[Name - FR]</v>
      </c>
      <c r="E224" s="145"/>
      <c r="F224" s="145"/>
      <c r="G224" s="145" t="s">
        <v>47</v>
      </c>
      <c r="H224" s="145"/>
      <c r="I224" s="146" t="s">
        <v>66</v>
      </c>
      <c r="J224" s="146" t="s">
        <v>450</v>
      </c>
      <c r="K224" s="146" t="s">
        <v>448</v>
      </c>
    </row>
    <row r="225" spans="2:11" ht="12" customHeight="1" x14ac:dyDescent="0.25">
      <c r="B225" s="146" t="s">
        <v>3372</v>
      </c>
      <c r="C225" s="145"/>
      <c r="D225" s="145" t="str">
        <f>CHOOSE(Translations!$C$1+1,I225,J225,K225)</f>
        <v>Programmation relative aux préservatifs et aux lubrifiants</v>
      </c>
      <c r="E225" s="145"/>
      <c r="F225" s="145"/>
      <c r="G225" s="145" t="s">
        <v>3373</v>
      </c>
      <c r="H225" s="145"/>
      <c r="I225" s="146" t="s">
        <v>3374</v>
      </c>
      <c r="J225" s="146" t="s">
        <v>3375</v>
      </c>
      <c r="K225" s="146" t="s">
        <v>3376</v>
      </c>
    </row>
    <row r="226" spans="2:11" ht="12" customHeight="1" x14ac:dyDescent="0.25">
      <c r="B226" s="146" t="s">
        <v>3422</v>
      </c>
      <c r="C226" s="145"/>
      <c r="D226" s="145" t="str">
        <f>CHOOSE(Translations!$C$1+1,I226,J226,K226)</f>
        <v>Prophylaxie préexposition</v>
      </c>
      <c r="E226" s="145"/>
      <c r="F226" s="145"/>
      <c r="G226" s="145" t="s">
        <v>3423</v>
      </c>
      <c r="H226" s="145"/>
      <c r="I226" s="146" t="s">
        <v>3424</v>
      </c>
      <c r="J226" s="146" t="s">
        <v>3425</v>
      </c>
      <c r="K226" s="146" t="s">
        <v>3426</v>
      </c>
    </row>
    <row r="227" spans="2:11" ht="12" customHeight="1" x14ac:dyDescent="0.25">
      <c r="B227" s="146" t="s">
        <v>3357</v>
      </c>
      <c r="C227" s="145"/>
      <c r="D227" s="145" t="str">
        <f>CHOOSE(Translations!$C$1+1,I227,J227,K227)</f>
        <v>Interventions pour le changement de comportement</v>
      </c>
      <c r="E227" s="145"/>
      <c r="F227" s="145"/>
      <c r="G227" s="145" t="s">
        <v>3358</v>
      </c>
      <c r="H227" s="145"/>
      <c r="I227" s="146" t="s">
        <v>3359</v>
      </c>
      <c r="J227" s="146" t="s">
        <v>3360</v>
      </c>
      <c r="K227" s="146" t="s">
        <v>3361</v>
      </c>
    </row>
    <row r="228" spans="2:11" ht="12" customHeight="1" x14ac:dyDescent="0.25">
      <c r="B228" s="146" t="s">
        <v>3362</v>
      </c>
      <c r="C228" s="145"/>
      <c r="D228" s="145" t="str">
        <f>CHOOSE(Translations!$C$1+1,I228,J228,K228)</f>
        <v>Autonomisation des communautés</v>
      </c>
      <c r="E228" s="145"/>
      <c r="F228" s="145"/>
      <c r="G228" s="145" t="s">
        <v>3363</v>
      </c>
      <c r="H228" s="145"/>
      <c r="I228" s="146" t="s">
        <v>3364</v>
      </c>
      <c r="J228" s="146" t="s">
        <v>3365</v>
      </c>
      <c r="K228" s="146" t="s">
        <v>3366</v>
      </c>
    </row>
    <row r="229" spans="2:11" ht="12" customHeight="1" x14ac:dyDescent="0.25">
      <c r="B229" s="146" t="s">
        <v>3432</v>
      </c>
      <c r="C229" s="145"/>
      <c r="D229" s="145" t="str">
        <f>CHOOSE(Translations!$C$1+1,I229,J229,K229)</f>
        <v>Services de santé sexuelle et reproductive, y compris les IST</v>
      </c>
      <c r="E229" s="145"/>
      <c r="F229" s="145"/>
      <c r="G229" s="145" t="s">
        <v>3433</v>
      </c>
      <c r="H229" s="145"/>
      <c r="I229" s="146" t="s">
        <v>3434</v>
      </c>
      <c r="J229" s="146" t="s">
        <v>3435</v>
      </c>
      <c r="K229" s="146" t="s">
        <v>3436</v>
      </c>
    </row>
    <row r="230" spans="2:11" ht="12" customHeight="1" x14ac:dyDescent="0.25">
      <c r="B230" s="146" t="s">
        <v>3382</v>
      </c>
      <c r="C230" s="145"/>
      <c r="D230" s="145" t="str">
        <f>CHOOSE(Translations!$C$1+1,I230,J230,K230)</f>
        <v>Interventions de réduction des risques liées à la consommation de drogues</v>
      </c>
      <c r="E230" s="145"/>
      <c r="F230" s="145"/>
      <c r="G230" s="145" t="s">
        <v>3383</v>
      </c>
      <c r="H230" s="145"/>
      <c r="I230" s="146" t="s">
        <v>3384</v>
      </c>
      <c r="J230" s="146" t="s">
        <v>3385</v>
      </c>
      <c r="K230" s="146" t="s">
        <v>3386</v>
      </c>
    </row>
    <row r="231" spans="2:11" ht="12" customHeight="1" x14ac:dyDescent="0.25">
      <c r="B231" s="146" t="s">
        <v>3407</v>
      </c>
      <c r="C231" s="145"/>
      <c r="D231" s="145" t="str">
        <f>CHOOSE(Translations!$C$1+1,I231,J231,K231)</f>
        <v>Programmes d’échange d’aiguilles et de seringues</v>
      </c>
      <c r="E231" s="145"/>
      <c r="F231" s="145"/>
      <c r="G231" s="145" t="s">
        <v>3408</v>
      </c>
      <c r="H231" s="145"/>
      <c r="I231" s="146" t="s">
        <v>3409</v>
      </c>
      <c r="J231" s="146" t="s">
        <v>3410</v>
      </c>
      <c r="K231" s="146" t="s">
        <v>3411</v>
      </c>
    </row>
    <row r="232" spans="2:11" ht="12" customHeight="1" x14ac:dyDescent="0.25">
      <c r="B232" s="146" t="s">
        <v>3412</v>
      </c>
      <c r="C232" s="145"/>
      <c r="D232" s="145" t="str">
        <f>CHOOSE(Translations!$C$1+1,I232,J232,K232)</f>
        <v>Traitement de substitution aux opiacés et autres traitements médicalement assistés contre la toxicomanie</v>
      </c>
      <c r="E232" s="145"/>
      <c r="F232" s="145"/>
      <c r="G232" s="145" t="s">
        <v>3413</v>
      </c>
      <c r="H232" s="145"/>
      <c r="I232" s="146" t="s">
        <v>3414</v>
      </c>
      <c r="J232" s="146" t="s">
        <v>3415</v>
      </c>
      <c r="K232" s="146" t="s">
        <v>3416</v>
      </c>
    </row>
    <row r="233" spans="2:11" ht="12" customHeight="1" x14ac:dyDescent="0.25">
      <c r="B233" s="146" t="s">
        <v>3417</v>
      </c>
      <c r="C233" s="145"/>
      <c r="D233" s="145" t="str">
        <f>CHOOSE(Translations!$C$1+1,I233,J233,K233)</f>
        <v>Prévention et prise en charge des overdoses</v>
      </c>
      <c r="E233" s="145"/>
      <c r="F233" s="145"/>
      <c r="G233" s="145" t="s">
        <v>3418</v>
      </c>
      <c r="H233" s="145"/>
      <c r="I233" s="146" t="s">
        <v>3419</v>
      </c>
      <c r="J233" s="146" t="s">
        <v>3420</v>
      </c>
      <c r="K233" s="146" t="s">
        <v>3421</v>
      </c>
    </row>
    <row r="234" spans="2:11" ht="12" customHeight="1" x14ac:dyDescent="0.25">
      <c r="B234" s="146" t="s">
        <v>3352</v>
      </c>
      <c r="C234" s="145"/>
      <c r="D234" s="145" t="str">
        <f>CHOOSE(Translations!$C$1+1,I234,J234,K234)</f>
        <v>Lutte contre la stigmatisation, la discrimination et la violence</v>
      </c>
      <c r="E234" s="145"/>
      <c r="F234" s="145"/>
      <c r="G234" s="145" t="s">
        <v>3353</v>
      </c>
      <c r="H234" s="145"/>
      <c r="I234" s="146" t="s">
        <v>3354</v>
      </c>
      <c r="J234" s="146" t="s">
        <v>3355</v>
      </c>
      <c r="K234" s="146" t="s">
        <v>3356</v>
      </c>
    </row>
    <row r="235" spans="2:11" ht="12" customHeight="1" x14ac:dyDescent="0.25">
      <c r="B235" s="146" t="s">
        <v>3392</v>
      </c>
      <c r="C235" s="145"/>
      <c r="D235" s="145" t="str">
        <f>CHOOSE(Translations!$C$1+1,I235,J235,K235)</f>
        <v>Interventions en faveur des jeunes populations clés</v>
      </c>
      <c r="E235" s="145"/>
      <c r="F235" s="145"/>
      <c r="G235" s="145" t="s">
        <v>3393</v>
      </c>
      <c r="H235" s="145"/>
      <c r="I235" s="146" t="s">
        <v>3394</v>
      </c>
      <c r="J235" s="146" t="s">
        <v>3395</v>
      </c>
      <c r="K235" s="146" t="s">
        <v>3396</v>
      </c>
    </row>
    <row r="236" spans="2:11" ht="12" customHeight="1" x14ac:dyDescent="0.25">
      <c r="B236" s="146" t="s">
        <v>3367</v>
      </c>
      <c r="C236" s="145"/>
      <c r="D236" s="145" t="str">
        <f>CHOOSE(Translations!$C$1+1,I236,J236,K236)</f>
        <v>Éducation complète  à la sexualité</v>
      </c>
      <c r="E236" s="145"/>
      <c r="F236" s="145"/>
      <c r="G236" s="145" t="s">
        <v>3368</v>
      </c>
      <c r="H236" s="145"/>
      <c r="I236" s="146" t="s">
        <v>3369</v>
      </c>
      <c r="J236" s="146" t="s">
        <v>3370</v>
      </c>
      <c r="K236" s="146" t="s">
        <v>3371</v>
      </c>
    </row>
    <row r="237" spans="2:11" ht="12" customHeight="1" x14ac:dyDescent="0.25">
      <c r="B237" s="146" t="s">
        <v>3377</v>
      </c>
      <c r="C237" s="145"/>
      <c r="D237" s="145" t="str">
        <f>CHOOSE(Translations!$C$1+1,I237,J237,K237)</f>
        <v>Prévention de la violence fondée sur le genre et soins apportés aux rescapées des violences</v>
      </c>
      <c r="E237" s="145"/>
      <c r="F237" s="145"/>
      <c r="G237" s="145" t="s">
        <v>3378</v>
      </c>
      <c r="H237" s="145"/>
      <c r="I237" s="146" t="s">
        <v>3379</v>
      </c>
      <c r="J237" s="146" t="s">
        <v>3380</v>
      </c>
      <c r="K237" s="146" t="s">
        <v>3381</v>
      </c>
    </row>
    <row r="238" spans="2:11" ht="12" customHeight="1" x14ac:dyDescent="0.25">
      <c r="B238" s="146" t="s">
        <v>3437</v>
      </c>
      <c r="C238" s="145"/>
      <c r="D238" s="145" t="str">
        <f>CHOOSE(Translations!$C$1+1,I238,J238,K238)</f>
        <v>Mesures de protection sociale</v>
      </c>
      <c r="E238" s="145"/>
      <c r="F238" s="145"/>
      <c r="G238" s="145" t="s">
        <v>3438</v>
      </c>
      <c r="H238" s="145"/>
      <c r="I238" s="146" t="s">
        <v>3439</v>
      </c>
      <c r="J238" s="146" t="s">
        <v>3440</v>
      </c>
      <c r="K238" s="146" t="s">
        <v>3441</v>
      </c>
    </row>
    <row r="239" spans="2:11" ht="12" customHeight="1" x14ac:dyDescent="0.25">
      <c r="B239" s="146" t="s">
        <v>3387</v>
      </c>
      <c r="C239" s="145"/>
      <c r="D239" s="145" t="str">
        <f>CHOOSE(Translations!$C$1+1,I239,J239,K239)</f>
        <v>Intégration des programmes à destination des adolescentes et des jeunes femmes dans les interventions multisectorielles nationales</v>
      </c>
      <c r="E239" s="145"/>
      <c r="F239" s="145"/>
      <c r="G239" s="145" t="s">
        <v>3388</v>
      </c>
      <c r="H239" s="145"/>
      <c r="I239" s="146" t="s">
        <v>3389</v>
      </c>
      <c r="J239" s="146" t="s">
        <v>3390</v>
      </c>
      <c r="K239" s="146" t="s">
        <v>3391</v>
      </c>
    </row>
    <row r="240" spans="2:11" ht="12" customHeight="1" x14ac:dyDescent="0.25">
      <c r="B240" s="146" t="s">
        <v>3442</v>
      </c>
      <c r="C240" s="145"/>
      <c r="D240" s="145" t="str">
        <f>CHOOSE(Translations!$C$1+1,I240,J240,K240)</f>
        <v>Circoncision masculine médicale volontaire</v>
      </c>
      <c r="E240" s="145"/>
      <c r="F240" s="145"/>
      <c r="G240" s="145" t="s">
        <v>3443</v>
      </c>
      <c r="H240" s="145"/>
      <c r="I240" s="146" t="s">
        <v>3444</v>
      </c>
      <c r="J240" s="146" t="s">
        <v>3445</v>
      </c>
      <c r="K240" s="146" t="s">
        <v>3446</v>
      </c>
    </row>
    <row r="241" spans="2:11" ht="12" customHeight="1" x14ac:dyDescent="0.25">
      <c r="B241" s="146" t="s">
        <v>3402</v>
      </c>
      <c r="C241" s="145"/>
      <c r="D241" s="145" t="str">
        <f>CHOOSE(Translations!$C$1+1,I241,J241,K241)</f>
        <v>Programmation et gestion du préservatif au niveau national</v>
      </c>
      <c r="E241" s="145"/>
      <c r="F241" s="145"/>
      <c r="G241" s="145" t="s">
        <v>3403</v>
      </c>
      <c r="H241" s="145"/>
      <c r="I241" s="146" t="s">
        <v>3404</v>
      </c>
      <c r="J241" s="146" t="s">
        <v>3405</v>
      </c>
      <c r="K241" s="146" t="s">
        <v>3406</v>
      </c>
    </row>
    <row r="242" spans="2:11" ht="12" customHeight="1" x14ac:dyDescent="0.25">
      <c r="B242" s="146" t="s">
        <v>3397</v>
      </c>
      <c r="C242" s="145"/>
      <c r="D242" s="145" t="str">
        <f>CHOOSE(Translations!$C$1+1,I242,J242,K242)</f>
        <v>Liens entre les programmes de lutte contre le VIH, et la santé reproductive maternelle, du nouveau-né, de l'enfant et de l'adolescent</v>
      </c>
      <c r="E242" s="145"/>
      <c r="F242" s="145"/>
      <c r="G242" s="145" t="s">
        <v>3398</v>
      </c>
      <c r="H242" s="145"/>
      <c r="I242" s="146" t="s">
        <v>3399</v>
      </c>
      <c r="J242" s="146" t="s">
        <v>3400</v>
      </c>
      <c r="K242" s="146" t="s">
        <v>3401</v>
      </c>
    </row>
    <row r="243" spans="2:11" ht="12" customHeight="1" x14ac:dyDescent="0.25">
      <c r="B243" s="146" t="s">
        <v>3447</v>
      </c>
      <c r="C243" s="145"/>
      <c r="D243" s="145" t="str">
        <f>CHOOSE(Translations!$C$1+1,I243,J243,K243)</f>
        <v>Volet 1 : Prévention primaire de l’infection au VIH chez les femmes en âge de procréer</v>
      </c>
      <c r="E243" s="145"/>
      <c r="F243" s="145"/>
      <c r="G243" s="145" t="s">
        <v>3448</v>
      </c>
      <c r="H243" s="145"/>
      <c r="I243" s="146" t="s">
        <v>3449</v>
      </c>
      <c r="J243" s="146" t="s">
        <v>3450</v>
      </c>
      <c r="K243" s="146" t="s">
        <v>3451</v>
      </c>
    </row>
    <row r="244" spans="2:11" ht="12" customHeight="1" x14ac:dyDescent="0.25">
      <c r="B244" s="146" t="s">
        <v>3452</v>
      </c>
      <c r="C244" s="145"/>
      <c r="D244" s="145" t="str">
        <f>CHOOSE(Translations!$C$1+1,I244,J244,K244)</f>
        <v>Volet 2 : Prévention des grossesses non désirées chez les femmes vivant avec le VIH</v>
      </c>
      <c r="E244" s="145"/>
      <c r="F244" s="145"/>
      <c r="G244" s="145" t="s">
        <v>3453</v>
      </c>
      <c r="H244" s="145"/>
      <c r="I244" s="146" t="s">
        <v>3454</v>
      </c>
      <c r="J244" s="146" t="s">
        <v>3455</v>
      </c>
      <c r="K244" s="146" t="s">
        <v>3456</v>
      </c>
    </row>
    <row r="245" spans="2:11" ht="12" customHeight="1" x14ac:dyDescent="0.25">
      <c r="B245" s="146" t="s">
        <v>3427</v>
      </c>
      <c r="C245" s="145"/>
      <c r="D245" s="145" t="str">
        <f>CHOOSE(Translations!$C$1+1,I245,J245,K245)</f>
        <v>Prévention et prise en charge des co-infections et des co-morbidités (Prévention)</v>
      </c>
      <c r="E245" s="145"/>
      <c r="F245" s="145"/>
      <c r="G245" s="145" t="s">
        <v>3428</v>
      </c>
      <c r="H245" s="145"/>
      <c r="I245" s="146" t="s">
        <v>3429</v>
      </c>
      <c r="J245" s="146" t="s">
        <v>3430</v>
      </c>
      <c r="K245" s="146" t="s">
        <v>3431</v>
      </c>
    </row>
    <row r="246" spans="2:11" ht="12" customHeight="1" x14ac:dyDescent="0.25">
      <c r="B246" s="146" t="s">
        <v>3462</v>
      </c>
      <c r="C246" s="145"/>
      <c r="D246" s="145" t="str">
        <f>CHOOSE(Translations!$C$1+1,I246,J246,K246)</f>
        <v>Volet 4 : Traitement, prise en charge et soutien des mères vivant avec le VIH, de leurs enfants et de leur famille</v>
      </c>
      <c r="E246" s="145"/>
      <c r="F246" s="145"/>
      <c r="G246" s="145" t="s">
        <v>3463</v>
      </c>
      <c r="H246" s="145"/>
      <c r="I246" s="146" t="s">
        <v>3464</v>
      </c>
      <c r="J246" s="146" t="s">
        <v>3465</v>
      </c>
      <c r="K246" s="146" t="s">
        <v>3466</v>
      </c>
    </row>
    <row r="247" spans="2:11" ht="12" customHeight="1" x14ac:dyDescent="0.25">
      <c r="B247" s="146" t="s">
        <v>3472</v>
      </c>
      <c r="C247" s="145"/>
      <c r="D247" s="145" t="str">
        <f>CHOOSE(Translations!$C$1+1,I247,J247,K247)</f>
        <v>Dépistage en centre de santé</v>
      </c>
      <c r="E247" s="145"/>
      <c r="F247" s="145"/>
      <c r="G247" s="145" t="s">
        <v>3473</v>
      </c>
      <c r="H247" s="145"/>
      <c r="I247" s="146" t="s">
        <v>3474</v>
      </c>
      <c r="J247" s="146" t="s">
        <v>3475</v>
      </c>
      <c r="K247" s="146" t="s">
        <v>3476</v>
      </c>
    </row>
    <row r="248" spans="2:11" ht="12" customHeight="1" x14ac:dyDescent="0.25">
      <c r="B248" s="146" t="s">
        <v>3467</v>
      </c>
      <c r="C248" s="145"/>
      <c r="D248" s="145" t="str">
        <f>CHOOSE(Translations!$C$1+1,I248,J248,K248)</f>
        <v>Dépistage communautaire</v>
      </c>
      <c r="E248" s="145"/>
      <c r="F248" s="145"/>
      <c r="G248" s="145" t="s">
        <v>3468</v>
      </c>
      <c r="H248" s="145"/>
      <c r="I248" s="146" t="s">
        <v>3469</v>
      </c>
      <c r="J248" s="146" t="s">
        <v>3470</v>
      </c>
      <c r="K248" s="146" t="s">
        <v>3471</v>
      </c>
    </row>
    <row r="249" spans="2:11" ht="12" customHeight="1" x14ac:dyDescent="0.25">
      <c r="B249" s="146" t="s">
        <v>3477</v>
      </c>
      <c r="C249" s="145"/>
      <c r="D249" s="145" t="str">
        <f>CHOOSE(Translations!$C$1+1,I249,J249,K249)</f>
        <v>Autodépistage</v>
      </c>
      <c r="E249" s="145"/>
      <c r="F249" s="145"/>
      <c r="G249" s="145" t="s">
        <v>3478</v>
      </c>
      <c r="H249" s="145"/>
      <c r="I249" s="146" t="s">
        <v>3479</v>
      </c>
      <c r="J249" s="146" t="s">
        <v>3480</v>
      </c>
      <c r="K249" s="146" t="s">
        <v>3481</v>
      </c>
    </row>
    <row r="250" spans="2:11" ht="12" customHeight="1" x14ac:dyDescent="0.25">
      <c r="B250" s="146" t="s">
        <v>3487</v>
      </c>
      <c r="C250" s="145"/>
      <c r="D250" s="145" t="str">
        <f>CHOOSE(Translations!$C$1+1,I250,J250,K250)</f>
        <v>Services différenciés de traitements antirétroviraux et prise en charge du VIH</v>
      </c>
      <c r="E250" s="145"/>
      <c r="F250" s="145"/>
      <c r="G250" s="145" t="s">
        <v>3488</v>
      </c>
      <c r="H250" s="145"/>
      <c r="I250" s="146" t="s">
        <v>3489</v>
      </c>
      <c r="J250" s="146" t="s">
        <v>3490</v>
      </c>
      <c r="K250" s="146" t="s">
        <v>3491</v>
      </c>
    </row>
    <row r="251" spans="2:11" ht="12" customHeight="1" x14ac:dyDescent="0.25">
      <c r="B251" s="146" t="s">
        <v>3507</v>
      </c>
      <c r="C251" s="145"/>
      <c r="D251" s="145" t="str">
        <f>CHOOSE(Translations!$C$1+1,I251,J251,K251)</f>
        <v>Suivi du traitement – Pharmacorésistance</v>
      </c>
      <c r="E251" s="145"/>
      <c r="F251" s="145"/>
      <c r="G251" s="145" t="s">
        <v>3508</v>
      </c>
      <c r="H251" s="145"/>
      <c r="I251" s="146" t="s">
        <v>3509</v>
      </c>
      <c r="J251" s="146" t="s">
        <v>3510</v>
      </c>
      <c r="K251" s="146" t="s">
        <v>3511</v>
      </c>
    </row>
    <row r="252" spans="2:11" ht="12" customHeight="1" x14ac:dyDescent="0.25">
      <c r="B252" s="146" t="s">
        <v>3502</v>
      </c>
      <c r="C252" s="145"/>
      <c r="D252" s="145" t="str">
        <f>CHOOSE(Translations!$C$1+1,I252,J252,K252)</f>
        <v>Suivi du traitement – Toxicité des antirétroviraux</v>
      </c>
      <c r="E252" s="145"/>
      <c r="F252" s="145"/>
      <c r="G252" s="145" t="s">
        <v>3503</v>
      </c>
      <c r="H252" s="145"/>
      <c r="I252" s="146" t="s">
        <v>3504</v>
      </c>
      <c r="J252" s="146" t="s">
        <v>3505</v>
      </c>
      <c r="K252" s="146" t="s">
        <v>3506</v>
      </c>
    </row>
    <row r="253" spans="2:11" ht="12" customHeight="1" x14ac:dyDescent="0.25">
      <c r="B253" s="146" t="s">
        <v>3457</v>
      </c>
      <c r="C253" s="145"/>
      <c r="D253" s="145" t="str">
        <f>CHOOSE(Translations!$C$1+1,I253,J253,K253)</f>
        <v>Volet 3 : Prévention de la transmission verticale du VIH</v>
      </c>
      <c r="E253" s="145"/>
      <c r="F253" s="145"/>
      <c r="G253" s="145" t="s">
        <v>3458</v>
      </c>
      <c r="H253" s="145"/>
      <c r="I253" s="146" t="s">
        <v>3459</v>
      </c>
      <c r="J253" s="146" t="s">
        <v>3460</v>
      </c>
      <c r="K253" s="146" t="s">
        <v>3461</v>
      </c>
    </row>
    <row r="254" spans="2:11" ht="12" customHeight="1" x14ac:dyDescent="0.25">
      <c r="B254" s="146" t="s">
        <v>3512</v>
      </c>
      <c r="C254" s="145"/>
      <c r="D254" s="145" t="str">
        <f>CHOOSE(Translations!$C$1+1,I254,J254,K254)</f>
        <v>Suivi du traitement – Charge virale</v>
      </c>
      <c r="E254" s="145"/>
      <c r="F254" s="145"/>
      <c r="G254" s="145" t="s">
        <v>3513</v>
      </c>
      <c r="H254" s="145"/>
      <c r="I254" s="146" t="s">
        <v>3514</v>
      </c>
      <c r="J254" s="146" t="s">
        <v>3515</v>
      </c>
      <c r="K254" s="146" t="s">
        <v>3516</v>
      </c>
    </row>
    <row r="255" spans="2:11" ht="12" customHeight="1" x14ac:dyDescent="0.25">
      <c r="B255" s="146" t="s">
        <v>3497</v>
      </c>
      <c r="C255" s="145"/>
      <c r="D255" s="145" t="str">
        <f>CHOOSE(Translations!$C$1+1,I255,J255,K255)</f>
        <v>Prévention et prise en charge des co-infections et des co-morbidités (Traitement, prise en charge et soutien)</v>
      </c>
      <c r="E255" s="145"/>
      <c r="F255" s="145"/>
      <c r="G255" s="145" t="s">
        <v>3498</v>
      </c>
      <c r="H255" s="145"/>
      <c r="I255" s="146" t="s">
        <v>3499</v>
      </c>
      <c r="J255" s="146" t="s">
        <v>3500</v>
      </c>
      <c r="K255" s="146" t="s">
        <v>3501</v>
      </c>
    </row>
    <row r="256" spans="2:11" ht="12" customHeight="1" x14ac:dyDescent="0.25">
      <c r="B256" s="146" t="s">
        <v>3482</v>
      </c>
      <c r="C256" s="145"/>
      <c r="D256" s="145" t="str">
        <f>CHOOSE(Translations!$C$1+1,I256,J256,K256)</f>
        <v>Conseil et soutien psychosocial</v>
      </c>
      <c r="E256" s="145"/>
      <c r="F256" s="145"/>
      <c r="G256" s="145" t="s">
        <v>3483</v>
      </c>
      <c r="H256" s="145"/>
      <c r="I256" s="146" t="s">
        <v>3484</v>
      </c>
      <c r="J256" s="146" t="s">
        <v>3485</v>
      </c>
      <c r="K256" s="146" t="s">
        <v>3486</v>
      </c>
    </row>
    <row r="257" spans="2:11" ht="12" customHeight="1" x14ac:dyDescent="0.25">
      <c r="B257" s="146" t="s">
        <v>3492</v>
      </c>
      <c r="C257" s="145"/>
      <c r="D257" s="145" t="str">
        <f>CHOOSE(Translations!$C$1+1,I257,J257,K257)</f>
        <v>Paquet de services à destination des orphelins et des enfants vulnérables</v>
      </c>
      <c r="E257" s="145"/>
      <c r="F257" s="145"/>
      <c r="G257" s="145" t="s">
        <v>3493</v>
      </c>
      <c r="H257" s="145"/>
      <c r="I257" s="146" t="s">
        <v>3494</v>
      </c>
      <c r="J257" s="146" t="s">
        <v>3495</v>
      </c>
      <c r="K257" s="146" t="s">
        <v>3496</v>
      </c>
    </row>
    <row r="258" spans="2:11" ht="12" customHeight="1" x14ac:dyDescent="0.25">
      <c r="B258" s="146" t="s">
        <v>3552</v>
      </c>
      <c r="C258" s="145"/>
      <c r="D258" s="145" t="str">
        <f>CHOOSE(Translations!$C$1+1,I258,J258,K258)</f>
        <v>Réduction du rejet social et de la discrimination (VIH/Tuberculose)</v>
      </c>
      <c r="E258" s="145"/>
      <c r="F258" s="145"/>
      <c r="G258" s="145" t="s">
        <v>3553</v>
      </c>
      <c r="H258" s="145"/>
      <c r="I258" s="146" t="s">
        <v>3554</v>
      </c>
      <c r="J258" s="146" t="s">
        <v>3555</v>
      </c>
      <c r="K258" s="146" t="s">
        <v>3556</v>
      </c>
    </row>
    <row r="259" spans="2:11" ht="12" customHeight="1" x14ac:dyDescent="0.25">
      <c r="B259" s="146" t="s">
        <v>3537</v>
      </c>
      <c r="C259" s="145"/>
      <c r="D259" s="145" t="str">
        <f>CHOOSE(Translations!$C$1+1,I259,J259,K259)</f>
        <v>Éducation juridique (« Connaissez vos droits »)</v>
      </c>
      <c r="E259" s="145"/>
      <c r="F259" s="145"/>
      <c r="G259" s="145" t="s">
        <v>3538</v>
      </c>
      <c r="H259" s="145"/>
      <c r="I259" s="146" t="s">
        <v>3539</v>
      </c>
      <c r="J259" s="146" t="s">
        <v>3540</v>
      </c>
      <c r="K259" s="146" t="s">
        <v>3541</v>
      </c>
    </row>
    <row r="260" spans="2:11" ht="12" customHeight="1" x14ac:dyDescent="0.25">
      <c r="B260" s="146" t="s">
        <v>3527</v>
      </c>
      <c r="C260" s="145"/>
      <c r="D260" s="145" t="str">
        <f>CHOOSE(Translations!$C$1+1,I260,J260,K260)</f>
        <v>Droits humains et éthique médicale liée au VIH et à la co-infection VIH/tuberculose pour les prestataires de soins de santé</v>
      </c>
      <c r="E260" s="145"/>
      <c r="F260" s="145"/>
      <c r="G260" s="145" t="s">
        <v>3528</v>
      </c>
      <c r="H260" s="145"/>
      <c r="I260" s="146" t="s">
        <v>3529</v>
      </c>
      <c r="J260" s="146" t="s">
        <v>3530</v>
      </c>
      <c r="K260" s="146" t="s">
        <v>3531</v>
      </c>
    </row>
    <row r="261" spans="2:11" ht="12" customHeight="1" x14ac:dyDescent="0.25">
      <c r="B261" s="146" t="s">
        <v>3522</v>
      </c>
      <c r="C261" s="145"/>
      <c r="D261" s="145" t="str">
        <f>CHOOSE(Translations!$C$1+1,I261,J261,K261)</f>
        <v>Services juridiques liés au VIH et à la co-infection VIH/tuberculose</v>
      </c>
      <c r="E261" s="145"/>
      <c r="F261" s="145"/>
      <c r="G261" s="145" t="s">
        <v>3523</v>
      </c>
      <c r="H261" s="145"/>
      <c r="I261" s="146" t="s">
        <v>3524</v>
      </c>
      <c r="J261" s="146" t="s">
        <v>3525</v>
      </c>
      <c r="K261" s="146" t="s">
        <v>3526</v>
      </c>
    </row>
    <row r="262" spans="2:11" ht="12" customHeight="1" x14ac:dyDescent="0.25">
      <c r="B262" s="146" t="s">
        <v>3547</v>
      </c>
      <c r="C262" s="145"/>
      <c r="D262" s="145" t="str">
        <f>CHOOSE(Translations!$C$1+1,I262,J262,K262)</f>
        <v>Sensibilisation des législateurs et des agents des forces de l’ordre</v>
      </c>
      <c r="E262" s="145"/>
      <c r="F262" s="145"/>
      <c r="G262" s="145" t="s">
        <v>3548</v>
      </c>
      <c r="H262" s="145"/>
      <c r="I262" s="146" t="s">
        <v>3549</v>
      </c>
      <c r="J262" s="146" t="s">
        <v>3550</v>
      </c>
      <c r="K262" s="146" t="s">
        <v>3551</v>
      </c>
    </row>
    <row r="263" spans="2:11" ht="12" customHeight="1" x14ac:dyDescent="0.25">
      <c r="B263" s="146" t="s">
        <v>3532</v>
      </c>
      <c r="C263" s="145"/>
      <c r="D263" s="145" t="str">
        <f>CHOOSE(Translations!$C$1+1,I263,J263,K263)</f>
        <v>Amélioration des lois, des règlements et des politiques liés au VIH et à la co-infection VIH/tuberculose</v>
      </c>
      <c r="E263" s="145"/>
      <c r="F263" s="145"/>
      <c r="G263" s="145" t="s">
        <v>3533</v>
      </c>
      <c r="H263" s="145"/>
      <c r="I263" s="146" t="s">
        <v>3534</v>
      </c>
      <c r="J263" s="146" t="s">
        <v>3535</v>
      </c>
      <c r="K263" s="146" t="s">
        <v>3536</v>
      </c>
    </row>
    <row r="264" spans="2:11" ht="12" customHeight="1" x14ac:dyDescent="0.25">
      <c r="B264" s="146" t="s">
        <v>3517</v>
      </c>
      <c r="C264" s="145"/>
      <c r="D264" s="145" t="str">
        <f>CHOOSE(Translations!$C$1+1,I264,J264,K264)</f>
        <v>Mobilisation et sensibilisation des communautés (VIH/Tuberculose)</v>
      </c>
      <c r="E264" s="145"/>
      <c r="F264" s="145"/>
      <c r="G264" s="145" t="s">
        <v>3518</v>
      </c>
      <c r="H264" s="145"/>
      <c r="I264" s="146" t="s">
        <v>3519</v>
      </c>
      <c r="J264" s="146" t="s">
        <v>3520</v>
      </c>
      <c r="K264" s="146" t="s">
        <v>3521</v>
      </c>
    </row>
    <row r="265" spans="2:11" ht="12" customHeight="1" x14ac:dyDescent="0.25">
      <c r="B265" s="146" t="s">
        <v>3542</v>
      </c>
      <c r="C265" s="145"/>
      <c r="D265" s="145" t="str">
        <f>CHOOSE(Translations!$C$1+1,I265,J265,K265)</f>
        <v>Réduction de la discrimination fondée sur le genre, des normes de genre nocives et de la violence contre les femmes et les filles dans toute leur diversité, en lien avec le VIH</v>
      </c>
      <c r="E265" s="145"/>
      <c r="F265" s="145"/>
      <c r="G265" s="145" t="s">
        <v>3543</v>
      </c>
      <c r="H265" s="145"/>
      <c r="I265" s="146" t="s">
        <v>3544</v>
      </c>
      <c r="J265" s="146" t="s">
        <v>3545</v>
      </c>
      <c r="K265" s="146" t="s">
        <v>3546</v>
      </c>
    </row>
    <row r="266" spans="2:11" ht="12" customHeight="1" x14ac:dyDescent="0.25">
      <c r="B266" s="146" t="s">
        <v>3607</v>
      </c>
      <c r="C266" s="145"/>
      <c r="D266" s="145" t="str">
        <f>CHOOSE(Translations!$C$1+1,I266,J266,K266)</f>
        <v>Activités conjointes de lutte contre la tuberculose et le VIH</v>
      </c>
      <c r="E266" s="145"/>
      <c r="F266" s="145"/>
      <c r="G266" s="145" t="s">
        <v>3608</v>
      </c>
      <c r="H266" s="145"/>
      <c r="I266" s="146" t="s">
        <v>3609</v>
      </c>
      <c r="J266" s="146" t="s">
        <v>3610</v>
      </c>
      <c r="K266" s="146" t="s">
        <v>3611</v>
      </c>
    </row>
    <row r="267" spans="2:11" ht="12" customHeight="1" x14ac:dyDescent="0.25">
      <c r="B267" s="146" t="s">
        <v>3602</v>
      </c>
      <c r="C267" s="145"/>
      <c r="D267" s="145" t="str">
        <f>CHOOSE(Translations!$C$1+1,I267,J267,K267)</f>
        <v>Dépistage, test et diagnostic</v>
      </c>
      <c r="E267" s="145"/>
      <c r="F267" s="145"/>
      <c r="G267" s="145" t="s">
        <v>3603</v>
      </c>
      <c r="H267" s="145"/>
      <c r="I267" s="146" t="s">
        <v>3604</v>
      </c>
      <c r="J267" s="146" t="s">
        <v>3605</v>
      </c>
      <c r="K267" s="146" t="s">
        <v>3606</v>
      </c>
    </row>
    <row r="268" spans="2:11" ht="12" customHeight="1" x14ac:dyDescent="0.25">
      <c r="B268" s="146" t="s">
        <v>3612</v>
      </c>
      <c r="C268" s="145"/>
      <c r="D268" s="145" t="str">
        <f>CHOOSE(Translations!$C$1+1,I268,J268,K268)</f>
        <v>Traitement (Tuberculose/VIH)</v>
      </c>
      <c r="E268" s="145"/>
      <c r="F268" s="145"/>
      <c r="G268" s="145" t="s">
        <v>3613</v>
      </c>
      <c r="H268" s="145"/>
      <c r="I268" s="146" t="s">
        <v>3614</v>
      </c>
      <c r="J268" s="146" t="s">
        <v>3615</v>
      </c>
      <c r="K268" s="146" t="s">
        <v>3616</v>
      </c>
    </row>
    <row r="269" spans="2:11" ht="12" customHeight="1" x14ac:dyDescent="0.25">
      <c r="B269" s="146" t="s">
        <v>3597</v>
      </c>
      <c r="C269" s="145"/>
      <c r="D269" s="145" t="str">
        <f>CHOOSE(Translations!$C$1+1,I269,J269,K269)</f>
        <v>Prévention (Tuberculose/VIH)</v>
      </c>
      <c r="E269" s="145"/>
      <c r="F269" s="145"/>
      <c r="G269" s="145" t="s">
        <v>3598</v>
      </c>
      <c r="H269" s="145"/>
      <c r="I269" s="146" t="s">
        <v>3599</v>
      </c>
      <c r="J269" s="146" t="s">
        <v>3600</v>
      </c>
      <c r="K269" s="146" t="s">
        <v>3601</v>
      </c>
    </row>
    <row r="270" spans="2:11" ht="12" customHeight="1" x14ac:dyDescent="0.25">
      <c r="B270" s="146" t="s">
        <v>3567</v>
      </c>
      <c r="C270" s="145"/>
      <c r="D270" s="145" t="str">
        <f>CHOOSE(Translations!$C$1+1,I270,J270,K270)</f>
        <v>Implication de tous les prestataires de soins (Tuberculose/VIH)</v>
      </c>
      <c r="E270" s="145"/>
      <c r="F270" s="145"/>
      <c r="G270" s="145" t="s">
        <v>3568</v>
      </c>
      <c r="H270" s="145"/>
      <c r="I270" s="146" t="s">
        <v>3569</v>
      </c>
      <c r="J270" s="146" t="s">
        <v>3570</v>
      </c>
      <c r="K270" s="146" t="s">
        <v>3571</v>
      </c>
    </row>
    <row r="271" spans="2:11" ht="12" customHeight="1" x14ac:dyDescent="0.25">
      <c r="B271" s="146" t="s">
        <v>3562</v>
      </c>
      <c r="C271" s="145"/>
      <c r="D271" s="145" t="str">
        <f>CHOOSE(Translations!$C$1+1,I271,J271,K271)</f>
        <v>Prise en charge communautaire de la coïnfection TB/VIH</v>
      </c>
      <c r="E271" s="145"/>
      <c r="F271" s="145"/>
      <c r="G271" s="145" t="s">
        <v>3563</v>
      </c>
      <c r="H271" s="145"/>
      <c r="I271" s="146" t="s">
        <v>3564</v>
      </c>
      <c r="J271" s="146" t="s">
        <v>3565</v>
      </c>
      <c r="K271" s="146" t="s">
        <v>3566</v>
      </c>
    </row>
    <row r="272" spans="2:11" ht="12" customHeight="1" x14ac:dyDescent="0.25">
      <c r="B272" s="146" t="s">
        <v>3572</v>
      </c>
      <c r="C272" s="145"/>
      <c r="D272" s="145" t="str">
        <f>CHOOSE(Translations!$C$1+1,I272,J272,K272)</f>
        <v>Populations clés (Tuberculose/VIH) - Enfants</v>
      </c>
      <c r="E272" s="145"/>
      <c r="F272" s="145"/>
      <c r="G272" s="145" t="s">
        <v>3573</v>
      </c>
      <c r="H272" s="145"/>
      <c r="I272" s="146" t="s">
        <v>3574</v>
      </c>
      <c r="J272" s="146" t="s">
        <v>3575</v>
      </c>
      <c r="K272" s="146" t="s">
        <v>3576</v>
      </c>
    </row>
    <row r="273" spans="2:11" ht="12" customHeight="1" x14ac:dyDescent="0.25">
      <c r="B273" s="146" t="s">
        <v>3592</v>
      </c>
      <c r="C273" s="145"/>
      <c r="D273" s="145" t="str">
        <f>CHOOSE(Translations!$C$1+1,I273,J273,K273)</f>
        <v>Populations clés (Tuberculose/VIH) - Détenus</v>
      </c>
      <c r="E273" s="145"/>
      <c r="F273" s="145"/>
      <c r="G273" s="145" t="s">
        <v>3593</v>
      </c>
      <c r="H273" s="145"/>
      <c r="I273" s="146" t="s">
        <v>3594</v>
      </c>
      <c r="J273" s="146" t="s">
        <v>3595</v>
      </c>
      <c r="K273" s="146" t="s">
        <v>3596</v>
      </c>
    </row>
    <row r="274" spans="2:11" ht="12" customHeight="1" x14ac:dyDescent="0.25">
      <c r="B274" s="146" t="s">
        <v>3582</v>
      </c>
      <c r="C274" s="145"/>
      <c r="D274" s="145" t="str">
        <f>CHOOSE(Translations!$C$1+1,I274,J274,K274)</f>
        <v>Populations clés (Tuberculose/VIH) - Populations mobiles : réfugiés, migrants et personnes déplacées à l’intérieur de leur pays</v>
      </c>
      <c r="E274" s="145"/>
      <c r="F274" s="145"/>
      <c r="G274" s="145" t="s">
        <v>3583</v>
      </c>
      <c r="H274" s="145"/>
      <c r="I274" s="146" t="s">
        <v>3584</v>
      </c>
      <c r="J274" s="146" t="s">
        <v>3585</v>
      </c>
      <c r="K274" s="146" t="s">
        <v>3586</v>
      </c>
    </row>
    <row r="275" spans="2:11" ht="12" customHeight="1" x14ac:dyDescent="0.25">
      <c r="B275" s="146" t="s">
        <v>3577</v>
      </c>
      <c r="C275" s="145"/>
      <c r="D275" s="145" t="str">
        <f>CHOOSE(Translations!$C$1+1,I275,J275,K275)</f>
        <v>Populations clés (Tuberculose/VIH) - Mineurs et communautés minières</v>
      </c>
      <c r="E275" s="145"/>
      <c r="F275" s="145"/>
      <c r="G275" s="145" t="s">
        <v>3578</v>
      </c>
      <c r="H275" s="145"/>
      <c r="I275" s="146" t="s">
        <v>3579</v>
      </c>
      <c r="J275" s="146" t="s">
        <v>3580</v>
      </c>
      <c r="K275" s="146" t="s">
        <v>3581</v>
      </c>
    </row>
    <row r="276" spans="2:11" ht="12" customHeight="1" x14ac:dyDescent="0.25">
      <c r="B276" s="146" t="s">
        <v>3587</v>
      </c>
      <c r="C276" s="145"/>
      <c r="D276" s="145" t="str">
        <f>CHOOSE(Translations!$C$1+1,I276,J276,K276)</f>
        <v>Populations clés (Tuberculose/VIH) - Autres</v>
      </c>
      <c r="E276" s="145"/>
      <c r="F276" s="145"/>
      <c r="G276" s="145" t="s">
        <v>3588</v>
      </c>
      <c r="H276" s="145"/>
      <c r="I276" s="146" t="s">
        <v>3589</v>
      </c>
      <c r="J276" s="146" t="s">
        <v>3590</v>
      </c>
      <c r="K276" s="146" t="s">
        <v>3591</v>
      </c>
    </row>
    <row r="277" spans="2:11" ht="12" customHeight="1" x14ac:dyDescent="0.25">
      <c r="B277" s="146" t="s">
        <v>3557</v>
      </c>
      <c r="C277" s="145"/>
      <c r="D277" s="145" t="str">
        <f>CHOOSE(Translations!$C$1+1,I277,J277,K277)</f>
        <v>Activités conjointes avec d’autres programmes et secteurs (Tuberculose/VIH)</v>
      </c>
      <c r="E277" s="145"/>
      <c r="F277" s="145"/>
      <c r="G277" s="145" t="s">
        <v>3558</v>
      </c>
      <c r="H277" s="145"/>
      <c r="I277" s="146" t="s">
        <v>3559</v>
      </c>
      <c r="J277" s="146" t="s">
        <v>3560</v>
      </c>
      <c r="K277" s="146" t="s">
        <v>3561</v>
      </c>
    </row>
    <row r="278" spans="2:11" ht="12" customHeight="1" x14ac:dyDescent="0.25">
      <c r="B278" s="146" t="s">
        <v>3617</v>
      </c>
      <c r="C278" s="145"/>
      <c r="D278" s="145" t="str">
        <f>CHOOSE(Translations!$C$1+1,I278,J278,K278)</f>
        <v>Coordination et gestion des programmes nationaux de lutte contre les maladies</v>
      </c>
      <c r="E278" s="145"/>
      <c r="F278" s="145"/>
      <c r="G278" s="145" t="s">
        <v>3618</v>
      </c>
      <c r="H278" s="145"/>
      <c r="I278" s="146" t="s">
        <v>3619</v>
      </c>
      <c r="J278" s="146" t="s">
        <v>3620</v>
      </c>
      <c r="K278" s="146" t="s">
        <v>3621</v>
      </c>
    </row>
    <row r="279" spans="2:11" ht="12" customHeight="1" x14ac:dyDescent="0.25">
      <c r="B279" s="146" t="s">
        <v>3622</v>
      </c>
      <c r="C279" s="145"/>
      <c r="D279" s="145" t="str">
        <f>CHOOSE(Translations!$C$1+1,I279,J279,K279)</f>
        <v>Gestion des subventions</v>
      </c>
      <c r="E279" s="145"/>
      <c r="F279" s="145"/>
      <c r="G279" s="145" t="s">
        <v>3623</v>
      </c>
      <c r="H279" s="145"/>
      <c r="I279" s="146" t="s">
        <v>3624</v>
      </c>
      <c r="J279" s="146" t="s">
        <v>3625</v>
      </c>
      <c r="K279" s="146" t="s">
        <v>3626</v>
      </c>
    </row>
    <row r="280" spans="2:11" ht="12" customHeight="1" x14ac:dyDescent="0.25">
      <c r="B280" s="146" t="s">
        <v>3632</v>
      </c>
      <c r="C280" s="145"/>
      <c r="D280" s="145" t="str">
        <f>CHOOSE(Translations!$C$1+1,I280,J280,K280)</f>
        <v>Politique, stratégie, gouvernance</v>
      </c>
      <c r="E280" s="145"/>
      <c r="F280" s="145"/>
      <c r="G280" s="145" t="s">
        <v>3633</v>
      </c>
      <c r="H280" s="145"/>
      <c r="I280" s="146" t="s">
        <v>3634</v>
      </c>
      <c r="J280" s="146" t="s">
        <v>3635</v>
      </c>
      <c r="K280" s="146" t="s">
        <v>3636</v>
      </c>
    </row>
    <row r="281" spans="2:11" ht="12" customHeight="1" x14ac:dyDescent="0.25">
      <c r="B281" s="146" t="s">
        <v>3647</v>
      </c>
      <c r="C281" s="145"/>
      <c r="D281" s="145" t="str">
        <f>CHOOSE(Translations!$C$1+1,I281,J281,K281)</f>
        <v>Capacité de stockage et de distribution</v>
      </c>
      <c r="E281" s="145"/>
      <c r="F281" s="145"/>
      <c r="G281" s="145" t="s">
        <v>3648</v>
      </c>
      <c r="H281" s="145"/>
      <c r="I281" s="146" t="s">
        <v>3649</v>
      </c>
      <c r="J281" s="146" t="s">
        <v>3650</v>
      </c>
      <c r="K281" s="146" t="s">
        <v>3651</v>
      </c>
    </row>
    <row r="282" spans="2:11" ht="12" customHeight="1" x14ac:dyDescent="0.25">
      <c r="B282" s="146" t="s">
        <v>3637</v>
      </c>
      <c r="C282" s="145"/>
      <c r="D282" s="145" t="str">
        <f>CHOOSE(Translations!$C$1+1,I282,J282,K282)</f>
        <v>Capacité en matière d’approvisionnement</v>
      </c>
      <c r="E282" s="145"/>
      <c r="F282" s="145"/>
      <c r="G282" s="145" t="s">
        <v>3638</v>
      </c>
      <c r="H282" s="145"/>
      <c r="I282" s="146" t="s">
        <v>3639</v>
      </c>
      <c r="J282" s="146" t="s">
        <v>3640</v>
      </c>
      <c r="K282" s="146" t="s">
        <v>3641</v>
      </c>
    </row>
    <row r="283" spans="2:11" ht="12" customHeight="1" x14ac:dyDescent="0.25">
      <c r="B283" s="146" t="s">
        <v>3642</v>
      </c>
      <c r="C283" s="145"/>
      <c r="D283" s="145" t="str">
        <f>CHOOSE(Translations!$C$1+1,I283,J283,K283)</f>
        <v>Soutien en matière d’assurance qualité/réglementation</v>
      </c>
      <c r="E283" s="145"/>
      <c r="F283" s="145"/>
      <c r="G283" s="145" t="s">
        <v>3643</v>
      </c>
      <c r="H283" s="145"/>
      <c r="I283" s="146" t="s">
        <v>3644</v>
      </c>
      <c r="J283" s="146" t="s">
        <v>3645</v>
      </c>
      <c r="K283" s="146" t="s">
        <v>3646</v>
      </c>
    </row>
    <row r="284" spans="2:11" ht="12" customHeight="1" x14ac:dyDescent="0.25">
      <c r="B284" s="146" t="s">
        <v>3627</v>
      </c>
      <c r="C284" s="145"/>
      <c r="D284" s="145" t="str">
        <f>CHOOSE(Translations!$C$1+1,I284,J284,K284)</f>
        <v>Prévention, réduction et gestion des déchets médicaux</v>
      </c>
      <c r="E284" s="145"/>
      <c r="F284" s="145"/>
      <c r="G284" s="145" t="s">
        <v>3628</v>
      </c>
      <c r="H284" s="145"/>
      <c r="I284" s="146" t="s">
        <v>3629</v>
      </c>
      <c r="J284" s="146" t="s">
        <v>3630</v>
      </c>
      <c r="K284" s="146" t="s">
        <v>3631</v>
      </c>
    </row>
    <row r="285" spans="2:11" ht="12" customHeight="1" x14ac:dyDescent="0.25">
      <c r="B285" s="146" t="s">
        <v>3672</v>
      </c>
      <c r="C285" s="145"/>
      <c r="D285" s="145" t="str">
        <f>CHOOSE(Translations!$C$1+1,I285,J285,K285)</f>
        <v>Rapportage des données de routine</v>
      </c>
      <c r="E285" s="145"/>
      <c r="F285" s="145"/>
      <c r="G285" s="145" t="s">
        <v>3673</v>
      </c>
      <c r="H285" s="145"/>
      <c r="I285" s="146" t="s">
        <v>3674</v>
      </c>
      <c r="J285" s="146" t="s">
        <v>3675</v>
      </c>
      <c r="K285" s="146" t="s">
        <v>3676</v>
      </c>
    </row>
    <row r="286" spans="2:11" ht="12" customHeight="1" x14ac:dyDescent="0.25">
      <c r="B286" s="146" t="s">
        <v>3667</v>
      </c>
      <c r="C286" s="145"/>
      <c r="D286" s="145" t="str">
        <f>CHOOSE(Translations!$C$1+1,I286,J286,K286)</f>
        <v>Qualité des données et programmes</v>
      </c>
      <c r="E286" s="145"/>
      <c r="F286" s="145"/>
      <c r="G286" s="145" t="s">
        <v>3668</v>
      </c>
      <c r="H286" s="145"/>
      <c r="I286" s="146" t="s">
        <v>3669</v>
      </c>
      <c r="J286" s="146" t="s">
        <v>3670</v>
      </c>
      <c r="K286" s="146" t="s">
        <v>3671</v>
      </c>
    </row>
    <row r="287" spans="2:11" ht="12" customHeight="1" x14ac:dyDescent="0.25">
      <c r="B287" s="146" t="s">
        <v>3657</v>
      </c>
      <c r="C287" s="145"/>
      <c r="D287" s="145" t="str">
        <f>CHOOSE(Translations!$C$1+1,I287,J287,K287)</f>
        <v>Analyse, évaluations, revue et transparence</v>
      </c>
      <c r="E287" s="145"/>
      <c r="F287" s="145"/>
      <c r="G287" s="145" t="s">
        <v>3658</v>
      </c>
      <c r="H287" s="145"/>
      <c r="I287" s="146" t="s">
        <v>3659</v>
      </c>
      <c r="J287" s="146" t="s">
        <v>3660</v>
      </c>
      <c r="K287" s="146" t="s">
        <v>3661</v>
      </c>
    </row>
    <row r="288" spans="2:11" ht="12" customHeight="1" x14ac:dyDescent="0.25">
      <c r="B288" s="146" t="s">
        <v>3677</v>
      </c>
      <c r="C288" s="145"/>
      <c r="D288" s="145" t="str">
        <f>CHOOSE(Translations!$C$1+1,I288,J288,K288)</f>
        <v>Enquêtes</v>
      </c>
      <c r="E288" s="145"/>
      <c r="F288" s="145"/>
      <c r="G288" s="145" t="s">
        <v>3678</v>
      </c>
      <c r="H288" s="145"/>
      <c r="I288" s="146" t="s">
        <v>3679</v>
      </c>
      <c r="J288" s="146" t="s">
        <v>3680</v>
      </c>
      <c r="K288" s="146" t="s">
        <v>3681</v>
      </c>
    </row>
    <row r="289" spans="2:11" ht="12" customHeight="1" x14ac:dyDescent="0.25">
      <c r="B289" s="146" t="s">
        <v>3652</v>
      </c>
      <c r="C289" s="145"/>
      <c r="D289" s="145" t="str">
        <f>CHOOSE(Translations!$C$1+1,I289,J289,K289)</f>
        <v>Sources de données administratives et financières</v>
      </c>
      <c r="E289" s="145"/>
      <c r="F289" s="145"/>
      <c r="G289" s="145" t="s">
        <v>3653</v>
      </c>
      <c r="H289" s="145"/>
      <c r="I289" s="146" t="s">
        <v>3654</v>
      </c>
      <c r="J289" s="146" t="s">
        <v>3655</v>
      </c>
      <c r="K289" s="146" t="s">
        <v>3656</v>
      </c>
    </row>
    <row r="290" spans="2:11" ht="12" customHeight="1" x14ac:dyDescent="0.25">
      <c r="B290" s="146" t="s">
        <v>3662</v>
      </c>
      <c r="C290" s="145"/>
      <c r="D290" s="145" t="str">
        <f>CHOOSE(Translations!$C$1+1,I290,J290,K290)</f>
        <v>Registre et statistiques de l'état civil</v>
      </c>
      <c r="E290" s="145"/>
      <c r="F290" s="145"/>
      <c r="G290" s="145" t="s">
        <v>3663</v>
      </c>
      <c r="H290" s="145"/>
      <c r="I290" s="146" t="s">
        <v>3664</v>
      </c>
      <c r="J290" s="146" t="s">
        <v>3665</v>
      </c>
      <c r="K290" s="146" t="s">
        <v>3666</v>
      </c>
    </row>
    <row r="291" spans="2:11" ht="12" customHeight="1" x14ac:dyDescent="0.25">
      <c r="B291" s="146" t="s">
        <v>3697</v>
      </c>
      <c r="C291" s="145"/>
      <c r="D291" s="145" t="str">
        <f>CHOOSE(Translations!$C$1+1,I291,J291,K291)</f>
        <v>Éducation et production de nouveaux travailleurs de santé (à l’exception des agents de santé communautaires)</v>
      </c>
      <c r="E291" s="145"/>
      <c r="F291" s="145"/>
      <c r="G291" s="145" t="s">
        <v>3698</v>
      </c>
      <c r="H291" s="145"/>
      <c r="I291" s="146" t="s">
        <v>3699</v>
      </c>
      <c r="J291" s="146" t="s">
        <v>3700</v>
      </c>
      <c r="K291" s="146" t="s">
        <v>3701</v>
      </c>
    </row>
    <row r="292" spans="2:11" ht="12" customHeight="1" x14ac:dyDescent="0.25">
      <c r="B292" s="146" t="s">
        <v>3712</v>
      </c>
      <c r="C292" s="145"/>
      <c r="D292" s="145" t="str">
        <f>CHOOSE(Translations!$C$1+1,I292,J292,K292)</f>
        <v>Rémunération et déploiement de personnel existant/nouveau personnel (à l’exception des agents de santé communautaires)</v>
      </c>
      <c r="E292" s="145"/>
      <c r="F292" s="145"/>
      <c r="G292" s="145" t="s">
        <v>3713</v>
      </c>
      <c r="H292" s="145"/>
      <c r="I292" s="146" t="s">
        <v>3714</v>
      </c>
      <c r="J292" s="146" t="s">
        <v>3715</v>
      </c>
      <c r="K292" s="146" t="s">
        <v>3716</v>
      </c>
    </row>
    <row r="293" spans="2:11" ht="12" customHeight="1" x14ac:dyDescent="0.25">
      <c r="B293" s="146" t="s">
        <v>3707</v>
      </c>
      <c r="C293" s="145"/>
      <c r="D293" s="145" t="str">
        <f>CHOOSE(Translations!$C$1+1,I293,J293,K293)</f>
        <v>Formation continue (à l’exception des agents de santé communautaires)</v>
      </c>
      <c r="E293" s="145"/>
      <c r="F293" s="145"/>
      <c r="G293" s="145" t="s">
        <v>3708</v>
      </c>
      <c r="H293" s="145"/>
      <c r="I293" s="146" t="s">
        <v>3709</v>
      </c>
      <c r="J293" s="146" t="s">
        <v>3710</v>
      </c>
      <c r="K293" s="146" t="s">
        <v>3711</v>
      </c>
    </row>
    <row r="294" spans="2:11" ht="12" customHeight="1" x14ac:dyDescent="0.25">
      <c r="B294" s="146" t="s">
        <v>3702</v>
      </c>
      <c r="C294" s="145"/>
      <c r="D294" s="145" t="str">
        <f>CHOOSE(Translations!$C$1+1,I294,J294,K294)</f>
        <v>Politiques et gouvernance relatives aux ressources humaines pour la santé (RHS)</v>
      </c>
      <c r="E294" s="145"/>
      <c r="F294" s="145"/>
      <c r="G294" s="145" t="s">
        <v>3703</v>
      </c>
      <c r="H294" s="145"/>
      <c r="I294" s="146" t="s">
        <v>3704</v>
      </c>
      <c r="J294" s="146" t="s">
        <v>3705</v>
      </c>
      <c r="K294" s="146" t="s">
        <v>3706</v>
      </c>
    </row>
    <row r="295" spans="2:11" ht="12" customHeight="1" x14ac:dyDescent="0.25">
      <c r="B295" s="146" t="s">
        <v>3682</v>
      </c>
      <c r="C295" s="145"/>
      <c r="D295" s="145" t="str">
        <f>CHOOSE(Translations!$C$1+1,I295,J295,K295)</f>
        <v>Agents de santé communautaires : Éducation et production</v>
      </c>
      <c r="E295" s="145"/>
      <c r="F295" s="145"/>
      <c r="G295" s="145" t="s">
        <v>3683</v>
      </c>
      <c r="H295" s="145"/>
      <c r="I295" s="146" t="s">
        <v>3684</v>
      </c>
      <c r="J295" s="146" t="s">
        <v>3685</v>
      </c>
      <c r="K295" s="146" t="s">
        <v>3686</v>
      </c>
    </row>
    <row r="296" spans="2:11" ht="12" customHeight="1" x14ac:dyDescent="0.25">
      <c r="B296" s="146" t="s">
        <v>3692</v>
      </c>
      <c r="C296" s="145"/>
      <c r="D296" s="145" t="str">
        <f>CHOOSE(Translations!$C$1+1,I296,J296,K296)</f>
        <v>Agents de santé communautaires : Rémunération et déploiement</v>
      </c>
      <c r="E296" s="145"/>
      <c r="F296" s="145"/>
      <c r="G296" s="145" t="s">
        <v>3693</v>
      </c>
      <c r="H296" s="145"/>
      <c r="I296" s="146" t="s">
        <v>3694</v>
      </c>
      <c r="J296" s="146" t="s">
        <v>3695</v>
      </c>
      <c r="K296" s="146" t="s">
        <v>3696</v>
      </c>
    </row>
    <row r="297" spans="2:11" ht="12" customHeight="1" x14ac:dyDescent="0.25">
      <c r="B297" s="146" t="s">
        <v>3687</v>
      </c>
      <c r="C297" s="145"/>
      <c r="D297" s="145" t="str">
        <f>CHOOSE(Translations!$C$1+1,I297,J297,K297)</f>
        <v>Agents de santé communautaires : Formation continue</v>
      </c>
      <c r="E297" s="145"/>
      <c r="F297" s="145"/>
      <c r="G297" s="145" t="s">
        <v>3688</v>
      </c>
      <c r="H297" s="145"/>
      <c r="I297" s="146" t="s">
        <v>3689</v>
      </c>
      <c r="J297" s="146" t="s">
        <v>3690</v>
      </c>
      <c r="K297" s="146" t="s">
        <v>3691</v>
      </c>
    </row>
    <row r="298" spans="2:11" ht="12" customHeight="1" x14ac:dyDescent="0.25">
      <c r="B298" s="146" t="s">
        <v>3717</v>
      </c>
      <c r="C298" s="145"/>
      <c r="D298" s="145" t="str">
        <f>CHOOSE(Translations!$C$1+1,I298,J298,K298)</f>
        <v>Qualité des soins</v>
      </c>
      <c r="E298" s="145"/>
      <c r="F298" s="145"/>
      <c r="G298" s="145" t="s">
        <v>3718</v>
      </c>
      <c r="H298" s="145"/>
      <c r="I298" s="146" t="s">
        <v>3719</v>
      </c>
      <c r="J298" s="146" t="s">
        <v>3720</v>
      </c>
      <c r="K298" s="146" t="s">
        <v>3721</v>
      </c>
    </row>
    <row r="299" spans="2:11" ht="12" customHeight="1" x14ac:dyDescent="0.25">
      <c r="B299" s="146" t="s">
        <v>3727</v>
      </c>
      <c r="C299" s="145"/>
      <c r="D299" s="145" t="str">
        <f>CHOOSE(Translations!$C$1+1,I299,J299,K299)</f>
        <v>Organisation des services et gestion des établissements de santré</v>
      </c>
      <c r="E299" s="145"/>
      <c r="F299" s="145"/>
      <c r="G299" s="145" t="s">
        <v>3728</v>
      </c>
      <c r="H299" s="145"/>
      <c r="I299" s="146" t="s">
        <v>3729</v>
      </c>
      <c r="J299" s="146" t="s">
        <v>3730</v>
      </c>
      <c r="K299" s="146" t="s">
        <v>3731</v>
      </c>
    </row>
    <row r="300" spans="2:11" ht="12" customHeight="1" x14ac:dyDescent="0.25">
      <c r="B300" s="146" t="s">
        <v>3722</v>
      </c>
      <c r="C300" s="145"/>
      <c r="D300" s="145" t="str">
        <f>CHOOSE(Translations!$C$1+1,I300,J300,K300)</f>
        <v>Infrastructures de prestation de services</v>
      </c>
      <c r="E300" s="145"/>
      <c r="F300" s="145"/>
      <c r="G300" s="145" t="s">
        <v>3723</v>
      </c>
      <c r="H300" s="145"/>
      <c r="I300" s="146" t="s">
        <v>3724</v>
      </c>
      <c r="J300" s="146" t="s">
        <v>3725</v>
      </c>
      <c r="K300" s="146" t="s">
        <v>3726</v>
      </c>
    </row>
    <row r="301" spans="2:11" ht="12" customHeight="1" x14ac:dyDescent="0.25">
      <c r="B301" s="146" t="s">
        <v>3732</v>
      </c>
      <c r="C301" s="145"/>
      <c r="D301" s="145" t="str">
        <f>CHOOSE(Translations!$C$1+1,I301,J301,K301)</f>
        <v>Systèmes de gestion financière publique (nationaux ou harmonisés par les donateurs)</v>
      </c>
      <c r="E301" s="145"/>
      <c r="F301" s="145"/>
      <c r="G301" s="145" t="s">
        <v>3733</v>
      </c>
      <c r="H301" s="145"/>
      <c r="I301" s="146" t="s">
        <v>3734</v>
      </c>
      <c r="J301" s="146" t="s">
        <v>3735</v>
      </c>
      <c r="K301" s="146" t="s">
        <v>3736</v>
      </c>
    </row>
    <row r="302" spans="2:11" ht="12" customHeight="1" x14ac:dyDescent="0.25">
      <c r="B302" s="146" t="s">
        <v>3737</v>
      </c>
      <c r="C302" s="145"/>
      <c r="D302" s="145" t="str">
        <f>CHOOSE(Translations!$C$1+1,I302,J302,K302)</f>
        <v>Gestion financière courante des subventions</v>
      </c>
      <c r="E302" s="145"/>
      <c r="F302" s="145"/>
      <c r="G302" s="145" t="s">
        <v>3738</v>
      </c>
      <c r="H302" s="145"/>
      <c r="I302" s="146" t="s">
        <v>3739</v>
      </c>
      <c r="J302" s="146" t="s">
        <v>3740</v>
      </c>
      <c r="K302" s="146" t="s">
        <v>3741</v>
      </c>
    </row>
    <row r="303" spans="2:11" ht="12" customHeight="1" x14ac:dyDescent="0.25">
      <c r="B303" s="146" t="s">
        <v>3742</v>
      </c>
      <c r="C303" s="145"/>
      <c r="D303" s="145" t="str">
        <f>CHOOSE(Translations!$C$1+1,I303,J303,K303)</f>
        <v>Financement et stratégies du secteur national de la santé</v>
      </c>
      <c r="E303" s="145"/>
      <c r="F303" s="145"/>
      <c r="G303" s="145" t="s">
        <v>3743</v>
      </c>
      <c r="H303" s="145"/>
      <c r="I303" s="146" t="s">
        <v>3744</v>
      </c>
      <c r="J303" s="146" t="s">
        <v>3745</v>
      </c>
      <c r="K303" s="146" t="s">
        <v>3746</v>
      </c>
    </row>
    <row r="304" spans="2:11" ht="12" customHeight="1" x14ac:dyDescent="0.25">
      <c r="B304" s="146" t="s">
        <v>3747</v>
      </c>
      <c r="C304" s="145"/>
      <c r="D304" s="145" t="str">
        <f>CHOOSE(Translations!$C$1+1,I304,J304,K304)</f>
        <v>Politique et planification des programmes nationaux de lutte contre la maladie</v>
      </c>
      <c r="E304" s="145"/>
      <c r="F304" s="145"/>
      <c r="G304" s="145" t="s">
        <v>3748</v>
      </c>
      <c r="H304" s="145"/>
      <c r="I304" s="146" t="s">
        <v>3749</v>
      </c>
      <c r="J304" s="146" t="s">
        <v>3750</v>
      </c>
      <c r="K304" s="146" t="s">
        <v>3751</v>
      </c>
    </row>
    <row r="305" spans="2:11" ht="12" customHeight="1" x14ac:dyDescent="0.25">
      <c r="B305" s="146" t="s">
        <v>3752</v>
      </c>
      <c r="C305" s="145"/>
      <c r="D305" s="145" t="str">
        <f>CHOOSE(Translations!$C$1+1,I305,J305,K305)</f>
        <v>Suivi réalisé par la communauté</v>
      </c>
      <c r="E305" s="145"/>
      <c r="F305" s="145"/>
      <c r="G305" s="145" t="s">
        <v>3753</v>
      </c>
      <c r="H305" s="145"/>
      <c r="I305" s="146" t="s">
        <v>3754</v>
      </c>
      <c r="J305" s="146" t="s">
        <v>3755</v>
      </c>
      <c r="K305" s="146" t="s">
        <v>3756</v>
      </c>
    </row>
    <row r="306" spans="2:11" ht="12" customHeight="1" x14ac:dyDescent="0.25">
      <c r="B306" s="146" t="s">
        <v>3757</v>
      </c>
      <c r="C306" s="145"/>
      <c r="D306" s="145" t="str">
        <f>CHOOSE(Translations!$C$1+1,I306,J306,K306)</f>
        <v>Plaidoyer mené par la communauté et recherche</v>
      </c>
      <c r="E306" s="145"/>
      <c r="F306" s="145"/>
      <c r="G306" s="145" t="s">
        <v>3758</v>
      </c>
      <c r="H306" s="145"/>
      <c r="I306" s="146" t="s">
        <v>3759</v>
      </c>
      <c r="J306" s="146" t="s">
        <v>3760</v>
      </c>
      <c r="K306" s="146" t="s">
        <v>3761</v>
      </c>
    </row>
    <row r="307" spans="2:11" ht="12" customHeight="1" x14ac:dyDescent="0.25">
      <c r="B307" s="146" t="s">
        <v>3767</v>
      </c>
      <c r="C307" s="145"/>
      <c r="D307" s="145" t="str">
        <f>CHOOSE(Translations!$C$1+1,I307,J307,K307)</f>
        <v>Mobilisation sociale, établissement de liens avec la communauté et coordination</v>
      </c>
      <c r="E307" s="145"/>
      <c r="F307" s="145"/>
      <c r="G307" s="145" t="s">
        <v>3768</v>
      </c>
      <c r="H307" s="145"/>
      <c r="I307" s="146" t="s">
        <v>3769</v>
      </c>
      <c r="J307" s="146" t="s">
        <v>3770</v>
      </c>
      <c r="K307" s="146" t="s">
        <v>3771</v>
      </c>
    </row>
    <row r="308" spans="2:11" ht="12" customHeight="1" x14ac:dyDescent="0.25">
      <c r="B308" s="146" t="s">
        <v>3762</v>
      </c>
      <c r="C308" s="145"/>
      <c r="D308" s="145" t="str">
        <f>CHOOSE(Translations!$C$1+1,I308,J308,K308)</f>
        <v>Renforcement de la capacité institutionnelle, planification de développement du leadership</v>
      </c>
      <c r="E308" s="145"/>
      <c r="F308" s="145"/>
      <c r="G308" s="145" t="s">
        <v>3763</v>
      </c>
      <c r="H308" s="145"/>
      <c r="I308" s="146" t="s">
        <v>3764</v>
      </c>
      <c r="J308" s="146" t="s">
        <v>3765</v>
      </c>
      <c r="K308" s="146" t="s">
        <v>3766</v>
      </c>
    </row>
    <row r="309" spans="2:11" ht="12" customHeight="1" x14ac:dyDescent="0.25">
      <c r="B309" s="146" t="s">
        <v>3787</v>
      </c>
      <c r="C309" s="145"/>
      <c r="D309" s="145" t="str">
        <f>CHOOSE(Translations!$C$1+1,I309,J309,K309)</f>
        <v>Structures de gestion et de gouvernance du laboratoire national</v>
      </c>
      <c r="E309" s="145"/>
      <c r="F309" s="145"/>
      <c r="G309" s="145" t="s">
        <v>3788</v>
      </c>
      <c r="H309" s="145"/>
      <c r="I309" s="146" t="s">
        <v>3789</v>
      </c>
      <c r="J309" s="146" t="s">
        <v>3790</v>
      </c>
      <c r="K309" s="146" t="s">
        <v>3791</v>
      </c>
    </row>
    <row r="310" spans="2:11" ht="12" customHeight="1" x14ac:dyDescent="0.25">
      <c r="B310" s="146" t="s">
        <v>3777</v>
      </c>
      <c r="C310" s="145"/>
      <c r="D310" s="145" t="str">
        <f>CHOOSE(Translations!$C$1+1,I310,J310,K310)</f>
        <v>Infrastructure et systèmes de gestion de l’équipement</v>
      </c>
      <c r="E310" s="145"/>
      <c r="F310" s="145"/>
      <c r="G310" s="145" t="s">
        <v>3778</v>
      </c>
      <c r="H310" s="145"/>
      <c r="I310" s="146" t="s">
        <v>3779</v>
      </c>
      <c r="J310" s="146" t="s">
        <v>3780</v>
      </c>
      <c r="K310" s="146" t="s">
        <v>3781</v>
      </c>
    </row>
    <row r="311" spans="2:11" ht="12" customHeight="1" x14ac:dyDescent="0.25">
      <c r="B311" s="146" t="s">
        <v>3792</v>
      </c>
      <c r="C311" s="145"/>
      <c r="D311" s="145" t="str">
        <f>CHOOSE(Translations!$C$1+1,I311,J311,K311)</f>
        <v>Systèmes de gestion de la qualité et homologation</v>
      </c>
      <c r="E311" s="145"/>
      <c r="F311" s="145"/>
      <c r="G311" s="145" t="s">
        <v>3793</v>
      </c>
      <c r="H311" s="145"/>
      <c r="I311" s="146" t="s">
        <v>3794</v>
      </c>
      <c r="J311" s="146" t="s">
        <v>3795</v>
      </c>
      <c r="K311" s="146" t="s">
        <v>3796</v>
      </c>
    </row>
    <row r="312" spans="2:11" ht="12" customHeight="1" x14ac:dyDescent="0.25">
      <c r="B312" s="146" t="s">
        <v>3772</v>
      </c>
      <c r="C312" s="145"/>
      <c r="D312" s="145" t="str">
        <f>CHOOSE(Translations!$C$1+1,I312,J312,K312)</f>
        <v>Systèmes d’information et réseaux intégrés de transports d’échantillons</v>
      </c>
      <c r="E312" s="145"/>
      <c r="F312" s="145"/>
      <c r="G312" s="145" t="s">
        <v>3773</v>
      </c>
      <c r="H312" s="145"/>
      <c r="I312" s="146" t="s">
        <v>3774</v>
      </c>
      <c r="J312" s="146" t="s">
        <v>3775</v>
      </c>
      <c r="K312" s="146" t="s">
        <v>3776</v>
      </c>
    </row>
    <row r="313" spans="2:11" ht="12" customHeight="1" x14ac:dyDescent="0.25">
      <c r="B313" s="146" t="s">
        <v>3782</v>
      </c>
      <c r="C313" s="145"/>
      <c r="D313" s="145" t="str">
        <f>CHOOSE(Translations!$C$1+1,I313,J313,K313)</f>
        <v>Systèmes de chaînes d’approvisionnement des laboratoires</v>
      </c>
      <c r="E313" s="145"/>
      <c r="F313" s="145"/>
      <c r="G313" s="145" t="s">
        <v>3783</v>
      </c>
      <c r="H313" s="145"/>
      <c r="I313" s="146" t="s">
        <v>3784</v>
      </c>
      <c r="J313" s="146" t="s">
        <v>3785</v>
      </c>
      <c r="K313" s="146" t="s">
        <v>3786</v>
      </c>
    </row>
    <row r="314" spans="2:11" ht="12" customHeight="1" x14ac:dyDescent="0.25">
      <c r="B314" s="146" t="s">
        <v>3797</v>
      </c>
      <c r="C314" s="145"/>
      <c r="D314" s="145" t="str">
        <f>CHOOSE(Translations!$C$1+1,I314,J314,K314)</f>
        <v>Financement basé sur les résultats</v>
      </c>
      <c r="E314" s="145"/>
      <c r="F314" s="145"/>
      <c r="G314" s="145" t="s">
        <v>3798</v>
      </c>
      <c r="H314" s="145"/>
      <c r="I314" s="146" t="s">
        <v>3029</v>
      </c>
      <c r="J314" s="146" t="s">
        <v>3034</v>
      </c>
      <c r="K314" s="146" t="s">
        <v>3035</v>
      </c>
    </row>
  </sheetData>
  <dataValidations count="3">
    <dataValidation type="custom" allowBlank="1" showInputMessage="1" showErrorMessage="1" errorTitle="X-Author for Excel" error="Id and Lookup fields are not editable." promptTitle="X-Author for Excel" sqref="G159:G217 G6:G16 G22:G82 F87:G153 G224:G314" xr:uid="{00000000-0002-0000-1100-000000000000}">
      <formula1>""</formula1>
    </dataValidation>
    <dataValidation type="list" allowBlank="1" showInputMessage="1" showErrorMessage="1" errorTitle="X-Author for Excel" error="Please select a value from the drop-down." promptTitle="X-Author for Excel" sqref="H6:H16 H22:H82" xr:uid="{8669D702-46BD-443C-B141-BF90AC4FAE29}">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59:H217" xr:uid="{AB291EC3-7822-4306-B266-F56AA7581218}">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dimension ref="A1:S384"/>
  <sheetViews>
    <sheetView zoomScale="85" zoomScaleNormal="85" workbookViewId="0">
      <selection activeCell="I3" sqref="I3"/>
    </sheetView>
  </sheetViews>
  <sheetFormatPr defaultColWidth="8.59765625" defaultRowHeight="13.2" x14ac:dyDescent="0.25"/>
  <cols>
    <col min="1" max="1" width="18.59765625" style="1" customWidth="1"/>
    <col min="2" max="2" width="43.09765625" style="1" customWidth="1"/>
    <col min="3" max="3" width="8.59765625" style="1"/>
    <col min="4" max="4" width="40.09765625" style="1" customWidth="1"/>
    <col min="5" max="5" width="14.09765625" style="1" customWidth="1"/>
    <col min="6" max="6" width="19" style="1" customWidth="1"/>
    <col min="7" max="7" width="8.59765625" style="1"/>
    <col min="8" max="8" width="37.69921875" style="1" customWidth="1"/>
    <col min="9" max="9" width="22" style="1" customWidth="1"/>
    <col min="10" max="10" width="15" style="1" customWidth="1"/>
    <col min="11" max="11" width="13.5" style="1" customWidth="1"/>
    <col min="12" max="12" width="8.59765625" style="1"/>
    <col min="13" max="13" width="27" style="1" customWidth="1"/>
    <col min="14" max="14" width="26.69921875" style="1" customWidth="1"/>
    <col min="15" max="16384" width="8.59765625" style="1"/>
  </cols>
  <sheetData>
    <row r="1" spans="1:19" x14ac:dyDescent="0.25">
      <c r="A1" s="2" t="s">
        <v>73</v>
      </c>
    </row>
    <row r="2" spans="1:19" x14ac:dyDescent="0.25">
      <c r="A2" s="145" t="s">
        <v>75</v>
      </c>
      <c r="B2" s="145" t="s">
        <v>453</v>
      </c>
      <c r="C2" s="145">
        <v>0</v>
      </c>
      <c r="D2" s="145" t="s">
        <v>83</v>
      </c>
      <c r="E2" s="145" t="s">
        <v>469</v>
      </c>
      <c r="F2" s="145" t="s">
        <v>470</v>
      </c>
      <c r="G2" s="145" t="s">
        <v>48</v>
      </c>
      <c r="H2" s="145" t="s">
        <v>371</v>
      </c>
      <c r="I2" s="145" t="s">
        <v>34</v>
      </c>
      <c r="J2" s="145" t="s">
        <v>462</v>
      </c>
      <c r="K2" s="145" t="s">
        <v>464</v>
      </c>
      <c r="L2" s="145"/>
      <c r="M2" s="145" t="s">
        <v>27</v>
      </c>
      <c r="N2" s="145" t="s">
        <v>466</v>
      </c>
      <c r="O2" s="145" t="s">
        <v>468</v>
      </c>
      <c r="P2" s="145"/>
      <c r="Q2" s="145" t="s">
        <v>43</v>
      </c>
      <c r="R2" s="145" t="s">
        <v>451</v>
      </c>
      <c r="S2" s="145" t="s">
        <v>449</v>
      </c>
    </row>
    <row r="3" spans="1:19" hidden="1" x14ac:dyDescent="0.25">
      <c r="A3" s="145" t="s">
        <v>74</v>
      </c>
      <c r="B3" s="145" t="str">
        <f>CHOOSE(Translations!$C$1+1,Q3,R3,S3)</f>
        <v>[Name - FR]</v>
      </c>
      <c r="C3" s="145">
        <f>IF(Q3=Q2,C2+1,0)</f>
        <v>0</v>
      </c>
      <c r="D3" s="145" t="str">
        <f>B3&amp;"-"&amp;C3</f>
        <v>[Name - FR]-0</v>
      </c>
      <c r="E3" s="145" t="str">
        <f>CHOOSE(Translations!$C$1+1,I3,J3,K3)</f>
        <v>[Category - FR]</v>
      </c>
      <c r="F3" s="145" t="str">
        <f>CHOOSE(Translations!$C$1+1,M3,N3,O3)</f>
        <v>[Disaggregation - FR]</v>
      </c>
      <c r="G3" s="145" t="s">
        <v>47</v>
      </c>
      <c r="H3" s="146" t="s">
        <v>370</v>
      </c>
      <c r="I3" s="146" t="s">
        <v>77</v>
      </c>
      <c r="J3" s="146" t="s">
        <v>461</v>
      </c>
      <c r="K3" s="146" t="s">
        <v>463</v>
      </c>
      <c r="L3" s="145"/>
      <c r="M3" s="146" t="s">
        <v>76</v>
      </c>
      <c r="N3" s="146" t="s">
        <v>465</v>
      </c>
      <c r="O3" s="146" t="s">
        <v>467</v>
      </c>
      <c r="P3" s="145"/>
      <c r="Q3" s="146" t="s">
        <v>66</v>
      </c>
      <c r="R3" s="146" t="s">
        <v>450</v>
      </c>
      <c r="S3" s="146" t="s">
        <v>448</v>
      </c>
    </row>
    <row r="4" spans="1:19" s="9" customFormat="1" x14ac:dyDescent="0.25">
      <c r="A4" s="145" t="s">
        <v>1521</v>
      </c>
      <c r="B4" s="145" t="str">
        <f>CHOOSE(Translations!$C$1+1,Q4,R4,S4)</f>
        <v>HIV I-13 Pourcentage de personnes vivant avec le VIH</v>
      </c>
      <c r="C4" s="145">
        <f t="shared" ref="C4:C65" si="0">IF(Q4=Q3,C3+1,0)</f>
        <v>0</v>
      </c>
      <c r="D4" s="145" t="str">
        <f t="shared" ref="D4:D65" si="1">B4&amp;"-"&amp;C4</f>
        <v>HIV I-13 Pourcentage de personnes vivant avec le VIH-0</v>
      </c>
      <c r="E4" s="145" t="str">
        <f>CHOOSE(Translations!$C$1+1,I4,J4,K4)</f>
        <v>Sexe | Age</v>
      </c>
      <c r="F4" s="145" t="str">
        <f>CHOOSE(Translations!$C$1+1,M4,N4,O4)</f>
        <v>Femme 20-24</v>
      </c>
      <c r="G4" s="145" t="s">
        <v>1522</v>
      </c>
      <c r="H4" s="146" t="s">
        <v>1523</v>
      </c>
      <c r="I4" s="146" t="s">
        <v>1524</v>
      </c>
      <c r="J4" s="146" t="s">
        <v>1525</v>
      </c>
      <c r="K4" s="146" t="s">
        <v>1526</v>
      </c>
      <c r="L4" s="145"/>
      <c r="M4" s="146" t="s">
        <v>1527</v>
      </c>
      <c r="N4" s="146" t="s">
        <v>1528</v>
      </c>
      <c r="O4" s="146" t="s">
        <v>1529</v>
      </c>
      <c r="P4" s="145"/>
      <c r="Q4" s="146" t="s">
        <v>1530</v>
      </c>
      <c r="R4" s="146" t="s">
        <v>1531</v>
      </c>
      <c r="S4" s="146" t="s">
        <v>1532</v>
      </c>
    </row>
    <row r="5" spans="1:19" s="9" customFormat="1" x14ac:dyDescent="0.25">
      <c r="A5" s="145" t="s">
        <v>1521</v>
      </c>
      <c r="B5" s="145" t="str">
        <f>CHOOSE(Translations!$C$1+1,Q5,R5,S5)</f>
        <v>HIV I-13 Pourcentage de personnes vivant avec le VIH</v>
      </c>
      <c r="C5" s="145">
        <f t="shared" si="0"/>
        <v>1</v>
      </c>
      <c r="D5" s="145" t="str">
        <f t="shared" si="1"/>
        <v>HIV I-13 Pourcentage de personnes vivant avec le VIH-1</v>
      </c>
      <c r="E5" s="145" t="str">
        <f>CHOOSE(Translations!$C$1+1,I5,J5,K5)</f>
        <v>Sexe | Age</v>
      </c>
      <c r="F5" s="145" t="str">
        <f>CHOOSE(Translations!$C$1+1,M5,N5,O5)</f>
        <v>Homme 20-24</v>
      </c>
      <c r="G5" s="145" t="s">
        <v>1533</v>
      </c>
      <c r="H5" s="146" t="s">
        <v>1534</v>
      </c>
      <c r="I5" s="146" t="s">
        <v>1524</v>
      </c>
      <c r="J5" s="146" t="s">
        <v>1525</v>
      </c>
      <c r="K5" s="146" t="s">
        <v>1526</v>
      </c>
      <c r="L5" s="145"/>
      <c r="M5" s="146" t="s">
        <v>1535</v>
      </c>
      <c r="N5" s="146" t="s">
        <v>1536</v>
      </c>
      <c r="O5" s="146" t="s">
        <v>1537</v>
      </c>
      <c r="P5" s="145"/>
      <c r="Q5" s="146" t="s">
        <v>1530</v>
      </c>
      <c r="R5" s="146" t="s">
        <v>1531</v>
      </c>
      <c r="S5" s="146" t="s">
        <v>1532</v>
      </c>
    </row>
    <row r="6" spans="1:19" s="9" customFormat="1" x14ac:dyDescent="0.25">
      <c r="A6" s="145" t="s">
        <v>1521</v>
      </c>
      <c r="B6" s="145" t="str">
        <f>CHOOSE(Translations!$C$1+1,Q6,R6,S6)</f>
        <v>HIV I-13 Pourcentage de personnes vivant avec le VIH</v>
      </c>
      <c r="C6" s="145">
        <f t="shared" si="0"/>
        <v>2</v>
      </c>
      <c r="D6" s="145" t="str">
        <f t="shared" si="1"/>
        <v>HIV I-13 Pourcentage de personnes vivant avec le VIH-2</v>
      </c>
      <c r="E6" s="145" t="str">
        <f>CHOOSE(Translations!$C$1+1,I6,J6,K6)</f>
        <v>Sexe | Age</v>
      </c>
      <c r="F6" s="145" t="str">
        <f>CHOOSE(Translations!$C$1+1,M6,N6,O6)</f>
        <v>Femme 15-19</v>
      </c>
      <c r="G6" s="145" t="s">
        <v>1538</v>
      </c>
      <c r="H6" s="146" t="s">
        <v>1539</v>
      </c>
      <c r="I6" s="146" t="s">
        <v>1524</v>
      </c>
      <c r="J6" s="146" t="s">
        <v>1525</v>
      </c>
      <c r="K6" s="146" t="s">
        <v>1526</v>
      </c>
      <c r="L6" s="145"/>
      <c r="M6" s="146" t="s">
        <v>1540</v>
      </c>
      <c r="N6" s="146" t="s">
        <v>1541</v>
      </c>
      <c r="O6" s="146" t="s">
        <v>1542</v>
      </c>
      <c r="P6" s="145"/>
      <c r="Q6" s="146" t="s">
        <v>1530</v>
      </c>
      <c r="R6" s="146" t="s">
        <v>1531</v>
      </c>
      <c r="S6" s="146" t="s">
        <v>1532</v>
      </c>
    </row>
    <row r="7" spans="1:19" s="9" customFormat="1" x14ac:dyDescent="0.25">
      <c r="A7" s="145" t="s">
        <v>1521</v>
      </c>
      <c r="B7" s="145" t="str">
        <f>CHOOSE(Translations!$C$1+1,Q7,R7,S7)</f>
        <v>HIV I-13 Pourcentage de personnes vivant avec le VIH</v>
      </c>
      <c r="C7" s="145">
        <f t="shared" si="0"/>
        <v>3</v>
      </c>
      <c r="D7" s="145" t="str">
        <f t="shared" si="1"/>
        <v>HIV I-13 Pourcentage de personnes vivant avec le VIH-3</v>
      </c>
      <c r="E7" s="145" t="str">
        <f>CHOOSE(Translations!$C$1+1,I7,J7,K7)</f>
        <v>Sexe | Age</v>
      </c>
      <c r="F7" s="145" t="str">
        <f>CHOOSE(Translations!$C$1+1,M7,N7,O7)</f>
        <v>Homme 15-19</v>
      </c>
      <c r="G7" s="145" t="s">
        <v>1543</v>
      </c>
      <c r="H7" s="146" t="s">
        <v>1544</v>
      </c>
      <c r="I7" s="146" t="s">
        <v>1524</v>
      </c>
      <c r="J7" s="146" t="s">
        <v>1525</v>
      </c>
      <c r="K7" s="146" t="s">
        <v>1526</v>
      </c>
      <c r="L7" s="145"/>
      <c r="M7" s="146" t="s">
        <v>1545</v>
      </c>
      <c r="N7" s="146" t="s">
        <v>1546</v>
      </c>
      <c r="O7" s="146" t="s">
        <v>1547</v>
      </c>
      <c r="P7" s="145"/>
      <c r="Q7" s="146" t="s">
        <v>1530</v>
      </c>
      <c r="R7" s="146" t="s">
        <v>1531</v>
      </c>
      <c r="S7" s="146" t="s">
        <v>1532</v>
      </c>
    </row>
    <row r="8" spans="1:19" s="9" customFormat="1" x14ac:dyDescent="0.25">
      <c r="A8" s="145" t="s">
        <v>1521</v>
      </c>
      <c r="B8" s="145" t="str">
        <f>CHOOSE(Translations!$C$1+1,Q8,R8,S8)</f>
        <v>HIV I-13 Pourcentage de personnes vivant avec le VIH</v>
      </c>
      <c r="C8" s="145">
        <f t="shared" si="0"/>
        <v>4</v>
      </c>
      <c r="D8" s="145" t="str">
        <f t="shared" si="1"/>
        <v>HIV I-13 Pourcentage de personnes vivant avec le VIH-4</v>
      </c>
      <c r="E8" s="145" t="str">
        <f>CHOOSE(Translations!$C$1+1,I8,J8,K8)</f>
        <v>Sexe</v>
      </c>
      <c r="F8" s="145" t="str">
        <f>CHOOSE(Translations!$C$1+1,M8,N8,O8)</f>
        <v>Femme</v>
      </c>
      <c r="G8" s="145" t="s">
        <v>1548</v>
      </c>
      <c r="H8" s="146" t="s">
        <v>1549</v>
      </c>
      <c r="I8" s="146" t="s">
        <v>1550</v>
      </c>
      <c r="J8" s="146" t="s">
        <v>1551</v>
      </c>
      <c r="K8" s="146" t="s">
        <v>1552</v>
      </c>
      <c r="L8" s="145"/>
      <c r="M8" s="146" t="s">
        <v>1553</v>
      </c>
      <c r="N8" s="146" t="s">
        <v>1554</v>
      </c>
      <c r="O8" s="146" t="s">
        <v>1555</v>
      </c>
      <c r="P8" s="145"/>
      <c r="Q8" s="146" t="s">
        <v>1530</v>
      </c>
      <c r="R8" s="146" t="s">
        <v>1531</v>
      </c>
      <c r="S8" s="146" t="s">
        <v>1532</v>
      </c>
    </row>
    <row r="9" spans="1:19" s="9" customFormat="1" x14ac:dyDescent="0.25">
      <c r="A9" s="145" t="s">
        <v>1521</v>
      </c>
      <c r="B9" s="145" t="str">
        <f>CHOOSE(Translations!$C$1+1,Q9,R9,S9)</f>
        <v>HIV I-13 Pourcentage de personnes vivant avec le VIH</v>
      </c>
      <c r="C9" s="145">
        <f t="shared" si="0"/>
        <v>5</v>
      </c>
      <c r="D9" s="145" t="str">
        <f t="shared" si="1"/>
        <v>HIV I-13 Pourcentage de personnes vivant avec le VIH-5</v>
      </c>
      <c r="E9" s="145" t="str">
        <f>CHOOSE(Translations!$C$1+1,I9,J9,K9)</f>
        <v>Sexe</v>
      </c>
      <c r="F9" s="145" t="str">
        <f>CHOOSE(Translations!$C$1+1,M9,N9,O9)</f>
        <v>Homme</v>
      </c>
      <c r="G9" s="145" t="s">
        <v>1556</v>
      </c>
      <c r="H9" s="146" t="s">
        <v>1557</v>
      </c>
      <c r="I9" s="146" t="s">
        <v>1550</v>
      </c>
      <c r="J9" s="146" t="s">
        <v>1551</v>
      </c>
      <c r="K9" s="146" t="s">
        <v>1552</v>
      </c>
      <c r="L9" s="145"/>
      <c r="M9" s="146" t="s">
        <v>1558</v>
      </c>
      <c r="N9" s="146" t="s">
        <v>1559</v>
      </c>
      <c r="O9" s="146" t="s">
        <v>1560</v>
      </c>
      <c r="P9" s="145"/>
      <c r="Q9" s="146" t="s">
        <v>1530</v>
      </c>
      <c r="R9" s="146" t="s">
        <v>1531</v>
      </c>
      <c r="S9" s="146" t="s">
        <v>1532</v>
      </c>
    </row>
    <row r="10" spans="1:19" s="9" customFormat="1" x14ac:dyDescent="0.25">
      <c r="A10" s="145" t="s">
        <v>1521</v>
      </c>
      <c r="B10" s="145" t="str">
        <f>CHOOSE(Translations!$C$1+1,Q10,R10,S10)</f>
        <v>HIV I-13 Pourcentage de personnes vivant avec le VIH</v>
      </c>
      <c r="C10" s="145">
        <f t="shared" si="0"/>
        <v>6</v>
      </c>
      <c r="D10" s="145" t="str">
        <f t="shared" si="1"/>
        <v>HIV I-13 Pourcentage de personnes vivant avec le VIH-6</v>
      </c>
      <c r="E10" s="145" t="str">
        <f>CHOOSE(Translations!$C$1+1,I10,J10,K10)</f>
        <v>Age</v>
      </c>
      <c r="F10" s="145" t="str">
        <f>CHOOSE(Translations!$C$1+1,M10,N10,O10)</f>
        <v>15+</v>
      </c>
      <c r="G10" s="145" t="s">
        <v>1561</v>
      </c>
      <c r="H10" s="146" t="s">
        <v>1562</v>
      </c>
      <c r="I10" s="146" t="s">
        <v>1563</v>
      </c>
      <c r="J10" s="146" t="s">
        <v>1563</v>
      </c>
      <c r="K10" s="146" t="s">
        <v>1564</v>
      </c>
      <c r="L10" s="145"/>
      <c r="M10" s="146" t="s">
        <v>1565</v>
      </c>
      <c r="N10" s="146" t="s">
        <v>1565</v>
      </c>
      <c r="O10" s="146" t="s">
        <v>1565</v>
      </c>
      <c r="P10" s="145"/>
      <c r="Q10" s="146" t="s">
        <v>1530</v>
      </c>
      <c r="R10" s="146" t="s">
        <v>1531</v>
      </c>
      <c r="S10" s="146" t="s">
        <v>1532</v>
      </c>
    </row>
    <row r="11" spans="1:19" s="9" customFormat="1" x14ac:dyDescent="0.25">
      <c r="A11" s="145" t="s">
        <v>1521</v>
      </c>
      <c r="B11" s="145" t="str">
        <f>CHOOSE(Translations!$C$1+1,Q11,R11,S11)</f>
        <v>HIV I-13 Pourcentage de personnes vivant avec le VIH</v>
      </c>
      <c r="C11" s="145">
        <f t="shared" si="0"/>
        <v>7</v>
      </c>
      <c r="D11" s="145" t="str">
        <f t="shared" si="1"/>
        <v>HIV I-13 Pourcentage de personnes vivant avec le VIH-7</v>
      </c>
      <c r="E11" s="145" t="str">
        <f>CHOOSE(Translations!$C$1+1,I11,J11,K11)</f>
        <v>Age</v>
      </c>
      <c r="F11" s="145" t="str">
        <f>CHOOSE(Translations!$C$1+1,M11,N11,O11)</f>
        <v>&lt;15</v>
      </c>
      <c r="G11" s="145" t="s">
        <v>1566</v>
      </c>
      <c r="H11" s="146" t="s">
        <v>1567</v>
      </c>
      <c r="I11" s="146" t="s">
        <v>1563</v>
      </c>
      <c r="J11" s="146" t="s">
        <v>1563</v>
      </c>
      <c r="K11" s="146" t="s">
        <v>1564</v>
      </c>
      <c r="L11" s="145"/>
      <c r="M11" s="146" t="s">
        <v>1568</v>
      </c>
      <c r="N11" s="146" t="s">
        <v>1568</v>
      </c>
      <c r="O11" s="146" t="s">
        <v>1568</v>
      </c>
      <c r="P11" s="145"/>
      <c r="Q11" s="146" t="s">
        <v>1530</v>
      </c>
      <c r="R11" s="146" t="s">
        <v>1531</v>
      </c>
      <c r="S11" s="146" t="s">
        <v>1532</v>
      </c>
    </row>
    <row r="12" spans="1:19" s="9" customFormat="1" x14ac:dyDescent="0.25">
      <c r="A12" s="145" t="s">
        <v>1569</v>
      </c>
      <c r="B12" s="145" t="str">
        <f>CHOOSE(Translations!$C$1+1,Q12,R12,S12)</f>
        <v>HIV I-14 Nombre de nouvelles infections par le VIH pour 1000 habitants non infectés</v>
      </c>
      <c r="C12" s="145">
        <f t="shared" si="0"/>
        <v>0</v>
      </c>
      <c r="D12" s="145" t="str">
        <f t="shared" si="1"/>
        <v>HIV I-14 Nombre de nouvelles infections par le VIH pour 1000 habitants non infectés-0</v>
      </c>
      <c r="E12" s="145" t="str">
        <f>CHOOSE(Translations!$C$1+1,I12,J12,K12)</f>
        <v>Sexe | Age</v>
      </c>
      <c r="F12" s="145" t="str">
        <f>CHOOSE(Translations!$C$1+1,M12,N12,O12)</f>
        <v>Femme 20-24</v>
      </c>
      <c r="G12" s="145" t="s">
        <v>1570</v>
      </c>
      <c r="H12" s="146" t="s">
        <v>1571</v>
      </c>
      <c r="I12" s="146" t="s">
        <v>1524</v>
      </c>
      <c r="J12" s="146" t="s">
        <v>1525</v>
      </c>
      <c r="K12" s="146" t="s">
        <v>1526</v>
      </c>
      <c r="L12" s="145"/>
      <c r="M12" s="146" t="s">
        <v>1527</v>
      </c>
      <c r="N12" s="146" t="s">
        <v>1528</v>
      </c>
      <c r="O12" s="146" t="s">
        <v>1529</v>
      </c>
      <c r="P12" s="145"/>
      <c r="Q12" s="146" t="s">
        <v>1572</v>
      </c>
      <c r="R12" s="146" t="s">
        <v>1573</v>
      </c>
      <c r="S12" s="146" t="s">
        <v>1574</v>
      </c>
    </row>
    <row r="13" spans="1:19" s="9" customFormat="1" x14ac:dyDescent="0.25">
      <c r="A13" s="145" t="s">
        <v>1569</v>
      </c>
      <c r="B13" s="145" t="str">
        <f>CHOOSE(Translations!$C$1+1,Q13,R13,S13)</f>
        <v>HIV I-14 Nombre de nouvelles infections par le VIH pour 1000 habitants non infectés</v>
      </c>
      <c r="C13" s="145">
        <f t="shared" si="0"/>
        <v>1</v>
      </c>
      <c r="D13" s="145" t="str">
        <f t="shared" si="1"/>
        <v>HIV I-14 Nombre de nouvelles infections par le VIH pour 1000 habitants non infectés-1</v>
      </c>
      <c r="E13" s="145" t="str">
        <f>CHOOSE(Translations!$C$1+1,I13,J13,K13)</f>
        <v>Sexe | Age</v>
      </c>
      <c r="F13" s="145" t="str">
        <f>CHOOSE(Translations!$C$1+1,M13,N13,O13)</f>
        <v>Homme 20-24</v>
      </c>
      <c r="G13" s="145" t="s">
        <v>1575</v>
      </c>
      <c r="H13" s="146" t="s">
        <v>1576</v>
      </c>
      <c r="I13" s="146" t="s">
        <v>1524</v>
      </c>
      <c r="J13" s="146" t="s">
        <v>1525</v>
      </c>
      <c r="K13" s="146" t="s">
        <v>1526</v>
      </c>
      <c r="L13" s="145"/>
      <c r="M13" s="146" t="s">
        <v>1535</v>
      </c>
      <c r="N13" s="146" t="s">
        <v>1536</v>
      </c>
      <c r="O13" s="146" t="s">
        <v>1537</v>
      </c>
      <c r="P13" s="145"/>
      <c r="Q13" s="146" t="s">
        <v>1572</v>
      </c>
      <c r="R13" s="146" t="s">
        <v>1573</v>
      </c>
      <c r="S13" s="146" t="s">
        <v>1574</v>
      </c>
    </row>
    <row r="14" spans="1:19" s="9" customFormat="1" x14ac:dyDescent="0.25">
      <c r="A14" s="145" t="s">
        <v>1569</v>
      </c>
      <c r="B14" s="145" t="str">
        <f>CHOOSE(Translations!$C$1+1,Q14,R14,S14)</f>
        <v>HIV I-14 Nombre de nouvelles infections par le VIH pour 1000 habitants non infectés</v>
      </c>
      <c r="C14" s="145">
        <f t="shared" si="0"/>
        <v>2</v>
      </c>
      <c r="D14" s="145" t="str">
        <f t="shared" si="1"/>
        <v>HIV I-14 Nombre de nouvelles infections par le VIH pour 1000 habitants non infectés-2</v>
      </c>
      <c r="E14" s="145" t="str">
        <f>CHOOSE(Translations!$C$1+1,I14,J14,K14)</f>
        <v>Sexe | Age</v>
      </c>
      <c r="F14" s="145" t="str">
        <f>CHOOSE(Translations!$C$1+1,M14,N14,O14)</f>
        <v>Femme 15-19</v>
      </c>
      <c r="G14" s="145" t="s">
        <v>1577</v>
      </c>
      <c r="H14" s="146" t="s">
        <v>1578</v>
      </c>
      <c r="I14" s="146" t="s">
        <v>1524</v>
      </c>
      <c r="J14" s="146" t="s">
        <v>1525</v>
      </c>
      <c r="K14" s="146" t="s">
        <v>1526</v>
      </c>
      <c r="L14" s="145"/>
      <c r="M14" s="146" t="s">
        <v>1540</v>
      </c>
      <c r="N14" s="146" t="s">
        <v>1541</v>
      </c>
      <c r="O14" s="146" t="s">
        <v>1542</v>
      </c>
      <c r="P14" s="145"/>
      <c r="Q14" s="146" t="s">
        <v>1572</v>
      </c>
      <c r="R14" s="146" t="s">
        <v>1573</v>
      </c>
      <c r="S14" s="146" t="s">
        <v>1574</v>
      </c>
    </row>
    <row r="15" spans="1:19" s="9" customFormat="1" x14ac:dyDescent="0.25">
      <c r="A15" s="145" t="s">
        <v>1569</v>
      </c>
      <c r="B15" s="145" t="str">
        <f>CHOOSE(Translations!$C$1+1,Q15,R15,S15)</f>
        <v>HIV I-14 Nombre de nouvelles infections par le VIH pour 1000 habitants non infectés</v>
      </c>
      <c r="C15" s="145">
        <f t="shared" si="0"/>
        <v>3</v>
      </c>
      <c r="D15" s="145" t="str">
        <f t="shared" si="1"/>
        <v>HIV I-14 Nombre de nouvelles infections par le VIH pour 1000 habitants non infectés-3</v>
      </c>
      <c r="E15" s="145" t="str">
        <f>CHOOSE(Translations!$C$1+1,I15,J15,K15)</f>
        <v>Sexe | Age</v>
      </c>
      <c r="F15" s="145" t="str">
        <f>CHOOSE(Translations!$C$1+1,M15,N15,O15)</f>
        <v>Homme 15-19</v>
      </c>
      <c r="G15" s="145" t="s">
        <v>1579</v>
      </c>
      <c r="H15" s="146" t="s">
        <v>1580</v>
      </c>
      <c r="I15" s="146" t="s">
        <v>1524</v>
      </c>
      <c r="J15" s="146" t="s">
        <v>1525</v>
      </c>
      <c r="K15" s="146" t="s">
        <v>1526</v>
      </c>
      <c r="L15" s="145"/>
      <c r="M15" s="146" t="s">
        <v>1545</v>
      </c>
      <c r="N15" s="146" t="s">
        <v>1546</v>
      </c>
      <c r="O15" s="146" t="s">
        <v>1547</v>
      </c>
      <c r="P15" s="145"/>
      <c r="Q15" s="146" t="s">
        <v>1572</v>
      </c>
      <c r="R15" s="146" t="s">
        <v>1573</v>
      </c>
      <c r="S15" s="146" t="s">
        <v>1574</v>
      </c>
    </row>
    <row r="16" spans="1:19" s="9" customFormat="1" x14ac:dyDescent="0.25">
      <c r="A16" s="145" t="s">
        <v>1569</v>
      </c>
      <c r="B16" s="145" t="str">
        <f>CHOOSE(Translations!$C$1+1,Q16,R16,S16)</f>
        <v>HIV I-14 Nombre de nouvelles infections par le VIH pour 1000 habitants non infectés</v>
      </c>
      <c r="C16" s="145">
        <f t="shared" si="0"/>
        <v>4</v>
      </c>
      <c r="D16" s="145" t="str">
        <f t="shared" si="1"/>
        <v>HIV I-14 Nombre de nouvelles infections par le VIH pour 1000 habitants non infectés-4</v>
      </c>
      <c r="E16" s="145" t="str">
        <f>CHOOSE(Translations!$C$1+1,I16,J16,K16)</f>
        <v>Sexe</v>
      </c>
      <c r="F16" s="145" t="str">
        <f>CHOOSE(Translations!$C$1+1,M16,N16,O16)</f>
        <v>Femme</v>
      </c>
      <c r="G16" s="145" t="s">
        <v>1581</v>
      </c>
      <c r="H16" s="146" t="s">
        <v>1582</v>
      </c>
      <c r="I16" s="146" t="s">
        <v>1550</v>
      </c>
      <c r="J16" s="146" t="s">
        <v>1551</v>
      </c>
      <c r="K16" s="146" t="s">
        <v>1552</v>
      </c>
      <c r="L16" s="145"/>
      <c r="M16" s="146" t="s">
        <v>1553</v>
      </c>
      <c r="N16" s="146" t="s">
        <v>1554</v>
      </c>
      <c r="O16" s="146" t="s">
        <v>1555</v>
      </c>
      <c r="P16" s="145"/>
      <c r="Q16" s="146" t="s">
        <v>1572</v>
      </c>
      <c r="R16" s="146" t="s">
        <v>1573</v>
      </c>
      <c r="S16" s="146" t="s">
        <v>1574</v>
      </c>
    </row>
    <row r="17" spans="1:19" s="9" customFormat="1" x14ac:dyDescent="0.25">
      <c r="A17" s="145" t="s">
        <v>1569</v>
      </c>
      <c r="B17" s="145" t="str">
        <f>CHOOSE(Translations!$C$1+1,Q17,R17,S17)</f>
        <v>HIV I-14 Nombre de nouvelles infections par le VIH pour 1000 habitants non infectés</v>
      </c>
      <c r="C17" s="145">
        <f t="shared" si="0"/>
        <v>5</v>
      </c>
      <c r="D17" s="145" t="str">
        <f t="shared" si="1"/>
        <v>HIV I-14 Nombre de nouvelles infections par le VIH pour 1000 habitants non infectés-5</v>
      </c>
      <c r="E17" s="145" t="str">
        <f>CHOOSE(Translations!$C$1+1,I17,J17,K17)</f>
        <v>Sexe</v>
      </c>
      <c r="F17" s="145" t="str">
        <f>CHOOSE(Translations!$C$1+1,M17,N17,O17)</f>
        <v>Homme</v>
      </c>
      <c r="G17" s="145" t="s">
        <v>1583</v>
      </c>
      <c r="H17" s="146" t="s">
        <v>1584</v>
      </c>
      <c r="I17" s="146" t="s">
        <v>1550</v>
      </c>
      <c r="J17" s="146" t="s">
        <v>1551</v>
      </c>
      <c r="K17" s="146" t="s">
        <v>1552</v>
      </c>
      <c r="L17" s="145"/>
      <c r="M17" s="146" t="s">
        <v>1558</v>
      </c>
      <c r="N17" s="146" t="s">
        <v>1559</v>
      </c>
      <c r="O17" s="146" t="s">
        <v>1560</v>
      </c>
      <c r="P17" s="145"/>
      <c r="Q17" s="146" t="s">
        <v>1572</v>
      </c>
      <c r="R17" s="146" t="s">
        <v>1573</v>
      </c>
      <c r="S17" s="146" t="s">
        <v>1574</v>
      </c>
    </row>
    <row r="18" spans="1:19" s="9" customFormat="1" x14ac:dyDescent="0.25">
      <c r="A18" s="145" t="s">
        <v>1569</v>
      </c>
      <c r="B18" s="145" t="str">
        <f>CHOOSE(Translations!$C$1+1,Q18,R18,S18)</f>
        <v>HIV I-14 Nombre de nouvelles infections par le VIH pour 1000 habitants non infectés</v>
      </c>
      <c r="C18" s="145">
        <f t="shared" si="0"/>
        <v>6</v>
      </c>
      <c r="D18" s="145" t="str">
        <f t="shared" si="1"/>
        <v>HIV I-14 Nombre de nouvelles infections par le VIH pour 1000 habitants non infectés-6</v>
      </c>
      <c r="E18" s="145" t="str">
        <f>CHOOSE(Translations!$C$1+1,I18,J18,K18)</f>
        <v>Age</v>
      </c>
      <c r="F18" s="145" t="str">
        <f>CHOOSE(Translations!$C$1+1,M18,N18,O18)</f>
        <v>15+</v>
      </c>
      <c r="G18" s="145" t="s">
        <v>1585</v>
      </c>
      <c r="H18" s="146" t="s">
        <v>1586</v>
      </c>
      <c r="I18" s="146" t="s">
        <v>1563</v>
      </c>
      <c r="J18" s="146" t="s">
        <v>1563</v>
      </c>
      <c r="K18" s="146" t="s">
        <v>1564</v>
      </c>
      <c r="L18" s="145"/>
      <c r="M18" s="146" t="s">
        <v>1565</v>
      </c>
      <c r="N18" s="146" t="s">
        <v>1565</v>
      </c>
      <c r="O18" s="146" t="s">
        <v>1565</v>
      </c>
      <c r="P18" s="145"/>
      <c r="Q18" s="146" t="s">
        <v>1572</v>
      </c>
      <c r="R18" s="146" t="s">
        <v>1573</v>
      </c>
      <c r="S18" s="146" t="s">
        <v>1574</v>
      </c>
    </row>
    <row r="19" spans="1:19" s="9" customFormat="1" x14ac:dyDescent="0.25">
      <c r="A19" s="145" t="s">
        <v>1569</v>
      </c>
      <c r="B19" s="145" t="str">
        <f>CHOOSE(Translations!$C$1+1,Q19,R19,S19)</f>
        <v>HIV I-14 Nombre de nouvelles infections par le VIH pour 1000 habitants non infectés</v>
      </c>
      <c r="C19" s="145">
        <f t="shared" si="0"/>
        <v>7</v>
      </c>
      <c r="D19" s="145" t="str">
        <f t="shared" si="1"/>
        <v>HIV I-14 Nombre de nouvelles infections par le VIH pour 1000 habitants non infectés-7</v>
      </c>
      <c r="E19" s="145" t="str">
        <f>CHOOSE(Translations!$C$1+1,I19,J19,K19)</f>
        <v>Age</v>
      </c>
      <c r="F19" s="145" t="str">
        <f>CHOOSE(Translations!$C$1+1,M19,N19,O19)</f>
        <v>&lt;15</v>
      </c>
      <c r="G19" s="145" t="s">
        <v>1587</v>
      </c>
      <c r="H19" s="146" t="s">
        <v>1588</v>
      </c>
      <c r="I19" s="146" t="s">
        <v>1563</v>
      </c>
      <c r="J19" s="146" t="s">
        <v>1563</v>
      </c>
      <c r="K19" s="146" t="s">
        <v>1564</v>
      </c>
      <c r="L19" s="145"/>
      <c r="M19" s="146" t="s">
        <v>1568</v>
      </c>
      <c r="N19" s="146" t="s">
        <v>1568</v>
      </c>
      <c r="O19" s="146" t="s">
        <v>1568</v>
      </c>
      <c r="P19" s="145"/>
      <c r="Q19" s="146" t="s">
        <v>1572</v>
      </c>
      <c r="R19" s="146" t="s">
        <v>1573</v>
      </c>
      <c r="S19" s="146" t="s">
        <v>1574</v>
      </c>
    </row>
    <row r="20" spans="1:19" s="9" customFormat="1" x14ac:dyDescent="0.25">
      <c r="A20" s="145" t="s">
        <v>1589</v>
      </c>
      <c r="B20" s="145" t="str">
        <f>CHOOSE(Translations!$C$1+1,Q20,R20,S20)</f>
        <v>HIV I-4 Nombre de décès liés au sida pour 100,000 habitants</v>
      </c>
      <c r="C20" s="145">
        <f t="shared" si="0"/>
        <v>0</v>
      </c>
      <c r="D20" s="145" t="str">
        <f t="shared" si="1"/>
        <v>HIV I-4 Nombre de décès liés au sida pour 100,000 habitants-0</v>
      </c>
      <c r="E20" s="145" t="str">
        <f>CHOOSE(Translations!$C$1+1,I20,J20,K20)</f>
        <v>Sexe | Age</v>
      </c>
      <c r="F20" s="145" t="str">
        <f>CHOOSE(Translations!$C$1+1,M20,N20,O20)</f>
        <v>Femme 20-24</v>
      </c>
      <c r="G20" s="145" t="s">
        <v>1590</v>
      </c>
      <c r="H20" s="146" t="s">
        <v>1591</v>
      </c>
      <c r="I20" s="146" t="s">
        <v>1524</v>
      </c>
      <c r="J20" s="146" t="s">
        <v>1525</v>
      </c>
      <c r="K20" s="146" t="s">
        <v>1526</v>
      </c>
      <c r="L20" s="145"/>
      <c r="M20" s="146" t="s">
        <v>1527</v>
      </c>
      <c r="N20" s="146" t="s">
        <v>1528</v>
      </c>
      <c r="O20" s="146" t="s">
        <v>1529</v>
      </c>
      <c r="P20" s="145"/>
      <c r="Q20" s="146" t="s">
        <v>1592</v>
      </c>
      <c r="R20" s="146" t="s">
        <v>1593</v>
      </c>
      <c r="S20" s="146" t="s">
        <v>1594</v>
      </c>
    </row>
    <row r="21" spans="1:19" s="9" customFormat="1" x14ac:dyDescent="0.25">
      <c r="A21" s="145" t="s">
        <v>1589</v>
      </c>
      <c r="B21" s="145" t="str">
        <f>CHOOSE(Translations!$C$1+1,Q21,R21,S21)</f>
        <v>HIV I-4 Nombre de décès liés au sida pour 100,000 habitants</v>
      </c>
      <c r="C21" s="145">
        <f t="shared" si="0"/>
        <v>1</v>
      </c>
      <c r="D21" s="145" t="str">
        <f t="shared" si="1"/>
        <v>HIV I-4 Nombre de décès liés au sida pour 100,000 habitants-1</v>
      </c>
      <c r="E21" s="145" t="str">
        <f>CHOOSE(Translations!$C$1+1,I21,J21,K21)</f>
        <v>Sexe | Age</v>
      </c>
      <c r="F21" s="145" t="str">
        <f>CHOOSE(Translations!$C$1+1,M21,N21,O21)</f>
        <v>Homme 20-24</v>
      </c>
      <c r="G21" s="145" t="s">
        <v>1595</v>
      </c>
      <c r="H21" s="146" t="s">
        <v>1596</v>
      </c>
      <c r="I21" s="146" t="s">
        <v>1524</v>
      </c>
      <c r="J21" s="146" t="s">
        <v>1525</v>
      </c>
      <c r="K21" s="146" t="s">
        <v>1526</v>
      </c>
      <c r="L21" s="145"/>
      <c r="M21" s="146" t="s">
        <v>1535</v>
      </c>
      <c r="N21" s="146" t="s">
        <v>1536</v>
      </c>
      <c r="O21" s="146" t="s">
        <v>1537</v>
      </c>
      <c r="P21" s="145"/>
      <c r="Q21" s="146" t="s">
        <v>1592</v>
      </c>
      <c r="R21" s="146" t="s">
        <v>1593</v>
      </c>
      <c r="S21" s="146" t="s">
        <v>1594</v>
      </c>
    </row>
    <row r="22" spans="1:19" s="9" customFormat="1" x14ac:dyDescent="0.25">
      <c r="A22" s="145" t="s">
        <v>1589</v>
      </c>
      <c r="B22" s="145" t="str">
        <f>CHOOSE(Translations!$C$1+1,Q22,R22,S22)</f>
        <v>HIV I-4 Nombre de décès liés au sida pour 100,000 habitants</v>
      </c>
      <c r="C22" s="145">
        <f t="shared" si="0"/>
        <v>2</v>
      </c>
      <c r="D22" s="145" t="str">
        <f t="shared" si="1"/>
        <v>HIV I-4 Nombre de décès liés au sida pour 100,000 habitants-2</v>
      </c>
      <c r="E22" s="145" t="str">
        <f>CHOOSE(Translations!$C$1+1,I22,J22,K22)</f>
        <v>Sexe | Age</v>
      </c>
      <c r="F22" s="145" t="str">
        <f>CHOOSE(Translations!$C$1+1,M22,N22,O22)</f>
        <v>Femme 15-19</v>
      </c>
      <c r="G22" s="145" t="s">
        <v>1597</v>
      </c>
      <c r="H22" s="146" t="s">
        <v>1598</v>
      </c>
      <c r="I22" s="146" t="s">
        <v>1524</v>
      </c>
      <c r="J22" s="146" t="s">
        <v>1525</v>
      </c>
      <c r="K22" s="146" t="s">
        <v>1526</v>
      </c>
      <c r="L22" s="145"/>
      <c r="M22" s="146" t="s">
        <v>1540</v>
      </c>
      <c r="N22" s="146" t="s">
        <v>1541</v>
      </c>
      <c r="O22" s="146" t="s">
        <v>1542</v>
      </c>
      <c r="P22" s="145"/>
      <c r="Q22" s="146" t="s">
        <v>1592</v>
      </c>
      <c r="R22" s="146" t="s">
        <v>1593</v>
      </c>
      <c r="S22" s="146" t="s">
        <v>1594</v>
      </c>
    </row>
    <row r="23" spans="1:19" s="9" customFormat="1" x14ac:dyDescent="0.25">
      <c r="A23" s="145" t="s">
        <v>1589</v>
      </c>
      <c r="B23" s="145" t="str">
        <f>CHOOSE(Translations!$C$1+1,Q23,R23,S23)</f>
        <v>HIV I-4 Nombre de décès liés au sida pour 100,000 habitants</v>
      </c>
      <c r="C23" s="145">
        <f t="shared" si="0"/>
        <v>3</v>
      </c>
      <c r="D23" s="145" t="str">
        <f t="shared" si="1"/>
        <v>HIV I-4 Nombre de décès liés au sida pour 100,000 habitants-3</v>
      </c>
      <c r="E23" s="145" t="str">
        <f>CHOOSE(Translations!$C$1+1,I23,J23,K23)</f>
        <v>Sexe | Age</v>
      </c>
      <c r="F23" s="145" t="str">
        <f>CHOOSE(Translations!$C$1+1,M23,N23,O23)</f>
        <v>Homme 15-19</v>
      </c>
      <c r="G23" s="145" t="s">
        <v>1599</v>
      </c>
      <c r="H23" s="146" t="s">
        <v>1600</v>
      </c>
      <c r="I23" s="146" t="s">
        <v>1524</v>
      </c>
      <c r="J23" s="146" t="s">
        <v>1525</v>
      </c>
      <c r="K23" s="146" t="s">
        <v>1526</v>
      </c>
      <c r="L23" s="145"/>
      <c r="M23" s="146" t="s">
        <v>1545</v>
      </c>
      <c r="N23" s="146" t="s">
        <v>1546</v>
      </c>
      <c r="O23" s="146" t="s">
        <v>1547</v>
      </c>
      <c r="P23" s="145"/>
      <c r="Q23" s="146" t="s">
        <v>1592</v>
      </c>
      <c r="R23" s="146" t="s">
        <v>1593</v>
      </c>
      <c r="S23" s="146" t="s">
        <v>1594</v>
      </c>
    </row>
    <row r="24" spans="1:19" s="9" customFormat="1" x14ac:dyDescent="0.25">
      <c r="A24" s="145" t="s">
        <v>1589</v>
      </c>
      <c r="B24" s="145" t="str">
        <f>CHOOSE(Translations!$C$1+1,Q24,R24,S24)</f>
        <v>HIV I-4 Nombre de décès liés au sida pour 100,000 habitants</v>
      </c>
      <c r="C24" s="145">
        <f t="shared" si="0"/>
        <v>4</v>
      </c>
      <c r="D24" s="145" t="str">
        <f t="shared" si="1"/>
        <v>HIV I-4 Nombre de décès liés au sida pour 100,000 habitants-4</v>
      </c>
      <c r="E24" s="145" t="str">
        <f>CHOOSE(Translations!$C$1+1,I24,J24,K24)</f>
        <v>Sexe</v>
      </c>
      <c r="F24" s="145" t="str">
        <f>CHOOSE(Translations!$C$1+1,M24,N24,O24)</f>
        <v>Femme</v>
      </c>
      <c r="G24" s="145" t="s">
        <v>1601</v>
      </c>
      <c r="H24" s="146" t="s">
        <v>1602</v>
      </c>
      <c r="I24" s="146" t="s">
        <v>1550</v>
      </c>
      <c r="J24" s="146" t="s">
        <v>1551</v>
      </c>
      <c r="K24" s="146" t="s">
        <v>1552</v>
      </c>
      <c r="L24" s="145"/>
      <c r="M24" s="146" t="s">
        <v>1553</v>
      </c>
      <c r="N24" s="146" t="s">
        <v>1554</v>
      </c>
      <c r="O24" s="146" t="s">
        <v>1555</v>
      </c>
      <c r="P24" s="145"/>
      <c r="Q24" s="146" t="s">
        <v>1592</v>
      </c>
      <c r="R24" s="146" t="s">
        <v>1593</v>
      </c>
      <c r="S24" s="146" t="s">
        <v>1594</v>
      </c>
    </row>
    <row r="25" spans="1:19" s="9" customFormat="1" x14ac:dyDescent="0.25">
      <c r="A25" s="145" t="s">
        <v>1589</v>
      </c>
      <c r="B25" s="145" t="str">
        <f>CHOOSE(Translations!$C$1+1,Q25,R25,S25)</f>
        <v>HIV I-4 Nombre de décès liés au sida pour 100,000 habitants</v>
      </c>
      <c r="C25" s="145">
        <f t="shared" si="0"/>
        <v>5</v>
      </c>
      <c r="D25" s="145" t="str">
        <f t="shared" si="1"/>
        <v>HIV I-4 Nombre de décès liés au sida pour 100,000 habitants-5</v>
      </c>
      <c r="E25" s="145" t="str">
        <f>CHOOSE(Translations!$C$1+1,I25,J25,K25)</f>
        <v>Sexe</v>
      </c>
      <c r="F25" s="145" t="str">
        <f>CHOOSE(Translations!$C$1+1,M25,N25,O25)</f>
        <v>Homme</v>
      </c>
      <c r="G25" s="145" t="s">
        <v>1603</v>
      </c>
      <c r="H25" s="146" t="s">
        <v>1604</v>
      </c>
      <c r="I25" s="146" t="s">
        <v>1550</v>
      </c>
      <c r="J25" s="146" t="s">
        <v>1551</v>
      </c>
      <c r="K25" s="146" t="s">
        <v>1552</v>
      </c>
      <c r="L25" s="145"/>
      <c r="M25" s="146" t="s">
        <v>1558</v>
      </c>
      <c r="N25" s="146" t="s">
        <v>1559</v>
      </c>
      <c r="O25" s="146" t="s">
        <v>1560</v>
      </c>
      <c r="P25" s="145"/>
      <c r="Q25" s="146" t="s">
        <v>1592</v>
      </c>
      <c r="R25" s="146" t="s">
        <v>1593</v>
      </c>
      <c r="S25" s="146" t="s">
        <v>1594</v>
      </c>
    </row>
    <row r="26" spans="1:19" s="9" customFormat="1" x14ac:dyDescent="0.25">
      <c r="A26" s="145" t="s">
        <v>1589</v>
      </c>
      <c r="B26" s="145" t="str">
        <f>CHOOSE(Translations!$C$1+1,Q26,R26,S26)</f>
        <v>HIV I-4 Nombre de décès liés au sida pour 100,000 habitants</v>
      </c>
      <c r="C26" s="145">
        <f t="shared" si="0"/>
        <v>6</v>
      </c>
      <c r="D26" s="145" t="str">
        <f t="shared" si="1"/>
        <v>HIV I-4 Nombre de décès liés au sida pour 100,000 habitants-6</v>
      </c>
      <c r="E26" s="145" t="str">
        <f>CHOOSE(Translations!$C$1+1,I26,J26,K26)</f>
        <v>Age</v>
      </c>
      <c r="F26" s="145" t="str">
        <f>CHOOSE(Translations!$C$1+1,M26,N26,O26)</f>
        <v>15+</v>
      </c>
      <c r="G26" s="145" t="s">
        <v>1605</v>
      </c>
      <c r="H26" s="146" t="s">
        <v>1606</v>
      </c>
      <c r="I26" s="146" t="s">
        <v>1563</v>
      </c>
      <c r="J26" s="146" t="s">
        <v>1563</v>
      </c>
      <c r="K26" s="146" t="s">
        <v>1564</v>
      </c>
      <c r="L26" s="145"/>
      <c r="M26" s="146" t="s">
        <v>1565</v>
      </c>
      <c r="N26" s="146" t="s">
        <v>1565</v>
      </c>
      <c r="O26" s="146" t="s">
        <v>1565</v>
      </c>
      <c r="P26" s="145"/>
      <c r="Q26" s="146" t="s">
        <v>1592</v>
      </c>
      <c r="R26" s="146" t="s">
        <v>1593</v>
      </c>
      <c r="S26" s="146" t="s">
        <v>1594</v>
      </c>
    </row>
    <row r="27" spans="1:19" s="9" customFormat="1" x14ac:dyDescent="0.25">
      <c r="A27" s="145" t="s">
        <v>1589</v>
      </c>
      <c r="B27" s="145" t="str">
        <f>CHOOSE(Translations!$C$1+1,Q27,R27,S27)</f>
        <v>HIV I-4 Nombre de décès liés au sida pour 100,000 habitants</v>
      </c>
      <c r="C27" s="145">
        <f t="shared" si="0"/>
        <v>7</v>
      </c>
      <c r="D27" s="145" t="str">
        <f t="shared" si="1"/>
        <v>HIV I-4 Nombre de décès liés au sida pour 100,000 habitants-7</v>
      </c>
      <c r="E27" s="145" t="str">
        <f>CHOOSE(Translations!$C$1+1,I27,J27,K27)</f>
        <v>Age</v>
      </c>
      <c r="F27" s="145" t="str">
        <f>CHOOSE(Translations!$C$1+1,M27,N27,O27)</f>
        <v>5-14</v>
      </c>
      <c r="G27" s="145" t="s">
        <v>1607</v>
      </c>
      <c r="H27" s="146" t="s">
        <v>1608</v>
      </c>
      <c r="I27" s="146" t="s">
        <v>1563</v>
      </c>
      <c r="J27" s="146" t="s">
        <v>1563</v>
      </c>
      <c r="K27" s="146" t="s">
        <v>1564</v>
      </c>
      <c r="L27" s="145"/>
      <c r="M27" s="146" t="s">
        <v>1609</v>
      </c>
      <c r="N27" s="146" t="s">
        <v>1609</v>
      </c>
      <c r="O27" s="146" t="s">
        <v>1609</v>
      </c>
      <c r="P27" s="145"/>
      <c r="Q27" s="146" t="s">
        <v>1592</v>
      </c>
      <c r="R27" s="146" t="s">
        <v>1593</v>
      </c>
      <c r="S27" s="146" t="s">
        <v>1594</v>
      </c>
    </row>
    <row r="28" spans="1:19" s="9" customFormat="1" x14ac:dyDescent="0.25">
      <c r="A28" s="145" t="s">
        <v>1589</v>
      </c>
      <c r="B28" s="145" t="str">
        <f>CHOOSE(Translations!$C$1+1,Q28,R28,S28)</f>
        <v>HIV I-4 Nombre de décès liés au sida pour 100,000 habitants</v>
      </c>
      <c r="C28" s="145">
        <f t="shared" si="0"/>
        <v>8</v>
      </c>
      <c r="D28" s="145" t="str">
        <f t="shared" si="1"/>
        <v>HIV I-4 Nombre de décès liés au sida pour 100,000 habitants-8</v>
      </c>
      <c r="E28" s="145" t="str">
        <f>CHOOSE(Translations!$C$1+1,I28,J28,K28)</f>
        <v>Age</v>
      </c>
      <c r="F28" s="145" t="str">
        <f>CHOOSE(Translations!$C$1+1,M28,N28,O28)</f>
        <v>&lt;5</v>
      </c>
      <c r="G28" s="145" t="s">
        <v>1610</v>
      </c>
      <c r="H28" s="146" t="s">
        <v>1611</v>
      </c>
      <c r="I28" s="146" t="s">
        <v>1563</v>
      </c>
      <c r="J28" s="146" t="s">
        <v>1563</v>
      </c>
      <c r="K28" s="146" t="s">
        <v>1564</v>
      </c>
      <c r="L28" s="145"/>
      <c r="M28" s="146" t="s">
        <v>1612</v>
      </c>
      <c r="N28" s="146" t="s">
        <v>1612</v>
      </c>
      <c r="O28" s="146" t="s">
        <v>1612</v>
      </c>
      <c r="P28" s="145"/>
      <c r="Q28" s="146" t="s">
        <v>1592</v>
      </c>
      <c r="R28" s="146" t="s">
        <v>1593</v>
      </c>
      <c r="S28" s="146" t="s">
        <v>1594</v>
      </c>
    </row>
    <row r="29" spans="1:19" s="9" customFormat="1" x14ac:dyDescent="0.25">
      <c r="A29" s="145" t="s">
        <v>1613</v>
      </c>
      <c r="B29" s="145" t="str">
        <f>CHOOSE(Translations!$C$1+1,Q29,R29,S29)</f>
        <v>HIV I-9a⁽ᴹ⁾ Pourcentage d’hommes ayant des rapports sexuels avec des hommes vivant avec le VIH</v>
      </c>
      <c r="C29" s="145">
        <f t="shared" si="0"/>
        <v>0</v>
      </c>
      <c r="D29" s="145" t="str">
        <f t="shared" si="1"/>
        <v>HIV I-9a⁽ᴹ⁾ Pourcentage d’hommes ayant des rapports sexuels avec des hommes vivant avec le VIH-0</v>
      </c>
      <c r="E29" s="145" t="str">
        <f>CHOOSE(Translations!$C$1+1,I29,J29,K29)</f>
        <v>Age</v>
      </c>
      <c r="F29" s="145" t="str">
        <f>CHOOSE(Translations!$C$1+1,M29,N29,O29)</f>
        <v>25+</v>
      </c>
      <c r="G29" s="145" t="s">
        <v>1614</v>
      </c>
      <c r="H29" s="146" t="s">
        <v>1615</v>
      </c>
      <c r="I29" s="146" t="s">
        <v>1563</v>
      </c>
      <c r="J29" s="146" t="s">
        <v>1563</v>
      </c>
      <c r="K29" s="146" t="s">
        <v>1564</v>
      </c>
      <c r="L29" s="145"/>
      <c r="M29" s="146" t="s">
        <v>1616</v>
      </c>
      <c r="N29" s="146" t="s">
        <v>1616</v>
      </c>
      <c r="O29" s="146" t="s">
        <v>1616</v>
      </c>
      <c r="P29" s="145"/>
      <c r="Q29" s="146" t="s">
        <v>1617</v>
      </c>
      <c r="R29" s="146" t="s">
        <v>1618</v>
      </c>
      <c r="S29" s="146" t="s">
        <v>1619</v>
      </c>
    </row>
    <row r="30" spans="1:19" s="9" customFormat="1" x14ac:dyDescent="0.25">
      <c r="A30" s="145" t="s">
        <v>1613</v>
      </c>
      <c r="B30" s="145" t="str">
        <f>CHOOSE(Translations!$C$1+1,Q30,R30,S30)</f>
        <v>HIV I-9a⁽ᴹ⁾ Pourcentage d’hommes ayant des rapports sexuels avec des hommes vivant avec le VIH</v>
      </c>
      <c r="C30" s="145">
        <f t="shared" si="0"/>
        <v>1</v>
      </c>
      <c r="D30" s="145" t="str">
        <f t="shared" si="1"/>
        <v>HIV I-9a⁽ᴹ⁾ Pourcentage d’hommes ayant des rapports sexuels avec des hommes vivant avec le VIH-1</v>
      </c>
      <c r="E30" s="145" t="str">
        <f>CHOOSE(Translations!$C$1+1,I30,J30,K30)</f>
        <v>Age</v>
      </c>
      <c r="F30" s="145" t="str">
        <f>CHOOSE(Translations!$C$1+1,M30,N30,O30)</f>
        <v>&lt;25</v>
      </c>
      <c r="G30" s="145" t="s">
        <v>1620</v>
      </c>
      <c r="H30" s="146" t="s">
        <v>1621</v>
      </c>
      <c r="I30" s="146" t="s">
        <v>1563</v>
      </c>
      <c r="J30" s="146" t="s">
        <v>1563</v>
      </c>
      <c r="K30" s="146" t="s">
        <v>1564</v>
      </c>
      <c r="L30" s="145"/>
      <c r="M30" s="146" t="s">
        <v>1622</v>
      </c>
      <c r="N30" s="146" t="s">
        <v>1622</v>
      </c>
      <c r="O30" s="146" t="s">
        <v>1622</v>
      </c>
      <c r="P30" s="145"/>
      <c r="Q30" s="146" t="s">
        <v>1617</v>
      </c>
      <c r="R30" s="146" t="s">
        <v>1618</v>
      </c>
      <c r="S30" s="146" t="s">
        <v>1619</v>
      </c>
    </row>
    <row r="31" spans="1:19" s="9" customFormat="1" x14ac:dyDescent="0.25">
      <c r="A31" s="145" t="s">
        <v>1623</v>
      </c>
      <c r="B31" s="145" t="str">
        <f>CHOOSE(Translations!$C$1+1,Q31,R31,S31)</f>
        <v>HIV I-9b⁽ᴹ⁾ Pourcentage de personnes transgenres vivant avec le VIH</v>
      </c>
      <c r="C31" s="145">
        <f t="shared" si="0"/>
        <v>0</v>
      </c>
      <c r="D31" s="145" t="str">
        <f t="shared" si="1"/>
        <v>HIV I-9b⁽ᴹ⁾ Pourcentage de personnes transgenres vivant avec le VIH-0</v>
      </c>
      <c r="E31" s="145" t="str">
        <f>CHOOSE(Translations!$C$1+1,I31,J31,K31)</f>
        <v>Age</v>
      </c>
      <c r="F31" s="145" t="str">
        <f>CHOOSE(Translations!$C$1+1,M31,N31,O31)</f>
        <v>25+</v>
      </c>
      <c r="G31" s="145" t="s">
        <v>1624</v>
      </c>
      <c r="H31" s="146" t="s">
        <v>1625</v>
      </c>
      <c r="I31" s="146" t="s">
        <v>1563</v>
      </c>
      <c r="J31" s="146" t="s">
        <v>1563</v>
      </c>
      <c r="K31" s="146" t="s">
        <v>1564</v>
      </c>
      <c r="L31" s="145"/>
      <c r="M31" s="146" t="s">
        <v>1616</v>
      </c>
      <c r="N31" s="146" t="s">
        <v>1616</v>
      </c>
      <c r="O31" s="146" t="s">
        <v>1616</v>
      </c>
      <c r="P31" s="145"/>
      <c r="Q31" s="146" t="s">
        <v>1626</v>
      </c>
      <c r="R31" s="146" t="s">
        <v>1627</v>
      </c>
      <c r="S31" s="146" t="s">
        <v>1628</v>
      </c>
    </row>
    <row r="32" spans="1:19" s="9" customFormat="1" x14ac:dyDescent="0.25">
      <c r="A32" s="145" t="s">
        <v>1623</v>
      </c>
      <c r="B32" s="145" t="str">
        <f>CHOOSE(Translations!$C$1+1,Q32,R32,S32)</f>
        <v>HIV I-9b⁽ᴹ⁾ Pourcentage de personnes transgenres vivant avec le VIH</v>
      </c>
      <c r="C32" s="145">
        <f t="shared" si="0"/>
        <v>1</v>
      </c>
      <c r="D32" s="145" t="str">
        <f t="shared" si="1"/>
        <v>HIV I-9b⁽ᴹ⁾ Pourcentage de personnes transgenres vivant avec le VIH-1</v>
      </c>
      <c r="E32" s="145" t="str">
        <f>CHOOSE(Translations!$C$1+1,I32,J32,K32)</f>
        <v>Age</v>
      </c>
      <c r="F32" s="145" t="str">
        <f>CHOOSE(Translations!$C$1+1,M32,N32,O32)</f>
        <v>&lt;25</v>
      </c>
      <c r="G32" s="145" t="s">
        <v>1629</v>
      </c>
      <c r="H32" s="146" t="s">
        <v>1630</v>
      </c>
      <c r="I32" s="146" t="s">
        <v>1563</v>
      </c>
      <c r="J32" s="146" t="s">
        <v>1563</v>
      </c>
      <c r="K32" s="146" t="s">
        <v>1564</v>
      </c>
      <c r="L32" s="145"/>
      <c r="M32" s="146" t="s">
        <v>1622</v>
      </c>
      <c r="N32" s="146" t="s">
        <v>1622</v>
      </c>
      <c r="O32" s="146" t="s">
        <v>1622</v>
      </c>
      <c r="P32" s="145"/>
      <c r="Q32" s="146" t="s">
        <v>1626</v>
      </c>
      <c r="R32" s="146" t="s">
        <v>1627</v>
      </c>
      <c r="S32" s="146" t="s">
        <v>1628</v>
      </c>
    </row>
    <row r="33" spans="1:19" s="9" customFormat="1" x14ac:dyDescent="0.25">
      <c r="A33" s="145" t="s">
        <v>1631</v>
      </c>
      <c r="B33" s="145" t="str">
        <f>CHOOSE(Translations!$C$1+1,Q33,R33,S33)</f>
        <v>HIV I-10⁽ᴹ⁾ Pourcentage de professionnels du sexe vivant avec le VIH</v>
      </c>
      <c r="C33" s="145">
        <f t="shared" si="0"/>
        <v>0</v>
      </c>
      <c r="D33" s="145" t="str">
        <f t="shared" si="1"/>
        <v>HIV I-10⁽ᴹ⁾ Pourcentage de professionnels du sexe vivant avec le VIH-0</v>
      </c>
      <c r="E33" s="145" t="str">
        <f>CHOOSE(Translations!$C$1+1,I33,J33,K33)</f>
        <v>Sexe</v>
      </c>
      <c r="F33" s="145" t="str">
        <f>CHOOSE(Translations!$C$1+1,M33,N33,O33)</f>
        <v>Transgenre</v>
      </c>
      <c r="G33" s="145" t="s">
        <v>1632</v>
      </c>
      <c r="H33" s="146" t="s">
        <v>1633</v>
      </c>
      <c r="I33" s="146" t="s">
        <v>1550</v>
      </c>
      <c r="J33" s="146" t="s">
        <v>1551</v>
      </c>
      <c r="K33" s="146" t="s">
        <v>1552</v>
      </c>
      <c r="L33" s="145"/>
      <c r="M33" s="146" t="s">
        <v>1634</v>
      </c>
      <c r="N33" s="146" t="s">
        <v>1635</v>
      </c>
      <c r="O33" s="146" t="s">
        <v>1636</v>
      </c>
      <c r="P33" s="145"/>
      <c r="Q33" s="146" t="s">
        <v>1637</v>
      </c>
      <c r="R33" s="146" t="s">
        <v>1638</v>
      </c>
      <c r="S33" s="146" t="s">
        <v>1639</v>
      </c>
    </row>
    <row r="34" spans="1:19" s="9" customFormat="1" x14ac:dyDescent="0.25">
      <c r="A34" s="145" t="s">
        <v>1631</v>
      </c>
      <c r="B34" s="145" t="str">
        <f>CHOOSE(Translations!$C$1+1,Q34,R34,S34)</f>
        <v>HIV I-10⁽ᴹ⁾ Pourcentage de professionnels du sexe vivant avec le VIH</v>
      </c>
      <c r="C34" s="145">
        <f t="shared" si="0"/>
        <v>1</v>
      </c>
      <c r="D34" s="145" t="str">
        <f t="shared" si="1"/>
        <v>HIV I-10⁽ᴹ⁾ Pourcentage de professionnels du sexe vivant avec le VIH-1</v>
      </c>
      <c r="E34" s="145" t="str">
        <f>CHOOSE(Translations!$C$1+1,I34,J34,K34)</f>
        <v>Sexe</v>
      </c>
      <c r="F34" s="145" t="str">
        <f>CHOOSE(Translations!$C$1+1,M34,N34,O34)</f>
        <v>Femme</v>
      </c>
      <c r="G34" s="145" t="s">
        <v>1640</v>
      </c>
      <c r="H34" s="146" t="s">
        <v>1641</v>
      </c>
      <c r="I34" s="146" t="s">
        <v>1550</v>
      </c>
      <c r="J34" s="146" t="s">
        <v>1551</v>
      </c>
      <c r="K34" s="146" t="s">
        <v>1552</v>
      </c>
      <c r="L34" s="145"/>
      <c r="M34" s="146" t="s">
        <v>1553</v>
      </c>
      <c r="N34" s="146" t="s">
        <v>1554</v>
      </c>
      <c r="O34" s="146" t="s">
        <v>1555</v>
      </c>
      <c r="P34" s="145"/>
      <c r="Q34" s="146" t="s">
        <v>1637</v>
      </c>
      <c r="R34" s="146" t="s">
        <v>1638</v>
      </c>
      <c r="S34" s="146" t="s">
        <v>1639</v>
      </c>
    </row>
    <row r="35" spans="1:19" s="9" customFormat="1" x14ac:dyDescent="0.25">
      <c r="A35" s="145" t="s">
        <v>1631</v>
      </c>
      <c r="B35" s="145" t="str">
        <f>CHOOSE(Translations!$C$1+1,Q35,R35,S35)</f>
        <v>HIV I-10⁽ᴹ⁾ Pourcentage de professionnels du sexe vivant avec le VIH</v>
      </c>
      <c r="C35" s="145">
        <f t="shared" si="0"/>
        <v>2</v>
      </c>
      <c r="D35" s="145" t="str">
        <f t="shared" si="1"/>
        <v>HIV I-10⁽ᴹ⁾ Pourcentage de professionnels du sexe vivant avec le VIH-2</v>
      </c>
      <c r="E35" s="145" t="str">
        <f>CHOOSE(Translations!$C$1+1,I35,J35,K35)</f>
        <v>Sexe</v>
      </c>
      <c r="F35" s="145" t="str">
        <f>CHOOSE(Translations!$C$1+1,M35,N35,O35)</f>
        <v>Homme</v>
      </c>
      <c r="G35" s="145" t="s">
        <v>1642</v>
      </c>
      <c r="H35" s="146" t="s">
        <v>1643</v>
      </c>
      <c r="I35" s="146" t="s">
        <v>1550</v>
      </c>
      <c r="J35" s="146" t="s">
        <v>1551</v>
      </c>
      <c r="K35" s="146" t="s">
        <v>1552</v>
      </c>
      <c r="L35" s="145"/>
      <c r="M35" s="146" t="s">
        <v>1558</v>
      </c>
      <c r="N35" s="146" t="s">
        <v>1559</v>
      </c>
      <c r="O35" s="146" t="s">
        <v>1560</v>
      </c>
      <c r="P35" s="145"/>
      <c r="Q35" s="146" t="s">
        <v>1637</v>
      </c>
      <c r="R35" s="146" t="s">
        <v>1638</v>
      </c>
      <c r="S35" s="146" t="s">
        <v>1639</v>
      </c>
    </row>
    <row r="36" spans="1:19" s="9" customFormat="1" x14ac:dyDescent="0.25">
      <c r="A36" s="145" t="s">
        <v>1631</v>
      </c>
      <c r="B36" s="145" t="str">
        <f>CHOOSE(Translations!$C$1+1,Q36,R36,S36)</f>
        <v>HIV I-10⁽ᴹ⁾ Pourcentage de professionnels du sexe vivant avec le VIH</v>
      </c>
      <c r="C36" s="145">
        <f t="shared" si="0"/>
        <v>3</v>
      </c>
      <c r="D36" s="145" t="str">
        <f t="shared" si="1"/>
        <v>HIV I-10⁽ᴹ⁾ Pourcentage de professionnels du sexe vivant avec le VIH-3</v>
      </c>
      <c r="E36" s="145" t="str">
        <f>CHOOSE(Translations!$C$1+1,I36,J36,K36)</f>
        <v>Age</v>
      </c>
      <c r="F36" s="145" t="str">
        <f>CHOOSE(Translations!$C$1+1,M36,N36,O36)</f>
        <v>25+</v>
      </c>
      <c r="G36" s="145" t="s">
        <v>1644</v>
      </c>
      <c r="H36" s="146" t="s">
        <v>1645</v>
      </c>
      <c r="I36" s="146" t="s">
        <v>1563</v>
      </c>
      <c r="J36" s="146" t="s">
        <v>1563</v>
      </c>
      <c r="K36" s="146" t="s">
        <v>1564</v>
      </c>
      <c r="L36" s="145"/>
      <c r="M36" s="146" t="s">
        <v>1616</v>
      </c>
      <c r="N36" s="146" t="s">
        <v>1616</v>
      </c>
      <c r="O36" s="146" t="s">
        <v>1616</v>
      </c>
      <c r="P36" s="145"/>
      <c r="Q36" s="146" t="s">
        <v>1637</v>
      </c>
      <c r="R36" s="146" t="s">
        <v>1638</v>
      </c>
      <c r="S36" s="146" t="s">
        <v>1639</v>
      </c>
    </row>
    <row r="37" spans="1:19" s="9" customFormat="1" x14ac:dyDescent="0.25">
      <c r="A37" s="145" t="s">
        <v>1631</v>
      </c>
      <c r="B37" s="145" t="str">
        <f>CHOOSE(Translations!$C$1+1,Q37,R37,S37)</f>
        <v>HIV I-10⁽ᴹ⁾ Pourcentage de professionnels du sexe vivant avec le VIH</v>
      </c>
      <c r="C37" s="145">
        <f t="shared" si="0"/>
        <v>4</v>
      </c>
      <c r="D37" s="145" t="str">
        <f t="shared" si="1"/>
        <v>HIV I-10⁽ᴹ⁾ Pourcentage de professionnels du sexe vivant avec le VIH-4</v>
      </c>
      <c r="E37" s="145" t="str">
        <f>CHOOSE(Translations!$C$1+1,I37,J37,K37)</f>
        <v>Age</v>
      </c>
      <c r="F37" s="145" t="str">
        <f>CHOOSE(Translations!$C$1+1,M37,N37,O37)</f>
        <v>&lt;25</v>
      </c>
      <c r="G37" s="145" t="s">
        <v>1646</v>
      </c>
      <c r="H37" s="146" t="s">
        <v>1647</v>
      </c>
      <c r="I37" s="146" t="s">
        <v>1563</v>
      </c>
      <c r="J37" s="146" t="s">
        <v>1563</v>
      </c>
      <c r="K37" s="146" t="s">
        <v>1564</v>
      </c>
      <c r="L37" s="145"/>
      <c r="M37" s="146" t="s">
        <v>1622</v>
      </c>
      <c r="N37" s="146" t="s">
        <v>1622</v>
      </c>
      <c r="O37" s="146" t="s">
        <v>1622</v>
      </c>
      <c r="P37" s="145"/>
      <c r="Q37" s="146" t="s">
        <v>1637</v>
      </c>
      <c r="R37" s="146" t="s">
        <v>1638</v>
      </c>
      <c r="S37" s="146" t="s">
        <v>1639</v>
      </c>
    </row>
    <row r="38" spans="1:19" s="9" customFormat="1" x14ac:dyDescent="0.25">
      <c r="A38" s="145" t="s">
        <v>1648</v>
      </c>
      <c r="B38" s="145" t="str">
        <f>CHOOSE(Translations!$C$1+1,Q38,R38,S38)</f>
        <v>HIV I-11⁽ᴹ⁾ Pourcentage de personnes qui s’injectent des drogues vivant avec le VIH</v>
      </c>
      <c r="C38" s="145">
        <f t="shared" si="0"/>
        <v>0</v>
      </c>
      <c r="D38" s="145" t="str">
        <f t="shared" si="1"/>
        <v>HIV I-11⁽ᴹ⁾ Pourcentage de personnes qui s’injectent des drogues vivant avec le VIH-0</v>
      </c>
      <c r="E38" s="145" t="str">
        <f>CHOOSE(Translations!$C$1+1,I38,J38,K38)</f>
        <v>Sexe</v>
      </c>
      <c r="F38" s="145" t="str">
        <f>CHOOSE(Translations!$C$1+1,M38,N38,O38)</f>
        <v>Transgenre</v>
      </c>
      <c r="G38" s="145" t="s">
        <v>1649</v>
      </c>
      <c r="H38" s="146" t="s">
        <v>1650</v>
      </c>
      <c r="I38" s="146" t="s">
        <v>1550</v>
      </c>
      <c r="J38" s="146" t="s">
        <v>1551</v>
      </c>
      <c r="K38" s="146" t="s">
        <v>1552</v>
      </c>
      <c r="L38" s="145"/>
      <c r="M38" s="146" t="s">
        <v>1634</v>
      </c>
      <c r="N38" s="146" t="s">
        <v>1635</v>
      </c>
      <c r="O38" s="146" t="s">
        <v>1636</v>
      </c>
      <c r="P38" s="145"/>
      <c r="Q38" s="146" t="s">
        <v>1651</v>
      </c>
      <c r="R38" s="146" t="s">
        <v>1652</v>
      </c>
      <c r="S38" s="146" t="s">
        <v>1653</v>
      </c>
    </row>
    <row r="39" spans="1:19" s="9" customFormat="1" x14ac:dyDescent="0.25">
      <c r="A39" s="145" t="s">
        <v>1648</v>
      </c>
      <c r="B39" s="145" t="str">
        <f>CHOOSE(Translations!$C$1+1,Q39,R39,S39)</f>
        <v>HIV I-11⁽ᴹ⁾ Pourcentage de personnes qui s’injectent des drogues vivant avec le VIH</v>
      </c>
      <c r="C39" s="145">
        <f t="shared" si="0"/>
        <v>1</v>
      </c>
      <c r="D39" s="145" t="str">
        <f t="shared" si="1"/>
        <v>HIV I-11⁽ᴹ⁾ Pourcentage de personnes qui s’injectent des drogues vivant avec le VIH-1</v>
      </c>
      <c r="E39" s="145" t="str">
        <f>CHOOSE(Translations!$C$1+1,I39,J39,K39)</f>
        <v>Sexe</v>
      </c>
      <c r="F39" s="145" t="str">
        <f>CHOOSE(Translations!$C$1+1,M39,N39,O39)</f>
        <v>Femme</v>
      </c>
      <c r="G39" s="145" t="s">
        <v>1654</v>
      </c>
      <c r="H39" s="146" t="s">
        <v>1655</v>
      </c>
      <c r="I39" s="146" t="s">
        <v>1550</v>
      </c>
      <c r="J39" s="146" t="s">
        <v>1551</v>
      </c>
      <c r="K39" s="146" t="s">
        <v>1552</v>
      </c>
      <c r="L39" s="145"/>
      <c r="M39" s="146" t="s">
        <v>1553</v>
      </c>
      <c r="N39" s="146" t="s">
        <v>1554</v>
      </c>
      <c r="O39" s="146" t="s">
        <v>1555</v>
      </c>
      <c r="P39" s="145"/>
      <c r="Q39" s="146" t="s">
        <v>1651</v>
      </c>
      <c r="R39" s="146" t="s">
        <v>1652</v>
      </c>
      <c r="S39" s="146" t="s">
        <v>1653</v>
      </c>
    </row>
    <row r="40" spans="1:19" s="9" customFormat="1" x14ac:dyDescent="0.25">
      <c r="A40" s="145" t="s">
        <v>1648</v>
      </c>
      <c r="B40" s="145" t="str">
        <f>CHOOSE(Translations!$C$1+1,Q40,R40,S40)</f>
        <v>HIV I-11⁽ᴹ⁾ Pourcentage de personnes qui s’injectent des drogues vivant avec le VIH</v>
      </c>
      <c r="C40" s="145">
        <f t="shared" si="0"/>
        <v>2</v>
      </c>
      <c r="D40" s="145" t="str">
        <f t="shared" si="1"/>
        <v>HIV I-11⁽ᴹ⁾ Pourcentage de personnes qui s’injectent des drogues vivant avec le VIH-2</v>
      </c>
      <c r="E40" s="145" t="str">
        <f>CHOOSE(Translations!$C$1+1,I40,J40,K40)</f>
        <v>Sexe</v>
      </c>
      <c r="F40" s="145" t="str">
        <f>CHOOSE(Translations!$C$1+1,M40,N40,O40)</f>
        <v>Homme</v>
      </c>
      <c r="G40" s="145" t="s">
        <v>1656</v>
      </c>
      <c r="H40" s="146" t="s">
        <v>1657</v>
      </c>
      <c r="I40" s="146" t="s">
        <v>1550</v>
      </c>
      <c r="J40" s="146" t="s">
        <v>1551</v>
      </c>
      <c r="K40" s="146" t="s">
        <v>1552</v>
      </c>
      <c r="L40" s="145"/>
      <c r="M40" s="146" t="s">
        <v>1558</v>
      </c>
      <c r="N40" s="146" t="s">
        <v>1559</v>
      </c>
      <c r="O40" s="146" t="s">
        <v>1560</v>
      </c>
      <c r="P40" s="145"/>
      <c r="Q40" s="146" t="s">
        <v>1651</v>
      </c>
      <c r="R40" s="146" t="s">
        <v>1652</v>
      </c>
      <c r="S40" s="146" t="s">
        <v>1653</v>
      </c>
    </row>
    <row r="41" spans="1:19" s="9" customFormat="1" x14ac:dyDescent="0.25">
      <c r="A41" s="145" t="s">
        <v>1648</v>
      </c>
      <c r="B41" s="145" t="str">
        <f>CHOOSE(Translations!$C$1+1,Q41,R41,S41)</f>
        <v>HIV I-11⁽ᴹ⁾ Pourcentage de personnes qui s’injectent des drogues vivant avec le VIH</v>
      </c>
      <c r="C41" s="145">
        <f t="shared" si="0"/>
        <v>3</v>
      </c>
      <c r="D41" s="145" t="str">
        <f t="shared" si="1"/>
        <v>HIV I-11⁽ᴹ⁾ Pourcentage de personnes qui s’injectent des drogues vivant avec le VIH-3</v>
      </c>
      <c r="E41" s="145" t="str">
        <f>CHOOSE(Translations!$C$1+1,I41,J41,K41)</f>
        <v>Age</v>
      </c>
      <c r="F41" s="145" t="str">
        <f>CHOOSE(Translations!$C$1+1,M41,N41,O41)</f>
        <v>25+</v>
      </c>
      <c r="G41" s="145" t="s">
        <v>1658</v>
      </c>
      <c r="H41" s="146" t="s">
        <v>1659</v>
      </c>
      <c r="I41" s="146" t="s">
        <v>1563</v>
      </c>
      <c r="J41" s="146" t="s">
        <v>1563</v>
      </c>
      <c r="K41" s="146" t="s">
        <v>1564</v>
      </c>
      <c r="L41" s="145"/>
      <c r="M41" s="146" t="s">
        <v>1616</v>
      </c>
      <c r="N41" s="146" t="s">
        <v>1616</v>
      </c>
      <c r="O41" s="146" t="s">
        <v>1616</v>
      </c>
      <c r="P41" s="145"/>
      <c r="Q41" s="146" t="s">
        <v>1651</v>
      </c>
      <c r="R41" s="146" t="s">
        <v>1652</v>
      </c>
      <c r="S41" s="146" t="s">
        <v>1653</v>
      </c>
    </row>
    <row r="42" spans="1:19" s="9" customFormat="1" x14ac:dyDescent="0.25">
      <c r="A42" s="145" t="s">
        <v>1648</v>
      </c>
      <c r="B42" s="145" t="str">
        <f>CHOOSE(Translations!$C$1+1,Q42,R42,S42)</f>
        <v>HIV I-11⁽ᴹ⁾ Pourcentage de personnes qui s’injectent des drogues vivant avec le VIH</v>
      </c>
      <c r="C42" s="145">
        <f t="shared" si="0"/>
        <v>4</v>
      </c>
      <c r="D42" s="145" t="str">
        <f t="shared" si="1"/>
        <v>HIV I-11⁽ᴹ⁾ Pourcentage de personnes qui s’injectent des drogues vivant avec le VIH-4</v>
      </c>
      <c r="E42" s="145" t="str">
        <f>CHOOSE(Translations!$C$1+1,I42,J42,K42)</f>
        <v>Age</v>
      </c>
      <c r="F42" s="145" t="str">
        <f>CHOOSE(Translations!$C$1+1,M42,N42,O42)</f>
        <v>&lt;25</v>
      </c>
      <c r="G42" s="145" t="s">
        <v>1660</v>
      </c>
      <c r="H42" s="146" t="s">
        <v>1661</v>
      </c>
      <c r="I42" s="146" t="s">
        <v>1563</v>
      </c>
      <c r="J42" s="146" t="s">
        <v>1563</v>
      </c>
      <c r="K42" s="146" t="s">
        <v>1564</v>
      </c>
      <c r="L42" s="145"/>
      <c r="M42" s="146" t="s">
        <v>1622</v>
      </c>
      <c r="N42" s="146" t="s">
        <v>1622</v>
      </c>
      <c r="O42" s="146" t="s">
        <v>1622</v>
      </c>
      <c r="P42" s="145"/>
      <c r="Q42" s="146" t="s">
        <v>1651</v>
      </c>
      <c r="R42" s="146" t="s">
        <v>1652</v>
      </c>
      <c r="S42" s="146" t="s">
        <v>1653</v>
      </c>
    </row>
    <row r="43" spans="1:19" s="9" customFormat="1" x14ac:dyDescent="0.25">
      <c r="A43" s="145" t="s">
        <v>1662</v>
      </c>
      <c r="B43" s="145" t="str">
        <f>CHOOSE(Translations!$C$1+1,Q43,R43,S43)</f>
        <v>Malaria I-1⁽ᴹ⁾ Cas de paludisme enregistrés (présumés et confirmés)</v>
      </c>
      <c r="C43" s="145">
        <f t="shared" si="0"/>
        <v>0</v>
      </c>
      <c r="D43" s="145" t="str">
        <f t="shared" si="1"/>
        <v>Malaria I-1⁽ᴹ⁾ Cas de paludisme enregistrés (présumés et confirmés)-0</v>
      </c>
      <c r="E43" s="145" t="str">
        <f>CHOOSE(Translations!$C$1+1,I43,J43,K43)</f>
        <v>Définition des cas</v>
      </c>
      <c r="F43" s="145" t="str">
        <f>CHOOSE(Translations!$C$1+1,M43,N43,O43)</f>
        <v>Présumé</v>
      </c>
      <c r="G43" s="145" t="s">
        <v>1663</v>
      </c>
      <c r="H43" s="146" t="s">
        <v>1664</v>
      </c>
      <c r="I43" s="146" t="s">
        <v>1665</v>
      </c>
      <c r="J43" s="146" t="s">
        <v>1666</v>
      </c>
      <c r="K43" s="146" t="s">
        <v>1667</v>
      </c>
      <c r="L43" s="145"/>
      <c r="M43" s="146" t="s">
        <v>1668</v>
      </c>
      <c r="N43" s="146" t="s">
        <v>1669</v>
      </c>
      <c r="O43" s="146" t="s">
        <v>1670</v>
      </c>
      <c r="P43" s="145"/>
      <c r="Q43" s="146" t="s">
        <v>1671</v>
      </c>
      <c r="R43" s="146" t="s">
        <v>1672</v>
      </c>
      <c r="S43" s="146" t="s">
        <v>1673</v>
      </c>
    </row>
    <row r="44" spans="1:19" s="9" customFormat="1" x14ac:dyDescent="0.25">
      <c r="A44" s="145" t="s">
        <v>1662</v>
      </c>
      <c r="B44" s="145" t="str">
        <f>CHOOSE(Translations!$C$1+1,Q44,R44,S44)</f>
        <v>Malaria I-1⁽ᴹ⁾ Cas de paludisme enregistrés (présumés et confirmés)</v>
      </c>
      <c r="C44" s="145">
        <f t="shared" si="0"/>
        <v>1</v>
      </c>
      <c r="D44" s="145" t="str">
        <f t="shared" si="1"/>
        <v>Malaria I-1⁽ᴹ⁾ Cas de paludisme enregistrés (présumés et confirmés)-1</v>
      </c>
      <c r="E44" s="145" t="str">
        <f>CHOOSE(Translations!$C$1+1,I44,J44,K44)</f>
        <v>Définition des cas</v>
      </c>
      <c r="F44" s="145" t="str">
        <f>CHOOSE(Translations!$C$1+1,M44,N44,O44)</f>
        <v>Confirmé</v>
      </c>
      <c r="G44" s="145" t="s">
        <v>1674</v>
      </c>
      <c r="H44" s="146" t="s">
        <v>1675</v>
      </c>
      <c r="I44" s="146" t="s">
        <v>1665</v>
      </c>
      <c r="J44" s="146" t="s">
        <v>1666</v>
      </c>
      <c r="K44" s="146" t="s">
        <v>1667</v>
      </c>
      <c r="L44" s="145"/>
      <c r="M44" s="146" t="s">
        <v>1676</v>
      </c>
      <c r="N44" s="146" t="s">
        <v>1677</v>
      </c>
      <c r="O44" s="146" t="s">
        <v>1678</v>
      </c>
      <c r="P44" s="145"/>
      <c r="Q44" s="146" t="s">
        <v>1671</v>
      </c>
      <c r="R44" s="146" t="s">
        <v>1672</v>
      </c>
      <c r="S44" s="146" t="s">
        <v>1673</v>
      </c>
    </row>
    <row r="45" spans="1:19" s="9" customFormat="1" x14ac:dyDescent="0.25">
      <c r="A45" s="145" t="s">
        <v>1662</v>
      </c>
      <c r="B45" s="145" t="str">
        <f>CHOOSE(Translations!$C$1+1,Q45,R45,S45)</f>
        <v>Malaria I-1⁽ᴹ⁾ Cas de paludisme enregistrés (présumés et confirmés)</v>
      </c>
      <c r="C45" s="145">
        <f t="shared" si="0"/>
        <v>2</v>
      </c>
      <c r="D45" s="145" t="str">
        <f t="shared" si="1"/>
        <v>Malaria I-1⁽ᴹ⁾ Cas de paludisme enregistrés (présumés et confirmés)-2</v>
      </c>
      <c r="E45" s="145" t="str">
        <f>CHOOSE(Translations!$C$1+1,I45,J45,K45)</f>
        <v>Age</v>
      </c>
      <c r="F45" s="145" t="str">
        <f>CHOOSE(Translations!$C$1+1,M45,N45,O45)</f>
        <v>5+</v>
      </c>
      <c r="G45" s="145" t="s">
        <v>1679</v>
      </c>
      <c r="H45" s="146" t="s">
        <v>1680</v>
      </c>
      <c r="I45" s="146" t="s">
        <v>1563</v>
      </c>
      <c r="J45" s="146" t="s">
        <v>1563</v>
      </c>
      <c r="K45" s="146" t="s">
        <v>1564</v>
      </c>
      <c r="L45" s="145"/>
      <c r="M45" s="146" t="s">
        <v>1681</v>
      </c>
      <c r="N45" s="146" t="s">
        <v>1681</v>
      </c>
      <c r="O45" s="146" t="s">
        <v>1681</v>
      </c>
      <c r="P45" s="145"/>
      <c r="Q45" s="146" t="s">
        <v>1671</v>
      </c>
      <c r="R45" s="146" t="s">
        <v>1672</v>
      </c>
      <c r="S45" s="146" t="s">
        <v>1673</v>
      </c>
    </row>
    <row r="46" spans="1:19" s="9" customFormat="1" x14ac:dyDescent="0.25">
      <c r="A46" s="145" t="s">
        <v>1662</v>
      </c>
      <c r="B46" s="145" t="str">
        <f>CHOOSE(Translations!$C$1+1,Q46,R46,S46)</f>
        <v>Malaria I-1⁽ᴹ⁾ Cas de paludisme enregistrés (présumés et confirmés)</v>
      </c>
      <c r="C46" s="145">
        <f t="shared" si="0"/>
        <v>3</v>
      </c>
      <c r="D46" s="145" t="str">
        <f t="shared" si="1"/>
        <v>Malaria I-1⁽ᴹ⁾ Cas de paludisme enregistrés (présumés et confirmés)-3</v>
      </c>
      <c r="E46" s="145" t="str">
        <f>CHOOSE(Translations!$C$1+1,I46,J46,K46)</f>
        <v>Age</v>
      </c>
      <c r="F46" s="145" t="str">
        <f>CHOOSE(Translations!$C$1+1,M46,N46,O46)</f>
        <v>&lt;5</v>
      </c>
      <c r="G46" s="145" t="s">
        <v>1682</v>
      </c>
      <c r="H46" s="146" t="s">
        <v>1683</v>
      </c>
      <c r="I46" s="146" t="s">
        <v>1563</v>
      </c>
      <c r="J46" s="146" t="s">
        <v>1563</v>
      </c>
      <c r="K46" s="146" t="s">
        <v>1564</v>
      </c>
      <c r="L46" s="145"/>
      <c r="M46" s="146" t="s">
        <v>1612</v>
      </c>
      <c r="N46" s="146" t="s">
        <v>1612</v>
      </c>
      <c r="O46" s="146" t="s">
        <v>1612</v>
      </c>
      <c r="P46" s="145"/>
      <c r="Q46" s="146" t="s">
        <v>1671</v>
      </c>
      <c r="R46" s="146" t="s">
        <v>1672</v>
      </c>
      <c r="S46" s="146" t="s">
        <v>1673</v>
      </c>
    </row>
    <row r="47" spans="1:19" s="9" customFormat="1" x14ac:dyDescent="0.25">
      <c r="A47" s="145" t="s">
        <v>1684</v>
      </c>
      <c r="B47" s="145" t="str">
        <f>CHOOSE(Translations!$C$1+1,Q47,R47,S47)</f>
        <v>Malaria I-2.1 Nombre de cas confirmés de paludisme (par microscopie ou TDR) pour 1000 habitants par an</v>
      </c>
      <c r="C47" s="145">
        <f t="shared" si="0"/>
        <v>0</v>
      </c>
      <c r="D47" s="145" t="str">
        <f t="shared" si="1"/>
        <v>Malaria I-2.1 Nombre de cas confirmés de paludisme (par microscopie ou TDR) pour 1000 habitants par an-0</v>
      </c>
      <c r="E47" s="145" t="str">
        <f>CHOOSE(Translations!$C$1+1,I47,J47,K47)</f>
        <v>Espèce</v>
      </c>
      <c r="F47" s="145" t="str">
        <f>CHOOSE(Translations!$C$1+1,M47,N47,O47)</f>
        <v>Autre espèce</v>
      </c>
      <c r="G47" s="145" t="s">
        <v>1685</v>
      </c>
      <c r="H47" s="146" t="s">
        <v>1686</v>
      </c>
      <c r="I47" s="146" t="s">
        <v>1687</v>
      </c>
      <c r="J47" s="146" t="s">
        <v>1688</v>
      </c>
      <c r="K47" s="146" t="s">
        <v>1689</v>
      </c>
      <c r="L47" s="145"/>
      <c r="M47" s="146" t="s">
        <v>1690</v>
      </c>
      <c r="N47" s="146" t="s">
        <v>1691</v>
      </c>
      <c r="O47" s="146" t="s">
        <v>1692</v>
      </c>
      <c r="P47" s="145"/>
      <c r="Q47" s="146" t="s">
        <v>1693</v>
      </c>
      <c r="R47" s="146" t="s">
        <v>1694</v>
      </c>
      <c r="S47" s="146" t="s">
        <v>1695</v>
      </c>
    </row>
    <row r="48" spans="1:19" s="9" customFormat="1" x14ac:dyDescent="0.25">
      <c r="A48" s="145" t="s">
        <v>1684</v>
      </c>
      <c r="B48" s="145" t="str">
        <f>CHOOSE(Translations!$C$1+1,Q48,R48,S48)</f>
        <v>Malaria I-2.1 Nombre de cas confirmés de paludisme (par microscopie ou TDR) pour 1000 habitants par an</v>
      </c>
      <c r="C48" s="145">
        <f t="shared" si="0"/>
        <v>1</v>
      </c>
      <c r="D48" s="145" t="str">
        <f t="shared" si="1"/>
        <v>Malaria I-2.1 Nombre de cas confirmés de paludisme (par microscopie ou TDR) pour 1000 habitants par an-1</v>
      </c>
      <c r="E48" s="145" t="str">
        <f>CHOOSE(Translations!$C$1+1,I48,J48,K48)</f>
        <v>Espèce</v>
      </c>
      <c r="F48" s="145" t="str">
        <f>CHOOSE(Translations!$C$1+1,M48,N48,O48)</f>
        <v>Les deux</v>
      </c>
      <c r="G48" s="145" t="s">
        <v>1696</v>
      </c>
      <c r="H48" s="146" t="s">
        <v>1697</v>
      </c>
      <c r="I48" s="146" t="s">
        <v>1687</v>
      </c>
      <c r="J48" s="146" t="s">
        <v>1688</v>
      </c>
      <c r="K48" s="146" t="s">
        <v>1689</v>
      </c>
      <c r="L48" s="145"/>
      <c r="M48" s="146" t="s">
        <v>1698</v>
      </c>
      <c r="N48" s="146" t="s">
        <v>1699</v>
      </c>
      <c r="O48" s="146" t="s">
        <v>1700</v>
      </c>
      <c r="P48" s="145"/>
      <c r="Q48" s="146" t="s">
        <v>1693</v>
      </c>
      <c r="R48" s="146" t="s">
        <v>1694</v>
      </c>
      <c r="S48" s="146" t="s">
        <v>1695</v>
      </c>
    </row>
    <row r="49" spans="1:19" s="9" customFormat="1" x14ac:dyDescent="0.25">
      <c r="A49" s="145" t="s">
        <v>1684</v>
      </c>
      <c r="B49" s="145" t="str">
        <f>CHOOSE(Translations!$C$1+1,Q49,R49,S49)</f>
        <v>Malaria I-2.1 Nombre de cas confirmés de paludisme (par microscopie ou TDR) pour 1000 habitants par an</v>
      </c>
      <c r="C49" s="145">
        <f t="shared" si="0"/>
        <v>2</v>
      </c>
      <c r="D49" s="145" t="str">
        <f t="shared" si="1"/>
        <v>Malaria I-2.1 Nombre de cas confirmés de paludisme (par microscopie ou TDR) pour 1000 habitants par an-2</v>
      </c>
      <c r="E49" s="145" t="str">
        <f>CHOOSE(Translations!$C$1+1,I49,J49,K49)</f>
        <v>Espèce</v>
      </c>
      <c r="F49" s="145" t="str">
        <f>CHOOSE(Translations!$C$1+1,M49,N49,O49)</f>
        <v>P. falciparum</v>
      </c>
      <c r="G49" s="145" t="s">
        <v>1701</v>
      </c>
      <c r="H49" s="146" t="s">
        <v>1702</v>
      </c>
      <c r="I49" s="146" t="s">
        <v>1687</v>
      </c>
      <c r="J49" s="146" t="s">
        <v>1688</v>
      </c>
      <c r="K49" s="146" t="s">
        <v>1689</v>
      </c>
      <c r="L49" s="145"/>
      <c r="M49" s="146" t="s">
        <v>1703</v>
      </c>
      <c r="N49" s="146" t="s">
        <v>1704</v>
      </c>
      <c r="O49" s="146" t="s">
        <v>1705</v>
      </c>
      <c r="P49" s="145"/>
      <c r="Q49" s="146" t="s">
        <v>1693</v>
      </c>
      <c r="R49" s="146" t="s">
        <v>1694</v>
      </c>
      <c r="S49" s="146" t="s">
        <v>1695</v>
      </c>
    </row>
    <row r="50" spans="1:19" s="9" customFormat="1" x14ac:dyDescent="0.25">
      <c r="A50" s="145" t="s">
        <v>1684</v>
      </c>
      <c r="B50" s="145" t="str">
        <f>CHOOSE(Translations!$C$1+1,Q50,R50,S50)</f>
        <v>Malaria I-2.1 Nombre de cas confirmés de paludisme (par microscopie ou TDR) pour 1000 habitants par an</v>
      </c>
      <c r="C50" s="145">
        <f t="shared" si="0"/>
        <v>3</v>
      </c>
      <c r="D50" s="145" t="str">
        <f t="shared" si="1"/>
        <v>Malaria I-2.1 Nombre de cas confirmés de paludisme (par microscopie ou TDR) pour 1000 habitants par an-3</v>
      </c>
      <c r="E50" s="145" t="str">
        <f>CHOOSE(Translations!$C$1+1,I50,J50,K50)</f>
        <v>Espèce</v>
      </c>
      <c r="F50" s="145" t="str">
        <f>CHOOSE(Translations!$C$1+1,M50,N50,O50)</f>
        <v>P. vivax</v>
      </c>
      <c r="G50" s="145" t="s">
        <v>1706</v>
      </c>
      <c r="H50" s="146" t="s">
        <v>1707</v>
      </c>
      <c r="I50" s="146" t="s">
        <v>1687</v>
      </c>
      <c r="J50" s="146" t="s">
        <v>1688</v>
      </c>
      <c r="K50" s="146" t="s">
        <v>1689</v>
      </c>
      <c r="L50" s="145"/>
      <c r="M50" s="146" t="s">
        <v>1708</v>
      </c>
      <c r="N50" s="146" t="s">
        <v>1709</v>
      </c>
      <c r="O50" s="146" t="s">
        <v>1710</v>
      </c>
      <c r="P50" s="145"/>
      <c r="Q50" s="146" t="s">
        <v>1693</v>
      </c>
      <c r="R50" s="146" t="s">
        <v>1694</v>
      </c>
      <c r="S50" s="146" t="s">
        <v>1695</v>
      </c>
    </row>
    <row r="51" spans="1:19" s="9" customFormat="1" x14ac:dyDescent="0.25">
      <c r="A51" s="145" t="s">
        <v>1684</v>
      </c>
      <c r="B51" s="145" t="str">
        <f>CHOOSE(Translations!$C$1+1,Q51,R51,S51)</f>
        <v>Malaria I-2.1 Nombre de cas confirmés de paludisme (par microscopie ou TDR) pour 1000 habitants par an</v>
      </c>
      <c r="C51" s="145">
        <f t="shared" si="0"/>
        <v>4</v>
      </c>
      <c r="D51" s="145" t="str">
        <f t="shared" si="1"/>
        <v>Malaria I-2.1 Nombre de cas confirmés de paludisme (par microscopie ou TDR) pour 1000 habitants par an-4</v>
      </c>
      <c r="E51" s="145" t="str">
        <f>CHOOSE(Translations!$C$1+1,I51,J51,K51)</f>
        <v>Age</v>
      </c>
      <c r="F51" s="145" t="str">
        <f>CHOOSE(Translations!$C$1+1,M51,N51,O51)</f>
        <v>5+</v>
      </c>
      <c r="G51" s="145" t="s">
        <v>1711</v>
      </c>
      <c r="H51" s="146" t="s">
        <v>1712</v>
      </c>
      <c r="I51" s="146" t="s">
        <v>1563</v>
      </c>
      <c r="J51" s="146" t="s">
        <v>1563</v>
      </c>
      <c r="K51" s="146" t="s">
        <v>1564</v>
      </c>
      <c r="L51" s="145"/>
      <c r="M51" s="146" t="s">
        <v>1681</v>
      </c>
      <c r="N51" s="146" t="s">
        <v>1681</v>
      </c>
      <c r="O51" s="146" t="s">
        <v>1681</v>
      </c>
      <c r="P51" s="145"/>
      <c r="Q51" s="146" t="s">
        <v>1693</v>
      </c>
      <c r="R51" s="146" t="s">
        <v>1694</v>
      </c>
      <c r="S51" s="146" t="s">
        <v>1695</v>
      </c>
    </row>
    <row r="52" spans="1:19" s="9" customFormat="1" x14ac:dyDescent="0.25">
      <c r="A52" s="145" t="s">
        <v>1684</v>
      </c>
      <c r="B52" s="145" t="str">
        <f>CHOOSE(Translations!$C$1+1,Q52,R52,S52)</f>
        <v>Malaria I-2.1 Nombre de cas confirmés de paludisme (par microscopie ou TDR) pour 1000 habitants par an</v>
      </c>
      <c r="C52" s="145">
        <f t="shared" si="0"/>
        <v>5</v>
      </c>
      <c r="D52" s="145" t="str">
        <f t="shared" si="1"/>
        <v>Malaria I-2.1 Nombre de cas confirmés de paludisme (par microscopie ou TDR) pour 1000 habitants par an-5</v>
      </c>
      <c r="E52" s="145" t="str">
        <f>CHOOSE(Translations!$C$1+1,I52,J52,K52)</f>
        <v>Age</v>
      </c>
      <c r="F52" s="145" t="str">
        <f>CHOOSE(Translations!$C$1+1,M52,N52,O52)</f>
        <v>&lt;5</v>
      </c>
      <c r="G52" s="145" t="s">
        <v>1713</v>
      </c>
      <c r="H52" s="146" t="s">
        <v>1714</v>
      </c>
      <c r="I52" s="146" t="s">
        <v>1563</v>
      </c>
      <c r="J52" s="146" t="s">
        <v>1563</v>
      </c>
      <c r="K52" s="146" t="s">
        <v>1564</v>
      </c>
      <c r="L52" s="145"/>
      <c r="M52" s="146" t="s">
        <v>1612</v>
      </c>
      <c r="N52" s="146" t="s">
        <v>1612</v>
      </c>
      <c r="O52" s="146" t="s">
        <v>1612</v>
      </c>
      <c r="P52" s="145"/>
      <c r="Q52" s="146" t="s">
        <v>1693</v>
      </c>
      <c r="R52" s="146" t="s">
        <v>1694</v>
      </c>
      <c r="S52" s="146" t="s">
        <v>1695</v>
      </c>
    </row>
    <row r="53" spans="1:19" s="9" customFormat="1" x14ac:dyDescent="0.25">
      <c r="A53" s="145" t="s">
        <v>1715</v>
      </c>
      <c r="B53" s="145" t="str">
        <f>CHOOSE(Translations!$C$1+1,Q53,R53,S53)</f>
        <v>Malaria I-3.1⁽ᴹ⁾ Nombre de décès dus au paludisme parmi les malades hospitalisés pour 100, 000 habitants par an</v>
      </c>
      <c r="C53" s="145">
        <f t="shared" si="0"/>
        <v>0</v>
      </c>
      <c r="D53" s="145" t="str">
        <f t="shared" si="1"/>
        <v>Malaria I-3.1⁽ᴹ⁾ Nombre de décès dus au paludisme parmi les malades hospitalisés pour 100, 000 habitants par an-0</v>
      </c>
      <c r="E53" s="145" t="str">
        <f>CHOOSE(Translations!$C$1+1,I53,J53,K53)</f>
        <v>Age</v>
      </c>
      <c r="F53" s="145" t="str">
        <f>CHOOSE(Translations!$C$1+1,M53,N53,O53)</f>
        <v>5+</v>
      </c>
      <c r="G53" s="145" t="s">
        <v>1716</v>
      </c>
      <c r="H53" s="146" t="s">
        <v>1717</v>
      </c>
      <c r="I53" s="146" t="s">
        <v>1563</v>
      </c>
      <c r="J53" s="146" t="s">
        <v>1563</v>
      </c>
      <c r="K53" s="146" t="s">
        <v>1564</v>
      </c>
      <c r="L53" s="145"/>
      <c r="M53" s="146" t="s">
        <v>1681</v>
      </c>
      <c r="N53" s="146" t="s">
        <v>1681</v>
      </c>
      <c r="O53" s="146" t="s">
        <v>1681</v>
      </c>
      <c r="P53" s="145"/>
      <c r="Q53" s="146" t="s">
        <v>1718</v>
      </c>
      <c r="R53" s="146" t="s">
        <v>1719</v>
      </c>
      <c r="S53" s="146" t="s">
        <v>1720</v>
      </c>
    </row>
    <row r="54" spans="1:19" s="9" customFormat="1" x14ac:dyDescent="0.25">
      <c r="A54" s="145" t="s">
        <v>1715</v>
      </c>
      <c r="B54" s="145" t="str">
        <f>CHOOSE(Translations!$C$1+1,Q54,R54,S54)</f>
        <v>Malaria I-3.1⁽ᴹ⁾ Nombre de décès dus au paludisme parmi les malades hospitalisés pour 100, 000 habitants par an</v>
      </c>
      <c r="C54" s="145">
        <f t="shared" si="0"/>
        <v>1</v>
      </c>
      <c r="D54" s="145" t="str">
        <f t="shared" si="1"/>
        <v>Malaria I-3.1⁽ᴹ⁾ Nombre de décès dus au paludisme parmi les malades hospitalisés pour 100, 000 habitants par an-1</v>
      </c>
      <c r="E54" s="145" t="str">
        <f>CHOOSE(Translations!$C$1+1,I54,J54,K54)</f>
        <v>Age</v>
      </c>
      <c r="F54" s="145" t="str">
        <f>CHOOSE(Translations!$C$1+1,M54,N54,O54)</f>
        <v>&lt;5</v>
      </c>
      <c r="G54" s="145" t="s">
        <v>1721</v>
      </c>
      <c r="H54" s="146" t="s">
        <v>1722</v>
      </c>
      <c r="I54" s="146" t="s">
        <v>1563</v>
      </c>
      <c r="J54" s="146" t="s">
        <v>1563</v>
      </c>
      <c r="K54" s="146" t="s">
        <v>1564</v>
      </c>
      <c r="L54" s="145"/>
      <c r="M54" s="146" t="s">
        <v>1612</v>
      </c>
      <c r="N54" s="146" t="s">
        <v>1612</v>
      </c>
      <c r="O54" s="146" t="s">
        <v>1612</v>
      </c>
      <c r="P54" s="145"/>
      <c r="Q54" s="146" t="s">
        <v>1718</v>
      </c>
      <c r="R54" s="146" t="s">
        <v>1719</v>
      </c>
      <c r="S54" s="146" t="s">
        <v>1720</v>
      </c>
    </row>
    <row r="55" spans="1:19" s="9" customFormat="1" x14ac:dyDescent="0.25">
      <c r="A55" s="145" t="s">
        <v>1723</v>
      </c>
      <c r="B55" s="145" t="str">
        <f>CHOOSE(Translations!$C$1+1,Q55,R55,S55)</f>
        <v>Malaria I-4 Taux de positivité des tests du paludisme</v>
      </c>
      <c r="C55" s="145">
        <f t="shared" si="0"/>
        <v>0</v>
      </c>
      <c r="D55" s="145" t="str">
        <f t="shared" si="1"/>
        <v>Malaria I-4 Taux de positivité des tests du paludisme-0</v>
      </c>
      <c r="E55" s="145" t="str">
        <f>CHOOSE(Translations!$C$1+1,I55,J55,K55)</f>
        <v>Type de tests</v>
      </c>
      <c r="F55" s="145" t="str">
        <f>CHOOSE(Translations!$C$1+1,M55,N55,O55)</f>
        <v>Test de dépistage rapide</v>
      </c>
      <c r="G55" s="145" t="s">
        <v>1724</v>
      </c>
      <c r="H55" s="146" t="s">
        <v>1725</v>
      </c>
      <c r="I55" s="146" t="s">
        <v>1726</v>
      </c>
      <c r="J55" s="146" t="s">
        <v>1727</v>
      </c>
      <c r="K55" s="146" t="s">
        <v>1728</v>
      </c>
      <c r="L55" s="145"/>
      <c r="M55" s="146" t="s">
        <v>1729</v>
      </c>
      <c r="N55" s="146" t="s">
        <v>1730</v>
      </c>
      <c r="O55" s="146" t="s">
        <v>1731</v>
      </c>
      <c r="P55" s="145"/>
      <c r="Q55" s="146" t="s">
        <v>1732</v>
      </c>
      <c r="R55" s="146" t="s">
        <v>1733</v>
      </c>
      <c r="S55" s="146" t="s">
        <v>1734</v>
      </c>
    </row>
    <row r="56" spans="1:19" s="9" customFormat="1" x14ac:dyDescent="0.25">
      <c r="A56" s="145" t="s">
        <v>1723</v>
      </c>
      <c r="B56" s="145" t="str">
        <f>CHOOSE(Translations!$C$1+1,Q56,R56,S56)</f>
        <v>Malaria I-4 Taux de positivité des tests du paludisme</v>
      </c>
      <c r="C56" s="145">
        <f t="shared" si="0"/>
        <v>1</v>
      </c>
      <c r="D56" s="145" t="str">
        <f t="shared" si="1"/>
        <v>Malaria I-4 Taux de positivité des tests du paludisme-1</v>
      </c>
      <c r="E56" s="145" t="str">
        <f>CHOOSE(Translations!$C$1+1,I56,J56,K56)</f>
        <v>Type de tests</v>
      </c>
      <c r="F56" s="145" t="str">
        <f>CHOOSE(Translations!$C$1+1,M56,N56,O56)</f>
        <v>Microscopie</v>
      </c>
      <c r="G56" s="145" t="s">
        <v>1735</v>
      </c>
      <c r="H56" s="146" t="s">
        <v>1736</v>
      </c>
      <c r="I56" s="146" t="s">
        <v>1726</v>
      </c>
      <c r="J56" s="146" t="s">
        <v>1727</v>
      </c>
      <c r="K56" s="146" t="s">
        <v>1728</v>
      </c>
      <c r="L56" s="145"/>
      <c r="M56" s="146" t="s">
        <v>1737</v>
      </c>
      <c r="N56" s="146" t="s">
        <v>1738</v>
      </c>
      <c r="O56" s="146" t="s">
        <v>1739</v>
      </c>
      <c r="P56" s="145"/>
      <c r="Q56" s="146" t="s">
        <v>1732</v>
      </c>
      <c r="R56" s="146" t="s">
        <v>1733</v>
      </c>
      <c r="S56" s="146" t="s">
        <v>1734</v>
      </c>
    </row>
    <row r="57" spans="1:19" s="9" customFormat="1" x14ac:dyDescent="0.25">
      <c r="A57" s="145" t="s">
        <v>1723</v>
      </c>
      <c r="B57" s="145" t="str">
        <f>CHOOSE(Translations!$C$1+1,Q57,R57,S57)</f>
        <v>Malaria I-4 Taux de positivité des tests du paludisme</v>
      </c>
      <c r="C57" s="145">
        <f t="shared" si="0"/>
        <v>2</v>
      </c>
      <c r="D57" s="145" t="str">
        <f t="shared" si="1"/>
        <v>Malaria I-4 Taux de positivité des tests du paludisme-2</v>
      </c>
      <c r="E57" s="145" t="str">
        <f>CHOOSE(Translations!$C$1+1,I57,J57,K57)</f>
        <v>Espèce</v>
      </c>
      <c r="F57" s="145" t="str">
        <f>CHOOSE(Translations!$C$1+1,M57,N57,O57)</f>
        <v>P. falciparum</v>
      </c>
      <c r="G57" s="145" t="s">
        <v>1740</v>
      </c>
      <c r="H57" s="146" t="s">
        <v>1741</v>
      </c>
      <c r="I57" s="146" t="s">
        <v>1687</v>
      </c>
      <c r="J57" s="146" t="s">
        <v>1688</v>
      </c>
      <c r="K57" s="146" t="s">
        <v>1689</v>
      </c>
      <c r="L57" s="145"/>
      <c r="M57" s="146" t="s">
        <v>1703</v>
      </c>
      <c r="N57" s="146" t="s">
        <v>1704</v>
      </c>
      <c r="O57" s="146" t="s">
        <v>1705</v>
      </c>
      <c r="P57" s="145"/>
      <c r="Q57" s="146" t="s">
        <v>1732</v>
      </c>
      <c r="R57" s="146" t="s">
        <v>1733</v>
      </c>
      <c r="S57" s="146" t="s">
        <v>1734</v>
      </c>
    </row>
    <row r="58" spans="1:19" s="9" customFormat="1" x14ac:dyDescent="0.25">
      <c r="A58" s="145" t="s">
        <v>1742</v>
      </c>
      <c r="B58" s="145" t="str">
        <f>CHOOSE(Translations!$C$1+1,Q58,R58,S58)</f>
        <v>Malaria I-5 Prévalence parasitaire : proportion d’enfants âgés de 6 à 59 mois présentant une infection palustre</v>
      </c>
      <c r="C58" s="145">
        <f t="shared" si="0"/>
        <v>0</v>
      </c>
      <c r="D58" s="145" t="str">
        <f t="shared" si="1"/>
        <v>Malaria I-5 Prévalence parasitaire : proportion d’enfants âgés de 6 à 59 mois présentant une infection palustre-0</v>
      </c>
      <c r="E58" s="145" t="str">
        <f>CHOOSE(Translations!$C$1+1,I58,J58,K58)</f>
        <v>Sexe</v>
      </c>
      <c r="F58" s="145" t="str">
        <f>CHOOSE(Translations!$C$1+1,M58,N58,O58)</f>
        <v>Femme</v>
      </c>
      <c r="G58" s="145" t="s">
        <v>1743</v>
      </c>
      <c r="H58" s="146" t="s">
        <v>1744</v>
      </c>
      <c r="I58" s="146" t="s">
        <v>1550</v>
      </c>
      <c r="J58" s="146" t="s">
        <v>1551</v>
      </c>
      <c r="K58" s="146" t="s">
        <v>1552</v>
      </c>
      <c r="L58" s="145"/>
      <c r="M58" s="146" t="s">
        <v>1553</v>
      </c>
      <c r="N58" s="146" t="s">
        <v>1554</v>
      </c>
      <c r="O58" s="146" t="s">
        <v>1555</v>
      </c>
      <c r="P58" s="145"/>
      <c r="Q58" s="146" t="s">
        <v>1745</v>
      </c>
      <c r="R58" s="146" t="s">
        <v>1746</v>
      </c>
      <c r="S58" s="146" t="s">
        <v>1747</v>
      </c>
    </row>
    <row r="59" spans="1:19" s="9" customFormat="1" x14ac:dyDescent="0.25">
      <c r="A59" s="145" t="s">
        <v>1742</v>
      </c>
      <c r="B59" s="145" t="str">
        <f>CHOOSE(Translations!$C$1+1,Q59,R59,S59)</f>
        <v>Malaria I-5 Prévalence parasitaire : proportion d’enfants âgés de 6 à 59 mois présentant une infection palustre</v>
      </c>
      <c r="C59" s="145">
        <f t="shared" si="0"/>
        <v>1</v>
      </c>
      <c r="D59" s="145" t="str">
        <f t="shared" si="1"/>
        <v>Malaria I-5 Prévalence parasitaire : proportion d’enfants âgés de 6 à 59 mois présentant une infection palustre-1</v>
      </c>
      <c r="E59" s="145" t="str">
        <f>CHOOSE(Translations!$C$1+1,I59,J59,K59)</f>
        <v>Sexe</v>
      </c>
      <c r="F59" s="145" t="str">
        <f>CHOOSE(Translations!$C$1+1,M59,N59,O59)</f>
        <v>Homme</v>
      </c>
      <c r="G59" s="145" t="s">
        <v>1748</v>
      </c>
      <c r="H59" s="146" t="s">
        <v>1749</v>
      </c>
      <c r="I59" s="146" t="s">
        <v>1550</v>
      </c>
      <c r="J59" s="146" t="s">
        <v>1551</v>
      </c>
      <c r="K59" s="146" t="s">
        <v>1552</v>
      </c>
      <c r="L59" s="145"/>
      <c r="M59" s="146" t="s">
        <v>1558</v>
      </c>
      <c r="N59" s="146" t="s">
        <v>1559</v>
      </c>
      <c r="O59" s="146" t="s">
        <v>1560</v>
      </c>
      <c r="P59" s="145"/>
      <c r="Q59" s="146" t="s">
        <v>1745</v>
      </c>
      <c r="R59" s="146" t="s">
        <v>1746</v>
      </c>
      <c r="S59" s="146" t="s">
        <v>1747</v>
      </c>
    </row>
    <row r="60" spans="1:19" s="9" customFormat="1" x14ac:dyDescent="0.25">
      <c r="A60" s="145" t="s">
        <v>1750</v>
      </c>
      <c r="B60" s="145" t="str">
        <f>CHOOSE(Translations!$C$1+1,Q60,R60,S60)</f>
        <v>Malaria I-6 Taux de mortalité des enfants de moins de 5 ans, toutes causes confondues, pour 1000 naissances vivantes</v>
      </c>
      <c r="C60" s="145">
        <f t="shared" si="0"/>
        <v>0</v>
      </c>
      <c r="D60" s="145" t="str">
        <f t="shared" si="1"/>
        <v>Malaria I-6 Taux de mortalité des enfants de moins de 5 ans, toutes causes confondues, pour 1000 naissances vivantes-0</v>
      </c>
      <c r="E60" s="145" t="str">
        <f>CHOOSE(Translations!$C$1+1,I60,J60,K60)</f>
        <v>Sexe</v>
      </c>
      <c r="F60" s="145" t="str">
        <f>CHOOSE(Translations!$C$1+1,M60,N60,O60)</f>
        <v>Femme</v>
      </c>
      <c r="G60" s="145" t="s">
        <v>1751</v>
      </c>
      <c r="H60" s="146" t="s">
        <v>1752</v>
      </c>
      <c r="I60" s="146" t="s">
        <v>1550</v>
      </c>
      <c r="J60" s="146" t="s">
        <v>1551</v>
      </c>
      <c r="K60" s="146" t="s">
        <v>1552</v>
      </c>
      <c r="L60" s="145"/>
      <c r="M60" s="146" t="s">
        <v>1553</v>
      </c>
      <c r="N60" s="146" t="s">
        <v>1554</v>
      </c>
      <c r="O60" s="146" t="s">
        <v>1555</v>
      </c>
      <c r="P60" s="145"/>
      <c r="Q60" s="146" t="s">
        <v>1753</v>
      </c>
      <c r="R60" s="146" t="s">
        <v>1754</v>
      </c>
      <c r="S60" s="146" t="s">
        <v>1755</v>
      </c>
    </row>
    <row r="61" spans="1:19" s="9" customFormat="1" x14ac:dyDescent="0.25">
      <c r="A61" s="145" t="s">
        <v>1750</v>
      </c>
      <c r="B61" s="145" t="str">
        <f>CHOOSE(Translations!$C$1+1,Q61,R61,S61)</f>
        <v>Malaria I-6 Taux de mortalité des enfants de moins de 5 ans, toutes causes confondues, pour 1000 naissances vivantes</v>
      </c>
      <c r="C61" s="145">
        <f t="shared" si="0"/>
        <v>1</v>
      </c>
      <c r="D61" s="145" t="str">
        <f t="shared" si="1"/>
        <v>Malaria I-6 Taux de mortalité des enfants de moins de 5 ans, toutes causes confondues, pour 1000 naissances vivantes-1</v>
      </c>
      <c r="E61" s="145" t="str">
        <f>CHOOSE(Translations!$C$1+1,I61,J61,K61)</f>
        <v>Sexe</v>
      </c>
      <c r="F61" s="145" t="str">
        <f>CHOOSE(Translations!$C$1+1,M61,N61,O61)</f>
        <v>Homme</v>
      </c>
      <c r="G61" s="145" t="s">
        <v>1756</v>
      </c>
      <c r="H61" s="146" t="s">
        <v>1757</v>
      </c>
      <c r="I61" s="146" t="s">
        <v>1550</v>
      </c>
      <c r="J61" s="146" t="s">
        <v>1551</v>
      </c>
      <c r="K61" s="146" t="s">
        <v>1552</v>
      </c>
      <c r="L61" s="145"/>
      <c r="M61" s="146" t="s">
        <v>1558</v>
      </c>
      <c r="N61" s="146" t="s">
        <v>1559</v>
      </c>
      <c r="O61" s="146" t="s">
        <v>1560</v>
      </c>
      <c r="P61" s="145"/>
      <c r="Q61" s="146" t="s">
        <v>1753</v>
      </c>
      <c r="R61" s="146" t="s">
        <v>1754</v>
      </c>
      <c r="S61" s="146" t="s">
        <v>1755</v>
      </c>
    </row>
    <row r="62" spans="1:19" s="9" customFormat="1" x14ac:dyDescent="0.25">
      <c r="A62" s="145" t="s">
        <v>1758</v>
      </c>
      <c r="B62" s="145" t="str">
        <f>CHOOSE(Translations!$C$1+1,Q62,R62,S62)</f>
        <v>Malaria I-10⁽ᴹ⁾ Incidence parasitaires annuelle : nombre de cas confirmés de paludisme (par microscopie ou TDR) pour 1000 habitants par an (contextes d’élimination)</v>
      </c>
      <c r="C62" s="145">
        <f t="shared" si="0"/>
        <v>0</v>
      </c>
      <c r="D62" s="145" t="str">
        <f t="shared" si="1"/>
        <v>Malaria I-10⁽ᴹ⁾ Incidence parasitaires annuelle : nombre de cas confirmés de paludisme (par microscopie ou TDR) pour 1000 habitants par an (contextes d’élimination)-0</v>
      </c>
      <c r="E62" s="145" t="str">
        <f>CHOOSE(Translations!$C$1+1,I62,J62,K62)</f>
        <v>Source de l'infection</v>
      </c>
      <c r="F62" s="145" t="str">
        <f>CHOOSE(Translations!$C$1+1,M62,N62,O62)</f>
        <v>Local-introduite</v>
      </c>
      <c r="G62" s="145" t="s">
        <v>1759</v>
      </c>
      <c r="H62" s="146" t="s">
        <v>1760</v>
      </c>
      <c r="I62" s="146" t="s">
        <v>1761</v>
      </c>
      <c r="J62" s="146" t="s">
        <v>1762</v>
      </c>
      <c r="K62" s="146" t="s">
        <v>1763</v>
      </c>
      <c r="L62" s="145"/>
      <c r="M62" s="146" t="s">
        <v>1764</v>
      </c>
      <c r="N62" s="146" t="s">
        <v>1765</v>
      </c>
      <c r="O62" s="146" t="s">
        <v>1766</v>
      </c>
      <c r="P62" s="145"/>
      <c r="Q62" s="146" t="s">
        <v>1767</v>
      </c>
      <c r="R62" s="146" t="s">
        <v>1768</v>
      </c>
      <c r="S62" s="146" t="s">
        <v>1769</v>
      </c>
    </row>
    <row r="63" spans="1:19" s="9" customFormat="1" x14ac:dyDescent="0.25">
      <c r="A63" s="145" t="s">
        <v>1758</v>
      </c>
      <c r="B63" s="145" t="str">
        <f>CHOOSE(Translations!$C$1+1,Q63,R63,S63)</f>
        <v>Malaria I-10⁽ᴹ⁾ Incidence parasitaires annuelle : nombre de cas confirmés de paludisme (par microscopie ou TDR) pour 1000 habitants par an (contextes d’élimination)</v>
      </c>
      <c r="C63" s="145">
        <f t="shared" si="0"/>
        <v>1</v>
      </c>
      <c r="D63" s="145" t="str">
        <f t="shared" si="1"/>
        <v>Malaria I-10⁽ᴹ⁾ Incidence parasitaires annuelle : nombre de cas confirmés de paludisme (par microscopie ou TDR) pour 1000 habitants par an (contextes d’élimination)-1</v>
      </c>
      <c r="E63" s="145" t="str">
        <f>CHOOSE(Translations!$C$1+1,I63,J63,K63)</f>
        <v>Source de l'infection</v>
      </c>
      <c r="F63" s="145" t="str">
        <f>CHOOSE(Translations!$C$1+1,M63,N63,O63)</f>
        <v>Local-autochtone</v>
      </c>
      <c r="G63" s="145" t="s">
        <v>1770</v>
      </c>
      <c r="H63" s="146" t="s">
        <v>1771</v>
      </c>
      <c r="I63" s="146" t="s">
        <v>1761</v>
      </c>
      <c r="J63" s="146" t="s">
        <v>1762</v>
      </c>
      <c r="K63" s="146" t="s">
        <v>1763</v>
      </c>
      <c r="L63" s="145"/>
      <c r="M63" s="146" t="s">
        <v>1772</v>
      </c>
      <c r="N63" s="146" t="s">
        <v>1773</v>
      </c>
      <c r="O63" s="146" t="s">
        <v>1774</v>
      </c>
      <c r="P63" s="145"/>
      <c r="Q63" s="146" t="s">
        <v>1767</v>
      </c>
      <c r="R63" s="146" t="s">
        <v>1768</v>
      </c>
      <c r="S63" s="146" t="s">
        <v>1769</v>
      </c>
    </row>
    <row r="64" spans="1:19" s="9" customFormat="1" x14ac:dyDescent="0.25">
      <c r="A64" s="145" t="s">
        <v>1758</v>
      </c>
      <c r="B64" s="145" t="str">
        <f>CHOOSE(Translations!$C$1+1,Q64,R64,S64)</f>
        <v>Malaria I-10⁽ᴹ⁾ Incidence parasitaires annuelle : nombre de cas confirmés de paludisme (par microscopie ou TDR) pour 1000 habitants par an (contextes d’élimination)</v>
      </c>
      <c r="C64" s="145">
        <f t="shared" si="0"/>
        <v>2</v>
      </c>
      <c r="D64" s="145" t="str">
        <f t="shared" si="1"/>
        <v>Malaria I-10⁽ᴹ⁾ Incidence parasitaires annuelle : nombre de cas confirmés de paludisme (par microscopie ou TDR) pour 1000 habitants par an (contextes d’élimination)-2</v>
      </c>
      <c r="E64" s="145" t="str">
        <f>CHOOSE(Translations!$C$1+1,I64,J64,K64)</f>
        <v>Source de l'infection</v>
      </c>
      <c r="F64" s="145" t="str">
        <f>CHOOSE(Translations!$C$1+1,M64,N64,O64)</f>
        <v>Induite</v>
      </c>
      <c r="G64" s="145" t="s">
        <v>1775</v>
      </c>
      <c r="H64" s="146" t="s">
        <v>1776</v>
      </c>
      <c r="I64" s="146" t="s">
        <v>1761</v>
      </c>
      <c r="J64" s="146" t="s">
        <v>1762</v>
      </c>
      <c r="K64" s="146" t="s">
        <v>1763</v>
      </c>
      <c r="L64" s="145"/>
      <c r="M64" s="146" t="s">
        <v>1777</v>
      </c>
      <c r="N64" s="146" t="s">
        <v>1778</v>
      </c>
      <c r="O64" s="146" t="s">
        <v>1779</v>
      </c>
      <c r="P64" s="145"/>
      <c r="Q64" s="146" t="s">
        <v>1767</v>
      </c>
      <c r="R64" s="146" t="s">
        <v>1768</v>
      </c>
      <c r="S64" s="146" t="s">
        <v>1769</v>
      </c>
    </row>
    <row r="65" spans="1:19" s="9" customFormat="1" x14ac:dyDescent="0.25">
      <c r="A65" s="145" t="s">
        <v>1758</v>
      </c>
      <c r="B65" s="145" t="str">
        <f>CHOOSE(Translations!$C$1+1,Q65,R65,S65)</f>
        <v>Malaria I-10⁽ᴹ⁾ Incidence parasitaires annuelle : nombre de cas confirmés de paludisme (par microscopie ou TDR) pour 1000 habitants par an (contextes d’élimination)</v>
      </c>
      <c r="C65" s="145">
        <f t="shared" si="0"/>
        <v>3</v>
      </c>
      <c r="D65" s="145" t="str">
        <f t="shared" si="1"/>
        <v>Malaria I-10⁽ᴹ⁾ Incidence parasitaires annuelle : nombre de cas confirmés de paludisme (par microscopie ou TDR) pour 1000 habitants par an (contextes d’élimination)-3</v>
      </c>
      <c r="E65" s="145" t="str">
        <f>CHOOSE(Translations!$C$1+1,I65,J65,K65)</f>
        <v>Source de l'infection</v>
      </c>
      <c r="F65" s="145" t="str">
        <f>CHOOSE(Translations!$C$1+1,M65,N65,O65)</f>
        <v>Importée</v>
      </c>
      <c r="G65" s="145" t="s">
        <v>1780</v>
      </c>
      <c r="H65" s="146" t="s">
        <v>1781</v>
      </c>
      <c r="I65" s="146" t="s">
        <v>1761</v>
      </c>
      <c r="J65" s="146" t="s">
        <v>1762</v>
      </c>
      <c r="K65" s="146" t="s">
        <v>1763</v>
      </c>
      <c r="L65" s="145"/>
      <c r="M65" s="146" t="s">
        <v>1782</v>
      </c>
      <c r="N65" s="146" t="s">
        <v>1783</v>
      </c>
      <c r="O65" s="146" t="s">
        <v>1784</v>
      </c>
      <c r="P65" s="145"/>
      <c r="Q65" s="146" t="s">
        <v>1767</v>
      </c>
      <c r="R65" s="146" t="s">
        <v>1768</v>
      </c>
      <c r="S65" s="146" t="s">
        <v>1769</v>
      </c>
    </row>
    <row r="67" spans="1:19" x14ac:dyDescent="0.25">
      <c r="A67" s="2" t="s">
        <v>84</v>
      </c>
    </row>
    <row r="68" spans="1:19" x14ac:dyDescent="0.25">
      <c r="A68" s="145" t="s">
        <v>75</v>
      </c>
      <c r="B68" s="145" t="s">
        <v>453</v>
      </c>
      <c r="C68" s="145">
        <v>0</v>
      </c>
      <c r="D68" s="145" t="s">
        <v>83</v>
      </c>
      <c r="E68" s="145" t="s">
        <v>469</v>
      </c>
      <c r="F68" s="145" t="s">
        <v>471</v>
      </c>
      <c r="G68" s="145" t="s">
        <v>48</v>
      </c>
      <c r="H68" s="145" t="s">
        <v>371</v>
      </c>
      <c r="I68" s="145" t="s">
        <v>34</v>
      </c>
      <c r="J68" s="145" t="s">
        <v>462</v>
      </c>
      <c r="K68" s="145" t="s">
        <v>464</v>
      </c>
      <c r="L68" s="145" t="s">
        <v>27</v>
      </c>
      <c r="M68" s="145" t="s">
        <v>466</v>
      </c>
      <c r="N68" s="145" t="s">
        <v>468</v>
      </c>
      <c r="O68" s="145" t="s">
        <v>43</v>
      </c>
      <c r="P68" s="145" t="s">
        <v>451</v>
      </c>
      <c r="Q68" s="145" t="s">
        <v>449</v>
      </c>
    </row>
    <row r="69" spans="1:19" hidden="1" x14ac:dyDescent="0.25">
      <c r="A69" s="145" t="s">
        <v>74</v>
      </c>
      <c r="B69" s="145" t="str">
        <f>CHOOSE(Translations!$C$1+1,O69,P69,Q69)</f>
        <v>[Name - FR]</v>
      </c>
      <c r="C69" s="145">
        <f>IF(O69=O68,C68+1,0)</f>
        <v>0</v>
      </c>
      <c r="D69" s="145" t="str">
        <f>B69&amp;"-"&amp;C69</f>
        <v>[Name - FR]-0</v>
      </c>
      <c r="E69" s="145" t="str">
        <f>CHOOSE(Translations!$C$1+1,I69,J69,K69)</f>
        <v>[Category - FR]</v>
      </c>
      <c r="F69" s="145" t="str">
        <f>CHOOSE(Translations!$C$1+1,L69,M69,N69)</f>
        <v>[Disaggregation - FR]</v>
      </c>
      <c r="G69" s="145" t="s">
        <v>47</v>
      </c>
      <c r="H69" s="146" t="s">
        <v>370</v>
      </c>
      <c r="I69" s="146" t="s">
        <v>77</v>
      </c>
      <c r="J69" s="146" t="s">
        <v>461</v>
      </c>
      <c r="K69" s="146" t="s">
        <v>463</v>
      </c>
      <c r="L69" s="146" t="s">
        <v>76</v>
      </c>
      <c r="M69" s="146" t="s">
        <v>465</v>
      </c>
      <c r="N69" s="146" t="s">
        <v>467</v>
      </c>
      <c r="O69" s="146" t="s">
        <v>66</v>
      </c>
      <c r="P69" s="146" t="s">
        <v>450</v>
      </c>
      <c r="Q69" s="146" t="s">
        <v>448</v>
      </c>
    </row>
    <row r="70" spans="1:19" s="9" customFormat="1" x14ac:dyDescent="0.25">
      <c r="A70" s="145" t="s">
        <v>1785</v>
      </c>
      <c r="B70" s="145" t="str">
        <f>CHOOSE(Translations!$C$1+1,O70,P70,Q70)</f>
        <v>HIV O-10 Pourcentage de personnes interrogées qui disent avoir utilisé un préservatif lors de leur dernier rapport sexuel avec un partenaire non marié/ non cohabitant, parmi celles qui ont eu des rapports sexuels avec un tel partenaire au cours des 12 derniers mois</v>
      </c>
      <c r="C70" s="145">
        <f t="shared" ref="C70:C133" si="2">IF(O70=O69,C69+1,0)</f>
        <v>0</v>
      </c>
      <c r="D70" s="145" t="str">
        <f t="shared" ref="D70:D133" si="3">B70&amp;"-"&amp;C70</f>
        <v>HIV O-10 Pourcentage de personnes interrogées qui disent avoir utilisé un préservatif lors de leur dernier rapport sexuel avec un partenaire non marié/ non cohabitant, parmi celles qui ont eu des rapports sexuels avec un tel partenaire au cours des 12 derniers mois-0</v>
      </c>
      <c r="E70" s="145" t="str">
        <f>CHOOSE(Translations!$C$1+1,I70,J70,K70)</f>
        <v>Sexe</v>
      </c>
      <c r="F70" s="145" t="str">
        <f>CHOOSE(Translations!$C$1+1,L70,M70,N70)</f>
        <v>Femme</v>
      </c>
      <c r="G70" s="145" t="s">
        <v>1786</v>
      </c>
      <c r="H70" s="146" t="s">
        <v>1787</v>
      </c>
      <c r="I70" s="146" t="s">
        <v>1550</v>
      </c>
      <c r="J70" s="146" t="s">
        <v>1551</v>
      </c>
      <c r="K70" s="146" t="s">
        <v>1552</v>
      </c>
      <c r="L70" s="146" t="s">
        <v>1553</v>
      </c>
      <c r="M70" s="146" t="s">
        <v>1554</v>
      </c>
      <c r="N70" s="146" t="s">
        <v>1555</v>
      </c>
      <c r="O70" s="146" t="s">
        <v>1788</v>
      </c>
      <c r="P70" s="146" t="s">
        <v>1789</v>
      </c>
      <c r="Q70" s="146" t="s">
        <v>1790</v>
      </c>
    </row>
    <row r="71" spans="1:19" s="9" customFormat="1" x14ac:dyDescent="0.25">
      <c r="A71" s="145" t="s">
        <v>1785</v>
      </c>
      <c r="B71" s="145" t="str">
        <f>CHOOSE(Translations!$C$1+1,O71,P71,Q71)</f>
        <v>HIV O-10 Pourcentage de personnes interrogées qui disent avoir utilisé un préservatif lors de leur dernier rapport sexuel avec un partenaire non marié/ non cohabitant, parmi celles qui ont eu des rapports sexuels avec un tel partenaire au cours des 12 derniers mois</v>
      </c>
      <c r="C71" s="145">
        <f t="shared" si="2"/>
        <v>1</v>
      </c>
      <c r="D71" s="145" t="str">
        <f t="shared" si="3"/>
        <v>HIV O-10 Pourcentage de personnes interrogées qui disent avoir utilisé un préservatif lors de leur dernier rapport sexuel avec un partenaire non marié/ non cohabitant, parmi celles qui ont eu des rapports sexuels avec un tel partenaire au cours des 12 derniers mois-1</v>
      </c>
      <c r="E71" s="145" t="str">
        <f>CHOOSE(Translations!$C$1+1,I71,J71,K71)</f>
        <v>Sexe</v>
      </c>
      <c r="F71" s="145" t="str">
        <f>CHOOSE(Translations!$C$1+1,L71,M71,N71)</f>
        <v>Homme</v>
      </c>
      <c r="G71" s="145" t="s">
        <v>1791</v>
      </c>
      <c r="H71" s="146" t="s">
        <v>1792</v>
      </c>
      <c r="I71" s="146" t="s">
        <v>1550</v>
      </c>
      <c r="J71" s="146" t="s">
        <v>1551</v>
      </c>
      <c r="K71" s="146" t="s">
        <v>1552</v>
      </c>
      <c r="L71" s="146" t="s">
        <v>1558</v>
      </c>
      <c r="M71" s="146" t="s">
        <v>1559</v>
      </c>
      <c r="N71" s="146" t="s">
        <v>1560</v>
      </c>
      <c r="O71" s="146" t="s">
        <v>1788</v>
      </c>
      <c r="P71" s="146" t="s">
        <v>1789</v>
      </c>
      <c r="Q71" s="146" t="s">
        <v>1790</v>
      </c>
    </row>
    <row r="72" spans="1:19" s="9" customFormat="1" x14ac:dyDescent="0.25">
      <c r="A72" s="145" t="s">
        <v>1785</v>
      </c>
      <c r="B72" s="145" t="str">
        <f>CHOOSE(Translations!$C$1+1,O72,P72,Q72)</f>
        <v>HIV O-10 Pourcentage de personnes interrogées qui disent avoir utilisé un préservatif lors de leur dernier rapport sexuel avec un partenaire non marié/ non cohabitant, parmi celles qui ont eu des rapports sexuels avec un tel partenaire au cours des 12 derniers mois</v>
      </c>
      <c r="C72" s="145">
        <f t="shared" si="2"/>
        <v>2</v>
      </c>
      <c r="D72" s="145" t="str">
        <f t="shared" si="3"/>
        <v>HIV O-10 Pourcentage de personnes interrogées qui disent avoir utilisé un préservatif lors de leur dernier rapport sexuel avec un partenaire non marié/ non cohabitant, parmi celles qui ont eu des rapports sexuels avec un tel partenaire au cours des 12 derniers mois-2</v>
      </c>
      <c r="E72" s="145" t="str">
        <f>CHOOSE(Translations!$C$1+1,I72,J72,K72)</f>
        <v>Age</v>
      </c>
      <c r="F72" s="145" t="str">
        <f>CHOOSE(Translations!$C$1+1,L72,M72,N72)</f>
        <v>25+</v>
      </c>
      <c r="G72" s="145" t="s">
        <v>1793</v>
      </c>
      <c r="H72" s="146" t="s">
        <v>1794</v>
      </c>
      <c r="I72" s="146" t="s">
        <v>1563</v>
      </c>
      <c r="J72" s="146" t="s">
        <v>1563</v>
      </c>
      <c r="K72" s="146" t="s">
        <v>1564</v>
      </c>
      <c r="L72" s="146" t="s">
        <v>1616</v>
      </c>
      <c r="M72" s="146" t="s">
        <v>1616</v>
      </c>
      <c r="N72" s="146" t="s">
        <v>1616</v>
      </c>
      <c r="O72" s="146" t="s">
        <v>1788</v>
      </c>
      <c r="P72" s="146" t="s">
        <v>1789</v>
      </c>
      <c r="Q72" s="146" t="s">
        <v>1790</v>
      </c>
    </row>
    <row r="73" spans="1:19" s="9" customFormat="1" x14ac:dyDescent="0.25">
      <c r="A73" s="145" t="s">
        <v>1785</v>
      </c>
      <c r="B73" s="145" t="str">
        <f>CHOOSE(Translations!$C$1+1,O73,P73,Q73)</f>
        <v>HIV O-10 Pourcentage de personnes interrogées qui disent avoir utilisé un préservatif lors de leur dernier rapport sexuel avec un partenaire non marié/ non cohabitant, parmi celles qui ont eu des rapports sexuels avec un tel partenaire au cours des 12 derniers mois</v>
      </c>
      <c r="C73" s="145">
        <f t="shared" si="2"/>
        <v>3</v>
      </c>
      <c r="D73" s="145" t="str">
        <f t="shared" si="3"/>
        <v>HIV O-10 Pourcentage de personnes interrogées qui disent avoir utilisé un préservatif lors de leur dernier rapport sexuel avec un partenaire non marié/ non cohabitant, parmi celles qui ont eu des rapports sexuels avec un tel partenaire au cours des 12 derniers mois-3</v>
      </c>
      <c r="E73" s="145" t="str">
        <f>CHOOSE(Translations!$C$1+1,I73,J73,K73)</f>
        <v>Age</v>
      </c>
      <c r="F73" s="145" t="str">
        <f>CHOOSE(Translations!$C$1+1,L73,M73,N73)</f>
        <v>20-24</v>
      </c>
      <c r="G73" s="145" t="s">
        <v>1795</v>
      </c>
      <c r="H73" s="146" t="s">
        <v>1796</v>
      </c>
      <c r="I73" s="146" t="s">
        <v>1563</v>
      </c>
      <c r="J73" s="146" t="s">
        <v>1563</v>
      </c>
      <c r="K73" s="146" t="s">
        <v>1564</v>
      </c>
      <c r="L73" s="146" t="s">
        <v>1797</v>
      </c>
      <c r="M73" s="146" t="s">
        <v>1797</v>
      </c>
      <c r="N73" s="146" t="s">
        <v>1797</v>
      </c>
      <c r="O73" s="146" t="s">
        <v>1788</v>
      </c>
      <c r="P73" s="146" t="s">
        <v>1789</v>
      </c>
      <c r="Q73" s="146" t="s">
        <v>1790</v>
      </c>
    </row>
    <row r="74" spans="1:19" s="9" customFormat="1" x14ac:dyDescent="0.25">
      <c r="A74" s="145" t="s">
        <v>1785</v>
      </c>
      <c r="B74" s="145" t="str">
        <f>CHOOSE(Translations!$C$1+1,O74,P74,Q74)</f>
        <v>HIV O-10 Pourcentage de personnes interrogées qui disent avoir utilisé un préservatif lors de leur dernier rapport sexuel avec un partenaire non marié/ non cohabitant, parmi celles qui ont eu des rapports sexuels avec un tel partenaire au cours des 12 derniers mois</v>
      </c>
      <c r="C74" s="145">
        <f t="shared" si="2"/>
        <v>4</v>
      </c>
      <c r="D74" s="145" t="str">
        <f t="shared" si="3"/>
        <v>HIV O-10 Pourcentage de personnes interrogées qui disent avoir utilisé un préservatif lors de leur dernier rapport sexuel avec un partenaire non marié/ non cohabitant, parmi celles qui ont eu des rapports sexuels avec un tel partenaire au cours des 12 derniers mois-4</v>
      </c>
      <c r="E74" s="145" t="str">
        <f>CHOOSE(Translations!$C$1+1,I74,J74,K74)</f>
        <v>Age</v>
      </c>
      <c r="F74" s="145" t="str">
        <f>CHOOSE(Translations!$C$1+1,L74,M74,N74)</f>
        <v>15-19</v>
      </c>
      <c r="G74" s="145" t="s">
        <v>1798</v>
      </c>
      <c r="H74" s="146" t="s">
        <v>1799</v>
      </c>
      <c r="I74" s="146" t="s">
        <v>1563</v>
      </c>
      <c r="J74" s="146" t="s">
        <v>1563</v>
      </c>
      <c r="K74" s="146" t="s">
        <v>1564</v>
      </c>
      <c r="L74" s="146" t="s">
        <v>1800</v>
      </c>
      <c r="M74" s="146" t="s">
        <v>1800</v>
      </c>
      <c r="N74" s="146" t="s">
        <v>1800</v>
      </c>
      <c r="O74" s="146" t="s">
        <v>1788</v>
      </c>
      <c r="P74" s="146" t="s">
        <v>1789</v>
      </c>
      <c r="Q74" s="146" t="s">
        <v>1790</v>
      </c>
    </row>
    <row r="75" spans="1:19" s="9" customFormat="1" x14ac:dyDescent="0.25">
      <c r="A75" s="145" t="s">
        <v>1801</v>
      </c>
      <c r="B75" s="145" t="str">
        <f>CHOOSE(Translations!$C$1+1,O75,P75,Q75)</f>
        <v>HIV O-4a⁽ᴹ⁾ Pourcentage d’hommes qui indiquent avoir utilisé un préservatif lors de leur dernier rapport anal avec un partenaire occasionel</v>
      </c>
      <c r="C75" s="145">
        <f t="shared" si="2"/>
        <v>0</v>
      </c>
      <c r="D75" s="145" t="str">
        <f t="shared" si="3"/>
        <v>HIV O-4a⁽ᴹ⁾ Pourcentage d’hommes qui indiquent avoir utilisé un préservatif lors de leur dernier rapport anal avec un partenaire occasionel-0</v>
      </c>
      <c r="E75" s="145" t="str">
        <f>CHOOSE(Translations!$C$1+1,I75,J75,K75)</f>
        <v>Age</v>
      </c>
      <c r="F75" s="145" t="str">
        <f>CHOOSE(Translations!$C$1+1,L75,M75,N75)</f>
        <v>25+</v>
      </c>
      <c r="G75" s="145" t="s">
        <v>1802</v>
      </c>
      <c r="H75" s="146" t="s">
        <v>1803</v>
      </c>
      <c r="I75" s="146" t="s">
        <v>1563</v>
      </c>
      <c r="J75" s="146" t="s">
        <v>1563</v>
      </c>
      <c r="K75" s="146" t="s">
        <v>1564</v>
      </c>
      <c r="L75" s="146" t="s">
        <v>1616</v>
      </c>
      <c r="M75" s="146" t="s">
        <v>1616</v>
      </c>
      <c r="N75" s="146" t="s">
        <v>1616</v>
      </c>
      <c r="O75" s="146" t="s">
        <v>1804</v>
      </c>
      <c r="P75" s="146" t="s">
        <v>1805</v>
      </c>
      <c r="Q75" s="146" t="s">
        <v>1806</v>
      </c>
    </row>
    <row r="76" spans="1:19" s="9" customFormat="1" x14ac:dyDescent="0.25">
      <c r="A76" s="145" t="s">
        <v>1801</v>
      </c>
      <c r="B76" s="145" t="str">
        <f>CHOOSE(Translations!$C$1+1,O76,P76,Q76)</f>
        <v>HIV O-4a⁽ᴹ⁾ Pourcentage d’hommes qui indiquent avoir utilisé un préservatif lors de leur dernier rapport anal avec un partenaire occasionel</v>
      </c>
      <c r="C76" s="145">
        <f t="shared" si="2"/>
        <v>1</v>
      </c>
      <c r="D76" s="145" t="str">
        <f t="shared" si="3"/>
        <v>HIV O-4a⁽ᴹ⁾ Pourcentage d’hommes qui indiquent avoir utilisé un préservatif lors de leur dernier rapport anal avec un partenaire occasionel-1</v>
      </c>
      <c r="E76" s="145" t="str">
        <f>CHOOSE(Translations!$C$1+1,I76,J76,K76)</f>
        <v>Age</v>
      </c>
      <c r="F76" s="145" t="str">
        <f>CHOOSE(Translations!$C$1+1,L76,M76,N76)</f>
        <v>&lt;25</v>
      </c>
      <c r="G76" s="145" t="s">
        <v>1807</v>
      </c>
      <c r="H76" s="146" t="s">
        <v>1808</v>
      </c>
      <c r="I76" s="146" t="s">
        <v>1563</v>
      </c>
      <c r="J76" s="146" t="s">
        <v>1563</v>
      </c>
      <c r="K76" s="146" t="s">
        <v>1564</v>
      </c>
      <c r="L76" s="146" t="s">
        <v>1622</v>
      </c>
      <c r="M76" s="146" t="s">
        <v>1622</v>
      </c>
      <c r="N76" s="146" t="s">
        <v>1622</v>
      </c>
      <c r="O76" s="146" t="s">
        <v>1804</v>
      </c>
      <c r="P76" s="146" t="s">
        <v>1805</v>
      </c>
      <c r="Q76" s="146" t="s">
        <v>1806</v>
      </c>
    </row>
    <row r="77" spans="1:19" s="9" customFormat="1" x14ac:dyDescent="0.25">
      <c r="A77" s="145" t="s">
        <v>1809</v>
      </c>
      <c r="B77" s="145" t="str">
        <f>CHOOSE(Translations!$C$1+1,O77,P77,Q77)</f>
        <v>HIV O-4.1b⁽ᴹ⁾ Pourcentage de personnes transgenres qui indiquent avoir utilisé un préservatif lors de leur dernier rapport sexuel anal avec un partenaire occasionel masculin</v>
      </c>
      <c r="C77" s="145">
        <f t="shared" si="2"/>
        <v>0</v>
      </c>
      <c r="D77" s="145" t="str">
        <f t="shared" si="3"/>
        <v>HIV O-4.1b⁽ᴹ⁾ Pourcentage de personnes transgenres qui indiquent avoir utilisé un préservatif lors de leur dernier rapport sexuel anal avec un partenaire occasionel masculin-0</v>
      </c>
      <c r="E77" s="145" t="str">
        <f>CHOOSE(Translations!$C$1+1,I77,J77,K77)</f>
        <v>Age</v>
      </c>
      <c r="F77" s="145" t="str">
        <f>CHOOSE(Translations!$C$1+1,L77,M77,N77)</f>
        <v>25+</v>
      </c>
      <c r="G77" s="145" t="s">
        <v>1810</v>
      </c>
      <c r="H77" s="146" t="s">
        <v>1811</v>
      </c>
      <c r="I77" s="146" t="s">
        <v>1563</v>
      </c>
      <c r="J77" s="146" t="s">
        <v>1563</v>
      </c>
      <c r="K77" s="146" t="s">
        <v>1564</v>
      </c>
      <c r="L77" s="146" t="s">
        <v>1616</v>
      </c>
      <c r="M77" s="146" t="s">
        <v>1616</v>
      </c>
      <c r="N77" s="146" t="s">
        <v>1616</v>
      </c>
      <c r="O77" s="146" t="s">
        <v>1812</v>
      </c>
      <c r="P77" s="146" t="s">
        <v>1813</v>
      </c>
      <c r="Q77" s="146" t="s">
        <v>1814</v>
      </c>
    </row>
    <row r="78" spans="1:19" s="9" customFormat="1" x14ac:dyDescent="0.25">
      <c r="A78" s="145" t="s">
        <v>1809</v>
      </c>
      <c r="B78" s="145" t="str">
        <f>CHOOSE(Translations!$C$1+1,O78,P78,Q78)</f>
        <v>HIV O-4.1b⁽ᴹ⁾ Pourcentage de personnes transgenres qui indiquent avoir utilisé un préservatif lors de leur dernier rapport sexuel anal avec un partenaire occasionel masculin</v>
      </c>
      <c r="C78" s="145">
        <f t="shared" si="2"/>
        <v>1</v>
      </c>
      <c r="D78" s="145" t="str">
        <f t="shared" si="3"/>
        <v>HIV O-4.1b⁽ᴹ⁾ Pourcentage de personnes transgenres qui indiquent avoir utilisé un préservatif lors de leur dernier rapport sexuel anal avec un partenaire occasionel masculin-1</v>
      </c>
      <c r="E78" s="145" t="str">
        <f>CHOOSE(Translations!$C$1+1,I78,J78,K78)</f>
        <v>Age</v>
      </c>
      <c r="F78" s="145" t="str">
        <f>CHOOSE(Translations!$C$1+1,L78,M78,N78)</f>
        <v>&lt;25</v>
      </c>
      <c r="G78" s="145" t="s">
        <v>1815</v>
      </c>
      <c r="H78" s="146" t="s">
        <v>1816</v>
      </c>
      <c r="I78" s="146" t="s">
        <v>1563</v>
      </c>
      <c r="J78" s="146" t="s">
        <v>1563</v>
      </c>
      <c r="K78" s="146" t="s">
        <v>1564</v>
      </c>
      <c r="L78" s="146" t="s">
        <v>1622</v>
      </c>
      <c r="M78" s="146" t="s">
        <v>1622</v>
      </c>
      <c r="N78" s="146" t="s">
        <v>1622</v>
      </c>
      <c r="O78" s="146" t="s">
        <v>1812</v>
      </c>
      <c r="P78" s="146" t="s">
        <v>1813</v>
      </c>
      <c r="Q78" s="146" t="s">
        <v>1814</v>
      </c>
    </row>
    <row r="79" spans="1:19" s="9" customFormat="1" x14ac:dyDescent="0.25">
      <c r="A79" s="145" t="s">
        <v>1817</v>
      </c>
      <c r="B79" s="145" t="str">
        <f>CHOOSE(Translations!$C$1+1,O79,P79,Q79)</f>
        <v>HIV O-5⁽ᴹ⁾ Pourcentage de professionnels du sexe qui indiquent avoir utilisé un préservatif avec leur dernier client</v>
      </c>
      <c r="C79" s="145">
        <f t="shared" si="2"/>
        <v>0</v>
      </c>
      <c r="D79" s="145" t="str">
        <f t="shared" si="3"/>
        <v>HIV O-5⁽ᴹ⁾ Pourcentage de professionnels du sexe qui indiquent avoir utilisé un préservatif avec leur dernier client-0</v>
      </c>
      <c r="E79" s="145" t="str">
        <f>CHOOSE(Translations!$C$1+1,I79,J79,K79)</f>
        <v>Sexe</v>
      </c>
      <c r="F79" s="145" t="str">
        <f>CHOOSE(Translations!$C$1+1,L79,M79,N79)</f>
        <v>Transgenre</v>
      </c>
      <c r="G79" s="145" t="s">
        <v>1818</v>
      </c>
      <c r="H79" s="146" t="s">
        <v>1819</v>
      </c>
      <c r="I79" s="146" t="s">
        <v>1550</v>
      </c>
      <c r="J79" s="146" t="s">
        <v>1551</v>
      </c>
      <c r="K79" s="146" t="s">
        <v>1552</v>
      </c>
      <c r="L79" s="146" t="s">
        <v>1634</v>
      </c>
      <c r="M79" s="146" t="s">
        <v>1635</v>
      </c>
      <c r="N79" s="146" t="s">
        <v>1636</v>
      </c>
      <c r="O79" s="146" t="s">
        <v>1820</v>
      </c>
      <c r="P79" s="146" t="s">
        <v>1821</v>
      </c>
      <c r="Q79" s="146" t="s">
        <v>1822</v>
      </c>
    </row>
    <row r="80" spans="1:19" s="9" customFormat="1" x14ac:dyDescent="0.25">
      <c r="A80" s="145" t="s">
        <v>1817</v>
      </c>
      <c r="B80" s="145" t="str">
        <f>CHOOSE(Translations!$C$1+1,O80,P80,Q80)</f>
        <v>HIV O-5⁽ᴹ⁾ Pourcentage de professionnels du sexe qui indiquent avoir utilisé un préservatif avec leur dernier client</v>
      </c>
      <c r="C80" s="145">
        <f t="shared" si="2"/>
        <v>1</v>
      </c>
      <c r="D80" s="145" t="str">
        <f t="shared" si="3"/>
        <v>HIV O-5⁽ᴹ⁾ Pourcentage de professionnels du sexe qui indiquent avoir utilisé un préservatif avec leur dernier client-1</v>
      </c>
      <c r="E80" s="145" t="str">
        <f>CHOOSE(Translations!$C$1+1,I80,J80,K80)</f>
        <v>Sexe</v>
      </c>
      <c r="F80" s="145" t="str">
        <f>CHOOSE(Translations!$C$1+1,L80,M80,N80)</f>
        <v>Femme</v>
      </c>
      <c r="G80" s="145" t="s">
        <v>1823</v>
      </c>
      <c r="H80" s="146" t="s">
        <v>1824</v>
      </c>
      <c r="I80" s="146" t="s">
        <v>1550</v>
      </c>
      <c r="J80" s="146" t="s">
        <v>1551</v>
      </c>
      <c r="K80" s="146" t="s">
        <v>1552</v>
      </c>
      <c r="L80" s="146" t="s">
        <v>1553</v>
      </c>
      <c r="M80" s="146" t="s">
        <v>1554</v>
      </c>
      <c r="N80" s="146" t="s">
        <v>1555</v>
      </c>
      <c r="O80" s="146" t="s">
        <v>1820</v>
      </c>
      <c r="P80" s="146" t="s">
        <v>1821</v>
      </c>
      <c r="Q80" s="146" t="s">
        <v>1822</v>
      </c>
    </row>
    <row r="81" spans="1:17" s="9" customFormat="1" x14ac:dyDescent="0.25">
      <c r="A81" s="145" t="s">
        <v>1817</v>
      </c>
      <c r="B81" s="145" t="str">
        <f>CHOOSE(Translations!$C$1+1,O81,P81,Q81)</f>
        <v>HIV O-5⁽ᴹ⁾ Pourcentage de professionnels du sexe qui indiquent avoir utilisé un préservatif avec leur dernier client</v>
      </c>
      <c r="C81" s="145">
        <f t="shared" si="2"/>
        <v>2</v>
      </c>
      <c r="D81" s="145" t="str">
        <f t="shared" si="3"/>
        <v>HIV O-5⁽ᴹ⁾ Pourcentage de professionnels du sexe qui indiquent avoir utilisé un préservatif avec leur dernier client-2</v>
      </c>
      <c r="E81" s="145" t="str">
        <f>CHOOSE(Translations!$C$1+1,I81,J81,K81)</f>
        <v>Sexe</v>
      </c>
      <c r="F81" s="145" t="str">
        <f>CHOOSE(Translations!$C$1+1,L81,M81,N81)</f>
        <v>Homme</v>
      </c>
      <c r="G81" s="145" t="s">
        <v>1825</v>
      </c>
      <c r="H81" s="146" t="s">
        <v>1826</v>
      </c>
      <c r="I81" s="146" t="s">
        <v>1550</v>
      </c>
      <c r="J81" s="146" t="s">
        <v>1551</v>
      </c>
      <c r="K81" s="146" t="s">
        <v>1552</v>
      </c>
      <c r="L81" s="146" t="s">
        <v>1558</v>
      </c>
      <c r="M81" s="146" t="s">
        <v>1559</v>
      </c>
      <c r="N81" s="146" t="s">
        <v>1560</v>
      </c>
      <c r="O81" s="146" t="s">
        <v>1820</v>
      </c>
      <c r="P81" s="146" t="s">
        <v>1821</v>
      </c>
      <c r="Q81" s="146" t="s">
        <v>1822</v>
      </c>
    </row>
    <row r="82" spans="1:17" s="9" customFormat="1" x14ac:dyDescent="0.25">
      <c r="A82" s="145" t="s">
        <v>1817</v>
      </c>
      <c r="B82" s="145" t="str">
        <f>CHOOSE(Translations!$C$1+1,O82,P82,Q82)</f>
        <v>HIV O-5⁽ᴹ⁾ Pourcentage de professionnels du sexe qui indiquent avoir utilisé un préservatif avec leur dernier client</v>
      </c>
      <c r="C82" s="145">
        <f t="shared" si="2"/>
        <v>3</v>
      </c>
      <c r="D82" s="145" t="str">
        <f t="shared" si="3"/>
        <v>HIV O-5⁽ᴹ⁾ Pourcentage de professionnels du sexe qui indiquent avoir utilisé un préservatif avec leur dernier client-3</v>
      </c>
      <c r="E82" s="145" t="str">
        <f>CHOOSE(Translations!$C$1+1,I82,J82,K82)</f>
        <v>Age</v>
      </c>
      <c r="F82" s="145" t="str">
        <f>CHOOSE(Translations!$C$1+1,L82,M82,N82)</f>
        <v>25+</v>
      </c>
      <c r="G82" s="145" t="s">
        <v>1827</v>
      </c>
      <c r="H82" s="146" t="s">
        <v>1828</v>
      </c>
      <c r="I82" s="146" t="s">
        <v>1563</v>
      </c>
      <c r="J82" s="146" t="s">
        <v>1563</v>
      </c>
      <c r="K82" s="146" t="s">
        <v>1564</v>
      </c>
      <c r="L82" s="146" t="s">
        <v>1616</v>
      </c>
      <c r="M82" s="146" t="s">
        <v>1616</v>
      </c>
      <c r="N82" s="146" t="s">
        <v>1616</v>
      </c>
      <c r="O82" s="146" t="s">
        <v>1820</v>
      </c>
      <c r="P82" s="146" t="s">
        <v>1821</v>
      </c>
      <c r="Q82" s="146" t="s">
        <v>1822</v>
      </c>
    </row>
    <row r="83" spans="1:17" s="9" customFormat="1" x14ac:dyDescent="0.25">
      <c r="A83" s="145" t="s">
        <v>1817</v>
      </c>
      <c r="B83" s="145" t="str">
        <f>CHOOSE(Translations!$C$1+1,O83,P83,Q83)</f>
        <v>HIV O-5⁽ᴹ⁾ Pourcentage de professionnels du sexe qui indiquent avoir utilisé un préservatif avec leur dernier client</v>
      </c>
      <c r="C83" s="145">
        <f t="shared" si="2"/>
        <v>4</v>
      </c>
      <c r="D83" s="145" t="str">
        <f t="shared" si="3"/>
        <v>HIV O-5⁽ᴹ⁾ Pourcentage de professionnels du sexe qui indiquent avoir utilisé un préservatif avec leur dernier client-4</v>
      </c>
      <c r="E83" s="145" t="str">
        <f>CHOOSE(Translations!$C$1+1,I83,J83,K83)</f>
        <v>Age</v>
      </c>
      <c r="F83" s="145" t="str">
        <f>CHOOSE(Translations!$C$1+1,L83,M83,N83)</f>
        <v>&lt;25</v>
      </c>
      <c r="G83" s="145" t="s">
        <v>1829</v>
      </c>
      <c r="H83" s="146" t="s">
        <v>1830</v>
      </c>
      <c r="I83" s="146" t="s">
        <v>1563</v>
      </c>
      <c r="J83" s="146" t="s">
        <v>1563</v>
      </c>
      <c r="K83" s="146" t="s">
        <v>1564</v>
      </c>
      <c r="L83" s="146" t="s">
        <v>1622</v>
      </c>
      <c r="M83" s="146" t="s">
        <v>1622</v>
      </c>
      <c r="N83" s="146" t="s">
        <v>1622</v>
      </c>
      <c r="O83" s="146" t="s">
        <v>1820</v>
      </c>
      <c r="P83" s="146" t="s">
        <v>1821</v>
      </c>
      <c r="Q83" s="146" t="s">
        <v>1822</v>
      </c>
    </row>
    <row r="84" spans="1:17" s="9" customFormat="1" x14ac:dyDescent="0.25">
      <c r="A84" s="145" t="s">
        <v>1831</v>
      </c>
      <c r="B84" s="145" t="str">
        <f>CHOOSE(Translations!$C$1+1,O84,P84,Q84)</f>
        <v>HIV O-6⁽ᴹ⁾ Pourcentage de personnes qui s'injectent des drogues qui indiquent avoir utilisé du matériel d’injection stérile lors de leur dernière injection</v>
      </c>
      <c r="C84" s="145">
        <f t="shared" si="2"/>
        <v>0</v>
      </c>
      <c r="D84" s="145" t="str">
        <f t="shared" si="3"/>
        <v>HIV O-6⁽ᴹ⁾ Pourcentage de personnes qui s'injectent des drogues qui indiquent avoir utilisé du matériel d’injection stérile lors de leur dernière injection-0</v>
      </c>
      <c r="E84" s="145" t="str">
        <f>CHOOSE(Translations!$C$1+1,I84,J84,K84)</f>
        <v>Sexe</v>
      </c>
      <c r="F84" s="145" t="str">
        <f>CHOOSE(Translations!$C$1+1,L84,M84,N84)</f>
        <v>Transgenre</v>
      </c>
      <c r="G84" s="145" t="s">
        <v>1832</v>
      </c>
      <c r="H84" s="146" t="s">
        <v>1833</v>
      </c>
      <c r="I84" s="146" t="s">
        <v>1550</v>
      </c>
      <c r="J84" s="146" t="s">
        <v>1551</v>
      </c>
      <c r="K84" s="146" t="s">
        <v>1552</v>
      </c>
      <c r="L84" s="146" t="s">
        <v>1634</v>
      </c>
      <c r="M84" s="146" t="s">
        <v>1635</v>
      </c>
      <c r="N84" s="146" t="s">
        <v>1636</v>
      </c>
      <c r="O84" s="146" t="s">
        <v>1834</v>
      </c>
      <c r="P84" s="146" t="s">
        <v>1835</v>
      </c>
      <c r="Q84" s="146" t="s">
        <v>1836</v>
      </c>
    </row>
    <row r="85" spans="1:17" s="9" customFormat="1" x14ac:dyDescent="0.25">
      <c r="A85" s="145" t="s">
        <v>1831</v>
      </c>
      <c r="B85" s="145" t="str">
        <f>CHOOSE(Translations!$C$1+1,O85,P85,Q85)</f>
        <v>HIV O-6⁽ᴹ⁾ Pourcentage de personnes qui s'injectent des drogues qui indiquent avoir utilisé du matériel d’injection stérile lors de leur dernière injection</v>
      </c>
      <c r="C85" s="145">
        <f t="shared" si="2"/>
        <v>1</v>
      </c>
      <c r="D85" s="145" t="str">
        <f t="shared" si="3"/>
        <v>HIV O-6⁽ᴹ⁾ Pourcentage de personnes qui s'injectent des drogues qui indiquent avoir utilisé du matériel d’injection stérile lors de leur dernière injection-1</v>
      </c>
      <c r="E85" s="145" t="str">
        <f>CHOOSE(Translations!$C$1+1,I85,J85,K85)</f>
        <v>Sexe</v>
      </c>
      <c r="F85" s="145" t="str">
        <f>CHOOSE(Translations!$C$1+1,L85,M85,N85)</f>
        <v>Femme</v>
      </c>
      <c r="G85" s="145" t="s">
        <v>1837</v>
      </c>
      <c r="H85" s="146" t="s">
        <v>1838</v>
      </c>
      <c r="I85" s="146" t="s">
        <v>1550</v>
      </c>
      <c r="J85" s="146" t="s">
        <v>1551</v>
      </c>
      <c r="K85" s="146" t="s">
        <v>1552</v>
      </c>
      <c r="L85" s="146" t="s">
        <v>1553</v>
      </c>
      <c r="M85" s="146" t="s">
        <v>1554</v>
      </c>
      <c r="N85" s="146" t="s">
        <v>1555</v>
      </c>
      <c r="O85" s="146" t="s">
        <v>1834</v>
      </c>
      <c r="P85" s="146" t="s">
        <v>1835</v>
      </c>
      <c r="Q85" s="146" t="s">
        <v>1836</v>
      </c>
    </row>
    <row r="86" spans="1:17" s="9" customFormat="1" x14ac:dyDescent="0.25">
      <c r="A86" s="145" t="s">
        <v>1831</v>
      </c>
      <c r="B86" s="145" t="str">
        <f>CHOOSE(Translations!$C$1+1,O86,P86,Q86)</f>
        <v>HIV O-6⁽ᴹ⁾ Pourcentage de personnes qui s'injectent des drogues qui indiquent avoir utilisé du matériel d’injection stérile lors de leur dernière injection</v>
      </c>
      <c r="C86" s="145">
        <f t="shared" si="2"/>
        <v>2</v>
      </c>
      <c r="D86" s="145" t="str">
        <f t="shared" si="3"/>
        <v>HIV O-6⁽ᴹ⁾ Pourcentage de personnes qui s'injectent des drogues qui indiquent avoir utilisé du matériel d’injection stérile lors de leur dernière injection-2</v>
      </c>
      <c r="E86" s="145" t="str">
        <f>CHOOSE(Translations!$C$1+1,I86,J86,K86)</f>
        <v>Sexe</v>
      </c>
      <c r="F86" s="145" t="str">
        <f>CHOOSE(Translations!$C$1+1,L86,M86,N86)</f>
        <v>Homme</v>
      </c>
      <c r="G86" s="145" t="s">
        <v>1839</v>
      </c>
      <c r="H86" s="146" t="s">
        <v>1840</v>
      </c>
      <c r="I86" s="146" t="s">
        <v>1550</v>
      </c>
      <c r="J86" s="146" t="s">
        <v>1551</v>
      </c>
      <c r="K86" s="146" t="s">
        <v>1552</v>
      </c>
      <c r="L86" s="146" t="s">
        <v>1558</v>
      </c>
      <c r="M86" s="146" t="s">
        <v>1559</v>
      </c>
      <c r="N86" s="146" t="s">
        <v>1560</v>
      </c>
      <c r="O86" s="146" t="s">
        <v>1834</v>
      </c>
      <c r="P86" s="146" t="s">
        <v>1835</v>
      </c>
      <c r="Q86" s="146" t="s">
        <v>1836</v>
      </c>
    </row>
    <row r="87" spans="1:17" s="9" customFormat="1" x14ac:dyDescent="0.25">
      <c r="A87" s="145" t="s">
        <v>1831</v>
      </c>
      <c r="B87" s="145" t="str">
        <f>CHOOSE(Translations!$C$1+1,O87,P87,Q87)</f>
        <v>HIV O-6⁽ᴹ⁾ Pourcentage de personnes qui s'injectent des drogues qui indiquent avoir utilisé du matériel d’injection stérile lors de leur dernière injection</v>
      </c>
      <c r="C87" s="145">
        <f t="shared" si="2"/>
        <v>3</v>
      </c>
      <c r="D87" s="145" t="str">
        <f t="shared" si="3"/>
        <v>HIV O-6⁽ᴹ⁾ Pourcentage de personnes qui s'injectent des drogues qui indiquent avoir utilisé du matériel d’injection stérile lors de leur dernière injection-3</v>
      </c>
      <c r="E87" s="145" t="str">
        <f>CHOOSE(Translations!$C$1+1,I87,J87,K87)</f>
        <v>Age</v>
      </c>
      <c r="F87" s="145" t="str">
        <f>CHOOSE(Translations!$C$1+1,L87,M87,N87)</f>
        <v>25+</v>
      </c>
      <c r="G87" s="145" t="s">
        <v>1841</v>
      </c>
      <c r="H87" s="146" t="s">
        <v>1842</v>
      </c>
      <c r="I87" s="146" t="s">
        <v>1563</v>
      </c>
      <c r="J87" s="146" t="s">
        <v>1563</v>
      </c>
      <c r="K87" s="146" t="s">
        <v>1564</v>
      </c>
      <c r="L87" s="146" t="s">
        <v>1616</v>
      </c>
      <c r="M87" s="146" t="s">
        <v>1616</v>
      </c>
      <c r="N87" s="146" t="s">
        <v>1616</v>
      </c>
      <c r="O87" s="146" t="s">
        <v>1834</v>
      </c>
      <c r="P87" s="146" t="s">
        <v>1835</v>
      </c>
      <c r="Q87" s="146" t="s">
        <v>1836</v>
      </c>
    </row>
    <row r="88" spans="1:17" s="9" customFormat="1" x14ac:dyDescent="0.25">
      <c r="A88" s="145" t="s">
        <v>1831</v>
      </c>
      <c r="B88" s="145" t="str">
        <f>CHOOSE(Translations!$C$1+1,O88,P88,Q88)</f>
        <v>HIV O-6⁽ᴹ⁾ Pourcentage de personnes qui s'injectent des drogues qui indiquent avoir utilisé du matériel d’injection stérile lors de leur dernière injection</v>
      </c>
      <c r="C88" s="145">
        <f t="shared" si="2"/>
        <v>4</v>
      </c>
      <c r="D88" s="145" t="str">
        <f t="shared" si="3"/>
        <v>HIV O-6⁽ᴹ⁾ Pourcentage de personnes qui s'injectent des drogues qui indiquent avoir utilisé du matériel d’injection stérile lors de leur dernière injection-4</v>
      </c>
      <c r="E88" s="145" t="str">
        <f>CHOOSE(Translations!$C$1+1,I88,J88,K88)</f>
        <v>Age</v>
      </c>
      <c r="F88" s="145" t="str">
        <f>CHOOSE(Translations!$C$1+1,L88,M88,N88)</f>
        <v>&lt;25</v>
      </c>
      <c r="G88" s="145" t="s">
        <v>1843</v>
      </c>
      <c r="H88" s="146" t="s">
        <v>1844</v>
      </c>
      <c r="I88" s="146" t="s">
        <v>1563</v>
      </c>
      <c r="J88" s="146" t="s">
        <v>1563</v>
      </c>
      <c r="K88" s="146" t="s">
        <v>1564</v>
      </c>
      <c r="L88" s="146" t="s">
        <v>1622</v>
      </c>
      <c r="M88" s="146" t="s">
        <v>1622</v>
      </c>
      <c r="N88" s="146" t="s">
        <v>1622</v>
      </c>
      <c r="O88" s="146" t="s">
        <v>1834</v>
      </c>
      <c r="P88" s="146" t="s">
        <v>1835</v>
      </c>
      <c r="Q88" s="146" t="s">
        <v>1836</v>
      </c>
    </row>
    <row r="89" spans="1:17" s="9" customFormat="1" x14ac:dyDescent="0.25">
      <c r="A89" s="145" t="s">
        <v>1845</v>
      </c>
      <c r="B89" s="145" t="str">
        <f>CHOOSE(Translations!$C$1+1,O89,P89,Q89)</f>
        <v>HIV O-9 Pourcentage de personnes qui s'injectent des drogues qui indiquent avoir utilisé un préservatif lors de leur dernier rapport sexuel</v>
      </c>
      <c r="C89" s="145">
        <f t="shared" si="2"/>
        <v>0</v>
      </c>
      <c r="D89" s="145" t="str">
        <f t="shared" si="3"/>
        <v>HIV O-9 Pourcentage de personnes qui s'injectent des drogues qui indiquent avoir utilisé un préservatif lors de leur dernier rapport sexuel-0</v>
      </c>
      <c r="E89" s="145" t="str">
        <f>CHOOSE(Translations!$C$1+1,I89,J89,K89)</f>
        <v>Sexe</v>
      </c>
      <c r="F89" s="145" t="str">
        <f>CHOOSE(Translations!$C$1+1,L89,M89,N89)</f>
        <v>Transgenre</v>
      </c>
      <c r="G89" s="145" t="s">
        <v>1846</v>
      </c>
      <c r="H89" s="146" t="s">
        <v>1847</v>
      </c>
      <c r="I89" s="146" t="s">
        <v>1550</v>
      </c>
      <c r="J89" s="146" t="s">
        <v>1551</v>
      </c>
      <c r="K89" s="146" t="s">
        <v>1552</v>
      </c>
      <c r="L89" s="146" t="s">
        <v>1634</v>
      </c>
      <c r="M89" s="146" t="s">
        <v>1635</v>
      </c>
      <c r="N89" s="146" t="s">
        <v>1636</v>
      </c>
      <c r="O89" s="146" t="s">
        <v>1848</v>
      </c>
      <c r="P89" s="146" t="s">
        <v>1849</v>
      </c>
      <c r="Q89" s="146" t="s">
        <v>1850</v>
      </c>
    </row>
    <row r="90" spans="1:17" s="9" customFormat="1" x14ac:dyDescent="0.25">
      <c r="A90" s="145" t="s">
        <v>1845</v>
      </c>
      <c r="B90" s="145" t="str">
        <f>CHOOSE(Translations!$C$1+1,O90,P90,Q90)</f>
        <v>HIV O-9 Pourcentage de personnes qui s'injectent des drogues qui indiquent avoir utilisé un préservatif lors de leur dernier rapport sexuel</v>
      </c>
      <c r="C90" s="145">
        <f t="shared" si="2"/>
        <v>1</v>
      </c>
      <c r="D90" s="145" t="str">
        <f t="shared" si="3"/>
        <v>HIV O-9 Pourcentage de personnes qui s'injectent des drogues qui indiquent avoir utilisé un préservatif lors de leur dernier rapport sexuel-1</v>
      </c>
      <c r="E90" s="145" t="str">
        <f>CHOOSE(Translations!$C$1+1,I90,J90,K90)</f>
        <v>Sexe</v>
      </c>
      <c r="F90" s="145" t="str">
        <f>CHOOSE(Translations!$C$1+1,L90,M90,N90)</f>
        <v>Femme</v>
      </c>
      <c r="G90" s="145" t="s">
        <v>1851</v>
      </c>
      <c r="H90" s="146" t="s">
        <v>1852</v>
      </c>
      <c r="I90" s="146" t="s">
        <v>1550</v>
      </c>
      <c r="J90" s="146" t="s">
        <v>1551</v>
      </c>
      <c r="K90" s="146" t="s">
        <v>1552</v>
      </c>
      <c r="L90" s="146" t="s">
        <v>1553</v>
      </c>
      <c r="M90" s="146" t="s">
        <v>1554</v>
      </c>
      <c r="N90" s="146" t="s">
        <v>1555</v>
      </c>
      <c r="O90" s="146" t="s">
        <v>1848</v>
      </c>
      <c r="P90" s="146" t="s">
        <v>1849</v>
      </c>
      <c r="Q90" s="146" t="s">
        <v>1850</v>
      </c>
    </row>
    <row r="91" spans="1:17" s="9" customFormat="1" x14ac:dyDescent="0.25">
      <c r="A91" s="145" t="s">
        <v>1845</v>
      </c>
      <c r="B91" s="145" t="str">
        <f>CHOOSE(Translations!$C$1+1,O91,P91,Q91)</f>
        <v>HIV O-9 Pourcentage de personnes qui s'injectent des drogues qui indiquent avoir utilisé un préservatif lors de leur dernier rapport sexuel</v>
      </c>
      <c r="C91" s="145">
        <f t="shared" si="2"/>
        <v>2</v>
      </c>
      <c r="D91" s="145" t="str">
        <f t="shared" si="3"/>
        <v>HIV O-9 Pourcentage de personnes qui s'injectent des drogues qui indiquent avoir utilisé un préservatif lors de leur dernier rapport sexuel-2</v>
      </c>
      <c r="E91" s="145" t="str">
        <f>CHOOSE(Translations!$C$1+1,I91,J91,K91)</f>
        <v>Sexe</v>
      </c>
      <c r="F91" s="145" t="str">
        <f>CHOOSE(Translations!$C$1+1,L91,M91,N91)</f>
        <v>Homme</v>
      </c>
      <c r="G91" s="145" t="s">
        <v>1853</v>
      </c>
      <c r="H91" s="146" t="s">
        <v>1854</v>
      </c>
      <c r="I91" s="146" t="s">
        <v>1550</v>
      </c>
      <c r="J91" s="146" t="s">
        <v>1551</v>
      </c>
      <c r="K91" s="146" t="s">
        <v>1552</v>
      </c>
      <c r="L91" s="146" t="s">
        <v>1558</v>
      </c>
      <c r="M91" s="146" t="s">
        <v>1559</v>
      </c>
      <c r="N91" s="146" t="s">
        <v>1560</v>
      </c>
      <c r="O91" s="146" t="s">
        <v>1848</v>
      </c>
      <c r="P91" s="146" t="s">
        <v>1849</v>
      </c>
      <c r="Q91" s="146" t="s">
        <v>1850</v>
      </c>
    </row>
    <row r="92" spans="1:17" s="9" customFormat="1" x14ac:dyDescent="0.25">
      <c r="A92" s="145" t="s">
        <v>1845</v>
      </c>
      <c r="B92" s="145" t="str">
        <f>CHOOSE(Translations!$C$1+1,O92,P92,Q92)</f>
        <v>HIV O-9 Pourcentage de personnes qui s'injectent des drogues qui indiquent avoir utilisé un préservatif lors de leur dernier rapport sexuel</v>
      </c>
      <c r="C92" s="145">
        <f t="shared" si="2"/>
        <v>3</v>
      </c>
      <c r="D92" s="145" t="str">
        <f t="shared" si="3"/>
        <v>HIV O-9 Pourcentage de personnes qui s'injectent des drogues qui indiquent avoir utilisé un préservatif lors de leur dernier rapport sexuel-3</v>
      </c>
      <c r="E92" s="145" t="str">
        <f>CHOOSE(Translations!$C$1+1,I92,J92,K92)</f>
        <v>Age</v>
      </c>
      <c r="F92" s="145" t="str">
        <f>CHOOSE(Translations!$C$1+1,L92,M92,N92)</f>
        <v>25+</v>
      </c>
      <c r="G92" s="145" t="s">
        <v>1855</v>
      </c>
      <c r="H92" s="146" t="s">
        <v>1856</v>
      </c>
      <c r="I92" s="146" t="s">
        <v>1563</v>
      </c>
      <c r="J92" s="146" t="s">
        <v>1563</v>
      </c>
      <c r="K92" s="146" t="s">
        <v>1564</v>
      </c>
      <c r="L92" s="146" t="s">
        <v>1616</v>
      </c>
      <c r="M92" s="146" t="s">
        <v>1616</v>
      </c>
      <c r="N92" s="146" t="s">
        <v>1616</v>
      </c>
      <c r="O92" s="146" t="s">
        <v>1848</v>
      </c>
      <c r="P92" s="146" t="s">
        <v>1849</v>
      </c>
      <c r="Q92" s="146" t="s">
        <v>1850</v>
      </c>
    </row>
    <row r="93" spans="1:17" s="9" customFormat="1" x14ac:dyDescent="0.25">
      <c r="A93" s="145" t="s">
        <v>1845</v>
      </c>
      <c r="B93" s="145" t="str">
        <f>CHOOSE(Translations!$C$1+1,O93,P93,Q93)</f>
        <v>HIV O-9 Pourcentage de personnes qui s'injectent des drogues qui indiquent avoir utilisé un préservatif lors de leur dernier rapport sexuel</v>
      </c>
      <c r="C93" s="145">
        <f t="shared" si="2"/>
        <v>4</v>
      </c>
      <c r="D93" s="145" t="str">
        <f t="shared" si="3"/>
        <v>HIV O-9 Pourcentage de personnes qui s'injectent des drogues qui indiquent avoir utilisé un préservatif lors de leur dernier rapport sexuel-4</v>
      </c>
      <c r="E93" s="145" t="str">
        <f>CHOOSE(Translations!$C$1+1,I93,J93,K93)</f>
        <v>Age</v>
      </c>
      <c r="F93" s="145" t="str">
        <f>CHOOSE(Translations!$C$1+1,L93,M93,N93)</f>
        <v>&lt;25</v>
      </c>
      <c r="G93" s="145" t="s">
        <v>1857</v>
      </c>
      <c r="H93" s="146" t="s">
        <v>1858</v>
      </c>
      <c r="I93" s="146" t="s">
        <v>1563</v>
      </c>
      <c r="J93" s="146" t="s">
        <v>1563</v>
      </c>
      <c r="K93" s="146" t="s">
        <v>1564</v>
      </c>
      <c r="L93" s="146" t="s">
        <v>1622</v>
      </c>
      <c r="M93" s="146" t="s">
        <v>1622</v>
      </c>
      <c r="N93" s="146" t="s">
        <v>1622</v>
      </c>
      <c r="O93" s="146" t="s">
        <v>1848</v>
      </c>
      <c r="P93" s="146" t="s">
        <v>1849</v>
      </c>
      <c r="Q93" s="146" t="s">
        <v>1850</v>
      </c>
    </row>
    <row r="94" spans="1:17" s="9" customFormat="1" x14ac:dyDescent="0.25">
      <c r="A94" s="145" t="s">
        <v>1859</v>
      </c>
      <c r="B94" s="145" t="str">
        <f>CHOOSE(Translations!$C$1+1,O94,P94,Q94)</f>
        <v>HIV O-11⁽ᴹ⁾ Pourcentage de personnes vivant avec le VIH qui connaissent leur statut sérologique à la fin de la période de rapportage</v>
      </c>
      <c r="C94" s="145">
        <f t="shared" si="2"/>
        <v>0</v>
      </c>
      <c r="D94" s="145" t="str">
        <f t="shared" si="3"/>
        <v>HIV O-11⁽ᴹ⁾ Pourcentage de personnes vivant avec le VIH qui connaissent leur statut sérologique à la fin de la période de rapportage-0</v>
      </c>
      <c r="E94" s="145" t="str">
        <f>CHOOSE(Translations!$C$1+1,I94,J94,K94)</f>
        <v>Sexe</v>
      </c>
      <c r="F94" s="145" t="str">
        <f>CHOOSE(Translations!$C$1+1,L94,M94,N94)</f>
        <v>Transgenre</v>
      </c>
      <c r="G94" s="145" t="s">
        <v>1860</v>
      </c>
      <c r="H94" s="146" t="s">
        <v>1861</v>
      </c>
      <c r="I94" s="146" t="s">
        <v>1550</v>
      </c>
      <c r="J94" s="146" t="s">
        <v>1551</v>
      </c>
      <c r="K94" s="146" t="s">
        <v>1552</v>
      </c>
      <c r="L94" s="146" t="s">
        <v>1634</v>
      </c>
      <c r="M94" s="146" t="s">
        <v>1635</v>
      </c>
      <c r="N94" s="146" t="s">
        <v>1636</v>
      </c>
      <c r="O94" s="146" t="s">
        <v>1862</v>
      </c>
      <c r="P94" s="146" t="s">
        <v>1863</v>
      </c>
      <c r="Q94" s="146" t="s">
        <v>1864</v>
      </c>
    </row>
    <row r="95" spans="1:17" s="9" customFormat="1" x14ac:dyDescent="0.25">
      <c r="A95" s="145" t="s">
        <v>1859</v>
      </c>
      <c r="B95" s="145" t="str">
        <f>CHOOSE(Translations!$C$1+1,O95,P95,Q95)</f>
        <v>HIV O-11⁽ᴹ⁾ Pourcentage de personnes vivant avec le VIH qui connaissent leur statut sérologique à la fin de la période de rapportage</v>
      </c>
      <c r="C95" s="145">
        <f t="shared" si="2"/>
        <v>1</v>
      </c>
      <c r="D95" s="145" t="str">
        <f t="shared" si="3"/>
        <v>HIV O-11⁽ᴹ⁾ Pourcentage de personnes vivant avec le VIH qui connaissent leur statut sérologique à la fin de la période de rapportage-1</v>
      </c>
      <c r="E95" s="145" t="str">
        <f>CHOOSE(Translations!$C$1+1,I95,J95,K95)</f>
        <v>Sexe</v>
      </c>
      <c r="F95" s="145" t="str">
        <f>CHOOSE(Translations!$C$1+1,L95,M95,N95)</f>
        <v>Femme</v>
      </c>
      <c r="G95" s="145" t="s">
        <v>1865</v>
      </c>
      <c r="H95" s="146" t="s">
        <v>1866</v>
      </c>
      <c r="I95" s="146" t="s">
        <v>1550</v>
      </c>
      <c r="J95" s="146" t="s">
        <v>1551</v>
      </c>
      <c r="K95" s="146" t="s">
        <v>1552</v>
      </c>
      <c r="L95" s="146" t="s">
        <v>1553</v>
      </c>
      <c r="M95" s="146" t="s">
        <v>1554</v>
      </c>
      <c r="N95" s="146" t="s">
        <v>1555</v>
      </c>
      <c r="O95" s="146" t="s">
        <v>1862</v>
      </c>
      <c r="P95" s="146" t="s">
        <v>1863</v>
      </c>
      <c r="Q95" s="146" t="s">
        <v>1864</v>
      </c>
    </row>
    <row r="96" spans="1:17" s="9" customFormat="1" x14ac:dyDescent="0.25">
      <c r="A96" s="145" t="s">
        <v>1859</v>
      </c>
      <c r="B96" s="145" t="str">
        <f>CHOOSE(Translations!$C$1+1,O96,P96,Q96)</f>
        <v>HIV O-11⁽ᴹ⁾ Pourcentage de personnes vivant avec le VIH qui connaissent leur statut sérologique à la fin de la période de rapportage</v>
      </c>
      <c r="C96" s="145">
        <f t="shared" si="2"/>
        <v>2</v>
      </c>
      <c r="D96" s="145" t="str">
        <f t="shared" si="3"/>
        <v>HIV O-11⁽ᴹ⁾ Pourcentage de personnes vivant avec le VIH qui connaissent leur statut sérologique à la fin de la période de rapportage-2</v>
      </c>
      <c r="E96" s="145" t="str">
        <f>CHOOSE(Translations!$C$1+1,I96,J96,K96)</f>
        <v>Sexe</v>
      </c>
      <c r="F96" s="145" t="str">
        <f>CHOOSE(Translations!$C$1+1,L96,M96,N96)</f>
        <v>Homme</v>
      </c>
      <c r="G96" s="145" t="s">
        <v>1867</v>
      </c>
      <c r="H96" s="146" t="s">
        <v>1868</v>
      </c>
      <c r="I96" s="146" t="s">
        <v>1550</v>
      </c>
      <c r="J96" s="146" t="s">
        <v>1551</v>
      </c>
      <c r="K96" s="146" t="s">
        <v>1552</v>
      </c>
      <c r="L96" s="146" t="s">
        <v>1558</v>
      </c>
      <c r="M96" s="146" t="s">
        <v>1559</v>
      </c>
      <c r="N96" s="146" t="s">
        <v>1560</v>
      </c>
      <c r="O96" s="146" t="s">
        <v>1862</v>
      </c>
      <c r="P96" s="146" t="s">
        <v>1863</v>
      </c>
      <c r="Q96" s="146" t="s">
        <v>1864</v>
      </c>
    </row>
    <row r="97" spans="1:17" s="9" customFormat="1" x14ac:dyDescent="0.25">
      <c r="A97" s="145" t="s">
        <v>1869</v>
      </c>
      <c r="B97" s="145" t="str">
        <f>CHOOSE(Translations!$C$1+1,O97,P97,Q97)</f>
        <v>HIV O-12 Pourcentage de personnes vivant avec le VIH sous traitement antirétroviral qui ont une charge virale indétectable</v>
      </c>
      <c r="C97" s="145">
        <f t="shared" si="2"/>
        <v>0</v>
      </c>
      <c r="D97" s="145" t="str">
        <f t="shared" si="3"/>
        <v>HIV O-12 Pourcentage de personnes vivant avec le VIH sous traitement antirétroviral qui ont une charge virale indétectable-0</v>
      </c>
      <c r="E97" s="145" t="str">
        <f>CHOOSE(Translations!$C$1+1,I97,J97,K97)</f>
        <v>Sexe</v>
      </c>
      <c r="F97" s="145" t="str">
        <f>CHOOSE(Translations!$C$1+1,L97,M97,N97)</f>
        <v>Transgenre</v>
      </c>
      <c r="G97" s="145" t="s">
        <v>1870</v>
      </c>
      <c r="H97" s="146" t="s">
        <v>1871</v>
      </c>
      <c r="I97" s="146" t="s">
        <v>1550</v>
      </c>
      <c r="J97" s="146" t="s">
        <v>1551</v>
      </c>
      <c r="K97" s="146" t="s">
        <v>1552</v>
      </c>
      <c r="L97" s="146" t="s">
        <v>1634</v>
      </c>
      <c r="M97" s="146" t="s">
        <v>1635</v>
      </c>
      <c r="N97" s="146" t="s">
        <v>1636</v>
      </c>
      <c r="O97" s="146" t="s">
        <v>1872</v>
      </c>
      <c r="P97" s="146" t="s">
        <v>1873</v>
      </c>
      <c r="Q97" s="146" t="s">
        <v>1874</v>
      </c>
    </row>
    <row r="98" spans="1:17" s="9" customFormat="1" x14ac:dyDescent="0.25">
      <c r="A98" s="145" t="s">
        <v>1869</v>
      </c>
      <c r="B98" s="145" t="str">
        <f>CHOOSE(Translations!$C$1+1,O98,P98,Q98)</f>
        <v>HIV O-12 Pourcentage de personnes vivant avec le VIH sous traitement antirétroviral qui ont une charge virale indétectable</v>
      </c>
      <c r="C98" s="145">
        <f t="shared" si="2"/>
        <v>1</v>
      </c>
      <c r="D98" s="145" t="str">
        <f t="shared" si="3"/>
        <v>HIV O-12 Pourcentage de personnes vivant avec le VIH sous traitement antirétroviral qui ont une charge virale indétectable-1</v>
      </c>
      <c r="E98" s="145" t="str">
        <f>CHOOSE(Translations!$C$1+1,I98,J98,K98)</f>
        <v>Sexe</v>
      </c>
      <c r="F98" s="145" t="str">
        <f>CHOOSE(Translations!$C$1+1,L98,M98,N98)</f>
        <v>Femme</v>
      </c>
      <c r="G98" s="145" t="s">
        <v>1875</v>
      </c>
      <c r="H98" s="146" t="s">
        <v>1876</v>
      </c>
      <c r="I98" s="146" t="s">
        <v>1550</v>
      </c>
      <c r="J98" s="146" t="s">
        <v>1551</v>
      </c>
      <c r="K98" s="146" t="s">
        <v>1552</v>
      </c>
      <c r="L98" s="146" t="s">
        <v>1553</v>
      </c>
      <c r="M98" s="146" t="s">
        <v>1554</v>
      </c>
      <c r="N98" s="146" t="s">
        <v>1555</v>
      </c>
      <c r="O98" s="146" t="s">
        <v>1872</v>
      </c>
      <c r="P98" s="146" t="s">
        <v>1873</v>
      </c>
      <c r="Q98" s="146" t="s">
        <v>1874</v>
      </c>
    </row>
    <row r="99" spans="1:17" s="9" customFormat="1" x14ac:dyDescent="0.25">
      <c r="A99" s="145" t="s">
        <v>1869</v>
      </c>
      <c r="B99" s="145" t="str">
        <f>CHOOSE(Translations!$C$1+1,O99,P99,Q99)</f>
        <v>HIV O-12 Pourcentage de personnes vivant avec le VIH sous traitement antirétroviral qui ont une charge virale indétectable</v>
      </c>
      <c r="C99" s="145">
        <f t="shared" si="2"/>
        <v>2</v>
      </c>
      <c r="D99" s="145" t="str">
        <f t="shared" si="3"/>
        <v>HIV O-12 Pourcentage de personnes vivant avec le VIH sous traitement antirétroviral qui ont une charge virale indétectable-2</v>
      </c>
      <c r="E99" s="145" t="str">
        <f>CHOOSE(Translations!$C$1+1,I99,J99,K99)</f>
        <v>Sexe</v>
      </c>
      <c r="F99" s="145" t="str">
        <f>CHOOSE(Translations!$C$1+1,L99,M99,N99)</f>
        <v>Homme</v>
      </c>
      <c r="G99" s="145" t="s">
        <v>1877</v>
      </c>
      <c r="H99" s="146" t="s">
        <v>1878</v>
      </c>
      <c r="I99" s="146" t="s">
        <v>1550</v>
      </c>
      <c r="J99" s="146" t="s">
        <v>1551</v>
      </c>
      <c r="K99" s="146" t="s">
        <v>1552</v>
      </c>
      <c r="L99" s="146" t="s">
        <v>1558</v>
      </c>
      <c r="M99" s="146" t="s">
        <v>1559</v>
      </c>
      <c r="N99" s="146" t="s">
        <v>1560</v>
      </c>
      <c r="O99" s="146" t="s">
        <v>1872</v>
      </c>
      <c r="P99" s="146" t="s">
        <v>1873</v>
      </c>
      <c r="Q99" s="146" t="s">
        <v>1874</v>
      </c>
    </row>
    <row r="100" spans="1:17" s="9" customFormat="1" x14ac:dyDescent="0.25">
      <c r="A100" s="145" t="s">
        <v>1879</v>
      </c>
      <c r="B100" s="145" t="str">
        <f>CHOOSE(Translations!$C$1+1,O100,P100,Q100)</f>
        <v>HIV O-13 Proportion de femmes âgées de 15 à 49 ans qui sont ou ont été mariées ou sont en couple, et qui ont été victimes de violences physiques ou sexuelles de la part d’un partenaire masculin au cours des 12 derniers mois</v>
      </c>
      <c r="C100" s="145">
        <f t="shared" si="2"/>
        <v>0</v>
      </c>
      <c r="D100" s="145" t="str">
        <f t="shared" si="3"/>
        <v>HIV O-13 Proportion de femmes âgées de 15 à 49 ans qui sont ou ont été mariées ou sont en couple, et qui ont été victimes de violences physiques ou sexuelles de la part d’un partenaire masculin au cours des 12 derniers mois-0</v>
      </c>
      <c r="E100" s="145" t="str">
        <f>CHOOSE(Translations!$C$1+1,I100,J100,K100)</f>
        <v>Age</v>
      </c>
      <c r="F100" s="145" t="str">
        <f>CHOOSE(Translations!$C$1+1,L100,M100,N100)</f>
        <v>20-24</v>
      </c>
      <c r="G100" s="145" t="s">
        <v>1880</v>
      </c>
      <c r="H100" s="146" t="s">
        <v>1881</v>
      </c>
      <c r="I100" s="146" t="s">
        <v>1563</v>
      </c>
      <c r="J100" s="146" t="s">
        <v>1563</v>
      </c>
      <c r="K100" s="146" t="s">
        <v>1564</v>
      </c>
      <c r="L100" s="146" t="s">
        <v>1797</v>
      </c>
      <c r="M100" s="146" t="s">
        <v>1797</v>
      </c>
      <c r="N100" s="146" t="s">
        <v>1797</v>
      </c>
      <c r="O100" s="146" t="s">
        <v>1882</v>
      </c>
      <c r="P100" s="146" t="s">
        <v>1883</v>
      </c>
      <c r="Q100" s="146" t="s">
        <v>1884</v>
      </c>
    </row>
    <row r="101" spans="1:17" s="9" customFormat="1" x14ac:dyDescent="0.25">
      <c r="A101" s="145" t="s">
        <v>1879</v>
      </c>
      <c r="B101" s="145" t="str">
        <f>CHOOSE(Translations!$C$1+1,O101,P101,Q101)</f>
        <v>HIV O-13 Proportion de femmes âgées de 15 à 49 ans qui sont ou ont été mariées ou sont en couple, et qui ont été victimes de violences physiques ou sexuelles de la part d’un partenaire masculin au cours des 12 derniers mois</v>
      </c>
      <c r="C101" s="145">
        <f t="shared" si="2"/>
        <v>1</v>
      </c>
      <c r="D101" s="145" t="str">
        <f t="shared" si="3"/>
        <v>HIV O-13 Proportion de femmes âgées de 15 à 49 ans qui sont ou ont été mariées ou sont en couple, et qui ont été victimes de violences physiques ou sexuelles de la part d’un partenaire masculin au cours des 12 derniers mois-1</v>
      </c>
      <c r="E101" s="145" t="str">
        <f>CHOOSE(Translations!$C$1+1,I101,J101,K101)</f>
        <v>Age</v>
      </c>
      <c r="F101" s="145" t="str">
        <f>CHOOSE(Translations!$C$1+1,L101,M101,N101)</f>
        <v>15-19</v>
      </c>
      <c r="G101" s="145" t="s">
        <v>1885</v>
      </c>
      <c r="H101" s="146" t="s">
        <v>1886</v>
      </c>
      <c r="I101" s="146" t="s">
        <v>1563</v>
      </c>
      <c r="J101" s="146" t="s">
        <v>1563</v>
      </c>
      <c r="K101" s="146" t="s">
        <v>1564</v>
      </c>
      <c r="L101" s="146" t="s">
        <v>1800</v>
      </c>
      <c r="M101" s="146" t="s">
        <v>1800</v>
      </c>
      <c r="N101" s="146" t="s">
        <v>1800</v>
      </c>
      <c r="O101" s="146" t="s">
        <v>1882</v>
      </c>
      <c r="P101" s="146" t="s">
        <v>1883</v>
      </c>
      <c r="Q101" s="146" t="s">
        <v>1884</v>
      </c>
    </row>
    <row r="102" spans="1:17" s="9" customFormat="1" x14ac:dyDescent="0.25">
      <c r="A102" s="145" t="s">
        <v>1887</v>
      </c>
      <c r="B102" s="145" t="str">
        <f>CHOOSE(Translations!$C$1+1,O102,P102,Q102)</f>
        <v>HIV O-16a Pourcentage d’hommes ayant des rapports sexuels avec des hommes (HSH) évitant d’avoir recours aux services de soins de santé en raison de la stigmatisation et de la discrimination encourues</v>
      </c>
      <c r="C102" s="145">
        <f t="shared" si="2"/>
        <v>0</v>
      </c>
      <c r="D102" s="145" t="str">
        <f t="shared" si="3"/>
        <v>HIV O-16a Pourcentage d’hommes ayant des rapports sexuels avec des hommes (HSH) évitant d’avoir recours aux services de soins de santé en raison de la stigmatisation et de la discrimination encourues-0</v>
      </c>
      <c r="E102" s="145" t="str">
        <f>CHOOSE(Translations!$C$1+1,I102,J102,K102)</f>
        <v>Age</v>
      </c>
      <c r="F102" s="145" t="str">
        <f>CHOOSE(Translations!$C$1+1,L102,M102,N102)</f>
        <v>25+</v>
      </c>
      <c r="G102" s="145" t="s">
        <v>1888</v>
      </c>
      <c r="H102" s="146" t="s">
        <v>1889</v>
      </c>
      <c r="I102" s="146" t="s">
        <v>1563</v>
      </c>
      <c r="J102" s="146" t="s">
        <v>1563</v>
      </c>
      <c r="K102" s="146" t="s">
        <v>1564</v>
      </c>
      <c r="L102" s="146" t="s">
        <v>1616</v>
      </c>
      <c r="M102" s="146" t="s">
        <v>1616</v>
      </c>
      <c r="N102" s="146" t="s">
        <v>1616</v>
      </c>
      <c r="O102" s="146" t="s">
        <v>1890</v>
      </c>
      <c r="P102" s="146" t="s">
        <v>1891</v>
      </c>
      <c r="Q102" s="146" t="s">
        <v>1892</v>
      </c>
    </row>
    <row r="103" spans="1:17" s="9" customFormat="1" x14ac:dyDescent="0.25">
      <c r="A103" s="145" t="s">
        <v>1887</v>
      </c>
      <c r="B103" s="145" t="str">
        <f>CHOOSE(Translations!$C$1+1,O103,P103,Q103)</f>
        <v>HIV O-16a Pourcentage d’hommes ayant des rapports sexuels avec des hommes (HSH) évitant d’avoir recours aux services de soins de santé en raison de la stigmatisation et de la discrimination encourues</v>
      </c>
      <c r="C103" s="145">
        <f t="shared" si="2"/>
        <v>1</v>
      </c>
      <c r="D103" s="145" t="str">
        <f t="shared" si="3"/>
        <v>HIV O-16a Pourcentage d’hommes ayant des rapports sexuels avec des hommes (HSH) évitant d’avoir recours aux services de soins de santé en raison de la stigmatisation et de la discrimination encourues-1</v>
      </c>
      <c r="E103" s="145" t="str">
        <f>CHOOSE(Translations!$C$1+1,I103,J103,K103)</f>
        <v>Age</v>
      </c>
      <c r="F103" s="145" t="str">
        <f>CHOOSE(Translations!$C$1+1,L103,M103,N103)</f>
        <v>&lt;25</v>
      </c>
      <c r="G103" s="145" t="s">
        <v>1893</v>
      </c>
      <c r="H103" s="146" t="s">
        <v>1894</v>
      </c>
      <c r="I103" s="146" t="s">
        <v>1563</v>
      </c>
      <c r="J103" s="146" t="s">
        <v>1563</v>
      </c>
      <c r="K103" s="146" t="s">
        <v>1564</v>
      </c>
      <c r="L103" s="146" t="s">
        <v>1622</v>
      </c>
      <c r="M103" s="146" t="s">
        <v>1622</v>
      </c>
      <c r="N103" s="146" t="s">
        <v>1622</v>
      </c>
      <c r="O103" s="146" t="s">
        <v>1890</v>
      </c>
      <c r="P103" s="146" t="s">
        <v>1891</v>
      </c>
      <c r="Q103" s="146" t="s">
        <v>1892</v>
      </c>
    </row>
    <row r="104" spans="1:17" s="9" customFormat="1" x14ac:dyDescent="0.25">
      <c r="A104" s="145" t="s">
        <v>1895</v>
      </c>
      <c r="B104" s="145" t="str">
        <f>CHOOSE(Translations!$C$1+1,O104,P104,Q104)</f>
        <v>HIV O-16b Pourcentage de personnes transgenres évitant d’avoir recours aux services de soins de santé en raison de la stigmatisation et de la discrimination encourues</v>
      </c>
      <c r="C104" s="145">
        <f t="shared" si="2"/>
        <v>0</v>
      </c>
      <c r="D104" s="145" t="str">
        <f t="shared" si="3"/>
        <v>HIV O-16b Pourcentage de personnes transgenres évitant d’avoir recours aux services de soins de santé en raison de la stigmatisation et de la discrimination encourues-0</v>
      </c>
      <c r="E104" s="145" t="str">
        <f>CHOOSE(Translations!$C$1+1,I104,J104,K104)</f>
        <v>Age</v>
      </c>
      <c r="F104" s="145" t="str">
        <f>CHOOSE(Translations!$C$1+1,L104,M104,N104)</f>
        <v>25+</v>
      </c>
      <c r="G104" s="145" t="s">
        <v>1896</v>
      </c>
      <c r="H104" s="146" t="s">
        <v>1897</v>
      </c>
      <c r="I104" s="146" t="s">
        <v>1563</v>
      </c>
      <c r="J104" s="146" t="s">
        <v>1563</v>
      </c>
      <c r="K104" s="146" t="s">
        <v>1564</v>
      </c>
      <c r="L104" s="146" t="s">
        <v>1616</v>
      </c>
      <c r="M104" s="146" t="s">
        <v>1616</v>
      </c>
      <c r="N104" s="146" t="s">
        <v>1616</v>
      </c>
      <c r="O104" s="146" t="s">
        <v>1898</v>
      </c>
      <c r="P104" s="146" t="s">
        <v>1899</v>
      </c>
      <c r="Q104" s="146" t="s">
        <v>1900</v>
      </c>
    </row>
    <row r="105" spans="1:17" s="9" customFormat="1" x14ac:dyDescent="0.25">
      <c r="A105" s="145" t="s">
        <v>1895</v>
      </c>
      <c r="B105" s="145" t="str">
        <f>CHOOSE(Translations!$C$1+1,O105,P105,Q105)</f>
        <v>HIV O-16b Pourcentage de personnes transgenres évitant d’avoir recours aux services de soins de santé en raison de la stigmatisation et de la discrimination encourues</v>
      </c>
      <c r="C105" s="145">
        <f t="shared" si="2"/>
        <v>1</v>
      </c>
      <c r="D105" s="145" t="str">
        <f t="shared" si="3"/>
        <v>HIV O-16b Pourcentage de personnes transgenres évitant d’avoir recours aux services de soins de santé en raison de la stigmatisation et de la discrimination encourues-1</v>
      </c>
      <c r="E105" s="145" t="str">
        <f>CHOOSE(Translations!$C$1+1,I105,J105,K105)</f>
        <v>Age</v>
      </c>
      <c r="F105" s="145" t="str">
        <f>CHOOSE(Translations!$C$1+1,L105,M105,N105)</f>
        <v>&lt;25</v>
      </c>
      <c r="G105" s="145" t="s">
        <v>1901</v>
      </c>
      <c r="H105" s="146" t="s">
        <v>1902</v>
      </c>
      <c r="I105" s="146" t="s">
        <v>1563</v>
      </c>
      <c r="J105" s="146" t="s">
        <v>1563</v>
      </c>
      <c r="K105" s="146" t="s">
        <v>1564</v>
      </c>
      <c r="L105" s="146" t="s">
        <v>1622</v>
      </c>
      <c r="M105" s="146" t="s">
        <v>1622</v>
      </c>
      <c r="N105" s="146" t="s">
        <v>1622</v>
      </c>
      <c r="O105" s="146" t="s">
        <v>1898</v>
      </c>
      <c r="P105" s="146" t="s">
        <v>1899</v>
      </c>
      <c r="Q105" s="146" t="s">
        <v>1900</v>
      </c>
    </row>
    <row r="106" spans="1:17" s="9" customFormat="1" x14ac:dyDescent="0.25">
      <c r="A106" s="145" t="s">
        <v>1903</v>
      </c>
      <c r="B106" s="145" t="str">
        <f>CHOOSE(Translations!$C$1+1,O106,P106,Q106)</f>
        <v>HIV O-16c Pourcentage de professionnels du sexe évitant d’avoir recours aux services de soins de santé en raison de la stigmatisation et de la discrimination encourues</v>
      </c>
      <c r="C106" s="145">
        <f t="shared" si="2"/>
        <v>0</v>
      </c>
      <c r="D106" s="145" t="str">
        <f t="shared" si="3"/>
        <v>HIV O-16c Pourcentage de professionnels du sexe évitant d’avoir recours aux services de soins de santé en raison de la stigmatisation et de la discrimination encourues-0</v>
      </c>
      <c r="E106" s="145" t="str">
        <f>CHOOSE(Translations!$C$1+1,I106,J106,K106)</f>
        <v>Sexe</v>
      </c>
      <c r="F106" s="145" t="str">
        <f>CHOOSE(Translations!$C$1+1,L106,M106,N106)</f>
        <v>Transgenre</v>
      </c>
      <c r="G106" s="145" t="s">
        <v>1904</v>
      </c>
      <c r="H106" s="146" t="s">
        <v>1905</v>
      </c>
      <c r="I106" s="146" t="s">
        <v>1550</v>
      </c>
      <c r="J106" s="146" t="s">
        <v>1551</v>
      </c>
      <c r="K106" s="146" t="s">
        <v>1552</v>
      </c>
      <c r="L106" s="146" t="s">
        <v>1634</v>
      </c>
      <c r="M106" s="146" t="s">
        <v>1635</v>
      </c>
      <c r="N106" s="146" t="s">
        <v>1636</v>
      </c>
      <c r="O106" s="146" t="s">
        <v>1906</v>
      </c>
      <c r="P106" s="146" t="s">
        <v>1907</v>
      </c>
      <c r="Q106" s="146" t="s">
        <v>1908</v>
      </c>
    </row>
    <row r="107" spans="1:17" s="9" customFormat="1" x14ac:dyDescent="0.25">
      <c r="A107" s="145" t="s">
        <v>1903</v>
      </c>
      <c r="B107" s="145" t="str">
        <f>CHOOSE(Translations!$C$1+1,O107,P107,Q107)</f>
        <v>HIV O-16c Pourcentage de professionnels du sexe évitant d’avoir recours aux services de soins de santé en raison de la stigmatisation et de la discrimination encourues</v>
      </c>
      <c r="C107" s="145">
        <f t="shared" si="2"/>
        <v>1</v>
      </c>
      <c r="D107" s="145" t="str">
        <f t="shared" si="3"/>
        <v>HIV O-16c Pourcentage de professionnels du sexe évitant d’avoir recours aux services de soins de santé en raison de la stigmatisation et de la discrimination encourues-1</v>
      </c>
      <c r="E107" s="145" t="str">
        <f>CHOOSE(Translations!$C$1+1,I107,J107,K107)</f>
        <v>Sexe</v>
      </c>
      <c r="F107" s="145" t="str">
        <f>CHOOSE(Translations!$C$1+1,L107,M107,N107)</f>
        <v>Femme</v>
      </c>
      <c r="G107" s="145" t="s">
        <v>1909</v>
      </c>
      <c r="H107" s="146" t="s">
        <v>1910</v>
      </c>
      <c r="I107" s="146" t="s">
        <v>1550</v>
      </c>
      <c r="J107" s="146" t="s">
        <v>1551</v>
      </c>
      <c r="K107" s="146" t="s">
        <v>1552</v>
      </c>
      <c r="L107" s="146" t="s">
        <v>1553</v>
      </c>
      <c r="M107" s="146" t="s">
        <v>1554</v>
      </c>
      <c r="N107" s="146" t="s">
        <v>1555</v>
      </c>
      <c r="O107" s="146" t="s">
        <v>1906</v>
      </c>
      <c r="P107" s="146" t="s">
        <v>1907</v>
      </c>
      <c r="Q107" s="146" t="s">
        <v>1908</v>
      </c>
    </row>
    <row r="108" spans="1:17" s="9" customFormat="1" x14ac:dyDescent="0.25">
      <c r="A108" s="145" t="s">
        <v>1903</v>
      </c>
      <c r="B108" s="145" t="str">
        <f>CHOOSE(Translations!$C$1+1,O108,P108,Q108)</f>
        <v>HIV O-16c Pourcentage de professionnels du sexe évitant d’avoir recours aux services de soins de santé en raison de la stigmatisation et de la discrimination encourues</v>
      </c>
      <c r="C108" s="145">
        <f t="shared" si="2"/>
        <v>2</v>
      </c>
      <c r="D108" s="145" t="str">
        <f t="shared" si="3"/>
        <v>HIV O-16c Pourcentage de professionnels du sexe évitant d’avoir recours aux services de soins de santé en raison de la stigmatisation et de la discrimination encourues-2</v>
      </c>
      <c r="E108" s="145" t="str">
        <f>CHOOSE(Translations!$C$1+1,I108,J108,K108)</f>
        <v>Sexe</v>
      </c>
      <c r="F108" s="145" t="str">
        <f>CHOOSE(Translations!$C$1+1,L108,M108,N108)</f>
        <v>Homme</v>
      </c>
      <c r="G108" s="145" t="s">
        <v>1911</v>
      </c>
      <c r="H108" s="146" t="s">
        <v>1912</v>
      </c>
      <c r="I108" s="146" t="s">
        <v>1550</v>
      </c>
      <c r="J108" s="146" t="s">
        <v>1551</v>
      </c>
      <c r="K108" s="146" t="s">
        <v>1552</v>
      </c>
      <c r="L108" s="146" t="s">
        <v>1558</v>
      </c>
      <c r="M108" s="146" t="s">
        <v>1559</v>
      </c>
      <c r="N108" s="146" t="s">
        <v>1560</v>
      </c>
      <c r="O108" s="146" t="s">
        <v>1906</v>
      </c>
      <c r="P108" s="146" t="s">
        <v>1907</v>
      </c>
      <c r="Q108" s="146" t="s">
        <v>1908</v>
      </c>
    </row>
    <row r="109" spans="1:17" s="9" customFormat="1" x14ac:dyDescent="0.25">
      <c r="A109" s="145" t="s">
        <v>1903</v>
      </c>
      <c r="B109" s="145" t="str">
        <f>CHOOSE(Translations!$C$1+1,O109,P109,Q109)</f>
        <v>HIV O-16c Pourcentage de professionnels du sexe évitant d’avoir recours aux services de soins de santé en raison de la stigmatisation et de la discrimination encourues</v>
      </c>
      <c r="C109" s="145">
        <f t="shared" si="2"/>
        <v>3</v>
      </c>
      <c r="D109" s="145" t="str">
        <f t="shared" si="3"/>
        <v>HIV O-16c Pourcentage de professionnels du sexe évitant d’avoir recours aux services de soins de santé en raison de la stigmatisation et de la discrimination encourues-3</v>
      </c>
      <c r="E109" s="145" t="str">
        <f>CHOOSE(Translations!$C$1+1,I109,J109,K109)</f>
        <v>Age</v>
      </c>
      <c r="F109" s="145" t="str">
        <f>CHOOSE(Translations!$C$1+1,L109,M109,N109)</f>
        <v>25+</v>
      </c>
      <c r="G109" s="145" t="s">
        <v>1913</v>
      </c>
      <c r="H109" s="146" t="s">
        <v>1914</v>
      </c>
      <c r="I109" s="146" t="s">
        <v>1563</v>
      </c>
      <c r="J109" s="146" t="s">
        <v>1563</v>
      </c>
      <c r="K109" s="146" t="s">
        <v>1564</v>
      </c>
      <c r="L109" s="146" t="s">
        <v>1616</v>
      </c>
      <c r="M109" s="146" t="s">
        <v>1616</v>
      </c>
      <c r="N109" s="146" t="s">
        <v>1616</v>
      </c>
      <c r="O109" s="146" t="s">
        <v>1906</v>
      </c>
      <c r="P109" s="146" t="s">
        <v>1907</v>
      </c>
      <c r="Q109" s="146" t="s">
        <v>1908</v>
      </c>
    </row>
    <row r="110" spans="1:17" s="9" customFormat="1" x14ac:dyDescent="0.25">
      <c r="A110" s="145" t="s">
        <v>1903</v>
      </c>
      <c r="B110" s="145" t="str">
        <f>CHOOSE(Translations!$C$1+1,O110,P110,Q110)</f>
        <v>HIV O-16c Pourcentage de professionnels du sexe évitant d’avoir recours aux services de soins de santé en raison de la stigmatisation et de la discrimination encourues</v>
      </c>
      <c r="C110" s="145">
        <f t="shared" si="2"/>
        <v>4</v>
      </c>
      <c r="D110" s="145" t="str">
        <f t="shared" si="3"/>
        <v>HIV O-16c Pourcentage de professionnels du sexe évitant d’avoir recours aux services de soins de santé en raison de la stigmatisation et de la discrimination encourues-4</v>
      </c>
      <c r="E110" s="145" t="str">
        <f>CHOOSE(Translations!$C$1+1,I110,J110,K110)</f>
        <v>Age</v>
      </c>
      <c r="F110" s="145" t="str">
        <f>CHOOSE(Translations!$C$1+1,L110,M110,N110)</f>
        <v>&lt;25</v>
      </c>
      <c r="G110" s="145" t="s">
        <v>1915</v>
      </c>
      <c r="H110" s="146" t="s">
        <v>1916</v>
      </c>
      <c r="I110" s="146" t="s">
        <v>1563</v>
      </c>
      <c r="J110" s="146" t="s">
        <v>1563</v>
      </c>
      <c r="K110" s="146" t="s">
        <v>1564</v>
      </c>
      <c r="L110" s="146" t="s">
        <v>1622</v>
      </c>
      <c r="M110" s="146" t="s">
        <v>1622</v>
      </c>
      <c r="N110" s="146" t="s">
        <v>1622</v>
      </c>
      <c r="O110" s="146" t="s">
        <v>1906</v>
      </c>
      <c r="P110" s="146" t="s">
        <v>1907</v>
      </c>
      <c r="Q110" s="146" t="s">
        <v>1908</v>
      </c>
    </row>
    <row r="111" spans="1:17" s="9" customFormat="1" x14ac:dyDescent="0.25">
      <c r="A111" s="145" t="s">
        <v>1917</v>
      </c>
      <c r="B111" s="145" t="str">
        <f>CHOOSE(Translations!$C$1+1,O111,P111,Q111)</f>
        <v>HIV O-16d Pourcentage de personnes qui s'injectent des drogues évitant d’avoir recours aux services de soins de santé en raison de la stigmatisation et de la discrimination encourues</v>
      </c>
      <c r="C111" s="145">
        <f t="shared" si="2"/>
        <v>0</v>
      </c>
      <c r="D111" s="145" t="str">
        <f t="shared" si="3"/>
        <v>HIV O-16d Pourcentage de personnes qui s'injectent des drogues évitant d’avoir recours aux services de soins de santé en raison de la stigmatisation et de la discrimination encourues-0</v>
      </c>
      <c r="E111" s="145" t="str">
        <f>CHOOSE(Translations!$C$1+1,I111,J111,K111)</f>
        <v>Sexe</v>
      </c>
      <c r="F111" s="145" t="str">
        <f>CHOOSE(Translations!$C$1+1,L111,M111,N111)</f>
        <v>Transgenre</v>
      </c>
      <c r="G111" s="145" t="s">
        <v>1918</v>
      </c>
      <c r="H111" s="146" t="s">
        <v>1919</v>
      </c>
      <c r="I111" s="146" t="s">
        <v>1550</v>
      </c>
      <c r="J111" s="146" t="s">
        <v>1551</v>
      </c>
      <c r="K111" s="146" t="s">
        <v>1552</v>
      </c>
      <c r="L111" s="146" t="s">
        <v>1634</v>
      </c>
      <c r="M111" s="146" t="s">
        <v>1635</v>
      </c>
      <c r="N111" s="146" t="s">
        <v>1636</v>
      </c>
      <c r="O111" s="146" t="s">
        <v>1920</v>
      </c>
      <c r="P111" s="146" t="s">
        <v>1921</v>
      </c>
      <c r="Q111" s="146" t="s">
        <v>1922</v>
      </c>
    </row>
    <row r="112" spans="1:17" s="9" customFormat="1" x14ac:dyDescent="0.25">
      <c r="A112" s="145" t="s">
        <v>1917</v>
      </c>
      <c r="B112" s="145" t="str">
        <f>CHOOSE(Translations!$C$1+1,O112,P112,Q112)</f>
        <v>HIV O-16d Pourcentage de personnes qui s'injectent des drogues évitant d’avoir recours aux services de soins de santé en raison de la stigmatisation et de la discrimination encourues</v>
      </c>
      <c r="C112" s="145">
        <f t="shared" si="2"/>
        <v>1</v>
      </c>
      <c r="D112" s="145" t="str">
        <f t="shared" si="3"/>
        <v>HIV O-16d Pourcentage de personnes qui s'injectent des drogues évitant d’avoir recours aux services de soins de santé en raison de la stigmatisation et de la discrimination encourues-1</v>
      </c>
      <c r="E112" s="145" t="str">
        <f>CHOOSE(Translations!$C$1+1,I112,J112,K112)</f>
        <v>Sexe</v>
      </c>
      <c r="F112" s="145" t="str">
        <f>CHOOSE(Translations!$C$1+1,L112,M112,N112)</f>
        <v>Femme</v>
      </c>
      <c r="G112" s="145" t="s">
        <v>1923</v>
      </c>
      <c r="H112" s="146" t="s">
        <v>1924</v>
      </c>
      <c r="I112" s="146" t="s">
        <v>1550</v>
      </c>
      <c r="J112" s="146" t="s">
        <v>1551</v>
      </c>
      <c r="K112" s="146" t="s">
        <v>1552</v>
      </c>
      <c r="L112" s="146" t="s">
        <v>1553</v>
      </c>
      <c r="M112" s="146" t="s">
        <v>1554</v>
      </c>
      <c r="N112" s="146" t="s">
        <v>1555</v>
      </c>
      <c r="O112" s="146" t="s">
        <v>1920</v>
      </c>
      <c r="P112" s="146" t="s">
        <v>1921</v>
      </c>
      <c r="Q112" s="146" t="s">
        <v>1922</v>
      </c>
    </row>
    <row r="113" spans="1:17" s="9" customFormat="1" x14ac:dyDescent="0.25">
      <c r="A113" s="145" t="s">
        <v>1917</v>
      </c>
      <c r="B113" s="145" t="str">
        <f>CHOOSE(Translations!$C$1+1,O113,P113,Q113)</f>
        <v>HIV O-16d Pourcentage de personnes qui s'injectent des drogues évitant d’avoir recours aux services de soins de santé en raison de la stigmatisation et de la discrimination encourues</v>
      </c>
      <c r="C113" s="145">
        <f t="shared" si="2"/>
        <v>2</v>
      </c>
      <c r="D113" s="145" t="str">
        <f t="shared" si="3"/>
        <v>HIV O-16d Pourcentage de personnes qui s'injectent des drogues évitant d’avoir recours aux services de soins de santé en raison de la stigmatisation et de la discrimination encourues-2</v>
      </c>
      <c r="E113" s="145" t="str">
        <f>CHOOSE(Translations!$C$1+1,I113,J113,K113)</f>
        <v>Sexe</v>
      </c>
      <c r="F113" s="145" t="str">
        <f>CHOOSE(Translations!$C$1+1,L113,M113,N113)</f>
        <v>Homme</v>
      </c>
      <c r="G113" s="145" t="s">
        <v>1925</v>
      </c>
      <c r="H113" s="146" t="s">
        <v>1926</v>
      </c>
      <c r="I113" s="146" t="s">
        <v>1550</v>
      </c>
      <c r="J113" s="146" t="s">
        <v>1551</v>
      </c>
      <c r="K113" s="146" t="s">
        <v>1552</v>
      </c>
      <c r="L113" s="146" t="s">
        <v>1558</v>
      </c>
      <c r="M113" s="146" t="s">
        <v>1559</v>
      </c>
      <c r="N113" s="146" t="s">
        <v>1560</v>
      </c>
      <c r="O113" s="146" t="s">
        <v>1920</v>
      </c>
      <c r="P113" s="146" t="s">
        <v>1921</v>
      </c>
      <c r="Q113" s="146" t="s">
        <v>1922</v>
      </c>
    </row>
    <row r="114" spans="1:17" s="9" customFormat="1" x14ac:dyDescent="0.25">
      <c r="A114" s="145" t="s">
        <v>1917</v>
      </c>
      <c r="B114" s="145" t="str">
        <f>CHOOSE(Translations!$C$1+1,O114,P114,Q114)</f>
        <v>HIV O-16d Pourcentage de personnes qui s'injectent des drogues évitant d’avoir recours aux services de soins de santé en raison de la stigmatisation et de la discrimination encourues</v>
      </c>
      <c r="C114" s="145">
        <f t="shared" si="2"/>
        <v>3</v>
      </c>
      <c r="D114" s="145" t="str">
        <f t="shared" si="3"/>
        <v>HIV O-16d Pourcentage de personnes qui s'injectent des drogues évitant d’avoir recours aux services de soins de santé en raison de la stigmatisation et de la discrimination encourues-3</v>
      </c>
      <c r="E114" s="145" t="str">
        <f>CHOOSE(Translations!$C$1+1,I114,J114,K114)</f>
        <v>Age</v>
      </c>
      <c r="F114" s="145" t="str">
        <f>CHOOSE(Translations!$C$1+1,L114,M114,N114)</f>
        <v>25+</v>
      </c>
      <c r="G114" s="145" t="s">
        <v>1927</v>
      </c>
      <c r="H114" s="146" t="s">
        <v>1928</v>
      </c>
      <c r="I114" s="146" t="s">
        <v>1563</v>
      </c>
      <c r="J114" s="146" t="s">
        <v>1563</v>
      </c>
      <c r="K114" s="146" t="s">
        <v>1564</v>
      </c>
      <c r="L114" s="146" t="s">
        <v>1616</v>
      </c>
      <c r="M114" s="146" t="s">
        <v>1616</v>
      </c>
      <c r="N114" s="146" t="s">
        <v>1616</v>
      </c>
      <c r="O114" s="146" t="s">
        <v>1920</v>
      </c>
      <c r="P114" s="146" t="s">
        <v>1921</v>
      </c>
      <c r="Q114" s="146" t="s">
        <v>1922</v>
      </c>
    </row>
    <row r="115" spans="1:17" s="9" customFormat="1" x14ac:dyDescent="0.25">
      <c r="A115" s="145" t="s">
        <v>1917</v>
      </c>
      <c r="B115" s="145" t="str">
        <f>CHOOSE(Translations!$C$1+1,O115,P115,Q115)</f>
        <v>HIV O-16d Pourcentage de personnes qui s'injectent des drogues évitant d’avoir recours aux services de soins de santé en raison de la stigmatisation et de la discrimination encourues</v>
      </c>
      <c r="C115" s="145">
        <f t="shared" si="2"/>
        <v>4</v>
      </c>
      <c r="D115" s="145" t="str">
        <f t="shared" si="3"/>
        <v>HIV O-16d Pourcentage de personnes qui s'injectent des drogues évitant d’avoir recours aux services de soins de santé en raison de la stigmatisation et de la discrimination encourues-4</v>
      </c>
      <c r="E115" s="145" t="str">
        <f>CHOOSE(Translations!$C$1+1,I115,J115,K115)</f>
        <v>Age</v>
      </c>
      <c r="F115" s="145" t="str">
        <f>CHOOSE(Translations!$C$1+1,L115,M115,N115)</f>
        <v>&lt;25</v>
      </c>
      <c r="G115" s="145" t="s">
        <v>1929</v>
      </c>
      <c r="H115" s="146" t="s">
        <v>1930</v>
      </c>
      <c r="I115" s="146" t="s">
        <v>1563</v>
      </c>
      <c r="J115" s="146" t="s">
        <v>1563</v>
      </c>
      <c r="K115" s="146" t="s">
        <v>1564</v>
      </c>
      <c r="L115" s="146" t="s">
        <v>1622</v>
      </c>
      <c r="M115" s="146" t="s">
        <v>1622</v>
      </c>
      <c r="N115" s="146" t="s">
        <v>1622</v>
      </c>
      <c r="O115" s="146" t="s">
        <v>1920</v>
      </c>
      <c r="P115" s="146" t="s">
        <v>1921</v>
      </c>
      <c r="Q115" s="146" t="s">
        <v>1922</v>
      </c>
    </row>
    <row r="116" spans="1:17" s="9" customFormat="1" x14ac:dyDescent="0.25">
      <c r="A116" s="145" t="s">
        <v>1931</v>
      </c>
      <c r="B116" s="145" t="str">
        <f>CHOOSE(Translations!$C$1+1,O116,P116,Q116)</f>
        <v>HIV O-17 Pourcentage de personnes vivant avec le VIH déclarant avoir exercé un recours judiciaire à la suite de la violation de leurs droits</v>
      </c>
      <c r="C116" s="145">
        <f t="shared" si="2"/>
        <v>0</v>
      </c>
      <c r="D116" s="145" t="str">
        <f t="shared" si="3"/>
        <v>HIV O-17 Pourcentage de personnes vivant avec le VIH déclarant avoir exercé un recours judiciaire à la suite de la violation de leurs droits-0</v>
      </c>
      <c r="E116" s="145" t="str">
        <f>CHOOSE(Translations!$C$1+1,I116,J116,K116)</f>
        <v>Groupe à risque cible</v>
      </c>
      <c r="F116" s="145" t="str">
        <f>CHOOSE(Translations!$C$1+1,L116,M116,N116)</f>
        <v>Prisonniers</v>
      </c>
      <c r="G116" s="145" t="s">
        <v>1932</v>
      </c>
      <c r="H116" s="146" t="s">
        <v>1933</v>
      </c>
      <c r="I116" s="146" t="s">
        <v>1934</v>
      </c>
      <c r="J116" s="146" t="s">
        <v>1935</v>
      </c>
      <c r="K116" s="146" t="s">
        <v>1936</v>
      </c>
      <c r="L116" s="146" t="s">
        <v>1937</v>
      </c>
      <c r="M116" s="146" t="s">
        <v>1938</v>
      </c>
      <c r="N116" s="146" t="s">
        <v>1939</v>
      </c>
      <c r="O116" s="146" t="s">
        <v>1940</v>
      </c>
      <c r="P116" s="146" t="s">
        <v>1941</v>
      </c>
      <c r="Q116" s="146" t="s">
        <v>1942</v>
      </c>
    </row>
    <row r="117" spans="1:17" s="9" customFormat="1" x14ac:dyDescent="0.25">
      <c r="A117" s="145" t="s">
        <v>1931</v>
      </c>
      <c r="B117" s="145" t="str">
        <f>CHOOSE(Translations!$C$1+1,O117,P117,Q117)</f>
        <v>HIV O-17 Pourcentage de personnes vivant avec le VIH déclarant avoir exercé un recours judiciaire à la suite de la violation de leurs droits</v>
      </c>
      <c r="C117" s="145">
        <f t="shared" si="2"/>
        <v>1</v>
      </c>
      <c r="D117" s="145" t="str">
        <f t="shared" si="3"/>
        <v>HIV O-17 Pourcentage de personnes vivant avec le VIH déclarant avoir exercé un recours judiciaire à la suite de la violation de leurs droits-1</v>
      </c>
      <c r="E117" s="145" t="str">
        <f>CHOOSE(Translations!$C$1+1,I117,J117,K117)</f>
        <v>Groupe à risque cible</v>
      </c>
      <c r="F117" s="145" t="str">
        <f>CHOOSE(Translations!$C$1+1,L117,M117,N117)</f>
        <v>Usagers de drogues injectables</v>
      </c>
      <c r="G117" s="145" t="s">
        <v>1943</v>
      </c>
      <c r="H117" s="146" t="s">
        <v>1944</v>
      </c>
      <c r="I117" s="146" t="s">
        <v>1934</v>
      </c>
      <c r="J117" s="146" t="s">
        <v>1935</v>
      </c>
      <c r="K117" s="146" t="s">
        <v>1936</v>
      </c>
      <c r="L117" s="146" t="s">
        <v>1945</v>
      </c>
      <c r="M117" s="146" t="s">
        <v>1946</v>
      </c>
      <c r="N117" s="146" t="s">
        <v>1947</v>
      </c>
      <c r="O117" s="146" t="s">
        <v>1940</v>
      </c>
      <c r="P117" s="146" t="s">
        <v>1941</v>
      </c>
      <c r="Q117" s="146" t="s">
        <v>1942</v>
      </c>
    </row>
    <row r="118" spans="1:17" s="9" customFormat="1" x14ac:dyDescent="0.25">
      <c r="A118" s="145" t="s">
        <v>1931</v>
      </c>
      <c r="B118" s="145" t="str">
        <f>CHOOSE(Translations!$C$1+1,O118,P118,Q118)</f>
        <v>HIV O-17 Pourcentage de personnes vivant avec le VIH déclarant avoir exercé un recours judiciaire à la suite de la violation de leurs droits</v>
      </c>
      <c r="C118" s="145">
        <f t="shared" si="2"/>
        <v>2</v>
      </c>
      <c r="D118" s="145" t="str">
        <f t="shared" si="3"/>
        <v>HIV O-17 Pourcentage de personnes vivant avec le VIH déclarant avoir exercé un recours judiciaire à la suite de la violation de leurs droits-2</v>
      </c>
      <c r="E118" s="145" t="str">
        <f>CHOOSE(Translations!$C$1+1,I118,J118,K118)</f>
        <v>Groupe à risque cible</v>
      </c>
      <c r="F118" s="145" t="str">
        <f>CHOOSE(Translations!$C$1+1,L118,M118,N118)</f>
        <v>Professionnels du sexe</v>
      </c>
      <c r="G118" s="145" t="s">
        <v>1948</v>
      </c>
      <c r="H118" s="146" t="s">
        <v>1949</v>
      </c>
      <c r="I118" s="146" t="s">
        <v>1934</v>
      </c>
      <c r="J118" s="146" t="s">
        <v>1935</v>
      </c>
      <c r="K118" s="146" t="s">
        <v>1936</v>
      </c>
      <c r="L118" s="146" t="s">
        <v>1950</v>
      </c>
      <c r="M118" s="146" t="s">
        <v>1951</v>
      </c>
      <c r="N118" s="146" t="s">
        <v>1952</v>
      </c>
      <c r="O118" s="146" t="s">
        <v>1940</v>
      </c>
      <c r="P118" s="146" t="s">
        <v>1941</v>
      </c>
      <c r="Q118" s="146" t="s">
        <v>1942</v>
      </c>
    </row>
    <row r="119" spans="1:17" s="9" customFormat="1" x14ac:dyDescent="0.25">
      <c r="A119" s="145" t="s">
        <v>1931</v>
      </c>
      <c r="B119" s="145" t="str">
        <f>CHOOSE(Translations!$C$1+1,O119,P119,Q119)</f>
        <v>HIV O-17 Pourcentage de personnes vivant avec le VIH déclarant avoir exercé un recours judiciaire à la suite de la violation de leurs droits</v>
      </c>
      <c r="C119" s="145">
        <f t="shared" si="2"/>
        <v>3</v>
      </c>
      <c r="D119" s="145" t="str">
        <f t="shared" si="3"/>
        <v>HIV O-17 Pourcentage de personnes vivant avec le VIH déclarant avoir exercé un recours judiciaire à la suite de la violation de leurs droits-3</v>
      </c>
      <c r="E119" s="145" t="str">
        <f>CHOOSE(Translations!$C$1+1,I119,J119,K119)</f>
        <v>Groupe à risque cible</v>
      </c>
      <c r="F119" s="145" t="str">
        <f>CHOOSE(Translations!$C$1+1,L119,M119,N119)</f>
        <v>HSH</v>
      </c>
      <c r="G119" s="145" t="s">
        <v>1953</v>
      </c>
      <c r="H119" s="146" t="s">
        <v>1954</v>
      </c>
      <c r="I119" s="146" t="s">
        <v>1934</v>
      </c>
      <c r="J119" s="146" t="s">
        <v>1935</v>
      </c>
      <c r="K119" s="146" t="s">
        <v>1936</v>
      </c>
      <c r="L119" s="146" t="s">
        <v>1955</v>
      </c>
      <c r="M119" s="146" t="s">
        <v>1956</v>
      </c>
      <c r="N119" s="146" t="s">
        <v>1956</v>
      </c>
      <c r="O119" s="146" t="s">
        <v>1940</v>
      </c>
      <c r="P119" s="146" t="s">
        <v>1941</v>
      </c>
      <c r="Q119" s="146" t="s">
        <v>1942</v>
      </c>
    </row>
    <row r="120" spans="1:17" s="9" customFormat="1" x14ac:dyDescent="0.25">
      <c r="A120" s="145" t="s">
        <v>1931</v>
      </c>
      <c r="B120" s="145" t="str">
        <f>CHOOSE(Translations!$C$1+1,O120,P120,Q120)</f>
        <v>HIV O-17 Pourcentage de personnes vivant avec le VIH déclarant avoir exercé un recours judiciaire à la suite de la violation de leurs droits</v>
      </c>
      <c r="C120" s="145">
        <f t="shared" si="2"/>
        <v>4</v>
      </c>
      <c r="D120" s="145" t="str">
        <f t="shared" si="3"/>
        <v>HIV O-17 Pourcentage de personnes vivant avec le VIH déclarant avoir exercé un recours judiciaire à la suite de la violation de leurs droits-4</v>
      </c>
      <c r="E120" s="145" t="str">
        <f>CHOOSE(Translations!$C$1+1,I120,J120,K120)</f>
        <v>Sexe</v>
      </c>
      <c r="F120" s="145" t="str">
        <f>CHOOSE(Translations!$C$1+1,L120,M120,N120)</f>
        <v>Transgenre</v>
      </c>
      <c r="G120" s="145" t="s">
        <v>1957</v>
      </c>
      <c r="H120" s="146" t="s">
        <v>1958</v>
      </c>
      <c r="I120" s="146" t="s">
        <v>1550</v>
      </c>
      <c r="J120" s="146" t="s">
        <v>1551</v>
      </c>
      <c r="K120" s="146" t="s">
        <v>1552</v>
      </c>
      <c r="L120" s="146" t="s">
        <v>1634</v>
      </c>
      <c r="M120" s="146" t="s">
        <v>1635</v>
      </c>
      <c r="N120" s="146" t="s">
        <v>1636</v>
      </c>
      <c r="O120" s="146" t="s">
        <v>1940</v>
      </c>
      <c r="P120" s="146" t="s">
        <v>1941</v>
      </c>
      <c r="Q120" s="146" t="s">
        <v>1942</v>
      </c>
    </row>
    <row r="121" spans="1:17" s="9" customFormat="1" x14ac:dyDescent="0.25">
      <c r="A121" s="145" t="s">
        <v>1931</v>
      </c>
      <c r="B121" s="145" t="str">
        <f>CHOOSE(Translations!$C$1+1,O121,P121,Q121)</f>
        <v>HIV O-17 Pourcentage de personnes vivant avec le VIH déclarant avoir exercé un recours judiciaire à la suite de la violation de leurs droits</v>
      </c>
      <c r="C121" s="145">
        <f t="shared" si="2"/>
        <v>5</v>
      </c>
      <c r="D121" s="145" t="str">
        <f t="shared" si="3"/>
        <v>HIV O-17 Pourcentage de personnes vivant avec le VIH déclarant avoir exercé un recours judiciaire à la suite de la violation de leurs droits-5</v>
      </c>
      <c r="E121" s="145" t="str">
        <f>CHOOSE(Translations!$C$1+1,I121,J121,K121)</f>
        <v>Sexe</v>
      </c>
      <c r="F121" s="145" t="str">
        <f>CHOOSE(Translations!$C$1+1,L121,M121,N121)</f>
        <v>Femme</v>
      </c>
      <c r="G121" s="145" t="s">
        <v>1959</v>
      </c>
      <c r="H121" s="146" t="s">
        <v>1960</v>
      </c>
      <c r="I121" s="146" t="s">
        <v>1550</v>
      </c>
      <c r="J121" s="146" t="s">
        <v>1551</v>
      </c>
      <c r="K121" s="146" t="s">
        <v>1552</v>
      </c>
      <c r="L121" s="146" t="s">
        <v>1553</v>
      </c>
      <c r="M121" s="146" t="s">
        <v>1554</v>
      </c>
      <c r="N121" s="146" t="s">
        <v>1555</v>
      </c>
      <c r="O121" s="146" t="s">
        <v>1940</v>
      </c>
      <c r="P121" s="146" t="s">
        <v>1941</v>
      </c>
      <c r="Q121" s="146" t="s">
        <v>1942</v>
      </c>
    </row>
    <row r="122" spans="1:17" s="9" customFormat="1" x14ac:dyDescent="0.25">
      <c r="A122" s="145" t="s">
        <v>1931</v>
      </c>
      <c r="B122" s="145" t="str">
        <f>CHOOSE(Translations!$C$1+1,O122,P122,Q122)</f>
        <v>HIV O-17 Pourcentage de personnes vivant avec le VIH déclarant avoir exercé un recours judiciaire à la suite de la violation de leurs droits</v>
      </c>
      <c r="C122" s="145">
        <f t="shared" si="2"/>
        <v>6</v>
      </c>
      <c r="D122" s="145" t="str">
        <f t="shared" si="3"/>
        <v>HIV O-17 Pourcentage de personnes vivant avec le VIH déclarant avoir exercé un recours judiciaire à la suite de la violation de leurs droits-6</v>
      </c>
      <c r="E122" s="145" t="str">
        <f>CHOOSE(Translations!$C$1+1,I122,J122,K122)</f>
        <v>Sexe</v>
      </c>
      <c r="F122" s="145" t="str">
        <f>CHOOSE(Translations!$C$1+1,L122,M122,N122)</f>
        <v>Homme</v>
      </c>
      <c r="G122" s="145" t="s">
        <v>1961</v>
      </c>
      <c r="H122" s="146" t="s">
        <v>1962</v>
      </c>
      <c r="I122" s="146" t="s">
        <v>1550</v>
      </c>
      <c r="J122" s="146" t="s">
        <v>1551</v>
      </c>
      <c r="K122" s="146" t="s">
        <v>1552</v>
      </c>
      <c r="L122" s="146" t="s">
        <v>1558</v>
      </c>
      <c r="M122" s="146" t="s">
        <v>1559</v>
      </c>
      <c r="N122" s="146" t="s">
        <v>1560</v>
      </c>
      <c r="O122" s="146" t="s">
        <v>1940</v>
      </c>
      <c r="P122" s="146" t="s">
        <v>1941</v>
      </c>
      <c r="Q122" s="146" t="s">
        <v>1942</v>
      </c>
    </row>
    <row r="123" spans="1:17" s="9" customFormat="1" x14ac:dyDescent="0.25">
      <c r="A123" s="145" t="s">
        <v>1931</v>
      </c>
      <c r="B123" s="145" t="str">
        <f>CHOOSE(Translations!$C$1+1,O123,P123,Q123)</f>
        <v>HIV O-17 Pourcentage de personnes vivant avec le VIH déclarant avoir exercé un recours judiciaire à la suite de la violation de leurs droits</v>
      </c>
      <c r="C123" s="145">
        <f t="shared" si="2"/>
        <v>7</v>
      </c>
      <c r="D123" s="145" t="str">
        <f t="shared" si="3"/>
        <v>HIV O-17 Pourcentage de personnes vivant avec le VIH déclarant avoir exercé un recours judiciaire à la suite de la violation de leurs droits-7</v>
      </c>
      <c r="E123" s="145" t="str">
        <f>CHOOSE(Translations!$C$1+1,I123,J123,K123)</f>
        <v>Age</v>
      </c>
      <c r="F123" s="145" t="str">
        <f>CHOOSE(Translations!$C$1+1,L123,M123,N123)</f>
        <v>25+</v>
      </c>
      <c r="G123" s="145" t="s">
        <v>1963</v>
      </c>
      <c r="H123" s="146" t="s">
        <v>1964</v>
      </c>
      <c r="I123" s="146" t="s">
        <v>1563</v>
      </c>
      <c r="J123" s="146" t="s">
        <v>1563</v>
      </c>
      <c r="K123" s="146" t="s">
        <v>1564</v>
      </c>
      <c r="L123" s="146" t="s">
        <v>1616</v>
      </c>
      <c r="M123" s="146" t="s">
        <v>1616</v>
      </c>
      <c r="N123" s="146" t="s">
        <v>1616</v>
      </c>
      <c r="O123" s="146" t="s">
        <v>1940</v>
      </c>
      <c r="P123" s="146" t="s">
        <v>1941</v>
      </c>
      <c r="Q123" s="146" t="s">
        <v>1942</v>
      </c>
    </row>
    <row r="124" spans="1:17" s="9" customFormat="1" x14ac:dyDescent="0.25">
      <c r="A124" s="145" t="s">
        <v>1931</v>
      </c>
      <c r="B124" s="145" t="str">
        <f>CHOOSE(Translations!$C$1+1,O124,P124,Q124)</f>
        <v>HIV O-17 Pourcentage de personnes vivant avec le VIH déclarant avoir exercé un recours judiciaire à la suite de la violation de leurs droits</v>
      </c>
      <c r="C124" s="145">
        <f t="shared" si="2"/>
        <v>8</v>
      </c>
      <c r="D124" s="145" t="str">
        <f t="shared" si="3"/>
        <v>HIV O-17 Pourcentage de personnes vivant avec le VIH déclarant avoir exercé un recours judiciaire à la suite de la violation de leurs droits-8</v>
      </c>
      <c r="E124" s="145" t="str">
        <f>CHOOSE(Translations!$C$1+1,I124,J124,K124)</f>
        <v>Age</v>
      </c>
      <c r="F124" s="145" t="str">
        <f>CHOOSE(Translations!$C$1+1,L124,M124,N124)</f>
        <v>&lt;25</v>
      </c>
      <c r="G124" s="145" t="s">
        <v>1965</v>
      </c>
      <c r="H124" s="146" t="s">
        <v>1966</v>
      </c>
      <c r="I124" s="146" t="s">
        <v>1563</v>
      </c>
      <c r="J124" s="146" t="s">
        <v>1563</v>
      </c>
      <c r="K124" s="146" t="s">
        <v>1564</v>
      </c>
      <c r="L124" s="146" t="s">
        <v>1622</v>
      </c>
      <c r="M124" s="146" t="s">
        <v>1622</v>
      </c>
      <c r="N124" s="146" t="s">
        <v>1622</v>
      </c>
      <c r="O124" s="146" t="s">
        <v>1940</v>
      </c>
      <c r="P124" s="146" t="s">
        <v>1941</v>
      </c>
      <c r="Q124" s="146" t="s">
        <v>1942</v>
      </c>
    </row>
    <row r="125" spans="1:17" s="9" customFormat="1" x14ac:dyDescent="0.25">
      <c r="A125" s="145" t="s">
        <v>1967</v>
      </c>
      <c r="B125" s="145" t="str">
        <f>CHOOSE(Translations!$C$1+1,O125,P125,Q125)</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25" s="145">
        <f t="shared" si="2"/>
        <v>0</v>
      </c>
      <c r="D125"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rapportage-0</v>
      </c>
      <c r="E125" s="145" t="str">
        <f>CHOOSE(Translations!$C$1+1,I125,J125,K125)</f>
        <v>Résultat du traitement</v>
      </c>
      <c r="F125" s="145" t="str">
        <f>CHOOSE(Translations!$C$1+1,L125,M125,N125)</f>
        <v>Perdus de vue</v>
      </c>
      <c r="G125" s="145" t="s">
        <v>1968</v>
      </c>
      <c r="H125" s="146" t="s">
        <v>1969</v>
      </c>
      <c r="I125" s="146" t="s">
        <v>1970</v>
      </c>
      <c r="J125" s="146" t="s">
        <v>1971</v>
      </c>
      <c r="K125" s="146" t="s">
        <v>1972</v>
      </c>
      <c r="L125" s="146" t="s">
        <v>1973</v>
      </c>
      <c r="M125" s="146" t="s">
        <v>1974</v>
      </c>
      <c r="N125" s="146" t="s">
        <v>1975</v>
      </c>
      <c r="O125" s="146" t="s">
        <v>1976</v>
      </c>
      <c r="P125" s="146" t="s">
        <v>1977</v>
      </c>
      <c r="Q125" s="146" t="s">
        <v>1978</v>
      </c>
    </row>
    <row r="126" spans="1:17" s="9" customFormat="1" x14ac:dyDescent="0.25">
      <c r="A126" s="145" t="s">
        <v>1967</v>
      </c>
      <c r="B126" s="145" t="str">
        <f>CHOOSE(Translations!$C$1+1,O126,P126,Q126)</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26" s="145">
        <f t="shared" si="2"/>
        <v>1</v>
      </c>
      <c r="D126"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rapportage-1</v>
      </c>
      <c r="E126" s="145" t="str">
        <f>CHOOSE(Translations!$C$1+1,I126,J126,K126)</f>
        <v>Résultat du traitement</v>
      </c>
      <c r="F126" s="145" t="str">
        <f>CHOOSE(Translations!$C$1+1,L126,M126,N126)</f>
        <v>Arrêt de traitement</v>
      </c>
      <c r="G126" s="145" t="s">
        <v>1979</v>
      </c>
      <c r="H126" s="146" t="s">
        <v>1980</v>
      </c>
      <c r="I126" s="146" t="s">
        <v>1970</v>
      </c>
      <c r="J126" s="146" t="s">
        <v>1971</v>
      </c>
      <c r="K126" s="146" t="s">
        <v>1972</v>
      </c>
      <c r="L126" s="146" t="s">
        <v>1981</v>
      </c>
      <c r="M126" s="146" t="s">
        <v>1982</v>
      </c>
      <c r="N126" s="146" t="s">
        <v>1983</v>
      </c>
      <c r="O126" s="146" t="s">
        <v>1976</v>
      </c>
      <c r="P126" s="146" t="s">
        <v>1977</v>
      </c>
      <c r="Q126" s="146" t="s">
        <v>1978</v>
      </c>
    </row>
    <row r="127" spans="1:17" s="9" customFormat="1" x14ac:dyDescent="0.25">
      <c r="A127" s="145" t="s">
        <v>1967</v>
      </c>
      <c r="B127" s="145" t="str">
        <f>CHOOSE(Translations!$C$1+1,O127,P127,Q127)</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27" s="145">
        <f t="shared" si="2"/>
        <v>2</v>
      </c>
      <c r="D127"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rapportage-2</v>
      </c>
      <c r="E127" s="145" t="str">
        <f>CHOOSE(Translations!$C$1+1,I127,J127,K127)</f>
        <v>Résultat du traitement</v>
      </c>
      <c r="F127" s="145" t="str">
        <f>CHOOSE(Translations!$C$1+1,L127,M127,N127)</f>
        <v>Décès</v>
      </c>
      <c r="G127" s="145" t="s">
        <v>1984</v>
      </c>
      <c r="H127" s="146" t="s">
        <v>1985</v>
      </c>
      <c r="I127" s="146" t="s">
        <v>1970</v>
      </c>
      <c r="J127" s="146" t="s">
        <v>1971</v>
      </c>
      <c r="K127" s="146" t="s">
        <v>1972</v>
      </c>
      <c r="L127" s="146" t="s">
        <v>1986</v>
      </c>
      <c r="M127" s="146" t="s">
        <v>1987</v>
      </c>
      <c r="N127" s="146" t="s">
        <v>1988</v>
      </c>
      <c r="O127" s="146" t="s">
        <v>1976</v>
      </c>
      <c r="P127" s="146" t="s">
        <v>1977</v>
      </c>
      <c r="Q127" s="146" t="s">
        <v>1978</v>
      </c>
    </row>
    <row r="128" spans="1:17" s="9" customFormat="1" x14ac:dyDescent="0.25">
      <c r="A128" s="145" t="s">
        <v>1967</v>
      </c>
      <c r="B128" s="145" t="str">
        <f>CHOOSE(Translations!$C$1+1,O128,P128,Q128)</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28" s="145">
        <f t="shared" si="2"/>
        <v>3</v>
      </c>
      <c r="D128"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rapportage-3</v>
      </c>
      <c r="E128" s="145" t="str">
        <f>CHOOSE(Translations!$C$1+1,I128,J128,K128)</f>
        <v>Sexe</v>
      </c>
      <c r="F128" s="145" t="str">
        <f>CHOOSE(Translations!$C$1+1,L128,M128,N128)</f>
        <v>Transgenre</v>
      </c>
      <c r="G128" s="145" t="s">
        <v>1989</v>
      </c>
      <c r="H128" s="146" t="s">
        <v>1990</v>
      </c>
      <c r="I128" s="146" t="s">
        <v>1550</v>
      </c>
      <c r="J128" s="146" t="s">
        <v>1551</v>
      </c>
      <c r="K128" s="146" t="s">
        <v>1552</v>
      </c>
      <c r="L128" s="146" t="s">
        <v>1634</v>
      </c>
      <c r="M128" s="146" t="s">
        <v>1635</v>
      </c>
      <c r="N128" s="146" t="s">
        <v>1636</v>
      </c>
      <c r="O128" s="146" t="s">
        <v>1976</v>
      </c>
      <c r="P128" s="146" t="s">
        <v>1977</v>
      </c>
      <c r="Q128" s="146" t="s">
        <v>1978</v>
      </c>
    </row>
    <row r="129" spans="1:17" s="9" customFormat="1" x14ac:dyDescent="0.25">
      <c r="A129" s="145" t="s">
        <v>1967</v>
      </c>
      <c r="B129" s="145" t="str">
        <f>CHOOSE(Translations!$C$1+1,O129,P129,Q129)</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29" s="145">
        <f t="shared" si="2"/>
        <v>4</v>
      </c>
      <c r="D129"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rapportage-4</v>
      </c>
      <c r="E129" s="145" t="str">
        <f>CHOOSE(Translations!$C$1+1,I129,J129,K129)</f>
        <v>Sexe</v>
      </c>
      <c r="F129" s="145" t="str">
        <f>CHOOSE(Translations!$C$1+1,L129,M129,N129)</f>
        <v>Femme</v>
      </c>
      <c r="G129" s="145" t="s">
        <v>1991</v>
      </c>
      <c r="H129" s="146" t="s">
        <v>1992</v>
      </c>
      <c r="I129" s="146" t="s">
        <v>1550</v>
      </c>
      <c r="J129" s="146" t="s">
        <v>1551</v>
      </c>
      <c r="K129" s="146" t="s">
        <v>1552</v>
      </c>
      <c r="L129" s="146" t="s">
        <v>1553</v>
      </c>
      <c r="M129" s="146" t="s">
        <v>1554</v>
      </c>
      <c r="N129" s="146" t="s">
        <v>1555</v>
      </c>
      <c r="O129" s="146" t="s">
        <v>1976</v>
      </c>
      <c r="P129" s="146" t="s">
        <v>1977</v>
      </c>
      <c r="Q129" s="146" t="s">
        <v>1978</v>
      </c>
    </row>
    <row r="130" spans="1:17" s="9" customFormat="1" x14ac:dyDescent="0.25">
      <c r="A130" s="145" t="s">
        <v>1967</v>
      </c>
      <c r="B130" s="145" t="str">
        <f>CHOOSE(Translations!$C$1+1,O130,P130,Q130)</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30" s="145">
        <f t="shared" si="2"/>
        <v>5</v>
      </c>
      <c r="D130"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rapportage-5</v>
      </c>
      <c r="E130" s="145" t="str">
        <f>CHOOSE(Translations!$C$1+1,I130,J130,K130)</f>
        <v>Sexe</v>
      </c>
      <c r="F130" s="145" t="str">
        <f>CHOOSE(Translations!$C$1+1,L130,M130,N130)</f>
        <v>Homme</v>
      </c>
      <c r="G130" s="145" t="s">
        <v>1993</v>
      </c>
      <c r="H130" s="146" t="s">
        <v>1994</v>
      </c>
      <c r="I130" s="146" t="s">
        <v>1550</v>
      </c>
      <c r="J130" s="146" t="s">
        <v>1551</v>
      </c>
      <c r="K130" s="146" t="s">
        <v>1552</v>
      </c>
      <c r="L130" s="146" t="s">
        <v>1558</v>
      </c>
      <c r="M130" s="146" t="s">
        <v>1559</v>
      </c>
      <c r="N130" s="146" t="s">
        <v>1560</v>
      </c>
      <c r="O130" s="146" t="s">
        <v>1976</v>
      </c>
      <c r="P130" s="146" t="s">
        <v>1977</v>
      </c>
      <c r="Q130" s="146" t="s">
        <v>1978</v>
      </c>
    </row>
    <row r="131" spans="1:17" s="9" customFormat="1" x14ac:dyDescent="0.25">
      <c r="A131" s="145" t="s">
        <v>1967</v>
      </c>
      <c r="B131" s="145" t="str">
        <f>CHOOSE(Translations!$C$1+1,O131,P131,Q131)</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31" s="145">
        <f t="shared" si="2"/>
        <v>6</v>
      </c>
      <c r="D131"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rapportage-6</v>
      </c>
      <c r="E131" s="145" t="str">
        <f>CHOOSE(Translations!$C$1+1,I131,J131,K131)</f>
        <v>Age</v>
      </c>
      <c r="F131" s="145" t="str">
        <f>CHOOSE(Translations!$C$1+1,L131,M131,N131)</f>
        <v>15+</v>
      </c>
      <c r="G131" s="145" t="s">
        <v>1995</v>
      </c>
      <c r="H131" s="146" t="s">
        <v>1996</v>
      </c>
      <c r="I131" s="146" t="s">
        <v>1563</v>
      </c>
      <c r="J131" s="146" t="s">
        <v>1563</v>
      </c>
      <c r="K131" s="146" t="s">
        <v>1564</v>
      </c>
      <c r="L131" s="146" t="s">
        <v>1565</v>
      </c>
      <c r="M131" s="146" t="s">
        <v>1565</v>
      </c>
      <c r="N131" s="146" t="s">
        <v>1565</v>
      </c>
      <c r="O131" s="146" t="s">
        <v>1976</v>
      </c>
      <c r="P131" s="146" t="s">
        <v>1977</v>
      </c>
      <c r="Q131" s="146" t="s">
        <v>1978</v>
      </c>
    </row>
    <row r="132" spans="1:17" s="9" customFormat="1" x14ac:dyDescent="0.25">
      <c r="A132" s="145" t="s">
        <v>1967</v>
      </c>
      <c r="B132" s="145" t="str">
        <f>CHOOSE(Translations!$C$1+1,O132,P132,Q132)</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C132" s="145">
        <f t="shared" si="2"/>
        <v>7</v>
      </c>
      <c r="D132" s="145" t="str">
        <f t="shared" si="3"/>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rapportage-7</v>
      </c>
      <c r="E132" s="145" t="str">
        <f>CHOOSE(Translations!$C$1+1,I132,J132,K132)</f>
        <v>Age</v>
      </c>
      <c r="F132" s="145" t="str">
        <f>CHOOSE(Translations!$C$1+1,L132,M132,N132)</f>
        <v>&lt;15</v>
      </c>
      <c r="G132" s="145" t="s">
        <v>1997</v>
      </c>
      <c r="H132" s="146" t="s">
        <v>1998</v>
      </c>
      <c r="I132" s="146" t="s">
        <v>1563</v>
      </c>
      <c r="J132" s="146" t="s">
        <v>1563</v>
      </c>
      <c r="K132" s="146" t="s">
        <v>1564</v>
      </c>
      <c r="L132" s="146" t="s">
        <v>1568</v>
      </c>
      <c r="M132" s="146" t="s">
        <v>1568</v>
      </c>
      <c r="N132" s="146" t="s">
        <v>1568</v>
      </c>
      <c r="O132" s="146" t="s">
        <v>1976</v>
      </c>
      <c r="P132" s="146" t="s">
        <v>1977</v>
      </c>
      <c r="Q132" s="146" t="s">
        <v>1978</v>
      </c>
    </row>
    <row r="133" spans="1:17" s="9" customFormat="1" x14ac:dyDescent="0.25">
      <c r="A133" s="145" t="s">
        <v>1999</v>
      </c>
      <c r="B133" s="145" t="str">
        <f>CHOOSE(Translations!$C$1+1,O133,P133,Q133)</f>
        <v>TB O-7 Pourcentage de personnes atteintes de tuberculose qui ont souffert d'auto stigmatisation en raison de leur maladie et les ayant empêché de recourir et d'accéder aux services de TB</v>
      </c>
      <c r="C133" s="145">
        <f t="shared" si="2"/>
        <v>0</v>
      </c>
      <c r="D133" s="145" t="str">
        <f t="shared" si="3"/>
        <v>TB O-7 Pourcentage de personnes atteintes de tuberculose qui ont souffert d'auto stigmatisation en raison de leur maladie et les ayant empêché de recourir et d'accéder aux services de TB-0</v>
      </c>
      <c r="E133" s="145" t="str">
        <f>CHOOSE(Translations!$C$1+1,I133,J133,K133)</f>
        <v>Sexe</v>
      </c>
      <c r="F133" s="145" t="str">
        <f>CHOOSE(Translations!$C$1+1,L133,M133,N133)</f>
        <v>Femme</v>
      </c>
      <c r="G133" s="145" t="s">
        <v>2000</v>
      </c>
      <c r="H133" s="146" t="s">
        <v>2001</v>
      </c>
      <c r="I133" s="146" t="s">
        <v>1550</v>
      </c>
      <c r="J133" s="146" t="s">
        <v>1551</v>
      </c>
      <c r="K133" s="146" t="s">
        <v>1552</v>
      </c>
      <c r="L133" s="146" t="s">
        <v>1553</v>
      </c>
      <c r="M133" s="146" t="s">
        <v>1554</v>
      </c>
      <c r="N133" s="146" t="s">
        <v>1555</v>
      </c>
      <c r="O133" s="146" t="s">
        <v>2002</v>
      </c>
      <c r="P133" s="146" t="s">
        <v>2003</v>
      </c>
      <c r="Q133" s="146" t="s">
        <v>2004</v>
      </c>
    </row>
    <row r="134" spans="1:17" s="9" customFormat="1" x14ac:dyDescent="0.25">
      <c r="A134" s="145" t="s">
        <v>1999</v>
      </c>
      <c r="B134" s="145" t="str">
        <f>CHOOSE(Translations!$C$1+1,O134,P134,Q134)</f>
        <v>TB O-7 Pourcentage de personnes atteintes de tuberculose qui ont souffert d'auto stigmatisation en raison de leur maladie et les ayant empêché de recourir et d'accéder aux services de TB</v>
      </c>
      <c r="C134" s="145">
        <f t="shared" ref="C134:C151" si="4">IF(O134=O133,C133+1,0)</f>
        <v>1</v>
      </c>
      <c r="D134" s="145" t="str">
        <f t="shared" ref="D134:D151" si="5">B134&amp;"-"&amp;C134</f>
        <v>TB O-7 Pourcentage de personnes atteintes de tuberculose qui ont souffert d'auto stigmatisation en raison de leur maladie et les ayant empêché de recourir et d'accéder aux services de TB-1</v>
      </c>
      <c r="E134" s="145" t="str">
        <f>CHOOSE(Translations!$C$1+1,I134,J134,K134)</f>
        <v>Sexe</v>
      </c>
      <c r="F134" s="145" t="str">
        <f>CHOOSE(Translations!$C$1+1,L134,M134,N134)</f>
        <v>Homme</v>
      </c>
      <c r="G134" s="145" t="s">
        <v>2005</v>
      </c>
      <c r="H134" s="146" t="s">
        <v>2006</v>
      </c>
      <c r="I134" s="146" t="s">
        <v>1550</v>
      </c>
      <c r="J134" s="146" t="s">
        <v>1551</v>
      </c>
      <c r="K134" s="146" t="s">
        <v>1552</v>
      </c>
      <c r="L134" s="146" t="s">
        <v>1558</v>
      </c>
      <c r="M134" s="146" t="s">
        <v>1559</v>
      </c>
      <c r="N134" s="146" t="s">
        <v>1560</v>
      </c>
      <c r="O134" s="146" t="s">
        <v>2002</v>
      </c>
      <c r="P134" s="146" t="s">
        <v>2003</v>
      </c>
      <c r="Q134" s="146" t="s">
        <v>2004</v>
      </c>
    </row>
    <row r="135" spans="1:17" s="9" customFormat="1" x14ac:dyDescent="0.25">
      <c r="A135" s="145" t="s">
        <v>2007</v>
      </c>
      <c r="B135" s="145" t="str">
        <f>CHOOSE(Translations!$C$1+1,O135,P135,Q135)</f>
        <v>TB O-8 Pourcentage de personnes atteintes de tuberculose qui ont souffert de stigmatisation en raison de leur maladie et les ayant empêché de recourir et d'accéder aux services de TB.</v>
      </c>
      <c r="C135" s="145">
        <f t="shared" si="4"/>
        <v>0</v>
      </c>
      <c r="D135" s="145" t="str">
        <f t="shared" si="5"/>
        <v>TB O-8 Pourcentage de personnes atteintes de tuberculose qui ont souffert de stigmatisation en raison de leur maladie et les ayant empêché de recourir et d'accéder aux services de TB.-0</v>
      </c>
      <c r="E135" s="145" t="str">
        <f>CHOOSE(Translations!$C$1+1,I135,J135,K135)</f>
        <v>Sexe</v>
      </c>
      <c r="F135" s="145" t="str">
        <f>CHOOSE(Translations!$C$1+1,L135,M135,N135)</f>
        <v>Femme</v>
      </c>
      <c r="G135" s="145" t="s">
        <v>2008</v>
      </c>
      <c r="H135" s="146" t="s">
        <v>2009</v>
      </c>
      <c r="I135" s="146" t="s">
        <v>1550</v>
      </c>
      <c r="J135" s="146" t="s">
        <v>1551</v>
      </c>
      <c r="K135" s="146" t="s">
        <v>1552</v>
      </c>
      <c r="L135" s="146" t="s">
        <v>1553</v>
      </c>
      <c r="M135" s="146" t="s">
        <v>1554</v>
      </c>
      <c r="N135" s="146" t="s">
        <v>1555</v>
      </c>
      <c r="O135" s="146" t="s">
        <v>2010</v>
      </c>
      <c r="P135" s="146" t="s">
        <v>2011</v>
      </c>
      <c r="Q135" s="146" t="s">
        <v>2012</v>
      </c>
    </row>
    <row r="136" spans="1:17" s="9" customFormat="1" x14ac:dyDescent="0.25">
      <c r="A136" s="145" t="s">
        <v>2007</v>
      </c>
      <c r="B136" s="145" t="str">
        <f>CHOOSE(Translations!$C$1+1,O136,P136,Q136)</f>
        <v>TB O-8 Pourcentage de personnes atteintes de tuberculose qui ont souffert de stigmatisation en raison de leur maladie et les ayant empêché de recourir et d'accéder aux services de TB.</v>
      </c>
      <c r="C136" s="145">
        <f t="shared" si="4"/>
        <v>1</v>
      </c>
      <c r="D136" s="145" t="str">
        <f t="shared" si="5"/>
        <v>TB O-8 Pourcentage de personnes atteintes de tuberculose qui ont souffert de stigmatisation en raison de leur maladie et les ayant empêché de recourir et d'accéder aux services de TB.-1</v>
      </c>
      <c r="E136" s="145" t="str">
        <f>CHOOSE(Translations!$C$1+1,I136,J136,K136)</f>
        <v>Sexe</v>
      </c>
      <c r="F136" s="145" t="str">
        <f>CHOOSE(Translations!$C$1+1,L136,M136,N136)</f>
        <v>Homme</v>
      </c>
      <c r="G136" s="145" t="s">
        <v>2013</v>
      </c>
      <c r="H136" s="146" t="s">
        <v>2014</v>
      </c>
      <c r="I136" s="146" t="s">
        <v>1550</v>
      </c>
      <c r="J136" s="146" t="s">
        <v>1551</v>
      </c>
      <c r="K136" s="146" t="s">
        <v>1552</v>
      </c>
      <c r="L136" s="146" t="s">
        <v>1558</v>
      </c>
      <c r="M136" s="146" t="s">
        <v>1559</v>
      </c>
      <c r="N136" s="146" t="s">
        <v>1560</v>
      </c>
      <c r="O136" s="146" t="s">
        <v>2010</v>
      </c>
      <c r="P136" s="146" t="s">
        <v>2011</v>
      </c>
      <c r="Q136" s="146" t="s">
        <v>2012</v>
      </c>
    </row>
    <row r="137" spans="1:17" s="9" customFormat="1" x14ac:dyDescent="0.25">
      <c r="A137" s="145" t="s">
        <v>2015</v>
      </c>
      <c r="B137" s="145" t="str">
        <f>CHOOSE(Translations!$C$1+1,O137,P137,Q137)</f>
        <v>TB O-9 Pourcentage de personnes atteintes de tuberculose qui ont souffert de stigmatisation dans la communauté en raison de leur maladie et les ayant empêché de recourir et d'accéder aux services de TB</v>
      </c>
      <c r="C137" s="145">
        <f t="shared" si="4"/>
        <v>0</v>
      </c>
      <c r="D137" s="145" t="str">
        <f t="shared" si="5"/>
        <v>TB O-9 Pourcentage de personnes atteintes de tuberculose qui ont souffert de stigmatisation dans la communauté en raison de leur maladie et les ayant empêché de recourir et d'accéder aux services de TB-0</v>
      </c>
      <c r="E137" s="145" t="str">
        <f>CHOOSE(Translations!$C$1+1,I137,J137,K137)</f>
        <v>Sexe</v>
      </c>
      <c r="F137" s="145" t="str">
        <f>CHOOSE(Translations!$C$1+1,L137,M137,N137)</f>
        <v>Femme</v>
      </c>
      <c r="G137" s="145" t="s">
        <v>2016</v>
      </c>
      <c r="H137" s="146" t="s">
        <v>2017</v>
      </c>
      <c r="I137" s="146" t="s">
        <v>1550</v>
      </c>
      <c r="J137" s="146" t="s">
        <v>1551</v>
      </c>
      <c r="K137" s="146" t="s">
        <v>1552</v>
      </c>
      <c r="L137" s="146" t="s">
        <v>1553</v>
      </c>
      <c r="M137" s="146" t="s">
        <v>1554</v>
      </c>
      <c r="N137" s="146" t="s">
        <v>1555</v>
      </c>
      <c r="O137" s="146" t="s">
        <v>2018</v>
      </c>
      <c r="P137" s="146" t="s">
        <v>2019</v>
      </c>
      <c r="Q137" s="146" t="s">
        <v>2020</v>
      </c>
    </row>
    <row r="138" spans="1:17" s="9" customFormat="1" x14ac:dyDescent="0.25">
      <c r="A138" s="145" t="s">
        <v>2015</v>
      </c>
      <c r="B138" s="145" t="str">
        <f>CHOOSE(Translations!$C$1+1,O138,P138,Q138)</f>
        <v>TB O-9 Pourcentage de personnes atteintes de tuberculose qui ont souffert de stigmatisation dans la communauté en raison de leur maladie et les ayant empêché de recourir et d'accéder aux services de TB</v>
      </c>
      <c r="C138" s="145">
        <f t="shared" si="4"/>
        <v>1</v>
      </c>
      <c r="D138" s="145" t="str">
        <f t="shared" si="5"/>
        <v>TB O-9 Pourcentage de personnes atteintes de tuberculose qui ont souffert de stigmatisation dans la communauté en raison de leur maladie et les ayant empêché de recourir et d'accéder aux services de TB-1</v>
      </c>
      <c r="E138" s="145" t="str">
        <f>CHOOSE(Translations!$C$1+1,I138,J138,K138)</f>
        <v>Sexe</v>
      </c>
      <c r="F138" s="145" t="str">
        <f>CHOOSE(Translations!$C$1+1,L138,M138,N138)</f>
        <v>Homme</v>
      </c>
      <c r="G138" s="145" t="s">
        <v>2021</v>
      </c>
      <c r="H138" s="146" t="s">
        <v>2022</v>
      </c>
      <c r="I138" s="146" t="s">
        <v>1550</v>
      </c>
      <c r="J138" s="146" t="s">
        <v>1551</v>
      </c>
      <c r="K138" s="146" t="s">
        <v>1552</v>
      </c>
      <c r="L138" s="146" t="s">
        <v>1558</v>
      </c>
      <c r="M138" s="146" t="s">
        <v>1559</v>
      </c>
      <c r="N138" s="146" t="s">
        <v>1560</v>
      </c>
      <c r="O138" s="146" t="s">
        <v>2018</v>
      </c>
      <c r="P138" s="146" t="s">
        <v>2019</v>
      </c>
      <c r="Q138" s="146" t="s">
        <v>2020</v>
      </c>
    </row>
    <row r="139" spans="1:17" s="9" customFormat="1" x14ac:dyDescent="0.25">
      <c r="A139" s="145" t="s">
        <v>2023</v>
      </c>
      <c r="B139" s="145" t="str">
        <f>CHOOSE(Translations!$C$1+1,O139,P139,Q139)</f>
        <v>Malaria O-1a Proportion de la population ayant dormi sous une moustiquaire imprégnée d’insecticide la nuit précédente</v>
      </c>
      <c r="C139" s="145">
        <f t="shared" si="4"/>
        <v>0</v>
      </c>
      <c r="D139" s="145" t="str">
        <f t="shared" si="5"/>
        <v>Malaria O-1a Proportion de la population ayant dormi sous une moustiquaire imprégnée d’insecticide la nuit précédente-0</v>
      </c>
      <c r="E139" s="145" t="str">
        <f>CHOOSE(Translations!$C$1+1,I139,J139,K139)</f>
        <v>Sexe</v>
      </c>
      <c r="F139" s="145" t="str">
        <f>CHOOSE(Translations!$C$1+1,L139,M139,N139)</f>
        <v>Femme</v>
      </c>
      <c r="G139" s="145" t="s">
        <v>2024</v>
      </c>
      <c r="H139" s="146" t="s">
        <v>2025</v>
      </c>
      <c r="I139" s="146" t="s">
        <v>1550</v>
      </c>
      <c r="J139" s="146" t="s">
        <v>1551</v>
      </c>
      <c r="K139" s="146" t="s">
        <v>1552</v>
      </c>
      <c r="L139" s="146" t="s">
        <v>1553</v>
      </c>
      <c r="M139" s="146" t="s">
        <v>1554</v>
      </c>
      <c r="N139" s="146" t="s">
        <v>1555</v>
      </c>
      <c r="O139" s="146" t="s">
        <v>2026</v>
      </c>
      <c r="P139" s="146" t="s">
        <v>2027</v>
      </c>
      <c r="Q139" s="146" t="s">
        <v>2028</v>
      </c>
    </row>
    <row r="140" spans="1:17" s="9" customFormat="1" x14ac:dyDescent="0.25">
      <c r="A140" s="145" t="s">
        <v>2023</v>
      </c>
      <c r="B140" s="145" t="str">
        <f>CHOOSE(Translations!$C$1+1,O140,P140,Q140)</f>
        <v>Malaria O-1a Proportion de la population ayant dormi sous une moustiquaire imprégnée d’insecticide la nuit précédente</v>
      </c>
      <c r="C140" s="145">
        <f t="shared" si="4"/>
        <v>1</v>
      </c>
      <c r="D140" s="145" t="str">
        <f t="shared" si="5"/>
        <v>Malaria O-1a Proportion de la population ayant dormi sous une moustiquaire imprégnée d’insecticide la nuit précédente-1</v>
      </c>
      <c r="E140" s="145" t="str">
        <f>CHOOSE(Translations!$C$1+1,I140,J140,K140)</f>
        <v>Sexe</v>
      </c>
      <c r="F140" s="145" t="str">
        <f>CHOOSE(Translations!$C$1+1,L140,M140,N140)</f>
        <v>Homme</v>
      </c>
      <c r="G140" s="145" t="s">
        <v>2029</v>
      </c>
      <c r="H140" s="146" t="s">
        <v>2030</v>
      </c>
      <c r="I140" s="146" t="s">
        <v>1550</v>
      </c>
      <c r="J140" s="146" t="s">
        <v>1551</v>
      </c>
      <c r="K140" s="146" t="s">
        <v>1552</v>
      </c>
      <c r="L140" s="146" t="s">
        <v>1558</v>
      </c>
      <c r="M140" s="146" t="s">
        <v>1559</v>
      </c>
      <c r="N140" s="146" t="s">
        <v>1560</v>
      </c>
      <c r="O140" s="146" t="s">
        <v>2026</v>
      </c>
      <c r="P140" s="146" t="s">
        <v>2027</v>
      </c>
      <c r="Q140" s="146" t="s">
        <v>2028</v>
      </c>
    </row>
    <row r="141" spans="1:17" s="9" customFormat="1" x14ac:dyDescent="0.25">
      <c r="A141" s="145" t="s">
        <v>2031</v>
      </c>
      <c r="B141" s="145" t="str">
        <f>CHOOSE(Translations!$C$1+1,O141,P141,Q141)</f>
        <v>Malaria O-3 Proportion de personnes utilisant une moustiquaire imprégnée d’insecticide parmi les personnes disposant d’une moustiquaire imprégnée d’insecticide</v>
      </c>
      <c r="C141" s="145">
        <f t="shared" si="4"/>
        <v>0</v>
      </c>
      <c r="D141" s="145" t="str">
        <f t="shared" si="5"/>
        <v>Malaria O-3 Proportion de personnes utilisant une moustiquaire imprégnée d’insecticide parmi les personnes disposant d’une moustiquaire imprégnée d’insecticide-0</v>
      </c>
      <c r="E141" s="145" t="str">
        <f>CHOOSE(Translations!$C$1+1,I141,J141,K141)</f>
        <v>Sexe</v>
      </c>
      <c r="F141" s="145" t="str">
        <f>CHOOSE(Translations!$C$1+1,L141,M141,N141)</f>
        <v>Femme</v>
      </c>
      <c r="G141" s="145" t="s">
        <v>2032</v>
      </c>
      <c r="H141" s="146" t="s">
        <v>2033</v>
      </c>
      <c r="I141" s="146" t="s">
        <v>1550</v>
      </c>
      <c r="J141" s="146" t="s">
        <v>1551</v>
      </c>
      <c r="K141" s="146" t="s">
        <v>1552</v>
      </c>
      <c r="L141" s="146" t="s">
        <v>1553</v>
      </c>
      <c r="M141" s="146" t="s">
        <v>1554</v>
      </c>
      <c r="N141" s="146" t="s">
        <v>1555</v>
      </c>
      <c r="O141" s="146" t="s">
        <v>2034</v>
      </c>
      <c r="P141" s="146" t="s">
        <v>2035</v>
      </c>
      <c r="Q141" s="146" t="s">
        <v>2036</v>
      </c>
    </row>
    <row r="142" spans="1:17" s="9" customFormat="1" x14ac:dyDescent="0.25">
      <c r="A142" s="145" t="s">
        <v>2031</v>
      </c>
      <c r="B142" s="145" t="str">
        <f>CHOOSE(Translations!$C$1+1,O142,P142,Q142)</f>
        <v>Malaria O-3 Proportion de personnes utilisant une moustiquaire imprégnée d’insecticide parmi les personnes disposant d’une moustiquaire imprégnée d’insecticide</v>
      </c>
      <c r="C142" s="145">
        <f t="shared" si="4"/>
        <v>1</v>
      </c>
      <c r="D142" s="145" t="str">
        <f t="shared" si="5"/>
        <v>Malaria O-3 Proportion de personnes utilisant une moustiquaire imprégnée d’insecticide parmi les personnes disposant d’une moustiquaire imprégnée d’insecticide-1</v>
      </c>
      <c r="E142" s="145" t="str">
        <f>CHOOSE(Translations!$C$1+1,I142,J142,K142)</f>
        <v>Sexe</v>
      </c>
      <c r="F142" s="145" t="str">
        <f>CHOOSE(Translations!$C$1+1,L142,M142,N142)</f>
        <v>Homme</v>
      </c>
      <c r="G142" s="145" t="s">
        <v>2037</v>
      </c>
      <c r="H142" s="146" t="s">
        <v>2038</v>
      </c>
      <c r="I142" s="146" t="s">
        <v>1550</v>
      </c>
      <c r="J142" s="146" t="s">
        <v>1551</v>
      </c>
      <c r="K142" s="146" t="s">
        <v>1552</v>
      </c>
      <c r="L142" s="146" t="s">
        <v>1558</v>
      </c>
      <c r="M142" s="146" t="s">
        <v>1559</v>
      </c>
      <c r="N142" s="146" t="s">
        <v>1560</v>
      </c>
      <c r="O142" s="146" t="s">
        <v>2034</v>
      </c>
      <c r="P142" s="146" t="s">
        <v>2035</v>
      </c>
      <c r="Q142" s="146" t="s">
        <v>2036</v>
      </c>
    </row>
    <row r="143" spans="1:17" s="9" customFormat="1" x14ac:dyDescent="0.25">
      <c r="A143" s="145" t="s">
        <v>2039</v>
      </c>
      <c r="B143" s="145" t="str">
        <f>CHOOSE(Translations!$C$1+1,O143,P143,Q143)</f>
        <v>Malaria O-9⁽ᴹ⁾ Taux annuel d’examens hématologiques: pour 100 habitants par an (contextes d’élimination)</v>
      </c>
      <c r="C143" s="145">
        <f t="shared" si="4"/>
        <v>0</v>
      </c>
      <c r="D143" s="145" t="str">
        <f t="shared" si="5"/>
        <v>Malaria O-9⁽ᴹ⁾ Taux annuel d’examens hématologiques: pour 100 habitants par an (contextes d’élimination)-0</v>
      </c>
      <c r="E143" s="145" t="str">
        <f>CHOOSE(Translations!$C$1+1,I143,J143,K143)</f>
        <v>Détection des cas</v>
      </c>
      <c r="F143" s="145" t="str">
        <f>CHOOSE(Translations!$C$1+1,L143,M143,N143)</f>
        <v>Passive</v>
      </c>
      <c r="G143" s="145" t="s">
        <v>2040</v>
      </c>
      <c r="H143" s="146" t="s">
        <v>2041</v>
      </c>
      <c r="I143" s="146" t="s">
        <v>2042</v>
      </c>
      <c r="J143" s="146" t="s">
        <v>2043</v>
      </c>
      <c r="K143" s="146" t="s">
        <v>2044</v>
      </c>
      <c r="L143" s="146" t="s">
        <v>2045</v>
      </c>
      <c r="M143" s="146" t="s">
        <v>2045</v>
      </c>
      <c r="N143" s="146" t="s">
        <v>2046</v>
      </c>
      <c r="O143" s="146" t="s">
        <v>2047</v>
      </c>
      <c r="P143" s="146" t="s">
        <v>2048</v>
      </c>
      <c r="Q143" s="146" t="s">
        <v>2049</v>
      </c>
    </row>
    <row r="144" spans="1:17" s="9" customFormat="1" x14ac:dyDescent="0.25">
      <c r="A144" s="145" t="s">
        <v>2039</v>
      </c>
      <c r="B144" s="145" t="str">
        <f>CHOOSE(Translations!$C$1+1,O144,P144,Q144)</f>
        <v>Malaria O-9⁽ᴹ⁾ Taux annuel d’examens hématologiques: pour 100 habitants par an (contextes d’élimination)</v>
      </c>
      <c r="C144" s="145">
        <f t="shared" si="4"/>
        <v>1</v>
      </c>
      <c r="D144" s="145" t="str">
        <f t="shared" si="5"/>
        <v>Malaria O-9⁽ᴹ⁾ Taux annuel d’examens hématologiques: pour 100 habitants par an (contextes d’élimination)-1</v>
      </c>
      <c r="E144" s="145" t="str">
        <f>CHOOSE(Translations!$C$1+1,I144,J144,K144)</f>
        <v>Détection des cas</v>
      </c>
      <c r="F144" s="145" t="str">
        <f>CHOOSE(Translations!$C$1+1,L144,M144,N144)</f>
        <v>Active</v>
      </c>
      <c r="G144" s="145" t="s">
        <v>2050</v>
      </c>
      <c r="H144" s="146" t="s">
        <v>2051</v>
      </c>
      <c r="I144" s="146" t="s">
        <v>2042</v>
      </c>
      <c r="J144" s="146" t="s">
        <v>2043</v>
      </c>
      <c r="K144" s="146" t="s">
        <v>2044</v>
      </c>
      <c r="L144" s="146" t="s">
        <v>2052</v>
      </c>
      <c r="M144" s="146" t="s">
        <v>2052</v>
      </c>
      <c r="N144" s="146" t="s">
        <v>2053</v>
      </c>
      <c r="O144" s="146" t="s">
        <v>2047</v>
      </c>
      <c r="P144" s="146" t="s">
        <v>2048</v>
      </c>
      <c r="Q144" s="146" t="s">
        <v>2049</v>
      </c>
    </row>
    <row r="145" spans="1:17" s="9" customFormat="1" x14ac:dyDescent="0.25">
      <c r="A145" s="145" t="s">
        <v>2054</v>
      </c>
      <c r="B145" s="145" t="str">
        <f>CHOOSE(Translations!$C$1+1,O145,P145,Q145)</f>
        <v>HSS O-8 Agents de santé actifs pour 10,000 habitants</v>
      </c>
      <c r="C145" s="145">
        <f t="shared" si="4"/>
        <v>0</v>
      </c>
      <c r="D145" s="145" t="str">
        <f t="shared" si="5"/>
        <v>HSS O-8 Agents de santé actifs pour 10,000 habitants-0</v>
      </c>
      <c r="E145" s="145" t="str">
        <f>CHOOSE(Translations!$C$1+1,I145,J145,K145)</f>
        <v>Groupe d'occupation</v>
      </c>
      <c r="F145" s="145" t="str">
        <f>CHOOSE(Translations!$C$1+1,L145,M145,N145)</f>
        <v>Agents de santé communautaires</v>
      </c>
      <c r="G145" s="145" t="s">
        <v>2055</v>
      </c>
      <c r="H145" s="146" t="s">
        <v>2056</v>
      </c>
      <c r="I145" s="146" t="s">
        <v>2057</v>
      </c>
      <c r="J145" s="146" t="s">
        <v>2058</v>
      </c>
      <c r="K145" s="146" t="s">
        <v>2059</v>
      </c>
      <c r="L145" s="146" t="s">
        <v>2060</v>
      </c>
      <c r="M145" s="146" t="s">
        <v>2061</v>
      </c>
      <c r="N145" s="146" t="s">
        <v>2062</v>
      </c>
      <c r="O145" s="146" t="s">
        <v>2063</v>
      </c>
      <c r="P145" s="146" t="s">
        <v>2064</v>
      </c>
      <c r="Q145" s="146" t="s">
        <v>2065</v>
      </c>
    </row>
    <row r="146" spans="1:17" s="9" customFormat="1" x14ac:dyDescent="0.25">
      <c r="A146" s="145" t="s">
        <v>2054</v>
      </c>
      <c r="B146" s="145" t="str">
        <f>CHOOSE(Translations!$C$1+1,O146,P146,Q146)</f>
        <v>HSS O-8 Agents de santé actifs pour 10,000 habitants</v>
      </c>
      <c r="C146" s="145">
        <f t="shared" si="4"/>
        <v>1</v>
      </c>
      <c r="D146" s="145" t="str">
        <f t="shared" si="5"/>
        <v>HSS O-8 Agents de santé actifs pour 10,000 habitants-1</v>
      </c>
      <c r="E146" s="145" t="str">
        <f>CHOOSE(Translations!$C$1+1,I146,J146,K146)</f>
        <v>Groupe d'occupation</v>
      </c>
      <c r="F146" s="145" t="str">
        <f>CHOOSE(Translations!$C$1+1,L146,M146,N146)</f>
        <v>Pharmaciens</v>
      </c>
      <c r="G146" s="145" t="s">
        <v>2066</v>
      </c>
      <c r="H146" s="146" t="s">
        <v>2067</v>
      </c>
      <c r="I146" s="146" t="s">
        <v>2057</v>
      </c>
      <c r="J146" s="146" t="s">
        <v>2058</v>
      </c>
      <c r="K146" s="146" t="s">
        <v>2059</v>
      </c>
      <c r="L146" s="146" t="s">
        <v>2068</v>
      </c>
      <c r="M146" s="146" t="s">
        <v>2069</v>
      </c>
      <c r="N146" s="146" t="s">
        <v>2070</v>
      </c>
      <c r="O146" s="146" t="s">
        <v>2063</v>
      </c>
      <c r="P146" s="146" t="s">
        <v>2064</v>
      </c>
      <c r="Q146" s="146" t="s">
        <v>2065</v>
      </c>
    </row>
    <row r="147" spans="1:17" s="9" customFormat="1" x14ac:dyDescent="0.25">
      <c r="A147" s="145" t="s">
        <v>2054</v>
      </c>
      <c r="B147" s="145" t="str">
        <f>CHOOSE(Translations!$C$1+1,O147,P147,Q147)</f>
        <v>HSS O-8 Agents de santé actifs pour 10,000 habitants</v>
      </c>
      <c r="C147" s="145">
        <f t="shared" si="4"/>
        <v>2</v>
      </c>
      <c r="D147" s="145" t="str">
        <f t="shared" si="5"/>
        <v>HSS O-8 Agents de santé actifs pour 10,000 habitants-2</v>
      </c>
      <c r="E147" s="145" t="str">
        <f>CHOOSE(Translations!$C$1+1,I147,J147,K147)</f>
        <v>Groupe d'occupation</v>
      </c>
      <c r="F147" s="145" t="str">
        <f>CHOOSE(Translations!$C$1+1,L147,M147,N147)</f>
        <v>Techniciens de laboratoire</v>
      </c>
      <c r="G147" s="145" t="s">
        <v>2071</v>
      </c>
      <c r="H147" s="146" t="s">
        <v>2072</v>
      </c>
      <c r="I147" s="146" t="s">
        <v>2057</v>
      </c>
      <c r="J147" s="146" t="s">
        <v>2058</v>
      </c>
      <c r="K147" s="146" t="s">
        <v>2059</v>
      </c>
      <c r="L147" s="146" t="s">
        <v>2073</v>
      </c>
      <c r="M147" s="146" t="s">
        <v>2074</v>
      </c>
      <c r="N147" s="146" t="s">
        <v>2075</v>
      </c>
      <c r="O147" s="146" t="s">
        <v>2063</v>
      </c>
      <c r="P147" s="146" t="s">
        <v>2064</v>
      </c>
      <c r="Q147" s="146" t="s">
        <v>2065</v>
      </c>
    </row>
    <row r="148" spans="1:17" s="9" customFormat="1" x14ac:dyDescent="0.25">
      <c r="A148" s="145" t="s">
        <v>2054</v>
      </c>
      <c r="B148" s="145" t="str">
        <f>CHOOSE(Translations!$C$1+1,O148,P148,Q148)</f>
        <v>HSS O-8 Agents de santé actifs pour 10,000 habitants</v>
      </c>
      <c r="C148" s="145">
        <f t="shared" si="4"/>
        <v>3</v>
      </c>
      <c r="D148" s="145" t="str">
        <f t="shared" si="5"/>
        <v>HSS O-8 Agents de santé actifs pour 10,000 habitants-3</v>
      </c>
      <c r="E148" s="145" t="str">
        <f>CHOOSE(Translations!$C$1+1,I148,J148,K148)</f>
        <v>Groupe d'occupation</v>
      </c>
      <c r="F148" s="145" t="str">
        <f>CHOOSE(Translations!$C$1+1,L148,M148,N148)</f>
        <v>Infirmiers et sages-femmes</v>
      </c>
      <c r="G148" s="145" t="s">
        <v>2076</v>
      </c>
      <c r="H148" s="146" t="s">
        <v>2077</v>
      </c>
      <c r="I148" s="146" t="s">
        <v>2057</v>
      </c>
      <c r="J148" s="146" t="s">
        <v>2058</v>
      </c>
      <c r="K148" s="146" t="s">
        <v>2059</v>
      </c>
      <c r="L148" s="146" t="s">
        <v>2078</v>
      </c>
      <c r="M148" s="146" t="s">
        <v>2079</v>
      </c>
      <c r="N148" s="146" t="s">
        <v>2080</v>
      </c>
      <c r="O148" s="146" t="s">
        <v>2063</v>
      </c>
      <c r="P148" s="146" t="s">
        <v>2064</v>
      </c>
      <c r="Q148" s="146" t="s">
        <v>2065</v>
      </c>
    </row>
    <row r="149" spans="1:17" s="9" customFormat="1" x14ac:dyDescent="0.25">
      <c r="A149" s="145" t="s">
        <v>2054</v>
      </c>
      <c r="B149" s="145" t="str">
        <f>CHOOSE(Translations!$C$1+1,O149,P149,Q149)</f>
        <v>HSS O-8 Agents de santé actifs pour 10,000 habitants</v>
      </c>
      <c r="C149" s="145">
        <f t="shared" si="4"/>
        <v>4</v>
      </c>
      <c r="D149" s="145" t="str">
        <f t="shared" si="5"/>
        <v>HSS O-8 Agents de santé actifs pour 10,000 habitants-4</v>
      </c>
      <c r="E149" s="145" t="str">
        <f>CHOOSE(Translations!$C$1+1,I149,J149,K149)</f>
        <v>Groupe d'occupation</v>
      </c>
      <c r="F149" s="145" t="str">
        <f>CHOOSE(Translations!$C$1+1,L149,M149,N149)</f>
        <v>Médecins</v>
      </c>
      <c r="G149" s="145" t="s">
        <v>2081</v>
      </c>
      <c r="H149" s="146" t="s">
        <v>2082</v>
      </c>
      <c r="I149" s="146" t="s">
        <v>2057</v>
      </c>
      <c r="J149" s="146" t="s">
        <v>2058</v>
      </c>
      <c r="K149" s="146" t="s">
        <v>2059</v>
      </c>
      <c r="L149" s="146" t="s">
        <v>2083</v>
      </c>
      <c r="M149" s="146" t="s">
        <v>2084</v>
      </c>
      <c r="N149" s="146" t="s">
        <v>2085</v>
      </c>
      <c r="O149" s="146" t="s">
        <v>2063</v>
      </c>
      <c r="P149" s="146" t="s">
        <v>2064</v>
      </c>
      <c r="Q149" s="146" t="s">
        <v>2065</v>
      </c>
    </row>
    <row r="150" spans="1:17" s="9" customFormat="1" x14ac:dyDescent="0.25">
      <c r="A150" s="145" t="s">
        <v>2086</v>
      </c>
      <c r="B150" s="145" t="str">
        <f>CHOOSE(Translations!$C$1+1,O150,P150,Q150)</f>
        <v>HSS O-9 Pourcentage de femmes ayant eu une première consultation prénatale avant 12 semaines</v>
      </c>
      <c r="C150" s="145">
        <f t="shared" si="4"/>
        <v>0</v>
      </c>
      <c r="D150" s="145" t="str">
        <f t="shared" si="5"/>
        <v>HSS O-9 Pourcentage de femmes ayant eu une première consultation prénatale avant 12 semaines-0</v>
      </c>
      <c r="E150" s="145" t="str">
        <f>CHOOSE(Translations!$C$1+1,I150,J150,K150)</f>
        <v>Age</v>
      </c>
      <c r="F150" s="145" t="str">
        <f>CHOOSE(Translations!$C$1+1,L150,M150,N150)</f>
        <v>15-19</v>
      </c>
      <c r="G150" s="145" t="s">
        <v>2087</v>
      </c>
      <c r="H150" s="146" t="s">
        <v>2088</v>
      </c>
      <c r="I150" s="146" t="s">
        <v>1563</v>
      </c>
      <c r="J150" s="146" t="s">
        <v>1563</v>
      </c>
      <c r="K150" s="146" t="s">
        <v>1564</v>
      </c>
      <c r="L150" s="146" t="s">
        <v>1800</v>
      </c>
      <c r="M150" s="146" t="s">
        <v>1800</v>
      </c>
      <c r="N150" s="146" t="s">
        <v>1800</v>
      </c>
      <c r="O150" s="146" t="s">
        <v>2089</v>
      </c>
      <c r="P150" s="146" t="s">
        <v>2090</v>
      </c>
      <c r="Q150" s="146" t="s">
        <v>2091</v>
      </c>
    </row>
    <row r="151" spans="1:17" s="9" customFormat="1" x14ac:dyDescent="0.25">
      <c r="A151" s="145" t="s">
        <v>2086</v>
      </c>
      <c r="B151" s="145" t="str">
        <f>CHOOSE(Translations!$C$1+1,O151,P151,Q151)</f>
        <v>HSS O-9 Pourcentage de femmes ayant eu une première consultation prénatale avant 12 semaines</v>
      </c>
      <c r="C151" s="145">
        <f t="shared" si="4"/>
        <v>1</v>
      </c>
      <c r="D151" s="145" t="str">
        <f t="shared" si="5"/>
        <v>HSS O-9 Pourcentage de femmes ayant eu une première consultation prénatale avant 12 semaines-1</v>
      </c>
      <c r="E151" s="145" t="str">
        <f>CHOOSE(Translations!$C$1+1,I151,J151,K151)</f>
        <v>Age</v>
      </c>
      <c r="F151" s="145" t="str">
        <f>CHOOSE(Translations!$C$1+1,L151,M151,N151)</f>
        <v>10-14</v>
      </c>
      <c r="G151" s="145" t="s">
        <v>2092</v>
      </c>
      <c r="H151" s="146" t="s">
        <v>2093</v>
      </c>
      <c r="I151" s="146" t="s">
        <v>1563</v>
      </c>
      <c r="J151" s="146" t="s">
        <v>1563</v>
      </c>
      <c r="K151" s="146" t="s">
        <v>1564</v>
      </c>
      <c r="L151" s="146" t="s">
        <v>2094</v>
      </c>
      <c r="M151" s="146" t="s">
        <v>2094</v>
      </c>
      <c r="N151" s="146" t="s">
        <v>2094</v>
      </c>
      <c r="O151" s="146" t="s">
        <v>2089</v>
      </c>
      <c r="P151" s="146" t="s">
        <v>2090</v>
      </c>
      <c r="Q151" s="146" t="s">
        <v>2091</v>
      </c>
    </row>
    <row r="153" spans="1:17" x14ac:dyDescent="0.25">
      <c r="A153" s="2" t="s">
        <v>85</v>
      </c>
    </row>
    <row r="154" spans="1:17" x14ac:dyDescent="0.25">
      <c r="A154" s="465" t="s">
        <v>87</v>
      </c>
      <c r="B154" s="145" t="s">
        <v>453</v>
      </c>
      <c r="C154" s="145">
        <v>0</v>
      </c>
      <c r="D154" s="145" t="s">
        <v>83</v>
      </c>
      <c r="E154" s="145" t="s">
        <v>469</v>
      </c>
      <c r="F154" s="145" t="s">
        <v>471</v>
      </c>
      <c r="G154" s="145" t="s">
        <v>48</v>
      </c>
      <c r="H154" s="145" t="s">
        <v>371</v>
      </c>
      <c r="I154" s="145" t="s">
        <v>34</v>
      </c>
      <c r="J154" s="145" t="s">
        <v>462</v>
      </c>
      <c r="K154" s="145" t="s">
        <v>464</v>
      </c>
      <c r="L154" s="145" t="s">
        <v>27</v>
      </c>
      <c r="M154" s="145" t="s">
        <v>466</v>
      </c>
      <c r="N154" s="145" t="s">
        <v>468</v>
      </c>
      <c r="O154" s="145" t="s">
        <v>43</v>
      </c>
      <c r="P154" s="145" t="s">
        <v>451</v>
      </c>
      <c r="Q154" s="145" t="s">
        <v>449</v>
      </c>
    </row>
    <row r="155" spans="1:17" hidden="1" x14ac:dyDescent="0.25">
      <c r="A155" s="145" t="s">
        <v>86</v>
      </c>
      <c r="B155" s="145" t="str">
        <f>CHOOSE(Translations!$C$1+1,O155,P155,Q155)</f>
        <v>[Name - FR]</v>
      </c>
      <c r="C155" s="145">
        <f>IF(O155=O154,C154+1,0)</f>
        <v>0</v>
      </c>
      <c r="D155" s="145" t="str">
        <f>B155&amp;"-"&amp;C155</f>
        <v>[Name - FR]-0</v>
      </c>
      <c r="E155" s="145" t="str">
        <f>CHOOSE(Translations!$C$1+1,I155,J155,K155)</f>
        <v>[Category - FR]</v>
      </c>
      <c r="F155" s="145" t="str">
        <f>CHOOSE(Translations!$C$1+1,L155,M155,N155)</f>
        <v>[Disaggregation - FR]</v>
      </c>
      <c r="G155" s="145" t="s">
        <v>47</v>
      </c>
      <c r="H155" s="146" t="s">
        <v>370</v>
      </c>
      <c r="I155" s="146" t="s">
        <v>77</v>
      </c>
      <c r="J155" s="146" t="s">
        <v>461</v>
      </c>
      <c r="K155" s="146" t="s">
        <v>463</v>
      </c>
      <c r="L155" s="146" t="s">
        <v>76</v>
      </c>
      <c r="M155" s="146" t="s">
        <v>465</v>
      </c>
      <c r="N155" s="146" t="s">
        <v>467</v>
      </c>
      <c r="O155" s="146" t="s">
        <v>66</v>
      </c>
      <c r="P155" s="146" t="s">
        <v>450</v>
      </c>
      <c r="Q155" s="146" t="s">
        <v>448</v>
      </c>
    </row>
    <row r="156" spans="1:17" s="9" customFormat="1" x14ac:dyDescent="0.25">
      <c r="A156" s="145" t="s">
        <v>2095</v>
      </c>
      <c r="B156" s="145" t="str">
        <f>CHOOSE(Translations!$C$1+1,O156,P156,Q156)</f>
        <v>KP-1a⁽ᴹ⁾ Pourcentage de HSH ayant bénéficié de programmes préventifs de lutte contre le VIH (paquet de services définis)</v>
      </c>
      <c r="C156" s="145">
        <f t="shared" ref="C156:C219" si="6">IF(O156=O155,C155+1,0)</f>
        <v>0</v>
      </c>
      <c r="D156" s="145" t="str">
        <f t="shared" ref="D156:D219" si="7">B156&amp;"-"&amp;C156</f>
        <v>KP-1a⁽ᴹ⁾ Pourcentage de HSH ayant bénéficié de programmes préventifs de lutte contre le VIH (paquet de services définis)-0</v>
      </c>
      <c r="E156" s="145" t="str">
        <f>CHOOSE(Translations!$C$1+1,I156,J156,K156)</f>
        <v>Age</v>
      </c>
      <c r="F156" s="145" t="str">
        <f>CHOOSE(Translations!$C$1+1,L156,M156,N156)</f>
        <v>&lt;25</v>
      </c>
      <c r="G156" s="145" t="s">
        <v>2096</v>
      </c>
      <c r="H156" s="146" t="s">
        <v>2097</v>
      </c>
      <c r="I156" s="146" t="s">
        <v>1563</v>
      </c>
      <c r="J156" s="146" t="s">
        <v>1563</v>
      </c>
      <c r="K156" s="146" t="s">
        <v>1564</v>
      </c>
      <c r="L156" s="146" t="s">
        <v>1622</v>
      </c>
      <c r="M156" s="146" t="s">
        <v>1622</v>
      </c>
      <c r="N156" s="146" t="s">
        <v>1622</v>
      </c>
      <c r="O156" s="146" t="s">
        <v>2098</v>
      </c>
      <c r="P156" s="146" t="s">
        <v>2099</v>
      </c>
      <c r="Q156" s="146" t="s">
        <v>2100</v>
      </c>
    </row>
    <row r="157" spans="1:17" s="9" customFormat="1" x14ac:dyDescent="0.25">
      <c r="A157" s="145" t="s">
        <v>2095</v>
      </c>
      <c r="B157" s="145" t="str">
        <f>CHOOSE(Translations!$C$1+1,O157,P157,Q157)</f>
        <v>KP-1a⁽ᴹ⁾ Pourcentage de HSH ayant bénéficié de programmes préventifs de lutte contre le VIH (paquet de services définis)</v>
      </c>
      <c r="C157" s="145">
        <f t="shared" si="6"/>
        <v>1</v>
      </c>
      <c r="D157" s="145" t="str">
        <f t="shared" si="7"/>
        <v>KP-1a⁽ᴹ⁾ Pourcentage de HSH ayant bénéficié de programmes préventifs de lutte contre le VIH (paquet de services définis)-1</v>
      </c>
      <c r="E157" s="145" t="str">
        <f>CHOOSE(Translations!$C$1+1,I157,J157,K157)</f>
        <v>Age</v>
      </c>
      <c r="F157" s="145" t="str">
        <f>CHOOSE(Translations!$C$1+1,L157,M157,N157)</f>
        <v>25+</v>
      </c>
      <c r="G157" s="145" t="s">
        <v>2101</v>
      </c>
      <c r="H157" s="146" t="s">
        <v>2102</v>
      </c>
      <c r="I157" s="146" t="s">
        <v>1563</v>
      </c>
      <c r="J157" s="146" t="s">
        <v>1563</v>
      </c>
      <c r="K157" s="146" t="s">
        <v>1564</v>
      </c>
      <c r="L157" s="146" t="s">
        <v>1616</v>
      </c>
      <c r="M157" s="146" t="s">
        <v>1616</v>
      </c>
      <c r="N157" s="146" t="s">
        <v>1616</v>
      </c>
      <c r="O157" s="146" t="s">
        <v>2098</v>
      </c>
      <c r="P157" s="146" t="s">
        <v>2099</v>
      </c>
      <c r="Q157" s="146" t="s">
        <v>2100</v>
      </c>
    </row>
    <row r="158" spans="1:17" s="9" customFormat="1" x14ac:dyDescent="0.25">
      <c r="A158" s="145" t="s">
        <v>2103</v>
      </c>
      <c r="B158" s="145" t="str">
        <f>CHOOSE(Translations!$C$1+1,O158,P158,Q158)</f>
        <v>KP-1b⁽ᴹ⁾ Pourcentage de personnes transgenres ayant bénéficié de programmes préventifs de lutte contre le VIH (paquet de services définis)</v>
      </c>
      <c r="C158" s="145">
        <f t="shared" si="6"/>
        <v>0</v>
      </c>
      <c r="D158" s="145" t="str">
        <f t="shared" si="7"/>
        <v>KP-1b⁽ᴹ⁾ Pourcentage de personnes transgenres ayant bénéficié de programmes préventifs de lutte contre le VIH (paquet de services définis)-0</v>
      </c>
      <c r="E158" s="145" t="str">
        <f>CHOOSE(Translations!$C$1+1,I158,J158,K158)</f>
        <v>Age</v>
      </c>
      <c r="F158" s="145" t="str">
        <f>CHOOSE(Translations!$C$1+1,L158,M158,N158)</f>
        <v>&lt;25</v>
      </c>
      <c r="G158" s="145" t="s">
        <v>2104</v>
      </c>
      <c r="H158" s="146" t="s">
        <v>2105</v>
      </c>
      <c r="I158" s="146" t="s">
        <v>1563</v>
      </c>
      <c r="J158" s="146" t="s">
        <v>1563</v>
      </c>
      <c r="K158" s="146" t="s">
        <v>1564</v>
      </c>
      <c r="L158" s="146" t="s">
        <v>1622</v>
      </c>
      <c r="M158" s="146" t="s">
        <v>1622</v>
      </c>
      <c r="N158" s="146" t="s">
        <v>1622</v>
      </c>
      <c r="O158" s="146" t="s">
        <v>2106</v>
      </c>
      <c r="P158" s="146" t="s">
        <v>2107</v>
      </c>
      <c r="Q158" s="146" t="s">
        <v>2108</v>
      </c>
    </row>
    <row r="159" spans="1:17" s="9" customFormat="1" x14ac:dyDescent="0.25">
      <c r="A159" s="145" t="s">
        <v>2103</v>
      </c>
      <c r="B159" s="145" t="str">
        <f>CHOOSE(Translations!$C$1+1,O159,P159,Q159)</f>
        <v>KP-1b⁽ᴹ⁾ Pourcentage de personnes transgenres ayant bénéficié de programmes préventifs de lutte contre le VIH (paquet de services définis)</v>
      </c>
      <c r="C159" s="145">
        <f t="shared" si="6"/>
        <v>1</v>
      </c>
      <c r="D159" s="145" t="str">
        <f t="shared" si="7"/>
        <v>KP-1b⁽ᴹ⁾ Pourcentage de personnes transgenres ayant bénéficié de programmes préventifs de lutte contre le VIH (paquet de services définis)-1</v>
      </c>
      <c r="E159" s="145" t="str">
        <f>CHOOSE(Translations!$C$1+1,I159,J159,K159)</f>
        <v>Age</v>
      </c>
      <c r="F159" s="145" t="str">
        <f>CHOOSE(Translations!$C$1+1,L159,M159,N159)</f>
        <v>25+</v>
      </c>
      <c r="G159" s="145" t="s">
        <v>2109</v>
      </c>
      <c r="H159" s="146" t="s">
        <v>2110</v>
      </c>
      <c r="I159" s="146" t="s">
        <v>1563</v>
      </c>
      <c r="J159" s="146" t="s">
        <v>1563</v>
      </c>
      <c r="K159" s="146" t="s">
        <v>1564</v>
      </c>
      <c r="L159" s="146" t="s">
        <v>1616</v>
      </c>
      <c r="M159" s="146" t="s">
        <v>1616</v>
      </c>
      <c r="N159" s="146" t="s">
        <v>1616</v>
      </c>
      <c r="O159" s="146" t="s">
        <v>2106</v>
      </c>
      <c r="P159" s="146" t="s">
        <v>2107</v>
      </c>
      <c r="Q159" s="146" t="s">
        <v>2108</v>
      </c>
    </row>
    <row r="160" spans="1:17" s="9" customFormat="1" x14ac:dyDescent="0.25">
      <c r="A160" s="145" t="s">
        <v>2111</v>
      </c>
      <c r="B160" s="145" t="str">
        <f>CHOOSE(Translations!$C$1+1,O160,P160,Q160)</f>
        <v>KP-1c⁽ᴹ⁾ Pourcentage de professionnels du sexe ayant bénéficié de programmes préventifs de lutte contre le VIH (paquet de services définis)</v>
      </c>
      <c r="C160" s="145">
        <f t="shared" si="6"/>
        <v>0</v>
      </c>
      <c r="D160" s="145" t="str">
        <f t="shared" si="7"/>
        <v>KP-1c⁽ᴹ⁾ Pourcentage de professionnels du sexe ayant bénéficié de programmes préventifs de lutte contre le VIH (paquet de services définis)-0</v>
      </c>
      <c r="E160" s="145" t="str">
        <f>CHOOSE(Translations!$C$1+1,I160,J160,K160)</f>
        <v>Age</v>
      </c>
      <c r="F160" s="145" t="str">
        <f>CHOOSE(Translations!$C$1+1,L160,M160,N160)</f>
        <v>25+</v>
      </c>
      <c r="G160" s="145" t="s">
        <v>2112</v>
      </c>
      <c r="H160" s="146" t="s">
        <v>2113</v>
      </c>
      <c r="I160" s="146" t="s">
        <v>1563</v>
      </c>
      <c r="J160" s="146" t="s">
        <v>1563</v>
      </c>
      <c r="K160" s="146" t="s">
        <v>1564</v>
      </c>
      <c r="L160" s="146" t="s">
        <v>1616</v>
      </c>
      <c r="M160" s="146" t="s">
        <v>1616</v>
      </c>
      <c r="N160" s="146" t="s">
        <v>1616</v>
      </c>
      <c r="O160" s="146" t="s">
        <v>2114</v>
      </c>
      <c r="P160" s="146" t="s">
        <v>2115</v>
      </c>
      <c r="Q160" s="146" t="s">
        <v>2116</v>
      </c>
    </row>
    <row r="161" spans="1:17" s="9" customFormat="1" x14ac:dyDescent="0.25">
      <c r="A161" s="145" t="s">
        <v>2111</v>
      </c>
      <c r="B161" s="145" t="str">
        <f>CHOOSE(Translations!$C$1+1,O161,P161,Q161)</f>
        <v>KP-1c⁽ᴹ⁾ Pourcentage de professionnels du sexe ayant bénéficié de programmes préventifs de lutte contre le VIH (paquet de services définis)</v>
      </c>
      <c r="C161" s="145">
        <f t="shared" si="6"/>
        <v>1</v>
      </c>
      <c r="D161" s="145" t="str">
        <f t="shared" si="7"/>
        <v>KP-1c⁽ᴹ⁾ Pourcentage de professionnels du sexe ayant bénéficié de programmes préventifs de lutte contre le VIH (paquet de services définis)-1</v>
      </c>
      <c r="E161" s="145" t="str">
        <f>CHOOSE(Translations!$C$1+1,I161,J161,K161)</f>
        <v>Age</v>
      </c>
      <c r="F161" s="145" t="str">
        <f>CHOOSE(Translations!$C$1+1,L161,M161,N161)</f>
        <v>&lt;25</v>
      </c>
      <c r="G161" s="145" t="s">
        <v>2117</v>
      </c>
      <c r="H161" s="146" t="s">
        <v>2118</v>
      </c>
      <c r="I161" s="146" t="s">
        <v>1563</v>
      </c>
      <c r="J161" s="146" t="s">
        <v>1563</v>
      </c>
      <c r="K161" s="146" t="s">
        <v>1564</v>
      </c>
      <c r="L161" s="146" t="s">
        <v>1622</v>
      </c>
      <c r="M161" s="146" t="s">
        <v>1622</v>
      </c>
      <c r="N161" s="146" t="s">
        <v>1622</v>
      </c>
      <c r="O161" s="146" t="s">
        <v>2114</v>
      </c>
      <c r="P161" s="146" t="s">
        <v>2115</v>
      </c>
      <c r="Q161" s="146" t="s">
        <v>2116</v>
      </c>
    </row>
    <row r="162" spans="1:17" s="9" customFormat="1" x14ac:dyDescent="0.25">
      <c r="A162" s="145" t="s">
        <v>2111</v>
      </c>
      <c r="B162" s="145" t="str">
        <f>CHOOSE(Translations!$C$1+1,O162,P162,Q162)</f>
        <v>KP-1c⁽ᴹ⁾ Pourcentage de professionnels du sexe ayant bénéficié de programmes préventifs de lutte contre le VIH (paquet de services définis)</v>
      </c>
      <c r="C162" s="145">
        <f t="shared" si="6"/>
        <v>2</v>
      </c>
      <c r="D162" s="145" t="str">
        <f t="shared" si="7"/>
        <v>KP-1c⁽ᴹ⁾ Pourcentage de professionnels du sexe ayant bénéficié de programmes préventifs de lutte contre le VIH (paquet de services définis)-2</v>
      </c>
      <c r="E162" s="145" t="str">
        <f>CHOOSE(Translations!$C$1+1,I162,J162,K162)</f>
        <v>Sexe</v>
      </c>
      <c r="F162" s="145" t="str">
        <f>CHOOSE(Translations!$C$1+1,L162,M162,N162)</f>
        <v>Homme</v>
      </c>
      <c r="G162" s="145" t="s">
        <v>2119</v>
      </c>
      <c r="H162" s="146" t="s">
        <v>2120</v>
      </c>
      <c r="I162" s="146" t="s">
        <v>1550</v>
      </c>
      <c r="J162" s="146" t="s">
        <v>1551</v>
      </c>
      <c r="K162" s="146" t="s">
        <v>1552</v>
      </c>
      <c r="L162" s="146" t="s">
        <v>1558</v>
      </c>
      <c r="M162" s="146" t="s">
        <v>1559</v>
      </c>
      <c r="N162" s="146" t="s">
        <v>1560</v>
      </c>
      <c r="O162" s="146" t="s">
        <v>2114</v>
      </c>
      <c r="P162" s="146" t="s">
        <v>2115</v>
      </c>
      <c r="Q162" s="146" t="s">
        <v>2116</v>
      </c>
    </row>
    <row r="163" spans="1:17" s="9" customFormat="1" x14ac:dyDescent="0.25">
      <c r="A163" s="145" t="s">
        <v>2111</v>
      </c>
      <c r="B163" s="145" t="str">
        <f>CHOOSE(Translations!$C$1+1,O163,P163,Q163)</f>
        <v>KP-1c⁽ᴹ⁾ Pourcentage de professionnels du sexe ayant bénéficié de programmes préventifs de lutte contre le VIH (paquet de services définis)</v>
      </c>
      <c r="C163" s="145">
        <f t="shared" si="6"/>
        <v>3</v>
      </c>
      <c r="D163" s="145" t="str">
        <f t="shared" si="7"/>
        <v>KP-1c⁽ᴹ⁾ Pourcentage de professionnels du sexe ayant bénéficié de programmes préventifs de lutte contre le VIH (paquet de services définis)-3</v>
      </c>
      <c r="E163" s="145" t="str">
        <f>CHOOSE(Translations!$C$1+1,I163,J163,K163)</f>
        <v>Sexe</v>
      </c>
      <c r="F163" s="145" t="str">
        <f>CHOOSE(Translations!$C$1+1,L163,M163,N163)</f>
        <v>Femme</v>
      </c>
      <c r="G163" s="145" t="s">
        <v>2121</v>
      </c>
      <c r="H163" s="146" t="s">
        <v>2122</v>
      </c>
      <c r="I163" s="146" t="s">
        <v>1550</v>
      </c>
      <c r="J163" s="146" t="s">
        <v>1551</v>
      </c>
      <c r="K163" s="146" t="s">
        <v>1552</v>
      </c>
      <c r="L163" s="146" t="s">
        <v>1553</v>
      </c>
      <c r="M163" s="146" t="s">
        <v>1554</v>
      </c>
      <c r="N163" s="146" t="s">
        <v>1555</v>
      </c>
      <c r="O163" s="146" t="s">
        <v>2114</v>
      </c>
      <c r="P163" s="146" t="s">
        <v>2115</v>
      </c>
      <c r="Q163" s="146" t="s">
        <v>2116</v>
      </c>
    </row>
    <row r="164" spans="1:17" s="9" customFormat="1" x14ac:dyDescent="0.25">
      <c r="A164" s="145" t="s">
        <v>2111</v>
      </c>
      <c r="B164" s="145" t="str">
        <f>CHOOSE(Translations!$C$1+1,O164,P164,Q164)</f>
        <v>KP-1c⁽ᴹ⁾ Pourcentage de professionnels du sexe ayant bénéficié de programmes préventifs de lutte contre le VIH (paquet de services définis)</v>
      </c>
      <c r="C164" s="145">
        <f t="shared" si="6"/>
        <v>4</v>
      </c>
      <c r="D164" s="145" t="str">
        <f t="shared" si="7"/>
        <v>KP-1c⁽ᴹ⁾ Pourcentage de professionnels du sexe ayant bénéficié de programmes préventifs de lutte contre le VIH (paquet de services définis)-4</v>
      </c>
      <c r="E164" s="145" t="str">
        <f>CHOOSE(Translations!$C$1+1,I164,J164,K164)</f>
        <v>Sexe</v>
      </c>
      <c r="F164" s="145" t="str">
        <f>CHOOSE(Translations!$C$1+1,L164,M164,N164)</f>
        <v>Transgenre</v>
      </c>
      <c r="G164" s="145" t="s">
        <v>2123</v>
      </c>
      <c r="H164" s="146" t="s">
        <v>2124</v>
      </c>
      <c r="I164" s="146" t="s">
        <v>1550</v>
      </c>
      <c r="J164" s="146" t="s">
        <v>1551</v>
      </c>
      <c r="K164" s="146" t="s">
        <v>1552</v>
      </c>
      <c r="L164" s="146" t="s">
        <v>1634</v>
      </c>
      <c r="M164" s="146" t="s">
        <v>1635</v>
      </c>
      <c r="N164" s="146" t="s">
        <v>1636</v>
      </c>
      <c r="O164" s="146" t="s">
        <v>2114</v>
      </c>
      <c r="P164" s="146" t="s">
        <v>2115</v>
      </c>
      <c r="Q164" s="146" t="s">
        <v>2116</v>
      </c>
    </row>
    <row r="165" spans="1:17" s="9" customFormat="1" x14ac:dyDescent="0.25">
      <c r="A165" s="145" t="s">
        <v>2125</v>
      </c>
      <c r="B165" s="145" t="str">
        <f>CHOOSE(Translations!$C$1+1,O165,P165,Q165)</f>
        <v>KP-1d⁽ᴹ⁾ Pourcentage de personnes qui s'injectent des drogues ayant bénéficié de programmes préventifs de lutte contre le VIH (paquet de services définis)</v>
      </c>
      <c r="C165" s="145">
        <f t="shared" si="6"/>
        <v>0</v>
      </c>
      <c r="D165" s="145" t="str">
        <f t="shared" si="7"/>
        <v>KP-1d⁽ᴹ⁾ Pourcentage de personnes qui s'injectent des drogues ayant bénéficié de programmes préventifs de lutte contre le VIH (paquet de services définis)-0</v>
      </c>
      <c r="E165" s="145" t="str">
        <f>CHOOSE(Translations!$C$1+1,I165,J165,K165)</f>
        <v>Age</v>
      </c>
      <c r="F165" s="145" t="str">
        <f>CHOOSE(Translations!$C$1+1,L165,M165,N165)</f>
        <v>&lt;25</v>
      </c>
      <c r="G165" s="145" t="s">
        <v>2126</v>
      </c>
      <c r="H165" s="146" t="s">
        <v>2127</v>
      </c>
      <c r="I165" s="146" t="s">
        <v>1563</v>
      </c>
      <c r="J165" s="146" t="s">
        <v>1563</v>
      </c>
      <c r="K165" s="146" t="s">
        <v>1564</v>
      </c>
      <c r="L165" s="146" t="s">
        <v>1622</v>
      </c>
      <c r="M165" s="146" t="s">
        <v>1622</v>
      </c>
      <c r="N165" s="146" t="s">
        <v>1622</v>
      </c>
      <c r="O165" s="146" t="s">
        <v>2128</v>
      </c>
      <c r="P165" s="146" t="s">
        <v>2129</v>
      </c>
      <c r="Q165" s="146" t="s">
        <v>2130</v>
      </c>
    </row>
    <row r="166" spans="1:17" s="9" customFormat="1" x14ac:dyDescent="0.25">
      <c r="A166" s="145" t="s">
        <v>2125</v>
      </c>
      <c r="B166" s="145" t="str">
        <f>CHOOSE(Translations!$C$1+1,O166,P166,Q166)</f>
        <v>KP-1d⁽ᴹ⁾ Pourcentage de personnes qui s'injectent des drogues ayant bénéficié de programmes préventifs de lutte contre le VIH (paquet de services définis)</v>
      </c>
      <c r="C166" s="145">
        <f t="shared" si="6"/>
        <v>1</v>
      </c>
      <c r="D166" s="145" t="str">
        <f t="shared" si="7"/>
        <v>KP-1d⁽ᴹ⁾ Pourcentage de personnes qui s'injectent des drogues ayant bénéficié de programmes préventifs de lutte contre le VIH (paquet de services définis)-1</v>
      </c>
      <c r="E166" s="145" t="str">
        <f>CHOOSE(Translations!$C$1+1,I166,J166,K166)</f>
        <v>Age</v>
      </c>
      <c r="F166" s="145" t="str">
        <f>CHOOSE(Translations!$C$1+1,L166,M166,N166)</f>
        <v>25+</v>
      </c>
      <c r="G166" s="145" t="s">
        <v>2131</v>
      </c>
      <c r="H166" s="146" t="s">
        <v>2132</v>
      </c>
      <c r="I166" s="146" t="s">
        <v>1563</v>
      </c>
      <c r="J166" s="146" t="s">
        <v>1563</v>
      </c>
      <c r="K166" s="146" t="s">
        <v>1564</v>
      </c>
      <c r="L166" s="146" t="s">
        <v>1616</v>
      </c>
      <c r="M166" s="146" t="s">
        <v>1616</v>
      </c>
      <c r="N166" s="146" t="s">
        <v>1616</v>
      </c>
      <c r="O166" s="146" t="s">
        <v>2128</v>
      </c>
      <c r="P166" s="146" t="s">
        <v>2129</v>
      </c>
      <c r="Q166" s="146" t="s">
        <v>2130</v>
      </c>
    </row>
    <row r="167" spans="1:17" s="9" customFormat="1" x14ac:dyDescent="0.25">
      <c r="A167" s="145" t="s">
        <v>2125</v>
      </c>
      <c r="B167" s="145" t="str">
        <f>CHOOSE(Translations!$C$1+1,O167,P167,Q167)</f>
        <v>KP-1d⁽ᴹ⁾ Pourcentage de personnes qui s'injectent des drogues ayant bénéficié de programmes préventifs de lutte contre le VIH (paquet de services définis)</v>
      </c>
      <c r="C167" s="145">
        <f t="shared" si="6"/>
        <v>2</v>
      </c>
      <c r="D167" s="145" t="str">
        <f t="shared" si="7"/>
        <v>KP-1d⁽ᴹ⁾ Pourcentage de personnes qui s'injectent des drogues ayant bénéficié de programmes préventifs de lutte contre le VIH (paquet de services définis)-2</v>
      </c>
      <c r="E167" s="145" t="str">
        <f>CHOOSE(Translations!$C$1+1,I167,J167,K167)</f>
        <v>Sexe</v>
      </c>
      <c r="F167" s="145" t="str">
        <f>CHOOSE(Translations!$C$1+1,L167,M167,N167)</f>
        <v>Homme</v>
      </c>
      <c r="G167" s="145" t="s">
        <v>2133</v>
      </c>
      <c r="H167" s="146" t="s">
        <v>2134</v>
      </c>
      <c r="I167" s="146" t="s">
        <v>1550</v>
      </c>
      <c r="J167" s="146" t="s">
        <v>1551</v>
      </c>
      <c r="K167" s="146" t="s">
        <v>1552</v>
      </c>
      <c r="L167" s="146" t="s">
        <v>1558</v>
      </c>
      <c r="M167" s="146" t="s">
        <v>1559</v>
      </c>
      <c r="N167" s="146" t="s">
        <v>1560</v>
      </c>
      <c r="O167" s="146" t="s">
        <v>2128</v>
      </c>
      <c r="P167" s="146" t="s">
        <v>2129</v>
      </c>
      <c r="Q167" s="146" t="s">
        <v>2130</v>
      </c>
    </row>
    <row r="168" spans="1:17" s="9" customFormat="1" x14ac:dyDescent="0.25">
      <c r="A168" s="145" t="s">
        <v>2125</v>
      </c>
      <c r="B168" s="145" t="str">
        <f>CHOOSE(Translations!$C$1+1,O168,P168,Q168)</f>
        <v>KP-1d⁽ᴹ⁾ Pourcentage de personnes qui s'injectent des drogues ayant bénéficié de programmes préventifs de lutte contre le VIH (paquet de services définis)</v>
      </c>
      <c r="C168" s="145">
        <f t="shared" si="6"/>
        <v>3</v>
      </c>
      <c r="D168" s="145" t="str">
        <f t="shared" si="7"/>
        <v>KP-1d⁽ᴹ⁾ Pourcentage de personnes qui s'injectent des drogues ayant bénéficié de programmes préventifs de lutte contre le VIH (paquet de services définis)-3</v>
      </c>
      <c r="E168" s="145" t="str">
        <f>CHOOSE(Translations!$C$1+1,I168,J168,K168)</f>
        <v>Sexe</v>
      </c>
      <c r="F168" s="145" t="str">
        <f>CHOOSE(Translations!$C$1+1,L168,M168,N168)</f>
        <v>Femme</v>
      </c>
      <c r="G168" s="145" t="s">
        <v>2135</v>
      </c>
      <c r="H168" s="146" t="s">
        <v>2136</v>
      </c>
      <c r="I168" s="146" t="s">
        <v>1550</v>
      </c>
      <c r="J168" s="146" t="s">
        <v>1551</v>
      </c>
      <c r="K168" s="146" t="s">
        <v>1552</v>
      </c>
      <c r="L168" s="146" t="s">
        <v>1553</v>
      </c>
      <c r="M168" s="146" t="s">
        <v>1554</v>
      </c>
      <c r="N168" s="146" t="s">
        <v>1555</v>
      </c>
      <c r="O168" s="146" t="s">
        <v>2128</v>
      </c>
      <c r="P168" s="146" t="s">
        <v>2129</v>
      </c>
      <c r="Q168" s="146" t="s">
        <v>2130</v>
      </c>
    </row>
    <row r="169" spans="1:17" s="9" customFormat="1" x14ac:dyDescent="0.25">
      <c r="A169" s="145" t="s">
        <v>2125</v>
      </c>
      <c r="B169" s="145" t="str">
        <f>CHOOSE(Translations!$C$1+1,O169,P169,Q169)</f>
        <v>KP-1d⁽ᴹ⁾ Pourcentage de personnes qui s'injectent des drogues ayant bénéficié de programmes préventifs de lutte contre le VIH (paquet de services définis)</v>
      </c>
      <c r="C169" s="145">
        <f t="shared" si="6"/>
        <v>4</v>
      </c>
      <c r="D169" s="145" t="str">
        <f t="shared" si="7"/>
        <v>KP-1d⁽ᴹ⁾ Pourcentage de personnes qui s'injectent des drogues ayant bénéficié de programmes préventifs de lutte contre le VIH (paquet de services définis)-4</v>
      </c>
      <c r="E169" s="145" t="str">
        <f>CHOOSE(Translations!$C$1+1,I169,J169,K169)</f>
        <v>Sexe</v>
      </c>
      <c r="F169" s="145" t="str">
        <f>CHOOSE(Translations!$C$1+1,L169,M169,N169)</f>
        <v>Transgenre</v>
      </c>
      <c r="G169" s="145" t="s">
        <v>2137</v>
      </c>
      <c r="H169" s="146" t="s">
        <v>2138</v>
      </c>
      <c r="I169" s="146" t="s">
        <v>1550</v>
      </c>
      <c r="J169" s="146" t="s">
        <v>1551</v>
      </c>
      <c r="K169" s="146" t="s">
        <v>1552</v>
      </c>
      <c r="L169" s="146" t="s">
        <v>1634</v>
      </c>
      <c r="M169" s="146" t="s">
        <v>1635</v>
      </c>
      <c r="N169" s="146" t="s">
        <v>1636</v>
      </c>
      <c r="O169" s="146" t="s">
        <v>2128</v>
      </c>
      <c r="P169" s="146" t="s">
        <v>2129</v>
      </c>
      <c r="Q169" s="146" t="s">
        <v>2130</v>
      </c>
    </row>
    <row r="170" spans="1:17" s="9" customFormat="1" x14ac:dyDescent="0.25">
      <c r="A170" s="145" t="s">
        <v>2139</v>
      </c>
      <c r="B170" s="145" t="str">
        <f>CHOOSE(Translations!$C$1+1,O170,P170,Q170)</f>
        <v>YP-1a Pourcentage d’élèves âgés de 10 à 24 ans fréquentant un établissement scolaire bénéficiant d’une éducation sexuelle complète ou de l’enseignement de compétences psychosociales (concernant les questions liées au VIH)</v>
      </c>
      <c r="C170" s="145">
        <f t="shared" si="6"/>
        <v>0</v>
      </c>
      <c r="D170" s="145" t="str">
        <f t="shared" si="7"/>
        <v>YP-1a Pourcentage d’élèves âgés de 10 à 24 ans fréquentant un établissement scolaire bénéficiant d’une éducation sexuelle complète ou de l’enseignement de compétences psychosociales (concernant les questions liées au VIH)-0</v>
      </c>
      <c r="E170" s="145" t="str">
        <f>CHOOSE(Translations!$C$1+1,I170,J170,K170)</f>
        <v>Sexe</v>
      </c>
      <c r="F170" s="145" t="str">
        <f>CHOOSE(Translations!$C$1+1,L170,M170,N170)</f>
        <v>Homme</v>
      </c>
      <c r="G170" s="145" t="s">
        <v>2140</v>
      </c>
      <c r="H170" s="146" t="s">
        <v>2141</v>
      </c>
      <c r="I170" s="146" t="s">
        <v>1550</v>
      </c>
      <c r="J170" s="146" t="s">
        <v>1551</v>
      </c>
      <c r="K170" s="146" t="s">
        <v>1552</v>
      </c>
      <c r="L170" s="146" t="s">
        <v>1558</v>
      </c>
      <c r="M170" s="146" t="s">
        <v>1559</v>
      </c>
      <c r="N170" s="146" t="s">
        <v>1560</v>
      </c>
      <c r="O170" s="146" t="s">
        <v>2142</v>
      </c>
      <c r="P170" s="146" t="s">
        <v>2143</v>
      </c>
      <c r="Q170" s="146" t="s">
        <v>2144</v>
      </c>
    </row>
    <row r="171" spans="1:17" s="9" customFormat="1" x14ac:dyDescent="0.25">
      <c r="A171" s="145" t="s">
        <v>2139</v>
      </c>
      <c r="B171" s="145" t="str">
        <f>CHOOSE(Translations!$C$1+1,O171,P171,Q171)</f>
        <v>YP-1a Pourcentage d’élèves âgés de 10 à 24 ans fréquentant un établissement scolaire bénéficiant d’une éducation sexuelle complète ou de l’enseignement de compétences psychosociales (concernant les questions liées au VIH)</v>
      </c>
      <c r="C171" s="145">
        <f t="shared" si="6"/>
        <v>1</v>
      </c>
      <c r="D171" s="145" t="str">
        <f t="shared" si="7"/>
        <v>YP-1a Pourcentage d’élèves âgés de 10 à 24 ans fréquentant un établissement scolaire bénéficiant d’une éducation sexuelle complète ou de l’enseignement de compétences psychosociales (concernant les questions liées au VIH)-1</v>
      </c>
      <c r="E171" s="145" t="str">
        <f>CHOOSE(Translations!$C$1+1,I171,J171,K171)</f>
        <v>Sexe</v>
      </c>
      <c r="F171" s="145" t="str">
        <f>CHOOSE(Translations!$C$1+1,L171,M171,N171)</f>
        <v>Femme</v>
      </c>
      <c r="G171" s="145" t="s">
        <v>2145</v>
      </c>
      <c r="H171" s="146" t="s">
        <v>2146</v>
      </c>
      <c r="I171" s="146" t="s">
        <v>1550</v>
      </c>
      <c r="J171" s="146" t="s">
        <v>1551</v>
      </c>
      <c r="K171" s="146" t="s">
        <v>1552</v>
      </c>
      <c r="L171" s="146" t="s">
        <v>1553</v>
      </c>
      <c r="M171" s="146" t="s">
        <v>1554</v>
      </c>
      <c r="N171" s="146" t="s">
        <v>1555</v>
      </c>
      <c r="O171" s="146" t="s">
        <v>2142</v>
      </c>
      <c r="P171" s="146" t="s">
        <v>2143</v>
      </c>
      <c r="Q171" s="146" t="s">
        <v>2144</v>
      </c>
    </row>
    <row r="172" spans="1:17" s="9" customFormat="1" x14ac:dyDescent="0.25">
      <c r="A172" s="145" t="s">
        <v>2147</v>
      </c>
      <c r="B172" s="145" t="str">
        <f>CHOOSE(Translations!$C$1+1,O172,P172,Q172)</f>
        <v>YP-1b Pourcentage de jeunes âgés de 10 à 24 ans bénéficiant d’une éducation sexuelle complète ou de l’enseignement de compétences psychosociales (concernant les questions liées au VIH) en dehors du cadre scolaire</v>
      </c>
      <c r="C172" s="145">
        <f t="shared" si="6"/>
        <v>0</v>
      </c>
      <c r="D172" s="145" t="str">
        <f t="shared" si="7"/>
        <v>YP-1b Pourcentage de jeunes âgés de 10 à 24 ans bénéficiant d’une éducation sexuelle complète ou de l’enseignement de compétences psychosociales (concernant les questions liées au VIH) en dehors du cadre scolaire-0</v>
      </c>
      <c r="E172" s="145" t="str">
        <f>CHOOSE(Translations!$C$1+1,I172,J172,K172)</f>
        <v>Sexe</v>
      </c>
      <c r="F172" s="145" t="str">
        <f>CHOOSE(Translations!$C$1+1,L172,M172,N172)</f>
        <v>Femme</v>
      </c>
      <c r="G172" s="145" t="s">
        <v>2148</v>
      </c>
      <c r="H172" s="146" t="s">
        <v>2149</v>
      </c>
      <c r="I172" s="146" t="s">
        <v>1550</v>
      </c>
      <c r="J172" s="146" t="s">
        <v>1551</v>
      </c>
      <c r="K172" s="146" t="s">
        <v>1552</v>
      </c>
      <c r="L172" s="146" t="s">
        <v>1553</v>
      </c>
      <c r="M172" s="146" t="s">
        <v>1554</v>
      </c>
      <c r="N172" s="146" t="s">
        <v>1555</v>
      </c>
      <c r="O172" s="146" t="s">
        <v>2150</v>
      </c>
      <c r="P172" s="146" t="s">
        <v>2151</v>
      </c>
      <c r="Q172" s="146" t="s">
        <v>2152</v>
      </c>
    </row>
    <row r="173" spans="1:17" s="9" customFormat="1" x14ac:dyDescent="0.25">
      <c r="A173" s="145" t="s">
        <v>2147</v>
      </c>
      <c r="B173" s="145" t="str">
        <f>CHOOSE(Translations!$C$1+1,O173,P173,Q173)</f>
        <v>YP-1b Pourcentage de jeunes âgés de 10 à 24 ans bénéficiant d’une éducation sexuelle complète ou de l’enseignement de compétences psychosociales (concernant les questions liées au VIH) en dehors du cadre scolaire</v>
      </c>
      <c r="C173" s="145">
        <f t="shared" si="6"/>
        <v>1</v>
      </c>
      <c r="D173" s="145" t="str">
        <f t="shared" si="7"/>
        <v>YP-1b Pourcentage de jeunes âgés de 10 à 24 ans bénéficiant d’une éducation sexuelle complète ou de l’enseignement de compétences psychosociales (concernant les questions liées au VIH) en dehors du cadre scolaire-1</v>
      </c>
      <c r="E173" s="145" t="str">
        <f>CHOOSE(Translations!$C$1+1,I173,J173,K173)</f>
        <v>Sexe</v>
      </c>
      <c r="F173" s="145" t="str">
        <f>CHOOSE(Translations!$C$1+1,L173,M173,N173)</f>
        <v>Homme</v>
      </c>
      <c r="G173" s="145" t="s">
        <v>2153</v>
      </c>
      <c r="H173" s="146" t="s">
        <v>2154</v>
      </c>
      <c r="I173" s="146" t="s">
        <v>1550</v>
      </c>
      <c r="J173" s="146" t="s">
        <v>1551</v>
      </c>
      <c r="K173" s="146" t="s">
        <v>1552</v>
      </c>
      <c r="L173" s="146" t="s">
        <v>1558</v>
      </c>
      <c r="M173" s="146" t="s">
        <v>1559</v>
      </c>
      <c r="N173" s="146" t="s">
        <v>1560</v>
      </c>
      <c r="O173" s="146" t="s">
        <v>2150</v>
      </c>
      <c r="P173" s="146" t="s">
        <v>2151</v>
      </c>
      <c r="Q173" s="146" t="s">
        <v>2152</v>
      </c>
    </row>
    <row r="174" spans="1:17" s="9" customFormat="1" x14ac:dyDescent="0.25">
      <c r="A174" s="145" t="s">
        <v>2155</v>
      </c>
      <c r="B174" s="145" t="str">
        <f>CHOOSE(Translations!$C$1+1,O174,P174,Q174)</f>
        <v>YP-2 Pourcentage d’adolescentes et de jeunes femmes bénéficiant de programmes préventifs de lutte contre le VIH (paquet de services définis)</v>
      </c>
      <c r="C174" s="145">
        <f t="shared" si="6"/>
        <v>0</v>
      </c>
      <c r="D174" s="145" t="str">
        <f t="shared" si="7"/>
        <v>YP-2 Pourcentage d’adolescentes et de jeunes femmes bénéficiant de programmes préventifs de lutte contre le VIH (paquet de services définis)-0</v>
      </c>
      <c r="E174" s="145" t="str">
        <f>CHOOSE(Translations!$C$1+1,I174,J174,K174)</f>
        <v>Age</v>
      </c>
      <c r="F174" s="145" t="str">
        <f>CHOOSE(Translations!$C$1+1,L174,M174,N174)</f>
        <v>10-14</v>
      </c>
      <c r="G174" s="145" t="s">
        <v>2156</v>
      </c>
      <c r="H174" s="146" t="s">
        <v>2157</v>
      </c>
      <c r="I174" s="146" t="s">
        <v>1563</v>
      </c>
      <c r="J174" s="146" t="s">
        <v>1563</v>
      </c>
      <c r="K174" s="146" t="s">
        <v>1564</v>
      </c>
      <c r="L174" s="146" t="s">
        <v>2094</v>
      </c>
      <c r="M174" s="146" t="s">
        <v>2094</v>
      </c>
      <c r="N174" s="146" t="s">
        <v>2094</v>
      </c>
      <c r="O174" s="146" t="s">
        <v>2158</v>
      </c>
      <c r="P174" s="146" t="s">
        <v>2159</v>
      </c>
      <c r="Q174" s="146" t="s">
        <v>2160</v>
      </c>
    </row>
    <row r="175" spans="1:17" s="9" customFormat="1" x14ac:dyDescent="0.25">
      <c r="A175" s="145" t="s">
        <v>2155</v>
      </c>
      <c r="B175" s="145" t="str">
        <f>CHOOSE(Translations!$C$1+1,O175,P175,Q175)</f>
        <v>YP-2 Pourcentage d’adolescentes et de jeunes femmes bénéficiant de programmes préventifs de lutte contre le VIH (paquet de services définis)</v>
      </c>
      <c r="C175" s="145">
        <f t="shared" si="6"/>
        <v>1</v>
      </c>
      <c r="D175" s="145" t="str">
        <f t="shared" si="7"/>
        <v>YP-2 Pourcentage d’adolescentes et de jeunes femmes bénéficiant de programmes préventifs de lutte contre le VIH (paquet de services définis)-1</v>
      </c>
      <c r="E175" s="145" t="str">
        <f>CHOOSE(Translations!$C$1+1,I175,J175,K175)</f>
        <v>Age</v>
      </c>
      <c r="F175" s="145" t="str">
        <f>CHOOSE(Translations!$C$1+1,L175,M175,N175)</f>
        <v>15-19</v>
      </c>
      <c r="G175" s="145" t="s">
        <v>2161</v>
      </c>
      <c r="H175" s="146" t="s">
        <v>2162</v>
      </c>
      <c r="I175" s="146" t="s">
        <v>1563</v>
      </c>
      <c r="J175" s="146" t="s">
        <v>1563</v>
      </c>
      <c r="K175" s="146" t="s">
        <v>1564</v>
      </c>
      <c r="L175" s="146" t="s">
        <v>1800</v>
      </c>
      <c r="M175" s="146" t="s">
        <v>1800</v>
      </c>
      <c r="N175" s="146" t="s">
        <v>1800</v>
      </c>
      <c r="O175" s="146" t="s">
        <v>2158</v>
      </c>
      <c r="P175" s="146" t="s">
        <v>2159</v>
      </c>
      <c r="Q175" s="146" t="s">
        <v>2160</v>
      </c>
    </row>
    <row r="176" spans="1:17" s="9" customFormat="1" x14ac:dyDescent="0.25">
      <c r="A176" s="145" t="s">
        <v>2155</v>
      </c>
      <c r="B176" s="145" t="str">
        <f>CHOOSE(Translations!$C$1+1,O176,P176,Q176)</f>
        <v>YP-2 Pourcentage d’adolescentes et de jeunes femmes bénéficiant de programmes préventifs de lutte contre le VIH (paquet de services définis)</v>
      </c>
      <c r="C176" s="145">
        <f t="shared" si="6"/>
        <v>2</v>
      </c>
      <c r="D176" s="145" t="str">
        <f t="shared" si="7"/>
        <v>YP-2 Pourcentage d’adolescentes et de jeunes femmes bénéficiant de programmes préventifs de lutte contre le VIH (paquet de services définis)-2</v>
      </c>
      <c r="E176" s="145" t="str">
        <f>CHOOSE(Translations!$C$1+1,I176,J176,K176)</f>
        <v>Age</v>
      </c>
      <c r="F176" s="145" t="str">
        <f>CHOOSE(Translations!$C$1+1,L176,M176,N176)</f>
        <v>20-24</v>
      </c>
      <c r="G176" s="145" t="s">
        <v>2163</v>
      </c>
      <c r="H176" s="146" t="s">
        <v>2164</v>
      </c>
      <c r="I176" s="146" t="s">
        <v>1563</v>
      </c>
      <c r="J176" s="146" t="s">
        <v>1563</v>
      </c>
      <c r="K176" s="146" t="s">
        <v>1564</v>
      </c>
      <c r="L176" s="146" t="s">
        <v>1797</v>
      </c>
      <c r="M176" s="146" t="s">
        <v>1797</v>
      </c>
      <c r="N176" s="146" t="s">
        <v>1797</v>
      </c>
      <c r="O176" s="146" t="s">
        <v>2158</v>
      </c>
      <c r="P176" s="146" t="s">
        <v>2159</v>
      </c>
      <c r="Q176" s="146" t="s">
        <v>2160</v>
      </c>
    </row>
    <row r="177" spans="1:17" s="9" customFormat="1" x14ac:dyDescent="0.25">
      <c r="A177" s="145" t="s">
        <v>2165</v>
      </c>
      <c r="B177" s="145" t="str">
        <f>CHOOSE(Translations!$C$1+1,O177,P177,Q177)</f>
        <v>PMTCT-1 Pourcentage de femmes enceintes qui connaissent leur statut sérologique pour le VIH</v>
      </c>
      <c r="C177" s="145">
        <f t="shared" si="6"/>
        <v>0</v>
      </c>
      <c r="D177" s="145" t="str">
        <f t="shared" si="7"/>
        <v>PMTCT-1 Pourcentage de femmes enceintes qui connaissent leur statut sérologique pour le VIH-0</v>
      </c>
      <c r="E177" s="145" t="str">
        <f>CHOOSE(Translations!$C$1+1,I177,J177,K177)</f>
        <v>Résultat du test VIH</v>
      </c>
      <c r="F177" s="145" t="str">
        <f>CHOOSE(Translations!$C$1+1,L177,M177,N177)</f>
        <v>Positif</v>
      </c>
      <c r="G177" s="145" t="s">
        <v>2166</v>
      </c>
      <c r="H177" s="146" t="s">
        <v>2167</v>
      </c>
      <c r="I177" s="146" t="s">
        <v>2168</v>
      </c>
      <c r="J177" s="146" t="s">
        <v>2169</v>
      </c>
      <c r="K177" s="146" t="s">
        <v>2170</v>
      </c>
      <c r="L177" s="146" t="s">
        <v>2171</v>
      </c>
      <c r="M177" s="146" t="s">
        <v>2172</v>
      </c>
      <c r="N177" s="146" t="s">
        <v>2173</v>
      </c>
      <c r="O177" s="146" t="s">
        <v>2174</v>
      </c>
      <c r="P177" s="146" t="s">
        <v>2175</v>
      </c>
      <c r="Q177" s="146" t="s">
        <v>2176</v>
      </c>
    </row>
    <row r="178" spans="1:17" s="9" customFormat="1" x14ac:dyDescent="0.25">
      <c r="A178" s="145" t="s">
        <v>2165</v>
      </c>
      <c r="B178" s="145" t="str">
        <f>CHOOSE(Translations!$C$1+1,O178,P178,Q178)</f>
        <v>PMTCT-1 Pourcentage de femmes enceintes qui connaissent leur statut sérologique pour le VIH</v>
      </c>
      <c r="C178" s="145">
        <f t="shared" si="6"/>
        <v>1</v>
      </c>
      <c r="D178" s="145" t="str">
        <f t="shared" si="7"/>
        <v>PMTCT-1 Pourcentage de femmes enceintes qui connaissent leur statut sérologique pour le VIH-1</v>
      </c>
      <c r="E178" s="145" t="str">
        <f>CHOOSE(Translations!$C$1+1,I178,J178,K178)</f>
        <v>Résultat du test VIH</v>
      </c>
      <c r="F178" s="145" t="str">
        <f>CHOOSE(Translations!$C$1+1,L178,M178,N178)</f>
        <v>Négatif</v>
      </c>
      <c r="G178" s="145" t="s">
        <v>2177</v>
      </c>
      <c r="H178" s="146" t="s">
        <v>2178</v>
      </c>
      <c r="I178" s="146" t="s">
        <v>2168</v>
      </c>
      <c r="J178" s="146" t="s">
        <v>2169</v>
      </c>
      <c r="K178" s="146" t="s">
        <v>2170</v>
      </c>
      <c r="L178" s="146" t="s">
        <v>2179</v>
      </c>
      <c r="M178" s="146" t="s">
        <v>2180</v>
      </c>
      <c r="N178" s="146" t="s">
        <v>2181</v>
      </c>
      <c r="O178" s="146" t="s">
        <v>2174</v>
      </c>
      <c r="P178" s="146" t="s">
        <v>2175</v>
      </c>
      <c r="Q178" s="146" t="s">
        <v>2176</v>
      </c>
    </row>
    <row r="179" spans="1:17" s="9" customFormat="1" x14ac:dyDescent="0.25">
      <c r="A179" s="145" t="s">
        <v>2182</v>
      </c>
      <c r="B179" s="145" t="str">
        <f>CHOOSE(Translations!$C$1+1,O179,P179,Q179)</f>
        <v>PMTCT-3.1 Pourcentage de nourrissons exposés au VIH ayant bénéficié d’un dépistage du VIH dans les 2 mois qui ont suivi leur naissance</v>
      </c>
      <c r="C179" s="145">
        <f t="shared" si="6"/>
        <v>0</v>
      </c>
      <c r="D179" s="145" t="str">
        <f t="shared" si="7"/>
        <v>PMTCT-3.1 Pourcentage de nourrissons exposés au VIH ayant bénéficié d’un dépistage du VIH dans les 2 mois qui ont suivi leur naissance-0</v>
      </c>
      <c r="E179" s="145" t="str">
        <f>CHOOSE(Translations!$C$1+1,I179,J179,K179)</f>
        <v>Résultat du test VIH</v>
      </c>
      <c r="F179" s="145" t="str">
        <f>CHOOSE(Translations!$C$1+1,L179,M179,N179)</f>
        <v>Positif</v>
      </c>
      <c r="G179" s="145" t="s">
        <v>2183</v>
      </c>
      <c r="H179" s="146" t="s">
        <v>2184</v>
      </c>
      <c r="I179" s="146" t="s">
        <v>2168</v>
      </c>
      <c r="J179" s="146" t="s">
        <v>2169</v>
      </c>
      <c r="K179" s="146" t="s">
        <v>2170</v>
      </c>
      <c r="L179" s="146" t="s">
        <v>2171</v>
      </c>
      <c r="M179" s="146" t="s">
        <v>2172</v>
      </c>
      <c r="N179" s="146" t="s">
        <v>2173</v>
      </c>
      <c r="O179" s="146" t="s">
        <v>2185</v>
      </c>
      <c r="P179" s="146" t="s">
        <v>2186</v>
      </c>
      <c r="Q179" s="146" t="s">
        <v>2187</v>
      </c>
    </row>
    <row r="180" spans="1:17" s="9" customFormat="1" x14ac:dyDescent="0.25">
      <c r="A180" s="145" t="s">
        <v>2182</v>
      </c>
      <c r="B180" s="145" t="str">
        <f>CHOOSE(Translations!$C$1+1,O180,P180,Q180)</f>
        <v>PMTCT-3.1 Pourcentage de nourrissons exposés au VIH ayant bénéficié d’un dépistage du VIH dans les 2 mois qui ont suivi leur naissance</v>
      </c>
      <c r="C180" s="145">
        <f t="shared" si="6"/>
        <v>1</v>
      </c>
      <c r="D180" s="145" t="str">
        <f t="shared" si="7"/>
        <v>PMTCT-3.1 Pourcentage de nourrissons exposés au VIH ayant bénéficié d’un dépistage du VIH dans les 2 mois qui ont suivi leur naissance-1</v>
      </c>
      <c r="E180" s="145" t="str">
        <f>CHOOSE(Translations!$C$1+1,I180,J180,K180)</f>
        <v>Résultat du test VIH</v>
      </c>
      <c r="F180" s="145" t="str">
        <f>CHOOSE(Translations!$C$1+1,L180,M180,N180)</f>
        <v>Négatif</v>
      </c>
      <c r="G180" s="145" t="s">
        <v>2188</v>
      </c>
      <c r="H180" s="146" t="s">
        <v>2189</v>
      </c>
      <c r="I180" s="146" t="s">
        <v>2168</v>
      </c>
      <c r="J180" s="146" t="s">
        <v>2169</v>
      </c>
      <c r="K180" s="146" t="s">
        <v>2170</v>
      </c>
      <c r="L180" s="146" t="s">
        <v>2179</v>
      </c>
      <c r="M180" s="146" t="s">
        <v>2180</v>
      </c>
      <c r="N180" s="146" t="s">
        <v>2181</v>
      </c>
      <c r="O180" s="146" t="s">
        <v>2185</v>
      </c>
      <c r="P180" s="146" t="s">
        <v>2186</v>
      </c>
      <c r="Q180" s="146" t="s">
        <v>2187</v>
      </c>
    </row>
    <row r="181" spans="1:17" s="9" customFormat="1" x14ac:dyDescent="0.25">
      <c r="A181" s="145" t="s">
        <v>2182</v>
      </c>
      <c r="B181" s="145" t="str">
        <f>CHOOSE(Translations!$C$1+1,O181,P181,Q181)</f>
        <v>PMTCT-3.1 Pourcentage de nourrissons exposés au VIH ayant bénéficié d’un dépistage du VIH dans les 2 mois qui ont suivi leur naissance</v>
      </c>
      <c r="C181" s="145">
        <f t="shared" si="6"/>
        <v>2</v>
      </c>
      <c r="D181" s="145" t="str">
        <f t="shared" si="7"/>
        <v>PMTCT-3.1 Pourcentage de nourrissons exposés au VIH ayant bénéficié d’un dépistage du VIH dans les 2 mois qui ont suivi leur naissance-2</v>
      </c>
      <c r="E181" s="145" t="str">
        <f>CHOOSE(Translations!$C$1+1,I181,J181,K181)</f>
        <v>Résultat du test VIH</v>
      </c>
      <c r="F181" s="145" t="str">
        <f>CHOOSE(Translations!$C$1+1,L181,M181,N181)</f>
        <v>Indéterminé</v>
      </c>
      <c r="G181" s="145" t="s">
        <v>2190</v>
      </c>
      <c r="H181" s="146" t="s">
        <v>2191</v>
      </c>
      <c r="I181" s="146" t="s">
        <v>2168</v>
      </c>
      <c r="J181" s="146" t="s">
        <v>2169</v>
      </c>
      <c r="K181" s="146" t="s">
        <v>2170</v>
      </c>
      <c r="L181" s="146" t="s">
        <v>2192</v>
      </c>
      <c r="M181" s="146" t="s">
        <v>2193</v>
      </c>
      <c r="N181" s="146" t="s">
        <v>2194</v>
      </c>
      <c r="O181" s="146" t="s">
        <v>2185</v>
      </c>
      <c r="P181" s="146" t="s">
        <v>2186</v>
      </c>
      <c r="Q181" s="146" t="s">
        <v>2187</v>
      </c>
    </row>
    <row r="182" spans="1:17" s="9" customFormat="1" x14ac:dyDescent="0.25">
      <c r="A182" s="145" t="s">
        <v>2195</v>
      </c>
      <c r="B182" s="145" t="str">
        <f>CHOOSE(Translations!$C$1+1,O182,P182,Q182)</f>
        <v>HTS-2 Pourcentage d’adolescentes et de jeunes femmes chez lesquelles un dépistage du VIH a été réalisé durant la période de rapportage et qui connaissent leur résultat</v>
      </c>
      <c r="C182" s="145">
        <f t="shared" si="6"/>
        <v>0</v>
      </c>
      <c r="D182" s="145" t="str">
        <f t="shared" si="7"/>
        <v>HTS-2 Pourcentage d’adolescentes et de jeunes femmes chez lesquelles un dépistage du VIH a été réalisé durant la période de rapportage et qui connaissent leur résultat-0</v>
      </c>
      <c r="E182" s="145" t="str">
        <f>CHOOSE(Translations!$C$1+1,I182,J182,K182)</f>
        <v>Age</v>
      </c>
      <c r="F182" s="145" t="str">
        <f>CHOOSE(Translations!$C$1+1,L182,M182,N182)</f>
        <v>15-19</v>
      </c>
      <c r="G182" s="145" t="s">
        <v>2196</v>
      </c>
      <c r="H182" s="146" t="s">
        <v>2197</v>
      </c>
      <c r="I182" s="146" t="s">
        <v>1563</v>
      </c>
      <c r="J182" s="146" t="s">
        <v>1563</v>
      </c>
      <c r="K182" s="146" t="s">
        <v>1564</v>
      </c>
      <c r="L182" s="146" t="s">
        <v>1800</v>
      </c>
      <c r="M182" s="146" t="s">
        <v>1800</v>
      </c>
      <c r="N182" s="146" t="s">
        <v>1800</v>
      </c>
      <c r="O182" s="146" t="s">
        <v>2198</v>
      </c>
      <c r="P182" s="146" t="s">
        <v>2199</v>
      </c>
      <c r="Q182" s="146" t="s">
        <v>2200</v>
      </c>
    </row>
    <row r="183" spans="1:17" s="9" customFormat="1" x14ac:dyDescent="0.25">
      <c r="A183" s="145" t="s">
        <v>2195</v>
      </c>
      <c r="B183" s="145" t="str">
        <f>CHOOSE(Translations!$C$1+1,O183,P183,Q183)</f>
        <v>HTS-2 Pourcentage d’adolescentes et de jeunes femmes chez lesquelles un dépistage du VIH a été réalisé durant la période de rapportage et qui connaissent leur résultat</v>
      </c>
      <c r="C183" s="145">
        <f t="shared" si="6"/>
        <v>1</v>
      </c>
      <c r="D183" s="145" t="str">
        <f t="shared" si="7"/>
        <v>HTS-2 Pourcentage d’adolescentes et de jeunes femmes chez lesquelles un dépistage du VIH a été réalisé durant la période de rapportage et qui connaissent leur résultat-1</v>
      </c>
      <c r="E183" s="145" t="str">
        <f>CHOOSE(Translations!$C$1+1,I183,J183,K183)</f>
        <v>Age</v>
      </c>
      <c r="F183" s="145" t="str">
        <f>CHOOSE(Translations!$C$1+1,L183,M183,N183)</f>
        <v>15-24</v>
      </c>
      <c r="G183" s="145" t="s">
        <v>2201</v>
      </c>
      <c r="H183" s="146" t="s">
        <v>2202</v>
      </c>
      <c r="I183" s="146" t="s">
        <v>1563</v>
      </c>
      <c r="J183" s="146" t="s">
        <v>1563</v>
      </c>
      <c r="K183" s="146" t="s">
        <v>1564</v>
      </c>
      <c r="L183" s="146" t="s">
        <v>2203</v>
      </c>
      <c r="M183" s="146" t="s">
        <v>2203</v>
      </c>
      <c r="N183" s="146" t="s">
        <v>2203</v>
      </c>
      <c r="O183" s="146" t="s">
        <v>2198</v>
      </c>
      <c r="P183" s="146" t="s">
        <v>2199</v>
      </c>
      <c r="Q183" s="146" t="s">
        <v>2200</v>
      </c>
    </row>
    <row r="184" spans="1:17" s="9" customFormat="1" x14ac:dyDescent="0.25">
      <c r="A184" s="145" t="s">
        <v>2195</v>
      </c>
      <c r="B184" s="145" t="str">
        <f>CHOOSE(Translations!$C$1+1,O184,P184,Q184)</f>
        <v>HTS-2 Pourcentage d’adolescentes et de jeunes femmes chez lesquelles un dépistage du VIH a été réalisé durant la période de rapportage et qui connaissent leur résultat</v>
      </c>
      <c r="C184" s="145">
        <f t="shared" si="6"/>
        <v>2</v>
      </c>
      <c r="D184" s="145" t="str">
        <f t="shared" si="7"/>
        <v>HTS-2 Pourcentage d’adolescentes et de jeunes femmes chez lesquelles un dépistage du VIH a été réalisé durant la période de rapportage et qui connaissent leur résultat-2</v>
      </c>
      <c r="E184" s="145" t="str">
        <f>CHOOSE(Translations!$C$1+1,I184,J184,K184)</f>
        <v>Age</v>
      </c>
      <c r="F184" s="145" t="str">
        <f>CHOOSE(Translations!$C$1+1,L184,M184,N184)</f>
        <v>20-24</v>
      </c>
      <c r="G184" s="145" t="s">
        <v>2204</v>
      </c>
      <c r="H184" s="146" t="s">
        <v>2205</v>
      </c>
      <c r="I184" s="146" t="s">
        <v>1563</v>
      </c>
      <c r="J184" s="146" t="s">
        <v>1563</v>
      </c>
      <c r="K184" s="146" t="s">
        <v>1564</v>
      </c>
      <c r="L184" s="146" t="s">
        <v>1797</v>
      </c>
      <c r="M184" s="146" t="s">
        <v>1797</v>
      </c>
      <c r="N184" s="146" t="s">
        <v>1797</v>
      </c>
      <c r="O184" s="146" t="s">
        <v>2198</v>
      </c>
      <c r="P184" s="146" t="s">
        <v>2199</v>
      </c>
      <c r="Q184" s="146" t="s">
        <v>2200</v>
      </c>
    </row>
    <row r="185" spans="1:17" s="9" customFormat="1" x14ac:dyDescent="0.25">
      <c r="A185" s="145" t="s">
        <v>2195</v>
      </c>
      <c r="B185" s="145" t="str">
        <f>CHOOSE(Translations!$C$1+1,O185,P185,Q185)</f>
        <v>HTS-2 Pourcentage d’adolescentes et de jeunes femmes chez lesquelles un dépistage du VIH a été réalisé durant la période de rapportage et qui connaissent leur résultat</v>
      </c>
      <c r="C185" s="145">
        <f t="shared" si="6"/>
        <v>3</v>
      </c>
      <c r="D185" s="145" t="str">
        <f t="shared" si="7"/>
        <v>HTS-2 Pourcentage d’adolescentes et de jeunes femmes chez lesquelles un dépistage du VIH a été réalisé durant la période de rapportage et qui connaissent leur résultat-3</v>
      </c>
      <c r="E185" s="145" t="str">
        <f>CHOOSE(Translations!$C$1+1,I185,J185,K185)</f>
        <v>Résultat du test VIH</v>
      </c>
      <c r="F185" s="145" t="str">
        <f>CHOOSE(Translations!$C$1+1,L185,M185,N185)</f>
        <v>Positif</v>
      </c>
      <c r="G185" s="145" t="s">
        <v>2206</v>
      </c>
      <c r="H185" s="146" t="s">
        <v>2207</v>
      </c>
      <c r="I185" s="146" t="s">
        <v>2168</v>
      </c>
      <c r="J185" s="146" t="s">
        <v>2169</v>
      </c>
      <c r="K185" s="146" t="s">
        <v>2170</v>
      </c>
      <c r="L185" s="146" t="s">
        <v>2171</v>
      </c>
      <c r="M185" s="146" t="s">
        <v>2172</v>
      </c>
      <c r="N185" s="146" t="s">
        <v>2173</v>
      </c>
      <c r="O185" s="146" t="s">
        <v>2198</v>
      </c>
      <c r="P185" s="146" t="s">
        <v>2199</v>
      </c>
      <c r="Q185" s="146" t="s">
        <v>2200</v>
      </c>
    </row>
    <row r="186" spans="1:17" s="9" customFormat="1" x14ac:dyDescent="0.25">
      <c r="A186" s="145" t="s">
        <v>2195</v>
      </c>
      <c r="B186" s="145" t="str">
        <f>CHOOSE(Translations!$C$1+1,O186,P186,Q186)</f>
        <v>HTS-2 Pourcentage d’adolescentes et de jeunes femmes chez lesquelles un dépistage du VIH a été réalisé durant la période de rapportage et qui connaissent leur résultat</v>
      </c>
      <c r="C186" s="145">
        <f t="shared" si="6"/>
        <v>4</v>
      </c>
      <c r="D186" s="145" t="str">
        <f t="shared" si="7"/>
        <v>HTS-2 Pourcentage d’adolescentes et de jeunes femmes chez lesquelles un dépistage du VIH a été réalisé durant la période de rapportage et qui connaissent leur résultat-4</v>
      </c>
      <c r="E186" s="145" t="str">
        <f>CHOOSE(Translations!$C$1+1,I186,J186,K186)</f>
        <v>Résultat du test VIH</v>
      </c>
      <c r="F186" s="145" t="str">
        <f>CHOOSE(Translations!$C$1+1,L186,M186,N186)</f>
        <v>Négatif</v>
      </c>
      <c r="G186" s="145" t="s">
        <v>2208</v>
      </c>
      <c r="H186" s="146" t="s">
        <v>2209</v>
      </c>
      <c r="I186" s="146" t="s">
        <v>2168</v>
      </c>
      <c r="J186" s="146" t="s">
        <v>2169</v>
      </c>
      <c r="K186" s="146" t="s">
        <v>2170</v>
      </c>
      <c r="L186" s="146" t="s">
        <v>2179</v>
      </c>
      <c r="M186" s="146" t="s">
        <v>2180</v>
      </c>
      <c r="N186" s="146" t="s">
        <v>2181</v>
      </c>
      <c r="O186" s="146" t="s">
        <v>2198</v>
      </c>
      <c r="P186" s="146" t="s">
        <v>2199</v>
      </c>
      <c r="Q186" s="146" t="s">
        <v>2200</v>
      </c>
    </row>
    <row r="187" spans="1:17" s="9" customFormat="1" x14ac:dyDescent="0.25">
      <c r="A187" s="145" t="s">
        <v>2210</v>
      </c>
      <c r="B187" s="145" t="str">
        <f>CHOOSE(Translations!$C$1+1,O187,P187,Q187)</f>
        <v>HTS-3a⁽ᴹ⁾ Pourcentage de HSH chez lesquels un dépistage du VIH a été réalisé durant la période de rapportage et qui connaissent leur résultat</v>
      </c>
      <c r="C187" s="145">
        <f t="shared" si="6"/>
        <v>0</v>
      </c>
      <c r="D187" s="145" t="str">
        <f t="shared" si="7"/>
        <v>HTS-3a⁽ᴹ⁾ Pourcentage de HSH chez lesquels un dépistage du VIH a été réalisé durant la période de rapportage et qui connaissent leur résultat-0</v>
      </c>
      <c r="E187" s="145" t="str">
        <f>CHOOSE(Translations!$C$1+1,I187,J187,K187)</f>
        <v>Age</v>
      </c>
      <c r="F187" s="145" t="str">
        <f>CHOOSE(Translations!$C$1+1,L187,M187,N187)</f>
        <v>&lt;25</v>
      </c>
      <c r="G187" s="145" t="s">
        <v>2211</v>
      </c>
      <c r="H187" s="146" t="s">
        <v>2212</v>
      </c>
      <c r="I187" s="146" t="s">
        <v>1563</v>
      </c>
      <c r="J187" s="146" t="s">
        <v>1563</v>
      </c>
      <c r="K187" s="146" t="s">
        <v>1564</v>
      </c>
      <c r="L187" s="146" t="s">
        <v>1622</v>
      </c>
      <c r="M187" s="146" t="s">
        <v>1622</v>
      </c>
      <c r="N187" s="146" t="s">
        <v>1622</v>
      </c>
      <c r="O187" s="146" t="s">
        <v>2213</v>
      </c>
      <c r="P187" s="146" t="s">
        <v>2214</v>
      </c>
      <c r="Q187" s="146" t="s">
        <v>2215</v>
      </c>
    </row>
    <row r="188" spans="1:17" s="9" customFormat="1" x14ac:dyDescent="0.25">
      <c r="A188" s="145" t="s">
        <v>2210</v>
      </c>
      <c r="B188" s="145" t="str">
        <f>CHOOSE(Translations!$C$1+1,O188,P188,Q188)</f>
        <v>HTS-3a⁽ᴹ⁾ Pourcentage de HSH chez lesquels un dépistage du VIH a été réalisé durant la période de rapportage et qui connaissent leur résultat</v>
      </c>
      <c r="C188" s="145">
        <f t="shared" si="6"/>
        <v>1</v>
      </c>
      <c r="D188" s="145" t="str">
        <f t="shared" si="7"/>
        <v>HTS-3a⁽ᴹ⁾ Pourcentage de HSH chez lesquels un dépistage du VIH a été réalisé durant la période de rapportage et qui connaissent leur résultat-1</v>
      </c>
      <c r="E188" s="145" t="str">
        <f>CHOOSE(Translations!$C$1+1,I188,J188,K188)</f>
        <v>Age</v>
      </c>
      <c r="F188" s="145" t="str">
        <f>CHOOSE(Translations!$C$1+1,L188,M188,N188)</f>
        <v>25+</v>
      </c>
      <c r="G188" s="145" t="s">
        <v>2216</v>
      </c>
      <c r="H188" s="146" t="s">
        <v>2217</v>
      </c>
      <c r="I188" s="146" t="s">
        <v>1563</v>
      </c>
      <c r="J188" s="146" t="s">
        <v>1563</v>
      </c>
      <c r="K188" s="146" t="s">
        <v>1564</v>
      </c>
      <c r="L188" s="146" t="s">
        <v>1616</v>
      </c>
      <c r="M188" s="146" t="s">
        <v>1616</v>
      </c>
      <c r="N188" s="146" t="s">
        <v>1616</v>
      </c>
      <c r="O188" s="146" t="s">
        <v>2213</v>
      </c>
      <c r="P188" s="146" t="s">
        <v>2214</v>
      </c>
      <c r="Q188" s="146" t="s">
        <v>2215</v>
      </c>
    </row>
    <row r="189" spans="1:17" s="9" customFormat="1" x14ac:dyDescent="0.25">
      <c r="A189" s="145" t="s">
        <v>2210</v>
      </c>
      <c r="B189" s="145" t="str">
        <f>CHOOSE(Translations!$C$1+1,O189,P189,Q189)</f>
        <v>HTS-3a⁽ᴹ⁾ Pourcentage de HSH chez lesquels un dépistage du VIH a été réalisé durant la période de rapportage et qui connaissent leur résultat</v>
      </c>
      <c r="C189" s="145">
        <f t="shared" si="6"/>
        <v>2</v>
      </c>
      <c r="D189" s="145" t="str">
        <f t="shared" si="7"/>
        <v>HTS-3a⁽ᴹ⁾ Pourcentage de HSH chez lesquels un dépistage du VIH a été réalisé durant la période de rapportage et qui connaissent leur résultat-2</v>
      </c>
      <c r="E189" s="145" t="str">
        <f>CHOOSE(Translations!$C$1+1,I189,J189,K189)</f>
        <v>Résultat du test VIH</v>
      </c>
      <c r="F189" s="145" t="str">
        <f>CHOOSE(Translations!$C$1+1,L189,M189,N189)</f>
        <v>Positif</v>
      </c>
      <c r="G189" s="145" t="s">
        <v>2218</v>
      </c>
      <c r="H189" s="146" t="s">
        <v>2219</v>
      </c>
      <c r="I189" s="146" t="s">
        <v>2168</v>
      </c>
      <c r="J189" s="146" t="s">
        <v>2169</v>
      </c>
      <c r="K189" s="146" t="s">
        <v>2170</v>
      </c>
      <c r="L189" s="146" t="s">
        <v>2171</v>
      </c>
      <c r="M189" s="146" t="s">
        <v>2172</v>
      </c>
      <c r="N189" s="146" t="s">
        <v>2173</v>
      </c>
      <c r="O189" s="146" t="s">
        <v>2213</v>
      </c>
      <c r="P189" s="146" t="s">
        <v>2214</v>
      </c>
      <c r="Q189" s="146" t="s">
        <v>2215</v>
      </c>
    </row>
    <row r="190" spans="1:17" s="9" customFormat="1" x14ac:dyDescent="0.25">
      <c r="A190" s="145" t="s">
        <v>2210</v>
      </c>
      <c r="B190" s="145" t="str">
        <f>CHOOSE(Translations!$C$1+1,O190,P190,Q190)</f>
        <v>HTS-3a⁽ᴹ⁾ Pourcentage de HSH chez lesquels un dépistage du VIH a été réalisé durant la période de rapportage et qui connaissent leur résultat</v>
      </c>
      <c r="C190" s="145">
        <f t="shared" si="6"/>
        <v>3</v>
      </c>
      <c r="D190" s="145" t="str">
        <f t="shared" si="7"/>
        <v>HTS-3a⁽ᴹ⁾ Pourcentage de HSH chez lesquels un dépistage du VIH a été réalisé durant la période de rapportage et qui connaissent leur résultat-3</v>
      </c>
      <c r="E190" s="145" t="str">
        <f>CHOOSE(Translations!$C$1+1,I190,J190,K190)</f>
        <v>Résultat du test VIH</v>
      </c>
      <c r="F190" s="145" t="str">
        <f>CHOOSE(Translations!$C$1+1,L190,M190,N190)</f>
        <v>Négatif</v>
      </c>
      <c r="G190" s="145" t="s">
        <v>2220</v>
      </c>
      <c r="H190" s="146" t="s">
        <v>2221</v>
      </c>
      <c r="I190" s="146" t="s">
        <v>2168</v>
      </c>
      <c r="J190" s="146" t="s">
        <v>2169</v>
      </c>
      <c r="K190" s="146" t="s">
        <v>2170</v>
      </c>
      <c r="L190" s="146" t="s">
        <v>2179</v>
      </c>
      <c r="M190" s="146" t="s">
        <v>2180</v>
      </c>
      <c r="N190" s="146" t="s">
        <v>2181</v>
      </c>
      <c r="O190" s="146" t="s">
        <v>2213</v>
      </c>
      <c r="P190" s="146" t="s">
        <v>2214</v>
      </c>
      <c r="Q190" s="146" t="s">
        <v>2215</v>
      </c>
    </row>
    <row r="191" spans="1:17" s="9" customFormat="1" x14ac:dyDescent="0.25">
      <c r="A191" s="145" t="s">
        <v>2222</v>
      </c>
      <c r="B191" s="145" t="str">
        <f>CHOOSE(Translations!$C$1+1,O191,P191,Q191)</f>
        <v>HTS-3b⁽ᴹ⁾ Pourcentage de personnes transgenres chez lesquels un dépistage du VIH a été réalisé durant la période de rapportage et qui connaissent leur résultat</v>
      </c>
      <c r="C191" s="145">
        <f t="shared" si="6"/>
        <v>0</v>
      </c>
      <c r="D191" s="145" t="str">
        <f t="shared" si="7"/>
        <v>HTS-3b⁽ᴹ⁾ Pourcentage de personnes transgenres chez lesquels un dépistage du VIH a été réalisé durant la période de rapportage et qui connaissent leur résultat-0</v>
      </c>
      <c r="E191" s="145" t="str">
        <f>CHOOSE(Translations!$C$1+1,I191,J191,K191)</f>
        <v>Age</v>
      </c>
      <c r="F191" s="145" t="str">
        <f>CHOOSE(Translations!$C$1+1,L191,M191,N191)</f>
        <v>&lt;25</v>
      </c>
      <c r="G191" s="145" t="s">
        <v>2223</v>
      </c>
      <c r="H191" s="146" t="s">
        <v>2224</v>
      </c>
      <c r="I191" s="146" t="s">
        <v>1563</v>
      </c>
      <c r="J191" s="146" t="s">
        <v>1563</v>
      </c>
      <c r="K191" s="146" t="s">
        <v>1564</v>
      </c>
      <c r="L191" s="146" t="s">
        <v>1622</v>
      </c>
      <c r="M191" s="146" t="s">
        <v>1622</v>
      </c>
      <c r="N191" s="146" t="s">
        <v>1622</v>
      </c>
      <c r="O191" s="146" t="s">
        <v>2225</v>
      </c>
      <c r="P191" s="146" t="s">
        <v>2226</v>
      </c>
      <c r="Q191" s="146" t="s">
        <v>2227</v>
      </c>
    </row>
    <row r="192" spans="1:17" s="9" customFormat="1" x14ac:dyDescent="0.25">
      <c r="A192" s="145" t="s">
        <v>2222</v>
      </c>
      <c r="B192" s="145" t="str">
        <f>CHOOSE(Translations!$C$1+1,O192,P192,Q192)</f>
        <v>HTS-3b⁽ᴹ⁾ Pourcentage de personnes transgenres chez lesquels un dépistage du VIH a été réalisé durant la période de rapportage et qui connaissent leur résultat</v>
      </c>
      <c r="C192" s="145">
        <f t="shared" si="6"/>
        <v>1</v>
      </c>
      <c r="D192" s="145" t="str">
        <f t="shared" si="7"/>
        <v>HTS-3b⁽ᴹ⁾ Pourcentage de personnes transgenres chez lesquels un dépistage du VIH a été réalisé durant la période de rapportage et qui connaissent leur résultat-1</v>
      </c>
      <c r="E192" s="145" t="str">
        <f>CHOOSE(Translations!$C$1+1,I192,J192,K192)</f>
        <v>Age</v>
      </c>
      <c r="F192" s="145" t="str">
        <f>CHOOSE(Translations!$C$1+1,L192,M192,N192)</f>
        <v>25+</v>
      </c>
      <c r="G192" s="145" t="s">
        <v>2228</v>
      </c>
      <c r="H192" s="146" t="s">
        <v>2229</v>
      </c>
      <c r="I192" s="146" t="s">
        <v>1563</v>
      </c>
      <c r="J192" s="146" t="s">
        <v>1563</v>
      </c>
      <c r="K192" s="146" t="s">
        <v>1564</v>
      </c>
      <c r="L192" s="146" t="s">
        <v>1616</v>
      </c>
      <c r="M192" s="146" t="s">
        <v>1616</v>
      </c>
      <c r="N192" s="146" t="s">
        <v>1616</v>
      </c>
      <c r="O192" s="146" t="s">
        <v>2225</v>
      </c>
      <c r="P192" s="146" t="s">
        <v>2226</v>
      </c>
      <c r="Q192" s="146" t="s">
        <v>2227</v>
      </c>
    </row>
    <row r="193" spans="1:17" s="9" customFormat="1" x14ac:dyDescent="0.25">
      <c r="A193" s="145" t="s">
        <v>2222</v>
      </c>
      <c r="B193" s="145" t="str">
        <f>CHOOSE(Translations!$C$1+1,O193,P193,Q193)</f>
        <v>HTS-3b⁽ᴹ⁾ Pourcentage de personnes transgenres chez lesquels un dépistage du VIH a été réalisé durant la période de rapportage et qui connaissent leur résultat</v>
      </c>
      <c r="C193" s="145">
        <f t="shared" si="6"/>
        <v>2</v>
      </c>
      <c r="D193" s="145" t="str">
        <f t="shared" si="7"/>
        <v>HTS-3b⁽ᴹ⁾ Pourcentage de personnes transgenres chez lesquels un dépistage du VIH a été réalisé durant la période de rapportage et qui connaissent leur résultat-2</v>
      </c>
      <c r="E193" s="145" t="str">
        <f>CHOOSE(Translations!$C$1+1,I193,J193,K193)</f>
        <v>Résultat du test VIH</v>
      </c>
      <c r="F193" s="145" t="str">
        <f>CHOOSE(Translations!$C$1+1,L193,M193,N193)</f>
        <v>Positif</v>
      </c>
      <c r="G193" s="145" t="s">
        <v>2230</v>
      </c>
      <c r="H193" s="146" t="s">
        <v>2231</v>
      </c>
      <c r="I193" s="146" t="s">
        <v>2168</v>
      </c>
      <c r="J193" s="146" t="s">
        <v>2169</v>
      </c>
      <c r="K193" s="146" t="s">
        <v>2170</v>
      </c>
      <c r="L193" s="146" t="s">
        <v>2171</v>
      </c>
      <c r="M193" s="146" t="s">
        <v>2172</v>
      </c>
      <c r="N193" s="146" t="s">
        <v>2173</v>
      </c>
      <c r="O193" s="146" t="s">
        <v>2225</v>
      </c>
      <c r="P193" s="146" t="s">
        <v>2226</v>
      </c>
      <c r="Q193" s="146" t="s">
        <v>2227</v>
      </c>
    </row>
    <row r="194" spans="1:17" s="9" customFormat="1" x14ac:dyDescent="0.25">
      <c r="A194" s="145" t="s">
        <v>2222</v>
      </c>
      <c r="B194" s="145" t="str">
        <f>CHOOSE(Translations!$C$1+1,O194,P194,Q194)</f>
        <v>HTS-3b⁽ᴹ⁾ Pourcentage de personnes transgenres chez lesquels un dépistage du VIH a été réalisé durant la période de rapportage et qui connaissent leur résultat</v>
      </c>
      <c r="C194" s="145">
        <f t="shared" si="6"/>
        <v>3</v>
      </c>
      <c r="D194" s="145" t="str">
        <f t="shared" si="7"/>
        <v>HTS-3b⁽ᴹ⁾ Pourcentage de personnes transgenres chez lesquels un dépistage du VIH a été réalisé durant la période de rapportage et qui connaissent leur résultat-3</v>
      </c>
      <c r="E194" s="145" t="str">
        <f>CHOOSE(Translations!$C$1+1,I194,J194,K194)</f>
        <v>Résultat du test VIH</v>
      </c>
      <c r="F194" s="145" t="str">
        <f>CHOOSE(Translations!$C$1+1,L194,M194,N194)</f>
        <v>Négatif</v>
      </c>
      <c r="G194" s="145" t="s">
        <v>2232</v>
      </c>
      <c r="H194" s="146" t="s">
        <v>2233</v>
      </c>
      <c r="I194" s="146" t="s">
        <v>2168</v>
      </c>
      <c r="J194" s="146" t="s">
        <v>2169</v>
      </c>
      <c r="K194" s="146" t="s">
        <v>2170</v>
      </c>
      <c r="L194" s="146" t="s">
        <v>2179</v>
      </c>
      <c r="M194" s="146" t="s">
        <v>2180</v>
      </c>
      <c r="N194" s="146" t="s">
        <v>2181</v>
      </c>
      <c r="O194" s="146" t="s">
        <v>2225</v>
      </c>
      <c r="P194" s="146" t="s">
        <v>2226</v>
      </c>
      <c r="Q194" s="146" t="s">
        <v>2227</v>
      </c>
    </row>
    <row r="195" spans="1:17" s="9" customFormat="1" x14ac:dyDescent="0.25">
      <c r="A195" s="145" t="s">
        <v>2234</v>
      </c>
      <c r="B195" s="145" t="str">
        <f>CHOOSE(Translations!$C$1+1,O195,P195,Q195)</f>
        <v>HTS-3c⁽ᴹ⁾  Pourcentage de professionnels du sexe chez lesquels un dépistage du VIH a été réalisé durant la période de rapportage et qui connaissent leur résultat</v>
      </c>
      <c r="C195" s="145">
        <f t="shared" si="6"/>
        <v>0</v>
      </c>
      <c r="D195" s="145" t="str">
        <f t="shared" si="7"/>
        <v>HTS-3c⁽ᴹ⁾  Pourcentage de professionnels du sexe chez lesquels un dépistage du VIH a été réalisé durant la période de rapportage et qui connaissent leur résultat-0</v>
      </c>
      <c r="E195" s="145" t="str">
        <f>CHOOSE(Translations!$C$1+1,I195,J195,K195)</f>
        <v>Age</v>
      </c>
      <c r="F195" s="145" t="str">
        <f>CHOOSE(Translations!$C$1+1,L195,M195,N195)</f>
        <v>&lt;25</v>
      </c>
      <c r="G195" s="145" t="s">
        <v>2235</v>
      </c>
      <c r="H195" s="146" t="s">
        <v>2236</v>
      </c>
      <c r="I195" s="146" t="s">
        <v>1563</v>
      </c>
      <c r="J195" s="146" t="s">
        <v>1563</v>
      </c>
      <c r="K195" s="146" t="s">
        <v>1564</v>
      </c>
      <c r="L195" s="146" t="s">
        <v>1622</v>
      </c>
      <c r="M195" s="146" t="s">
        <v>1622</v>
      </c>
      <c r="N195" s="146" t="s">
        <v>1622</v>
      </c>
      <c r="O195" s="146" t="s">
        <v>2237</v>
      </c>
      <c r="P195" s="146" t="s">
        <v>2238</v>
      </c>
      <c r="Q195" s="146" t="s">
        <v>2239</v>
      </c>
    </row>
    <row r="196" spans="1:17" s="9" customFormat="1" x14ac:dyDescent="0.25">
      <c r="A196" s="145" t="s">
        <v>2234</v>
      </c>
      <c r="B196" s="145" t="str">
        <f>CHOOSE(Translations!$C$1+1,O196,P196,Q196)</f>
        <v>HTS-3c⁽ᴹ⁾  Pourcentage de professionnels du sexe chez lesquels un dépistage du VIH a été réalisé durant la période de rapportage et qui connaissent leur résultat</v>
      </c>
      <c r="C196" s="145">
        <f t="shared" si="6"/>
        <v>1</v>
      </c>
      <c r="D196" s="145" t="str">
        <f t="shared" si="7"/>
        <v>HTS-3c⁽ᴹ⁾  Pourcentage de professionnels du sexe chez lesquels un dépistage du VIH a été réalisé durant la période de rapportage et qui connaissent leur résultat-1</v>
      </c>
      <c r="E196" s="145" t="str">
        <f>CHOOSE(Translations!$C$1+1,I196,J196,K196)</f>
        <v>Age</v>
      </c>
      <c r="F196" s="145" t="str">
        <f>CHOOSE(Translations!$C$1+1,L196,M196,N196)</f>
        <v>25+</v>
      </c>
      <c r="G196" s="145" t="s">
        <v>2240</v>
      </c>
      <c r="H196" s="146" t="s">
        <v>2241</v>
      </c>
      <c r="I196" s="146" t="s">
        <v>1563</v>
      </c>
      <c r="J196" s="146" t="s">
        <v>1563</v>
      </c>
      <c r="K196" s="146" t="s">
        <v>1564</v>
      </c>
      <c r="L196" s="146" t="s">
        <v>1616</v>
      </c>
      <c r="M196" s="146" t="s">
        <v>1616</v>
      </c>
      <c r="N196" s="146" t="s">
        <v>1616</v>
      </c>
      <c r="O196" s="146" t="s">
        <v>2237</v>
      </c>
      <c r="P196" s="146" t="s">
        <v>2238</v>
      </c>
      <c r="Q196" s="146" t="s">
        <v>2239</v>
      </c>
    </row>
    <row r="197" spans="1:17" s="9" customFormat="1" x14ac:dyDescent="0.25">
      <c r="A197" s="145" t="s">
        <v>2234</v>
      </c>
      <c r="B197" s="145" t="str">
        <f>CHOOSE(Translations!$C$1+1,O197,P197,Q197)</f>
        <v>HTS-3c⁽ᴹ⁾  Pourcentage de professionnels du sexe chez lesquels un dépistage du VIH a été réalisé durant la période de rapportage et qui connaissent leur résultat</v>
      </c>
      <c r="C197" s="145">
        <f t="shared" si="6"/>
        <v>2</v>
      </c>
      <c r="D197" s="145" t="str">
        <f t="shared" si="7"/>
        <v>HTS-3c⁽ᴹ⁾  Pourcentage de professionnels du sexe chez lesquels un dépistage du VIH a été réalisé durant la période de rapportage et qui connaissent leur résultat-2</v>
      </c>
      <c r="E197" s="145" t="str">
        <f>CHOOSE(Translations!$C$1+1,I197,J197,K197)</f>
        <v>Sexe</v>
      </c>
      <c r="F197" s="145" t="str">
        <f>CHOOSE(Translations!$C$1+1,L197,M197,N197)</f>
        <v>Homme</v>
      </c>
      <c r="G197" s="145" t="s">
        <v>2242</v>
      </c>
      <c r="H197" s="146" t="s">
        <v>2243</v>
      </c>
      <c r="I197" s="146" t="s">
        <v>1550</v>
      </c>
      <c r="J197" s="146" t="s">
        <v>1551</v>
      </c>
      <c r="K197" s="146" t="s">
        <v>1552</v>
      </c>
      <c r="L197" s="146" t="s">
        <v>1558</v>
      </c>
      <c r="M197" s="146" t="s">
        <v>1559</v>
      </c>
      <c r="N197" s="146" t="s">
        <v>1560</v>
      </c>
      <c r="O197" s="146" t="s">
        <v>2237</v>
      </c>
      <c r="P197" s="146" t="s">
        <v>2238</v>
      </c>
      <c r="Q197" s="146" t="s">
        <v>2239</v>
      </c>
    </row>
    <row r="198" spans="1:17" s="9" customFormat="1" x14ac:dyDescent="0.25">
      <c r="A198" s="145" t="s">
        <v>2234</v>
      </c>
      <c r="B198" s="145" t="str">
        <f>CHOOSE(Translations!$C$1+1,O198,P198,Q198)</f>
        <v>HTS-3c⁽ᴹ⁾  Pourcentage de professionnels du sexe chez lesquels un dépistage du VIH a été réalisé durant la période de rapportage et qui connaissent leur résultat</v>
      </c>
      <c r="C198" s="145">
        <f t="shared" si="6"/>
        <v>3</v>
      </c>
      <c r="D198" s="145" t="str">
        <f t="shared" si="7"/>
        <v>HTS-3c⁽ᴹ⁾  Pourcentage de professionnels du sexe chez lesquels un dépistage du VIH a été réalisé durant la période de rapportage et qui connaissent leur résultat-3</v>
      </c>
      <c r="E198" s="145" t="str">
        <f>CHOOSE(Translations!$C$1+1,I198,J198,K198)</f>
        <v>Sexe</v>
      </c>
      <c r="F198" s="145" t="str">
        <f>CHOOSE(Translations!$C$1+1,L198,M198,N198)</f>
        <v>Femme</v>
      </c>
      <c r="G198" s="145" t="s">
        <v>2244</v>
      </c>
      <c r="H198" s="146" t="s">
        <v>2245</v>
      </c>
      <c r="I198" s="146" t="s">
        <v>1550</v>
      </c>
      <c r="J198" s="146" t="s">
        <v>1551</v>
      </c>
      <c r="K198" s="146" t="s">
        <v>1552</v>
      </c>
      <c r="L198" s="146" t="s">
        <v>1553</v>
      </c>
      <c r="M198" s="146" t="s">
        <v>1554</v>
      </c>
      <c r="N198" s="146" t="s">
        <v>1555</v>
      </c>
      <c r="O198" s="146" t="s">
        <v>2237</v>
      </c>
      <c r="P198" s="146" t="s">
        <v>2238</v>
      </c>
      <c r="Q198" s="146" t="s">
        <v>2239</v>
      </c>
    </row>
    <row r="199" spans="1:17" s="9" customFormat="1" x14ac:dyDescent="0.25">
      <c r="A199" s="145" t="s">
        <v>2234</v>
      </c>
      <c r="B199" s="145" t="str">
        <f>CHOOSE(Translations!$C$1+1,O199,P199,Q199)</f>
        <v>HTS-3c⁽ᴹ⁾  Pourcentage de professionnels du sexe chez lesquels un dépistage du VIH a été réalisé durant la période de rapportage et qui connaissent leur résultat</v>
      </c>
      <c r="C199" s="145">
        <f t="shared" si="6"/>
        <v>4</v>
      </c>
      <c r="D199" s="145" t="str">
        <f t="shared" si="7"/>
        <v>HTS-3c⁽ᴹ⁾  Pourcentage de professionnels du sexe chez lesquels un dépistage du VIH a été réalisé durant la période de rapportage et qui connaissent leur résultat-4</v>
      </c>
      <c r="E199" s="145" t="str">
        <f>CHOOSE(Translations!$C$1+1,I199,J199,K199)</f>
        <v>Sexe</v>
      </c>
      <c r="F199" s="145" t="str">
        <f>CHOOSE(Translations!$C$1+1,L199,M199,N199)</f>
        <v>Transgenre</v>
      </c>
      <c r="G199" s="145" t="s">
        <v>2246</v>
      </c>
      <c r="H199" s="146" t="s">
        <v>2247</v>
      </c>
      <c r="I199" s="146" t="s">
        <v>1550</v>
      </c>
      <c r="J199" s="146" t="s">
        <v>1551</v>
      </c>
      <c r="K199" s="146" t="s">
        <v>1552</v>
      </c>
      <c r="L199" s="146" t="s">
        <v>1634</v>
      </c>
      <c r="M199" s="146" t="s">
        <v>1635</v>
      </c>
      <c r="N199" s="146" t="s">
        <v>1636</v>
      </c>
      <c r="O199" s="146" t="s">
        <v>2237</v>
      </c>
      <c r="P199" s="146" t="s">
        <v>2238</v>
      </c>
      <c r="Q199" s="146" t="s">
        <v>2239</v>
      </c>
    </row>
    <row r="200" spans="1:17" s="9" customFormat="1" x14ac:dyDescent="0.25">
      <c r="A200" s="145" t="s">
        <v>2234</v>
      </c>
      <c r="B200" s="145" t="str">
        <f>CHOOSE(Translations!$C$1+1,O200,P200,Q200)</f>
        <v>HTS-3c⁽ᴹ⁾  Pourcentage de professionnels du sexe chez lesquels un dépistage du VIH a été réalisé durant la période de rapportage et qui connaissent leur résultat</v>
      </c>
      <c r="C200" s="145">
        <f t="shared" si="6"/>
        <v>5</v>
      </c>
      <c r="D200" s="145" t="str">
        <f t="shared" si="7"/>
        <v>HTS-3c⁽ᴹ⁾  Pourcentage de professionnels du sexe chez lesquels un dépistage du VIH a été réalisé durant la période de rapportage et qui connaissent leur résultat-5</v>
      </c>
      <c r="E200" s="145" t="str">
        <f>CHOOSE(Translations!$C$1+1,I200,J200,K200)</f>
        <v>Résultat du test VIH</v>
      </c>
      <c r="F200" s="145" t="str">
        <f>CHOOSE(Translations!$C$1+1,L200,M200,N200)</f>
        <v>Positif</v>
      </c>
      <c r="G200" s="145" t="s">
        <v>2248</v>
      </c>
      <c r="H200" s="146" t="s">
        <v>2249</v>
      </c>
      <c r="I200" s="146" t="s">
        <v>2168</v>
      </c>
      <c r="J200" s="146" t="s">
        <v>2169</v>
      </c>
      <c r="K200" s="146" t="s">
        <v>2170</v>
      </c>
      <c r="L200" s="146" t="s">
        <v>2171</v>
      </c>
      <c r="M200" s="146" t="s">
        <v>2172</v>
      </c>
      <c r="N200" s="146" t="s">
        <v>2173</v>
      </c>
      <c r="O200" s="146" t="s">
        <v>2237</v>
      </c>
      <c r="P200" s="146" t="s">
        <v>2238</v>
      </c>
      <c r="Q200" s="146" t="s">
        <v>2239</v>
      </c>
    </row>
    <row r="201" spans="1:17" s="9" customFormat="1" x14ac:dyDescent="0.25">
      <c r="A201" s="145" t="s">
        <v>2234</v>
      </c>
      <c r="B201" s="145" t="str">
        <f>CHOOSE(Translations!$C$1+1,O201,P201,Q201)</f>
        <v>HTS-3c⁽ᴹ⁾  Pourcentage de professionnels du sexe chez lesquels un dépistage du VIH a été réalisé durant la période de rapportage et qui connaissent leur résultat</v>
      </c>
      <c r="C201" s="145">
        <f t="shared" si="6"/>
        <v>6</v>
      </c>
      <c r="D201" s="145" t="str">
        <f t="shared" si="7"/>
        <v>HTS-3c⁽ᴹ⁾  Pourcentage de professionnels du sexe chez lesquels un dépistage du VIH a été réalisé durant la période de rapportage et qui connaissent leur résultat-6</v>
      </c>
      <c r="E201" s="145" t="str">
        <f>CHOOSE(Translations!$C$1+1,I201,J201,K201)</f>
        <v>Résultat du test VIH</v>
      </c>
      <c r="F201" s="145" t="str">
        <f>CHOOSE(Translations!$C$1+1,L201,M201,N201)</f>
        <v>Négatif</v>
      </c>
      <c r="G201" s="145" t="s">
        <v>2250</v>
      </c>
      <c r="H201" s="146" t="s">
        <v>2251</v>
      </c>
      <c r="I201" s="146" t="s">
        <v>2168</v>
      </c>
      <c r="J201" s="146" t="s">
        <v>2169</v>
      </c>
      <c r="K201" s="146" t="s">
        <v>2170</v>
      </c>
      <c r="L201" s="146" t="s">
        <v>2179</v>
      </c>
      <c r="M201" s="146" t="s">
        <v>2180</v>
      </c>
      <c r="N201" s="146" t="s">
        <v>2181</v>
      </c>
      <c r="O201" s="146" t="s">
        <v>2237</v>
      </c>
      <c r="P201" s="146" t="s">
        <v>2238</v>
      </c>
      <c r="Q201" s="146" t="s">
        <v>2239</v>
      </c>
    </row>
    <row r="202" spans="1:17" s="9" customFormat="1" x14ac:dyDescent="0.25">
      <c r="A202" s="145" t="s">
        <v>2252</v>
      </c>
      <c r="B202" s="145" t="str">
        <f>CHOOSE(Translations!$C$1+1,O202,P202,Q202)</f>
        <v>HTS-3d⁽ᴹ⁾ Pourcentage de personnes qui s’injectent des drogues chez lesquels un dépistage du VIH a été réalisé durant la période de rapportage et qui connaissent leur résultat</v>
      </c>
      <c r="C202" s="145">
        <f t="shared" si="6"/>
        <v>0</v>
      </c>
      <c r="D202" s="145" t="str">
        <f t="shared" si="7"/>
        <v>HTS-3d⁽ᴹ⁾ Pourcentage de personnes qui s’injectent des drogues chez lesquels un dépistage du VIH a été réalisé durant la période de rapportage et qui connaissent leur résultat-0</v>
      </c>
      <c r="E202" s="145" t="str">
        <f>CHOOSE(Translations!$C$1+1,I202,J202,K202)</f>
        <v>Age</v>
      </c>
      <c r="F202" s="145" t="str">
        <f>CHOOSE(Translations!$C$1+1,L202,M202,N202)</f>
        <v>&lt;25</v>
      </c>
      <c r="G202" s="145" t="s">
        <v>2253</v>
      </c>
      <c r="H202" s="146" t="s">
        <v>2254</v>
      </c>
      <c r="I202" s="146" t="s">
        <v>1563</v>
      </c>
      <c r="J202" s="146" t="s">
        <v>1563</v>
      </c>
      <c r="K202" s="146" t="s">
        <v>1564</v>
      </c>
      <c r="L202" s="146" t="s">
        <v>1622</v>
      </c>
      <c r="M202" s="146" t="s">
        <v>1622</v>
      </c>
      <c r="N202" s="146" t="s">
        <v>1622</v>
      </c>
      <c r="O202" s="146" t="s">
        <v>2255</v>
      </c>
      <c r="P202" s="146" t="s">
        <v>2256</v>
      </c>
      <c r="Q202" s="146" t="s">
        <v>2257</v>
      </c>
    </row>
    <row r="203" spans="1:17" s="9" customFormat="1" x14ac:dyDescent="0.25">
      <c r="A203" s="145" t="s">
        <v>2252</v>
      </c>
      <c r="B203" s="145" t="str">
        <f>CHOOSE(Translations!$C$1+1,O203,P203,Q203)</f>
        <v>HTS-3d⁽ᴹ⁾ Pourcentage de personnes qui s’injectent des drogues chez lesquels un dépistage du VIH a été réalisé durant la période de rapportage et qui connaissent leur résultat</v>
      </c>
      <c r="C203" s="145">
        <f t="shared" si="6"/>
        <v>1</v>
      </c>
      <c r="D203" s="145" t="str">
        <f t="shared" si="7"/>
        <v>HTS-3d⁽ᴹ⁾ Pourcentage de personnes qui s’injectent des drogues chez lesquels un dépistage du VIH a été réalisé durant la période de rapportage et qui connaissent leur résultat-1</v>
      </c>
      <c r="E203" s="145" t="str">
        <f>CHOOSE(Translations!$C$1+1,I203,J203,K203)</f>
        <v>Age</v>
      </c>
      <c r="F203" s="145" t="str">
        <f>CHOOSE(Translations!$C$1+1,L203,M203,N203)</f>
        <v>25+</v>
      </c>
      <c r="G203" s="145" t="s">
        <v>2258</v>
      </c>
      <c r="H203" s="146" t="s">
        <v>2259</v>
      </c>
      <c r="I203" s="146" t="s">
        <v>1563</v>
      </c>
      <c r="J203" s="146" t="s">
        <v>1563</v>
      </c>
      <c r="K203" s="146" t="s">
        <v>1564</v>
      </c>
      <c r="L203" s="146" t="s">
        <v>1616</v>
      </c>
      <c r="M203" s="146" t="s">
        <v>1616</v>
      </c>
      <c r="N203" s="146" t="s">
        <v>1616</v>
      </c>
      <c r="O203" s="146" t="s">
        <v>2255</v>
      </c>
      <c r="P203" s="146" t="s">
        <v>2256</v>
      </c>
      <c r="Q203" s="146" t="s">
        <v>2257</v>
      </c>
    </row>
    <row r="204" spans="1:17" s="9" customFormat="1" x14ac:dyDescent="0.25">
      <c r="A204" s="145" t="s">
        <v>2252</v>
      </c>
      <c r="B204" s="145" t="str">
        <f>CHOOSE(Translations!$C$1+1,O204,P204,Q204)</f>
        <v>HTS-3d⁽ᴹ⁾ Pourcentage de personnes qui s’injectent des drogues chez lesquels un dépistage du VIH a été réalisé durant la période de rapportage et qui connaissent leur résultat</v>
      </c>
      <c r="C204" s="145">
        <f t="shared" si="6"/>
        <v>2</v>
      </c>
      <c r="D204" s="145" t="str">
        <f t="shared" si="7"/>
        <v>HTS-3d⁽ᴹ⁾ Pourcentage de personnes qui s’injectent des drogues chez lesquels un dépistage du VIH a été réalisé durant la période de rapportage et qui connaissent leur résultat-2</v>
      </c>
      <c r="E204" s="145" t="str">
        <f>CHOOSE(Translations!$C$1+1,I204,J204,K204)</f>
        <v>Sexe</v>
      </c>
      <c r="F204" s="145" t="str">
        <f>CHOOSE(Translations!$C$1+1,L204,M204,N204)</f>
        <v>Homme</v>
      </c>
      <c r="G204" s="145" t="s">
        <v>2260</v>
      </c>
      <c r="H204" s="146" t="s">
        <v>2261</v>
      </c>
      <c r="I204" s="146" t="s">
        <v>1550</v>
      </c>
      <c r="J204" s="146" t="s">
        <v>1551</v>
      </c>
      <c r="K204" s="146" t="s">
        <v>1552</v>
      </c>
      <c r="L204" s="146" t="s">
        <v>1558</v>
      </c>
      <c r="M204" s="146" t="s">
        <v>1559</v>
      </c>
      <c r="N204" s="146" t="s">
        <v>1560</v>
      </c>
      <c r="O204" s="146" t="s">
        <v>2255</v>
      </c>
      <c r="P204" s="146" t="s">
        <v>2256</v>
      </c>
      <c r="Q204" s="146" t="s">
        <v>2257</v>
      </c>
    </row>
    <row r="205" spans="1:17" s="9" customFormat="1" x14ac:dyDescent="0.25">
      <c r="A205" s="145" t="s">
        <v>2252</v>
      </c>
      <c r="B205" s="145" t="str">
        <f>CHOOSE(Translations!$C$1+1,O205,P205,Q205)</f>
        <v>HTS-3d⁽ᴹ⁾ Pourcentage de personnes qui s’injectent des drogues chez lesquels un dépistage du VIH a été réalisé durant la période de rapportage et qui connaissent leur résultat</v>
      </c>
      <c r="C205" s="145">
        <f t="shared" si="6"/>
        <v>3</v>
      </c>
      <c r="D205" s="145" t="str">
        <f t="shared" si="7"/>
        <v>HTS-3d⁽ᴹ⁾ Pourcentage de personnes qui s’injectent des drogues chez lesquels un dépistage du VIH a été réalisé durant la période de rapportage et qui connaissent leur résultat-3</v>
      </c>
      <c r="E205" s="145" t="str">
        <f>CHOOSE(Translations!$C$1+1,I205,J205,K205)</f>
        <v>Sexe</v>
      </c>
      <c r="F205" s="145" t="str">
        <f>CHOOSE(Translations!$C$1+1,L205,M205,N205)</f>
        <v>Femme</v>
      </c>
      <c r="G205" s="145" t="s">
        <v>2262</v>
      </c>
      <c r="H205" s="146" t="s">
        <v>2263</v>
      </c>
      <c r="I205" s="146" t="s">
        <v>1550</v>
      </c>
      <c r="J205" s="146" t="s">
        <v>1551</v>
      </c>
      <c r="K205" s="146" t="s">
        <v>1552</v>
      </c>
      <c r="L205" s="146" t="s">
        <v>1553</v>
      </c>
      <c r="M205" s="146" t="s">
        <v>1554</v>
      </c>
      <c r="N205" s="146" t="s">
        <v>1555</v>
      </c>
      <c r="O205" s="146" t="s">
        <v>2255</v>
      </c>
      <c r="P205" s="146" t="s">
        <v>2256</v>
      </c>
      <c r="Q205" s="146" t="s">
        <v>2257</v>
      </c>
    </row>
    <row r="206" spans="1:17" s="9" customFormat="1" x14ac:dyDescent="0.25">
      <c r="A206" s="145" t="s">
        <v>2252</v>
      </c>
      <c r="B206" s="145" t="str">
        <f>CHOOSE(Translations!$C$1+1,O206,P206,Q206)</f>
        <v>HTS-3d⁽ᴹ⁾ Pourcentage de personnes qui s’injectent des drogues chez lesquels un dépistage du VIH a été réalisé durant la période de rapportage et qui connaissent leur résultat</v>
      </c>
      <c r="C206" s="145">
        <f t="shared" si="6"/>
        <v>4</v>
      </c>
      <c r="D206" s="145" t="str">
        <f t="shared" si="7"/>
        <v>HTS-3d⁽ᴹ⁾ Pourcentage de personnes qui s’injectent des drogues chez lesquels un dépistage du VIH a été réalisé durant la période de rapportage et qui connaissent leur résultat-4</v>
      </c>
      <c r="E206" s="145" t="str">
        <f>CHOOSE(Translations!$C$1+1,I206,J206,K206)</f>
        <v>Sexe</v>
      </c>
      <c r="F206" s="145" t="str">
        <f>CHOOSE(Translations!$C$1+1,L206,M206,N206)</f>
        <v>Transgenre</v>
      </c>
      <c r="G206" s="145" t="s">
        <v>2264</v>
      </c>
      <c r="H206" s="146" t="s">
        <v>2265</v>
      </c>
      <c r="I206" s="146" t="s">
        <v>1550</v>
      </c>
      <c r="J206" s="146" t="s">
        <v>1551</v>
      </c>
      <c r="K206" s="146" t="s">
        <v>1552</v>
      </c>
      <c r="L206" s="146" t="s">
        <v>1634</v>
      </c>
      <c r="M206" s="146" t="s">
        <v>1635</v>
      </c>
      <c r="N206" s="146" t="s">
        <v>1636</v>
      </c>
      <c r="O206" s="146" t="s">
        <v>2255</v>
      </c>
      <c r="P206" s="146" t="s">
        <v>2256</v>
      </c>
      <c r="Q206" s="146" t="s">
        <v>2257</v>
      </c>
    </row>
    <row r="207" spans="1:17" s="9" customFormat="1" x14ac:dyDescent="0.25">
      <c r="A207" s="145" t="s">
        <v>2252</v>
      </c>
      <c r="B207" s="145" t="str">
        <f>CHOOSE(Translations!$C$1+1,O207,P207,Q207)</f>
        <v>HTS-3d⁽ᴹ⁾ Pourcentage de personnes qui s’injectent des drogues chez lesquels un dépistage du VIH a été réalisé durant la période de rapportage et qui connaissent leur résultat</v>
      </c>
      <c r="C207" s="145">
        <f t="shared" si="6"/>
        <v>5</v>
      </c>
      <c r="D207" s="145" t="str">
        <f t="shared" si="7"/>
        <v>HTS-3d⁽ᴹ⁾ Pourcentage de personnes qui s’injectent des drogues chez lesquels un dépistage du VIH a été réalisé durant la période de rapportage et qui connaissent leur résultat-5</v>
      </c>
      <c r="E207" s="145" t="str">
        <f>CHOOSE(Translations!$C$1+1,I207,J207,K207)</f>
        <v>Résultat du test VIH</v>
      </c>
      <c r="F207" s="145" t="str">
        <f>CHOOSE(Translations!$C$1+1,L207,M207,N207)</f>
        <v>Positif</v>
      </c>
      <c r="G207" s="145" t="s">
        <v>2266</v>
      </c>
      <c r="H207" s="146" t="s">
        <v>2267</v>
      </c>
      <c r="I207" s="146" t="s">
        <v>2168</v>
      </c>
      <c r="J207" s="146" t="s">
        <v>2169</v>
      </c>
      <c r="K207" s="146" t="s">
        <v>2170</v>
      </c>
      <c r="L207" s="146" t="s">
        <v>2171</v>
      </c>
      <c r="M207" s="146" t="s">
        <v>2172</v>
      </c>
      <c r="N207" s="146" t="s">
        <v>2173</v>
      </c>
      <c r="O207" s="146" t="s">
        <v>2255</v>
      </c>
      <c r="P207" s="146" t="s">
        <v>2256</v>
      </c>
      <c r="Q207" s="146" t="s">
        <v>2257</v>
      </c>
    </row>
    <row r="208" spans="1:17" s="9" customFormat="1" x14ac:dyDescent="0.25">
      <c r="A208" s="145" t="s">
        <v>2252</v>
      </c>
      <c r="B208" s="145" t="str">
        <f>CHOOSE(Translations!$C$1+1,O208,P208,Q208)</f>
        <v>HTS-3d⁽ᴹ⁾ Pourcentage de personnes qui s’injectent des drogues chez lesquels un dépistage du VIH a été réalisé durant la période de rapportage et qui connaissent leur résultat</v>
      </c>
      <c r="C208" s="145">
        <f t="shared" si="6"/>
        <v>6</v>
      </c>
      <c r="D208" s="145" t="str">
        <f t="shared" si="7"/>
        <v>HTS-3d⁽ᴹ⁾ Pourcentage de personnes qui s’injectent des drogues chez lesquels un dépistage du VIH a été réalisé durant la période de rapportage et qui connaissent leur résultat-6</v>
      </c>
      <c r="E208" s="145" t="str">
        <f>CHOOSE(Translations!$C$1+1,I208,J208,K208)</f>
        <v>Résultat du test VIH</v>
      </c>
      <c r="F208" s="145" t="str">
        <f>CHOOSE(Translations!$C$1+1,L208,M208,N208)</f>
        <v>Négatif</v>
      </c>
      <c r="G208" s="145" t="s">
        <v>2268</v>
      </c>
      <c r="H208" s="146" t="s">
        <v>2269</v>
      </c>
      <c r="I208" s="146" t="s">
        <v>2168</v>
      </c>
      <c r="J208" s="146" t="s">
        <v>2169</v>
      </c>
      <c r="K208" s="146" t="s">
        <v>2170</v>
      </c>
      <c r="L208" s="146" t="s">
        <v>2179</v>
      </c>
      <c r="M208" s="146" t="s">
        <v>2180</v>
      </c>
      <c r="N208" s="146" t="s">
        <v>2181</v>
      </c>
      <c r="O208" s="146" t="s">
        <v>2255</v>
      </c>
      <c r="P208" s="146" t="s">
        <v>2256</v>
      </c>
      <c r="Q208" s="146" t="s">
        <v>2257</v>
      </c>
    </row>
    <row r="209" spans="1:17" s="9" customFormat="1" x14ac:dyDescent="0.25">
      <c r="A209" s="145" t="s">
        <v>2270</v>
      </c>
      <c r="B209" s="145" t="str">
        <f>CHOOSE(Translations!$C$1+1,O209,P209,Q209)</f>
        <v>HTS-3e Pourcentage de personnes parmi d'autres populations vulnérables chez lesquels un dépistage du VIH a été réalisé durant la période de communication de l’information et qui connaissent leur résultat</v>
      </c>
      <c r="C209" s="145">
        <f t="shared" si="6"/>
        <v>0</v>
      </c>
      <c r="D209" s="145" t="str">
        <f t="shared" si="7"/>
        <v>HTS-3e Pourcentage de personnes parmi d'autres populations vulnérables chez lesquels un dépistage du VIH a été réalisé durant la période de communication de l’information et qui connaissent leur résultat-0</v>
      </c>
      <c r="E209" s="145" t="str">
        <f>CHOOSE(Translations!$C$1+1,I209,J209,K209)</f>
        <v>Résultat du test VIH</v>
      </c>
      <c r="F209" s="145" t="str">
        <f>CHOOSE(Translations!$C$1+1,L209,M209,N209)</f>
        <v>Positif</v>
      </c>
      <c r="G209" s="145" t="s">
        <v>2271</v>
      </c>
      <c r="H209" s="146" t="s">
        <v>2272</v>
      </c>
      <c r="I209" s="146" t="s">
        <v>2168</v>
      </c>
      <c r="J209" s="146" t="s">
        <v>2169</v>
      </c>
      <c r="K209" s="146" t="s">
        <v>2170</v>
      </c>
      <c r="L209" s="146" t="s">
        <v>2171</v>
      </c>
      <c r="M209" s="146" t="s">
        <v>2172</v>
      </c>
      <c r="N209" s="146" t="s">
        <v>2173</v>
      </c>
      <c r="O209" s="146" t="s">
        <v>2273</v>
      </c>
      <c r="P209" s="146" t="s">
        <v>2274</v>
      </c>
      <c r="Q209" s="146" t="s">
        <v>2275</v>
      </c>
    </row>
    <row r="210" spans="1:17" s="9" customFormat="1" x14ac:dyDescent="0.25">
      <c r="A210" s="145" t="s">
        <v>2270</v>
      </c>
      <c r="B210" s="145" t="str">
        <f>CHOOSE(Translations!$C$1+1,O210,P210,Q210)</f>
        <v>HTS-3e Pourcentage de personnes parmi d'autres populations vulnérables chez lesquels un dépistage du VIH a été réalisé durant la période de communication de l’information et qui connaissent leur résultat</v>
      </c>
      <c r="C210" s="145">
        <f t="shared" si="6"/>
        <v>1</v>
      </c>
      <c r="D210" s="145" t="str">
        <f t="shared" si="7"/>
        <v>HTS-3e Pourcentage de personnes parmi d'autres populations vulnérables chez lesquels un dépistage du VIH a été réalisé durant la période de communication de l’information et qui connaissent leur résultat-1</v>
      </c>
      <c r="E210" s="145" t="str">
        <f>CHOOSE(Translations!$C$1+1,I210,J210,K210)</f>
        <v>Résultat du test VIH</v>
      </c>
      <c r="F210" s="145" t="str">
        <f>CHOOSE(Translations!$C$1+1,L210,M210,N210)</f>
        <v>Négatif</v>
      </c>
      <c r="G210" s="145" t="s">
        <v>2276</v>
      </c>
      <c r="H210" s="146" t="s">
        <v>2277</v>
      </c>
      <c r="I210" s="146" t="s">
        <v>2168</v>
      </c>
      <c r="J210" s="146" t="s">
        <v>2169</v>
      </c>
      <c r="K210" s="146" t="s">
        <v>2170</v>
      </c>
      <c r="L210" s="146" t="s">
        <v>2179</v>
      </c>
      <c r="M210" s="146" t="s">
        <v>2180</v>
      </c>
      <c r="N210" s="146" t="s">
        <v>2181</v>
      </c>
      <c r="O210" s="146" t="s">
        <v>2273</v>
      </c>
      <c r="P210" s="146" t="s">
        <v>2274</v>
      </c>
      <c r="Q210" s="146" t="s">
        <v>2275</v>
      </c>
    </row>
    <row r="211" spans="1:17" s="9" customFormat="1" x14ac:dyDescent="0.25">
      <c r="A211" s="145" t="s">
        <v>2278</v>
      </c>
      <c r="B211" s="145" t="str">
        <f>CHOOSE(Translations!$C$1+1,O211,P211,Q211)</f>
        <v>HTS-3f⁽ᴹ⁾ Pourcentage de personnes en détention ou se trouvant dans d’autres lieux fermés chez lesquels un dépistage du VIH a été réalisé durant la période de communication de l’information et qui connaissent leur résultat</v>
      </c>
      <c r="C211" s="145">
        <f t="shared" si="6"/>
        <v>0</v>
      </c>
      <c r="D211" s="145" t="str">
        <f t="shared" si="7"/>
        <v>HTS-3f⁽ᴹ⁾ Pourcentage de personnes en détention ou se trouvant dans d’autres lieux fermés chez lesquels un dépistage du VIH a été réalisé durant la période de communication de l’information et qui connaissent leur résultat-0</v>
      </c>
      <c r="E211" s="145" t="str">
        <f>CHOOSE(Translations!$C$1+1,I211,J211,K211)</f>
        <v>Résultat du test VIH</v>
      </c>
      <c r="F211" s="145" t="str">
        <f>CHOOSE(Translations!$C$1+1,L211,M211,N211)</f>
        <v>Positif</v>
      </c>
      <c r="G211" s="145" t="s">
        <v>2279</v>
      </c>
      <c r="H211" s="146" t="s">
        <v>2280</v>
      </c>
      <c r="I211" s="146" t="s">
        <v>2168</v>
      </c>
      <c r="J211" s="146" t="s">
        <v>2169</v>
      </c>
      <c r="K211" s="146" t="s">
        <v>2170</v>
      </c>
      <c r="L211" s="146" t="s">
        <v>2171</v>
      </c>
      <c r="M211" s="146" t="s">
        <v>2172</v>
      </c>
      <c r="N211" s="146" t="s">
        <v>2173</v>
      </c>
      <c r="O211" s="146" t="s">
        <v>2281</v>
      </c>
      <c r="P211" s="146" t="s">
        <v>2282</v>
      </c>
      <c r="Q211" s="146" t="s">
        <v>2283</v>
      </c>
    </row>
    <row r="212" spans="1:17" s="9" customFormat="1" x14ac:dyDescent="0.25">
      <c r="A212" s="145" t="s">
        <v>2278</v>
      </c>
      <c r="B212" s="145" t="str">
        <f>CHOOSE(Translations!$C$1+1,O212,P212,Q212)</f>
        <v>HTS-3f⁽ᴹ⁾ Pourcentage de personnes en détention ou se trouvant dans d’autres lieux fermés chez lesquels un dépistage du VIH a été réalisé durant la période de communication de l’information et qui connaissent leur résultat</v>
      </c>
      <c r="C212" s="145">
        <f t="shared" si="6"/>
        <v>1</v>
      </c>
      <c r="D212" s="145" t="str">
        <f t="shared" si="7"/>
        <v>HTS-3f⁽ᴹ⁾ Pourcentage de personnes en détention ou se trouvant dans d’autres lieux fermés chez lesquels un dépistage du VIH a été réalisé durant la période de communication de l’information et qui connaissent leur résultat-1</v>
      </c>
      <c r="E212" s="145" t="str">
        <f>CHOOSE(Translations!$C$1+1,I212,J212,K212)</f>
        <v>Résultat du test VIH</v>
      </c>
      <c r="F212" s="145" t="str">
        <f>CHOOSE(Translations!$C$1+1,L212,M212,N212)</f>
        <v>Négatif</v>
      </c>
      <c r="G212" s="145" t="s">
        <v>2284</v>
      </c>
      <c r="H212" s="146" t="s">
        <v>2285</v>
      </c>
      <c r="I212" s="146" t="s">
        <v>2168</v>
      </c>
      <c r="J212" s="146" t="s">
        <v>2169</v>
      </c>
      <c r="K212" s="146" t="s">
        <v>2170</v>
      </c>
      <c r="L212" s="146" t="s">
        <v>2179</v>
      </c>
      <c r="M212" s="146" t="s">
        <v>2180</v>
      </c>
      <c r="N212" s="146" t="s">
        <v>2181</v>
      </c>
      <c r="O212" s="146" t="s">
        <v>2281</v>
      </c>
      <c r="P212" s="146" t="s">
        <v>2282</v>
      </c>
      <c r="Q212" s="146" t="s">
        <v>2283</v>
      </c>
    </row>
    <row r="213" spans="1:17" s="9" customFormat="1" x14ac:dyDescent="0.25">
      <c r="A213" s="145" t="s">
        <v>2286</v>
      </c>
      <c r="B213" s="145" t="str">
        <f>CHOOSE(Translations!$C$1+1,O213,P213,Q213)</f>
        <v>HTS-4 Pourcentage de résultats de test VIH positifs parmi le total des tests de dépistage du VIH effectués au cours de la période de rapportage</v>
      </c>
      <c r="C213" s="145">
        <f t="shared" si="6"/>
        <v>0</v>
      </c>
      <c r="D213" s="145" t="str">
        <f t="shared" si="7"/>
        <v>HTS-4 Pourcentage de résultats de test VIH positifs parmi le total des tests de dépistage du VIH effectués au cours de la période de rapportage-0</v>
      </c>
      <c r="E213" s="145" t="str">
        <f>CHOOSE(Translations!$C$1+1,I213,J213,K213)</f>
        <v>Age</v>
      </c>
      <c r="F213" s="145" t="str">
        <f>CHOOSE(Translations!$C$1+1,L213,M213,N213)</f>
        <v>&lt;15</v>
      </c>
      <c r="G213" s="145" t="s">
        <v>2287</v>
      </c>
      <c r="H213" s="146" t="s">
        <v>2288</v>
      </c>
      <c r="I213" s="146" t="s">
        <v>1563</v>
      </c>
      <c r="J213" s="146" t="s">
        <v>1563</v>
      </c>
      <c r="K213" s="146" t="s">
        <v>1564</v>
      </c>
      <c r="L213" s="146" t="s">
        <v>1568</v>
      </c>
      <c r="M213" s="146" t="s">
        <v>1568</v>
      </c>
      <c r="N213" s="146" t="s">
        <v>1568</v>
      </c>
      <c r="O213" s="146" t="s">
        <v>2289</v>
      </c>
      <c r="P213" s="146" t="s">
        <v>2290</v>
      </c>
      <c r="Q213" s="146" t="s">
        <v>2291</v>
      </c>
    </row>
    <row r="214" spans="1:17" s="9" customFormat="1" x14ac:dyDescent="0.25">
      <c r="A214" s="145" t="s">
        <v>2286</v>
      </c>
      <c r="B214" s="145" t="str">
        <f>CHOOSE(Translations!$C$1+1,O214,P214,Q214)</f>
        <v>HTS-4 Pourcentage de résultats de test VIH positifs parmi le total des tests de dépistage du VIH effectués au cours de la période de rapportage</v>
      </c>
      <c r="C214" s="145">
        <f t="shared" si="6"/>
        <v>1</v>
      </c>
      <c r="D214" s="145" t="str">
        <f t="shared" si="7"/>
        <v>HTS-4 Pourcentage de résultats de test VIH positifs parmi le total des tests de dépistage du VIH effectués au cours de la période de rapportage-1</v>
      </c>
      <c r="E214" s="145" t="str">
        <f>CHOOSE(Translations!$C$1+1,I214,J214,K214)</f>
        <v>Age</v>
      </c>
      <c r="F214" s="145" t="str">
        <f>CHOOSE(Translations!$C$1+1,L214,M214,N214)</f>
        <v>15+</v>
      </c>
      <c r="G214" s="145" t="s">
        <v>2292</v>
      </c>
      <c r="H214" s="146" t="s">
        <v>2293</v>
      </c>
      <c r="I214" s="146" t="s">
        <v>1563</v>
      </c>
      <c r="J214" s="146" t="s">
        <v>1563</v>
      </c>
      <c r="K214" s="146" t="s">
        <v>1564</v>
      </c>
      <c r="L214" s="146" t="s">
        <v>1565</v>
      </c>
      <c r="M214" s="146" t="s">
        <v>1565</v>
      </c>
      <c r="N214" s="146" t="s">
        <v>1565</v>
      </c>
      <c r="O214" s="146" t="s">
        <v>2289</v>
      </c>
      <c r="P214" s="146" t="s">
        <v>2290</v>
      </c>
      <c r="Q214" s="146" t="s">
        <v>2291</v>
      </c>
    </row>
    <row r="215" spans="1:17" s="9" customFormat="1" x14ac:dyDescent="0.25">
      <c r="A215" s="145" t="s">
        <v>2286</v>
      </c>
      <c r="B215" s="145" t="str">
        <f>CHOOSE(Translations!$C$1+1,O215,P215,Q215)</f>
        <v>HTS-4 Pourcentage de résultats de test VIH positifs parmi le total des tests de dépistage du VIH effectués au cours de la période de rapportage</v>
      </c>
      <c r="C215" s="145">
        <f t="shared" si="6"/>
        <v>2</v>
      </c>
      <c r="D215" s="145" t="str">
        <f t="shared" si="7"/>
        <v>HTS-4 Pourcentage de résultats de test VIH positifs parmi le total des tests de dépistage du VIH effectués au cours de la période de rapportage-2</v>
      </c>
      <c r="E215" s="145" t="str">
        <f>CHOOSE(Translations!$C$1+1,I215,J215,K215)</f>
        <v>Tests fait dans la communauté</v>
      </c>
      <c r="F215" s="145" t="str">
        <f>CHOOSE(Translations!$C$1+1,L215,M215,N215)</f>
        <v>Tests via clinics mobiles</v>
      </c>
      <c r="G215" s="145" t="s">
        <v>2294</v>
      </c>
      <c r="H215" s="146" t="s">
        <v>2295</v>
      </c>
      <c r="I215" s="146" t="s">
        <v>2296</v>
      </c>
      <c r="J215" s="146" t="s">
        <v>2297</v>
      </c>
      <c r="K215" s="146" t="s">
        <v>2298</v>
      </c>
      <c r="L215" s="146" t="s">
        <v>2299</v>
      </c>
      <c r="M215" s="146" t="s">
        <v>2300</v>
      </c>
      <c r="N215" s="146" t="s">
        <v>2301</v>
      </c>
      <c r="O215" s="146" t="s">
        <v>2289</v>
      </c>
      <c r="P215" s="146" t="s">
        <v>2290</v>
      </c>
      <c r="Q215" s="146" t="s">
        <v>2291</v>
      </c>
    </row>
    <row r="216" spans="1:17" s="9" customFormat="1" x14ac:dyDescent="0.25">
      <c r="A216" s="145" t="s">
        <v>2286</v>
      </c>
      <c r="B216" s="145" t="str">
        <f>CHOOSE(Translations!$C$1+1,O216,P216,Q216)</f>
        <v>HTS-4 Pourcentage de résultats de test VIH positifs parmi le total des tests de dépistage du VIH effectués au cours de la période de rapportage</v>
      </c>
      <c r="C216" s="145">
        <f t="shared" si="6"/>
        <v>3</v>
      </c>
      <c r="D216" s="145" t="str">
        <f t="shared" si="7"/>
        <v>HTS-4 Pourcentage de résultats de test VIH positifs parmi le total des tests de dépistage du VIH effectués au cours de la période de rapportage-3</v>
      </c>
      <c r="E216" s="145" t="str">
        <f>CHOOSE(Translations!$C$1+1,I216,J216,K216)</f>
        <v>Tests fait dans la communauté</v>
      </c>
      <c r="F216" s="145" t="str">
        <f>CHOOSE(Translations!$C$1+1,L216,M216,N216)</f>
        <v>Centres communautaires de dépistage volontaire</v>
      </c>
      <c r="G216" s="145" t="s">
        <v>2302</v>
      </c>
      <c r="H216" s="146" t="s">
        <v>2303</v>
      </c>
      <c r="I216" s="146" t="s">
        <v>2296</v>
      </c>
      <c r="J216" s="146" t="s">
        <v>2297</v>
      </c>
      <c r="K216" s="146" t="s">
        <v>2298</v>
      </c>
      <c r="L216" s="146" t="s">
        <v>2304</v>
      </c>
      <c r="M216" s="146" t="s">
        <v>2305</v>
      </c>
      <c r="N216" s="146" t="s">
        <v>2306</v>
      </c>
      <c r="O216" s="146" t="s">
        <v>2289</v>
      </c>
      <c r="P216" s="146" t="s">
        <v>2290</v>
      </c>
      <c r="Q216" s="146" t="s">
        <v>2291</v>
      </c>
    </row>
    <row r="217" spans="1:17" s="9" customFormat="1" x14ac:dyDescent="0.25">
      <c r="A217" s="145" t="s">
        <v>2286</v>
      </c>
      <c r="B217" s="145" t="str">
        <f>CHOOSE(Translations!$C$1+1,O217,P217,Q217)</f>
        <v>HTS-4 Pourcentage de résultats de test VIH positifs parmi le total des tests de dépistage du VIH effectués au cours de la période de rapportage</v>
      </c>
      <c r="C217" s="145">
        <f t="shared" si="6"/>
        <v>4</v>
      </c>
      <c r="D217" s="145" t="str">
        <f t="shared" si="7"/>
        <v>HTS-4 Pourcentage de résultats de test VIH positifs parmi le total des tests de dépistage du VIH effectués au cours de la période de rapportage-4</v>
      </c>
      <c r="E217" s="145" t="str">
        <f>CHOOSE(Translations!$C$1+1,I217,J217,K217)</f>
        <v>Tests fait dans un centre de santé</v>
      </c>
      <c r="F217" s="145" t="str">
        <f>CHOOSE(Translations!$C$1+1,L217,M217,N217)</f>
        <v>Centres de soins prénatals</v>
      </c>
      <c r="G217" s="145" t="s">
        <v>2307</v>
      </c>
      <c r="H217" s="146" t="s">
        <v>2308</v>
      </c>
      <c r="I217" s="146" t="s">
        <v>2309</v>
      </c>
      <c r="J217" s="146" t="s">
        <v>2310</v>
      </c>
      <c r="K217" s="146" t="s">
        <v>2311</v>
      </c>
      <c r="L217" s="146" t="s">
        <v>2312</v>
      </c>
      <c r="M217" s="146" t="s">
        <v>2313</v>
      </c>
      <c r="N217" s="146" t="s">
        <v>2314</v>
      </c>
      <c r="O217" s="146" t="s">
        <v>2289</v>
      </c>
      <c r="P217" s="146" t="s">
        <v>2290</v>
      </c>
      <c r="Q217" s="146" t="s">
        <v>2291</v>
      </c>
    </row>
    <row r="218" spans="1:17" s="9" customFormat="1" x14ac:dyDescent="0.25">
      <c r="A218" s="145" t="s">
        <v>2286</v>
      </c>
      <c r="B218" s="145" t="str">
        <f>CHOOSE(Translations!$C$1+1,O218,P218,Q218)</f>
        <v>HTS-4 Pourcentage de résultats de test VIH positifs parmi le total des tests de dépistage du VIH effectués au cours de la période de rapportage</v>
      </c>
      <c r="C218" s="145">
        <f t="shared" si="6"/>
        <v>5</v>
      </c>
      <c r="D218" s="145" t="str">
        <f t="shared" si="7"/>
        <v>HTS-4 Pourcentage de résultats de test VIH positifs parmi le total des tests de dépistage du VIH effectués au cours de la période de rapportage-5</v>
      </c>
      <c r="E218" s="145" t="str">
        <f>CHOOSE(Translations!$C$1+1,I218,J218,K218)</f>
        <v>Tests fait dans un centre de santé</v>
      </c>
      <c r="F218" s="145" t="str">
        <f>CHOOSE(Translations!$C$1+1,L218,M218,N218)</f>
        <v>Centres de planification familiale</v>
      </c>
      <c r="G218" s="145" t="s">
        <v>2315</v>
      </c>
      <c r="H218" s="146" t="s">
        <v>2316</v>
      </c>
      <c r="I218" s="146" t="s">
        <v>2309</v>
      </c>
      <c r="J218" s="146" t="s">
        <v>2310</v>
      </c>
      <c r="K218" s="146" t="s">
        <v>2311</v>
      </c>
      <c r="L218" s="146" t="s">
        <v>2317</v>
      </c>
      <c r="M218" s="146" t="s">
        <v>2318</v>
      </c>
      <c r="N218" s="146" t="s">
        <v>2319</v>
      </c>
      <c r="O218" s="146" t="s">
        <v>2289</v>
      </c>
      <c r="P218" s="146" t="s">
        <v>2290</v>
      </c>
      <c r="Q218" s="146" t="s">
        <v>2291</v>
      </c>
    </row>
    <row r="219" spans="1:17" s="9" customFormat="1" x14ac:dyDescent="0.25">
      <c r="A219" s="145" t="s">
        <v>2286</v>
      </c>
      <c r="B219" s="145" t="str">
        <f>CHOOSE(Translations!$C$1+1,O219,P219,Q219)</f>
        <v>HTS-4 Pourcentage de résultats de test VIH positifs parmi le total des tests de dépistage du VIH effectués au cours de la période de rapportage</v>
      </c>
      <c r="C219" s="145">
        <f t="shared" si="6"/>
        <v>6</v>
      </c>
      <c r="D219" s="145" t="str">
        <f t="shared" si="7"/>
        <v>HTS-4 Pourcentage de résultats de test VIH positifs parmi le total des tests de dépistage du VIH effectués au cours de la période de rapportage-6</v>
      </c>
      <c r="E219" s="145" t="str">
        <f>CHOOSE(Translations!$C$1+1,I219,J219,K219)</f>
        <v>Tests fait dans un centre de santé</v>
      </c>
      <c r="F219" s="145" t="str">
        <f>CHOOSE(Translations!$C$1+1,L219,M219,N219)</f>
        <v>Centres de traitement de la tuberculose</v>
      </c>
      <c r="G219" s="145" t="s">
        <v>2320</v>
      </c>
      <c r="H219" s="146" t="s">
        <v>2321</v>
      </c>
      <c r="I219" s="146" t="s">
        <v>2309</v>
      </c>
      <c r="J219" s="146" t="s">
        <v>2310</v>
      </c>
      <c r="K219" s="146" t="s">
        <v>2311</v>
      </c>
      <c r="L219" s="146" t="s">
        <v>2322</v>
      </c>
      <c r="M219" s="146" t="s">
        <v>2323</v>
      </c>
      <c r="N219" s="146" t="s">
        <v>2324</v>
      </c>
      <c r="O219" s="146" t="s">
        <v>2289</v>
      </c>
      <c r="P219" s="146" t="s">
        <v>2290</v>
      </c>
      <c r="Q219" s="146" t="s">
        <v>2291</v>
      </c>
    </row>
    <row r="220" spans="1:17" s="9" customFormat="1" x14ac:dyDescent="0.25">
      <c r="A220" s="145" t="s">
        <v>2286</v>
      </c>
      <c r="B220" s="145" t="str">
        <f>CHOOSE(Translations!$C$1+1,O220,P220,Q220)</f>
        <v>HTS-4 Pourcentage de résultats de test VIH positifs parmi le total des tests de dépistage du VIH effectués au cours de la période de rapportage</v>
      </c>
      <c r="C220" s="145">
        <f t="shared" ref="C220:C283" si="8">IF(O220=O219,C219+1,0)</f>
        <v>7</v>
      </c>
      <c r="D220" s="145" t="str">
        <f t="shared" ref="D220:D283" si="9">B220&amp;"-"&amp;C220</f>
        <v>HTS-4 Pourcentage de résultats de test VIH positifs parmi le total des tests de dépistage du VIH effectués au cours de la période de rapportage-7</v>
      </c>
      <c r="E220" s="145" t="str">
        <f>CHOOSE(Translations!$C$1+1,I220,J220,K220)</f>
        <v>Tests fait dans un centre de santé</v>
      </c>
      <c r="F220" s="145" t="str">
        <f>CHOOSE(Translations!$C$1+1,L220,M220,N220)</f>
        <v>Centres de de dépistage volontaire</v>
      </c>
      <c r="G220" s="145" t="s">
        <v>2325</v>
      </c>
      <c r="H220" s="146" t="s">
        <v>2326</v>
      </c>
      <c r="I220" s="146" t="s">
        <v>2309</v>
      </c>
      <c r="J220" s="146" t="s">
        <v>2310</v>
      </c>
      <c r="K220" s="146" t="s">
        <v>2311</v>
      </c>
      <c r="L220" s="146" t="s">
        <v>2327</v>
      </c>
      <c r="M220" s="146" t="s">
        <v>2328</v>
      </c>
      <c r="N220" s="146" t="s">
        <v>2329</v>
      </c>
      <c r="O220" s="146" t="s">
        <v>2289</v>
      </c>
      <c r="P220" s="146" t="s">
        <v>2290</v>
      </c>
      <c r="Q220" s="146" t="s">
        <v>2291</v>
      </c>
    </row>
    <row r="221" spans="1:17" s="9" customFormat="1" x14ac:dyDescent="0.25">
      <c r="A221" s="145" t="s">
        <v>2286</v>
      </c>
      <c r="B221" s="145" t="str">
        <f>CHOOSE(Translations!$C$1+1,O221,P221,Q221)</f>
        <v>HTS-4 Pourcentage de résultats de test VIH positifs parmi le total des tests de dépistage du VIH effectués au cours de la période de rapportage</v>
      </c>
      <c r="C221" s="145">
        <f t="shared" si="8"/>
        <v>8</v>
      </c>
      <c r="D221" s="145" t="str">
        <f t="shared" si="9"/>
        <v>HTS-4 Pourcentage de résultats de test VIH positifs parmi le total des tests de dépistage du VIH effectués au cours de la période de rapportage-8</v>
      </c>
      <c r="E221" s="145" t="str">
        <f>CHOOSE(Translations!$C$1+1,I221,J221,K221)</f>
        <v>Tests fait dans un centre de santé</v>
      </c>
      <c r="F221" s="145" t="str">
        <f>CHOOSE(Translations!$C$1+1,L221,M221,N221)</f>
        <v>Autre</v>
      </c>
      <c r="G221" s="145" t="s">
        <v>2330</v>
      </c>
      <c r="H221" s="146" t="s">
        <v>2331</v>
      </c>
      <c r="I221" s="146" t="s">
        <v>2309</v>
      </c>
      <c r="J221" s="146" t="s">
        <v>2310</v>
      </c>
      <c r="K221" s="146" t="s">
        <v>2311</v>
      </c>
      <c r="L221" s="146" t="s">
        <v>2332</v>
      </c>
      <c r="M221" s="146" t="s">
        <v>2333</v>
      </c>
      <c r="N221" s="146" t="s">
        <v>2334</v>
      </c>
      <c r="O221" s="146" t="s">
        <v>2289</v>
      </c>
      <c r="P221" s="146" t="s">
        <v>2290</v>
      </c>
      <c r="Q221" s="146" t="s">
        <v>2291</v>
      </c>
    </row>
    <row r="222" spans="1:17" s="9" customFormat="1" x14ac:dyDescent="0.25">
      <c r="A222" s="145" t="s">
        <v>2286</v>
      </c>
      <c r="B222" s="145" t="str">
        <f>CHOOSE(Translations!$C$1+1,O222,P222,Q222)</f>
        <v>HTS-4 Pourcentage de résultats de test VIH positifs parmi le total des tests de dépistage du VIH effectués au cours de la période de rapportage</v>
      </c>
      <c r="C222" s="145">
        <f t="shared" si="8"/>
        <v>9</v>
      </c>
      <c r="D222" s="145" t="str">
        <f t="shared" si="9"/>
        <v>HTS-4 Pourcentage de résultats de test VIH positifs parmi le total des tests de dépistage du VIH effectués au cours de la période de rapportage-9</v>
      </c>
      <c r="E222" s="145" t="str">
        <f>CHOOSE(Translations!$C$1+1,I222,J222,K222)</f>
        <v>Sexe</v>
      </c>
      <c r="F222" s="145" t="str">
        <f>CHOOSE(Translations!$C$1+1,L222,M222,N222)</f>
        <v>Homme</v>
      </c>
      <c r="G222" s="145" t="s">
        <v>2335</v>
      </c>
      <c r="H222" s="146" t="s">
        <v>2336</v>
      </c>
      <c r="I222" s="146" t="s">
        <v>1550</v>
      </c>
      <c r="J222" s="146" t="s">
        <v>1551</v>
      </c>
      <c r="K222" s="146" t="s">
        <v>1552</v>
      </c>
      <c r="L222" s="146" t="s">
        <v>1558</v>
      </c>
      <c r="M222" s="146" t="s">
        <v>1559</v>
      </c>
      <c r="N222" s="146" t="s">
        <v>1560</v>
      </c>
      <c r="O222" s="146" t="s">
        <v>2289</v>
      </c>
      <c r="P222" s="146" t="s">
        <v>2290</v>
      </c>
      <c r="Q222" s="146" t="s">
        <v>2291</v>
      </c>
    </row>
    <row r="223" spans="1:17" s="9" customFormat="1" x14ac:dyDescent="0.25">
      <c r="A223" s="145" t="s">
        <v>2286</v>
      </c>
      <c r="B223" s="145" t="str">
        <f>CHOOSE(Translations!$C$1+1,O223,P223,Q223)</f>
        <v>HTS-4 Pourcentage de résultats de test VIH positifs parmi le total des tests de dépistage du VIH effectués au cours de la période de rapportage</v>
      </c>
      <c r="C223" s="145">
        <f t="shared" si="8"/>
        <v>10</v>
      </c>
      <c r="D223" s="145" t="str">
        <f t="shared" si="9"/>
        <v>HTS-4 Pourcentage de résultats de test VIH positifs parmi le total des tests de dépistage du VIH effectués au cours de la période de rapportage-10</v>
      </c>
      <c r="E223" s="145" t="str">
        <f>CHOOSE(Translations!$C$1+1,I223,J223,K223)</f>
        <v>Sexe</v>
      </c>
      <c r="F223" s="145" t="str">
        <f>CHOOSE(Translations!$C$1+1,L223,M223,N223)</f>
        <v>Femme</v>
      </c>
      <c r="G223" s="145" t="s">
        <v>2337</v>
      </c>
      <c r="H223" s="146" t="s">
        <v>2338</v>
      </c>
      <c r="I223" s="146" t="s">
        <v>1550</v>
      </c>
      <c r="J223" s="146" t="s">
        <v>1551</v>
      </c>
      <c r="K223" s="146" t="s">
        <v>1552</v>
      </c>
      <c r="L223" s="146" t="s">
        <v>1553</v>
      </c>
      <c r="M223" s="146" t="s">
        <v>1554</v>
      </c>
      <c r="N223" s="146" t="s">
        <v>1555</v>
      </c>
      <c r="O223" s="146" t="s">
        <v>2289</v>
      </c>
      <c r="P223" s="146" t="s">
        <v>2290</v>
      </c>
      <c r="Q223" s="146" t="s">
        <v>2291</v>
      </c>
    </row>
    <row r="224" spans="1:17" s="9" customFormat="1" x14ac:dyDescent="0.25">
      <c r="A224" s="145" t="s">
        <v>2339</v>
      </c>
      <c r="B224" s="145" t="str">
        <f>CHOOSE(Translations!$C$1+1,O224,P224,Q224)</f>
        <v>HTS-5 Pourcentage de personnes récemment diagnostiquées comme séropositives admises dans des services de prise en charge du VIH</v>
      </c>
      <c r="C224" s="145">
        <f t="shared" si="8"/>
        <v>0</v>
      </c>
      <c r="D224" s="145" t="str">
        <f t="shared" si="9"/>
        <v>HTS-5 Pourcentage de personnes récemment diagnostiquées comme séropositives admises dans des services de prise en charge du VIH-0</v>
      </c>
      <c r="E224" s="145" t="str">
        <f>CHOOSE(Translations!$C$1+1,I224,J224,K224)</f>
        <v>Sexe</v>
      </c>
      <c r="F224" s="145" t="str">
        <f>CHOOSE(Translations!$C$1+1,L224,M224,N224)</f>
        <v>Homme</v>
      </c>
      <c r="G224" s="145" t="s">
        <v>2340</v>
      </c>
      <c r="H224" s="146" t="s">
        <v>2341</v>
      </c>
      <c r="I224" s="146" t="s">
        <v>1550</v>
      </c>
      <c r="J224" s="146" t="s">
        <v>1551</v>
      </c>
      <c r="K224" s="146" t="s">
        <v>1552</v>
      </c>
      <c r="L224" s="146" t="s">
        <v>1558</v>
      </c>
      <c r="M224" s="146" t="s">
        <v>1559</v>
      </c>
      <c r="N224" s="146" t="s">
        <v>1560</v>
      </c>
      <c r="O224" s="146" t="s">
        <v>2342</v>
      </c>
      <c r="P224" s="146" t="s">
        <v>2343</v>
      </c>
      <c r="Q224" s="146" t="s">
        <v>2344</v>
      </c>
    </row>
    <row r="225" spans="1:17" s="9" customFormat="1" x14ac:dyDescent="0.25">
      <c r="A225" s="145" t="s">
        <v>2339</v>
      </c>
      <c r="B225" s="145" t="str">
        <f>CHOOSE(Translations!$C$1+1,O225,P225,Q225)</f>
        <v>HTS-5 Pourcentage de personnes récemment diagnostiquées comme séropositives admises dans des services de prise en charge du VIH</v>
      </c>
      <c r="C225" s="145">
        <f t="shared" si="8"/>
        <v>1</v>
      </c>
      <c r="D225" s="145" t="str">
        <f t="shared" si="9"/>
        <v>HTS-5 Pourcentage de personnes récemment diagnostiquées comme séropositives admises dans des services de prise en charge du VIH-1</v>
      </c>
      <c r="E225" s="145" t="str">
        <f>CHOOSE(Translations!$C$1+1,I225,J225,K225)</f>
        <v>Sexe</v>
      </c>
      <c r="F225" s="145" t="str">
        <f>CHOOSE(Translations!$C$1+1,L225,M225,N225)</f>
        <v>Femme</v>
      </c>
      <c r="G225" s="145" t="s">
        <v>2345</v>
      </c>
      <c r="H225" s="146" t="s">
        <v>2346</v>
      </c>
      <c r="I225" s="146" t="s">
        <v>1550</v>
      </c>
      <c r="J225" s="146" t="s">
        <v>1551</v>
      </c>
      <c r="K225" s="146" t="s">
        <v>1552</v>
      </c>
      <c r="L225" s="146" t="s">
        <v>1553</v>
      </c>
      <c r="M225" s="146" t="s">
        <v>1554</v>
      </c>
      <c r="N225" s="146" t="s">
        <v>1555</v>
      </c>
      <c r="O225" s="146" t="s">
        <v>2342</v>
      </c>
      <c r="P225" s="146" t="s">
        <v>2343</v>
      </c>
      <c r="Q225" s="146" t="s">
        <v>2344</v>
      </c>
    </row>
    <row r="226" spans="1:17" s="9" customFormat="1" x14ac:dyDescent="0.25">
      <c r="A226" s="145" t="s">
        <v>2339</v>
      </c>
      <c r="B226" s="145" t="str">
        <f>CHOOSE(Translations!$C$1+1,O226,P226,Q226)</f>
        <v>HTS-5 Pourcentage de personnes récemment diagnostiquées comme séropositives admises dans des services de prise en charge du VIH</v>
      </c>
      <c r="C226" s="145">
        <f t="shared" si="8"/>
        <v>2</v>
      </c>
      <c r="D226" s="145" t="str">
        <f t="shared" si="9"/>
        <v>HTS-5 Pourcentage de personnes récemment diagnostiquées comme séropositives admises dans des services de prise en charge du VIH-2</v>
      </c>
      <c r="E226" s="145" t="str">
        <f>CHOOSE(Translations!$C$1+1,I226,J226,K226)</f>
        <v>Sexe</v>
      </c>
      <c r="F226" s="145" t="str">
        <f>CHOOSE(Translations!$C$1+1,L226,M226,N226)</f>
        <v>Transgenre</v>
      </c>
      <c r="G226" s="145" t="s">
        <v>2347</v>
      </c>
      <c r="H226" s="146" t="s">
        <v>2348</v>
      </c>
      <c r="I226" s="146" t="s">
        <v>1550</v>
      </c>
      <c r="J226" s="146" t="s">
        <v>1551</v>
      </c>
      <c r="K226" s="146" t="s">
        <v>1552</v>
      </c>
      <c r="L226" s="146" t="s">
        <v>1634</v>
      </c>
      <c r="M226" s="146" t="s">
        <v>1635</v>
      </c>
      <c r="N226" s="146" t="s">
        <v>1636</v>
      </c>
      <c r="O226" s="146" t="s">
        <v>2342</v>
      </c>
      <c r="P226" s="146" t="s">
        <v>2343</v>
      </c>
      <c r="Q226" s="146" t="s">
        <v>2344</v>
      </c>
    </row>
    <row r="227" spans="1:17" s="9" customFormat="1" x14ac:dyDescent="0.25">
      <c r="A227" s="145" t="s">
        <v>2339</v>
      </c>
      <c r="B227" s="145" t="str">
        <f>CHOOSE(Translations!$C$1+1,O227,P227,Q227)</f>
        <v>HTS-5 Pourcentage de personnes récemment diagnostiquées comme séropositives admises dans des services de prise en charge du VIH</v>
      </c>
      <c r="C227" s="145">
        <f t="shared" si="8"/>
        <v>3</v>
      </c>
      <c r="D227" s="145" t="str">
        <f t="shared" si="9"/>
        <v>HTS-5 Pourcentage de personnes récemment diagnostiquées comme séropositives admises dans des services de prise en charge du VIH-3</v>
      </c>
      <c r="E227" s="145" t="str">
        <f>CHOOSE(Translations!$C$1+1,I227,J227,K227)</f>
        <v>Groupe à risque cible</v>
      </c>
      <c r="F227" s="145" t="str">
        <f>CHOOSE(Translations!$C$1+1,L227,M227,N227)</f>
        <v>Usagers de drogues injectables</v>
      </c>
      <c r="G227" s="145" t="s">
        <v>2349</v>
      </c>
      <c r="H227" s="146" t="s">
        <v>2350</v>
      </c>
      <c r="I227" s="146" t="s">
        <v>1934</v>
      </c>
      <c r="J227" s="146" t="s">
        <v>1935</v>
      </c>
      <c r="K227" s="146" t="s">
        <v>1936</v>
      </c>
      <c r="L227" s="146" t="s">
        <v>1945</v>
      </c>
      <c r="M227" s="146" t="s">
        <v>1946</v>
      </c>
      <c r="N227" s="146" t="s">
        <v>1947</v>
      </c>
      <c r="O227" s="146" t="s">
        <v>2342</v>
      </c>
      <c r="P227" s="146" t="s">
        <v>2343</v>
      </c>
      <c r="Q227" s="146" t="s">
        <v>2344</v>
      </c>
    </row>
    <row r="228" spans="1:17" s="9" customFormat="1" x14ac:dyDescent="0.25">
      <c r="A228" s="145" t="s">
        <v>2339</v>
      </c>
      <c r="B228" s="145" t="str">
        <f>CHOOSE(Translations!$C$1+1,O228,P228,Q228)</f>
        <v>HTS-5 Pourcentage de personnes récemment diagnostiquées comme séropositives admises dans des services de prise en charge du VIH</v>
      </c>
      <c r="C228" s="145">
        <f t="shared" si="8"/>
        <v>4</v>
      </c>
      <c r="D228" s="145" t="str">
        <f t="shared" si="9"/>
        <v>HTS-5 Pourcentage de personnes récemment diagnostiquées comme séropositives admises dans des services de prise en charge du VIH-4</v>
      </c>
      <c r="E228" s="145" t="str">
        <f>CHOOSE(Translations!$C$1+1,I228,J228,K228)</f>
        <v>Groupe à risque cible</v>
      </c>
      <c r="F228" s="145" t="str">
        <f>CHOOSE(Translations!$C$1+1,L228,M228,N228)</f>
        <v>Prisonniers</v>
      </c>
      <c r="G228" s="145" t="s">
        <v>2351</v>
      </c>
      <c r="H228" s="146" t="s">
        <v>2352</v>
      </c>
      <c r="I228" s="146" t="s">
        <v>1934</v>
      </c>
      <c r="J228" s="146" t="s">
        <v>1935</v>
      </c>
      <c r="K228" s="146" t="s">
        <v>1936</v>
      </c>
      <c r="L228" s="146" t="s">
        <v>1937</v>
      </c>
      <c r="M228" s="146" t="s">
        <v>1938</v>
      </c>
      <c r="N228" s="146" t="s">
        <v>1939</v>
      </c>
      <c r="O228" s="146" t="s">
        <v>2342</v>
      </c>
      <c r="P228" s="146" t="s">
        <v>2343</v>
      </c>
      <c r="Q228" s="146" t="s">
        <v>2344</v>
      </c>
    </row>
    <row r="229" spans="1:17" s="9" customFormat="1" x14ac:dyDescent="0.25">
      <c r="A229" s="145" t="s">
        <v>2339</v>
      </c>
      <c r="B229" s="145" t="str">
        <f>CHOOSE(Translations!$C$1+1,O229,P229,Q229)</f>
        <v>HTS-5 Pourcentage de personnes récemment diagnostiquées comme séropositives admises dans des services de prise en charge du VIH</v>
      </c>
      <c r="C229" s="145">
        <f t="shared" si="8"/>
        <v>5</v>
      </c>
      <c r="D229" s="145" t="str">
        <f t="shared" si="9"/>
        <v>HTS-5 Pourcentage de personnes récemment diagnostiquées comme séropositives admises dans des services de prise en charge du VIH-5</v>
      </c>
      <c r="E229" s="145" t="str">
        <f>CHOOSE(Translations!$C$1+1,I229,J229,K229)</f>
        <v>Groupe à risque cible</v>
      </c>
      <c r="F229" s="145" t="str">
        <f>CHOOSE(Translations!$C$1+1,L229,M229,N229)</f>
        <v>HSH</v>
      </c>
      <c r="G229" s="145" t="s">
        <v>2353</v>
      </c>
      <c r="H229" s="146" t="s">
        <v>2354</v>
      </c>
      <c r="I229" s="146" t="s">
        <v>1934</v>
      </c>
      <c r="J229" s="146" t="s">
        <v>1935</v>
      </c>
      <c r="K229" s="146" t="s">
        <v>1936</v>
      </c>
      <c r="L229" s="146" t="s">
        <v>1955</v>
      </c>
      <c r="M229" s="146" t="s">
        <v>1956</v>
      </c>
      <c r="N229" s="146" t="s">
        <v>1956</v>
      </c>
      <c r="O229" s="146" t="s">
        <v>2342</v>
      </c>
      <c r="P229" s="146" t="s">
        <v>2343</v>
      </c>
      <c r="Q229" s="146" t="s">
        <v>2344</v>
      </c>
    </row>
    <row r="230" spans="1:17" s="9" customFormat="1" x14ac:dyDescent="0.25">
      <c r="A230" s="145" t="s">
        <v>2339</v>
      </c>
      <c r="B230" s="145" t="str">
        <f>CHOOSE(Translations!$C$1+1,O230,P230,Q230)</f>
        <v>HTS-5 Pourcentage de personnes récemment diagnostiquées comme séropositives admises dans des services de prise en charge du VIH</v>
      </c>
      <c r="C230" s="145">
        <f t="shared" si="8"/>
        <v>6</v>
      </c>
      <c r="D230" s="145" t="str">
        <f t="shared" si="9"/>
        <v>HTS-5 Pourcentage de personnes récemment diagnostiquées comme séropositives admises dans des services de prise en charge du VIH-6</v>
      </c>
      <c r="E230" s="145" t="str">
        <f>CHOOSE(Translations!$C$1+1,I230,J230,K230)</f>
        <v>Groupe à risque cible</v>
      </c>
      <c r="F230" s="145" t="str">
        <f>CHOOSE(Translations!$C$1+1,L230,M230,N230)</f>
        <v>Professionnels du sexe</v>
      </c>
      <c r="G230" s="145" t="s">
        <v>2355</v>
      </c>
      <c r="H230" s="146" t="s">
        <v>2356</v>
      </c>
      <c r="I230" s="146" t="s">
        <v>1934</v>
      </c>
      <c r="J230" s="146" t="s">
        <v>1935</v>
      </c>
      <c r="K230" s="146" t="s">
        <v>1936</v>
      </c>
      <c r="L230" s="146" t="s">
        <v>1950</v>
      </c>
      <c r="M230" s="146" t="s">
        <v>1951</v>
      </c>
      <c r="N230" s="146" t="s">
        <v>1952</v>
      </c>
      <c r="O230" s="146" t="s">
        <v>2342</v>
      </c>
      <c r="P230" s="146" t="s">
        <v>2343</v>
      </c>
      <c r="Q230" s="146" t="s">
        <v>2344</v>
      </c>
    </row>
    <row r="231" spans="1:17" s="9" customFormat="1" x14ac:dyDescent="0.25">
      <c r="A231" s="145" t="s">
        <v>2357</v>
      </c>
      <c r="B231" s="145" t="str">
        <f>CHOOSE(Translations!$C$1+1,O231,P231,Q231)</f>
        <v>TCS-1.1⁽ᴹ⁾ Pourcentage de personnes sous TARV parmi toutes les personnes vivant avec le VIH à la fin de la période de rapportage</v>
      </c>
      <c r="C231" s="145">
        <f t="shared" si="8"/>
        <v>0</v>
      </c>
      <c r="D231" s="145" t="str">
        <f t="shared" si="9"/>
        <v>TCS-1.1⁽ᴹ⁾ Pourcentage de personnes sous TARV parmi toutes les personnes vivant avec le VIH à la fin de la période de rapportage-0</v>
      </c>
      <c r="E231" s="145" t="str">
        <f>CHOOSE(Translations!$C$1+1,I231,J231,K231)</f>
        <v>Age</v>
      </c>
      <c r="F231" s="145" t="str">
        <f>CHOOSE(Translations!$C$1+1,L231,M231,N231)</f>
        <v>&lt;15</v>
      </c>
      <c r="G231" s="145" t="s">
        <v>2358</v>
      </c>
      <c r="H231" s="146" t="s">
        <v>2359</v>
      </c>
      <c r="I231" s="146" t="s">
        <v>1563</v>
      </c>
      <c r="J231" s="146" t="s">
        <v>1563</v>
      </c>
      <c r="K231" s="146" t="s">
        <v>1564</v>
      </c>
      <c r="L231" s="146" t="s">
        <v>1568</v>
      </c>
      <c r="M231" s="146" t="s">
        <v>1568</v>
      </c>
      <c r="N231" s="146" t="s">
        <v>1568</v>
      </c>
      <c r="O231" s="146" t="s">
        <v>2360</v>
      </c>
      <c r="P231" s="146" t="s">
        <v>2361</v>
      </c>
      <c r="Q231" s="146" t="s">
        <v>2362</v>
      </c>
    </row>
    <row r="232" spans="1:17" s="9" customFormat="1" x14ac:dyDescent="0.25">
      <c r="A232" s="145" t="s">
        <v>2357</v>
      </c>
      <c r="B232" s="145" t="str">
        <f>CHOOSE(Translations!$C$1+1,O232,P232,Q232)</f>
        <v>TCS-1.1⁽ᴹ⁾ Pourcentage de personnes sous TARV parmi toutes les personnes vivant avec le VIH à la fin de la période de rapportage</v>
      </c>
      <c r="C232" s="145">
        <f t="shared" si="8"/>
        <v>1</v>
      </c>
      <c r="D232" s="145" t="str">
        <f t="shared" si="9"/>
        <v>TCS-1.1⁽ᴹ⁾ Pourcentage de personnes sous TARV parmi toutes les personnes vivant avec le VIH à la fin de la période de rapportage-1</v>
      </c>
      <c r="E232" s="145" t="str">
        <f>CHOOSE(Translations!$C$1+1,I232,J232,K232)</f>
        <v>Age</v>
      </c>
      <c r="F232" s="145" t="str">
        <f>CHOOSE(Translations!$C$1+1,L232,M232,N232)</f>
        <v>15+</v>
      </c>
      <c r="G232" s="145" t="s">
        <v>2363</v>
      </c>
      <c r="H232" s="146" t="s">
        <v>2364</v>
      </c>
      <c r="I232" s="146" t="s">
        <v>1563</v>
      </c>
      <c r="J232" s="146" t="s">
        <v>1563</v>
      </c>
      <c r="K232" s="146" t="s">
        <v>1564</v>
      </c>
      <c r="L232" s="146" t="s">
        <v>1565</v>
      </c>
      <c r="M232" s="146" t="s">
        <v>1565</v>
      </c>
      <c r="N232" s="146" t="s">
        <v>1565</v>
      </c>
      <c r="O232" s="146" t="s">
        <v>2360</v>
      </c>
      <c r="P232" s="146" t="s">
        <v>2361</v>
      </c>
      <c r="Q232" s="146" t="s">
        <v>2362</v>
      </c>
    </row>
    <row r="233" spans="1:17" s="9" customFormat="1" x14ac:dyDescent="0.25">
      <c r="A233" s="145" t="s">
        <v>2357</v>
      </c>
      <c r="B233" s="145" t="str">
        <f>CHOOSE(Translations!$C$1+1,O233,P233,Q233)</f>
        <v>TCS-1.1⁽ᴹ⁾ Pourcentage de personnes sous TARV parmi toutes les personnes vivant avec le VIH à la fin de la période de rapportage</v>
      </c>
      <c r="C233" s="145">
        <f t="shared" si="8"/>
        <v>2</v>
      </c>
      <c r="D233" s="145" t="str">
        <f t="shared" si="9"/>
        <v>TCS-1.1⁽ᴹ⁾ Pourcentage de personnes sous TARV parmi toutes les personnes vivant avec le VIH à la fin de la période de rapportage-2</v>
      </c>
      <c r="E233" s="145" t="str">
        <f>CHOOSE(Translations!$C$1+1,I233,J233,K233)</f>
        <v>Durée du traitement</v>
      </c>
      <c r="F233" s="145" t="str">
        <f>CHOOSE(Translations!$C$1+1,L233,M233,N233)</f>
        <v>Ayant récemment commencé un traitement antirétroviral</v>
      </c>
      <c r="G233" s="145" t="s">
        <v>2365</v>
      </c>
      <c r="H233" s="146" t="s">
        <v>2366</v>
      </c>
      <c r="I233" s="146" t="s">
        <v>2367</v>
      </c>
      <c r="J233" s="146" t="s">
        <v>2368</v>
      </c>
      <c r="K233" s="146" t="s">
        <v>2369</v>
      </c>
      <c r="L233" s="146" t="s">
        <v>2370</v>
      </c>
      <c r="M233" s="146" t="s">
        <v>2371</v>
      </c>
      <c r="N233" s="146" t="s">
        <v>2372</v>
      </c>
      <c r="O233" s="146" t="s">
        <v>2360</v>
      </c>
      <c r="P233" s="146" t="s">
        <v>2361</v>
      </c>
      <c r="Q233" s="146" t="s">
        <v>2362</v>
      </c>
    </row>
    <row r="234" spans="1:17" s="9" customFormat="1" x14ac:dyDescent="0.25">
      <c r="A234" s="145" t="s">
        <v>2357</v>
      </c>
      <c r="B234" s="145" t="str">
        <f>CHOOSE(Translations!$C$1+1,O234,P234,Q234)</f>
        <v>TCS-1.1⁽ᴹ⁾ Pourcentage de personnes sous TARV parmi toutes les personnes vivant avec le VIH à la fin de la période de rapportage</v>
      </c>
      <c r="C234" s="145">
        <f t="shared" si="8"/>
        <v>3</v>
      </c>
      <c r="D234" s="145" t="str">
        <f t="shared" si="9"/>
        <v>TCS-1.1⁽ᴹ⁾ Pourcentage de personnes sous TARV parmi toutes les personnes vivant avec le VIH à la fin de la période de rapportage-3</v>
      </c>
      <c r="E234" s="145" t="str">
        <f>CHOOSE(Translations!$C$1+1,I234,J234,K234)</f>
        <v>Sexe</v>
      </c>
      <c r="F234" s="145" t="str">
        <f>CHOOSE(Translations!$C$1+1,L234,M234,N234)</f>
        <v>Homme</v>
      </c>
      <c r="G234" s="145" t="s">
        <v>2373</v>
      </c>
      <c r="H234" s="146" t="s">
        <v>2374</v>
      </c>
      <c r="I234" s="146" t="s">
        <v>1550</v>
      </c>
      <c r="J234" s="146" t="s">
        <v>1551</v>
      </c>
      <c r="K234" s="146" t="s">
        <v>1552</v>
      </c>
      <c r="L234" s="146" t="s">
        <v>1558</v>
      </c>
      <c r="M234" s="146" t="s">
        <v>1559</v>
      </c>
      <c r="N234" s="146" t="s">
        <v>1560</v>
      </c>
      <c r="O234" s="146" t="s">
        <v>2360</v>
      </c>
      <c r="P234" s="146" t="s">
        <v>2361</v>
      </c>
      <c r="Q234" s="146" t="s">
        <v>2362</v>
      </c>
    </row>
    <row r="235" spans="1:17" s="9" customFormat="1" x14ac:dyDescent="0.25">
      <c r="A235" s="145" t="s">
        <v>2357</v>
      </c>
      <c r="B235" s="145" t="str">
        <f>CHOOSE(Translations!$C$1+1,O235,P235,Q235)</f>
        <v>TCS-1.1⁽ᴹ⁾ Pourcentage de personnes sous TARV parmi toutes les personnes vivant avec le VIH à la fin de la période de rapportage</v>
      </c>
      <c r="C235" s="145">
        <f t="shared" si="8"/>
        <v>4</v>
      </c>
      <c r="D235" s="145" t="str">
        <f t="shared" si="9"/>
        <v>TCS-1.1⁽ᴹ⁾ Pourcentage de personnes sous TARV parmi toutes les personnes vivant avec le VIH à la fin de la période de rapportage-4</v>
      </c>
      <c r="E235" s="145" t="str">
        <f>CHOOSE(Translations!$C$1+1,I235,J235,K235)</f>
        <v>Sexe</v>
      </c>
      <c r="F235" s="145" t="str">
        <f>CHOOSE(Translations!$C$1+1,L235,M235,N235)</f>
        <v>Femme</v>
      </c>
      <c r="G235" s="145" t="s">
        <v>2375</v>
      </c>
      <c r="H235" s="146" t="s">
        <v>2376</v>
      </c>
      <c r="I235" s="146" t="s">
        <v>1550</v>
      </c>
      <c r="J235" s="146" t="s">
        <v>1551</v>
      </c>
      <c r="K235" s="146" t="s">
        <v>1552</v>
      </c>
      <c r="L235" s="146" t="s">
        <v>1553</v>
      </c>
      <c r="M235" s="146" t="s">
        <v>1554</v>
      </c>
      <c r="N235" s="146" t="s">
        <v>1555</v>
      </c>
      <c r="O235" s="146" t="s">
        <v>2360</v>
      </c>
      <c r="P235" s="146" t="s">
        <v>2361</v>
      </c>
      <c r="Q235" s="146" t="s">
        <v>2362</v>
      </c>
    </row>
    <row r="236" spans="1:17" s="9" customFormat="1" x14ac:dyDescent="0.25">
      <c r="A236" s="145" t="s">
        <v>2357</v>
      </c>
      <c r="B236" s="145" t="str">
        <f>CHOOSE(Translations!$C$1+1,O236,P236,Q236)</f>
        <v>TCS-1.1⁽ᴹ⁾ Pourcentage de personnes sous TARV parmi toutes les personnes vivant avec le VIH à la fin de la période de rapportage</v>
      </c>
      <c r="C236" s="145">
        <f t="shared" si="8"/>
        <v>5</v>
      </c>
      <c r="D236" s="145" t="str">
        <f t="shared" si="9"/>
        <v>TCS-1.1⁽ᴹ⁾ Pourcentage de personnes sous TARV parmi toutes les personnes vivant avec le VIH à la fin de la période de rapportage-5</v>
      </c>
      <c r="E236" s="145" t="str">
        <f>CHOOSE(Translations!$C$1+1,I236,J236,K236)</f>
        <v>Sexe</v>
      </c>
      <c r="F236" s="145" t="str">
        <f>CHOOSE(Translations!$C$1+1,L236,M236,N236)</f>
        <v>Transgenre</v>
      </c>
      <c r="G236" s="145" t="s">
        <v>2377</v>
      </c>
      <c r="H236" s="146" t="s">
        <v>2378</v>
      </c>
      <c r="I236" s="146" t="s">
        <v>1550</v>
      </c>
      <c r="J236" s="146" t="s">
        <v>1551</v>
      </c>
      <c r="K236" s="146" t="s">
        <v>1552</v>
      </c>
      <c r="L236" s="146" t="s">
        <v>1634</v>
      </c>
      <c r="M236" s="146" t="s">
        <v>1635</v>
      </c>
      <c r="N236" s="146" t="s">
        <v>1636</v>
      </c>
      <c r="O236" s="146" t="s">
        <v>2360</v>
      </c>
      <c r="P236" s="146" t="s">
        <v>2361</v>
      </c>
      <c r="Q236" s="146" t="s">
        <v>2362</v>
      </c>
    </row>
    <row r="237" spans="1:17" s="9" customFormat="1" x14ac:dyDescent="0.25">
      <c r="A237" s="145" t="s">
        <v>2357</v>
      </c>
      <c r="B237" s="145" t="str">
        <f>CHOOSE(Translations!$C$1+1,O237,P237,Q237)</f>
        <v>TCS-1.1⁽ᴹ⁾ Pourcentage de personnes sous TARV parmi toutes les personnes vivant avec le VIH à la fin de la période de rapportage</v>
      </c>
      <c r="C237" s="145">
        <f t="shared" si="8"/>
        <v>6</v>
      </c>
      <c r="D237" s="145" t="str">
        <f t="shared" si="9"/>
        <v>TCS-1.1⁽ᴹ⁾ Pourcentage de personnes sous TARV parmi toutes les personnes vivant avec le VIH à la fin de la période de rapportage-6</v>
      </c>
      <c r="E237" s="145" t="str">
        <f>CHOOSE(Translations!$C$1+1,I237,J237,K237)</f>
        <v>Sexe | Age</v>
      </c>
      <c r="F237" s="145" t="str">
        <f>CHOOSE(Translations!$C$1+1,L237,M237,N237)</f>
        <v>Homme 15+</v>
      </c>
      <c r="G237" s="145" t="s">
        <v>2379</v>
      </c>
      <c r="H237" s="146" t="s">
        <v>2380</v>
      </c>
      <c r="I237" s="146" t="s">
        <v>1524</v>
      </c>
      <c r="J237" s="146" t="s">
        <v>1525</v>
      </c>
      <c r="K237" s="146" t="s">
        <v>1526</v>
      </c>
      <c r="L237" s="146" t="s">
        <v>2381</v>
      </c>
      <c r="M237" s="146" t="s">
        <v>2382</v>
      </c>
      <c r="N237" s="146" t="s">
        <v>2383</v>
      </c>
      <c r="O237" s="146" t="s">
        <v>2360</v>
      </c>
      <c r="P237" s="146" t="s">
        <v>2361</v>
      </c>
      <c r="Q237" s="146" t="s">
        <v>2362</v>
      </c>
    </row>
    <row r="238" spans="1:17" s="9" customFormat="1" x14ac:dyDescent="0.25">
      <c r="A238" s="145" t="s">
        <v>2357</v>
      </c>
      <c r="B238" s="145" t="str">
        <f>CHOOSE(Translations!$C$1+1,O238,P238,Q238)</f>
        <v>TCS-1.1⁽ᴹ⁾ Pourcentage de personnes sous TARV parmi toutes les personnes vivant avec le VIH à la fin de la période de rapportage</v>
      </c>
      <c r="C238" s="145">
        <f t="shared" si="8"/>
        <v>7</v>
      </c>
      <c r="D238" s="145" t="str">
        <f t="shared" si="9"/>
        <v>TCS-1.1⁽ᴹ⁾ Pourcentage de personnes sous TARV parmi toutes les personnes vivant avec le VIH à la fin de la période de rapportage-7</v>
      </c>
      <c r="E238" s="145" t="str">
        <f>CHOOSE(Translations!$C$1+1,I238,J238,K238)</f>
        <v>Sexe | Age</v>
      </c>
      <c r="F238" s="145" t="str">
        <f>CHOOSE(Translations!$C$1+1,L238,M238,N238)</f>
        <v>Femme 15+</v>
      </c>
      <c r="G238" s="145" t="s">
        <v>2384</v>
      </c>
      <c r="H238" s="146" t="s">
        <v>2385</v>
      </c>
      <c r="I238" s="146" t="s">
        <v>1524</v>
      </c>
      <c r="J238" s="146" t="s">
        <v>1525</v>
      </c>
      <c r="K238" s="146" t="s">
        <v>1526</v>
      </c>
      <c r="L238" s="146" t="s">
        <v>2386</v>
      </c>
      <c r="M238" s="146" t="s">
        <v>2387</v>
      </c>
      <c r="N238" s="146" t="s">
        <v>2388</v>
      </c>
      <c r="O238" s="146" t="s">
        <v>2360</v>
      </c>
      <c r="P238" s="146" t="s">
        <v>2361</v>
      </c>
      <c r="Q238" s="146" t="s">
        <v>2362</v>
      </c>
    </row>
    <row r="239" spans="1:17" s="9" customFormat="1" x14ac:dyDescent="0.25">
      <c r="A239" s="145" t="s">
        <v>2357</v>
      </c>
      <c r="B239" s="145" t="str">
        <f>CHOOSE(Translations!$C$1+1,O239,P239,Q239)</f>
        <v>TCS-1.1⁽ᴹ⁾ Pourcentage de personnes sous TARV parmi toutes les personnes vivant avec le VIH à la fin de la période de rapportage</v>
      </c>
      <c r="C239" s="145">
        <f t="shared" si="8"/>
        <v>8</v>
      </c>
      <c r="D239" s="145" t="str">
        <f t="shared" si="9"/>
        <v>TCS-1.1⁽ᴹ⁾ Pourcentage de personnes sous TARV parmi toutes les personnes vivant avec le VIH à la fin de la période de rapportage-8</v>
      </c>
      <c r="E239" s="145" t="str">
        <f>CHOOSE(Translations!$C$1+1,I239,J239,K239)</f>
        <v>Sexe | Age</v>
      </c>
      <c r="F239" s="145" t="str">
        <f>CHOOSE(Translations!$C$1+1,L239,M239,N239)</f>
        <v>Homme 15-19</v>
      </c>
      <c r="G239" s="145" t="s">
        <v>2389</v>
      </c>
      <c r="H239" s="146" t="s">
        <v>2390</v>
      </c>
      <c r="I239" s="146" t="s">
        <v>1524</v>
      </c>
      <c r="J239" s="146" t="s">
        <v>1525</v>
      </c>
      <c r="K239" s="146" t="s">
        <v>1526</v>
      </c>
      <c r="L239" s="146" t="s">
        <v>1545</v>
      </c>
      <c r="M239" s="146" t="s">
        <v>1546</v>
      </c>
      <c r="N239" s="146" t="s">
        <v>1547</v>
      </c>
      <c r="O239" s="146" t="s">
        <v>2360</v>
      </c>
      <c r="P239" s="146" t="s">
        <v>2361</v>
      </c>
      <c r="Q239" s="146" t="s">
        <v>2362</v>
      </c>
    </row>
    <row r="240" spans="1:17" s="9" customFormat="1" x14ac:dyDescent="0.25">
      <c r="A240" s="145" t="s">
        <v>2357</v>
      </c>
      <c r="B240" s="145" t="str">
        <f>CHOOSE(Translations!$C$1+1,O240,P240,Q240)</f>
        <v>TCS-1.1⁽ᴹ⁾ Pourcentage de personnes sous TARV parmi toutes les personnes vivant avec le VIH à la fin de la période de rapportage</v>
      </c>
      <c r="C240" s="145">
        <f t="shared" si="8"/>
        <v>9</v>
      </c>
      <c r="D240" s="145" t="str">
        <f t="shared" si="9"/>
        <v>TCS-1.1⁽ᴹ⁾ Pourcentage de personnes sous TARV parmi toutes les personnes vivant avec le VIH à la fin de la période de rapportage-9</v>
      </c>
      <c r="E240" s="145" t="str">
        <f>CHOOSE(Translations!$C$1+1,I240,J240,K240)</f>
        <v>Sexe | Age</v>
      </c>
      <c r="F240" s="145" t="str">
        <f>CHOOSE(Translations!$C$1+1,L240,M240,N240)</f>
        <v>Femme 15-19</v>
      </c>
      <c r="G240" s="145" t="s">
        <v>2391</v>
      </c>
      <c r="H240" s="146" t="s">
        <v>2392</v>
      </c>
      <c r="I240" s="146" t="s">
        <v>1524</v>
      </c>
      <c r="J240" s="146" t="s">
        <v>1525</v>
      </c>
      <c r="K240" s="146" t="s">
        <v>1526</v>
      </c>
      <c r="L240" s="146" t="s">
        <v>1540</v>
      </c>
      <c r="M240" s="146" t="s">
        <v>1541</v>
      </c>
      <c r="N240" s="146" t="s">
        <v>1542</v>
      </c>
      <c r="O240" s="146" t="s">
        <v>2360</v>
      </c>
      <c r="P240" s="146" t="s">
        <v>2361</v>
      </c>
      <c r="Q240" s="146" t="s">
        <v>2362</v>
      </c>
    </row>
    <row r="241" spans="1:17" s="9" customFormat="1" x14ac:dyDescent="0.25">
      <c r="A241" s="145" t="s">
        <v>2357</v>
      </c>
      <c r="B241" s="145" t="str">
        <f>CHOOSE(Translations!$C$1+1,O241,P241,Q241)</f>
        <v>TCS-1.1⁽ᴹ⁾ Pourcentage de personnes sous TARV parmi toutes les personnes vivant avec le VIH à la fin de la période de rapportage</v>
      </c>
      <c r="C241" s="145">
        <f t="shared" si="8"/>
        <v>10</v>
      </c>
      <c r="D241" s="145" t="str">
        <f t="shared" si="9"/>
        <v>TCS-1.1⁽ᴹ⁾ Pourcentage de personnes sous TARV parmi toutes les personnes vivant avec le VIH à la fin de la période de rapportage-10</v>
      </c>
      <c r="E241" s="145" t="str">
        <f>CHOOSE(Translations!$C$1+1,I241,J241,K241)</f>
        <v>Sexe | Age</v>
      </c>
      <c r="F241" s="145" t="str">
        <f>CHOOSE(Translations!$C$1+1,L241,M241,N241)</f>
        <v>Homme 20-24</v>
      </c>
      <c r="G241" s="145" t="s">
        <v>2393</v>
      </c>
      <c r="H241" s="146" t="s">
        <v>2394</v>
      </c>
      <c r="I241" s="146" t="s">
        <v>1524</v>
      </c>
      <c r="J241" s="146" t="s">
        <v>1525</v>
      </c>
      <c r="K241" s="146" t="s">
        <v>1526</v>
      </c>
      <c r="L241" s="146" t="s">
        <v>1535</v>
      </c>
      <c r="M241" s="146" t="s">
        <v>1536</v>
      </c>
      <c r="N241" s="146" t="s">
        <v>1537</v>
      </c>
      <c r="O241" s="146" t="s">
        <v>2360</v>
      </c>
      <c r="P241" s="146" t="s">
        <v>2361</v>
      </c>
      <c r="Q241" s="146" t="s">
        <v>2362</v>
      </c>
    </row>
    <row r="242" spans="1:17" s="9" customFormat="1" x14ac:dyDescent="0.25">
      <c r="A242" s="145" t="s">
        <v>2357</v>
      </c>
      <c r="B242" s="145" t="str">
        <f>CHOOSE(Translations!$C$1+1,O242,P242,Q242)</f>
        <v>TCS-1.1⁽ᴹ⁾ Pourcentage de personnes sous TARV parmi toutes les personnes vivant avec le VIH à la fin de la période de rapportage</v>
      </c>
      <c r="C242" s="145">
        <f t="shared" si="8"/>
        <v>11</v>
      </c>
      <c r="D242" s="145" t="str">
        <f t="shared" si="9"/>
        <v>TCS-1.1⁽ᴹ⁾ Pourcentage de personnes sous TARV parmi toutes les personnes vivant avec le VIH à la fin de la période de rapportage-11</v>
      </c>
      <c r="E242" s="145" t="str">
        <f>CHOOSE(Translations!$C$1+1,I242,J242,K242)</f>
        <v>Sexe | Age</v>
      </c>
      <c r="F242" s="145" t="str">
        <f>CHOOSE(Translations!$C$1+1,L242,M242,N242)</f>
        <v>Femme 20-24</v>
      </c>
      <c r="G242" s="145" t="s">
        <v>2395</v>
      </c>
      <c r="H242" s="146" t="s">
        <v>2396</v>
      </c>
      <c r="I242" s="146" t="s">
        <v>1524</v>
      </c>
      <c r="J242" s="146" t="s">
        <v>1525</v>
      </c>
      <c r="K242" s="146" t="s">
        <v>1526</v>
      </c>
      <c r="L242" s="146" t="s">
        <v>1527</v>
      </c>
      <c r="M242" s="146" t="s">
        <v>1528</v>
      </c>
      <c r="N242" s="146" t="s">
        <v>1529</v>
      </c>
      <c r="O242" s="146" t="s">
        <v>2360</v>
      </c>
      <c r="P242" s="146" t="s">
        <v>2361</v>
      </c>
      <c r="Q242" s="146" t="s">
        <v>2362</v>
      </c>
    </row>
    <row r="243" spans="1:17" s="9" customFormat="1" x14ac:dyDescent="0.25">
      <c r="A243" s="145" t="s">
        <v>2357</v>
      </c>
      <c r="B243" s="145" t="str">
        <f>CHOOSE(Translations!$C$1+1,O243,P243,Q243)</f>
        <v>TCS-1.1⁽ᴹ⁾ Pourcentage de personnes sous TARV parmi toutes les personnes vivant avec le VIH à la fin de la période de rapportage</v>
      </c>
      <c r="C243" s="145">
        <f t="shared" si="8"/>
        <v>12</v>
      </c>
      <c r="D243" s="145" t="str">
        <f t="shared" si="9"/>
        <v>TCS-1.1⁽ᴹ⁾ Pourcentage de personnes sous TARV parmi toutes les personnes vivant avec le VIH à la fin de la période de rapportage-12</v>
      </c>
      <c r="E243" s="145" t="str">
        <f>CHOOSE(Translations!$C$1+1,I243,J243,K243)</f>
        <v>Sexe | Age</v>
      </c>
      <c r="F243" s="145" t="str">
        <f>CHOOSE(Translations!$C$1+1,L243,M243,N243)</f>
        <v>Homme 15-24</v>
      </c>
      <c r="G243" s="145" t="s">
        <v>2397</v>
      </c>
      <c r="H243" s="146" t="s">
        <v>2398</v>
      </c>
      <c r="I243" s="146" t="s">
        <v>1524</v>
      </c>
      <c r="J243" s="146" t="s">
        <v>1525</v>
      </c>
      <c r="K243" s="146" t="s">
        <v>1526</v>
      </c>
      <c r="L243" s="146" t="s">
        <v>2399</v>
      </c>
      <c r="M243" s="146" t="s">
        <v>2400</v>
      </c>
      <c r="N243" s="146" t="s">
        <v>2401</v>
      </c>
      <c r="O243" s="146" t="s">
        <v>2360</v>
      </c>
      <c r="P243" s="146" t="s">
        <v>2361</v>
      </c>
      <c r="Q243" s="146" t="s">
        <v>2362</v>
      </c>
    </row>
    <row r="244" spans="1:17" s="9" customFormat="1" x14ac:dyDescent="0.25">
      <c r="A244" s="145" t="s">
        <v>2357</v>
      </c>
      <c r="B244" s="145" t="str">
        <f>CHOOSE(Translations!$C$1+1,O244,P244,Q244)</f>
        <v>TCS-1.1⁽ᴹ⁾ Pourcentage de personnes sous TARV parmi toutes les personnes vivant avec le VIH à la fin de la période de rapportage</v>
      </c>
      <c r="C244" s="145">
        <f t="shared" si="8"/>
        <v>13</v>
      </c>
      <c r="D244" s="145" t="str">
        <f t="shared" si="9"/>
        <v>TCS-1.1⁽ᴹ⁾ Pourcentage de personnes sous TARV parmi toutes les personnes vivant avec le VIH à la fin de la période de rapportage-13</v>
      </c>
      <c r="E244" s="145" t="str">
        <f>CHOOSE(Translations!$C$1+1,I244,J244,K244)</f>
        <v>Sexe | Age</v>
      </c>
      <c r="F244" s="145" t="str">
        <f>CHOOSE(Translations!$C$1+1,L244,M244,N244)</f>
        <v>Femme 15-24</v>
      </c>
      <c r="G244" s="145" t="s">
        <v>2402</v>
      </c>
      <c r="H244" s="146" t="s">
        <v>2403</v>
      </c>
      <c r="I244" s="146" t="s">
        <v>1524</v>
      </c>
      <c r="J244" s="146" t="s">
        <v>1525</v>
      </c>
      <c r="K244" s="146" t="s">
        <v>1526</v>
      </c>
      <c r="L244" s="146" t="s">
        <v>2404</v>
      </c>
      <c r="M244" s="146" t="s">
        <v>2405</v>
      </c>
      <c r="N244" s="146" t="s">
        <v>2406</v>
      </c>
      <c r="O244" s="146" t="s">
        <v>2360</v>
      </c>
      <c r="P244" s="146" t="s">
        <v>2361</v>
      </c>
      <c r="Q244" s="146" t="s">
        <v>2362</v>
      </c>
    </row>
    <row r="245" spans="1:17" s="9" customFormat="1" x14ac:dyDescent="0.25">
      <c r="A245" s="145" t="s">
        <v>2357</v>
      </c>
      <c r="B245" s="145" t="str">
        <f>CHOOSE(Translations!$C$1+1,O245,P245,Q245)</f>
        <v>TCS-1.1⁽ᴹ⁾ Pourcentage de personnes sous TARV parmi toutes les personnes vivant avec le VIH à la fin de la période de rapportage</v>
      </c>
      <c r="C245" s="145">
        <f t="shared" si="8"/>
        <v>14</v>
      </c>
      <c r="D245" s="145" t="str">
        <f t="shared" si="9"/>
        <v>TCS-1.1⁽ᴹ⁾ Pourcentage de personnes sous TARV parmi toutes les personnes vivant avec le VIH à la fin de la période de rapportage-14</v>
      </c>
      <c r="E245" s="145" t="str">
        <f>CHOOSE(Translations!$C$1+1,I245,J245,K245)</f>
        <v>Groupe à risque cible</v>
      </c>
      <c r="F245" s="145" t="str">
        <f>CHOOSE(Translations!$C$1+1,L245,M245,N245)</f>
        <v>HSH</v>
      </c>
      <c r="G245" s="145" t="s">
        <v>2407</v>
      </c>
      <c r="H245" s="146" t="s">
        <v>2408</v>
      </c>
      <c r="I245" s="146" t="s">
        <v>1934</v>
      </c>
      <c r="J245" s="146" t="s">
        <v>1935</v>
      </c>
      <c r="K245" s="146" t="s">
        <v>1936</v>
      </c>
      <c r="L245" s="146" t="s">
        <v>1955</v>
      </c>
      <c r="M245" s="146" t="s">
        <v>1956</v>
      </c>
      <c r="N245" s="146" t="s">
        <v>1956</v>
      </c>
      <c r="O245" s="146" t="s">
        <v>2360</v>
      </c>
      <c r="P245" s="146" t="s">
        <v>2361</v>
      </c>
      <c r="Q245" s="146" t="s">
        <v>2362</v>
      </c>
    </row>
    <row r="246" spans="1:17" s="9" customFormat="1" x14ac:dyDescent="0.25">
      <c r="A246" s="145" t="s">
        <v>2357</v>
      </c>
      <c r="B246" s="145" t="str">
        <f>CHOOSE(Translations!$C$1+1,O246,P246,Q246)</f>
        <v>TCS-1.1⁽ᴹ⁾ Pourcentage de personnes sous TARV parmi toutes les personnes vivant avec le VIH à la fin de la période de rapportage</v>
      </c>
      <c r="C246" s="145">
        <f t="shared" si="8"/>
        <v>15</v>
      </c>
      <c r="D246" s="145" t="str">
        <f t="shared" si="9"/>
        <v>TCS-1.1⁽ᴹ⁾ Pourcentage de personnes sous TARV parmi toutes les personnes vivant avec le VIH à la fin de la période de rapportage-15</v>
      </c>
      <c r="E246" s="145" t="str">
        <f>CHOOSE(Translations!$C$1+1,I246,J246,K246)</f>
        <v>Groupe à risque cible</v>
      </c>
      <c r="F246" s="145" t="str">
        <f>CHOOSE(Translations!$C$1+1,L246,M246,N246)</f>
        <v>Professionnels du sexe</v>
      </c>
      <c r="G246" s="145" t="s">
        <v>2409</v>
      </c>
      <c r="H246" s="146" t="s">
        <v>2410</v>
      </c>
      <c r="I246" s="146" t="s">
        <v>1934</v>
      </c>
      <c r="J246" s="146" t="s">
        <v>1935</v>
      </c>
      <c r="K246" s="146" t="s">
        <v>1936</v>
      </c>
      <c r="L246" s="146" t="s">
        <v>1950</v>
      </c>
      <c r="M246" s="146" t="s">
        <v>1951</v>
      </c>
      <c r="N246" s="146" t="s">
        <v>1952</v>
      </c>
      <c r="O246" s="146" t="s">
        <v>2360</v>
      </c>
      <c r="P246" s="146" t="s">
        <v>2361</v>
      </c>
      <c r="Q246" s="146" t="s">
        <v>2362</v>
      </c>
    </row>
    <row r="247" spans="1:17" s="9" customFormat="1" x14ac:dyDescent="0.25">
      <c r="A247" s="145" t="s">
        <v>2357</v>
      </c>
      <c r="B247" s="145" t="str">
        <f>CHOOSE(Translations!$C$1+1,O247,P247,Q247)</f>
        <v>TCS-1.1⁽ᴹ⁾ Pourcentage de personnes sous TARV parmi toutes les personnes vivant avec le VIH à la fin de la période de rapportage</v>
      </c>
      <c r="C247" s="145">
        <f t="shared" si="8"/>
        <v>16</v>
      </c>
      <c r="D247" s="145" t="str">
        <f t="shared" si="9"/>
        <v>TCS-1.1⁽ᴹ⁾ Pourcentage de personnes sous TARV parmi toutes les personnes vivant avec le VIH à la fin de la période de rapportage-16</v>
      </c>
      <c r="E247" s="145" t="str">
        <f>CHOOSE(Translations!$C$1+1,I247,J247,K247)</f>
        <v>Groupe à risque cible</v>
      </c>
      <c r="F247" s="145" t="str">
        <f>CHOOSE(Translations!$C$1+1,L247,M247,N247)</f>
        <v>Usagers de drogues injectables</v>
      </c>
      <c r="G247" s="145" t="s">
        <v>2411</v>
      </c>
      <c r="H247" s="146" t="s">
        <v>2412</v>
      </c>
      <c r="I247" s="146" t="s">
        <v>1934</v>
      </c>
      <c r="J247" s="146" t="s">
        <v>1935</v>
      </c>
      <c r="K247" s="146" t="s">
        <v>1936</v>
      </c>
      <c r="L247" s="146" t="s">
        <v>1945</v>
      </c>
      <c r="M247" s="146" t="s">
        <v>1946</v>
      </c>
      <c r="N247" s="146" t="s">
        <v>1947</v>
      </c>
      <c r="O247" s="146" t="s">
        <v>2360</v>
      </c>
      <c r="P247" s="146" t="s">
        <v>2361</v>
      </c>
      <c r="Q247" s="146" t="s">
        <v>2362</v>
      </c>
    </row>
    <row r="248" spans="1:17" s="9" customFormat="1" x14ac:dyDescent="0.25">
      <c r="A248" s="145" t="s">
        <v>2357</v>
      </c>
      <c r="B248" s="145" t="str">
        <f>CHOOSE(Translations!$C$1+1,O248,P248,Q248)</f>
        <v>TCS-1.1⁽ᴹ⁾ Pourcentage de personnes sous TARV parmi toutes les personnes vivant avec le VIH à la fin de la période de rapportage</v>
      </c>
      <c r="C248" s="145">
        <f t="shared" si="8"/>
        <v>17</v>
      </c>
      <c r="D248" s="145" t="str">
        <f t="shared" si="9"/>
        <v>TCS-1.1⁽ᴹ⁾ Pourcentage de personnes sous TARV parmi toutes les personnes vivant avec le VIH à la fin de la période de rapportage-17</v>
      </c>
      <c r="E248" s="145" t="str">
        <f>CHOOSE(Translations!$C$1+1,I248,J248,K248)</f>
        <v>Groupe à risque cible</v>
      </c>
      <c r="F248" s="145" t="str">
        <f>CHOOSE(Translations!$C$1+1,L248,M248,N248)</f>
        <v>Prisonniers</v>
      </c>
      <c r="G248" s="145" t="s">
        <v>2413</v>
      </c>
      <c r="H248" s="146" t="s">
        <v>2414</v>
      </c>
      <c r="I248" s="146" t="s">
        <v>1934</v>
      </c>
      <c r="J248" s="146" t="s">
        <v>1935</v>
      </c>
      <c r="K248" s="146" t="s">
        <v>1936</v>
      </c>
      <c r="L248" s="146" t="s">
        <v>1937</v>
      </c>
      <c r="M248" s="146" t="s">
        <v>1938</v>
      </c>
      <c r="N248" s="146" t="s">
        <v>1939</v>
      </c>
      <c r="O248" s="146" t="s">
        <v>2360</v>
      </c>
      <c r="P248" s="146" t="s">
        <v>2361</v>
      </c>
      <c r="Q248" s="146" t="s">
        <v>2362</v>
      </c>
    </row>
    <row r="249" spans="1:17" s="9" customFormat="1" x14ac:dyDescent="0.25">
      <c r="A249" s="145" t="s">
        <v>2415</v>
      </c>
      <c r="B249" s="145" t="str">
        <f>CHOOSE(Translations!$C$1+1,O249,P249,Q249)</f>
        <v>TCS-1b⁽ᴹ⁾ Pourcentage d'adultes (15 ans et plus) sous TARV parmi tous les adultes vivant avec le VIH à la fin de la période de rapportage</v>
      </c>
      <c r="C249" s="145">
        <f t="shared" si="8"/>
        <v>0</v>
      </c>
      <c r="D249" s="145" t="str">
        <f t="shared" si="9"/>
        <v>TCS-1b⁽ᴹ⁾ Pourcentage d'adultes (15 ans et plus) sous TARV parmi tous les adultes vivant avec le VIH à la fin de la période de rapportage-0</v>
      </c>
      <c r="E249" s="145" t="str">
        <f>CHOOSE(Translations!$C$1+1,I249,J249,K249)</f>
        <v>Durée du traitement</v>
      </c>
      <c r="F249" s="145" t="str">
        <f>CHOOSE(Translations!$C$1+1,L249,M249,N249)</f>
        <v>Ayant récemment commencé un traitement antirétroviral</v>
      </c>
      <c r="G249" s="145" t="s">
        <v>2416</v>
      </c>
      <c r="H249" s="146" t="s">
        <v>2417</v>
      </c>
      <c r="I249" s="146" t="s">
        <v>2367</v>
      </c>
      <c r="J249" s="146" t="s">
        <v>2368</v>
      </c>
      <c r="K249" s="146" t="s">
        <v>2369</v>
      </c>
      <c r="L249" s="146" t="s">
        <v>2370</v>
      </c>
      <c r="M249" s="146" t="s">
        <v>2371</v>
      </c>
      <c r="N249" s="146" t="s">
        <v>2372</v>
      </c>
      <c r="O249" s="146" t="s">
        <v>2418</v>
      </c>
      <c r="P249" s="146" t="s">
        <v>2419</v>
      </c>
      <c r="Q249" s="146" t="s">
        <v>2420</v>
      </c>
    </row>
    <row r="250" spans="1:17" s="9" customFormat="1" x14ac:dyDescent="0.25">
      <c r="A250" s="145" t="s">
        <v>2415</v>
      </c>
      <c r="B250" s="145" t="str">
        <f>CHOOSE(Translations!$C$1+1,O250,P250,Q250)</f>
        <v>TCS-1b⁽ᴹ⁾ Pourcentage d'adultes (15 ans et plus) sous TARV parmi tous les adultes vivant avec le VIH à la fin de la période de rapportage</v>
      </c>
      <c r="C250" s="145">
        <f t="shared" si="8"/>
        <v>1</v>
      </c>
      <c r="D250" s="145" t="str">
        <f t="shared" si="9"/>
        <v>TCS-1b⁽ᴹ⁾ Pourcentage d'adultes (15 ans et plus) sous TARV parmi tous les adultes vivant avec le VIH à la fin de la période de rapportage-1</v>
      </c>
      <c r="E250" s="145" t="str">
        <f>CHOOSE(Translations!$C$1+1,I250,J250,K250)</f>
        <v>Sexe</v>
      </c>
      <c r="F250" s="145" t="str">
        <f>CHOOSE(Translations!$C$1+1,L250,M250,N250)</f>
        <v>Homme</v>
      </c>
      <c r="G250" s="145" t="s">
        <v>2421</v>
      </c>
      <c r="H250" s="146" t="s">
        <v>2422</v>
      </c>
      <c r="I250" s="146" t="s">
        <v>1550</v>
      </c>
      <c r="J250" s="146" t="s">
        <v>1551</v>
      </c>
      <c r="K250" s="146" t="s">
        <v>1552</v>
      </c>
      <c r="L250" s="146" t="s">
        <v>1558</v>
      </c>
      <c r="M250" s="146" t="s">
        <v>1559</v>
      </c>
      <c r="N250" s="146" t="s">
        <v>1560</v>
      </c>
      <c r="O250" s="146" t="s">
        <v>2418</v>
      </c>
      <c r="P250" s="146" t="s">
        <v>2419</v>
      </c>
      <c r="Q250" s="146" t="s">
        <v>2420</v>
      </c>
    </row>
    <row r="251" spans="1:17" s="9" customFormat="1" x14ac:dyDescent="0.25">
      <c r="A251" s="145" t="s">
        <v>2415</v>
      </c>
      <c r="B251" s="145" t="str">
        <f>CHOOSE(Translations!$C$1+1,O251,P251,Q251)</f>
        <v>TCS-1b⁽ᴹ⁾ Pourcentage d'adultes (15 ans et plus) sous TARV parmi tous les adultes vivant avec le VIH à la fin de la période de rapportage</v>
      </c>
      <c r="C251" s="145">
        <f t="shared" si="8"/>
        <v>2</v>
      </c>
      <c r="D251" s="145" t="str">
        <f t="shared" si="9"/>
        <v>TCS-1b⁽ᴹ⁾ Pourcentage d'adultes (15 ans et plus) sous TARV parmi tous les adultes vivant avec le VIH à la fin de la période de rapportage-2</v>
      </c>
      <c r="E251" s="145" t="str">
        <f>CHOOSE(Translations!$C$1+1,I251,J251,K251)</f>
        <v>Sexe</v>
      </c>
      <c r="F251" s="145" t="str">
        <f>CHOOSE(Translations!$C$1+1,L251,M251,N251)</f>
        <v>Femme</v>
      </c>
      <c r="G251" s="145" t="s">
        <v>2423</v>
      </c>
      <c r="H251" s="146" t="s">
        <v>2424</v>
      </c>
      <c r="I251" s="146" t="s">
        <v>1550</v>
      </c>
      <c r="J251" s="146" t="s">
        <v>1551</v>
      </c>
      <c r="K251" s="146" t="s">
        <v>1552</v>
      </c>
      <c r="L251" s="146" t="s">
        <v>1553</v>
      </c>
      <c r="M251" s="146" t="s">
        <v>1554</v>
      </c>
      <c r="N251" s="146" t="s">
        <v>1555</v>
      </c>
      <c r="O251" s="146" t="s">
        <v>2418</v>
      </c>
      <c r="P251" s="146" t="s">
        <v>2419</v>
      </c>
      <c r="Q251" s="146" t="s">
        <v>2420</v>
      </c>
    </row>
    <row r="252" spans="1:17" s="9" customFormat="1" x14ac:dyDescent="0.25">
      <c r="A252" s="145" t="s">
        <v>2415</v>
      </c>
      <c r="B252" s="145" t="str">
        <f>CHOOSE(Translations!$C$1+1,O252,P252,Q252)</f>
        <v>TCS-1b⁽ᴹ⁾ Pourcentage d'adultes (15 ans et plus) sous TARV parmi tous les adultes vivant avec le VIH à la fin de la période de rapportage</v>
      </c>
      <c r="C252" s="145">
        <f t="shared" si="8"/>
        <v>3</v>
      </c>
      <c r="D252" s="145" t="str">
        <f t="shared" si="9"/>
        <v>TCS-1b⁽ᴹ⁾ Pourcentage d'adultes (15 ans et plus) sous TARV parmi tous les adultes vivant avec le VIH à la fin de la période de rapportage-3</v>
      </c>
      <c r="E252" s="145" t="str">
        <f>CHOOSE(Translations!$C$1+1,I252,J252,K252)</f>
        <v>Sexe</v>
      </c>
      <c r="F252" s="145" t="str">
        <f>CHOOSE(Translations!$C$1+1,L252,M252,N252)</f>
        <v>Transgenre</v>
      </c>
      <c r="G252" s="145" t="s">
        <v>2425</v>
      </c>
      <c r="H252" s="146" t="s">
        <v>2426</v>
      </c>
      <c r="I252" s="146" t="s">
        <v>1550</v>
      </c>
      <c r="J252" s="146" t="s">
        <v>1551</v>
      </c>
      <c r="K252" s="146" t="s">
        <v>1552</v>
      </c>
      <c r="L252" s="146" t="s">
        <v>1634</v>
      </c>
      <c r="M252" s="146" t="s">
        <v>1635</v>
      </c>
      <c r="N252" s="146" t="s">
        <v>1636</v>
      </c>
      <c r="O252" s="146" t="s">
        <v>2418</v>
      </c>
      <c r="P252" s="146" t="s">
        <v>2419</v>
      </c>
      <c r="Q252" s="146" t="s">
        <v>2420</v>
      </c>
    </row>
    <row r="253" spans="1:17" s="9" customFormat="1" x14ac:dyDescent="0.25">
      <c r="A253" s="145" t="s">
        <v>2415</v>
      </c>
      <c r="B253" s="145" t="str">
        <f>CHOOSE(Translations!$C$1+1,O253,P253,Q253)</f>
        <v>TCS-1b⁽ᴹ⁾ Pourcentage d'adultes (15 ans et plus) sous TARV parmi tous les adultes vivant avec le VIH à la fin de la période de rapportage</v>
      </c>
      <c r="C253" s="145">
        <f t="shared" si="8"/>
        <v>4</v>
      </c>
      <c r="D253" s="145" t="str">
        <f t="shared" si="9"/>
        <v>TCS-1b⁽ᴹ⁾ Pourcentage d'adultes (15 ans et plus) sous TARV parmi tous les adultes vivant avec le VIH à la fin de la période de rapportage-4</v>
      </c>
      <c r="E253" s="145" t="str">
        <f>CHOOSE(Translations!$C$1+1,I253,J253,K253)</f>
        <v>Sexe | Age</v>
      </c>
      <c r="F253" s="145" t="str">
        <f>CHOOSE(Translations!$C$1+1,L253,M253,N253)</f>
        <v>Homme 15+</v>
      </c>
      <c r="G253" s="145" t="s">
        <v>2427</v>
      </c>
      <c r="H253" s="146" t="s">
        <v>2428</v>
      </c>
      <c r="I253" s="146" t="s">
        <v>1524</v>
      </c>
      <c r="J253" s="146" t="s">
        <v>1525</v>
      </c>
      <c r="K253" s="146" t="s">
        <v>1526</v>
      </c>
      <c r="L253" s="146" t="s">
        <v>2381</v>
      </c>
      <c r="M253" s="146" t="s">
        <v>2382</v>
      </c>
      <c r="N253" s="146" t="s">
        <v>2383</v>
      </c>
      <c r="O253" s="146" t="s">
        <v>2418</v>
      </c>
      <c r="P253" s="146" t="s">
        <v>2419</v>
      </c>
      <c r="Q253" s="146" t="s">
        <v>2420</v>
      </c>
    </row>
    <row r="254" spans="1:17" s="9" customFormat="1" x14ac:dyDescent="0.25">
      <c r="A254" s="145" t="s">
        <v>2415</v>
      </c>
      <c r="B254" s="145" t="str">
        <f>CHOOSE(Translations!$C$1+1,O254,P254,Q254)</f>
        <v>TCS-1b⁽ᴹ⁾ Pourcentage d'adultes (15 ans et plus) sous TARV parmi tous les adultes vivant avec le VIH à la fin de la période de rapportage</v>
      </c>
      <c r="C254" s="145">
        <f t="shared" si="8"/>
        <v>5</v>
      </c>
      <c r="D254" s="145" t="str">
        <f t="shared" si="9"/>
        <v>TCS-1b⁽ᴹ⁾ Pourcentage d'adultes (15 ans et plus) sous TARV parmi tous les adultes vivant avec le VIH à la fin de la période de rapportage-5</v>
      </c>
      <c r="E254" s="145" t="str">
        <f>CHOOSE(Translations!$C$1+1,I254,J254,K254)</f>
        <v>Sexe | Age</v>
      </c>
      <c r="F254" s="145" t="str">
        <f>CHOOSE(Translations!$C$1+1,L254,M254,N254)</f>
        <v>Femme 15+</v>
      </c>
      <c r="G254" s="145" t="s">
        <v>2429</v>
      </c>
      <c r="H254" s="146" t="s">
        <v>2430</v>
      </c>
      <c r="I254" s="146" t="s">
        <v>1524</v>
      </c>
      <c r="J254" s="146" t="s">
        <v>1525</v>
      </c>
      <c r="K254" s="146" t="s">
        <v>1526</v>
      </c>
      <c r="L254" s="146" t="s">
        <v>2386</v>
      </c>
      <c r="M254" s="146" t="s">
        <v>2387</v>
      </c>
      <c r="N254" s="146" t="s">
        <v>2388</v>
      </c>
      <c r="O254" s="146" t="s">
        <v>2418</v>
      </c>
      <c r="P254" s="146" t="s">
        <v>2419</v>
      </c>
      <c r="Q254" s="146" t="s">
        <v>2420</v>
      </c>
    </row>
    <row r="255" spans="1:17" s="9" customFormat="1" x14ac:dyDescent="0.25">
      <c r="A255" s="145" t="s">
        <v>2415</v>
      </c>
      <c r="B255" s="145" t="str">
        <f>CHOOSE(Translations!$C$1+1,O255,P255,Q255)</f>
        <v>TCS-1b⁽ᴹ⁾ Pourcentage d'adultes (15 ans et plus) sous TARV parmi tous les adultes vivant avec le VIH à la fin de la période de rapportage</v>
      </c>
      <c r="C255" s="145">
        <f t="shared" si="8"/>
        <v>6</v>
      </c>
      <c r="D255" s="145" t="str">
        <f t="shared" si="9"/>
        <v>TCS-1b⁽ᴹ⁾ Pourcentage d'adultes (15 ans et plus) sous TARV parmi tous les adultes vivant avec le VIH à la fin de la période de rapportage-6</v>
      </c>
      <c r="E255" s="145" t="str">
        <f>CHOOSE(Translations!$C$1+1,I255,J255,K255)</f>
        <v>Sexe | Age</v>
      </c>
      <c r="F255" s="145" t="str">
        <f>CHOOSE(Translations!$C$1+1,L255,M255,N255)</f>
        <v>Homme 15-19</v>
      </c>
      <c r="G255" s="145" t="s">
        <v>2431</v>
      </c>
      <c r="H255" s="146" t="s">
        <v>2432</v>
      </c>
      <c r="I255" s="146" t="s">
        <v>1524</v>
      </c>
      <c r="J255" s="146" t="s">
        <v>1525</v>
      </c>
      <c r="K255" s="146" t="s">
        <v>1526</v>
      </c>
      <c r="L255" s="146" t="s">
        <v>1545</v>
      </c>
      <c r="M255" s="146" t="s">
        <v>1546</v>
      </c>
      <c r="N255" s="146" t="s">
        <v>1547</v>
      </c>
      <c r="O255" s="146" t="s">
        <v>2418</v>
      </c>
      <c r="P255" s="146" t="s">
        <v>2419</v>
      </c>
      <c r="Q255" s="146" t="s">
        <v>2420</v>
      </c>
    </row>
    <row r="256" spans="1:17" s="9" customFormat="1" x14ac:dyDescent="0.25">
      <c r="A256" s="145" t="s">
        <v>2415</v>
      </c>
      <c r="B256" s="145" t="str">
        <f>CHOOSE(Translations!$C$1+1,O256,P256,Q256)</f>
        <v>TCS-1b⁽ᴹ⁾ Pourcentage d'adultes (15 ans et plus) sous TARV parmi tous les adultes vivant avec le VIH à la fin de la période de rapportage</v>
      </c>
      <c r="C256" s="145">
        <f t="shared" si="8"/>
        <v>7</v>
      </c>
      <c r="D256" s="145" t="str">
        <f t="shared" si="9"/>
        <v>TCS-1b⁽ᴹ⁾ Pourcentage d'adultes (15 ans et plus) sous TARV parmi tous les adultes vivant avec le VIH à la fin de la période de rapportage-7</v>
      </c>
      <c r="E256" s="145" t="str">
        <f>CHOOSE(Translations!$C$1+1,I256,J256,K256)</f>
        <v>Sexe | Age</v>
      </c>
      <c r="F256" s="145" t="str">
        <f>CHOOSE(Translations!$C$1+1,L256,M256,N256)</f>
        <v>Femme 15-19</v>
      </c>
      <c r="G256" s="145" t="s">
        <v>2433</v>
      </c>
      <c r="H256" s="146" t="s">
        <v>2434</v>
      </c>
      <c r="I256" s="146" t="s">
        <v>1524</v>
      </c>
      <c r="J256" s="146" t="s">
        <v>1525</v>
      </c>
      <c r="K256" s="146" t="s">
        <v>1526</v>
      </c>
      <c r="L256" s="146" t="s">
        <v>1540</v>
      </c>
      <c r="M256" s="146" t="s">
        <v>1541</v>
      </c>
      <c r="N256" s="146" t="s">
        <v>1542</v>
      </c>
      <c r="O256" s="146" t="s">
        <v>2418</v>
      </c>
      <c r="P256" s="146" t="s">
        <v>2419</v>
      </c>
      <c r="Q256" s="146" t="s">
        <v>2420</v>
      </c>
    </row>
    <row r="257" spans="1:17" s="9" customFormat="1" x14ac:dyDescent="0.25">
      <c r="A257" s="145" t="s">
        <v>2415</v>
      </c>
      <c r="B257" s="145" t="str">
        <f>CHOOSE(Translations!$C$1+1,O257,P257,Q257)</f>
        <v>TCS-1b⁽ᴹ⁾ Pourcentage d'adultes (15 ans et plus) sous TARV parmi tous les adultes vivant avec le VIH à la fin de la période de rapportage</v>
      </c>
      <c r="C257" s="145">
        <f t="shared" si="8"/>
        <v>8</v>
      </c>
      <c r="D257" s="145" t="str">
        <f t="shared" si="9"/>
        <v>TCS-1b⁽ᴹ⁾ Pourcentage d'adultes (15 ans et plus) sous TARV parmi tous les adultes vivant avec le VIH à la fin de la période de rapportage-8</v>
      </c>
      <c r="E257" s="145" t="str">
        <f>CHOOSE(Translations!$C$1+1,I257,J257,K257)</f>
        <v>Sexe | Age</v>
      </c>
      <c r="F257" s="145" t="str">
        <f>CHOOSE(Translations!$C$1+1,L257,M257,N257)</f>
        <v>Homme 20-24</v>
      </c>
      <c r="G257" s="145" t="s">
        <v>2435</v>
      </c>
      <c r="H257" s="146" t="s">
        <v>2436</v>
      </c>
      <c r="I257" s="146" t="s">
        <v>1524</v>
      </c>
      <c r="J257" s="146" t="s">
        <v>1525</v>
      </c>
      <c r="K257" s="146" t="s">
        <v>1526</v>
      </c>
      <c r="L257" s="146" t="s">
        <v>1535</v>
      </c>
      <c r="M257" s="146" t="s">
        <v>1536</v>
      </c>
      <c r="N257" s="146" t="s">
        <v>1537</v>
      </c>
      <c r="O257" s="146" t="s">
        <v>2418</v>
      </c>
      <c r="P257" s="146" t="s">
        <v>2419</v>
      </c>
      <c r="Q257" s="146" t="s">
        <v>2420</v>
      </c>
    </row>
    <row r="258" spans="1:17" s="9" customFormat="1" x14ac:dyDescent="0.25">
      <c r="A258" s="145" t="s">
        <v>2415</v>
      </c>
      <c r="B258" s="145" t="str">
        <f>CHOOSE(Translations!$C$1+1,O258,P258,Q258)</f>
        <v>TCS-1b⁽ᴹ⁾ Pourcentage d'adultes (15 ans et plus) sous TARV parmi tous les adultes vivant avec le VIH à la fin de la période de rapportage</v>
      </c>
      <c r="C258" s="145">
        <f t="shared" si="8"/>
        <v>9</v>
      </c>
      <c r="D258" s="145" t="str">
        <f t="shared" si="9"/>
        <v>TCS-1b⁽ᴹ⁾ Pourcentage d'adultes (15 ans et plus) sous TARV parmi tous les adultes vivant avec le VIH à la fin de la période de rapportage-9</v>
      </c>
      <c r="E258" s="145" t="str">
        <f>CHOOSE(Translations!$C$1+1,I258,J258,K258)</f>
        <v>Sexe | Age</v>
      </c>
      <c r="F258" s="145" t="str">
        <f>CHOOSE(Translations!$C$1+1,L258,M258,N258)</f>
        <v>Femme 20-24</v>
      </c>
      <c r="G258" s="145" t="s">
        <v>2437</v>
      </c>
      <c r="H258" s="146" t="s">
        <v>2438</v>
      </c>
      <c r="I258" s="146" t="s">
        <v>1524</v>
      </c>
      <c r="J258" s="146" t="s">
        <v>1525</v>
      </c>
      <c r="K258" s="146" t="s">
        <v>1526</v>
      </c>
      <c r="L258" s="146" t="s">
        <v>1527</v>
      </c>
      <c r="M258" s="146" t="s">
        <v>1528</v>
      </c>
      <c r="N258" s="146" t="s">
        <v>1529</v>
      </c>
      <c r="O258" s="146" t="s">
        <v>2418</v>
      </c>
      <c r="P258" s="146" t="s">
        <v>2419</v>
      </c>
      <c r="Q258" s="146" t="s">
        <v>2420</v>
      </c>
    </row>
    <row r="259" spans="1:17" s="9" customFormat="1" x14ac:dyDescent="0.25">
      <c r="A259" s="145" t="s">
        <v>2415</v>
      </c>
      <c r="B259" s="145" t="str">
        <f>CHOOSE(Translations!$C$1+1,O259,P259,Q259)</f>
        <v>TCS-1b⁽ᴹ⁾ Pourcentage d'adultes (15 ans et plus) sous TARV parmi tous les adultes vivant avec le VIH à la fin de la période de rapportage</v>
      </c>
      <c r="C259" s="145">
        <f t="shared" si="8"/>
        <v>10</v>
      </c>
      <c r="D259" s="145" t="str">
        <f t="shared" si="9"/>
        <v>TCS-1b⁽ᴹ⁾ Pourcentage d'adultes (15 ans et plus) sous TARV parmi tous les adultes vivant avec le VIH à la fin de la période de rapportage-10</v>
      </c>
      <c r="E259" s="145" t="str">
        <f>CHOOSE(Translations!$C$1+1,I259,J259,K259)</f>
        <v>Sexe | Age</v>
      </c>
      <c r="F259" s="145" t="str">
        <f>CHOOSE(Translations!$C$1+1,L259,M259,N259)</f>
        <v>Homme 15-24</v>
      </c>
      <c r="G259" s="145" t="s">
        <v>2439</v>
      </c>
      <c r="H259" s="146" t="s">
        <v>2440</v>
      </c>
      <c r="I259" s="146" t="s">
        <v>1524</v>
      </c>
      <c r="J259" s="146" t="s">
        <v>1525</v>
      </c>
      <c r="K259" s="146" t="s">
        <v>1526</v>
      </c>
      <c r="L259" s="146" t="s">
        <v>2399</v>
      </c>
      <c r="M259" s="146" t="s">
        <v>2400</v>
      </c>
      <c r="N259" s="146" t="s">
        <v>2401</v>
      </c>
      <c r="O259" s="146" t="s">
        <v>2418</v>
      </c>
      <c r="P259" s="146" t="s">
        <v>2419</v>
      </c>
      <c r="Q259" s="146" t="s">
        <v>2420</v>
      </c>
    </row>
    <row r="260" spans="1:17" s="9" customFormat="1" x14ac:dyDescent="0.25">
      <c r="A260" s="145" t="s">
        <v>2415</v>
      </c>
      <c r="B260" s="145" t="str">
        <f>CHOOSE(Translations!$C$1+1,O260,P260,Q260)</f>
        <v>TCS-1b⁽ᴹ⁾ Pourcentage d'adultes (15 ans et plus) sous TARV parmi tous les adultes vivant avec le VIH à la fin de la période de rapportage</v>
      </c>
      <c r="C260" s="145">
        <f t="shared" si="8"/>
        <v>11</v>
      </c>
      <c r="D260" s="145" t="str">
        <f t="shared" si="9"/>
        <v>TCS-1b⁽ᴹ⁾ Pourcentage d'adultes (15 ans et plus) sous TARV parmi tous les adultes vivant avec le VIH à la fin de la période de rapportage-11</v>
      </c>
      <c r="E260" s="145" t="str">
        <f>CHOOSE(Translations!$C$1+1,I260,J260,K260)</f>
        <v>Sexe | Age</v>
      </c>
      <c r="F260" s="145" t="str">
        <f>CHOOSE(Translations!$C$1+1,L260,M260,N260)</f>
        <v>Femme 15-24</v>
      </c>
      <c r="G260" s="145" t="s">
        <v>2441</v>
      </c>
      <c r="H260" s="146" t="s">
        <v>2442</v>
      </c>
      <c r="I260" s="146" t="s">
        <v>1524</v>
      </c>
      <c r="J260" s="146" t="s">
        <v>1525</v>
      </c>
      <c r="K260" s="146" t="s">
        <v>1526</v>
      </c>
      <c r="L260" s="146" t="s">
        <v>2404</v>
      </c>
      <c r="M260" s="146" t="s">
        <v>2405</v>
      </c>
      <c r="N260" s="146" t="s">
        <v>2406</v>
      </c>
      <c r="O260" s="146" t="s">
        <v>2418</v>
      </c>
      <c r="P260" s="146" t="s">
        <v>2419</v>
      </c>
      <c r="Q260" s="146" t="s">
        <v>2420</v>
      </c>
    </row>
    <row r="261" spans="1:17" s="9" customFormat="1" x14ac:dyDescent="0.25">
      <c r="A261" s="145" t="s">
        <v>2415</v>
      </c>
      <c r="B261" s="145" t="str">
        <f>CHOOSE(Translations!$C$1+1,O261,P261,Q261)</f>
        <v>TCS-1b⁽ᴹ⁾ Pourcentage d'adultes (15 ans et plus) sous TARV parmi tous les adultes vivant avec le VIH à la fin de la période de rapportage</v>
      </c>
      <c r="C261" s="145">
        <f t="shared" si="8"/>
        <v>12</v>
      </c>
      <c r="D261" s="145" t="str">
        <f t="shared" si="9"/>
        <v>TCS-1b⁽ᴹ⁾ Pourcentage d'adultes (15 ans et plus) sous TARV parmi tous les adultes vivant avec le VIH à la fin de la période de rapportage-12</v>
      </c>
      <c r="E261" s="145" t="str">
        <f>CHOOSE(Translations!$C$1+1,I261,J261,K261)</f>
        <v>Groupe à risque cible</v>
      </c>
      <c r="F261" s="145" t="str">
        <f>CHOOSE(Translations!$C$1+1,L261,M261,N261)</f>
        <v>HSH</v>
      </c>
      <c r="G261" s="145" t="s">
        <v>2443</v>
      </c>
      <c r="H261" s="146" t="s">
        <v>2444</v>
      </c>
      <c r="I261" s="146" t="s">
        <v>1934</v>
      </c>
      <c r="J261" s="146" t="s">
        <v>1935</v>
      </c>
      <c r="K261" s="146" t="s">
        <v>1936</v>
      </c>
      <c r="L261" s="146" t="s">
        <v>1955</v>
      </c>
      <c r="M261" s="146" t="s">
        <v>1956</v>
      </c>
      <c r="N261" s="146" t="s">
        <v>1956</v>
      </c>
      <c r="O261" s="146" t="s">
        <v>2418</v>
      </c>
      <c r="P261" s="146" t="s">
        <v>2419</v>
      </c>
      <c r="Q261" s="146" t="s">
        <v>2420</v>
      </c>
    </row>
    <row r="262" spans="1:17" s="9" customFormat="1" x14ac:dyDescent="0.25">
      <c r="A262" s="145" t="s">
        <v>2415</v>
      </c>
      <c r="B262" s="145" t="str">
        <f>CHOOSE(Translations!$C$1+1,O262,P262,Q262)</f>
        <v>TCS-1b⁽ᴹ⁾ Pourcentage d'adultes (15 ans et plus) sous TARV parmi tous les adultes vivant avec le VIH à la fin de la période de rapportage</v>
      </c>
      <c r="C262" s="145">
        <f t="shared" si="8"/>
        <v>13</v>
      </c>
      <c r="D262" s="145" t="str">
        <f t="shared" si="9"/>
        <v>TCS-1b⁽ᴹ⁾ Pourcentage d'adultes (15 ans et plus) sous TARV parmi tous les adultes vivant avec le VIH à la fin de la période de rapportage-13</v>
      </c>
      <c r="E262" s="145" t="str">
        <f>CHOOSE(Translations!$C$1+1,I262,J262,K262)</f>
        <v>Groupe à risque cible</v>
      </c>
      <c r="F262" s="145" t="str">
        <f>CHOOSE(Translations!$C$1+1,L262,M262,N262)</f>
        <v>Professionnels du sexe</v>
      </c>
      <c r="G262" s="145" t="s">
        <v>2445</v>
      </c>
      <c r="H262" s="146" t="s">
        <v>2446</v>
      </c>
      <c r="I262" s="146" t="s">
        <v>1934</v>
      </c>
      <c r="J262" s="146" t="s">
        <v>1935</v>
      </c>
      <c r="K262" s="146" t="s">
        <v>1936</v>
      </c>
      <c r="L262" s="146" t="s">
        <v>1950</v>
      </c>
      <c r="M262" s="146" t="s">
        <v>1951</v>
      </c>
      <c r="N262" s="146" t="s">
        <v>1952</v>
      </c>
      <c r="O262" s="146" t="s">
        <v>2418</v>
      </c>
      <c r="P262" s="146" t="s">
        <v>2419</v>
      </c>
      <c r="Q262" s="146" t="s">
        <v>2420</v>
      </c>
    </row>
    <row r="263" spans="1:17" s="9" customFormat="1" x14ac:dyDescent="0.25">
      <c r="A263" s="145" t="s">
        <v>2415</v>
      </c>
      <c r="B263" s="145" t="str">
        <f>CHOOSE(Translations!$C$1+1,O263,P263,Q263)</f>
        <v>TCS-1b⁽ᴹ⁾ Pourcentage d'adultes (15 ans et plus) sous TARV parmi tous les adultes vivant avec le VIH à la fin de la période de rapportage</v>
      </c>
      <c r="C263" s="145">
        <f t="shared" si="8"/>
        <v>14</v>
      </c>
      <c r="D263" s="145" t="str">
        <f t="shared" si="9"/>
        <v>TCS-1b⁽ᴹ⁾ Pourcentage d'adultes (15 ans et plus) sous TARV parmi tous les adultes vivant avec le VIH à la fin de la période de rapportage-14</v>
      </c>
      <c r="E263" s="145" t="str">
        <f>CHOOSE(Translations!$C$1+1,I263,J263,K263)</f>
        <v>Groupe à risque cible</v>
      </c>
      <c r="F263" s="145" t="str">
        <f>CHOOSE(Translations!$C$1+1,L263,M263,N263)</f>
        <v>Usagers de drogues injectables</v>
      </c>
      <c r="G263" s="145" t="s">
        <v>2447</v>
      </c>
      <c r="H263" s="146" t="s">
        <v>2448</v>
      </c>
      <c r="I263" s="146" t="s">
        <v>1934</v>
      </c>
      <c r="J263" s="146" t="s">
        <v>1935</v>
      </c>
      <c r="K263" s="146" t="s">
        <v>1936</v>
      </c>
      <c r="L263" s="146" t="s">
        <v>1945</v>
      </c>
      <c r="M263" s="146" t="s">
        <v>1946</v>
      </c>
      <c r="N263" s="146" t="s">
        <v>1947</v>
      </c>
      <c r="O263" s="146" t="s">
        <v>2418</v>
      </c>
      <c r="P263" s="146" t="s">
        <v>2419</v>
      </c>
      <c r="Q263" s="146" t="s">
        <v>2420</v>
      </c>
    </row>
    <row r="264" spans="1:17" s="9" customFormat="1" x14ac:dyDescent="0.25">
      <c r="A264" s="145" t="s">
        <v>2415</v>
      </c>
      <c r="B264" s="145" t="str">
        <f>CHOOSE(Translations!$C$1+1,O264,P264,Q264)</f>
        <v>TCS-1b⁽ᴹ⁾ Pourcentage d'adultes (15 ans et plus) sous TARV parmi tous les adultes vivant avec le VIH à la fin de la période de rapportage</v>
      </c>
      <c r="C264" s="145">
        <f t="shared" si="8"/>
        <v>15</v>
      </c>
      <c r="D264" s="145" t="str">
        <f t="shared" si="9"/>
        <v>TCS-1b⁽ᴹ⁾ Pourcentage d'adultes (15 ans et plus) sous TARV parmi tous les adultes vivant avec le VIH à la fin de la période de rapportage-15</v>
      </c>
      <c r="E264" s="145" t="str">
        <f>CHOOSE(Translations!$C$1+1,I264,J264,K264)</f>
        <v>Groupe à risque cible</v>
      </c>
      <c r="F264" s="145" t="str">
        <f>CHOOSE(Translations!$C$1+1,L264,M264,N264)</f>
        <v>Prisonniers</v>
      </c>
      <c r="G264" s="145" t="s">
        <v>2449</v>
      </c>
      <c r="H264" s="146" t="s">
        <v>2450</v>
      </c>
      <c r="I264" s="146" t="s">
        <v>1934</v>
      </c>
      <c r="J264" s="146" t="s">
        <v>1935</v>
      </c>
      <c r="K264" s="146" t="s">
        <v>1936</v>
      </c>
      <c r="L264" s="146" t="s">
        <v>1937</v>
      </c>
      <c r="M264" s="146" t="s">
        <v>1938</v>
      </c>
      <c r="N264" s="146" t="s">
        <v>1939</v>
      </c>
      <c r="O264" s="146" t="s">
        <v>2418</v>
      </c>
      <c r="P264" s="146" t="s">
        <v>2419</v>
      </c>
      <c r="Q264" s="146" t="s">
        <v>2420</v>
      </c>
    </row>
    <row r="265" spans="1:17" s="9" customFormat="1" x14ac:dyDescent="0.25">
      <c r="A265" s="145" t="s">
        <v>2451</v>
      </c>
      <c r="B265" s="145" t="str">
        <f>CHOOSE(Translations!$C$1+1,O265,P265,Q265)</f>
        <v>TCS-1c⁽ᴹ⁾ Pourcentage d'enfants (de moins de 15 ans) sous TARV parmi tous les enfants vivant avec le VIH à la fin de la période de rapportage</v>
      </c>
      <c r="C265" s="145">
        <f t="shared" si="8"/>
        <v>0</v>
      </c>
      <c r="D265" s="145" t="str">
        <f t="shared" si="9"/>
        <v>TCS-1c⁽ᴹ⁾ Pourcentage d'enfants (de moins de 15 ans) sous TARV parmi tous les enfants vivant avec le VIH à la fin de la période de rapportage-0</v>
      </c>
      <c r="E265" s="145" t="str">
        <f>CHOOSE(Translations!$C$1+1,I265,J265,K265)</f>
        <v>Durée du traitement</v>
      </c>
      <c r="F265" s="145" t="str">
        <f>CHOOSE(Translations!$C$1+1,L265,M265,N265)</f>
        <v>Ayant récemment commencé un traitement antirétroviral</v>
      </c>
      <c r="G265" s="145" t="s">
        <v>2452</v>
      </c>
      <c r="H265" s="146" t="s">
        <v>2453</v>
      </c>
      <c r="I265" s="146" t="s">
        <v>2367</v>
      </c>
      <c r="J265" s="146" t="s">
        <v>2368</v>
      </c>
      <c r="K265" s="146" t="s">
        <v>2369</v>
      </c>
      <c r="L265" s="146" t="s">
        <v>2370</v>
      </c>
      <c r="M265" s="146" t="s">
        <v>2371</v>
      </c>
      <c r="N265" s="146" t="s">
        <v>2372</v>
      </c>
      <c r="O265" s="146" t="s">
        <v>2454</v>
      </c>
      <c r="P265" s="146" t="s">
        <v>2455</v>
      </c>
      <c r="Q265" s="146" t="s">
        <v>2456</v>
      </c>
    </row>
    <row r="266" spans="1:17" s="9" customFormat="1" x14ac:dyDescent="0.25">
      <c r="A266" s="145" t="s">
        <v>2451</v>
      </c>
      <c r="B266" s="145" t="str">
        <f>CHOOSE(Translations!$C$1+1,O266,P266,Q266)</f>
        <v>TCS-1c⁽ᴹ⁾ Pourcentage d'enfants (de moins de 15 ans) sous TARV parmi tous les enfants vivant avec le VIH à la fin de la période de rapportage</v>
      </c>
      <c r="C266" s="145">
        <f t="shared" si="8"/>
        <v>1</v>
      </c>
      <c r="D266" s="145" t="str">
        <f t="shared" si="9"/>
        <v>TCS-1c⁽ᴹ⁾ Pourcentage d'enfants (de moins de 15 ans) sous TARV parmi tous les enfants vivant avec le VIH à la fin de la période de rapportage-1</v>
      </c>
      <c r="E266" s="145" t="str">
        <f>CHOOSE(Translations!$C$1+1,I266,J266,K266)</f>
        <v>Sexe</v>
      </c>
      <c r="F266" s="145" t="str">
        <f>CHOOSE(Translations!$C$1+1,L266,M266,N266)</f>
        <v>Homme</v>
      </c>
      <c r="G266" s="145" t="s">
        <v>2457</v>
      </c>
      <c r="H266" s="146" t="s">
        <v>2458</v>
      </c>
      <c r="I266" s="146" t="s">
        <v>1550</v>
      </c>
      <c r="J266" s="146" t="s">
        <v>1551</v>
      </c>
      <c r="K266" s="146" t="s">
        <v>1552</v>
      </c>
      <c r="L266" s="146" t="s">
        <v>1558</v>
      </c>
      <c r="M266" s="146" t="s">
        <v>1559</v>
      </c>
      <c r="N266" s="146" t="s">
        <v>1560</v>
      </c>
      <c r="O266" s="146" t="s">
        <v>2454</v>
      </c>
      <c r="P266" s="146" t="s">
        <v>2455</v>
      </c>
      <c r="Q266" s="146" t="s">
        <v>2456</v>
      </c>
    </row>
    <row r="267" spans="1:17" s="9" customFormat="1" x14ac:dyDescent="0.25">
      <c r="A267" s="145" t="s">
        <v>2451</v>
      </c>
      <c r="B267" s="145" t="str">
        <f>CHOOSE(Translations!$C$1+1,O267,P267,Q267)</f>
        <v>TCS-1c⁽ᴹ⁾ Pourcentage d'enfants (de moins de 15 ans) sous TARV parmi tous les enfants vivant avec le VIH à la fin de la période de rapportage</v>
      </c>
      <c r="C267" s="145">
        <f t="shared" si="8"/>
        <v>2</v>
      </c>
      <c r="D267" s="145" t="str">
        <f t="shared" si="9"/>
        <v>TCS-1c⁽ᴹ⁾ Pourcentage d'enfants (de moins de 15 ans) sous TARV parmi tous les enfants vivant avec le VIH à la fin de la période de rapportage-2</v>
      </c>
      <c r="E267" s="145" t="str">
        <f>CHOOSE(Translations!$C$1+1,I267,J267,K267)</f>
        <v>Sexe</v>
      </c>
      <c r="F267" s="145" t="str">
        <f>CHOOSE(Translations!$C$1+1,L267,M267,N267)</f>
        <v>Femme</v>
      </c>
      <c r="G267" s="145" t="s">
        <v>2459</v>
      </c>
      <c r="H267" s="146" t="s">
        <v>2460</v>
      </c>
      <c r="I267" s="146" t="s">
        <v>1550</v>
      </c>
      <c r="J267" s="146" t="s">
        <v>1551</v>
      </c>
      <c r="K267" s="146" t="s">
        <v>1552</v>
      </c>
      <c r="L267" s="146" t="s">
        <v>1553</v>
      </c>
      <c r="M267" s="146" t="s">
        <v>1554</v>
      </c>
      <c r="N267" s="146" t="s">
        <v>1555</v>
      </c>
      <c r="O267" s="146" t="s">
        <v>2454</v>
      </c>
      <c r="P267" s="146" t="s">
        <v>2455</v>
      </c>
      <c r="Q267" s="146" t="s">
        <v>2456</v>
      </c>
    </row>
    <row r="268" spans="1:17" s="9" customFormat="1" x14ac:dyDescent="0.25">
      <c r="A268" s="145" t="s">
        <v>2461</v>
      </c>
      <c r="B268" s="145" t="str">
        <f>CHOOSE(Translations!$C$1+1,O268,P268,Q268)</f>
        <v>TCP-1⁽ᴹ⁾ Nombre de cas déclarés de tuberculose toutes formes confondues (c.-à-d. cas confirmés bactériologiquement plus cas diagnostiqués cliniquement), nouveaux cas et récidives</v>
      </c>
      <c r="C268" s="145">
        <f t="shared" si="8"/>
        <v>0</v>
      </c>
      <c r="D268" s="145" t="str">
        <f t="shared" si="9"/>
        <v>TCP-1⁽ᴹ⁾ Nombre de cas déclarés de tuberculose toutes formes confondues (c.-à-d. cas confirmés bactériologiquement plus cas diagnostiqués cliniquement), nouveaux cas et récidives-0</v>
      </c>
      <c r="E268" s="145" t="str">
        <f>CHOOSE(Translations!$C$1+1,I268,J268,K268)</f>
        <v>Age</v>
      </c>
      <c r="F268" s="145" t="str">
        <f>CHOOSE(Translations!$C$1+1,L268,M268,N268)</f>
        <v>&lt;15</v>
      </c>
      <c r="G268" s="145" t="s">
        <v>2462</v>
      </c>
      <c r="H268" s="146" t="s">
        <v>2463</v>
      </c>
      <c r="I268" s="146" t="s">
        <v>1563</v>
      </c>
      <c r="J268" s="146" t="s">
        <v>1563</v>
      </c>
      <c r="K268" s="146" t="s">
        <v>1564</v>
      </c>
      <c r="L268" s="146" t="s">
        <v>1568</v>
      </c>
      <c r="M268" s="146" t="s">
        <v>1568</v>
      </c>
      <c r="N268" s="146" t="s">
        <v>1568</v>
      </c>
      <c r="O268" s="146" t="s">
        <v>2464</v>
      </c>
      <c r="P268" s="146" t="s">
        <v>2465</v>
      </c>
      <c r="Q268" s="146" t="s">
        <v>2466</v>
      </c>
    </row>
    <row r="269" spans="1:17" s="9" customFormat="1" x14ac:dyDescent="0.25">
      <c r="A269" s="145" t="s">
        <v>2461</v>
      </c>
      <c r="B269" s="145" t="str">
        <f>CHOOSE(Translations!$C$1+1,O269,P269,Q269)</f>
        <v>TCP-1⁽ᴹ⁾ Nombre de cas déclarés de tuberculose toutes formes confondues (c.-à-d. cas confirmés bactériologiquement plus cas diagnostiqués cliniquement), nouveaux cas et récidives</v>
      </c>
      <c r="C269" s="145">
        <f t="shared" si="8"/>
        <v>1</v>
      </c>
      <c r="D269" s="145" t="str">
        <f t="shared" si="9"/>
        <v>TCP-1⁽ᴹ⁾ Nombre de cas déclarés de tuberculose toutes formes confondues (c.-à-d. cas confirmés bactériologiquement plus cas diagnostiqués cliniquement), nouveaux cas et récidives-1</v>
      </c>
      <c r="E269" s="145" t="str">
        <f>CHOOSE(Translations!$C$1+1,I269,J269,K269)</f>
        <v>Age</v>
      </c>
      <c r="F269" s="145" t="str">
        <f>CHOOSE(Translations!$C$1+1,L269,M269,N269)</f>
        <v>15+</v>
      </c>
      <c r="G269" s="145" t="s">
        <v>2467</v>
      </c>
      <c r="H269" s="146" t="s">
        <v>2468</v>
      </c>
      <c r="I269" s="146" t="s">
        <v>1563</v>
      </c>
      <c r="J269" s="146" t="s">
        <v>1563</v>
      </c>
      <c r="K269" s="146" t="s">
        <v>1564</v>
      </c>
      <c r="L269" s="146" t="s">
        <v>1565</v>
      </c>
      <c r="M269" s="146" t="s">
        <v>1565</v>
      </c>
      <c r="N269" s="146" t="s">
        <v>1565</v>
      </c>
      <c r="O269" s="146" t="s">
        <v>2464</v>
      </c>
      <c r="P269" s="146" t="s">
        <v>2465</v>
      </c>
      <c r="Q269" s="146" t="s">
        <v>2466</v>
      </c>
    </row>
    <row r="270" spans="1:17" s="9" customFormat="1" x14ac:dyDescent="0.25">
      <c r="A270" s="145" t="s">
        <v>2461</v>
      </c>
      <c r="B270" s="145" t="str">
        <f>CHOOSE(Translations!$C$1+1,O270,P270,Q270)</f>
        <v>TCP-1⁽ᴹ⁾ Nombre de cas déclarés de tuberculose toutes formes confondues (c.-à-d. cas confirmés bactériologiquement plus cas diagnostiqués cliniquement), nouveaux cas et récidives</v>
      </c>
      <c r="C270" s="145">
        <f t="shared" si="8"/>
        <v>2</v>
      </c>
      <c r="D270" s="145" t="str">
        <f t="shared" si="9"/>
        <v>TCP-1⁽ᴹ⁾ Nombre de cas déclarés de tuberculose toutes formes confondues (c.-à-d. cas confirmés bactériologiquement plus cas diagnostiqués cliniquement), nouveaux cas et récidives-2</v>
      </c>
      <c r="E270" s="145" t="str">
        <f>CHOOSE(Translations!$C$1+1,I270,J270,K270)</f>
        <v>Sexe</v>
      </c>
      <c r="F270" s="145" t="str">
        <f>CHOOSE(Translations!$C$1+1,L270,M270,N270)</f>
        <v>Homme</v>
      </c>
      <c r="G270" s="145" t="s">
        <v>2469</v>
      </c>
      <c r="H270" s="146" t="s">
        <v>2470</v>
      </c>
      <c r="I270" s="146" t="s">
        <v>1550</v>
      </c>
      <c r="J270" s="146" t="s">
        <v>1551</v>
      </c>
      <c r="K270" s="146" t="s">
        <v>1552</v>
      </c>
      <c r="L270" s="146" t="s">
        <v>1558</v>
      </c>
      <c r="M270" s="146" t="s">
        <v>1559</v>
      </c>
      <c r="N270" s="146" t="s">
        <v>1560</v>
      </c>
      <c r="O270" s="146" t="s">
        <v>2464</v>
      </c>
      <c r="P270" s="146" t="s">
        <v>2465</v>
      </c>
      <c r="Q270" s="146" t="s">
        <v>2466</v>
      </c>
    </row>
    <row r="271" spans="1:17" s="9" customFormat="1" x14ac:dyDescent="0.25">
      <c r="A271" s="145" t="s">
        <v>2461</v>
      </c>
      <c r="B271" s="145" t="str">
        <f>CHOOSE(Translations!$C$1+1,O271,P271,Q271)</f>
        <v>TCP-1⁽ᴹ⁾ Nombre de cas déclarés de tuberculose toutes formes confondues (c.-à-d. cas confirmés bactériologiquement plus cas diagnostiqués cliniquement), nouveaux cas et récidives</v>
      </c>
      <c r="C271" s="145">
        <f t="shared" si="8"/>
        <v>3</v>
      </c>
      <c r="D271" s="145" t="str">
        <f t="shared" si="9"/>
        <v>TCP-1⁽ᴹ⁾ Nombre de cas déclarés de tuberculose toutes formes confondues (c.-à-d. cas confirmés bactériologiquement plus cas diagnostiqués cliniquement), nouveaux cas et récidives-3</v>
      </c>
      <c r="E271" s="145" t="str">
        <f>CHOOSE(Translations!$C$1+1,I271,J271,K271)</f>
        <v>Sexe</v>
      </c>
      <c r="F271" s="145" t="str">
        <f>CHOOSE(Translations!$C$1+1,L271,M271,N271)</f>
        <v>Femme</v>
      </c>
      <c r="G271" s="145" t="s">
        <v>2471</v>
      </c>
      <c r="H271" s="146" t="s">
        <v>2472</v>
      </c>
      <c r="I271" s="146" t="s">
        <v>1550</v>
      </c>
      <c r="J271" s="146" t="s">
        <v>1551</v>
      </c>
      <c r="K271" s="146" t="s">
        <v>1552</v>
      </c>
      <c r="L271" s="146" t="s">
        <v>1553</v>
      </c>
      <c r="M271" s="146" t="s">
        <v>1554</v>
      </c>
      <c r="N271" s="146" t="s">
        <v>1555</v>
      </c>
      <c r="O271" s="146" t="s">
        <v>2464</v>
      </c>
      <c r="P271" s="146" t="s">
        <v>2465</v>
      </c>
      <c r="Q271" s="146" t="s">
        <v>2466</v>
      </c>
    </row>
    <row r="272" spans="1:17" s="9" customFormat="1" x14ac:dyDescent="0.25">
      <c r="A272" s="145" t="s">
        <v>2461</v>
      </c>
      <c r="B272" s="145" t="str">
        <f>CHOOSE(Translations!$C$1+1,O272,P272,Q272)</f>
        <v>TCP-1⁽ᴹ⁾ Nombre de cas déclarés de tuberculose toutes formes confondues (c.-à-d. cas confirmés bactériologiquement plus cas diagnostiqués cliniquement), nouveaux cas et récidives</v>
      </c>
      <c r="C272" s="145">
        <f t="shared" si="8"/>
        <v>4</v>
      </c>
      <c r="D272" s="145" t="str">
        <f t="shared" si="9"/>
        <v>TCP-1⁽ᴹ⁾ Nombre de cas déclarés de tuberculose toutes formes confondues (c.-à-d. cas confirmés bactériologiquement plus cas diagnostiqués cliniquement), nouveaux cas et récidives-4</v>
      </c>
      <c r="E272" s="145" t="str">
        <f>CHOOSE(Translations!$C$1+1,I272,J272,K272)</f>
        <v>Résultat du test VIH</v>
      </c>
      <c r="F272" s="145" t="str">
        <f>CHOOSE(Translations!$C$1+1,L272,M272,N272)</f>
        <v>Positif</v>
      </c>
      <c r="G272" s="145" t="s">
        <v>2473</v>
      </c>
      <c r="H272" s="146" t="s">
        <v>2474</v>
      </c>
      <c r="I272" s="146" t="s">
        <v>2168</v>
      </c>
      <c r="J272" s="146" t="s">
        <v>2169</v>
      </c>
      <c r="K272" s="146" t="s">
        <v>2170</v>
      </c>
      <c r="L272" s="146" t="s">
        <v>2171</v>
      </c>
      <c r="M272" s="146" t="s">
        <v>2172</v>
      </c>
      <c r="N272" s="146" t="s">
        <v>2173</v>
      </c>
      <c r="O272" s="146" t="s">
        <v>2464</v>
      </c>
      <c r="P272" s="146" t="s">
        <v>2465</v>
      </c>
      <c r="Q272" s="146" t="s">
        <v>2466</v>
      </c>
    </row>
    <row r="273" spans="1:17" s="9" customFormat="1" x14ac:dyDescent="0.25">
      <c r="A273" s="145" t="s">
        <v>2461</v>
      </c>
      <c r="B273" s="145" t="str">
        <f>CHOOSE(Translations!$C$1+1,O273,P273,Q273)</f>
        <v>TCP-1⁽ᴹ⁾ Nombre de cas déclarés de tuberculose toutes formes confondues (c.-à-d. cas confirmés bactériologiquement plus cas diagnostiqués cliniquement), nouveaux cas et récidives</v>
      </c>
      <c r="C273" s="145">
        <f t="shared" si="8"/>
        <v>5</v>
      </c>
      <c r="D273" s="145" t="str">
        <f t="shared" si="9"/>
        <v>TCP-1⁽ᴹ⁾ Nombre de cas déclarés de tuberculose toutes formes confondues (c.-à-d. cas confirmés bactériologiquement plus cas diagnostiqués cliniquement), nouveaux cas et récidives-5</v>
      </c>
      <c r="E273" s="145" t="str">
        <f>CHOOSE(Translations!$C$1+1,I273,J273,K273)</f>
        <v>Résultat du test VIH</v>
      </c>
      <c r="F273" s="145" t="str">
        <f>CHOOSE(Translations!$C$1+1,L273,M273,N273)</f>
        <v>Négatif</v>
      </c>
      <c r="G273" s="145" t="s">
        <v>2475</v>
      </c>
      <c r="H273" s="146" t="s">
        <v>2476</v>
      </c>
      <c r="I273" s="146" t="s">
        <v>2168</v>
      </c>
      <c r="J273" s="146" t="s">
        <v>2169</v>
      </c>
      <c r="K273" s="146" t="s">
        <v>2170</v>
      </c>
      <c r="L273" s="146" t="s">
        <v>2179</v>
      </c>
      <c r="M273" s="146" t="s">
        <v>2180</v>
      </c>
      <c r="N273" s="146" t="s">
        <v>2181</v>
      </c>
      <c r="O273" s="146" t="s">
        <v>2464</v>
      </c>
      <c r="P273" s="146" t="s">
        <v>2465</v>
      </c>
      <c r="Q273" s="146" t="s">
        <v>2466</v>
      </c>
    </row>
    <row r="274" spans="1:17" s="9" customFormat="1" x14ac:dyDescent="0.25">
      <c r="A274" s="145" t="s">
        <v>2461</v>
      </c>
      <c r="B274" s="145" t="str">
        <f>CHOOSE(Translations!$C$1+1,O274,P274,Q274)</f>
        <v>TCP-1⁽ᴹ⁾ Nombre de cas déclarés de tuberculose toutes formes confondues (c.-à-d. cas confirmés bactériologiquement plus cas diagnostiqués cliniquement), nouveaux cas et récidives</v>
      </c>
      <c r="C274" s="145">
        <f t="shared" si="8"/>
        <v>6</v>
      </c>
      <c r="D274" s="145" t="str">
        <f t="shared" si="9"/>
        <v>TCP-1⁽ᴹ⁾ Nombre de cas déclarés de tuberculose toutes formes confondues (c.-à-d. cas confirmés bactériologiquement plus cas diagnostiqués cliniquement), nouveaux cas et récidives-6</v>
      </c>
      <c r="E274" s="145" t="str">
        <f>CHOOSE(Translations!$C$1+1,I274,J274,K274)</f>
        <v>Résultat du test VIH</v>
      </c>
      <c r="F274" s="145" t="str">
        <f>CHOOSE(Translations!$C$1+1,L274,M274,N274)</f>
        <v>non communiqué</v>
      </c>
      <c r="G274" s="145" t="s">
        <v>2477</v>
      </c>
      <c r="H274" s="146" t="s">
        <v>2478</v>
      </c>
      <c r="I274" s="146" t="s">
        <v>2168</v>
      </c>
      <c r="J274" s="146" t="s">
        <v>2169</v>
      </c>
      <c r="K274" s="146" t="s">
        <v>2170</v>
      </c>
      <c r="L274" s="146" t="s">
        <v>2479</v>
      </c>
      <c r="M274" s="146" t="s">
        <v>2480</v>
      </c>
      <c r="N274" s="146" t="s">
        <v>2481</v>
      </c>
      <c r="O274" s="146" t="s">
        <v>2464</v>
      </c>
      <c r="P274" s="146" t="s">
        <v>2465</v>
      </c>
      <c r="Q274" s="146" t="s">
        <v>2466</v>
      </c>
    </row>
    <row r="275" spans="1:17" s="9" customFormat="1" x14ac:dyDescent="0.25">
      <c r="A275" s="145" t="s">
        <v>2461</v>
      </c>
      <c r="B275" s="145" t="str">
        <f>CHOOSE(Translations!$C$1+1,O275,P275,Q275)</f>
        <v>TCP-1⁽ᴹ⁾ Nombre de cas déclarés de tuberculose toutes formes confondues (c.-à-d. cas confirmés bactériologiquement plus cas diagnostiqués cliniquement), nouveaux cas et récidives</v>
      </c>
      <c r="C275" s="145">
        <f t="shared" si="8"/>
        <v>7</v>
      </c>
      <c r="D275" s="145" t="str">
        <f t="shared" si="9"/>
        <v>TCP-1⁽ᴹ⁾ Nombre de cas déclarés de tuberculose toutes formes confondues (c.-à-d. cas confirmés bactériologiquement plus cas diagnostiqués cliniquement), nouveaux cas et récidives-7</v>
      </c>
      <c r="E275" s="145" t="str">
        <f>CHOOSE(Translations!$C$1+1,I275,J275,K275)</f>
        <v>Définition des cas</v>
      </c>
      <c r="F275" s="145" t="str">
        <f>CHOOSE(Translations!$C$1+1,L275,M275,N275)</f>
        <v>Bactériologiquement confirmé</v>
      </c>
      <c r="G275" s="145" t="s">
        <v>2482</v>
      </c>
      <c r="H275" s="146" t="s">
        <v>2483</v>
      </c>
      <c r="I275" s="146" t="s">
        <v>2484</v>
      </c>
      <c r="J275" s="146" t="s">
        <v>1666</v>
      </c>
      <c r="K275" s="146" t="s">
        <v>1667</v>
      </c>
      <c r="L275" s="146" t="s">
        <v>2485</v>
      </c>
      <c r="M275" s="146" t="s">
        <v>2486</v>
      </c>
      <c r="N275" s="146" t="s">
        <v>2487</v>
      </c>
      <c r="O275" s="146" t="s">
        <v>2464</v>
      </c>
      <c r="P275" s="146" t="s">
        <v>2465</v>
      </c>
      <c r="Q275" s="146" t="s">
        <v>2466</v>
      </c>
    </row>
    <row r="276" spans="1:17" s="9" customFormat="1" x14ac:dyDescent="0.25">
      <c r="A276" s="145" t="s">
        <v>2488</v>
      </c>
      <c r="B276" s="145" t="str">
        <f>CHOOSE(Translations!$C$1+1,O276,P276,Q276)</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76" s="145">
        <f t="shared" si="8"/>
        <v>0</v>
      </c>
      <c r="D276"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récidives-0</v>
      </c>
      <c r="E276" s="145" t="str">
        <f>CHOOSE(Translations!$C$1+1,I276,J276,K276)</f>
        <v>Age</v>
      </c>
      <c r="F276" s="145" t="str">
        <f>CHOOSE(Translations!$C$1+1,L276,M276,N276)</f>
        <v>&lt;15</v>
      </c>
      <c r="G276" s="145" t="s">
        <v>2489</v>
      </c>
      <c r="H276" s="146" t="s">
        <v>2490</v>
      </c>
      <c r="I276" s="146" t="s">
        <v>1563</v>
      </c>
      <c r="J276" s="146" t="s">
        <v>1563</v>
      </c>
      <c r="K276" s="146" t="s">
        <v>1564</v>
      </c>
      <c r="L276" s="146" t="s">
        <v>1568</v>
      </c>
      <c r="M276" s="146" t="s">
        <v>1568</v>
      </c>
      <c r="N276" s="146" t="s">
        <v>1568</v>
      </c>
      <c r="O276" s="146" t="s">
        <v>2491</v>
      </c>
      <c r="P276" s="146" t="s">
        <v>2492</v>
      </c>
      <c r="Q276" s="146" t="s">
        <v>2493</v>
      </c>
    </row>
    <row r="277" spans="1:17" s="9" customFormat="1" x14ac:dyDescent="0.25">
      <c r="A277" s="145" t="s">
        <v>2488</v>
      </c>
      <c r="B277" s="145" t="str">
        <f>CHOOSE(Translations!$C$1+1,O277,P277,Q277)</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77" s="145">
        <f t="shared" si="8"/>
        <v>1</v>
      </c>
      <c r="D277"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récidives-1</v>
      </c>
      <c r="E277" s="145" t="str">
        <f>CHOOSE(Translations!$C$1+1,I277,J277,K277)</f>
        <v>Age</v>
      </c>
      <c r="F277" s="145" t="str">
        <f>CHOOSE(Translations!$C$1+1,L277,M277,N277)</f>
        <v>15+</v>
      </c>
      <c r="G277" s="145" t="s">
        <v>2494</v>
      </c>
      <c r="H277" s="146" t="s">
        <v>2495</v>
      </c>
      <c r="I277" s="146" t="s">
        <v>1563</v>
      </c>
      <c r="J277" s="146" t="s">
        <v>1563</v>
      </c>
      <c r="K277" s="146" t="s">
        <v>1564</v>
      </c>
      <c r="L277" s="146" t="s">
        <v>1565</v>
      </c>
      <c r="M277" s="146" t="s">
        <v>1565</v>
      </c>
      <c r="N277" s="146" t="s">
        <v>1565</v>
      </c>
      <c r="O277" s="146" t="s">
        <v>2491</v>
      </c>
      <c r="P277" s="146" t="s">
        <v>2492</v>
      </c>
      <c r="Q277" s="146" t="s">
        <v>2493</v>
      </c>
    </row>
    <row r="278" spans="1:17" s="9" customFormat="1" x14ac:dyDescent="0.25">
      <c r="A278" s="145" t="s">
        <v>2488</v>
      </c>
      <c r="B278" s="145" t="str">
        <f>CHOOSE(Translations!$C$1+1,O278,P278,Q278)</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78" s="145">
        <f t="shared" si="8"/>
        <v>2</v>
      </c>
      <c r="D278"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récidives-2</v>
      </c>
      <c r="E278" s="145" t="str">
        <f>CHOOSE(Translations!$C$1+1,I278,J278,K278)</f>
        <v>Sexe</v>
      </c>
      <c r="F278" s="145" t="str">
        <f>CHOOSE(Translations!$C$1+1,L278,M278,N278)</f>
        <v>Homme</v>
      </c>
      <c r="G278" s="145" t="s">
        <v>2496</v>
      </c>
      <c r="H278" s="146" t="s">
        <v>2497</v>
      </c>
      <c r="I278" s="146" t="s">
        <v>1550</v>
      </c>
      <c r="J278" s="146" t="s">
        <v>1551</v>
      </c>
      <c r="K278" s="146" t="s">
        <v>1552</v>
      </c>
      <c r="L278" s="146" t="s">
        <v>1558</v>
      </c>
      <c r="M278" s="146" t="s">
        <v>1559</v>
      </c>
      <c r="N278" s="146" t="s">
        <v>1560</v>
      </c>
      <c r="O278" s="146" t="s">
        <v>2491</v>
      </c>
      <c r="P278" s="146" t="s">
        <v>2492</v>
      </c>
      <c r="Q278" s="146" t="s">
        <v>2493</v>
      </c>
    </row>
    <row r="279" spans="1:17" s="9" customFormat="1" x14ac:dyDescent="0.25">
      <c r="A279" s="145" t="s">
        <v>2488</v>
      </c>
      <c r="B279" s="145" t="str">
        <f>CHOOSE(Translations!$C$1+1,O279,P279,Q279)</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79" s="145">
        <f t="shared" si="8"/>
        <v>3</v>
      </c>
      <c r="D279"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récidives-3</v>
      </c>
      <c r="E279" s="145" t="str">
        <f>CHOOSE(Translations!$C$1+1,I279,J279,K279)</f>
        <v>Sexe</v>
      </c>
      <c r="F279" s="145" t="str">
        <f>CHOOSE(Translations!$C$1+1,L279,M279,N279)</f>
        <v>Femme</v>
      </c>
      <c r="G279" s="145" t="s">
        <v>2498</v>
      </c>
      <c r="H279" s="146" t="s">
        <v>2499</v>
      </c>
      <c r="I279" s="146" t="s">
        <v>1550</v>
      </c>
      <c r="J279" s="146" t="s">
        <v>1551</v>
      </c>
      <c r="K279" s="146" t="s">
        <v>1552</v>
      </c>
      <c r="L279" s="146" t="s">
        <v>1553</v>
      </c>
      <c r="M279" s="146" t="s">
        <v>1554</v>
      </c>
      <c r="N279" s="146" t="s">
        <v>1555</v>
      </c>
      <c r="O279" s="146" t="s">
        <v>2491</v>
      </c>
      <c r="P279" s="146" t="s">
        <v>2492</v>
      </c>
      <c r="Q279" s="146" t="s">
        <v>2493</v>
      </c>
    </row>
    <row r="280" spans="1:17" s="9" customFormat="1" x14ac:dyDescent="0.25">
      <c r="A280" s="145" t="s">
        <v>2488</v>
      </c>
      <c r="B280" s="145" t="str">
        <f>CHOOSE(Translations!$C$1+1,O280,P280,Q280)</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80" s="145">
        <f t="shared" si="8"/>
        <v>4</v>
      </c>
      <c r="D280"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récidives-4</v>
      </c>
      <c r="E280" s="145" t="str">
        <f>CHOOSE(Translations!$C$1+1,I280,J280,K280)</f>
        <v>Résultat du test VIH</v>
      </c>
      <c r="F280" s="145" t="str">
        <f>CHOOSE(Translations!$C$1+1,L280,M280,N280)</f>
        <v>Positif</v>
      </c>
      <c r="G280" s="145" t="s">
        <v>2500</v>
      </c>
      <c r="H280" s="146" t="s">
        <v>2501</v>
      </c>
      <c r="I280" s="146" t="s">
        <v>2168</v>
      </c>
      <c r="J280" s="146" t="s">
        <v>2169</v>
      </c>
      <c r="K280" s="146" t="s">
        <v>2170</v>
      </c>
      <c r="L280" s="146" t="s">
        <v>2171</v>
      </c>
      <c r="M280" s="146" t="s">
        <v>2172</v>
      </c>
      <c r="N280" s="146" t="s">
        <v>2173</v>
      </c>
      <c r="O280" s="146" t="s">
        <v>2491</v>
      </c>
      <c r="P280" s="146" t="s">
        <v>2492</v>
      </c>
      <c r="Q280" s="146" t="s">
        <v>2493</v>
      </c>
    </row>
    <row r="281" spans="1:17" s="9" customFormat="1" x14ac:dyDescent="0.25">
      <c r="A281" s="145" t="s">
        <v>2488</v>
      </c>
      <c r="B281" s="145" t="str">
        <f>CHOOSE(Translations!$C$1+1,O281,P281,Q281)</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81" s="145">
        <f t="shared" si="8"/>
        <v>5</v>
      </c>
      <c r="D281"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récidives-5</v>
      </c>
      <c r="E281" s="145" t="str">
        <f>CHOOSE(Translations!$C$1+1,I281,J281,K281)</f>
        <v>Résultat du test VIH</v>
      </c>
      <c r="F281" s="145" t="str">
        <f>CHOOSE(Translations!$C$1+1,L281,M281,N281)</f>
        <v>Négatif</v>
      </c>
      <c r="G281" s="145" t="s">
        <v>2502</v>
      </c>
      <c r="H281" s="146" t="s">
        <v>2503</v>
      </c>
      <c r="I281" s="146" t="s">
        <v>2168</v>
      </c>
      <c r="J281" s="146" t="s">
        <v>2169</v>
      </c>
      <c r="K281" s="146" t="s">
        <v>2170</v>
      </c>
      <c r="L281" s="146" t="s">
        <v>2179</v>
      </c>
      <c r="M281" s="146" t="s">
        <v>2180</v>
      </c>
      <c r="N281" s="146" t="s">
        <v>2181</v>
      </c>
      <c r="O281" s="146" t="s">
        <v>2491</v>
      </c>
      <c r="P281" s="146" t="s">
        <v>2492</v>
      </c>
      <c r="Q281" s="146" t="s">
        <v>2493</v>
      </c>
    </row>
    <row r="282" spans="1:17" s="9" customFormat="1" x14ac:dyDescent="0.25">
      <c r="A282" s="145" t="s">
        <v>2488</v>
      </c>
      <c r="B282" s="145" t="str">
        <f>CHOOSE(Translations!$C$1+1,O282,P282,Q282)</f>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v>
      </c>
      <c r="C282" s="145">
        <f t="shared" si="8"/>
        <v>6</v>
      </c>
      <c r="D282" s="145" t="str">
        <f t="shared" si="9"/>
        <v>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récidives-6</v>
      </c>
      <c r="E282" s="145" t="str">
        <f>CHOOSE(Translations!$C$1+1,I282,J282,K282)</f>
        <v>Résultat du test VIH</v>
      </c>
      <c r="F282" s="145" t="str">
        <f>CHOOSE(Translations!$C$1+1,L282,M282,N282)</f>
        <v>non communiqué</v>
      </c>
      <c r="G282" s="145" t="s">
        <v>2504</v>
      </c>
      <c r="H282" s="146" t="s">
        <v>2505</v>
      </c>
      <c r="I282" s="146" t="s">
        <v>2168</v>
      </c>
      <c r="J282" s="146" t="s">
        <v>2169</v>
      </c>
      <c r="K282" s="146" t="s">
        <v>2170</v>
      </c>
      <c r="L282" s="146" t="s">
        <v>2479</v>
      </c>
      <c r="M282" s="146" t="s">
        <v>2480</v>
      </c>
      <c r="N282" s="146" t="s">
        <v>2481</v>
      </c>
      <c r="O282" s="146" t="s">
        <v>2491</v>
      </c>
      <c r="P282" s="146" t="s">
        <v>2492</v>
      </c>
      <c r="Q282" s="146" t="s">
        <v>2493</v>
      </c>
    </row>
    <row r="283" spans="1:17" s="9" customFormat="1" x14ac:dyDescent="0.25">
      <c r="A283" s="145" t="s">
        <v>2506</v>
      </c>
      <c r="B283" s="145" t="str">
        <f>CHOOSE(Translations!$C$1+1,O283,P283,Q283)</f>
        <v>TCP-5.1 Nombre de personnes en contact avec des patients tuberculeux qui ont commencé un traitement préventif</v>
      </c>
      <c r="C283" s="145">
        <f t="shared" si="8"/>
        <v>0</v>
      </c>
      <c r="D283" s="145" t="str">
        <f t="shared" si="9"/>
        <v>TCP-5.1 Nombre de personnes en contact avec des patients tuberculeux qui ont commencé un traitement préventif-0</v>
      </c>
      <c r="E283" s="145" t="str">
        <f>CHOOSE(Translations!$C$1+1,I283,J283,K283)</f>
        <v>Age</v>
      </c>
      <c r="F283" s="145" t="str">
        <f>CHOOSE(Translations!$C$1+1,L283,M283,N283)</f>
        <v>&lt;5</v>
      </c>
      <c r="G283" s="145" t="s">
        <v>2507</v>
      </c>
      <c r="H283" s="146" t="s">
        <v>2508</v>
      </c>
      <c r="I283" s="146" t="s">
        <v>1563</v>
      </c>
      <c r="J283" s="146" t="s">
        <v>1563</v>
      </c>
      <c r="K283" s="146" t="s">
        <v>1564</v>
      </c>
      <c r="L283" s="146" t="s">
        <v>1612</v>
      </c>
      <c r="M283" s="146" t="s">
        <v>1612</v>
      </c>
      <c r="N283" s="146" t="s">
        <v>1612</v>
      </c>
      <c r="O283" s="146" t="s">
        <v>2509</v>
      </c>
      <c r="P283" s="146" t="s">
        <v>2510</v>
      </c>
      <c r="Q283" s="146" t="s">
        <v>2511</v>
      </c>
    </row>
    <row r="284" spans="1:17" s="9" customFormat="1" x14ac:dyDescent="0.25">
      <c r="A284" s="145" t="s">
        <v>2506</v>
      </c>
      <c r="B284" s="145" t="str">
        <f>CHOOSE(Translations!$C$1+1,O284,P284,Q284)</f>
        <v>TCP-5.1 Nombre de personnes en contact avec des patients tuberculeux qui ont commencé un traitement préventif</v>
      </c>
      <c r="C284" s="145">
        <f t="shared" ref="C284:C347" si="10">IF(O284=O283,C283+1,0)</f>
        <v>1</v>
      </c>
      <c r="D284" s="145" t="str">
        <f t="shared" ref="D284:D347" si="11">B284&amp;"-"&amp;C284</f>
        <v>TCP-5.1 Nombre de personnes en contact avec des patients tuberculeux qui ont commencé un traitement préventif-1</v>
      </c>
      <c r="E284" s="145" t="str">
        <f>CHOOSE(Translations!$C$1+1,I284,J284,K284)</f>
        <v>Age</v>
      </c>
      <c r="F284" s="145" t="str">
        <f>CHOOSE(Translations!$C$1+1,L284,M284,N284)</f>
        <v>5-14</v>
      </c>
      <c r="G284" s="145" t="s">
        <v>2512</v>
      </c>
      <c r="H284" s="146" t="s">
        <v>2513</v>
      </c>
      <c r="I284" s="146" t="s">
        <v>1563</v>
      </c>
      <c r="J284" s="146" t="s">
        <v>1563</v>
      </c>
      <c r="K284" s="146" t="s">
        <v>1564</v>
      </c>
      <c r="L284" s="146" t="s">
        <v>1609</v>
      </c>
      <c r="M284" s="146" t="s">
        <v>1609</v>
      </c>
      <c r="N284" s="146" t="s">
        <v>1609</v>
      </c>
      <c r="O284" s="146" t="s">
        <v>2509</v>
      </c>
      <c r="P284" s="146" t="s">
        <v>2510</v>
      </c>
      <c r="Q284" s="146" t="s">
        <v>2511</v>
      </c>
    </row>
    <row r="285" spans="1:17" s="9" customFormat="1" x14ac:dyDescent="0.25">
      <c r="A285" s="145" t="s">
        <v>2506</v>
      </c>
      <c r="B285" s="145" t="str">
        <f>CHOOSE(Translations!$C$1+1,O285,P285,Q285)</f>
        <v>TCP-5.1 Nombre de personnes en contact avec des patients tuberculeux qui ont commencé un traitement préventif</v>
      </c>
      <c r="C285" s="145">
        <f t="shared" si="10"/>
        <v>2</v>
      </c>
      <c r="D285" s="145" t="str">
        <f t="shared" si="11"/>
        <v>TCP-5.1 Nombre de personnes en contact avec des patients tuberculeux qui ont commencé un traitement préventif-2</v>
      </c>
      <c r="E285" s="145" t="str">
        <f>CHOOSE(Translations!$C$1+1,I285,J285,K285)</f>
        <v>Age</v>
      </c>
      <c r="F285" s="145" t="str">
        <f>CHOOSE(Translations!$C$1+1,L285,M285,N285)</f>
        <v>15+</v>
      </c>
      <c r="G285" s="145" t="s">
        <v>2514</v>
      </c>
      <c r="H285" s="146" t="s">
        <v>2515</v>
      </c>
      <c r="I285" s="146" t="s">
        <v>1563</v>
      </c>
      <c r="J285" s="146" t="s">
        <v>1563</v>
      </c>
      <c r="K285" s="146" t="s">
        <v>1564</v>
      </c>
      <c r="L285" s="146" t="s">
        <v>1565</v>
      </c>
      <c r="M285" s="146" t="s">
        <v>1565</v>
      </c>
      <c r="N285" s="146" t="s">
        <v>1565</v>
      </c>
      <c r="O285" s="146" t="s">
        <v>2509</v>
      </c>
      <c r="P285" s="146" t="s">
        <v>2510</v>
      </c>
      <c r="Q285" s="146" t="s">
        <v>2511</v>
      </c>
    </row>
    <row r="286" spans="1:17" s="9" customFormat="1" x14ac:dyDescent="0.25">
      <c r="A286" s="145" t="s">
        <v>2516</v>
      </c>
      <c r="B286" s="145" t="str">
        <f>CHOOSE(Translations!$C$1+1,O286,P286,Q286)</f>
        <v>TCP-6b Nombre de cas de tuberculose (toutes formes confondues) déclarés dans les populations clés/groupes à haut risque (hors population carcérale)</v>
      </c>
      <c r="C286" s="145">
        <f t="shared" si="10"/>
        <v>0</v>
      </c>
      <c r="D286" s="145" t="str">
        <f t="shared" si="11"/>
        <v>TCP-6b Nombre de cas de tuberculose (toutes formes confondues) déclarés dans les populations clés/groupes à haut risque (hors population carcérale)-0</v>
      </c>
      <c r="E286" s="145" t="str">
        <f>CHOOSE(Translations!$C$1+1,I286,J286,K286)</f>
        <v>Groupe à risque cible</v>
      </c>
      <c r="F286" s="145" t="str">
        <f>CHOOSE(Translations!$C$1+1,L286,M286,N286)</f>
        <v>Migrants / réfugiés / personnes déplacées</v>
      </c>
      <c r="G286" s="145" t="s">
        <v>2517</v>
      </c>
      <c r="H286" s="146" t="s">
        <v>2518</v>
      </c>
      <c r="I286" s="146" t="s">
        <v>1934</v>
      </c>
      <c r="J286" s="146" t="s">
        <v>1935</v>
      </c>
      <c r="K286" s="146" t="s">
        <v>1936</v>
      </c>
      <c r="L286" s="146" t="s">
        <v>2519</v>
      </c>
      <c r="M286" s="146" t="s">
        <v>2520</v>
      </c>
      <c r="N286" s="146" t="s">
        <v>2521</v>
      </c>
      <c r="O286" s="146" t="s">
        <v>2522</v>
      </c>
      <c r="P286" s="146" t="s">
        <v>2523</v>
      </c>
      <c r="Q286" s="146" t="s">
        <v>2524</v>
      </c>
    </row>
    <row r="287" spans="1:17" s="9" customFormat="1" x14ac:dyDescent="0.25">
      <c r="A287" s="145" t="s">
        <v>2516</v>
      </c>
      <c r="B287" s="145" t="str">
        <f>CHOOSE(Translations!$C$1+1,O287,P287,Q287)</f>
        <v>TCP-6b Nombre de cas de tuberculose (toutes formes confondues) déclarés dans les populations clés/groupes à haut risque (hors population carcérale)</v>
      </c>
      <c r="C287" s="145">
        <f t="shared" si="10"/>
        <v>1</v>
      </c>
      <c r="D287" s="145" t="str">
        <f t="shared" si="11"/>
        <v>TCP-6b Nombre de cas de tuberculose (toutes formes confondues) déclarés dans les populations clés/groupes à haut risque (hors population carcérale)-1</v>
      </c>
      <c r="E287" s="145" t="str">
        <f>CHOOSE(Translations!$C$1+1,I287,J287,K287)</f>
        <v>Groupe à risque cible</v>
      </c>
      <c r="F287" s="145" t="str">
        <f>CHOOSE(Translations!$C$1+1,L287,M287,N287)</f>
        <v>Autre groupe à risque cible - à préciser</v>
      </c>
      <c r="G287" s="145" t="s">
        <v>2525</v>
      </c>
      <c r="H287" s="146" t="s">
        <v>2526</v>
      </c>
      <c r="I287" s="146" t="s">
        <v>1934</v>
      </c>
      <c r="J287" s="146" t="s">
        <v>1935</v>
      </c>
      <c r="K287" s="146" t="s">
        <v>1936</v>
      </c>
      <c r="L287" s="146" t="s">
        <v>2527</v>
      </c>
      <c r="M287" s="146" t="s">
        <v>2528</v>
      </c>
      <c r="N287" s="146" t="s">
        <v>2529</v>
      </c>
      <c r="O287" s="146" t="s">
        <v>2522</v>
      </c>
      <c r="P287" s="146" t="s">
        <v>2523</v>
      </c>
      <c r="Q287" s="146" t="s">
        <v>2524</v>
      </c>
    </row>
    <row r="288" spans="1:17" s="9" customFormat="1" x14ac:dyDescent="0.25">
      <c r="A288" s="145" t="s">
        <v>2530</v>
      </c>
      <c r="B288" s="145" t="str">
        <f>CHOOSE(Translations!$C$1+1,O288,P288,Q288)</f>
        <v>MDR TB-2⁽ᴹ⁾ Nombre de cas déclarés de tuberculose résistante à la rifampicine et/ou multirésistante</v>
      </c>
      <c r="C288" s="145">
        <f t="shared" si="10"/>
        <v>0</v>
      </c>
      <c r="D288" s="145" t="str">
        <f t="shared" si="11"/>
        <v>MDR TB-2⁽ᴹ⁾ Nombre de cas déclarés de tuberculose résistante à la rifampicine et/ou multirésistante-0</v>
      </c>
      <c r="E288" s="145" t="str">
        <f>CHOOSE(Translations!$C$1+1,I288,J288,K288)</f>
        <v>Age</v>
      </c>
      <c r="F288" s="145" t="str">
        <f>CHOOSE(Translations!$C$1+1,L288,M288,N288)</f>
        <v>&lt;15</v>
      </c>
      <c r="G288" s="145" t="s">
        <v>2531</v>
      </c>
      <c r="H288" s="146" t="s">
        <v>2532</v>
      </c>
      <c r="I288" s="146" t="s">
        <v>1563</v>
      </c>
      <c r="J288" s="146" t="s">
        <v>1563</v>
      </c>
      <c r="K288" s="146" t="s">
        <v>1564</v>
      </c>
      <c r="L288" s="146" t="s">
        <v>1568</v>
      </c>
      <c r="M288" s="146" t="s">
        <v>1568</v>
      </c>
      <c r="N288" s="146" t="s">
        <v>1568</v>
      </c>
      <c r="O288" s="146" t="s">
        <v>2533</v>
      </c>
      <c r="P288" s="146" t="s">
        <v>2534</v>
      </c>
      <c r="Q288" s="146" t="s">
        <v>2535</v>
      </c>
    </row>
    <row r="289" spans="1:17" s="9" customFormat="1" x14ac:dyDescent="0.25">
      <c r="A289" s="145" t="s">
        <v>2530</v>
      </c>
      <c r="B289" s="145" t="str">
        <f>CHOOSE(Translations!$C$1+1,O289,P289,Q289)</f>
        <v>MDR TB-2⁽ᴹ⁾ Nombre de cas déclarés de tuberculose résistante à la rifampicine et/ou multirésistante</v>
      </c>
      <c r="C289" s="145">
        <f t="shared" si="10"/>
        <v>1</v>
      </c>
      <c r="D289" s="145" t="str">
        <f t="shared" si="11"/>
        <v>MDR TB-2⁽ᴹ⁾ Nombre de cas déclarés de tuberculose résistante à la rifampicine et/ou multirésistante-1</v>
      </c>
      <c r="E289" s="145" t="str">
        <f>CHOOSE(Translations!$C$1+1,I289,J289,K289)</f>
        <v>Age</v>
      </c>
      <c r="F289" s="145" t="str">
        <f>CHOOSE(Translations!$C$1+1,L289,M289,N289)</f>
        <v>15+</v>
      </c>
      <c r="G289" s="145" t="s">
        <v>2536</v>
      </c>
      <c r="H289" s="146" t="s">
        <v>2537</v>
      </c>
      <c r="I289" s="146" t="s">
        <v>1563</v>
      </c>
      <c r="J289" s="146" t="s">
        <v>1563</v>
      </c>
      <c r="K289" s="146" t="s">
        <v>1564</v>
      </c>
      <c r="L289" s="146" t="s">
        <v>1565</v>
      </c>
      <c r="M289" s="146" t="s">
        <v>1565</v>
      </c>
      <c r="N289" s="146" t="s">
        <v>1565</v>
      </c>
      <c r="O289" s="146" t="s">
        <v>2533</v>
      </c>
      <c r="P289" s="146" t="s">
        <v>2534</v>
      </c>
      <c r="Q289" s="146" t="s">
        <v>2535</v>
      </c>
    </row>
    <row r="290" spans="1:17" s="9" customFormat="1" x14ac:dyDescent="0.25">
      <c r="A290" s="145" t="s">
        <v>2530</v>
      </c>
      <c r="B290" s="145" t="str">
        <f>CHOOSE(Translations!$C$1+1,O290,P290,Q290)</f>
        <v>MDR TB-2⁽ᴹ⁾ Nombre de cas déclarés de tuberculose résistante à la rifampicine et/ou multirésistante</v>
      </c>
      <c r="C290" s="145">
        <f t="shared" si="10"/>
        <v>2</v>
      </c>
      <c r="D290" s="145" t="str">
        <f t="shared" si="11"/>
        <v>MDR TB-2⁽ᴹ⁾ Nombre de cas déclarés de tuberculose résistante à la rifampicine et/ou multirésistante-2</v>
      </c>
      <c r="E290" s="145" t="str">
        <f>CHOOSE(Translations!$C$1+1,I290,J290,K290)</f>
        <v>Sexe</v>
      </c>
      <c r="F290" s="145" t="str">
        <f>CHOOSE(Translations!$C$1+1,L290,M290,N290)</f>
        <v>Homme</v>
      </c>
      <c r="G290" s="145" t="s">
        <v>2538</v>
      </c>
      <c r="H290" s="146" t="s">
        <v>2539</v>
      </c>
      <c r="I290" s="146" t="s">
        <v>1550</v>
      </c>
      <c r="J290" s="146" t="s">
        <v>1551</v>
      </c>
      <c r="K290" s="146" t="s">
        <v>1552</v>
      </c>
      <c r="L290" s="146" t="s">
        <v>1558</v>
      </c>
      <c r="M290" s="146" t="s">
        <v>1559</v>
      </c>
      <c r="N290" s="146" t="s">
        <v>1560</v>
      </c>
      <c r="O290" s="146" t="s">
        <v>2533</v>
      </c>
      <c r="P290" s="146" t="s">
        <v>2534</v>
      </c>
      <c r="Q290" s="146" t="s">
        <v>2535</v>
      </c>
    </row>
    <row r="291" spans="1:17" s="9" customFormat="1" x14ac:dyDescent="0.25">
      <c r="A291" s="145" t="s">
        <v>2530</v>
      </c>
      <c r="B291" s="145" t="str">
        <f>CHOOSE(Translations!$C$1+1,O291,P291,Q291)</f>
        <v>MDR TB-2⁽ᴹ⁾ Nombre de cas déclarés de tuberculose résistante à la rifampicine et/ou multirésistante</v>
      </c>
      <c r="C291" s="145">
        <f t="shared" si="10"/>
        <v>3</v>
      </c>
      <c r="D291" s="145" t="str">
        <f t="shared" si="11"/>
        <v>MDR TB-2⁽ᴹ⁾ Nombre de cas déclarés de tuberculose résistante à la rifampicine et/ou multirésistante-3</v>
      </c>
      <c r="E291" s="145" t="str">
        <f>CHOOSE(Translations!$C$1+1,I291,J291,K291)</f>
        <v>Sexe</v>
      </c>
      <c r="F291" s="145" t="str">
        <f>CHOOSE(Translations!$C$1+1,L291,M291,N291)</f>
        <v>Femme</v>
      </c>
      <c r="G291" s="145" t="s">
        <v>2540</v>
      </c>
      <c r="H291" s="146" t="s">
        <v>2541</v>
      </c>
      <c r="I291" s="146" t="s">
        <v>1550</v>
      </c>
      <c r="J291" s="146" t="s">
        <v>1551</v>
      </c>
      <c r="K291" s="146" t="s">
        <v>1552</v>
      </c>
      <c r="L291" s="146" t="s">
        <v>1553</v>
      </c>
      <c r="M291" s="146" t="s">
        <v>1554</v>
      </c>
      <c r="N291" s="146" t="s">
        <v>1555</v>
      </c>
      <c r="O291" s="146" t="s">
        <v>2533</v>
      </c>
      <c r="P291" s="146" t="s">
        <v>2534</v>
      </c>
      <c r="Q291" s="146" t="s">
        <v>2535</v>
      </c>
    </row>
    <row r="292" spans="1:17" s="9" customFormat="1" x14ac:dyDescent="0.25">
      <c r="A292" s="145" t="s">
        <v>2542</v>
      </c>
      <c r="B292" s="145" t="str">
        <f>CHOOSE(Translations!$C$1+1,O292,P292,Q292)</f>
        <v>MDR TB-3⁽ᴹ⁾ Nombre de cas de tuberculose résistante à la rifampicine et/ou de tuberculose multirésistante ayant commencé un traitement de seconde intention</v>
      </c>
      <c r="C292" s="145">
        <f t="shared" si="10"/>
        <v>0</v>
      </c>
      <c r="D292" s="145" t="str">
        <f t="shared" si="11"/>
        <v>MDR TB-3⁽ᴹ⁾ Nombre de cas de tuberculose résistante à la rifampicine et/ou de tuberculose multirésistante ayant commencé un traitement de seconde intention-0</v>
      </c>
      <c r="E292" s="145" t="str">
        <f>CHOOSE(Translations!$C$1+1,I292,J292,K292)</f>
        <v>Age</v>
      </c>
      <c r="F292" s="145" t="str">
        <f>CHOOSE(Translations!$C$1+1,L292,M292,N292)</f>
        <v>&lt;15</v>
      </c>
      <c r="G292" s="145" t="s">
        <v>2543</v>
      </c>
      <c r="H292" s="146" t="s">
        <v>2544</v>
      </c>
      <c r="I292" s="146" t="s">
        <v>1563</v>
      </c>
      <c r="J292" s="146" t="s">
        <v>1563</v>
      </c>
      <c r="K292" s="146" t="s">
        <v>1564</v>
      </c>
      <c r="L292" s="146" t="s">
        <v>1568</v>
      </c>
      <c r="M292" s="146" t="s">
        <v>1568</v>
      </c>
      <c r="N292" s="146" t="s">
        <v>1568</v>
      </c>
      <c r="O292" s="146" t="s">
        <v>2545</v>
      </c>
      <c r="P292" s="146" t="s">
        <v>2546</v>
      </c>
      <c r="Q292" s="146" t="s">
        <v>2547</v>
      </c>
    </row>
    <row r="293" spans="1:17" s="9" customFormat="1" x14ac:dyDescent="0.25">
      <c r="A293" s="145" t="s">
        <v>2542</v>
      </c>
      <c r="B293" s="145" t="str">
        <f>CHOOSE(Translations!$C$1+1,O293,P293,Q293)</f>
        <v>MDR TB-3⁽ᴹ⁾ Nombre de cas de tuberculose résistante à la rifampicine et/ou de tuberculose multirésistante ayant commencé un traitement de seconde intention</v>
      </c>
      <c r="C293" s="145">
        <f t="shared" si="10"/>
        <v>1</v>
      </c>
      <c r="D293" s="145" t="str">
        <f t="shared" si="11"/>
        <v>MDR TB-3⁽ᴹ⁾ Nombre de cas de tuberculose résistante à la rifampicine et/ou de tuberculose multirésistante ayant commencé un traitement de seconde intention-1</v>
      </c>
      <c r="E293" s="145" t="str">
        <f>CHOOSE(Translations!$C$1+1,I293,J293,K293)</f>
        <v>Age</v>
      </c>
      <c r="F293" s="145" t="str">
        <f>CHOOSE(Translations!$C$1+1,L293,M293,N293)</f>
        <v>15+</v>
      </c>
      <c r="G293" s="145" t="s">
        <v>2548</v>
      </c>
      <c r="H293" s="146" t="s">
        <v>2549</v>
      </c>
      <c r="I293" s="146" t="s">
        <v>1563</v>
      </c>
      <c r="J293" s="146" t="s">
        <v>1563</v>
      </c>
      <c r="K293" s="146" t="s">
        <v>1564</v>
      </c>
      <c r="L293" s="146" t="s">
        <v>1565</v>
      </c>
      <c r="M293" s="146" t="s">
        <v>1565</v>
      </c>
      <c r="N293" s="146" t="s">
        <v>1565</v>
      </c>
      <c r="O293" s="146" t="s">
        <v>2545</v>
      </c>
      <c r="P293" s="146" t="s">
        <v>2546</v>
      </c>
      <c r="Q293" s="146" t="s">
        <v>2547</v>
      </c>
    </row>
    <row r="294" spans="1:17" s="9" customFormat="1" x14ac:dyDescent="0.25">
      <c r="A294" s="145" t="s">
        <v>2542</v>
      </c>
      <c r="B294" s="145" t="str">
        <f>CHOOSE(Translations!$C$1+1,O294,P294,Q294)</f>
        <v>MDR TB-3⁽ᴹ⁾ Nombre de cas de tuberculose résistante à la rifampicine et/ou de tuberculose multirésistante ayant commencé un traitement de seconde intention</v>
      </c>
      <c r="C294" s="145">
        <f t="shared" si="10"/>
        <v>2</v>
      </c>
      <c r="D294" s="145" t="str">
        <f t="shared" si="11"/>
        <v>MDR TB-3⁽ᴹ⁾ Nombre de cas de tuberculose résistante à la rifampicine et/ou de tuberculose multirésistante ayant commencé un traitement de seconde intention-2</v>
      </c>
      <c r="E294" s="145" t="str">
        <f>CHOOSE(Translations!$C$1+1,I294,J294,K294)</f>
        <v>Sexe</v>
      </c>
      <c r="F294" s="145" t="str">
        <f>CHOOSE(Translations!$C$1+1,L294,M294,N294)</f>
        <v>Homme</v>
      </c>
      <c r="G294" s="145" t="s">
        <v>2550</v>
      </c>
      <c r="H294" s="146" t="s">
        <v>2551</v>
      </c>
      <c r="I294" s="146" t="s">
        <v>1550</v>
      </c>
      <c r="J294" s="146" t="s">
        <v>1551</v>
      </c>
      <c r="K294" s="146" t="s">
        <v>1552</v>
      </c>
      <c r="L294" s="146" t="s">
        <v>1558</v>
      </c>
      <c r="M294" s="146" t="s">
        <v>1559</v>
      </c>
      <c r="N294" s="146" t="s">
        <v>1560</v>
      </c>
      <c r="O294" s="146" t="s">
        <v>2545</v>
      </c>
      <c r="P294" s="146" t="s">
        <v>2546</v>
      </c>
      <c r="Q294" s="146" t="s">
        <v>2547</v>
      </c>
    </row>
    <row r="295" spans="1:17" s="9" customFormat="1" x14ac:dyDescent="0.25">
      <c r="A295" s="145" t="s">
        <v>2542</v>
      </c>
      <c r="B295" s="145" t="str">
        <f>CHOOSE(Translations!$C$1+1,O295,P295,Q295)</f>
        <v>MDR TB-3⁽ᴹ⁾ Nombre de cas de tuberculose résistante à la rifampicine et/ou de tuberculose multirésistante ayant commencé un traitement de seconde intention</v>
      </c>
      <c r="C295" s="145">
        <f t="shared" si="10"/>
        <v>3</v>
      </c>
      <c r="D295" s="145" t="str">
        <f t="shared" si="11"/>
        <v>MDR TB-3⁽ᴹ⁾ Nombre de cas de tuberculose résistante à la rifampicine et/ou de tuberculose multirésistante ayant commencé un traitement de seconde intention-3</v>
      </c>
      <c r="E295" s="145" t="str">
        <f>CHOOSE(Translations!$C$1+1,I295,J295,K295)</f>
        <v>Sexe</v>
      </c>
      <c r="F295" s="145" t="str">
        <f>CHOOSE(Translations!$C$1+1,L295,M295,N295)</f>
        <v>Femme</v>
      </c>
      <c r="G295" s="145" t="s">
        <v>2552</v>
      </c>
      <c r="H295" s="146" t="s">
        <v>2553</v>
      </c>
      <c r="I295" s="146" t="s">
        <v>1550</v>
      </c>
      <c r="J295" s="146" t="s">
        <v>1551</v>
      </c>
      <c r="K295" s="146" t="s">
        <v>1552</v>
      </c>
      <c r="L295" s="146" t="s">
        <v>1553</v>
      </c>
      <c r="M295" s="146" t="s">
        <v>1554</v>
      </c>
      <c r="N295" s="146" t="s">
        <v>1555</v>
      </c>
      <c r="O295" s="146" t="s">
        <v>2545</v>
      </c>
      <c r="P295" s="146" t="s">
        <v>2546</v>
      </c>
      <c r="Q295" s="146" t="s">
        <v>2547</v>
      </c>
    </row>
    <row r="296" spans="1:17" s="9" customFormat="1" x14ac:dyDescent="0.25">
      <c r="A296" s="145" t="s">
        <v>2542</v>
      </c>
      <c r="B296" s="145" t="str">
        <f>CHOOSE(Translations!$C$1+1,O296,P296,Q296)</f>
        <v>MDR TB-3⁽ᴹ⁾ Nombre de cas de tuberculose résistante à la rifampicine et/ou de tuberculose multirésistante ayant commencé un traitement de seconde intention</v>
      </c>
      <c r="C296" s="145">
        <f t="shared" si="10"/>
        <v>4</v>
      </c>
      <c r="D296" s="145" t="str">
        <f t="shared" si="11"/>
        <v>MDR TB-3⁽ᴹ⁾ Nombre de cas de tuberculose résistante à la rifampicine et/ou de tuberculose multirésistante ayant commencé un traitement de seconde intention-4</v>
      </c>
      <c r="E296" s="145" t="str">
        <f>CHOOSE(Translations!$C$1+1,I296,J296,K296)</f>
        <v>Schéma thérapeutique</v>
      </c>
      <c r="F296" s="145" t="str">
        <f>CHOOSE(Translations!$C$1+1,L296,M296,N296)</f>
        <v>Nouveau traitement TB</v>
      </c>
      <c r="G296" s="145" t="s">
        <v>2554</v>
      </c>
      <c r="H296" s="146" t="s">
        <v>2555</v>
      </c>
      <c r="I296" s="146" t="s">
        <v>2556</v>
      </c>
      <c r="J296" s="146" t="s">
        <v>2557</v>
      </c>
      <c r="K296" s="146" t="s">
        <v>2558</v>
      </c>
      <c r="L296" s="146" t="s">
        <v>2559</v>
      </c>
      <c r="M296" s="146" t="s">
        <v>2560</v>
      </c>
      <c r="N296" s="146" t="s">
        <v>2561</v>
      </c>
      <c r="O296" s="146" t="s">
        <v>2545</v>
      </c>
      <c r="P296" s="146" t="s">
        <v>2546</v>
      </c>
      <c r="Q296" s="146" t="s">
        <v>2547</v>
      </c>
    </row>
    <row r="297" spans="1:17" s="9" customFormat="1" x14ac:dyDescent="0.25">
      <c r="A297" s="145" t="s">
        <v>2542</v>
      </c>
      <c r="B297" s="145" t="str">
        <f>CHOOSE(Translations!$C$1+1,O297,P297,Q297)</f>
        <v>MDR TB-3⁽ᴹ⁾ Nombre de cas de tuberculose résistante à la rifampicine et/ou de tuberculose multirésistante ayant commencé un traitement de seconde intention</v>
      </c>
      <c r="C297" s="145">
        <f t="shared" si="10"/>
        <v>5</v>
      </c>
      <c r="D297" s="145" t="str">
        <f t="shared" si="11"/>
        <v>MDR TB-3⁽ᴹ⁾ Nombre de cas de tuberculose résistante à la rifampicine et/ou de tuberculose multirésistante ayant commencé un traitement de seconde intention-5</v>
      </c>
      <c r="E297" s="145" t="str">
        <f>CHOOSE(Translations!$C$1+1,I297,J297,K297)</f>
        <v>Schéma thérapeutique</v>
      </c>
      <c r="F297" s="145" t="str">
        <f>CHOOSE(Translations!$C$1+1,L297,M297,N297)</f>
        <v>Régime court</v>
      </c>
      <c r="G297" s="145" t="s">
        <v>2562</v>
      </c>
      <c r="H297" s="146" t="s">
        <v>2563</v>
      </c>
      <c r="I297" s="146" t="s">
        <v>2556</v>
      </c>
      <c r="J297" s="146" t="s">
        <v>2557</v>
      </c>
      <c r="K297" s="146" t="s">
        <v>2558</v>
      </c>
      <c r="L297" s="146" t="s">
        <v>2564</v>
      </c>
      <c r="M297" s="146" t="s">
        <v>2565</v>
      </c>
      <c r="N297" s="146" t="s">
        <v>2566</v>
      </c>
      <c r="O297" s="146" t="s">
        <v>2545</v>
      </c>
      <c r="P297" s="146" t="s">
        <v>2546</v>
      </c>
      <c r="Q297" s="146" t="s">
        <v>2547</v>
      </c>
    </row>
    <row r="298" spans="1:17" s="9" customFormat="1" x14ac:dyDescent="0.25">
      <c r="A298" s="145" t="s">
        <v>2567</v>
      </c>
      <c r="B298" s="145" t="str">
        <f>CHOOSE(Translations!$C$1+1,O298,P298,Q298)</f>
        <v>MDR TB-9 Taux de succès therapeutique de TB-RR et/ou TB-MR : pourcentage de cas de tuberculose résistante à la rifampicine et/ou tuberculose multirésistante traités avec succès</v>
      </c>
      <c r="C298" s="145">
        <f t="shared" si="10"/>
        <v>0</v>
      </c>
      <c r="D298" s="145" t="str">
        <f t="shared" si="11"/>
        <v>MDR TB-9 Taux de succès therapeutique de TB-RR et/ou TB-MR : pourcentage de cas de tuberculose résistante à la rifampicine et/ou tuberculose multirésistante traités avec succès-0</v>
      </c>
      <c r="E298" s="145" t="str">
        <f>CHOOSE(Translations!$C$1+1,I298,J298,K298)</f>
        <v>Age</v>
      </c>
      <c r="F298" s="145" t="str">
        <f>CHOOSE(Translations!$C$1+1,L298,M298,N298)</f>
        <v>&lt;15</v>
      </c>
      <c r="G298" s="145" t="s">
        <v>2568</v>
      </c>
      <c r="H298" s="146" t="s">
        <v>2569</v>
      </c>
      <c r="I298" s="146" t="s">
        <v>1563</v>
      </c>
      <c r="J298" s="146" t="s">
        <v>1563</v>
      </c>
      <c r="K298" s="146" t="s">
        <v>1564</v>
      </c>
      <c r="L298" s="146" t="s">
        <v>1568</v>
      </c>
      <c r="M298" s="146" t="s">
        <v>1568</v>
      </c>
      <c r="N298" s="146" t="s">
        <v>1568</v>
      </c>
      <c r="O298" s="146" t="s">
        <v>2570</v>
      </c>
      <c r="P298" s="146" t="s">
        <v>2571</v>
      </c>
      <c r="Q298" s="146" t="s">
        <v>2572</v>
      </c>
    </row>
    <row r="299" spans="1:17" s="9" customFormat="1" x14ac:dyDescent="0.25">
      <c r="A299" s="145" t="s">
        <v>2567</v>
      </c>
      <c r="B299" s="145" t="str">
        <f>CHOOSE(Translations!$C$1+1,O299,P299,Q299)</f>
        <v>MDR TB-9 Taux de succès therapeutique de TB-RR et/ou TB-MR : pourcentage de cas de tuberculose résistante à la rifampicine et/ou tuberculose multirésistante traités avec succès</v>
      </c>
      <c r="C299" s="145">
        <f t="shared" si="10"/>
        <v>1</v>
      </c>
      <c r="D299" s="145" t="str">
        <f t="shared" si="11"/>
        <v>MDR TB-9 Taux de succès therapeutique de TB-RR et/ou TB-MR : pourcentage de cas de tuberculose résistante à la rifampicine et/ou tuberculose multirésistante traités avec succès-1</v>
      </c>
      <c r="E299" s="145" t="str">
        <f>CHOOSE(Translations!$C$1+1,I299,J299,K299)</f>
        <v>Age</v>
      </c>
      <c r="F299" s="145" t="str">
        <f>CHOOSE(Translations!$C$1+1,L299,M299,N299)</f>
        <v>15+</v>
      </c>
      <c r="G299" s="145" t="s">
        <v>2573</v>
      </c>
      <c r="H299" s="146" t="s">
        <v>2574</v>
      </c>
      <c r="I299" s="146" t="s">
        <v>1563</v>
      </c>
      <c r="J299" s="146" t="s">
        <v>1563</v>
      </c>
      <c r="K299" s="146" t="s">
        <v>1564</v>
      </c>
      <c r="L299" s="146" t="s">
        <v>1565</v>
      </c>
      <c r="M299" s="146" t="s">
        <v>1565</v>
      </c>
      <c r="N299" s="146" t="s">
        <v>1565</v>
      </c>
      <c r="O299" s="146" t="s">
        <v>2570</v>
      </c>
      <c r="P299" s="146" t="s">
        <v>2571</v>
      </c>
      <c r="Q299" s="146" t="s">
        <v>2572</v>
      </c>
    </row>
    <row r="300" spans="1:17" s="9" customFormat="1" x14ac:dyDescent="0.25">
      <c r="A300" s="145" t="s">
        <v>2567</v>
      </c>
      <c r="B300" s="145" t="str">
        <f>CHOOSE(Translations!$C$1+1,O300,P300,Q300)</f>
        <v>MDR TB-9 Taux de succès therapeutique de TB-RR et/ou TB-MR : pourcentage de cas de tuberculose résistante à la rifampicine et/ou tuberculose multirésistante traités avec succès</v>
      </c>
      <c r="C300" s="145">
        <f t="shared" si="10"/>
        <v>2</v>
      </c>
      <c r="D300" s="145" t="str">
        <f t="shared" si="11"/>
        <v>MDR TB-9 Taux de succès therapeutique de TB-RR et/ou TB-MR : pourcentage de cas de tuberculose résistante à la rifampicine et/ou tuberculose multirésistante traités avec succès-2</v>
      </c>
      <c r="E300" s="145" t="str">
        <f>CHOOSE(Translations!$C$1+1,I300,J300,K300)</f>
        <v>Sexe</v>
      </c>
      <c r="F300" s="145" t="str">
        <f>CHOOSE(Translations!$C$1+1,L300,M300,N300)</f>
        <v>Homme</v>
      </c>
      <c r="G300" s="145" t="s">
        <v>2575</v>
      </c>
      <c r="H300" s="146" t="s">
        <v>2576</v>
      </c>
      <c r="I300" s="146" t="s">
        <v>1550</v>
      </c>
      <c r="J300" s="146" t="s">
        <v>1551</v>
      </c>
      <c r="K300" s="146" t="s">
        <v>1552</v>
      </c>
      <c r="L300" s="146" t="s">
        <v>1558</v>
      </c>
      <c r="M300" s="146" t="s">
        <v>1559</v>
      </c>
      <c r="N300" s="146" t="s">
        <v>1560</v>
      </c>
      <c r="O300" s="146" t="s">
        <v>2570</v>
      </c>
      <c r="P300" s="146" t="s">
        <v>2571</v>
      </c>
      <c r="Q300" s="146" t="s">
        <v>2572</v>
      </c>
    </row>
    <row r="301" spans="1:17" s="9" customFormat="1" x14ac:dyDescent="0.25">
      <c r="A301" s="145" t="s">
        <v>2567</v>
      </c>
      <c r="B301" s="145" t="str">
        <f>CHOOSE(Translations!$C$1+1,O301,P301,Q301)</f>
        <v>MDR TB-9 Taux de succès therapeutique de TB-RR et/ou TB-MR : pourcentage de cas de tuberculose résistante à la rifampicine et/ou tuberculose multirésistante traités avec succès</v>
      </c>
      <c r="C301" s="145">
        <f t="shared" si="10"/>
        <v>3</v>
      </c>
      <c r="D301" s="145" t="str">
        <f t="shared" si="11"/>
        <v>MDR TB-9 Taux de succès therapeutique de TB-RR et/ou TB-MR : pourcentage de cas de tuberculose résistante à la rifampicine et/ou tuberculose multirésistante traités avec succès-3</v>
      </c>
      <c r="E301" s="145" t="str">
        <f>CHOOSE(Translations!$C$1+1,I301,J301,K301)</f>
        <v>Sexe</v>
      </c>
      <c r="F301" s="145" t="str">
        <f>CHOOSE(Translations!$C$1+1,L301,M301,N301)</f>
        <v>Femme</v>
      </c>
      <c r="G301" s="145" t="s">
        <v>2577</v>
      </c>
      <c r="H301" s="146" t="s">
        <v>2578</v>
      </c>
      <c r="I301" s="146" t="s">
        <v>1550</v>
      </c>
      <c r="J301" s="146" t="s">
        <v>1551</v>
      </c>
      <c r="K301" s="146" t="s">
        <v>1552</v>
      </c>
      <c r="L301" s="146" t="s">
        <v>1553</v>
      </c>
      <c r="M301" s="146" t="s">
        <v>1554</v>
      </c>
      <c r="N301" s="146" t="s">
        <v>1555</v>
      </c>
      <c r="O301" s="146" t="s">
        <v>2570</v>
      </c>
      <c r="P301" s="146" t="s">
        <v>2571</v>
      </c>
      <c r="Q301" s="146" t="s">
        <v>2572</v>
      </c>
    </row>
    <row r="302" spans="1:17" s="9" customFormat="1" x14ac:dyDescent="0.25">
      <c r="A302" s="145" t="s">
        <v>2567</v>
      </c>
      <c r="B302" s="145" t="str">
        <f>CHOOSE(Translations!$C$1+1,O302,P302,Q302)</f>
        <v>MDR TB-9 Taux de succès therapeutique de TB-RR et/ou TB-MR : pourcentage de cas de tuberculose résistante à la rifampicine et/ou tuberculose multirésistante traités avec succès</v>
      </c>
      <c r="C302" s="145">
        <f t="shared" si="10"/>
        <v>4</v>
      </c>
      <c r="D302" s="145" t="str">
        <f t="shared" si="11"/>
        <v>MDR TB-9 Taux de succès therapeutique de TB-RR et/ou TB-MR : pourcentage de cas de tuberculose résistante à la rifampicine et/ou tuberculose multirésistante traités avec succès-4</v>
      </c>
      <c r="E302" s="145" t="str">
        <f>CHOOSE(Translations!$C$1+1,I302,J302,K302)</f>
        <v>Résultat du test VIH</v>
      </c>
      <c r="F302" s="145" t="str">
        <f>CHOOSE(Translations!$C$1+1,L302,M302,N302)</f>
        <v>Positif</v>
      </c>
      <c r="G302" s="145" t="s">
        <v>2579</v>
      </c>
      <c r="H302" s="146" t="s">
        <v>2580</v>
      </c>
      <c r="I302" s="146" t="s">
        <v>2168</v>
      </c>
      <c r="J302" s="146" t="s">
        <v>2169</v>
      </c>
      <c r="K302" s="146" t="s">
        <v>2170</v>
      </c>
      <c r="L302" s="146" t="s">
        <v>2171</v>
      </c>
      <c r="M302" s="146" t="s">
        <v>2172</v>
      </c>
      <c r="N302" s="146" t="s">
        <v>2173</v>
      </c>
      <c r="O302" s="146" t="s">
        <v>2570</v>
      </c>
      <c r="P302" s="146" t="s">
        <v>2571</v>
      </c>
      <c r="Q302" s="146" t="s">
        <v>2572</v>
      </c>
    </row>
    <row r="303" spans="1:17" s="9" customFormat="1" x14ac:dyDescent="0.25">
      <c r="A303" s="145" t="s">
        <v>2567</v>
      </c>
      <c r="B303" s="145" t="str">
        <f>CHOOSE(Translations!$C$1+1,O303,P303,Q303)</f>
        <v>MDR TB-9 Taux de succès therapeutique de TB-RR et/ou TB-MR : pourcentage de cas de tuberculose résistante à la rifampicine et/ou tuberculose multirésistante traités avec succès</v>
      </c>
      <c r="C303" s="145">
        <f t="shared" si="10"/>
        <v>5</v>
      </c>
      <c r="D303" s="145" t="str">
        <f t="shared" si="11"/>
        <v>MDR TB-9 Taux de succès therapeutique de TB-RR et/ou TB-MR : pourcentage de cas de tuberculose résistante à la rifampicine et/ou tuberculose multirésistante traités avec succès-5</v>
      </c>
      <c r="E303" s="145" t="str">
        <f>CHOOSE(Translations!$C$1+1,I303,J303,K303)</f>
        <v>Définition des cas</v>
      </c>
      <c r="F303" s="145" t="str">
        <f>CHOOSE(Translations!$C$1+1,L303,M303,N303)</f>
        <v>TB-XDR</v>
      </c>
      <c r="G303" s="145" t="s">
        <v>2581</v>
      </c>
      <c r="H303" s="146" t="s">
        <v>2582</v>
      </c>
      <c r="I303" s="146" t="s">
        <v>2484</v>
      </c>
      <c r="J303" s="146" t="s">
        <v>1666</v>
      </c>
      <c r="K303" s="146" t="s">
        <v>1667</v>
      </c>
      <c r="L303" s="146" t="s">
        <v>2583</v>
      </c>
      <c r="M303" s="146" t="s">
        <v>2584</v>
      </c>
      <c r="N303" s="146" t="s">
        <v>2584</v>
      </c>
      <c r="O303" s="146" t="s">
        <v>2570</v>
      </c>
      <c r="P303" s="146" t="s">
        <v>2571</v>
      </c>
      <c r="Q303" s="146" t="s">
        <v>2572</v>
      </c>
    </row>
    <row r="304" spans="1:17" s="9" customFormat="1" x14ac:dyDescent="0.25">
      <c r="A304" s="145" t="s">
        <v>2585</v>
      </c>
      <c r="B304" s="145" t="str">
        <f>CHOOSE(Translations!$C$1+1,O304,P304,Q304)</f>
        <v>TB/HIV-5 Pourcentage de patients tuberculeux enregistrés (nouveaux cas et récidives) dont le statut sérologique VIH est documenté</v>
      </c>
      <c r="C304" s="145">
        <f t="shared" si="10"/>
        <v>0</v>
      </c>
      <c r="D304" s="145" t="str">
        <f t="shared" si="11"/>
        <v>TB/HIV-5 Pourcentage de patients tuberculeux enregistrés (nouveaux cas et récidives) dont le statut sérologique VIH est documenté-0</v>
      </c>
      <c r="E304" s="145" t="str">
        <f>CHOOSE(Translations!$C$1+1,I304,J304,K304)</f>
        <v>Age</v>
      </c>
      <c r="F304" s="145" t="str">
        <f>CHOOSE(Translations!$C$1+1,L304,M304,N304)</f>
        <v>&lt;5</v>
      </c>
      <c r="G304" s="145" t="s">
        <v>2586</v>
      </c>
      <c r="H304" s="146" t="s">
        <v>2587</v>
      </c>
      <c r="I304" s="146" t="s">
        <v>1563</v>
      </c>
      <c r="J304" s="146" t="s">
        <v>1563</v>
      </c>
      <c r="K304" s="146" t="s">
        <v>1564</v>
      </c>
      <c r="L304" s="146" t="s">
        <v>1612</v>
      </c>
      <c r="M304" s="146" t="s">
        <v>1612</v>
      </c>
      <c r="N304" s="146" t="s">
        <v>1612</v>
      </c>
      <c r="O304" s="146" t="s">
        <v>2588</v>
      </c>
      <c r="P304" s="146" t="s">
        <v>2589</v>
      </c>
      <c r="Q304" s="146" t="s">
        <v>2590</v>
      </c>
    </row>
    <row r="305" spans="1:17" s="9" customFormat="1" x14ac:dyDescent="0.25">
      <c r="A305" s="145" t="s">
        <v>2585</v>
      </c>
      <c r="B305" s="145" t="str">
        <f>CHOOSE(Translations!$C$1+1,O305,P305,Q305)</f>
        <v>TB/HIV-5 Pourcentage de patients tuberculeux enregistrés (nouveaux cas et récidives) dont le statut sérologique VIH est documenté</v>
      </c>
      <c r="C305" s="145">
        <f t="shared" si="10"/>
        <v>1</v>
      </c>
      <c r="D305" s="145" t="str">
        <f t="shared" si="11"/>
        <v>TB/HIV-5 Pourcentage de patients tuberculeux enregistrés (nouveaux cas et récidives) dont le statut sérologique VIH est documenté-1</v>
      </c>
      <c r="E305" s="145" t="str">
        <f>CHOOSE(Translations!$C$1+1,I305,J305,K305)</f>
        <v>Age</v>
      </c>
      <c r="F305" s="145" t="str">
        <f>CHOOSE(Translations!$C$1+1,L305,M305,N305)</f>
        <v>5-14</v>
      </c>
      <c r="G305" s="145" t="s">
        <v>2591</v>
      </c>
      <c r="H305" s="146" t="s">
        <v>2592</v>
      </c>
      <c r="I305" s="146" t="s">
        <v>1563</v>
      </c>
      <c r="J305" s="146" t="s">
        <v>1563</v>
      </c>
      <c r="K305" s="146" t="s">
        <v>1564</v>
      </c>
      <c r="L305" s="146" t="s">
        <v>1609</v>
      </c>
      <c r="M305" s="146" t="s">
        <v>1609</v>
      </c>
      <c r="N305" s="146" t="s">
        <v>1609</v>
      </c>
      <c r="O305" s="146" t="s">
        <v>2588</v>
      </c>
      <c r="P305" s="146" t="s">
        <v>2589</v>
      </c>
      <c r="Q305" s="146" t="s">
        <v>2590</v>
      </c>
    </row>
    <row r="306" spans="1:17" s="9" customFormat="1" x14ac:dyDescent="0.25">
      <c r="A306" s="145" t="s">
        <v>2585</v>
      </c>
      <c r="B306" s="145" t="str">
        <f>CHOOSE(Translations!$C$1+1,O306,P306,Q306)</f>
        <v>TB/HIV-5 Pourcentage de patients tuberculeux enregistrés (nouveaux cas et récidives) dont le statut sérologique VIH est documenté</v>
      </c>
      <c r="C306" s="145">
        <f t="shared" si="10"/>
        <v>2</v>
      </c>
      <c r="D306" s="145" t="str">
        <f t="shared" si="11"/>
        <v>TB/HIV-5 Pourcentage de patients tuberculeux enregistrés (nouveaux cas et récidives) dont le statut sérologique VIH est documenté-2</v>
      </c>
      <c r="E306" s="145" t="str">
        <f>CHOOSE(Translations!$C$1+1,I306,J306,K306)</f>
        <v>Age</v>
      </c>
      <c r="F306" s="145" t="str">
        <f>CHOOSE(Translations!$C$1+1,L306,M306,N306)</f>
        <v>15+</v>
      </c>
      <c r="G306" s="145" t="s">
        <v>2593</v>
      </c>
      <c r="H306" s="146" t="s">
        <v>2594</v>
      </c>
      <c r="I306" s="146" t="s">
        <v>1563</v>
      </c>
      <c r="J306" s="146" t="s">
        <v>1563</v>
      </c>
      <c r="K306" s="146" t="s">
        <v>1564</v>
      </c>
      <c r="L306" s="146" t="s">
        <v>1565</v>
      </c>
      <c r="M306" s="146" t="s">
        <v>1565</v>
      </c>
      <c r="N306" s="146" t="s">
        <v>1565</v>
      </c>
      <c r="O306" s="146" t="s">
        <v>2588</v>
      </c>
      <c r="P306" s="146" t="s">
        <v>2589</v>
      </c>
      <c r="Q306" s="146" t="s">
        <v>2590</v>
      </c>
    </row>
    <row r="307" spans="1:17" s="9" customFormat="1" x14ac:dyDescent="0.25">
      <c r="A307" s="145" t="s">
        <v>2585</v>
      </c>
      <c r="B307" s="145" t="str">
        <f>CHOOSE(Translations!$C$1+1,O307,P307,Q307)</f>
        <v>TB/HIV-5 Pourcentage de patients tuberculeux enregistrés (nouveaux cas et récidives) dont le statut sérologique VIH est documenté</v>
      </c>
      <c r="C307" s="145">
        <f t="shared" si="10"/>
        <v>3</v>
      </c>
      <c r="D307" s="145" t="str">
        <f t="shared" si="11"/>
        <v>TB/HIV-5 Pourcentage de patients tuberculeux enregistrés (nouveaux cas et récidives) dont le statut sérologique VIH est documenté-3</v>
      </c>
      <c r="E307" s="145" t="str">
        <f>CHOOSE(Translations!$C$1+1,I307,J307,K307)</f>
        <v>Sexe</v>
      </c>
      <c r="F307" s="145" t="str">
        <f>CHOOSE(Translations!$C$1+1,L307,M307,N307)</f>
        <v>Homme</v>
      </c>
      <c r="G307" s="145" t="s">
        <v>2595</v>
      </c>
      <c r="H307" s="146" t="s">
        <v>2596</v>
      </c>
      <c r="I307" s="146" t="s">
        <v>1550</v>
      </c>
      <c r="J307" s="146" t="s">
        <v>1551</v>
      </c>
      <c r="K307" s="146" t="s">
        <v>1552</v>
      </c>
      <c r="L307" s="146" t="s">
        <v>1558</v>
      </c>
      <c r="M307" s="146" t="s">
        <v>1559</v>
      </c>
      <c r="N307" s="146" t="s">
        <v>1560</v>
      </c>
      <c r="O307" s="146" t="s">
        <v>2588</v>
      </c>
      <c r="P307" s="146" t="s">
        <v>2589</v>
      </c>
      <c r="Q307" s="146" t="s">
        <v>2590</v>
      </c>
    </row>
    <row r="308" spans="1:17" s="9" customFormat="1" x14ac:dyDescent="0.25">
      <c r="A308" s="145" t="s">
        <v>2585</v>
      </c>
      <c r="B308" s="145" t="str">
        <f>CHOOSE(Translations!$C$1+1,O308,P308,Q308)</f>
        <v>TB/HIV-5 Pourcentage de patients tuberculeux enregistrés (nouveaux cas et récidives) dont le statut sérologique VIH est documenté</v>
      </c>
      <c r="C308" s="145">
        <f t="shared" si="10"/>
        <v>4</v>
      </c>
      <c r="D308" s="145" t="str">
        <f t="shared" si="11"/>
        <v>TB/HIV-5 Pourcentage de patients tuberculeux enregistrés (nouveaux cas et récidives) dont le statut sérologique VIH est documenté-4</v>
      </c>
      <c r="E308" s="145" t="str">
        <f>CHOOSE(Translations!$C$1+1,I308,J308,K308)</f>
        <v>Sexe</v>
      </c>
      <c r="F308" s="145" t="str">
        <f>CHOOSE(Translations!$C$1+1,L308,M308,N308)</f>
        <v>Femme</v>
      </c>
      <c r="G308" s="145" t="s">
        <v>2597</v>
      </c>
      <c r="H308" s="146" t="s">
        <v>2598</v>
      </c>
      <c r="I308" s="146" t="s">
        <v>1550</v>
      </c>
      <c r="J308" s="146" t="s">
        <v>1551</v>
      </c>
      <c r="K308" s="146" t="s">
        <v>1552</v>
      </c>
      <c r="L308" s="146" t="s">
        <v>1553</v>
      </c>
      <c r="M308" s="146" t="s">
        <v>1554</v>
      </c>
      <c r="N308" s="146" t="s">
        <v>1555</v>
      </c>
      <c r="O308" s="146" t="s">
        <v>2588</v>
      </c>
      <c r="P308" s="146" t="s">
        <v>2589</v>
      </c>
      <c r="Q308" s="146" t="s">
        <v>2590</v>
      </c>
    </row>
    <row r="309" spans="1:17" s="9" customFormat="1" x14ac:dyDescent="0.25">
      <c r="A309" s="145" t="s">
        <v>2585</v>
      </c>
      <c r="B309" s="145" t="str">
        <f>CHOOSE(Translations!$C$1+1,O309,P309,Q309)</f>
        <v>TB/HIV-5 Pourcentage de patients tuberculeux enregistrés (nouveaux cas et récidives) dont le statut sérologique VIH est documenté</v>
      </c>
      <c r="C309" s="145">
        <f t="shared" si="10"/>
        <v>5</v>
      </c>
      <c r="D309" s="145" t="str">
        <f t="shared" si="11"/>
        <v>TB/HIV-5 Pourcentage de patients tuberculeux enregistrés (nouveaux cas et récidives) dont le statut sérologique VIH est documenté-5</v>
      </c>
      <c r="E309" s="145" t="str">
        <f>CHOOSE(Translations!$C$1+1,I309,J309,K309)</f>
        <v>Résultat du test VIH</v>
      </c>
      <c r="F309" s="145" t="str">
        <f>CHOOSE(Translations!$C$1+1,L309,M309,N309)</f>
        <v>Positif</v>
      </c>
      <c r="G309" s="145" t="s">
        <v>2599</v>
      </c>
      <c r="H309" s="146" t="s">
        <v>2600</v>
      </c>
      <c r="I309" s="146" t="s">
        <v>2168</v>
      </c>
      <c r="J309" s="146" t="s">
        <v>2169</v>
      </c>
      <c r="K309" s="146" t="s">
        <v>2170</v>
      </c>
      <c r="L309" s="146" t="s">
        <v>2171</v>
      </c>
      <c r="M309" s="146" t="s">
        <v>2172</v>
      </c>
      <c r="N309" s="146" t="s">
        <v>2173</v>
      </c>
      <c r="O309" s="146" t="s">
        <v>2588</v>
      </c>
      <c r="P309" s="146" t="s">
        <v>2589</v>
      </c>
      <c r="Q309" s="146" t="s">
        <v>2590</v>
      </c>
    </row>
    <row r="310" spans="1:17" s="9" customFormat="1" x14ac:dyDescent="0.25">
      <c r="A310" s="145" t="s">
        <v>2601</v>
      </c>
      <c r="B310" s="145" t="str">
        <f>CHOOSE(Translations!$C$1+1,O310,P310,Q310)</f>
        <v>TB/HIV-6⁽ᴹ⁾ Pourcentage de patients tuberculeux (nouveaux cas et récidives) séropositifs au VIH sous traitement antirétroviral pendant leur traitement antituberculeux</v>
      </c>
      <c r="C310" s="145">
        <f t="shared" si="10"/>
        <v>0</v>
      </c>
      <c r="D310" s="145" t="str">
        <f t="shared" si="11"/>
        <v>TB/HIV-6⁽ᴹ⁾ Pourcentage de patients tuberculeux (nouveaux cas et récidives) séropositifs au VIH sous traitement antirétroviral pendant leur traitement antituberculeux-0</v>
      </c>
      <c r="E310" s="145" t="str">
        <f>CHOOSE(Translations!$C$1+1,I310,J310,K310)</f>
        <v>Age</v>
      </c>
      <c r="F310" s="145" t="str">
        <f>CHOOSE(Translations!$C$1+1,L310,M310,N310)</f>
        <v>&lt;5</v>
      </c>
      <c r="G310" s="145" t="s">
        <v>2602</v>
      </c>
      <c r="H310" s="146" t="s">
        <v>2603</v>
      </c>
      <c r="I310" s="146" t="s">
        <v>1563</v>
      </c>
      <c r="J310" s="146" t="s">
        <v>1563</v>
      </c>
      <c r="K310" s="146" t="s">
        <v>1564</v>
      </c>
      <c r="L310" s="146" t="s">
        <v>1612</v>
      </c>
      <c r="M310" s="146" t="s">
        <v>1612</v>
      </c>
      <c r="N310" s="146" t="s">
        <v>1612</v>
      </c>
      <c r="O310" s="146" t="s">
        <v>2604</v>
      </c>
      <c r="P310" s="146" t="s">
        <v>2605</v>
      </c>
      <c r="Q310" s="146" t="s">
        <v>2606</v>
      </c>
    </row>
    <row r="311" spans="1:17" s="9" customFormat="1" x14ac:dyDescent="0.25">
      <c r="A311" s="145" t="s">
        <v>2601</v>
      </c>
      <c r="B311" s="145" t="str">
        <f>CHOOSE(Translations!$C$1+1,O311,P311,Q311)</f>
        <v>TB/HIV-6⁽ᴹ⁾ Pourcentage de patients tuberculeux (nouveaux cas et récidives) séropositifs au VIH sous traitement antirétroviral pendant leur traitement antituberculeux</v>
      </c>
      <c r="C311" s="145">
        <f t="shared" si="10"/>
        <v>1</v>
      </c>
      <c r="D311" s="145" t="str">
        <f t="shared" si="11"/>
        <v>TB/HIV-6⁽ᴹ⁾ Pourcentage de patients tuberculeux (nouveaux cas et récidives) séropositifs au VIH sous traitement antirétroviral pendant leur traitement antituberculeux-1</v>
      </c>
      <c r="E311" s="145" t="str">
        <f>CHOOSE(Translations!$C$1+1,I311,J311,K311)</f>
        <v>Age</v>
      </c>
      <c r="F311" s="145" t="str">
        <f>CHOOSE(Translations!$C$1+1,L311,M311,N311)</f>
        <v>5-14</v>
      </c>
      <c r="G311" s="145" t="s">
        <v>2607</v>
      </c>
      <c r="H311" s="146" t="s">
        <v>2608</v>
      </c>
      <c r="I311" s="146" t="s">
        <v>1563</v>
      </c>
      <c r="J311" s="146" t="s">
        <v>1563</v>
      </c>
      <c r="K311" s="146" t="s">
        <v>1564</v>
      </c>
      <c r="L311" s="146" t="s">
        <v>1609</v>
      </c>
      <c r="M311" s="146" t="s">
        <v>1609</v>
      </c>
      <c r="N311" s="146" t="s">
        <v>1609</v>
      </c>
      <c r="O311" s="146" t="s">
        <v>2604</v>
      </c>
      <c r="P311" s="146" t="s">
        <v>2605</v>
      </c>
      <c r="Q311" s="146" t="s">
        <v>2606</v>
      </c>
    </row>
    <row r="312" spans="1:17" s="9" customFormat="1" x14ac:dyDescent="0.25">
      <c r="A312" s="145" t="s">
        <v>2601</v>
      </c>
      <c r="B312" s="145" t="str">
        <f>CHOOSE(Translations!$C$1+1,O312,P312,Q312)</f>
        <v>TB/HIV-6⁽ᴹ⁾ Pourcentage de patients tuberculeux (nouveaux cas et récidives) séropositifs au VIH sous traitement antirétroviral pendant leur traitement antituberculeux</v>
      </c>
      <c r="C312" s="145">
        <f t="shared" si="10"/>
        <v>2</v>
      </c>
      <c r="D312" s="145" t="str">
        <f t="shared" si="11"/>
        <v>TB/HIV-6⁽ᴹ⁾ Pourcentage de patients tuberculeux (nouveaux cas et récidives) séropositifs au VIH sous traitement antirétroviral pendant leur traitement antituberculeux-2</v>
      </c>
      <c r="E312" s="145" t="str">
        <f>CHOOSE(Translations!$C$1+1,I312,J312,K312)</f>
        <v>Age</v>
      </c>
      <c r="F312" s="145" t="str">
        <f>CHOOSE(Translations!$C$1+1,L312,M312,N312)</f>
        <v>15+</v>
      </c>
      <c r="G312" s="145" t="s">
        <v>2609</v>
      </c>
      <c r="H312" s="146" t="s">
        <v>2610</v>
      </c>
      <c r="I312" s="146" t="s">
        <v>1563</v>
      </c>
      <c r="J312" s="146" t="s">
        <v>1563</v>
      </c>
      <c r="K312" s="146" t="s">
        <v>1564</v>
      </c>
      <c r="L312" s="146" t="s">
        <v>1565</v>
      </c>
      <c r="M312" s="146" t="s">
        <v>1565</v>
      </c>
      <c r="N312" s="146" t="s">
        <v>1565</v>
      </c>
      <c r="O312" s="146" t="s">
        <v>2604</v>
      </c>
      <c r="P312" s="146" t="s">
        <v>2605</v>
      </c>
      <c r="Q312" s="146" t="s">
        <v>2606</v>
      </c>
    </row>
    <row r="313" spans="1:17" s="9" customFormat="1" x14ac:dyDescent="0.25">
      <c r="A313" s="145" t="s">
        <v>2601</v>
      </c>
      <c r="B313" s="145" t="str">
        <f>CHOOSE(Translations!$C$1+1,O313,P313,Q313)</f>
        <v>TB/HIV-6⁽ᴹ⁾ Pourcentage de patients tuberculeux (nouveaux cas et récidives) séropositifs au VIH sous traitement antirétroviral pendant leur traitement antituberculeux</v>
      </c>
      <c r="C313" s="145">
        <f t="shared" si="10"/>
        <v>3</v>
      </c>
      <c r="D313" s="145" t="str">
        <f t="shared" si="11"/>
        <v>TB/HIV-6⁽ᴹ⁾ Pourcentage de patients tuberculeux (nouveaux cas et récidives) séropositifs au VIH sous traitement antirétroviral pendant leur traitement antituberculeux-3</v>
      </c>
      <c r="E313" s="145" t="str">
        <f>CHOOSE(Translations!$C$1+1,I313,J313,K313)</f>
        <v>Sexe</v>
      </c>
      <c r="F313" s="145" t="str">
        <f>CHOOSE(Translations!$C$1+1,L313,M313,N313)</f>
        <v>Homme</v>
      </c>
      <c r="G313" s="145" t="s">
        <v>2611</v>
      </c>
      <c r="H313" s="146" t="s">
        <v>2612</v>
      </c>
      <c r="I313" s="146" t="s">
        <v>1550</v>
      </c>
      <c r="J313" s="146" t="s">
        <v>1551</v>
      </c>
      <c r="K313" s="146" t="s">
        <v>1552</v>
      </c>
      <c r="L313" s="146" t="s">
        <v>1558</v>
      </c>
      <c r="M313" s="146" t="s">
        <v>1559</v>
      </c>
      <c r="N313" s="146" t="s">
        <v>1560</v>
      </c>
      <c r="O313" s="146" t="s">
        <v>2604</v>
      </c>
      <c r="P313" s="146" t="s">
        <v>2605</v>
      </c>
      <c r="Q313" s="146" t="s">
        <v>2606</v>
      </c>
    </row>
    <row r="314" spans="1:17" s="9" customFormat="1" x14ac:dyDescent="0.25">
      <c r="A314" s="145" t="s">
        <v>2601</v>
      </c>
      <c r="B314" s="145" t="str">
        <f>CHOOSE(Translations!$C$1+1,O314,P314,Q314)</f>
        <v>TB/HIV-6⁽ᴹ⁾ Pourcentage de patients tuberculeux (nouveaux cas et récidives) séropositifs au VIH sous traitement antirétroviral pendant leur traitement antituberculeux</v>
      </c>
      <c r="C314" s="145">
        <f t="shared" si="10"/>
        <v>4</v>
      </c>
      <c r="D314" s="145" t="str">
        <f t="shared" si="11"/>
        <v>TB/HIV-6⁽ᴹ⁾ Pourcentage de patients tuberculeux (nouveaux cas et récidives) séropositifs au VIH sous traitement antirétroviral pendant leur traitement antituberculeux-4</v>
      </c>
      <c r="E314" s="145" t="str">
        <f>CHOOSE(Translations!$C$1+1,I314,J314,K314)</f>
        <v>Sexe</v>
      </c>
      <c r="F314" s="145" t="str">
        <f>CHOOSE(Translations!$C$1+1,L314,M314,N314)</f>
        <v>Femme</v>
      </c>
      <c r="G314" s="145" t="s">
        <v>2613</v>
      </c>
      <c r="H314" s="146" t="s">
        <v>2614</v>
      </c>
      <c r="I314" s="146" t="s">
        <v>1550</v>
      </c>
      <c r="J314" s="146" t="s">
        <v>1551</v>
      </c>
      <c r="K314" s="146" t="s">
        <v>1552</v>
      </c>
      <c r="L314" s="146" t="s">
        <v>1553</v>
      </c>
      <c r="M314" s="146" t="s">
        <v>1554</v>
      </c>
      <c r="N314" s="146" t="s">
        <v>1555</v>
      </c>
      <c r="O314" s="146" t="s">
        <v>2604</v>
      </c>
      <c r="P314" s="146" t="s">
        <v>2605</v>
      </c>
      <c r="Q314" s="146" t="s">
        <v>2606</v>
      </c>
    </row>
    <row r="315" spans="1:17" s="9" customFormat="1" x14ac:dyDescent="0.25">
      <c r="A315" s="145" t="s">
        <v>2615</v>
      </c>
      <c r="B315" s="145" t="str">
        <f>CHOOSE(Translations!$C$1+1,O315,P315,Q315)</f>
        <v>TB/HIV-7 Pourcentage de personnes vivant avec le VIH recevant un traitement antirétroviral qui ont commencé la thérapie préventive de la tuberculose parmi celles éligibles durant la période de rapportage</v>
      </c>
      <c r="C315" s="145">
        <f t="shared" si="10"/>
        <v>0</v>
      </c>
      <c r="D315" s="145" t="str">
        <f t="shared" si="11"/>
        <v>TB/HIV-7 Pourcentage de personnes vivant avec le VIH recevant un traitement antirétroviral qui ont commencé la thérapie préventive de la tuberculose parmi celles éligibles durant la période de rapportage-0</v>
      </c>
      <c r="E315" s="145" t="str">
        <f>CHOOSE(Translations!$C$1+1,I315,J315,K315)</f>
        <v>Age</v>
      </c>
      <c r="F315" s="145" t="str">
        <f>CHOOSE(Translations!$C$1+1,L315,M315,N315)</f>
        <v>&lt;5</v>
      </c>
      <c r="G315" s="145" t="s">
        <v>2616</v>
      </c>
      <c r="H315" s="146" t="s">
        <v>2617</v>
      </c>
      <c r="I315" s="146" t="s">
        <v>1563</v>
      </c>
      <c r="J315" s="146" t="s">
        <v>1563</v>
      </c>
      <c r="K315" s="146" t="s">
        <v>1564</v>
      </c>
      <c r="L315" s="146" t="s">
        <v>1612</v>
      </c>
      <c r="M315" s="146" t="s">
        <v>1612</v>
      </c>
      <c r="N315" s="146" t="s">
        <v>1612</v>
      </c>
      <c r="O315" s="146" t="s">
        <v>2618</v>
      </c>
      <c r="P315" s="146" t="s">
        <v>2619</v>
      </c>
      <c r="Q315" s="146" t="s">
        <v>2620</v>
      </c>
    </row>
    <row r="316" spans="1:17" s="9" customFormat="1" x14ac:dyDescent="0.25">
      <c r="A316" s="145" t="s">
        <v>2615</v>
      </c>
      <c r="B316" s="145" t="str">
        <f>CHOOSE(Translations!$C$1+1,O316,P316,Q316)</f>
        <v>TB/HIV-7 Pourcentage de personnes vivant avec le VIH recevant un traitement antirétroviral qui ont commencé la thérapie préventive de la tuberculose parmi celles éligibles durant la période de rapportage</v>
      </c>
      <c r="C316" s="145">
        <f t="shared" si="10"/>
        <v>1</v>
      </c>
      <c r="D316" s="145" t="str">
        <f t="shared" si="11"/>
        <v>TB/HIV-7 Pourcentage de personnes vivant avec le VIH recevant un traitement antirétroviral qui ont commencé la thérapie préventive de la tuberculose parmi celles éligibles durant la période de rapportage-1</v>
      </c>
      <c r="E316" s="145" t="str">
        <f>CHOOSE(Translations!$C$1+1,I316,J316,K316)</f>
        <v>Age</v>
      </c>
      <c r="F316" s="145" t="str">
        <f>CHOOSE(Translations!$C$1+1,L316,M316,N316)</f>
        <v>5-14</v>
      </c>
      <c r="G316" s="145" t="s">
        <v>2621</v>
      </c>
      <c r="H316" s="146" t="s">
        <v>2622</v>
      </c>
      <c r="I316" s="146" t="s">
        <v>1563</v>
      </c>
      <c r="J316" s="146" t="s">
        <v>1563</v>
      </c>
      <c r="K316" s="146" t="s">
        <v>1564</v>
      </c>
      <c r="L316" s="146" t="s">
        <v>1609</v>
      </c>
      <c r="M316" s="146" t="s">
        <v>1609</v>
      </c>
      <c r="N316" s="146" t="s">
        <v>1609</v>
      </c>
      <c r="O316" s="146" t="s">
        <v>2618</v>
      </c>
      <c r="P316" s="146" t="s">
        <v>2619</v>
      </c>
      <c r="Q316" s="146" t="s">
        <v>2620</v>
      </c>
    </row>
    <row r="317" spans="1:17" s="9" customFormat="1" x14ac:dyDescent="0.25">
      <c r="A317" s="145" t="s">
        <v>2615</v>
      </c>
      <c r="B317" s="145" t="str">
        <f>CHOOSE(Translations!$C$1+1,O317,P317,Q317)</f>
        <v>TB/HIV-7 Pourcentage de personnes vivant avec le VIH recevant un traitement antirétroviral qui ont commencé la thérapie préventive de la tuberculose parmi celles éligibles durant la période de rapportage</v>
      </c>
      <c r="C317" s="145">
        <f t="shared" si="10"/>
        <v>2</v>
      </c>
      <c r="D317" s="145" t="str">
        <f t="shared" si="11"/>
        <v>TB/HIV-7 Pourcentage de personnes vivant avec le VIH recevant un traitement antirétroviral qui ont commencé la thérapie préventive de la tuberculose parmi celles éligibles durant la période de rapportage-2</v>
      </c>
      <c r="E317" s="145" t="str">
        <f>CHOOSE(Translations!$C$1+1,I317,J317,K317)</f>
        <v>Age</v>
      </c>
      <c r="F317" s="145" t="str">
        <f>CHOOSE(Translations!$C$1+1,L317,M317,N317)</f>
        <v>15+</v>
      </c>
      <c r="G317" s="145" t="s">
        <v>2623</v>
      </c>
      <c r="H317" s="146" t="s">
        <v>2624</v>
      </c>
      <c r="I317" s="146" t="s">
        <v>1563</v>
      </c>
      <c r="J317" s="146" t="s">
        <v>1563</v>
      </c>
      <c r="K317" s="146" t="s">
        <v>1564</v>
      </c>
      <c r="L317" s="146" t="s">
        <v>1565</v>
      </c>
      <c r="M317" s="146" t="s">
        <v>1565</v>
      </c>
      <c r="N317" s="146" t="s">
        <v>1565</v>
      </c>
      <c r="O317" s="146" t="s">
        <v>2618</v>
      </c>
      <c r="P317" s="146" t="s">
        <v>2619</v>
      </c>
      <c r="Q317" s="146" t="s">
        <v>2620</v>
      </c>
    </row>
    <row r="318" spans="1:17" s="9" customFormat="1" x14ac:dyDescent="0.25">
      <c r="A318" s="145" t="s">
        <v>2615</v>
      </c>
      <c r="B318" s="145" t="str">
        <f>CHOOSE(Translations!$C$1+1,O318,P318,Q318)</f>
        <v>TB/HIV-7 Pourcentage de personnes vivant avec le VIH recevant un traitement antirétroviral qui ont commencé la thérapie préventive de la tuberculose parmi celles éligibles durant la période de rapportage</v>
      </c>
      <c r="C318" s="145">
        <f t="shared" si="10"/>
        <v>3</v>
      </c>
      <c r="D318" s="145" t="str">
        <f t="shared" si="11"/>
        <v>TB/HIV-7 Pourcentage de personnes vivant avec le VIH recevant un traitement antirétroviral qui ont commencé la thérapie préventive de la tuberculose parmi celles éligibles durant la période de rapportage-3</v>
      </c>
      <c r="E318" s="145" t="str">
        <f>CHOOSE(Translations!$C$1+1,I318,J318,K318)</f>
        <v>Sexe</v>
      </c>
      <c r="F318" s="145" t="str">
        <f>CHOOSE(Translations!$C$1+1,L318,M318,N318)</f>
        <v>Homme</v>
      </c>
      <c r="G318" s="145" t="s">
        <v>2625</v>
      </c>
      <c r="H318" s="146" t="s">
        <v>2626</v>
      </c>
      <c r="I318" s="146" t="s">
        <v>1550</v>
      </c>
      <c r="J318" s="146" t="s">
        <v>1551</v>
      </c>
      <c r="K318" s="146" t="s">
        <v>1552</v>
      </c>
      <c r="L318" s="146" t="s">
        <v>1558</v>
      </c>
      <c r="M318" s="146" t="s">
        <v>1559</v>
      </c>
      <c r="N318" s="146" t="s">
        <v>1560</v>
      </c>
      <c r="O318" s="146" t="s">
        <v>2618</v>
      </c>
      <c r="P318" s="146" t="s">
        <v>2619</v>
      </c>
      <c r="Q318" s="146" t="s">
        <v>2620</v>
      </c>
    </row>
    <row r="319" spans="1:17" s="9" customFormat="1" x14ac:dyDescent="0.25">
      <c r="A319" s="145" t="s">
        <v>2615</v>
      </c>
      <c r="B319" s="145" t="str">
        <f>CHOOSE(Translations!$C$1+1,O319,P319,Q319)</f>
        <v>TB/HIV-7 Pourcentage de personnes vivant avec le VIH recevant un traitement antirétroviral qui ont commencé la thérapie préventive de la tuberculose parmi celles éligibles durant la période de rapportage</v>
      </c>
      <c r="C319" s="145">
        <f t="shared" si="10"/>
        <v>4</v>
      </c>
      <c r="D319" s="145" t="str">
        <f t="shared" si="11"/>
        <v>TB/HIV-7 Pourcentage de personnes vivant avec le VIH recevant un traitement antirétroviral qui ont commencé la thérapie préventive de la tuberculose parmi celles éligibles durant la période de rapportage-4</v>
      </c>
      <c r="E319" s="145" t="str">
        <f>CHOOSE(Translations!$C$1+1,I319,J319,K319)</f>
        <v>Sexe</v>
      </c>
      <c r="F319" s="145" t="str">
        <f>CHOOSE(Translations!$C$1+1,L319,M319,N319)</f>
        <v>Femme</v>
      </c>
      <c r="G319" s="145" t="s">
        <v>2627</v>
      </c>
      <c r="H319" s="146" t="s">
        <v>2628</v>
      </c>
      <c r="I319" s="146" t="s">
        <v>1550</v>
      </c>
      <c r="J319" s="146" t="s">
        <v>1551</v>
      </c>
      <c r="K319" s="146" t="s">
        <v>1552</v>
      </c>
      <c r="L319" s="146" t="s">
        <v>1553</v>
      </c>
      <c r="M319" s="146" t="s">
        <v>1554</v>
      </c>
      <c r="N319" s="146" t="s">
        <v>1555</v>
      </c>
      <c r="O319" s="146" t="s">
        <v>2618</v>
      </c>
      <c r="P319" s="146" t="s">
        <v>2619</v>
      </c>
      <c r="Q319" s="146" t="s">
        <v>2620</v>
      </c>
    </row>
    <row r="320" spans="1:17" s="9" customFormat="1" x14ac:dyDescent="0.25">
      <c r="A320" s="145" t="s">
        <v>2615</v>
      </c>
      <c r="B320" s="145" t="str">
        <f>CHOOSE(Translations!$C$1+1,O320,P320,Q320)</f>
        <v>TB/HIV-7 Pourcentage de personnes vivant avec le VIH recevant un traitement antirétroviral qui ont commencé la thérapie préventive de la tuberculose parmi celles éligibles durant la période de rapportage</v>
      </c>
      <c r="C320" s="145">
        <f t="shared" si="10"/>
        <v>5</v>
      </c>
      <c r="D320" s="145" t="str">
        <f t="shared" si="11"/>
        <v>TB/HIV-7 Pourcentage de personnes vivant avec le VIH recevant un traitement antirétroviral qui ont commencé la thérapie préventive de la tuberculose parmi celles éligibles durant la période de rapportage-5</v>
      </c>
      <c r="E320" s="145" t="str">
        <f>CHOOSE(Translations!$C$1+1,I320,J320,K320)</f>
        <v>Régime TPT</v>
      </c>
      <c r="F320" s="145" t="str">
        <f>CHOOSE(Translations!$C$1+1,L320,M320,N320)</f>
        <v>3HP</v>
      </c>
      <c r="G320" s="145" t="s">
        <v>2629</v>
      </c>
      <c r="H320" s="146" t="s">
        <v>2630</v>
      </c>
      <c r="I320" s="146" t="s">
        <v>2631</v>
      </c>
      <c r="J320" s="146" t="s">
        <v>2632</v>
      </c>
      <c r="K320" s="146" t="s">
        <v>2633</v>
      </c>
      <c r="L320" s="146" t="s">
        <v>2634</v>
      </c>
      <c r="M320" s="146" t="s">
        <v>2634</v>
      </c>
      <c r="N320" s="146" t="s">
        <v>2634</v>
      </c>
      <c r="O320" s="146" t="s">
        <v>2618</v>
      </c>
      <c r="P320" s="146" t="s">
        <v>2619</v>
      </c>
      <c r="Q320" s="146" t="s">
        <v>2620</v>
      </c>
    </row>
    <row r="321" spans="1:17" s="9" customFormat="1" x14ac:dyDescent="0.25">
      <c r="A321" s="145" t="s">
        <v>2615</v>
      </c>
      <c r="B321" s="145" t="str">
        <f>CHOOSE(Translations!$C$1+1,O321,P321,Q321)</f>
        <v>TB/HIV-7 Pourcentage de personnes vivant avec le VIH recevant un traitement antirétroviral qui ont commencé la thérapie préventive de la tuberculose parmi celles éligibles durant la période de rapportage</v>
      </c>
      <c r="C321" s="145">
        <f t="shared" si="10"/>
        <v>6</v>
      </c>
      <c r="D321" s="145" t="str">
        <f t="shared" si="11"/>
        <v>TB/HIV-7 Pourcentage de personnes vivant avec le VIH recevant un traitement antirétroviral qui ont commencé la thérapie préventive de la tuberculose parmi celles éligibles durant la période de rapportage-6</v>
      </c>
      <c r="E321" s="145" t="str">
        <f>CHOOSE(Translations!$C$1+1,I321,J321,K321)</f>
        <v>Régime TPT</v>
      </c>
      <c r="F321" s="145" t="str">
        <f>CHOOSE(Translations!$C$1+1,L321,M321,N321)</f>
        <v>1HP</v>
      </c>
      <c r="G321" s="145" t="s">
        <v>2635</v>
      </c>
      <c r="H321" s="146" t="s">
        <v>2636</v>
      </c>
      <c r="I321" s="146" t="s">
        <v>2631</v>
      </c>
      <c r="J321" s="146" t="s">
        <v>2632</v>
      </c>
      <c r="K321" s="146" t="s">
        <v>2633</v>
      </c>
      <c r="L321" s="146" t="s">
        <v>2637</v>
      </c>
      <c r="M321" s="146" t="s">
        <v>2637</v>
      </c>
      <c r="N321" s="146" t="s">
        <v>2637</v>
      </c>
      <c r="O321" s="146" t="s">
        <v>2618</v>
      </c>
      <c r="P321" s="146" t="s">
        <v>2619</v>
      </c>
      <c r="Q321" s="146" t="s">
        <v>2620</v>
      </c>
    </row>
    <row r="322" spans="1:17" s="9" customFormat="1" x14ac:dyDescent="0.25">
      <c r="A322" s="145" t="s">
        <v>2615</v>
      </c>
      <c r="B322" s="145" t="str">
        <f>CHOOSE(Translations!$C$1+1,O322,P322,Q322)</f>
        <v>TB/HIV-7 Pourcentage de personnes vivant avec le VIH recevant un traitement antirétroviral qui ont commencé la thérapie préventive de la tuberculose parmi celles éligibles durant la période de rapportage</v>
      </c>
      <c r="C322" s="145">
        <f t="shared" si="10"/>
        <v>7</v>
      </c>
      <c r="D322" s="145" t="str">
        <f t="shared" si="11"/>
        <v>TB/HIV-7 Pourcentage de personnes vivant avec le VIH recevant un traitement antirétroviral qui ont commencé la thérapie préventive de la tuberculose parmi celles éligibles durant la période de rapportage-7</v>
      </c>
      <c r="E322" s="145" t="str">
        <f>CHOOSE(Translations!$C$1+1,I322,J322,K322)</f>
        <v>Régime TPT</v>
      </c>
      <c r="F322" s="145" t="str">
        <f>CHOOSE(Translations!$C$1+1,L322,M322,N322)</f>
        <v>RIF</v>
      </c>
      <c r="G322" s="145" t="s">
        <v>2638</v>
      </c>
      <c r="H322" s="146" t="s">
        <v>2639</v>
      </c>
      <c r="I322" s="146" t="s">
        <v>2631</v>
      </c>
      <c r="J322" s="146" t="s">
        <v>2632</v>
      </c>
      <c r="K322" s="146" t="s">
        <v>2633</v>
      </c>
      <c r="L322" s="146" t="s">
        <v>2640</v>
      </c>
      <c r="M322" s="146" t="s">
        <v>2640</v>
      </c>
      <c r="N322" s="146" t="s">
        <v>2640</v>
      </c>
      <c r="O322" s="146" t="s">
        <v>2618</v>
      </c>
      <c r="P322" s="146" t="s">
        <v>2619</v>
      </c>
      <c r="Q322" s="146" t="s">
        <v>2620</v>
      </c>
    </row>
    <row r="323" spans="1:17" s="9" customFormat="1" x14ac:dyDescent="0.25">
      <c r="A323" s="145" t="s">
        <v>2615</v>
      </c>
      <c r="B323" s="145" t="str">
        <f>CHOOSE(Translations!$C$1+1,O323,P323,Q323)</f>
        <v>TB/HIV-7 Pourcentage de personnes vivant avec le VIH recevant un traitement antirétroviral qui ont commencé la thérapie préventive de la tuberculose parmi celles éligibles durant la période de rapportage</v>
      </c>
      <c r="C323" s="145">
        <f t="shared" si="10"/>
        <v>8</v>
      </c>
      <c r="D323" s="145" t="str">
        <f t="shared" si="11"/>
        <v>TB/HIV-7 Pourcentage de personnes vivant avec le VIH recevant un traitement antirétroviral qui ont commencé la thérapie préventive de la tuberculose parmi celles éligibles durant la période de rapportage-8</v>
      </c>
      <c r="E323" s="145" t="str">
        <f>CHOOSE(Translations!$C$1+1,I323,J323,K323)</f>
        <v>Régime TPT</v>
      </c>
      <c r="F323" s="145" t="str">
        <f>CHOOSE(Translations!$C$1+1,L323,M323,N323)</f>
        <v>3RH</v>
      </c>
      <c r="G323" s="145" t="s">
        <v>2641</v>
      </c>
      <c r="H323" s="146" t="s">
        <v>2642</v>
      </c>
      <c r="I323" s="146" t="s">
        <v>2631</v>
      </c>
      <c r="J323" s="146" t="s">
        <v>2632</v>
      </c>
      <c r="K323" s="146" t="s">
        <v>2633</v>
      </c>
      <c r="L323" s="146" t="s">
        <v>2643</v>
      </c>
      <c r="M323" s="146" t="s">
        <v>2643</v>
      </c>
      <c r="N323" s="146" t="s">
        <v>2643</v>
      </c>
      <c r="O323" s="146" t="s">
        <v>2618</v>
      </c>
      <c r="P323" s="146" t="s">
        <v>2619</v>
      </c>
      <c r="Q323" s="146" t="s">
        <v>2620</v>
      </c>
    </row>
    <row r="324" spans="1:17" s="9" customFormat="1" x14ac:dyDescent="0.25">
      <c r="A324" s="145" t="s">
        <v>2615</v>
      </c>
      <c r="B324" s="145" t="str">
        <f>CHOOSE(Translations!$C$1+1,O324,P324,Q324)</f>
        <v>TB/HIV-7 Pourcentage de personnes vivant avec le VIH recevant un traitement antirétroviral qui ont commencé la thérapie préventive de la tuberculose parmi celles éligibles durant la période de rapportage</v>
      </c>
      <c r="C324" s="145">
        <f t="shared" si="10"/>
        <v>9</v>
      </c>
      <c r="D324" s="145" t="str">
        <f t="shared" si="11"/>
        <v>TB/HIV-7 Pourcentage de personnes vivant avec le VIH recevant un traitement antirétroviral qui ont commencé la thérapie préventive de la tuberculose parmi celles éligibles durant la période de rapportage-9</v>
      </c>
      <c r="E324" s="145" t="str">
        <f>CHOOSE(Translations!$C$1+1,I324,J324,K324)</f>
        <v>Régime TPT</v>
      </c>
      <c r="F324" s="145" t="str">
        <f>CHOOSE(Translations!$C$1+1,L324,M324,N324)</f>
        <v>INH</v>
      </c>
      <c r="G324" s="145" t="s">
        <v>2644</v>
      </c>
      <c r="H324" s="146" t="s">
        <v>2645</v>
      </c>
      <c r="I324" s="146" t="s">
        <v>2631</v>
      </c>
      <c r="J324" s="146" t="s">
        <v>2632</v>
      </c>
      <c r="K324" s="146" t="s">
        <v>2633</v>
      </c>
      <c r="L324" s="146" t="s">
        <v>2646</v>
      </c>
      <c r="M324" s="146" t="s">
        <v>2646</v>
      </c>
      <c r="N324" s="146" t="s">
        <v>2646</v>
      </c>
      <c r="O324" s="146" t="s">
        <v>2618</v>
      </c>
      <c r="P324" s="146" t="s">
        <v>2619</v>
      </c>
      <c r="Q324" s="146" t="s">
        <v>2620</v>
      </c>
    </row>
    <row r="325" spans="1:17" s="9" customFormat="1" x14ac:dyDescent="0.25">
      <c r="A325" s="145" t="s">
        <v>2647</v>
      </c>
      <c r="B325" s="145" t="str">
        <f>CHOOSE(Translations!$C$1+1,O325,P325,Q325)</f>
        <v>VC-1⁽ᴹ⁾ Nombre de moustiquaires imprégnées d’insecticide de longue durée distribuées aux populations à risque dans le cadre de campagnes de distribution de masse</v>
      </c>
      <c r="C325" s="145">
        <f t="shared" si="10"/>
        <v>0</v>
      </c>
      <c r="D325" s="145" t="str">
        <f t="shared" si="11"/>
        <v>VC-1⁽ᴹ⁾ Nombre de moustiquaires imprégnées d’insecticide de longue durée distribuées aux populations à risque dans le cadre de campagnes de distribution de masse-0</v>
      </c>
      <c r="E325" s="145" t="str">
        <f>CHOOSE(Translations!$C$1+1,I325,J325,K325)</f>
        <v>Groupe à risque cible</v>
      </c>
      <c r="F325" s="145" t="str">
        <f>CHOOSE(Translations!$C$1+1,L325,M325,N325)</f>
        <v>Migrants / réfugiés / personnes déplacées</v>
      </c>
      <c r="G325" s="145" t="s">
        <v>2648</v>
      </c>
      <c r="H325" s="146" t="s">
        <v>2649</v>
      </c>
      <c r="I325" s="146" t="s">
        <v>1934</v>
      </c>
      <c r="J325" s="146" t="s">
        <v>1935</v>
      </c>
      <c r="K325" s="146" t="s">
        <v>1936</v>
      </c>
      <c r="L325" s="146" t="s">
        <v>2519</v>
      </c>
      <c r="M325" s="146" t="s">
        <v>2520</v>
      </c>
      <c r="N325" s="146" t="s">
        <v>2521</v>
      </c>
      <c r="O325" s="146" t="s">
        <v>2650</v>
      </c>
      <c r="P325" s="146" t="s">
        <v>2651</v>
      </c>
      <c r="Q325" s="146" t="s">
        <v>2652</v>
      </c>
    </row>
    <row r="326" spans="1:17" s="9" customFormat="1" x14ac:dyDescent="0.25">
      <c r="A326" s="145" t="s">
        <v>2647</v>
      </c>
      <c r="B326" s="145" t="str">
        <f>CHOOSE(Translations!$C$1+1,O326,P326,Q326)</f>
        <v>VC-1⁽ᴹ⁾ Nombre de moustiquaires imprégnées d’insecticide de longue durée distribuées aux populations à risque dans le cadre de campagnes de distribution de masse</v>
      </c>
      <c r="C326" s="145">
        <f t="shared" si="10"/>
        <v>1</v>
      </c>
      <c r="D326" s="145" t="str">
        <f t="shared" si="11"/>
        <v>VC-1⁽ᴹ⁾ Nombre de moustiquaires imprégnées d’insecticide de longue durée distribuées aux populations à risque dans le cadre de campagnes de distribution de masse-1</v>
      </c>
      <c r="E326" s="145" t="str">
        <f>CHOOSE(Translations!$C$1+1,I326,J326,K326)</f>
        <v>Groupe à risque cible</v>
      </c>
      <c r="F326" s="145" t="str">
        <f>CHOOSE(Translations!$C$1+1,L326,M326,N326)</f>
        <v>Prisonniers</v>
      </c>
      <c r="G326" s="145" t="s">
        <v>2653</v>
      </c>
      <c r="H326" s="146" t="s">
        <v>2654</v>
      </c>
      <c r="I326" s="146" t="s">
        <v>1934</v>
      </c>
      <c r="J326" s="146" t="s">
        <v>1935</v>
      </c>
      <c r="K326" s="146" t="s">
        <v>1936</v>
      </c>
      <c r="L326" s="146" t="s">
        <v>1937</v>
      </c>
      <c r="M326" s="146" t="s">
        <v>1938</v>
      </c>
      <c r="N326" s="146" t="s">
        <v>1939</v>
      </c>
      <c r="O326" s="146" t="s">
        <v>2650</v>
      </c>
      <c r="P326" s="146" t="s">
        <v>2651</v>
      </c>
      <c r="Q326" s="146" t="s">
        <v>2652</v>
      </c>
    </row>
    <row r="327" spans="1:17" s="9" customFormat="1" x14ac:dyDescent="0.25">
      <c r="A327" s="145" t="s">
        <v>2647</v>
      </c>
      <c r="B327" s="145" t="str">
        <f>CHOOSE(Translations!$C$1+1,O327,P327,Q327)</f>
        <v>VC-1⁽ᴹ⁾ Nombre de moustiquaires imprégnées d’insecticide de longue durée distribuées aux populations à risque dans le cadre de campagnes de distribution de masse</v>
      </c>
      <c r="C327" s="145">
        <f t="shared" si="10"/>
        <v>2</v>
      </c>
      <c r="D327" s="145" t="str">
        <f t="shared" si="11"/>
        <v>VC-1⁽ᴹ⁾ Nombre de moustiquaires imprégnées d’insecticide de longue durée distribuées aux populations à risque dans le cadre de campagnes de distribution de masse-2</v>
      </c>
      <c r="E327" s="145" t="str">
        <f>CHOOSE(Translations!$C$1+1,I327,J327,K327)</f>
        <v>Groupe à risque cible</v>
      </c>
      <c r="F327" s="145" t="str">
        <f>CHOOSE(Translations!$C$1+1,L327,M327,N327)</f>
        <v>Autre groupe à risque cible - à préciser</v>
      </c>
      <c r="G327" s="145" t="s">
        <v>2655</v>
      </c>
      <c r="H327" s="146" t="s">
        <v>2656</v>
      </c>
      <c r="I327" s="146" t="s">
        <v>1934</v>
      </c>
      <c r="J327" s="146" t="s">
        <v>1935</v>
      </c>
      <c r="K327" s="146" t="s">
        <v>1936</v>
      </c>
      <c r="L327" s="146" t="s">
        <v>2527</v>
      </c>
      <c r="M327" s="146" t="s">
        <v>2528</v>
      </c>
      <c r="N327" s="146" t="s">
        <v>2529</v>
      </c>
      <c r="O327" s="146" t="s">
        <v>2650</v>
      </c>
      <c r="P327" s="146" t="s">
        <v>2651</v>
      </c>
      <c r="Q327" s="146" t="s">
        <v>2652</v>
      </c>
    </row>
    <row r="328" spans="1:17" s="9" customFormat="1" x14ac:dyDescent="0.25">
      <c r="A328" s="145" t="s">
        <v>2657</v>
      </c>
      <c r="B328" s="145" t="str">
        <f>CHOOSE(Translations!$C$1+1,O328,P328,Q328)</f>
        <v>VC-3⁽ᴹ⁾ Nombre de moustiquaires imprégnées d’insecticide de longue durée distribuées de manière continue aux groupes à risque cibles</v>
      </c>
      <c r="C328" s="145">
        <f t="shared" si="10"/>
        <v>0</v>
      </c>
      <c r="D328" s="145" t="str">
        <f t="shared" si="11"/>
        <v>VC-3⁽ᴹ⁾ Nombre de moustiquaires imprégnées d’insecticide de longue durée distribuées de manière continue aux groupes à risque cibles-0</v>
      </c>
      <c r="E328" s="145" t="str">
        <f>CHOOSE(Translations!$C$1+1,I328,J328,K328)</f>
        <v>Groupe à risque cible</v>
      </c>
      <c r="F328" s="145" t="str">
        <f>CHOOSE(Translations!$C$1+1,L328,M328,N328)</f>
        <v>Femmes enceintes</v>
      </c>
      <c r="G328" s="145" t="s">
        <v>2658</v>
      </c>
      <c r="H328" s="146" t="s">
        <v>2659</v>
      </c>
      <c r="I328" s="146" t="s">
        <v>1934</v>
      </c>
      <c r="J328" s="146" t="s">
        <v>1935</v>
      </c>
      <c r="K328" s="146" t="s">
        <v>1936</v>
      </c>
      <c r="L328" s="146" t="s">
        <v>2660</v>
      </c>
      <c r="M328" s="146" t="s">
        <v>2661</v>
      </c>
      <c r="N328" s="146" t="s">
        <v>2662</v>
      </c>
      <c r="O328" s="146" t="s">
        <v>2663</v>
      </c>
      <c r="P328" s="146" t="s">
        <v>2664</v>
      </c>
      <c r="Q328" s="146" t="s">
        <v>2665</v>
      </c>
    </row>
    <row r="329" spans="1:17" s="9" customFormat="1" x14ac:dyDescent="0.25">
      <c r="A329" s="145" t="s">
        <v>2657</v>
      </c>
      <c r="B329" s="145" t="str">
        <f>CHOOSE(Translations!$C$1+1,O329,P329,Q329)</f>
        <v>VC-3⁽ᴹ⁾ Nombre de moustiquaires imprégnées d’insecticide de longue durée distribuées de manière continue aux groupes à risque cibles</v>
      </c>
      <c r="C329" s="145">
        <f t="shared" si="10"/>
        <v>1</v>
      </c>
      <c r="D329" s="145" t="str">
        <f t="shared" si="11"/>
        <v>VC-3⁽ᴹ⁾ Nombre de moustiquaires imprégnées d’insecticide de longue durée distribuées de manière continue aux groupes à risque cibles-1</v>
      </c>
      <c r="E329" s="145" t="str">
        <f>CHOOSE(Translations!$C$1+1,I329,J329,K329)</f>
        <v>Groupe à risque cible</v>
      </c>
      <c r="F329" s="145" t="str">
        <f>CHOOSE(Translations!$C$1+1,L329,M329,N329)</f>
        <v>Enfants &lt;5 ans</v>
      </c>
      <c r="G329" s="145" t="s">
        <v>2666</v>
      </c>
      <c r="H329" s="146" t="s">
        <v>2667</v>
      </c>
      <c r="I329" s="146" t="s">
        <v>1934</v>
      </c>
      <c r="J329" s="146" t="s">
        <v>1935</v>
      </c>
      <c r="K329" s="146" t="s">
        <v>1936</v>
      </c>
      <c r="L329" s="146" t="s">
        <v>2668</v>
      </c>
      <c r="M329" s="146" t="s">
        <v>2669</v>
      </c>
      <c r="N329" s="146" t="s">
        <v>2670</v>
      </c>
      <c r="O329" s="146" t="s">
        <v>2663</v>
      </c>
      <c r="P329" s="146" t="s">
        <v>2664</v>
      </c>
      <c r="Q329" s="146" t="s">
        <v>2665</v>
      </c>
    </row>
    <row r="330" spans="1:17" s="9" customFormat="1" x14ac:dyDescent="0.25">
      <c r="A330" s="145" t="s">
        <v>2657</v>
      </c>
      <c r="B330" s="145" t="str">
        <f>CHOOSE(Translations!$C$1+1,O330,P330,Q330)</f>
        <v>VC-3⁽ᴹ⁾ Nombre de moustiquaires imprégnées d’insecticide de longue durée distribuées de manière continue aux groupes à risque cibles</v>
      </c>
      <c r="C330" s="145">
        <f t="shared" si="10"/>
        <v>2</v>
      </c>
      <c r="D330" s="145" t="str">
        <f t="shared" si="11"/>
        <v>VC-3⁽ᴹ⁾ Nombre de moustiquaires imprégnées d’insecticide de longue durée distribuées de manière continue aux groupes à risque cibles-2</v>
      </c>
      <c r="E330" s="145" t="str">
        <f>CHOOSE(Translations!$C$1+1,I330,J330,K330)</f>
        <v>Groupe à risque cible</v>
      </c>
      <c r="F330" s="145" t="str">
        <f>CHOOSE(Translations!$C$1+1,L330,M330,N330)</f>
        <v>Enfants scolarisés</v>
      </c>
      <c r="G330" s="145" t="s">
        <v>2671</v>
      </c>
      <c r="H330" s="146" t="s">
        <v>2672</v>
      </c>
      <c r="I330" s="146" t="s">
        <v>1934</v>
      </c>
      <c r="J330" s="146" t="s">
        <v>1935</v>
      </c>
      <c r="K330" s="146" t="s">
        <v>1936</v>
      </c>
      <c r="L330" s="146" t="s">
        <v>2673</v>
      </c>
      <c r="M330" s="146" t="s">
        <v>2674</v>
      </c>
      <c r="N330" s="146" t="s">
        <v>2675</v>
      </c>
      <c r="O330" s="146" t="s">
        <v>2663</v>
      </c>
      <c r="P330" s="146" t="s">
        <v>2664</v>
      </c>
      <c r="Q330" s="146" t="s">
        <v>2665</v>
      </c>
    </row>
    <row r="331" spans="1:17" s="9" customFormat="1" x14ac:dyDescent="0.25">
      <c r="A331" s="145" t="s">
        <v>2657</v>
      </c>
      <c r="B331" s="145" t="str">
        <f>CHOOSE(Translations!$C$1+1,O331,P331,Q331)</f>
        <v>VC-3⁽ᴹ⁾ Nombre de moustiquaires imprégnées d’insecticide de longue durée distribuées de manière continue aux groupes à risque cibles</v>
      </c>
      <c r="C331" s="145">
        <f t="shared" si="10"/>
        <v>3</v>
      </c>
      <c r="D331" s="145" t="str">
        <f t="shared" si="11"/>
        <v>VC-3⁽ᴹ⁾ Nombre de moustiquaires imprégnées d’insecticide de longue durée distribuées de manière continue aux groupes à risque cibles-3</v>
      </c>
      <c r="E331" s="145" t="str">
        <f>CHOOSE(Translations!$C$1+1,I331,J331,K331)</f>
        <v>Groupe à risque cible</v>
      </c>
      <c r="F331" s="145" t="str">
        <f>CHOOSE(Translations!$C$1+1,L331,M331,N331)</f>
        <v>Autre groupe à risque cible - à préciser</v>
      </c>
      <c r="G331" s="145" t="s">
        <v>2676</v>
      </c>
      <c r="H331" s="146" t="s">
        <v>2677</v>
      </c>
      <c r="I331" s="146" t="s">
        <v>1934</v>
      </c>
      <c r="J331" s="146" t="s">
        <v>1935</v>
      </c>
      <c r="K331" s="146" t="s">
        <v>1936</v>
      </c>
      <c r="L331" s="146" t="s">
        <v>2527</v>
      </c>
      <c r="M331" s="146" t="s">
        <v>2528</v>
      </c>
      <c r="N331" s="146" t="s">
        <v>2529</v>
      </c>
      <c r="O331" s="146" t="s">
        <v>2663</v>
      </c>
      <c r="P331" s="146" t="s">
        <v>2664</v>
      </c>
      <c r="Q331" s="146" t="s">
        <v>2665</v>
      </c>
    </row>
    <row r="332" spans="1:17" s="9" customFormat="1" x14ac:dyDescent="0.25">
      <c r="A332" s="145" t="s">
        <v>2678</v>
      </c>
      <c r="B332" s="145" t="str">
        <f>CHOOSE(Translations!$C$1+1,O332,P332,Q332)</f>
        <v>CM-1a⁽ᴹ⁾ Proportion de cas suspect de paludisme soumis à un test parasitologique dans des établissements de santé du secteur public</v>
      </c>
      <c r="C332" s="145">
        <f t="shared" si="10"/>
        <v>0</v>
      </c>
      <c r="D332" s="145" t="str">
        <f t="shared" si="11"/>
        <v>CM-1a⁽ᴹ⁾ Proportion de cas suspect de paludisme soumis à un test parasitologique dans des établissements de santé du secteur public-0</v>
      </c>
      <c r="E332" s="145" t="str">
        <f>CHOOSE(Translations!$C$1+1,I332,J332,K332)</f>
        <v>Age</v>
      </c>
      <c r="F332" s="145" t="str">
        <f>CHOOSE(Translations!$C$1+1,L332,M332,N332)</f>
        <v>&lt;5</v>
      </c>
      <c r="G332" s="145" t="s">
        <v>2679</v>
      </c>
      <c r="H332" s="146" t="s">
        <v>2680</v>
      </c>
      <c r="I332" s="146" t="s">
        <v>1563</v>
      </c>
      <c r="J332" s="146" t="s">
        <v>1563</v>
      </c>
      <c r="K332" s="146" t="s">
        <v>1564</v>
      </c>
      <c r="L332" s="146" t="s">
        <v>1612</v>
      </c>
      <c r="M332" s="146" t="s">
        <v>1612</v>
      </c>
      <c r="N332" s="146" t="s">
        <v>1612</v>
      </c>
      <c r="O332" s="146" t="s">
        <v>2681</v>
      </c>
      <c r="P332" s="146" t="s">
        <v>2682</v>
      </c>
      <c r="Q332" s="146" t="s">
        <v>2683</v>
      </c>
    </row>
    <row r="333" spans="1:17" s="9" customFormat="1" x14ac:dyDescent="0.25">
      <c r="A333" s="145" t="s">
        <v>2678</v>
      </c>
      <c r="B333" s="145" t="str">
        <f>CHOOSE(Translations!$C$1+1,O333,P333,Q333)</f>
        <v>CM-1a⁽ᴹ⁾ Proportion de cas suspect de paludisme soumis à un test parasitologique dans des établissements de santé du secteur public</v>
      </c>
      <c r="C333" s="145">
        <f t="shared" si="10"/>
        <v>1</v>
      </c>
      <c r="D333" s="145" t="str">
        <f t="shared" si="11"/>
        <v>CM-1a⁽ᴹ⁾ Proportion de cas suspect de paludisme soumis à un test parasitologique dans des établissements de santé du secteur public-1</v>
      </c>
      <c r="E333" s="145" t="str">
        <f>CHOOSE(Translations!$C$1+1,I333,J333,K333)</f>
        <v>Age</v>
      </c>
      <c r="F333" s="145" t="str">
        <f>CHOOSE(Translations!$C$1+1,L333,M333,N333)</f>
        <v>5+</v>
      </c>
      <c r="G333" s="145" t="s">
        <v>2684</v>
      </c>
      <c r="H333" s="146" t="s">
        <v>2685</v>
      </c>
      <c r="I333" s="146" t="s">
        <v>1563</v>
      </c>
      <c r="J333" s="146" t="s">
        <v>1563</v>
      </c>
      <c r="K333" s="146" t="s">
        <v>1564</v>
      </c>
      <c r="L333" s="146" t="s">
        <v>1681</v>
      </c>
      <c r="M333" s="146" t="s">
        <v>1681</v>
      </c>
      <c r="N333" s="146" t="s">
        <v>1681</v>
      </c>
      <c r="O333" s="146" t="s">
        <v>2681</v>
      </c>
      <c r="P333" s="146" t="s">
        <v>2682</v>
      </c>
      <c r="Q333" s="146" t="s">
        <v>2683</v>
      </c>
    </row>
    <row r="334" spans="1:17" s="9" customFormat="1" x14ac:dyDescent="0.25">
      <c r="A334" s="145" t="s">
        <v>2678</v>
      </c>
      <c r="B334" s="145" t="str">
        <f>CHOOSE(Translations!$C$1+1,O334,P334,Q334)</f>
        <v>CM-1a⁽ᴹ⁾ Proportion de cas suspect de paludisme soumis à un test parasitologique dans des établissements de santé du secteur public</v>
      </c>
      <c r="C334" s="145">
        <f t="shared" si="10"/>
        <v>2</v>
      </c>
      <c r="D334" s="145" t="str">
        <f t="shared" si="11"/>
        <v>CM-1a⁽ᴹ⁾ Proportion de cas suspect de paludisme soumis à un test parasitologique dans des établissements de santé du secteur public-2</v>
      </c>
      <c r="E334" s="145" t="str">
        <f>CHOOSE(Translations!$C$1+1,I334,J334,K334)</f>
        <v>Type de tests</v>
      </c>
      <c r="F334" s="145" t="str">
        <f>CHOOSE(Translations!$C$1+1,L334,M334,N334)</f>
        <v>Microscopie</v>
      </c>
      <c r="G334" s="145" t="s">
        <v>2686</v>
      </c>
      <c r="H334" s="146" t="s">
        <v>2687</v>
      </c>
      <c r="I334" s="146" t="s">
        <v>1726</v>
      </c>
      <c r="J334" s="146" t="s">
        <v>1727</v>
      </c>
      <c r="K334" s="146" t="s">
        <v>1728</v>
      </c>
      <c r="L334" s="146" t="s">
        <v>1737</v>
      </c>
      <c r="M334" s="146" t="s">
        <v>1738</v>
      </c>
      <c r="N334" s="146" t="s">
        <v>1739</v>
      </c>
      <c r="O334" s="146" t="s">
        <v>2681</v>
      </c>
      <c r="P334" s="146" t="s">
        <v>2682</v>
      </c>
      <c r="Q334" s="146" t="s">
        <v>2683</v>
      </c>
    </row>
    <row r="335" spans="1:17" s="9" customFormat="1" x14ac:dyDescent="0.25">
      <c r="A335" s="145" t="s">
        <v>2678</v>
      </c>
      <c r="B335" s="145" t="str">
        <f>CHOOSE(Translations!$C$1+1,O335,P335,Q335)</f>
        <v>CM-1a⁽ᴹ⁾ Proportion de cas suspect de paludisme soumis à un test parasitologique dans des établissements de santé du secteur public</v>
      </c>
      <c r="C335" s="145">
        <f t="shared" si="10"/>
        <v>3</v>
      </c>
      <c r="D335" s="145" t="str">
        <f t="shared" si="11"/>
        <v>CM-1a⁽ᴹ⁾ Proportion de cas suspect de paludisme soumis à un test parasitologique dans des établissements de santé du secteur public-3</v>
      </c>
      <c r="E335" s="145" t="str">
        <f>CHOOSE(Translations!$C$1+1,I335,J335,K335)</f>
        <v>Type de tests</v>
      </c>
      <c r="F335" s="145" t="str">
        <f>CHOOSE(Translations!$C$1+1,L335,M335,N335)</f>
        <v>Test de dépistage rapide</v>
      </c>
      <c r="G335" s="145" t="s">
        <v>2688</v>
      </c>
      <c r="H335" s="146" t="s">
        <v>2689</v>
      </c>
      <c r="I335" s="146" t="s">
        <v>1726</v>
      </c>
      <c r="J335" s="146" t="s">
        <v>1727</v>
      </c>
      <c r="K335" s="146" t="s">
        <v>1728</v>
      </c>
      <c r="L335" s="146" t="s">
        <v>1729</v>
      </c>
      <c r="M335" s="146" t="s">
        <v>1730</v>
      </c>
      <c r="N335" s="146" t="s">
        <v>1731</v>
      </c>
      <c r="O335" s="146" t="s">
        <v>2681</v>
      </c>
      <c r="P335" s="146" t="s">
        <v>2682</v>
      </c>
      <c r="Q335" s="146" t="s">
        <v>2683</v>
      </c>
    </row>
    <row r="336" spans="1:17" s="9" customFormat="1" x14ac:dyDescent="0.25">
      <c r="A336" s="145" t="s">
        <v>2690</v>
      </c>
      <c r="B336" s="145" t="str">
        <f>CHOOSE(Translations!$C$1+1,O336,P336,Q336)</f>
        <v>CM-1b⁽ᴹ⁾ Proportion de cas suspects de paludisme soumis à un test parasitologique dans la communauté</v>
      </c>
      <c r="C336" s="145">
        <f t="shared" si="10"/>
        <v>0</v>
      </c>
      <c r="D336" s="145" t="str">
        <f t="shared" si="11"/>
        <v>CM-1b⁽ᴹ⁾ Proportion de cas suspects de paludisme soumis à un test parasitologique dans la communauté-0</v>
      </c>
      <c r="E336" s="145" t="str">
        <f>CHOOSE(Translations!$C$1+1,I336,J336,K336)</f>
        <v>Age</v>
      </c>
      <c r="F336" s="145" t="str">
        <f>CHOOSE(Translations!$C$1+1,L336,M336,N336)</f>
        <v>&lt;5</v>
      </c>
      <c r="G336" s="145" t="s">
        <v>2691</v>
      </c>
      <c r="H336" s="146" t="s">
        <v>2692</v>
      </c>
      <c r="I336" s="146" t="s">
        <v>1563</v>
      </c>
      <c r="J336" s="146" t="s">
        <v>1563</v>
      </c>
      <c r="K336" s="146" t="s">
        <v>1564</v>
      </c>
      <c r="L336" s="146" t="s">
        <v>1612</v>
      </c>
      <c r="M336" s="146" t="s">
        <v>1612</v>
      </c>
      <c r="N336" s="146" t="s">
        <v>1612</v>
      </c>
      <c r="O336" s="146" t="s">
        <v>2693</v>
      </c>
      <c r="P336" s="146" t="s">
        <v>2694</v>
      </c>
      <c r="Q336" s="146" t="s">
        <v>2695</v>
      </c>
    </row>
    <row r="337" spans="1:17" s="9" customFormat="1" x14ac:dyDescent="0.25">
      <c r="A337" s="145" t="s">
        <v>2690</v>
      </c>
      <c r="B337" s="145" t="str">
        <f>CHOOSE(Translations!$C$1+1,O337,P337,Q337)</f>
        <v>CM-1b⁽ᴹ⁾ Proportion de cas suspects de paludisme soumis à un test parasitologique dans la communauté</v>
      </c>
      <c r="C337" s="145">
        <f t="shared" si="10"/>
        <v>1</v>
      </c>
      <c r="D337" s="145" t="str">
        <f t="shared" si="11"/>
        <v>CM-1b⁽ᴹ⁾ Proportion de cas suspects de paludisme soumis à un test parasitologique dans la communauté-1</v>
      </c>
      <c r="E337" s="145" t="str">
        <f>CHOOSE(Translations!$C$1+1,I337,J337,K337)</f>
        <v>Age</v>
      </c>
      <c r="F337" s="145" t="str">
        <f>CHOOSE(Translations!$C$1+1,L337,M337,N337)</f>
        <v>5+</v>
      </c>
      <c r="G337" s="145" t="s">
        <v>2696</v>
      </c>
      <c r="H337" s="146" t="s">
        <v>2697</v>
      </c>
      <c r="I337" s="146" t="s">
        <v>1563</v>
      </c>
      <c r="J337" s="146" t="s">
        <v>1563</v>
      </c>
      <c r="K337" s="146" t="s">
        <v>1564</v>
      </c>
      <c r="L337" s="146" t="s">
        <v>1681</v>
      </c>
      <c r="M337" s="146" t="s">
        <v>1681</v>
      </c>
      <c r="N337" s="146" t="s">
        <v>1681</v>
      </c>
      <c r="O337" s="146" t="s">
        <v>2693</v>
      </c>
      <c r="P337" s="146" t="s">
        <v>2694</v>
      </c>
      <c r="Q337" s="146" t="s">
        <v>2695</v>
      </c>
    </row>
    <row r="338" spans="1:17" s="9" customFormat="1" x14ac:dyDescent="0.25">
      <c r="A338" s="145" t="s">
        <v>2690</v>
      </c>
      <c r="B338" s="145" t="str">
        <f>CHOOSE(Translations!$C$1+1,O338,P338,Q338)</f>
        <v>CM-1b⁽ᴹ⁾ Proportion de cas suspects de paludisme soumis à un test parasitologique dans la communauté</v>
      </c>
      <c r="C338" s="145">
        <f t="shared" si="10"/>
        <v>2</v>
      </c>
      <c r="D338" s="145" t="str">
        <f t="shared" si="11"/>
        <v>CM-1b⁽ᴹ⁾ Proportion de cas suspects de paludisme soumis à un test parasitologique dans la communauté-2</v>
      </c>
      <c r="E338" s="145" t="str">
        <f>CHOOSE(Translations!$C$1+1,I338,J338,K338)</f>
        <v>Type de tests</v>
      </c>
      <c r="F338" s="145" t="str">
        <f>CHOOSE(Translations!$C$1+1,L338,M338,N338)</f>
        <v>Microscopie</v>
      </c>
      <c r="G338" s="145" t="s">
        <v>2698</v>
      </c>
      <c r="H338" s="146" t="s">
        <v>2699</v>
      </c>
      <c r="I338" s="146" t="s">
        <v>1726</v>
      </c>
      <c r="J338" s="146" t="s">
        <v>1727</v>
      </c>
      <c r="K338" s="146" t="s">
        <v>1728</v>
      </c>
      <c r="L338" s="146" t="s">
        <v>1737</v>
      </c>
      <c r="M338" s="146" t="s">
        <v>1738</v>
      </c>
      <c r="N338" s="146" t="s">
        <v>1739</v>
      </c>
      <c r="O338" s="146" t="s">
        <v>2693</v>
      </c>
      <c r="P338" s="146" t="s">
        <v>2694</v>
      </c>
      <c r="Q338" s="146" t="s">
        <v>2695</v>
      </c>
    </row>
    <row r="339" spans="1:17" s="9" customFormat="1" x14ac:dyDescent="0.25">
      <c r="A339" s="145" t="s">
        <v>2690</v>
      </c>
      <c r="B339" s="145" t="str">
        <f>CHOOSE(Translations!$C$1+1,O339,P339,Q339)</f>
        <v>CM-1b⁽ᴹ⁾ Proportion de cas suspects de paludisme soumis à un test parasitologique dans la communauté</v>
      </c>
      <c r="C339" s="145">
        <f t="shared" si="10"/>
        <v>3</v>
      </c>
      <c r="D339" s="145" t="str">
        <f t="shared" si="11"/>
        <v>CM-1b⁽ᴹ⁾ Proportion de cas suspects de paludisme soumis à un test parasitologique dans la communauté-3</v>
      </c>
      <c r="E339" s="145" t="str">
        <f>CHOOSE(Translations!$C$1+1,I339,J339,K339)</f>
        <v>Type de tests</v>
      </c>
      <c r="F339" s="145" t="str">
        <f>CHOOSE(Translations!$C$1+1,L339,M339,N339)</f>
        <v>Test de dépistage rapide</v>
      </c>
      <c r="G339" s="145" t="s">
        <v>2700</v>
      </c>
      <c r="H339" s="146" t="s">
        <v>2701</v>
      </c>
      <c r="I339" s="146" t="s">
        <v>1726</v>
      </c>
      <c r="J339" s="146" t="s">
        <v>1727</v>
      </c>
      <c r="K339" s="146" t="s">
        <v>1728</v>
      </c>
      <c r="L339" s="146" t="s">
        <v>1729</v>
      </c>
      <c r="M339" s="146" t="s">
        <v>1730</v>
      </c>
      <c r="N339" s="146" t="s">
        <v>1731</v>
      </c>
      <c r="O339" s="146" t="s">
        <v>2693</v>
      </c>
      <c r="P339" s="146" t="s">
        <v>2694</v>
      </c>
      <c r="Q339" s="146" t="s">
        <v>2695</v>
      </c>
    </row>
    <row r="340" spans="1:17" s="9" customFormat="1" x14ac:dyDescent="0.25">
      <c r="A340" s="145" t="s">
        <v>2702</v>
      </c>
      <c r="B340" s="145" t="str">
        <f>CHOOSE(Translations!$C$1+1,O340,P340,Q340)</f>
        <v>CM-1c⁽ᴹ⁾ Proportion de cas suspects de paludisme soumis à un test parasitologique dans des structures privées</v>
      </c>
      <c r="C340" s="145">
        <f t="shared" si="10"/>
        <v>0</v>
      </c>
      <c r="D340" s="145" t="str">
        <f t="shared" si="11"/>
        <v>CM-1c⁽ᴹ⁾ Proportion de cas suspects de paludisme soumis à un test parasitologique dans des structures privées-0</v>
      </c>
      <c r="E340" s="145" t="str">
        <f>CHOOSE(Translations!$C$1+1,I340,J340,K340)</f>
        <v>Age</v>
      </c>
      <c r="F340" s="145" t="str">
        <f>CHOOSE(Translations!$C$1+1,L340,M340,N340)</f>
        <v>5+</v>
      </c>
      <c r="G340" s="145" t="s">
        <v>2703</v>
      </c>
      <c r="H340" s="146" t="s">
        <v>2704</v>
      </c>
      <c r="I340" s="146" t="s">
        <v>1563</v>
      </c>
      <c r="J340" s="146" t="s">
        <v>1563</v>
      </c>
      <c r="K340" s="146" t="s">
        <v>1564</v>
      </c>
      <c r="L340" s="146" t="s">
        <v>1681</v>
      </c>
      <c r="M340" s="146" t="s">
        <v>1681</v>
      </c>
      <c r="N340" s="146" t="s">
        <v>1681</v>
      </c>
      <c r="O340" s="146" t="s">
        <v>2705</v>
      </c>
      <c r="P340" s="146" t="s">
        <v>2706</v>
      </c>
      <c r="Q340" s="146" t="s">
        <v>2707</v>
      </c>
    </row>
    <row r="341" spans="1:17" s="9" customFormat="1" x14ac:dyDescent="0.25">
      <c r="A341" s="145" t="s">
        <v>2702</v>
      </c>
      <c r="B341" s="145" t="str">
        <f>CHOOSE(Translations!$C$1+1,O341,P341,Q341)</f>
        <v>CM-1c⁽ᴹ⁾ Proportion de cas suspects de paludisme soumis à un test parasitologique dans des structures privées</v>
      </c>
      <c r="C341" s="145">
        <f t="shared" si="10"/>
        <v>1</v>
      </c>
      <c r="D341" s="145" t="str">
        <f t="shared" si="11"/>
        <v>CM-1c⁽ᴹ⁾ Proportion de cas suspects de paludisme soumis à un test parasitologique dans des structures privées-1</v>
      </c>
      <c r="E341" s="145" t="str">
        <f>CHOOSE(Translations!$C$1+1,I341,J341,K341)</f>
        <v>Age</v>
      </c>
      <c r="F341" s="145" t="str">
        <f>CHOOSE(Translations!$C$1+1,L341,M341,N341)</f>
        <v>&lt;5</v>
      </c>
      <c r="G341" s="145" t="s">
        <v>2708</v>
      </c>
      <c r="H341" s="146" t="s">
        <v>2709</v>
      </c>
      <c r="I341" s="146" t="s">
        <v>1563</v>
      </c>
      <c r="J341" s="146" t="s">
        <v>1563</v>
      </c>
      <c r="K341" s="146" t="s">
        <v>1564</v>
      </c>
      <c r="L341" s="146" t="s">
        <v>1612</v>
      </c>
      <c r="M341" s="146" t="s">
        <v>1612</v>
      </c>
      <c r="N341" s="146" t="s">
        <v>1612</v>
      </c>
      <c r="O341" s="146" t="s">
        <v>2705</v>
      </c>
      <c r="P341" s="146" t="s">
        <v>2706</v>
      </c>
      <c r="Q341" s="146" t="s">
        <v>2707</v>
      </c>
    </row>
    <row r="342" spans="1:17" s="9" customFormat="1" x14ac:dyDescent="0.25">
      <c r="A342" s="145" t="s">
        <v>2702</v>
      </c>
      <c r="B342" s="145" t="str">
        <f>CHOOSE(Translations!$C$1+1,O342,P342,Q342)</f>
        <v>CM-1c⁽ᴹ⁾ Proportion de cas suspects de paludisme soumis à un test parasitologique dans des structures privées</v>
      </c>
      <c r="C342" s="145">
        <f t="shared" si="10"/>
        <v>2</v>
      </c>
      <c r="D342" s="145" t="str">
        <f t="shared" si="11"/>
        <v>CM-1c⁽ᴹ⁾ Proportion de cas suspects de paludisme soumis à un test parasitologique dans des structures privées-2</v>
      </c>
      <c r="E342" s="145" t="str">
        <f>CHOOSE(Translations!$C$1+1,I342,J342,K342)</f>
        <v>Type de tests</v>
      </c>
      <c r="F342" s="145" t="str">
        <f>CHOOSE(Translations!$C$1+1,L342,M342,N342)</f>
        <v>Microscopie</v>
      </c>
      <c r="G342" s="145" t="s">
        <v>2710</v>
      </c>
      <c r="H342" s="146" t="s">
        <v>2711</v>
      </c>
      <c r="I342" s="146" t="s">
        <v>1726</v>
      </c>
      <c r="J342" s="146" t="s">
        <v>1727</v>
      </c>
      <c r="K342" s="146" t="s">
        <v>1728</v>
      </c>
      <c r="L342" s="146" t="s">
        <v>1737</v>
      </c>
      <c r="M342" s="146" t="s">
        <v>1738</v>
      </c>
      <c r="N342" s="146" t="s">
        <v>1739</v>
      </c>
      <c r="O342" s="146" t="s">
        <v>2705</v>
      </c>
      <c r="P342" s="146" t="s">
        <v>2706</v>
      </c>
      <c r="Q342" s="146" t="s">
        <v>2707</v>
      </c>
    </row>
    <row r="343" spans="1:17" s="9" customFormat="1" x14ac:dyDescent="0.25">
      <c r="A343" s="145" t="s">
        <v>2702</v>
      </c>
      <c r="B343" s="145" t="str">
        <f>CHOOSE(Translations!$C$1+1,O343,P343,Q343)</f>
        <v>CM-1c⁽ᴹ⁾ Proportion de cas suspects de paludisme soumis à un test parasitologique dans des structures privées</v>
      </c>
      <c r="C343" s="145">
        <f t="shared" si="10"/>
        <v>3</v>
      </c>
      <c r="D343" s="145" t="str">
        <f t="shared" si="11"/>
        <v>CM-1c⁽ᴹ⁾ Proportion de cas suspects de paludisme soumis à un test parasitologique dans des structures privées-3</v>
      </c>
      <c r="E343" s="145" t="str">
        <f>CHOOSE(Translations!$C$1+1,I343,J343,K343)</f>
        <v>Type de tests</v>
      </c>
      <c r="F343" s="145" t="str">
        <f>CHOOSE(Translations!$C$1+1,L343,M343,N343)</f>
        <v>Test de dépistage rapide</v>
      </c>
      <c r="G343" s="145" t="s">
        <v>2712</v>
      </c>
      <c r="H343" s="146" t="s">
        <v>2713</v>
      </c>
      <c r="I343" s="146" t="s">
        <v>1726</v>
      </c>
      <c r="J343" s="146" t="s">
        <v>1727</v>
      </c>
      <c r="K343" s="146" t="s">
        <v>1728</v>
      </c>
      <c r="L343" s="146" t="s">
        <v>1729</v>
      </c>
      <c r="M343" s="146" t="s">
        <v>1730</v>
      </c>
      <c r="N343" s="146" t="s">
        <v>1731</v>
      </c>
      <c r="O343" s="146" t="s">
        <v>2705</v>
      </c>
      <c r="P343" s="146" t="s">
        <v>2706</v>
      </c>
      <c r="Q343" s="146" t="s">
        <v>2707</v>
      </c>
    </row>
    <row r="344" spans="1:17" s="9" customFormat="1" x14ac:dyDescent="0.25">
      <c r="A344" s="145" t="s">
        <v>2714</v>
      </c>
      <c r="B344" s="145" t="str">
        <f>CHOOSE(Translations!$C$1+1,O344,P344,Q344)</f>
        <v>CM-2a⁽ᴹ⁾ Proportion de cas de paludisme confirmés ayant reçu un traitement antipaludique de première intention dans des établissements de santé du secteur public</v>
      </c>
      <c r="C344" s="145">
        <f t="shared" si="10"/>
        <v>0</v>
      </c>
      <c r="D344" s="145" t="str">
        <f t="shared" si="11"/>
        <v>CM-2a⁽ᴹ⁾ Proportion de cas de paludisme confirmés ayant reçu un traitement antipaludique de première intention dans des établissements de santé du secteur public-0</v>
      </c>
      <c r="E344" s="145" t="str">
        <f>CHOOSE(Translations!$C$1+1,I344,J344,K344)</f>
        <v>Age</v>
      </c>
      <c r="F344" s="145" t="str">
        <f>CHOOSE(Translations!$C$1+1,L344,M344,N344)</f>
        <v>&lt;5</v>
      </c>
      <c r="G344" s="145" t="s">
        <v>2715</v>
      </c>
      <c r="H344" s="146" t="s">
        <v>2716</v>
      </c>
      <c r="I344" s="146" t="s">
        <v>1563</v>
      </c>
      <c r="J344" s="146" t="s">
        <v>1563</v>
      </c>
      <c r="K344" s="146" t="s">
        <v>1564</v>
      </c>
      <c r="L344" s="146" t="s">
        <v>1612</v>
      </c>
      <c r="M344" s="146" t="s">
        <v>1612</v>
      </c>
      <c r="N344" s="146" t="s">
        <v>1612</v>
      </c>
      <c r="O344" s="146" t="s">
        <v>2717</v>
      </c>
      <c r="P344" s="146" t="s">
        <v>2718</v>
      </c>
      <c r="Q344" s="146" t="s">
        <v>2719</v>
      </c>
    </row>
    <row r="345" spans="1:17" s="9" customFormat="1" x14ac:dyDescent="0.25">
      <c r="A345" s="145" t="s">
        <v>2714</v>
      </c>
      <c r="B345" s="145" t="str">
        <f>CHOOSE(Translations!$C$1+1,O345,P345,Q345)</f>
        <v>CM-2a⁽ᴹ⁾ Proportion de cas de paludisme confirmés ayant reçu un traitement antipaludique de première intention dans des établissements de santé du secteur public</v>
      </c>
      <c r="C345" s="145">
        <f t="shared" si="10"/>
        <v>1</v>
      </c>
      <c r="D345" s="145" t="str">
        <f t="shared" si="11"/>
        <v>CM-2a⁽ᴹ⁾ Proportion de cas de paludisme confirmés ayant reçu un traitement antipaludique de première intention dans des établissements de santé du secteur public-1</v>
      </c>
      <c r="E345" s="145" t="str">
        <f>CHOOSE(Translations!$C$1+1,I345,J345,K345)</f>
        <v>Age</v>
      </c>
      <c r="F345" s="145" t="str">
        <f>CHOOSE(Translations!$C$1+1,L345,M345,N345)</f>
        <v>5+</v>
      </c>
      <c r="G345" s="145" t="s">
        <v>2720</v>
      </c>
      <c r="H345" s="146" t="s">
        <v>2721</v>
      </c>
      <c r="I345" s="146" t="s">
        <v>1563</v>
      </c>
      <c r="J345" s="146" t="s">
        <v>1563</v>
      </c>
      <c r="K345" s="146" t="s">
        <v>1564</v>
      </c>
      <c r="L345" s="146" t="s">
        <v>1681</v>
      </c>
      <c r="M345" s="146" t="s">
        <v>1681</v>
      </c>
      <c r="N345" s="146" t="s">
        <v>1681</v>
      </c>
      <c r="O345" s="146" t="s">
        <v>2717</v>
      </c>
      <c r="P345" s="146" t="s">
        <v>2718</v>
      </c>
      <c r="Q345" s="146" t="s">
        <v>2719</v>
      </c>
    </row>
    <row r="346" spans="1:17" s="9" customFormat="1" x14ac:dyDescent="0.25">
      <c r="A346" s="145" t="s">
        <v>2722</v>
      </c>
      <c r="B346" s="145" t="str">
        <f>CHOOSE(Translations!$C$1+1,O346,P346,Q346)</f>
        <v>CM-2b⁽ᴹ⁾ Proportion de cas de paludisme confirmés ayant reçu un traitement antipaludique de première intention dans la communauté</v>
      </c>
      <c r="C346" s="145">
        <f t="shared" si="10"/>
        <v>0</v>
      </c>
      <c r="D346" s="145" t="str">
        <f t="shared" si="11"/>
        <v>CM-2b⁽ᴹ⁾ Proportion de cas de paludisme confirmés ayant reçu un traitement antipaludique de première intention dans la communauté-0</v>
      </c>
      <c r="E346" s="145" t="str">
        <f>CHOOSE(Translations!$C$1+1,I346,J346,K346)</f>
        <v>Age</v>
      </c>
      <c r="F346" s="145" t="str">
        <f>CHOOSE(Translations!$C$1+1,L346,M346,N346)</f>
        <v>&lt;5</v>
      </c>
      <c r="G346" s="145" t="s">
        <v>2723</v>
      </c>
      <c r="H346" s="146" t="s">
        <v>2724</v>
      </c>
      <c r="I346" s="146" t="s">
        <v>1563</v>
      </c>
      <c r="J346" s="146" t="s">
        <v>1563</v>
      </c>
      <c r="K346" s="146" t="s">
        <v>1564</v>
      </c>
      <c r="L346" s="146" t="s">
        <v>1612</v>
      </c>
      <c r="M346" s="146" t="s">
        <v>1612</v>
      </c>
      <c r="N346" s="146" t="s">
        <v>1612</v>
      </c>
      <c r="O346" s="146" t="s">
        <v>2725</v>
      </c>
      <c r="P346" s="146" t="s">
        <v>2726</v>
      </c>
      <c r="Q346" s="146" t="s">
        <v>2727</v>
      </c>
    </row>
    <row r="347" spans="1:17" s="9" customFormat="1" x14ac:dyDescent="0.25">
      <c r="A347" s="145" t="s">
        <v>2722</v>
      </c>
      <c r="B347" s="145" t="str">
        <f>CHOOSE(Translations!$C$1+1,O347,P347,Q347)</f>
        <v>CM-2b⁽ᴹ⁾ Proportion de cas de paludisme confirmés ayant reçu un traitement antipaludique de première intention dans la communauté</v>
      </c>
      <c r="C347" s="145">
        <f t="shared" si="10"/>
        <v>1</v>
      </c>
      <c r="D347" s="145" t="str">
        <f t="shared" si="11"/>
        <v>CM-2b⁽ᴹ⁾ Proportion de cas de paludisme confirmés ayant reçu un traitement antipaludique de première intention dans la communauté-1</v>
      </c>
      <c r="E347" s="145" t="str">
        <f>CHOOSE(Translations!$C$1+1,I347,J347,K347)</f>
        <v>Age</v>
      </c>
      <c r="F347" s="145" t="str">
        <f>CHOOSE(Translations!$C$1+1,L347,M347,N347)</f>
        <v>5+</v>
      </c>
      <c r="G347" s="145" t="s">
        <v>2728</v>
      </c>
      <c r="H347" s="146" t="s">
        <v>2729</v>
      </c>
      <c r="I347" s="146" t="s">
        <v>1563</v>
      </c>
      <c r="J347" s="146" t="s">
        <v>1563</v>
      </c>
      <c r="K347" s="146" t="s">
        <v>1564</v>
      </c>
      <c r="L347" s="146" t="s">
        <v>1681</v>
      </c>
      <c r="M347" s="146" t="s">
        <v>1681</v>
      </c>
      <c r="N347" s="146" t="s">
        <v>1681</v>
      </c>
      <c r="O347" s="146" t="s">
        <v>2725</v>
      </c>
      <c r="P347" s="146" t="s">
        <v>2726</v>
      </c>
      <c r="Q347" s="146" t="s">
        <v>2727</v>
      </c>
    </row>
    <row r="348" spans="1:17" s="9" customFormat="1" x14ac:dyDescent="0.25">
      <c r="A348" s="145" t="s">
        <v>2730</v>
      </c>
      <c r="B348" s="145" t="str">
        <f>CHOOSE(Translations!$C$1+1,O348,P348,Q348)</f>
        <v>CM-2c⁽ᴹ⁾ Proportion de cas de paludisme confirmés ayant reçu un traitement antipaludique de première intention dans des structures privées</v>
      </c>
      <c r="C348" s="145">
        <f t="shared" ref="C348:C384" si="12">IF(O348=O347,C347+1,0)</f>
        <v>0</v>
      </c>
      <c r="D348" s="145" t="str">
        <f t="shared" ref="D348:D384" si="13">B348&amp;"-"&amp;C348</f>
        <v>CM-2c⁽ᴹ⁾ Proportion de cas de paludisme confirmés ayant reçu un traitement antipaludique de première intention dans des structures privées-0</v>
      </c>
      <c r="E348" s="145" t="str">
        <f>CHOOSE(Translations!$C$1+1,I348,J348,K348)</f>
        <v>Age</v>
      </c>
      <c r="F348" s="145" t="str">
        <f>CHOOSE(Translations!$C$1+1,L348,M348,N348)</f>
        <v>&lt;5</v>
      </c>
      <c r="G348" s="145" t="s">
        <v>2731</v>
      </c>
      <c r="H348" s="146" t="s">
        <v>2732</v>
      </c>
      <c r="I348" s="146" t="s">
        <v>1563</v>
      </c>
      <c r="J348" s="146" t="s">
        <v>1563</v>
      </c>
      <c r="K348" s="146" t="s">
        <v>1564</v>
      </c>
      <c r="L348" s="146" t="s">
        <v>1612</v>
      </c>
      <c r="M348" s="146" t="s">
        <v>1612</v>
      </c>
      <c r="N348" s="146" t="s">
        <v>1612</v>
      </c>
      <c r="O348" s="146" t="s">
        <v>2733</v>
      </c>
      <c r="P348" s="146" t="s">
        <v>2734</v>
      </c>
      <c r="Q348" s="146" t="s">
        <v>2735</v>
      </c>
    </row>
    <row r="349" spans="1:17" s="9" customFormat="1" x14ac:dyDescent="0.25">
      <c r="A349" s="145" t="s">
        <v>2730</v>
      </c>
      <c r="B349" s="145" t="str">
        <f>CHOOSE(Translations!$C$1+1,O349,P349,Q349)</f>
        <v>CM-2c⁽ᴹ⁾ Proportion de cas de paludisme confirmés ayant reçu un traitement antipaludique de première intention dans des structures privées</v>
      </c>
      <c r="C349" s="145">
        <f t="shared" si="12"/>
        <v>1</v>
      </c>
      <c r="D349" s="145" t="str">
        <f t="shared" si="13"/>
        <v>CM-2c⁽ᴹ⁾ Proportion de cas de paludisme confirmés ayant reçu un traitement antipaludique de première intention dans des structures privées-1</v>
      </c>
      <c r="E349" s="145" t="str">
        <f>CHOOSE(Translations!$C$1+1,I349,J349,K349)</f>
        <v>Age</v>
      </c>
      <c r="F349" s="145" t="str">
        <f>CHOOSE(Translations!$C$1+1,L349,M349,N349)</f>
        <v>5+</v>
      </c>
      <c r="G349" s="145" t="s">
        <v>2736</v>
      </c>
      <c r="H349" s="146" t="s">
        <v>2737</v>
      </c>
      <c r="I349" s="146" t="s">
        <v>1563</v>
      </c>
      <c r="J349" s="146" t="s">
        <v>1563</v>
      </c>
      <c r="K349" s="146" t="s">
        <v>1564</v>
      </c>
      <c r="L349" s="146" t="s">
        <v>1681</v>
      </c>
      <c r="M349" s="146" t="s">
        <v>1681</v>
      </c>
      <c r="N349" s="146" t="s">
        <v>1681</v>
      </c>
      <c r="O349" s="146" t="s">
        <v>2733</v>
      </c>
      <c r="P349" s="146" t="s">
        <v>2734</v>
      </c>
      <c r="Q349" s="146" t="s">
        <v>2735</v>
      </c>
    </row>
    <row r="350" spans="1:17" s="9" customFormat="1" x14ac:dyDescent="0.25">
      <c r="A350" s="145" t="s">
        <v>2738</v>
      </c>
      <c r="B350" s="145" t="str">
        <f>CHOOSE(Translations!$C$1+1,O350,P350,Q350)</f>
        <v>CM-3a Proportion de cas de paludisme (présumés et confirmés) ayant reçu un traitement antipaludique de première intention dans des établissements de santé du secteur public</v>
      </c>
      <c r="C350" s="145">
        <f t="shared" si="12"/>
        <v>0</v>
      </c>
      <c r="D350" s="145" t="str">
        <f t="shared" si="13"/>
        <v>CM-3a Proportion de cas de paludisme (présumés et confirmés) ayant reçu un traitement antipaludique de première intention dans des établissements de santé du secteur public-0</v>
      </c>
      <c r="E350" s="145" t="str">
        <f>CHOOSE(Translations!$C$1+1,I350,J350,K350)</f>
        <v>Age</v>
      </c>
      <c r="F350" s="145" t="str">
        <f>CHOOSE(Translations!$C$1+1,L350,M350,N350)</f>
        <v>&lt;5</v>
      </c>
      <c r="G350" s="145" t="s">
        <v>2739</v>
      </c>
      <c r="H350" s="146" t="s">
        <v>2740</v>
      </c>
      <c r="I350" s="146" t="s">
        <v>1563</v>
      </c>
      <c r="J350" s="146" t="s">
        <v>1563</v>
      </c>
      <c r="K350" s="146" t="s">
        <v>1564</v>
      </c>
      <c r="L350" s="146" t="s">
        <v>1612</v>
      </c>
      <c r="M350" s="146" t="s">
        <v>1612</v>
      </c>
      <c r="N350" s="146" t="s">
        <v>1612</v>
      </c>
      <c r="O350" s="146" t="s">
        <v>2741</v>
      </c>
      <c r="P350" s="146" t="s">
        <v>2742</v>
      </c>
      <c r="Q350" s="146" t="s">
        <v>2743</v>
      </c>
    </row>
    <row r="351" spans="1:17" s="9" customFormat="1" x14ac:dyDescent="0.25">
      <c r="A351" s="145" t="s">
        <v>2738</v>
      </c>
      <c r="B351" s="145" t="str">
        <f>CHOOSE(Translations!$C$1+1,O351,P351,Q351)</f>
        <v>CM-3a Proportion de cas de paludisme (présumés et confirmés) ayant reçu un traitement antipaludique de première intention dans des établissements de santé du secteur public</v>
      </c>
      <c r="C351" s="145">
        <f t="shared" si="12"/>
        <v>1</v>
      </c>
      <c r="D351" s="145" t="str">
        <f t="shared" si="13"/>
        <v>CM-3a Proportion de cas de paludisme (présumés et confirmés) ayant reçu un traitement antipaludique de première intention dans des établissements de santé du secteur public-1</v>
      </c>
      <c r="E351" s="145" t="str">
        <f>CHOOSE(Translations!$C$1+1,I351,J351,K351)</f>
        <v>Age</v>
      </c>
      <c r="F351" s="145" t="str">
        <f>CHOOSE(Translations!$C$1+1,L351,M351,N351)</f>
        <v>5+</v>
      </c>
      <c r="G351" s="145" t="s">
        <v>2744</v>
      </c>
      <c r="H351" s="146" t="s">
        <v>2745</v>
      </c>
      <c r="I351" s="146" t="s">
        <v>1563</v>
      </c>
      <c r="J351" s="146" t="s">
        <v>1563</v>
      </c>
      <c r="K351" s="146" t="s">
        <v>1564</v>
      </c>
      <c r="L351" s="146" t="s">
        <v>1681</v>
      </c>
      <c r="M351" s="146" t="s">
        <v>1681</v>
      </c>
      <c r="N351" s="146" t="s">
        <v>1681</v>
      </c>
      <c r="O351" s="146" t="s">
        <v>2741</v>
      </c>
      <c r="P351" s="146" t="s">
        <v>2742</v>
      </c>
      <c r="Q351" s="146" t="s">
        <v>2743</v>
      </c>
    </row>
    <row r="352" spans="1:17" s="9" customFormat="1" x14ac:dyDescent="0.25">
      <c r="A352" s="145" t="s">
        <v>2746</v>
      </c>
      <c r="B352" s="145" t="str">
        <f>CHOOSE(Translations!$C$1+1,O352,P352,Q352)</f>
        <v>CM-3b Proportion de cas de paludisme (présumés et confirmés) ayant reçu un traitement antipaludique de première intention dans la communauté</v>
      </c>
      <c r="C352" s="145">
        <f t="shared" si="12"/>
        <v>0</v>
      </c>
      <c r="D352" s="145" t="str">
        <f t="shared" si="13"/>
        <v>CM-3b Proportion de cas de paludisme (présumés et confirmés) ayant reçu un traitement antipaludique de première intention dans la communauté-0</v>
      </c>
      <c r="E352" s="145" t="str">
        <f>CHOOSE(Translations!$C$1+1,I352,J352,K352)</f>
        <v>Age</v>
      </c>
      <c r="F352" s="145" t="str">
        <f>CHOOSE(Translations!$C$1+1,L352,M352,N352)</f>
        <v>&lt;5</v>
      </c>
      <c r="G352" s="145" t="s">
        <v>2747</v>
      </c>
      <c r="H352" s="146" t="s">
        <v>2748</v>
      </c>
      <c r="I352" s="146" t="s">
        <v>1563</v>
      </c>
      <c r="J352" s="146" t="s">
        <v>1563</v>
      </c>
      <c r="K352" s="146" t="s">
        <v>1564</v>
      </c>
      <c r="L352" s="146" t="s">
        <v>1612</v>
      </c>
      <c r="M352" s="146" t="s">
        <v>1612</v>
      </c>
      <c r="N352" s="146" t="s">
        <v>1612</v>
      </c>
      <c r="O352" s="146" t="s">
        <v>2749</v>
      </c>
      <c r="P352" s="146" t="s">
        <v>2750</v>
      </c>
      <c r="Q352" s="146" t="s">
        <v>2751</v>
      </c>
    </row>
    <row r="353" spans="1:17" s="9" customFormat="1" x14ac:dyDescent="0.25">
      <c r="A353" s="145" t="s">
        <v>2746</v>
      </c>
      <c r="B353" s="145" t="str">
        <f>CHOOSE(Translations!$C$1+1,O353,P353,Q353)</f>
        <v>CM-3b Proportion de cas de paludisme (présumés et confirmés) ayant reçu un traitement antipaludique de première intention dans la communauté</v>
      </c>
      <c r="C353" s="145">
        <f t="shared" si="12"/>
        <v>1</v>
      </c>
      <c r="D353" s="145" t="str">
        <f t="shared" si="13"/>
        <v>CM-3b Proportion de cas de paludisme (présumés et confirmés) ayant reçu un traitement antipaludique de première intention dans la communauté-1</v>
      </c>
      <c r="E353" s="145" t="str">
        <f>CHOOSE(Translations!$C$1+1,I353,J353,K353)</f>
        <v>Age</v>
      </c>
      <c r="F353" s="145" t="str">
        <f>CHOOSE(Translations!$C$1+1,L353,M353,N353)</f>
        <v>5+</v>
      </c>
      <c r="G353" s="145" t="s">
        <v>2752</v>
      </c>
      <c r="H353" s="146" t="s">
        <v>2753</v>
      </c>
      <c r="I353" s="146" t="s">
        <v>1563</v>
      </c>
      <c r="J353" s="146" t="s">
        <v>1563</v>
      </c>
      <c r="K353" s="146" t="s">
        <v>1564</v>
      </c>
      <c r="L353" s="146" t="s">
        <v>1681</v>
      </c>
      <c r="M353" s="146" t="s">
        <v>1681</v>
      </c>
      <c r="N353" s="146" t="s">
        <v>1681</v>
      </c>
      <c r="O353" s="146" t="s">
        <v>2749</v>
      </c>
      <c r="P353" s="146" t="s">
        <v>2750</v>
      </c>
      <c r="Q353" s="146" t="s">
        <v>2751</v>
      </c>
    </row>
    <row r="354" spans="1:17" s="9" customFormat="1" x14ac:dyDescent="0.25">
      <c r="A354" s="145" t="s">
        <v>2754</v>
      </c>
      <c r="B354" s="145" t="str">
        <f>CHOOSE(Translations!$C$1+1,O354,P354,Q354)</f>
        <v>CM-3c Proportion de cas de paludisme (présumés et confirmés) ayant reçu un traitement antipaludique de première intention dans des structures privées</v>
      </c>
      <c r="C354" s="145">
        <f t="shared" si="12"/>
        <v>0</v>
      </c>
      <c r="D354" s="145" t="str">
        <f t="shared" si="13"/>
        <v>CM-3c Proportion de cas de paludisme (présumés et confirmés) ayant reçu un traitement antipaludique de première intention dans des structures privées-0</v>
      </c>
      <c r="E354" s="145" t="str">
        <f>CHOOSE(Translations!$C$1+1,I354,J354,K354)</f>
        <v>Age</v>
      </c>
      <c r="F354" s="145" t="str">
        <f>CHOOSE(Translations!$C$1+1,L354,M354,N354)</f>
        <v>&lt;5</v>
      </c>
      <c r="G354" s="145" t="s">
        <v>2755</v>
      </c>
      <c r="H354" s="146" t="s">
        <v>2756</v>
      </c>
      <c r="I354" s="146" t="s">
        <v>1563</v>
      </c>
      <c r="J354" s="146" t="s">
        <v>1563</v>
      </c>
      <c r="K354" s="146" t="s">
        <v>1564</v>
      </c>
      <c r="L354" s="146" t="s">
        <v>1612</v>
      </c>
      <c r="M354" s="146" t="s">
        <v>1612</v>
      </c>
      <c r="N354" s="146" t="s">
        <v>1612</v>
      </c>
      <c r="O354" s="146" t="s">
        <v>2757</v>
      </c>
      <c r="P354" s="146" t="s">
        <v>2758</v>
      </c>
      <c r="Q354" s="146" t="s">
        <v>2759</v>
      </c>
    </row>
    <row r="355" spans="1:17" s="9" customFormat="1" x14ac:dyDescent="0.25">
      <c r="A355" s="145" t="s">
        <v>2754</v>
      </c>
      <c r="B355" s="145" t="str">
        <f>CHOOSE(Translations!$C$1+1,O355,P355,Q355)</f>
        <v>CM-3c Proportion de cas de paludisme (présumés et confirmés) ayant reçu un traitement antipaludique de première intention dans des structures privées</v>
      </c>
      <c r="C355" s="145">
        <f t="shared" si="12"/>
        <v>1</v>
      </c>
      <c r="D355" s="145" t="str">
        <f t="shared" si="13"/>
        <v>CM-3c Proportion de cas de paludisme (présumés et confirmés) ayant reçu un traitement antipaludique de première intention dans des structures privées-1</v>
      </c>
      <c r="E355" s="145" t="str">
        <f>CHOOSE(Translations!$C$1+1,I355,J355,K355)</f>
        <v>Age</v>
      </c>
      <c r="F355" s="145" t="str">
        <f>CHOOSE(Translations!$C$1+1,L355,M355,N355)</f>
        <v>5+</v>
      </c>
      <c r="G355" s="145" t="s">
        <v>2760</v>
      </c>
      <c r="H355" s="146" t="s">
        <v>2761</v>
      </c>
      <c r="I355" s="146" t="s">
        <v>1563</v>
      </c>
      <c r="J355" s="146" t="s">
        <v>1563</v>
      </c>
      <c r="K355" s="146" t="s">
        <v>1564</v>
      </c>
      <c r="L355" s="146" t="s">
        <v>1681</v>
      </c>
      <c r="M355" s="146" t="s">
        <v>1681</v>
      </c>
      <c r="N355" s="146" t="s">
        <v>1681</v>
      </c>
      <c r="O355" s="146" t="s">
        <v>2757</v>
      </c>
      <c r="P355" s="146" t="s">
        <v>2758</v>
      </c>
      <c r="Q355" s="146" t="s">
        <v>2759</v>
      </c>
    </row>
    <row r="356" spans="1:17" s="9" customFormat="1" x14ac:dyDescent="0.25">
      <c r="A356" s="145" t="s">
        <v>2762</v>
      </c>
      <c r="B356" s="145" t="str">
        <f>CHOOSE(Translations!$C$1+1,O356,P356,Q356)</f>
        <v>SPI-2 Pourcentage d’enfants âgés de 3 à 59 mois ayant bénéficié d’une CPS complète (3 ou 4 traitements) par saison de transmission dans les zones ciblées</v>
      </c>
      <c r="C356" s="145">
        <f t="shared" si="12"/>
        <v>0</v>
      </c>
      <c r="D356" s="145" t="str">
        <f t="shared" si="13"/>
        <v>SPI-2 Pourcentage d’enfants âgés de 3 à 59 mois ayant bénéficié d’une CPS complète (3 ou 4 traitements) par saison de transmission dans les zones ciblées-0</v>
      </c>
      <c r="E356" s="145" t="str">
        <f>CHOOSE(Translations!$C$1+1,I356,J356,K356)</f>
        <v>Sexe</v>
      </c>
      <c r="F356" s="145" t="str">
        <f>CHOOSE(Translations!$C$1+1,L356,M356,N356)</f>
        <v>Homme</v>
      </c>
      <c r="G356" s="145" t="s">
        <v>2763</v>
      </c>
      <c r="H356" s="146" t="s">
        <v>2764</v>
      </c>
      <c r="I356" s="146" t="s">
        <v>1550</v>
      </c>
      <c r="J356" s="146" t="s">
        <v>1551</v>
      </c>
      <c r="K356" s="146" t="s">
        <v>1552</v>
      </c>
      <c r="L356" s="146" t="s">
        <v>1558</v>
      </c>
      <c r="M356" s="146" t="s">
        <v>1559</v>
      </c>
      <c r="N356" s="146" t="s">
        <v>1560</v>
      </c>
      <c r="O356" s="146" t="s">
        <v>2765</v>
      </c>
      <c r="P356" s="146" t="s">
        <v>2766</v>
      </c>
      <c r="Q356" s="146" t="s">
        <v>2767</v>
      </c>
    </row>
    <row r="357" spans="1:17" s="9" customFormat="1" x14ac:dyDescent="0.25">
      <c r="A357" s="145" t="s">
        <v>2762</v>
      </c>
      <c r="B357" s="145" t="str">
        <f>CHOOSE(Translations!$C$1+1,O357,P357,Q357)</f>
        <v>SPI-2 Pourcentage d’enfants âgés de 3 à 59 mois ayant bénéficié d’une CPS complète (3 ou 4 traitements) par saison de transmission dans les zones ciblées</v>
      </c>
      <c r="C357" s="145">
        <f t="shared" si="12"/>
        <v>1</v>
      </c>
      <c r="D357" s="145" t="str">
        <f t="shared" si="13"/>
        <v>SPI-2 Pourcentage d’enfants âgés de 3 à 59 mois ayant bénéficié d’une CPS complète (3 ou 4 traitements) par saison de transmission dans les zones ciblées-1</v>
      </c>
      <c r="E357" s="145" t="str">
        <f>CHOOSE(Translations!$C$1+1,I357,J357,K357)</f>
        <v>Sexe</v>
      </c>
      <c r="F357" s="145" t="str">
        <f>CHOOSE(Translations!$C$1+1,L357,M357,N357)</f>
        <v>Femme</v>
      </c>
      <c r="G357" s="145" t="s">
        <v>2768</v>
      </c>
      <c r="H357" s="146" t="s">
        <v>2769</v>
      </c>
      <c r="I357" s="146" t="s">
        <v>1550</v>
      </c>
      <c r="J357" s="146" t="s">
        <v>1551</v>
      </c>
      <c r="K357" s="146" t="s">
        <v>1552</v>
      </c>
      <c r="L357" s="146" t="s">
        <v>1553</v>
      </c>
      <c r="M357" s="146" t="s">
        <v>1554</v>
      </c>
      <c r="N357" s="146" t="s">
        <v>1555</v>
      </c>
      <c r="O357" s="146" t="s">
        <v>2765</v>
      </c>
      <c r="P357" s="146" t="s">
        <v>2766</v>
      </c>
      <c r="Q357" s="146" t="s">
        <v>2767</v>
      </c>
    </row>
    <row r="358" spans="1:17" s="9" customFormat="1" x14ac:dyDescent="0.25">
      <c r="A358" s="145" t="s">
        <v>2770</v>
      </c>
      <c r="B358" s="145" t="str">
        <f>CHOOSE(Translations!$C$1+1,O358,P358,Q358)</f>
        <v>M&amp;E-2a Complétude des rapports des établissements de santé : Pourcentage de rapports mensuels attendus des établissements (pour la période de rapportage) qui ont été réellement reçus</v>
      </c>
      <c r="C358" s="145">
        <f t="shared" si="12"/>
        <v>0</v>
      </c>
      <c r="D358" s="145" t="str">
        <f t="shared" si="13"/>
        <v>M&amp;E-2a Complétude des rapports des établissements de santé : Pourcentage de rapports mensuels attendus des établissements (pour la période de rapportage) qui ont été réellement reçus-0</v>
      </c>
      <c r="E358" s="145" t="str">
        <f>CHOOSE(Translations!$C$1+1,I358,J358,K358)</f>
        <v>Type de rapport</v>
      </c>
      <c r="F358" s="145" t="str">
        <f>CHOOSE(Translations!$C$1+1,L358,M358,N358)</f>
        <v>Rapports sur le VIH</v>
      </c>
      <c r="G358" s="145" t="s">
        <v>2771</v>
      </c>
      <c r="H358" s="146" t="s">
        <v>2772</v>
      </c>
      <c r="I358" s="146" t="s">
        <v>2773</v>
      </c>
      <c r="J358" s="146" t="s">
        <v>2774</v>
      </c>
      <c r="K358" s="146" t="s">
        <v>2775</v>
      </c>
      <c r="L358" s="146" t="s">
        <v>2776</v>
      </c>
      <c r="M358" s="146" t="s">
        <v>2777</v>
      </c>
      <c r="N358" s="146" t="s">
        <v>2778</v>
      </c>
      <c r="O358" s="146" t="s">
        <v>2779</v>
      </c>
      <c r="P358" s="146" t="s">
        <v>2780</v>
      </c>
      <c r="Q358" s="146" t="s">
        <v>2781</v>
      </c>
    </row>
    <row r="359" spans="1:17" s="9" customFormat="1" x14ac:dyDescent="0.25">
      <c r="A359" s="145" t="s">
        <v>2770</v>
      </c>
      <c r="B359" s="145" t="str">
        <f>CHOOSE(Translations!$C$1+1,O359,P359,Q359)</f>
        <v>M&amp;E-2a Complétude des rapports des établissements de santé : Pourcentage de rapports mensuels attendus des établissements (pour la période de rapportage) qui ont été réellement reçus</v>
      </c>
      <c r="C359" s="145">
        <f t="shared" si="12"/>
        <v>1</v>
      </c>
      <c r="D359" s="145" t="str">
        <f t="shared" si="13"/>
        <v>M&amp;E-2a Complétude des rapports des établissements de santé : Pourcentage de rapports mensuels attendus des établissements (pour la période de rapportage) qui ont été réellement reçus-1</v>
      </c>
      <c r="E359" s="145" t="str">
        <f>CHOOSE(Translations!$C$1+1,I359,J359,K359)</f>
        <v>Type de rapport</v>
      </c>
      <c r="F359" s="145" t="str">
        <f>CHOOSE(Translations!$C$1+1,L359,M359,N359)</f>
        <v>Rapports sur la tuberculose</v>
      </c>
      <c r="G359" s="145" t="s">
        <v>2782</v>
      </c>
      <c r="H359" s="146" t="s">
        <v>2783</v>
      </c>
      <c r="I359" s="146" t="s">
        <v>2773</v>
      </c>
      <c r="J359" s="146" t="s">
        <v>2774</v>
      </c>
      <c r="K359" s="146" t="s">
        <v>2775</v>
      </c>
      <c r="L359" s="146" t="s">
        <v>2784</v>
      </c>
      <c r="M359" s="146" t="s">
        <v>2785</v>
      </c>
      <c r="N359" s="146" t="s">
        <v>2786</v>
      </c>
      <c r="O359" s="146" t="s">
        <v>2779</v>
      </c>
      <c r="P359" s="146" t="s">
        <v>2780</v>
      </c>
      <c r="Q359" s="146" t="s">
        <v>2781</v>
      </c>
    </row>
    <row r="360" spans="1:17" s="9" customFormat="1" x14ac:dyDescent="0.25">
      <c r="A360" s="145" t="s">
        <v>2770</v>
      </c>
      <c r="B360" s="145" t="str">
        <f>CHOOSE(Translations!$C$1+1,O360,P360,Q360)</f>
        <v>M&amp;E-2a Complétude des rapports des établissements de santé : Pourcentage de rapports mensuels attendus des établissements (pour la période de rapportage) qui ont été réellement reçus</v>
      </c>
      <c r="C360" s="145">
        <f t="shared" si="12"/>
        <v>2</v>
      </c>
      <c r="D360" s="145" t="str">
        <f t="shared" si="13"/>
        <v>M&amp;E-2a Complétude des rapports des établissements de santé : Pourcentage de rapports mensuels attendus des établissements (pour la période de rapportage) qui ont été réellement reçus-2</v>
      </c>
      <c r="E360" s="145" t="str">
        <f>CHOOSE(Translations!$C$1+1,I360,J360,K360)</f>
        <v>Type de rapport</v>
      </c>
      <c r="F360" s="145" t="str">
        <f>CHOOSE(Translations!$C$1+1,L360,M360,N360)</f>
        <v>Rapports intégrés</v>
      </c>
      <c r="G360" s="145" t="s">
        <v>2787</v>
      </c>
      <c r="H360" s="146" t="s">
        <v>2788</v>
      </c>
      <c r="I360" s="146" t="s">
        <v>2773</v>
      </c>
      <c r="J360" s="146" t="s">
        <v>2774</v>
      </c>
      <c r="K360" s="146" t="s">
        <v>2775</v>
      </c>
      <c r="L360" s="146" t="s">
        <v>2789</v>
      </c>
      <c r="M360" s="146" t="s">
        <v>2790</v>
      </c>
      <c r="N360" s="146" t="s">
        <v>2791</v>
      </c>
      <c r="O360" s="146" t="s">
        <v>2779</v>
      </c>
      <c r="P360" s="146" t="s">
        <v>2780</v>
      </c>
      <c r="Q360" s="146" t="s">
        <v>2781</v>
      </c>
    </row>
    <row r="361" spans="1:17" s="9" customFormat="1" x14ac:dyDescent="0.25">
      <c r="A361" s="145" t="s">
        <v>2770</v>
      </c>
      <c r="B361" s="145" t="str">
        <f>CHOOSE(Translations!$C$1+1,O361,P361,Q361)</f>
        <v>M&amp;E-2a Complétude des rapports des établissements de santé : Pourcentage de rapports mensuels attendus des établissements (pour la période de rapportage) qui ont été réellement reçus</v>
      </c>
      <c r="C361" s="145">
        <f t="shared" si="12"/>
        <v>3</v>
      </c>
      <c r="D361" s="145" t="str">
        <f t="shared" si="13"/>
        <v>M&amp;E-2a Complétude des rapports des établissements de santé : Pourcentage de rapports mensuels attendus des établissements (pour la période de rapportage) qui ont été réellement reçus-3</v>
      </c>
      <c r="E361" s="145" t="str">
        <f>CHOOSE(Translations!$C$1+1,I361,J361,K361)</f>
        <v>Type de rapport</v>
      </c>
      <c r="F361" s="145" t="str">
        <f>CHOOSE(Translations!$C$1+1,L361,M361,N361)</f>
        <v>Rapports sur le paludisme</v>
      </c>
      <c r="G361" s="145" t="s">
        <v>2792</v>
      </c>
      <c r="H361" s="146" t="s">
        <v>2793</v>
      </c>
      <c r="I361" s="146" t="s">
        <v>2773</v>
      </c>
      <c r="J361" s="146" t="s">
        <v>2774</v>
      </c>
      <c r="K361" s="146" t="s">
        <v>2775</v>
      </c>
      <c r="L361" s="146" t="s">
        <v>2794</v>
      </c>
      <c r="M361" s="146" t="s">
        <v>2795</v>
      </c>
      <c r="N361" s="146" t="s">
        <v>2796</v>
      </c>
      <c r="O361" s="146" t="s">
        <v>2779</v>
      </c>
      <c r="P361" s="146" t="s">
        <v>2780</v>
      </c>
      <c r="Q361" s="146" t="s">
        <v>2781</v>
      </c>
    </row>
    <row r="362" spans="1:17" s="9" customFormat="1" x14ac:dyDescent="0.25">
      <c r="A362" s="145" t="s">
        <v>2797</v>
      </c>
      <c r="B362" s="145" t="str">
        <f>CHOOSE(Translations!$C$1+1,O362,P362,Q362)</f>
        <v>M&amp;E-2b Promptitude des rapports des établissements de santé: Pourcentage de rapports mensuels remis par les établissements (pour la période d’établissement de rapport) reçus dans les délais, conformément aux directives nationales</v>
      </c>
      <c r="C362" s="145">
        <f t="shared" si="12"/>
        <v>0</v>
      </c>
      <c r="D362" s="145" t="str">
        <f t="shared" si="13"/>
        <v>M&amp;E-2b Promptitude des rapports des établissements de santé: Pourcentage de rapports mensuels remis par les établissements (pour la période d’établissement de rapport) reçus dans les délais, conformément aux directives nationales-0</v>
      </c>
      <c r="E362" s="145" t="str">
        <f>CHOOSE(Translations!$C$1+1,I362,J362,K362)</f>
        <v>Type de rapport</v>
      </c>
      <c r="F362" s="145" t="str">
        <f>CHOOSE(Translations!$C$1+1,L362,M362,N362)</f>
        <v>Rapports sur le VIH</v>
      </c>
      <c r="G362" s="145" t="s">
        <v>2798</v>
      </c>
      <c r="H362" s="146" t="s">
        <v>2799</v>
      </c>
      <c r="I362" s="146" t="s">
        <v>2773</v>
      </c>
      <c r="J362" s="146" t="s">
        <v>2774</v>
      </c>
      <c r="K362" s="146" t="s">
        <v>2775</v>
      </c>
      <c r="L362" s="146" t="s">
        <v>2776</v>
      </c>
      <c r="M362" s="146" t="s">
        <v>2777</v>
      </c>
      <c r="N362" s="146" t="s">
        <v>2778</v>
      </c>
      <c r="O362" s="146" t="s">
        <v>2800</v>
      </c>
      <c r="P362" s="146" t="s">
        <v>2801</v>
      </c>
      <c r="Q362" s="146" t="s">
        <v>2802</v>
      </c>
    </row>
    <row r="363" spans="1:17" s="9" customFormat="1" x14ac:dyDescent="0.25">
      <c r="A363" s="145" t="s">
        <v>2797</v>
      </c>
      <c r="B363" s="145" t="str">
        <f>CHOOSE(Translations!$C$1+1,O363,P363,Q363)</f>
        <v>M&amp;E-2b Promptitude des rapports des établissements de santé: Pourcentage de rapports mensuels remis par les établissements (pour la période d’établissement de rapport) reçus dans les délais, conformément aux directives nationales</v>
      </c>
      <c r="C363" s="145">
        <f t="shared" si="12"/>
        <v>1</v>
      </c>
      <c r="D363" s="145" t="str">
        <f t="shared" si="13"/>
        <v>M&amp;E-2b Promptitude des rapports des établissements de santé: Pourcentage de rapports mensuels remis par les établissements (pour la période d’établissement de rapport) reçus dans les délais, conformément aux directives nationales-1</v>
      </c>
      <c r="E363" s="145" t="str">
        <f>CHOOSE(Translations!$C$1+1,I363,J363,K363)</f>
        <v>Type de rapport</v>
      </c>
      <c r="F363" s="145" t="str">
        <f>CHOOSE(Translations!$C$1+1,L363,M363,N363)</f>
        <v>Rapports sur la tuberculose</v>
      </c>
      <c r="G363" s="145" t="s">
        <v>2803</v>
      </c>
      <c r="H363" s="146" t="s">
        <v>2804</v>
      </c>
      <c r="I363" s="146" t="s">
        <v>2773</v>
      </c>
      <c r="J363" s="146" t="s">
        <v>2774</v>
      </c>
      <c r="K363" s="146" t="s">
        <v>2775</v>
      </c>
      <c r="L363" s="146" t="s">
        <v>2784</v>
      </c>
      <c r="M363" s="146" t="s">
        <v>2785</v>
      </c>
      <c r="N363" s="146" t="s">
        <v>2786</v>
      </c>
      <c r="O363" s="146" t="s">
        <v>2800</v>
      </c>
      <c r="P363" s="146" t="s">
        <v>2801</v>
      </c>
      <c r="Q363" s="146" t="s">
        <v>2802</v>
      </c>
    </row>
    <row r="364" spans="1:17" s="9" customFormat="1" x14ac:dyDescent="0.25">
      <c r="A364" s="145" t="s">
        <v>2797</v>
      </c>
      <c r="B364" s="145" t="str">
        <f>CHOOSE(Translations!$C$1+1,O364,P364,Q364)</f>
        <v>M&amp;E-2b Promptitude des rapports des établissements de santé: Pourcentage de rapports mensuels remis par les établissements (pour la période d’établissement de rapport) reçus dans les délais, conformément aux directives nationales</v>
      </c>
      <c r="C364" s="145">
        <f t="shared" si="12"/>
        <v>2</v>
      </c>
      <c r="D364" s="145" t="str">
        <f t="shared" si="13"/>
        <v>M&amp;E-2b Promptitude des rapports des établissements de santé: Pourcentage de rapports mensuels remis par les établissements (pour la période d’établissement de rapport) reçus dans les délais, conformément aux directives nationales-2</v>
      </c>
      <c r="E364" s="145" t="str">
        <f>CHOOSE(Translations!$C$1+1,I364,J364,K364)</f>
        <v>Type de rapport</v>
      </c>
      <c r="F364" s="145" t="str">
        <f>CHOOSE(Translations!$C$1+1,L364,M364,N364)</f>
        <v>Rapports sur le paludisme</v>
      </c>
      <c r="G364" s="145" t="s">
        <v>2805</v>
      </c>
      <c r="H364" s="146" t="s">
        <v>2806</v>
      </c>
      <c r="I364" s="146" t="s">
        <v>2773</v>
      </c>
      <c r="J364" s="146" t="s">
        <v>2774</v>
      </c>
      <c r="K364" s="146" t="s">
        <v>2775</v>
      </c>
      <c r="L364" s="146" t="s">
        <v>2794</v>
      </c>
      <c r="M364" s="146" t="s">
        <v>2795</v>
      </c>
      <c r="N364" s="146" t="s">
        <v>2796</v>
      </c>
      <c r="O364" s="146" t="s">
        <v>2800</v>
      </c>
      <c r="P364" s="146" t="s">
        <v>2801</v>
      </c>
      <c r="Q364" s="146" t="s">
        <v>2802</v>
      </c>
    </row>
    <row r="365" spans="1:17" s="9" customFormat="1" x14ac:dyDescent="0.25">
      <c r="A365" s="145" t="s">
        <v>2797</v>
      </c>
      <c r="B365" s="145" t="str">
        <f>CHOOSE(Translations!$C$1+1,O365,P365,Q365)</f>
        <v>M&amp;E-2b Promptitude des rapports des établissements de santé: Pourcentage de rapports mensuels remis par les établissements (pour la période d’établissement de rapport) reçus dans les délais, conformément aux directives nationales</v>
      </c>
      <c r="C365" s="145">
        <f t="shared" si="12"/>
        <v>3</v>
      </c>
      <c r="D365" s="145" t="str">
        <f t="shared" si="13"/>
        <v>M&amp;E-2b Promptitude des rapports des établissements de santé: Pourcentage de rapports mensuels remis par les établissements (pour la période d’établissement de rapport) reçus dans les délais, conformément aux directives nationales-3</v>
      </c>
      <c r="E365" s="145" t="str">
        <f>CHOOSE(Translations!$C$1+1,I365,J365,K365)</f>
        <v>Type de rapport</v>
      </c>
      <c r="F365" s="145" t="str">
        <f>CHOOSE(Translations!$C$1+1,L365,M365,N365)</f>
        <v>Rapports intégrés</v>
      </c>
      <c r="G365" s="145" t="s">
        <v>2807</v>
      </c>
      <c r="H365" s="146" t="s">
        <v>2808</v>
      </c>
      <c r="I365" s="146" t="s">
        <v>2773</v>
      </c>
      <c r="J365" s="146" t="s">
        <v>2774</v>
      </c>
      <c r="K365" s="146" t="s">
        <v>2775</v>
      </c>
      <c r="L365" s="146" t="s">
        <v>2789</v>
      </c>
      <c r="M365" s="146" t="s">
        <v>2790</v>
      </c>
      <c r="N365" s="146" t="s">
        <v>2791</v>
      </c>
      <c r="O365" s="146" t="s">
        <v>2800</v>
      </c>
      <c r="P365" s="146" t="s">
        <v>2801</v>
      </c>
      <c r="Q365" s="146" t="s">
        <v>2802</v>
      </c>
    </row>
    <row r="366" spans="1:17" s="9" customFormat="1" x14ac:dyDescent="0.25">
      <c r="A366" s="145" t="s">
        <v>2809</v>
      </c>
      <c r="B366" s="145" t="str">
        <f>CHOOSE(Translations!$C$1+1,O366,P366,Q366)</f>
        <v>HRH-1 Taux de vacance : Nombre de postes à temps complet restés vacants pendant au moins 6 mois, en pourcentage du nombre total de postes financés</v>
      </c>
      <c r="C366" s="145">
        <f t="shared" si="12"/>
        <v>0</v>
      </c>
      <c r="D366" s="145" t="str">
        <f t="shared" si="13"/>
        <v>HRH-1 Taux de vacance : Nombre de postes à temps complet restés vacants pendant au moins 6 mois, en pourcentage du nombre total de postes financés-0</v>
      </c>
      <c r="E366" s="145" t="str">
        <f>CHOOSE(Translations!$C$1+1,I366,J366,K366)</f>
        <v>Groupe d'occupation</v>
      </c>
      <c r="F366" s="145" t="str">
        <f>CHOOSE(Translations!$C$1+1,L366,M366,N366)</f>
        <v>Médecins</v>
      </c>
      <c r="G366" s="145" t="s">
        <v>2810</v>
      </c>
      <c r="H366" s="146" t="s">
        <v>2811</v>
      </c>
      <c r="I366" s="146" t="s">
        <v>2057</v>
      </c>
      <c r="J366" s="146" t="s">
        <v>2058</v>
      </c>
      <c r="K366" s="146" t="s">
        <v>2059</v>
      </c>
      <c r="L366" s="146" t="s">
        <v>2083</v>
      </c>
      <c r="M366" s="146" t="s">
        <v>2084</v>
      </c>
      <c r="N366" s="146" t="s">
        <v>2085</v>
      </c>
      <c r="O366" s="146" t="s">
        <v>2812</v>
      </c>
      <c r="P366" s="146" t="s">
        <v>2813</v>
      </c>
      <c r="Q366" s="146" t="s">
        <v>2814</v>
      </c>
    </row>
    <row r="367" spans="1:17" s="9" customFormat="1" x14ac:dyDescent="0.25">
      <c r="A367" s="145" t="s">
        <v>2809</v>
      </c>
      <c r="B367" s="145" t="str">
        <f>CHOOSE(Translations!$C$1+1,O367,P367,Q367)</f>
        <v>HRH-1 Taux de vacance : Nombre de postes à temps complet restés vacants pendant au moins 6 mois, en pourcentage du nombre total de postes financés</v>
      </c>
      <c r="C367" s="145">
        <f t="shared" si="12"/>
        <v>1</v>
      </c>
      <c r="D367" s="145" t="str">
        <f t="shared" si="13"/>
        <v>HRH-1 Taux de vacance : Nombre de postes à temps complet restés vacants pendant au moins 6 mois, en pourcentage du nombre total de postes financés-1</v>
      </c>
      <c r="E367" s="145" t="str">
        <f>CHOOSE(Translations!$C$1+1,I367,J367,K367)</f>
        <v>Groupe d'occupation</v>
      </c>
      <c r="F367" s="145" t="str">
        <f>CHOOSE(Translations!$C$1+1,L367,M367,N367)</f>
        <v>Infirmiers et sages-femmes</v>
      </c>
      <c r="G367" s="145" t="s">
        <v>2815</v>
      </c>
      <c r="H367" s="146" t="s">
        <v>2816</v>
      </c>
      <c r="I367" s="146" t="s">
        <v>2057</v>
      </c>
      <c r="J367" s="146" t="s">
        <v>2058</v>
      </c>
      <c r="K367" s="146" t="s">
        <v>2059</v>
      </c>
      <c r="L367" s="146" t="s">
        <v>2078</v>
      </c>
      <c r="M367" s="146" t="s">
        <v>2079</v>
      </c>
      <c r="N367" s="146" t="s">
        <v>2080</v>
      </c>
      <c r="O367" s="146" t="s">
        <v>2812</v>
      </c>
      <c r="P367" s="146" t="s">
        <v>2813</v>
      </c>
      <c r="Q367" s="146" t="s">
        <v>2814</v>
      </c>
    </row>
    <row r="368" spans="1:17" s="9" customFormat="1" x14ac:dyDescent="0.25">
      <c r="A368" s="145" t="s">
        <v>2809</v>
      </c>
      <c r="B368" s="145" t="str">
        <f>CHOOSE(Translations!$C$1+1,O368,P368,Q368)</f>
        <v>HRH-1 Taux de vacance : Nombre de postes à temps complet restés vacants pendant au moins 6 mois, en pourcentage du nombre total de postes financés</v>
      </c>
      <c r="C368" s="145">
        <f t="shared" si="12"/>
        <v>2</v>
      </c>
      <c r="D368" s="145" t="str">
        <f t="shared" si="13"/>
        <v>HRH-1 Taux de vacance : Nombre de postes à temps complet restés vacants pendant au moins 6 mois, en pourcentage du nombre total de postes financés-2</v>
      </c>
      <c r="E368" s="145" t="str">
        <f>CHOOSE(Translations!$C$1+1,I368,J368,K368)</f>
        <v>Groupe d'occupation</v>
      </c>
      <c r="F368" s="145" t="str">
        <f>CHOOSE(Translations!$C$1+1,L368,M368,N368)</f>
        <v>Techniciens de laboratoire</v>
      </c>
      <c r="G368" s="145" t="s">
        <v>2817</v>
      </c>
      <c r="H368" s="146" t="s">
        <v>2818</v>
      </c>
      <c r="I368" s="146" t="s">
        <v>2057</v>
      </c>
      <c r="J368" s="146" t="s">
        <v>2058</v>
      </c>
      <c r="K368" s="146" t="s">
        <v>2059</v>
      </c>
      <c r="L368" s="146" t="s">
        <v>2073</v>
      </c>
      <c r="M368" s="146" t="s">
        <v>2074</v>
      </c>
      <c r="N368" s="146" t="s">
        <v>2075</v>
      </c>
      <c r="O368" s="146" t="s">
        <v>2812</v>
      </c>
      <c r="P368" s="146" t="s">
        <v>2813</v>
      </c>
      <c r="Q368" s="146" t="s">
        <v>2814</v>
      </c>
    </row>
    <row r="369" spans="1:17" s="9" customFormat="1" x14ac:dyDescent="0.25">
      <c r="A369" s="145" t="s">
        <v>2809</v>
      </c>
      <c r="B369" s="145" t="str">
        <f>CHOOSE(Translations!$C$1+1,O369,P369,Q369)</f>
        <v>HRH-1 Taux de vacance : Nombre de postes à temps complet restés vacants pendant au moins 6 mois, en pourcentage du nombre total de postes financés</v>
      </c>
      <c r="C369" s="145">
        <f t="shared" si="12"/>
        <v>3</v>
      </c>
      <c r="D369" s="145" t="str">
        <f t="shared" si="13"/>
        <v>HRH-1 Taux de vacance : Nombre de postes à temps complet restés vacants pendant au moins 6 mois, en pourcentage du nombre total de postes financés-3</v>
      </c>
      <c r="E369" s="145" t="str">
        <f>CHOOSE(Translations!$C$1+1,I369,J369,K369)</f>
        <v>Groupe d'occupation</v>
      </c>
      <c r="F369" s="145" t="str">
        <f>CHOOSE(Translations!$C$1+1,L369,M369,N369)</f>
        <v>Pharmaciens</v>
      </c>
      <c r="G369" s="145" t="s">
        <v>2819</v>
      </c>
      <c r="H369" s="146" t="s">
        <v>2820</v>
      </c>
      <c r="I369" s="146" t="s">
        <v>2057</v>
      </c>
      <c r="J369" s="146" t="s">
        <v>2058</v>
      </c>
      <c r="K369" s="146" t="s">
        <v>2059</v>
      </c>
      <c r="L369" s="146" t="s">
        <v>2068</v>
      </c>
      <c r="M369" s="146" t="s">
        <v>2069</v>
      </c>
      <c r="N369" s="146" t="s">
        <v>2070</v>
      </c>
      <c r="O369" s="146" t="s">
        <v>2812</v>
      </c>
      <c r="P369" s="146" t="s">
        <v>2813</v>
      </c>
      <c r="Q369" s="146" t="s">
        <v>2814</v>
      </c>
    </row>
    <row r="370" spans="1:17" s="9" customFormat="1" x14ac:dyDescent="0.25">
      <c r="A370" s="145" t="s">
        <v>2809</v>
      </c>
      <c r="B370" s="145" t="str">
        <f>CHOOSE(Translations!$C$1+1,O370,P370,Q370)</f>
        <v>HRH-1 Taux de vacance : Nombre de postes à temps complet restés vacants pendant au moins 6 mois, en pourcentage du nombre total de postes financés</v>
      </c>
      <c r="C370" s="145">
        <f t="shared" si="12"/>
        <v>4</v>
      </c>
      <c r="D370" s="145" t="str">
        <f t="shared" si="13"/>
        <v>HRH-1 Taux de vacance : Nombre de postes à temps complet restés vacants pendant au moins 6 mois, en pourcentage du nombre total de postes financés-4</v>
      </c>
      <c r="E370" s="145" t="str">
        <f>CHOOSE(Translations!$C$1+1,I370,J370,K370)</f>
        <v>Groupe d'occupation</v>
      </c>
      <c r="F370" s="145" t="str">
        <f>CHOOSE(Translations!$C$1+1,L370,M370,N370)</f>
        <v>Agents de santé communautaires</v>
      </c>
      <c r="G370" s="145" t="s">
        <v>2821</v>
      </c>
      <c r="H370" s="146" t="s">
        <v>2822</v>
      </c>
      <c r="I370" s="146" t="s">
        <v>2057</v>
      </c>
      <c r="J370" s="146" t="s">
        <v>2058</v>
      </c>
      <c r="K370" s="146" t="s">
        <v>2059</v>
      </c>
      <c r="L370" s="146" t="s">
        <v>2060</v>
      </c>
      <c r="M370" s="146" t="s">
        <v>2061</v>
      </c>
      <c r="N370" s="146" t="s">
        <v>2062</v>
      </c>
      <c r="O370" s="146" t="s">
        <v>2812</v>
      </c>
      <c r="P370" s="146" t="s">
        <v>2813</v>
      </c>
      <c r="Q370" s="146" t="s">
        <v>2814</v>
      </c>
    </row>
    <row r="371" spans="1:17" s="9" customFormat="1" x14ac:dyDescent="0.25">
      <c r="A371" s="145" t="s">
        <v>2823</v>
      </c>
      <c r="B371" s="145" t="str">
        <f>CHOOSE(Translations!$C$1+1,O371,P371,Q371)</f>
        <v>HRH-2 Proportion d’étudiants diplômés d’un programme d’éducation et de formation des agents de santé par rapport au nombre d’étudiants inscrits en première année</v>
      </c>
      <c r="C371" s="145">
        <f t="shared" si="12"/>
        <v>0</v>
      </c>
      <c r="D371" s="145" t="str">
        <f t="shared" si="13"/>
        <v>HRH-2 Proportion d’étudiants diplômés d’un programme d’éducation et de formation des agents de santé par rapport au nombre d’étudiants inscrits en première année-0</v>
      </c>
      <c r="E371" s="145" t="str">
        <f>CHOOSE(Translations!$C$1+1,I371,J371,K371)</f>
        <v>Groupe d'occupation</v>
      </c>
      <c r="F371" s="145" t="str">
        <f>CHOOSE(Translations!$C$1+1,L371,M371,N371)</f>
        <v>Médecins</v>
      </c>
      <c r="G371" s="145" t="s">
        <v>2824</v>
      </c>
      <c r="H371" s="146" t="s">
        <v>2825</v>
      </c>
      <c r="I371" s="146" t="s">
        <v>2057</v>
      </c>
      <c r="J371" s="146" t="s">
        <v>2058</v>
      </c>
      <c r="K371" s="146" t="s">
        <v>2059</v>
      </c>
      <c r="L371" s="146" t="s">
        <v>2083</v>
      </c>
      <c r="M371" s="146" t="s">
        <v>2084</v>
      </c>
      <c r="N371" s="146" t="s">
        <v>2085</v>
      </c>
      <c r="O371" s="146" t="s">
        <v>2826</v>
      </c>
      <c r="P371" s="146" t="s">
        <v>2827</v>
      </c>
      <c r="Q371" s="146" t="s">
        <v>2828</v>
      </c>
    </row>
    <row r="372" spans="1:17" s="9" customFormat="1" x14ac:dyDescent="0.25">
      <c r="A372" s="145" t="s">
        <v>2823</v>
      </c>
      <c r="B372" s="145" t="str">
        <f>CHOOSE(Translations!$C$1+1,O372,P372,Q372)</f>
        <v>HRH-2 Proportion d’étudiants diplômés d’un programme d’éducation et de formation des agents de santé par rapport au nombre d’étudiants inscrits en première année</v>
      </c>
      <c r="C372" s="145">
        <f t="shared" si="12"/>
        <v>1</v>
      </c>
      <c r="D372" s="145" t="str">
        <f t="shared" si="13"/>
        <v>HRH-2 Proportion d’étudiants diplômés d’un programme d’éducation et de formation des agents de santé par rapport au nombre d’étudiants inscrits en première année-1</v>
      </c>
      <c r="E372" s="145" t="str">
        <f>CHOOSE(Translations!$C$1+1,I372,J372,K372)</f>
        <v>Groupe d'occupation</v>
      </c>
      <c r="F372" s="145" t="str">
        <f>CHOOSE(Translations!$C$1+1,L372,M372,N372)</f>
        <v>Infirmiers et sages-femmes</v>
      </c>
      <c r="G372" s="145" t="s">
        <v>2829</v>
      </c>
      <c r="H372" s="146" t="s">
        <v>2830</v>
      </c>
      <c r="I372" s="146" t="s">
        <v>2057</v>
      </c>
      <c r="J372" s="146" t="s">
        <v>2058</v>
      </c>
      <c r="K372" s="146" t="s">
        <v>2059</v>
      </c>
      <c r="L372" s="146" t="s">
        <v>2078</v>
      </c>
      <c r="M372" s="146" t="s">
        <v>2079</v>
      </c>
      <c r="N372" s="146" t="s">
        <v>2080</v>
      </c>
      <c r="O372" s="146" t="s">
        <v>2826</v>
      </c>
      <c r="P372" s="146" t="s">
        <v>2827</v>
      </c>
      <c r="Q372" s="146" t="s">
        <v>2828</v>
      </c>
    </row>
    <row r="373" spans="1:17" s="9" customFormat="1" x14ac:dyDescent="0.25">
      <c r="A373" s="145" t="s">
        <v>2823</v>
      </c>
      <c r="B373" s="145" t="str">
        <f>CHOOSE(Translations!$C$1+1,O373,P373,Q373)</f>
        <v>HRH-2 Proportion d’étudiants diplômés d’un programme d’éducation et de formation des agents de santé par rapport au nombre d’étudiants inscrits en première année</v>
      </c>
      <c r="C373" s="145">
        <f t="shared" si="12"/>
        <v>2</v>
      </c>
      <c r="D373" s="145" t="str">
        <f t="shared" si="13"/>
        <v>HRH-2 Proportion d’étudiants diplômés d’un programme d’éducation et de formation des agents de santé par rapport au nombre d’étudiants inscrits en première année-2</v>
      </c>
      <c r="E373" s="145" t="str">
        <f>CHOOSE(Translations!$C$1+1,I373,J373,K373)</f>
        <v>Groupe d'occupation</v>
      </c>
      <c r="F373" s="145" t="str">
        <f>CHOOSE(Translations!$C$1+1,L373,M373,N373)</f>
        <v>Techniciens de laboratoire</v>
      </c>
      <c r="G373" s="145" t="s">
        <v>2831</v>
      </c>
      <c r="H373" s="146" t="s">
        <v>2832</v>
      </c>
      <c r="I373" s="146" t="s">
        <v>2057</v>
      </c>
      <c r="J373" s="146" t="s">
        <v>2058</v>
      </c>
      <c r="K373" s="146" t="s">
        <v>2059</v>
      </c>
      <c r="L373" s="146" t="s">
        <v>2073</v>
      </c>
      <c r="M373" s="146" t="s">
        <v>2074</v>
      </c>
      <c r="N373" s="146" t="s">
        <v>2075</v>
      </c>
      <c r="O373" s="146" t="s">
        <v>2826</v>
      </c>
      <c r="P373" s="146" t="s">
        <v>2827</v>
      </c>
      <c r="Q373" s="146" t="s">
        <v>2828</v>
      </c>
    </row>
    <row r="374" spans="1:17" s="9" customFormat="1" x14ac:dyDescent="0.25">
      <c r="A374" s="145" t="s">
        <v>2823</v>
      </c>
      <c r="B374" s="145" t="str">
        <f>CHOOSE(Translations!$C$1+1,O374,P374,Q374)</f>
        <v>HRH-2 Proportion d’étudiants diplômés d’un programme d’éducation et de formation des agents de santé par rapport au nombre d’étudiants inscrits en première année</v>
      </c>
      <c r="C374" s="145">
        <f t="shared" si="12"/>
        <v>3</v>
      </c>
      <c r="D374" s="145" t="str">
        <f t="shared" si="13"/>
        <v>HRH-2 Proportion d’étudiants diplômés d’un programme d’éducation et de formation des agents de santé par rapport au nombre d’étudiants inscrits en première année-3</v>
      </c>
      <c r="E374" s="145" t="str">
        <f>CHOOSE(Translations!$C$1+1,I374,J374,K374)</f>
        <v>Groupe d'occupation</v>
      </c>
      <c r="F374" s="145" t="str">
        <f>CHOOSE(Translations!$C$1+1,L374,M374,N374)</f>
        <v>Pharmaciens</v>
      </c>
      <c r="G374" s="145" t="s">
        <v>2833</v>
      </c>
      <c r="H374" s="146" t="s">
        <v>2834</v>
      </c>
      <c r="I374" s="146" t="s">
        <v>2057</v>
      </c>
      <c r="J374" s="146" t="s">
        <v>2058</v>
      </c>
      <c r="K374" s="146" t="s">
        <v>2059</v>
      </c>
      <c r="L374" s="146" t="s">
        <v>2068</v>
      </c>
      <c r="M374" s="146" t="s">
        <v>2069</v>
      </c>
      <c r="N374" s="146" t="s">
        <v>2070</v>
      </c>
      <c r="O374" s="146" t="s">
        <v>2826</v>
      </c>
      <c r="P374" s="146" t="s">
        <v>2827</v>
      </c>
      <c r="Q374" s="146" t="s">
        <v>2828</v>
      </c>
    </row>
    <row r="375" spans="1:17" s="9" customFormat="1" x14ac:dyDescent="0.25">
      <c r="A375" s="145" t="s">
        <v>2823</v>
      </c>
      <c r="B375" s="145" t="str">
        <f>CHOOSE(Translations!$C$1+1,O375,P375,Q375)</f>
        <v>HRH-2 Proportion d’étudiants diplômés d’un programme d’éducation et de formation des agents de santé par rapport au nombre d’étudiants inscrits en première année</v>
      </c>
      <c r="C375" s="145">
        <f t="shared" si="12"/>
        <v>4</v>
      </c>
      <c r="D375" s="145" t="str">
        <f t="shared" si="13"/>
        <v>HRH-2 Proportion d’étudiants diplômés d’un programme d’éducation et de formation des agents de santé par rapport au nombre d’étudiants inscrits en première année-4</v>
      </c>
      <c r="E375" s="145" t="str">
        <f>CHOOSE(Translations!$C$1+1,I375,J375,K375)</f>
        <v>Groupe d'occupation</v>
      </c>
      <c r="F375" s="145" t="str">
        <f>CHOOSE(Translations!$C$1+1,L375,M375,N375)</f>
        <v>Agents de santé communautaires</v>
      </c>
      <c r="G375" s="145" t="s">
        <v>2835</v>
      </c>
      <c r="H375" s="146" t="s">
        <v>2836</v>
      </c>
      <c r="I375" s="146" t="s">
        <v>2057</v>
      </c>
      <c r="J375" s="146" t="s">
        <v>2058</v>
      </c>
      <c r="K375" s="146" t="s">
        <v>2059</v>
      </c>
      <c r="L375" s="146" t="s">
        <v>2060</v>
      </c>
      <c r="M375" s="146" t="s">
        <v>2061</v>
      </c>
      <c r="N375" s="146" t="s">
        <v>2062</v>
      </c>
      <c r="O375" s="146" t="s">
        <v>2826</v>
      </c>
      <c r="P375" s="146" t="s">
        <v>2827</v>
      </c>
      <c r="Q375" s="146" t="s">
        <v>2828</v>
      </c>
    </row>
    <row r="376" spans="1:17" s="9" customFormat="1" x14ac:dyDescent="0.25">
      <c r="A376" s="145" t="s">
        <v>2837</v>
      </c>
      <c r="B376" s="145" t="str">
        <f>CHOOSE(Translations!$C$1+1,O376,P376,Q376)</f>
        <v>SD-6 Nombre de conditions PEC-C traitées parmi les enfants de moins de cinq ans dans zones cibles au cours de la période de rapportage</v>
      </c>
      <c r="C376" s="145">
        <f t="shared" si="12"/>
        <v>0</v>
      </c>
      <c r="D376" s="145" t="str">
        <f t="shared" si="13"/>
        <v>SD-6 Nombre de conditions PEC-C traitées parmi les enfants de moins de cinq ans dans zones cibles au cours de la période de rapportage-0</v>
      </c>
      <c r="E376" s="145" t="str">
        <f>CHOOSE(Translations!$C$1+1,I376,J376,K376)</f>
        <v>Condition PEC-C</v>
      </c>
      <c r="F376" s="145" t="str">
        <f>CHOOSE(Translations!$C$1+1,L376,M376,N376)</f>
        <v>Paludisme</v>
      </c>
      <c r="G376" s="145" t="s">
        <v>2838</v>
      </c>
      <c r="H376" s="146" t="s">
        <v>2839</v>
      </c>
      <c r="I376" s="146" t="s">
        <v>2840</v>
      </c>
      <c r="J376" s="146" t="s">
        <v>2841</v>
      </c>
      <c r="K376" s="146" t="s">
        <v>2842</v>
      </c>
      <c r="L376" s="146" t="s">
        <v>2843</v>
      </c>
      <c r="M376" s="146" t="s">
        <v>2844</v>
      </c>
      <c r="N376" s="146" t="s">
        <v>2843</v>
      </c>
      <c r="O376" s="146" t="s">
        <v>2845</v>
      </c>
      <c r="P376" s="146" t="s">
        <v>2846</v>
      </c>
      <c r="Q376" s="146" t="s">
        <v>2847</v>
      </c>
    </row>
    <row r="377" spans="1:17" s="9" customFormat="1" x14ac:dyDescent="0.25">
      <c r="A377" s="145" t="s">
        <v>2837</v>
      </c>
      <c r="B377" s="145" t="str">
        <f>CHOOSE(Translations!$C$1+1,O377,P377,Q377)</f>
        <v>SD-6 Nombre de conditions PEC-C traitées parmi les enfants de moins de cinq ans dans zones cibles au cours de la période de rapportage</v>
      </c>
      <c r="C377" s="145">
        <f t="shared" si="12"/>
        <v>1</v>
      </c>
      <c r="D377" s="145" t="str">
        <f t="shared" si="13"/>
        <v>SD-6 Nombre de conditions PEC-C traitées parmi les enfants de moins de cinq ans dans zones cibles au cours de la période de rapportage-1</v>
      </c>
      <c r="E377" s="145" t="str">
        <f>CHOOSE(Translations!$C$1+1,I377,J377,K377)</f>
        <v>Condition PEC-C</v>
      </c>
      <c r="F377" s="145" t="str">
        <f>CHOOSE(Translations!$C$1+1,L377,M377,N377)</f>
        <v>Pneumonie</v>
      </c>
      <c r="G377" s="145" t="s">
        <v>2848</v>
      </c>
      <c r="H377" s="146" t="s">
        <v>2849</v>
      </c>
      <c r="I377" s="146" t="s">
        <v>2840</v>
      </c>
      <c r="J377" s="146" t="s">
        <v>2841</v>
      </c>
      <c r="K377" s="146" t="s">
        <v>2842</v>
      </c>
      <c r="L377" s="146" t="s">
        <v>2850</v>
      </c>
      <c r="M377" s="146" t="s">
        <v>2851</v>
      </c>
      <c r="N377" s="146" t="s">
        <v>2852</v>
      </c>
      <c r="O377" s="146" t="s">
        <v>2845</v>
      </c>
      <c r="P377" s="146" t="s">
        <v>2846</v>
      </c>
      <c r="Q377" s="146" t="s">
        <v>2847</v>
      </c>
    </row>
    <row r="378" spans="1:17" s="9" customFormat="1" x14ac:dyDescent="0.25">
      <c r="A378" s="145" t="s">
        <v>2837</v>
      </c>
      <c r="B378" s="145" t="str">
        <f>CHOOSE(Translations!$C$1+1,O378,P378,Q378)</f>
        <v>SD-6 Nombre de conditions PEC-C traitées parmi les enfants de moins de cinq ans dans zones cibles au cours de la période de rapportage</v>
      </c>
      <c r="C378" s="145">
        <f t="shared" si="12"/>
        <v>2</v>
      </c>
      <c r="D378" s="145" t="str">
        <f t="shared" si="13"/>
        <v>SD-6 Nombre de conditions PEC-C traitées parmi les enfants de moins de cinq ans dans zones cibles au cours de la période de rapportage-2</v>
      </c>
      <c r="E378" s="145" t="str">
        <f>CHOOSE(Translations!$C$1+1,I378,J378,K378)</f>
        <v>Condition PEC-C</v>
      </c>
      <c r="F378" s="145" t="str">
        <f>CHOOSE(Translations!$C$1+1,L378,M378,N378)</f>
        <v>Diarrhée</v>
      </c>
      <c r="G378" s="145" t="s">
        <v>2853</v>
      </c>
      <c r="H378" s="146" t="s">
        <v>2854</v>
      </c>
      <c r="I378" s="146" t="s">
        <v>2840</v>
      </c>
      <c r="J378" s="146" t="s">
        <v>2841</v>
      </c>
      <c r="K378" s="146" t="s">
        <v>2842</v>
      </c>
      <c r="L378" s="146" t="s">
        <v>2855</v>
      </c>
      <c r="M378" s="146" t="s">
        <v>2856</v>
      </c>
      <c r="N378" s="146" t="s">
        <v>2857</v>
      </c>
      <c r="O378" s="146" t="s">
        <v>2845</v>
      </c>
      <c r="P378" s="146" t="s">
        <v>2846</v>
      </c>
      <c r="Q378" s="146" t="s">
        <v>2847</v>
      </c>
    </row>
    <row r="379" spans="1:17" s="9" customFormat="1" x14ac:dyDescent="0.25">
      <c r="A379" s="145" t="s">
        <v>2837</v>
      </c>
      <c r="B379" s="145" t="str">
        <f>CHOOSE(Translations!$C$1+1,O379,P379,Q379)</f>
        <v>SD-6 Nombre de conditions PEC-C traitées parmi les enfants de moins de cinq ans dans zones cibles au cours de la période de rapportage</v>
      </c>
      <c r="C379" s="145">
        <f t="shared" si="12"/>
        <v>3</v>
      </c>
      <c r="D379" s="145" t="str">
        <f t="shared" si="13"/>
        <v>SD-6 Nombre de conditions PEC-C traitées parmi les enfants de moins de cinq ans dans zones cibles au cours de la période de rapportage-3</v>
      </c>
      <c r="E379" s="145" t="str">
        <f>CHOOSE(Translations!$C$1+1,I379,J379,K379)</f>
        <v>Condition PEC-C</v>
      </c>
      <c r="F379" s="145" t="str">
        <f>CHOOSE(Translations!$C$1+1,L379,M379,N379)</f>
        <v>Malnutrition</v>
      </c>
      <c r="G379" s="145" t="s">
        <v>2858</v>
      </c>
      <c r="H379" s="146" t="s">
        <v>2859</v>
      </c>
      <c r="I379" s="146" t="s">
        <v>2840</v>
      </c>
      <c r="J379" s="146" t="s">
        <v>2841</v>
      </c>
      <c r="K379" s="146" t="s">
        <v>2842</v>
      </c>
      <c r="L379" s="146" t="s">
        <v>2860</v>
      </c>
      <c r="M379" s="146" t="s">
        <v>2860</v>
      </c>
      <c r="N379" s="146" t="s">
        <v>2861</v>
      </c>
      <c r="O379" s="146" t="s">
        <v>2845</v>
      </c>
      <c r="P379" s="146" t="s">
        <v>2846</v>
      </c>
      <c r="Q379" s="146" t="s">
        <v>2847</v>
      </c>
    </row>
    <row r="380" spans="1:17" s="9" customFormat="1" x14ac:dyDescent="0.25">
      <c r="A380" s="145" t="s">
        <v>2862</v>
      </c>
      <c r="B380" s="145" t="str">
        <f>CHOOSE(Translations!$C$1+1,O380,P380,Q380)</f>
        <v>TB/HIV-3.1a Pourcentage de personnes vivant avec le VIH ayant nouvellement initié la TARV chez qui les signes de la tuberculose ont été recherchés</v>
      </c>
      <c r="C380" s="145">
        <f t="shared" si="12"/>
        <v>0</v>
      </c>
      <c r="D380" s="145" t="str">
        <f t="shared" si="13"/>
        <v>TB/HIV-3.1a Pourcentage de personnes vivant avec le VIH ayant nouvellement initié la TARV chez qui les signes de la tuberculose ont été recherchés-0</v>
      </c>
      <c r="E380" s="145" t="str">
        <f>CHOOSE(Translations!$C$1+1,I380,J380,K380)</f>
        <v>Age</v>
      </c>
      <c r="F380" s="145" t="str">
        <f>CHOOSE(Translations!$C$1+1,L380,M380,N380)</f>
        <v>&lt;5</v>
      </c>
      <c r="G380" s="145" t="s">
        <v>2863</v>
      </c>
      <c r="H380" s="146" t="s">
        <v>2864</v>
      </c>
      <c r="I380" s="146" t="s">
        <v>1563</v>
      </c>
      <c r="J380" s="146" t="s">
        <v>1563</v>
      </c>
      <c r="K380" s="146" t="s">
        <v>1564</v>
      </c>
      <c r="L380" s="146" t="s">
        <v>1612</v>
      </c>
      <c r="M380" s="146" t="s">
        <v>1612</v>
      </c>
      <c r="N380" s="146" t="s">
        <v>1612</v>
      </c>
      <c r="O380" s="146" t="s">
        <v>2865</v>
      </c>
      <c r="P380" s="146" t="s">
        <v>2866</v>
      </c>
      <c r="Q380" s="146" t="s">
        <v>2867</v>
      </c>
    </row>
    <row r="381" spans="1:17" s="9" customFormat="1" x14ac:dyDescent="0.25">
      <c r="A381" s="145" t="s">
        <v>2862</v>
      </c>
      <c r="B381" s="145" t="str">
        <f>CHOOSE(Translations!$C$1+1,O381,P381,Q381)</f>
        <v>TB/HIV-3.1a Pourcentage de personnes vivant avec le VIH ayant nouvellement initié la TARV chez qui les signes de la tuberculose ont été recherchés</v>
      </c>
      <c r="C381" s="145">
        <f t="shared" si="12"/>
        <v>1</v>
      </c>
      <c r="D381" s="145" t="str">
        <f t="shared" si="13"/>
        <v>TB/HIV-3.1a Pourcentage de personnes vivant avec le VIH ayant nouvellement initié la TARV chez qui les signes de la tuberculose ont été recherchés-1</v>
      </c>
      <c r="E381" s="145" t="str">
        <f>CHOOSE(Translations!$C$1+1,I381,J381,K381)</f>
        <v>Age</v>
      </c>
      <c r="F381" s="145" t="str">
        <f>CHOOSE(Translations!$C$1+1,L381,M381,N381)</f>
        <v>5-14</v>
      </c>
      <c r="G381" s="145" t="s">
        <v>2868</v>
      </c>
      <c r="H381" s="146" t="s">
        <v>2869</v>
      </c>
      <c r="I381" s="146" t="s">
        <v>1563</v>
      </c>
      <c r="J381" s="146" t="s">
        <v>1563</v>
      </c>
      <c r="K381" s="146" t="s">
        <v>1564</v>
      </c>
      <c r="L381" s="146" t="s">
        <v>1609</v>
      </c>
      <c r="M381" s="146" t="s">
        <v>1609</v>
      </c>
      <c r="N381" s="146" t="s">
        <v>1609</v>
      </c>
      <c r="O381" s="146" t="s">
        <v>2865</v>
      </c>
      <c r="P381" s="146" t="s">
        <v>2866</v>
      </c>
      <c r="Q381" s="146" t="s">
        <v>2867</v>
      </c>
    </row>
    <row r="382" spans="1:17" s="9" customFormat="1" x14ac:dyDescent="0.25">
      <c r="A382" s="145" t="s">
        <v>2862</v>
      </c>
      <c r="B382" s="145" t="str">
        <f>CHOOSE(Translations!$C$1+1,O382,P382,Q382)</f>
        <v>TB/HIV-3.1a Pourcentage de personnes vivant avec le VIH ayant nouvellement initié la TARV chez qui les signes de la tuberculose ont été recherchés</v>
      </c>
      <c r="C382" s="145">
        <f t="shared" si="12"/>
        <v>2</v>
      </c>
      <c r="D382" s="145" t="str">
        <f t="shared" si="13"/>
        <v>TB/HIV-3.1a Pourcentage de personnes vivant avec le VIH ayant nouvellement initié la TARV chez qui les signes de la tuberculose ont été recherchés-2</v>
      </c>
      <c r="E382" s="145" t="str">
        <f>CHOOSE(Translations!$C$1+1,I382,J382,K382)</f>
        <v>Age</v>
      </c>
      <c r="F382" s="145" t="str">
        <f>CHOOSE(Translations!$C$1+1,L382,M382,N382)</f>
        <v>15+</v>
      </c>
      <c r="G382" s="145" t="s">
        <v>2870</v>
      </c>
      <c r="H382" s="146" t="s">
        <v>2871</v>
      </c>
      <c r="I382" s="146" t="s">
        <v>1563</v>
      </c>
      <c r="J382" s="146" t="s">
        <v>1563</v>
      </c>
      <c r="K382" s="146" t="s">
        <v>1564</v>
      </c>
      <c r="L382" s="146" t="s">
        <v>1565</v>
      </c>
      <c r="M382" s="146" t="s">
        <v>1565</v>
      </c>
      <c r="N382" s="146" t="s">
        <v>1565</v>
      </c>
      <c r="O382" s="146" t="s">
        <v>2865</v>
      </c>
      <c r="P382" s="146" t="s">
        <v>2866</v>
      </c>
      <c r="Q382" s="146" t="s">
        <v>2867</v>
      </c>
    </row>
    <row r="383" spans="1:17" s="9" customFormat="1" x14ac:dyDescent="0.25">
      <c r="A383" s="145" t="s">
        <v>2862</v>
      </c>
      <c r="B383" s="145" t="str">
        <f>CHOOSE(Translations!$C$1+1,O383,P383,Q383)</f>
        <v>TB/HIV-3.1a Pourcentage de personnes vivant avec le VIH ayant nouvellement initié la TARV chez qui les signes de la tuberculose ont été recherchés</v>
      </c>
      <c r="C383" s="145">
        <f t="shared" si="12"/>
        <v>3</v>
      </c>
      <c r="D383" s="145" t="str">
        <f t="shared" si="13"/>
        <v>TB/HIV-3.1a Pourcentage de personnes vivant avec le VIH ayant nouvellement initié la TARV chez qui les signes de la tuberculose ont été recherchés-3</v>
      </c>
      <c r="E383" s="145" t="str">
        <f>CHOOSE(Translations!$C$1+1,I383,J383,K383)</f>
        <v>Sexe</v>
      </c>
      <c r="F383" s="145" t="str">
        <f>CHOOSE(Translations!$C$1+1,L383,M383,N383)</f>
        <v>Homme</v>
      </c>
      <c r="G383" s="145" t="s">
        <v>2872</v>
      </c>
      <c r="H383" s="146" t="s">
        <v>2873</v>
      </c>
      <c r="I383" s="146" t="s">
        <v>1550</v>
      </c>
      <c r="J383" s="146" t="s">
        <v>1551</v>
      </c>
      <c r="K383" s="146" t="s">
        <v>1552</v>
      </c>
      <c r="L383" s="146" t="s">
        <v>1558</v>
      </c>
      <c r="M383" s="146" t="s">
        <v>1559</v>
      </c>
      <c r="N383" s="146" t="s">
        <v>1560</v>
      </c>
      <c r="O383" s="146" t="s">
        <v>2865</v>
      </c>
      <c r="P383" s="146" t="s">
        <v>2866</v>
      </c>
      <c r="Q383" s="146" t="s">
        <v>2867</v>
      </c>
    </row>
    <row r="384" spans="1:17" s="9" customFormat="1" x14ac:dyDescent="0.25">
      <c r="A384" s="145" t="s">
        <v>2862</v>
      </c>
      <c r="B384" s="145" t="str">
        <f>CHOOSE(Translations!$C$1+1,O384,P384,Q384)</f>
        <v>TB/HIV-3.1a Pourcentage de personnes vivant avec le VIH ayant nouvellement initié la TARV chez qui les signes de la tuberculose ont été recherchés</v>
      </c>
      <c r="C384" s="145">
        <f t="shared" si="12"/>
        <v>4</v>
      </c>
      <c r="D384" s="145" t="str">
        <f t="shared" si="13"/>
        <v>TB/HIV-3.1a Pourcentage de personnes vivant avec le VIH ayant nouvellement initié la TARV chez qui les signes de la tuberculose ont été recherchés-4</v>
      </c>
      <c r="E384" s="145" t="str">
        <f>CHOOSE(Translations!$C$1+1,I384,J384,K384)</f>
        <v>Sexe</v>
      </c>
      <c r="F384" s="145" t="str">
        <f>CHOOSE(Translations!$C$1+1,L384,M384,N384)</f>
        <v>Femme</v>
      </c>
      <c r="G384" s="145" t="s">
        <v>2874</v>
      </c>
      <c r="H384" s="146" t="s">
        <v>2875</v>
      </c>
      <c r="I384" s="146" t="s">
        <v>1550</v>
      </c>
      <c r="J384" s="146" t="s">
        <v>1551</v>
      </c>
      <c r="K384" s="146" t="s">
        <v>1552</v>
      </c>
      <c r="L384" s="146" t="s">
        <v>1553</v>
      </c>
      <c r="M384" s="146" t="s">
        <v>1554</v>
      </c>
      <c r="N384" s="146" t="s">
        <v>1555</v>
      </c>
      <c r="O384" s="146" t="s">
        <v>2865</v>
      </c>
      <c r="P384" s="146" t="s">
        <v>2866</v>
      </c>
      <c r="Q384" s="146" t="s">
        <v>2867</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xr:uid="{00000000-0002-0000-1200-000000000000}">
      <formula1>""</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D1:R915"/>
  <sheetViews>
    <sheetView topLeftCell="B1" workbookViewId="0">
      <selection activeCell="I4" sqref="I4"/>
    </sheetView>
  </sheetViews>
  <sheetFormatPr defaultColWidth="8.59765625" defaultRowHeight="13.2" x14ac:dyDescent="0.25"/>
  <cols>
    <col min="1" max="3" width="8.59765625" style="9"/>
    <col min="4" max="4" width="20.59765625" style="9" bestFit="1" customWidth="1"/>
    <col min="5" max="5" width="22.09765625" style="9" bestFit="1" customWidth="1"/>
    <col min="6" max="6" width="18.59765625" style="9" bestFit="1" customWidth="1"/>
    <col min="7" max="7" width="8.59765625" style="9"/>
    <col min="8" max="8" width="8.59765625" style="9" bestFit="1" customWidth="1"/>
    <col min="9" max="9" width="13" style="9" bestFit="1" customWidth="1"/>
    <col min="10" max="10" width="38.59765625" style="9" bestFit="1" customWidth="1"/>
    <col min="11" max="11" width="12.59765625" style="9" bestFit="1" customWidth="1"/>
    <col min="12" max="12" width="12.09765625" style="9" bestFit="1" customWidth="1"/>
    <col min="13" max="13" width="14" style="9" bestFit="1" customWidth="1"/>
    <col min="14" max="14" width="9.59765625" style="9" bestFit="1" customWidth="1"/>
    <col min="15" max="15" width="9.09765625" style="9" bestFit="1" customWidth="1"/>
    <col min="16" max="16384" width="8.59765625" style="9"/>
  </cols>
  <sheetData>
    <row r="1" spans="4:18" x14ac:dyDescent="0.25">
      <c r="D1" s="6" t="s">
        <v>156</v>
      </c>
    </row>
    <row r="2" spans="4:18" x14ac:dyDescent="0.25">
      <c r="D2" s="145" t="s">
        <v>151</v>
      </c>
      <c r="E2" s="145" t="s">
        <v>153</v>
      </c>
      <c r="F2" s="145" t="s">
        <v>95</v>
      </c>
      <c r="G2" s="145"/>
      <c r="H2" s="145" t="s">
        <v>34</v>
      </c>
      <c r="I2" s="145" t="s">
        <v>27</v>
      </c>
      <c r="J2" s="145" t="s">
        <v>155</v>
      </c>
      <c r="K2" s="145" t="s">
        <v>28</v>
      </c>
      <c r="L2" s="145" t="s">
        <v>29</v>
      </c>
      <c r="M2" s="145" t="s">
        <v>18</v>
      </c>
      <c r="N2" s="145" t="s">
        <v>9</v>
      </c>
      <c r="O2" s="145" t="s">
        <v>48</v>
      </c>
      <c r="P2" s="145" t="s">
        <v>3</v>
      </c>
      <c r="Q2" s="145" t="s">
        <v>2</v>
      </c>
      <c r="R2" s="145" t="s">
        <v>4</v>
      </c>
    </row>
    <row r="3" spans="4:18" hidden="1" x14ac:dyDescent="0.25">
      <c r="D3" s="146" t="s">
        <v>150</v>
      </c>
      <c r="E3" s="145" t="s">
        <v>152</v>
      </c>
      <c r="F3" s="146" t="s">
        <v>154</v>
      </c>
      <c r="G3" s="145"/>
      <c r="H3" s="146" t="s">
        <v>77</v>
      </c>
      <c r="I3" s="146" t="s">
        <v>76</v>
      </c>
      <c r="J3" s="145" t="str">
        <f>F3&amp;H3&amp;I3</f>
        <v>[Impact Indicator Name][Category][Disaggregation]</v>
      </c>
      <c r="K3" s="146" t="s">
        <v>40</v>
      </c>
      <c r="L3" s="146" t="s">
        <v>41</v>
      </c>
      <c r="M3" s="146" t="s">
        <v>42</v>
      </c>
      <c r="N3" s="146" t="s">
        <v>69</v>
      </c>
      <c r="O3" s="145" t="s">
        <v>47</v>
      </c>
      <c r="P3" s="152" t="s">
        <v>57</v>
      </c>
      <c r="Q3" s="473" t="s">
        <v>56</v>
      </c>
      <c r="R3" s="151" t="s">
        <v>168</v>
      </c>
    </row>
    <row r="4" spans="4:18" x14ac:dyDescent="0.25">
      <c r="D4" s="146" t="s">
        <v>3865</v>
      </c>
      <c r="E4" s="145" t="s">
        <v>3866</v>
      </c>
      <c r="F4" s="146"/>
      <c r="G4" s="145"/>
      <c r="H4" s="146"/>
      <c r="I4" s="146"/>
      <c r="J4" s="145" t="str">
        <f t="shared" ref="J4:J67" si="0">F4&amp;H4&amp;I4</f>
        <v/>
      </c>
      <c r="K4" s="146"/>
      <c r="L4" s="146"/>
      <c r="M4" s="146"/>
      <c r="N4" s="146"/>
      <c r="O4" s="145" t="s">
        <v>3867</v>
      </c>
      <c r="P4" s="152"/>
      <c r="Q4" s="473"/>
      <c r="R4" s="151"/>
    </row>
    <row r="5" spans="4:18" x14ac:dyDescent="0.25">
      <c r="D5" s="146" t="s">
        <v>3868</v>
      </c>
      <c r="E5" s="145" t="s">
        <v>3866</v>
      </c>
      <c r="F5" s="146"/>
      <c r="G5" s="145"/>
      <c r="H5" s="146"/>
      <c r="I5" s="146"/>
      <c r="J5" s="145" t="str">
        <f t="shared" si="0"/>
        <v/>
      </c>
      <c r="K5" s="146"/>
      <c r="L5" s="146"/>
      <c r="M5" s="146"/>
      <c r="N5" s="146"/>
      <c r="O5" s="145" t="s">
        <v>3869</v>
      </c>
      <c r="P5" s="152"/>
      <c r="Q5" s="473"/>
      <c r="R5" s="151"/>
    </row>
    <row r="6" spans="4:18" x14ac:dyDescent="0.25">
      <c r="D6" s="146" t="s">
        <v>3870</v>
      </c>
      <c r="E6" s="145" t="s">
        <v>3866</v>
      </c>
      <c r="F6" s="146"/>
      <c r="G6" s="145"/>
      <c r="H6" s="146"/>
      <c r="I6" s="146"/>
      <c r="J6" s="145" t="str">
        <f t="shared" si="0"/>
        <v/>
      </c>
      <c r="K6" s="146"/>
      <c r="L6" s="146"/>
      <c r="M6" s="146"/>
      <c r="N6" s="146"/>
      <c r="O6" s="145" t="s">
        <v>3871</v>
      </c>
      <c r="P6" s="152"/>
      <c r="Q6" s="473"/>
      <c r="R6" s="151"/>
    </row>
    <row r="7" spans="4:18" x14ac:dyDescent="0.25">
      <c r="D7" s="146" t="s">
        <v>3872</v>
      </c>
      <c r="E7" s="145" t="s">
        <v>3866</v>
      </c>
      <c r="F7" s="146"/>
      <c r="G7" s="145"/>
      <c r="H7" s="146"/>
      <c r="I7" s="146"/>
      <c r="J7" s="145" t="str">
        <f t="shared" si="0"/>
        <v/>
      </c>
      <c r="K7" s="146"/>
      <c r="L7" s="146"/>
      <c r="M7" s="146"/>
      <c r="N7" s="146"/>
      <c r="O7" s="145" t="s">
        <v>3873</v>
      </c>
      <c r="P7" s="152"/>
      <c r="Q7" s="473"/>
      <c r="R7" s="151"/>
    </row>
    <row r="8" spans="4:18" x14ac:dyDescent="0.25">
      <c r="D8" s="146" t="s">
        <v>3874</v>
      </c>
      <c r="E8" s="145" t="s">
        <v>3866</v>
      </c>
      <c r="F8" s="146"/>
      <c r="G8" s="145"/>
      <c r="H8" s="146"/>
      <c r="I8" s="146"/>
      <c r="J8" s="145" t="str">
        <f t="shared" si="0"/>
        <v/>
      </c>
      <c r="K8" s="146"/>
      <c r="L8" s="146"/>
      <c r="M8" s="146"/>
      <c r="N8" s="146"/>
      <c r="O8" s="145" t="s">
        <v>3875</v>
      </c>
      <c r="P8" s="152"/>
      <c r="Q8" s="473"/>
      <c r="R8" s="151"/>
    </row>
    <row r="9" spans="4:18" x14ac:dyDescent="0.25">
      <c r="D9" s="146" t="s">
        <v>3876</v>
      </c>
      <c r="E9" s="145" t="s">
        <v>3866</v>
      </c>
      <c r="F9" s="146"/>
      <c r="G9" s="145"/>
      <c r="H9" s="146"/>
      <c r="I9" s="146"/>
      <c r="J9" s="145" t="str">
        <f t="shared" si="0"/>
        <v/>
      </c>
      <c r="K9" s="146"/>
      <c r="L9" s="146"/>
      <c r="M9" s="146"/>
      <c r="N9" s="146"/>
      <c r="O9" s="145" t="s">
        <v>3877</v>
      </c>
      <c r="P9" s="152"/>
      <c r="Q9" s="473"/>
      <c r="R9" s="151"/>
    </row>
    <row r="10" spans="4:18" x14ac:dyDescent="0.25">
      <c r="D10" s="146" t="s">
        <v>3878</v>
      </c>
      <c r="E10" s="145" t="s">
        <v>3866</v>
      </c>
      <c r="F10" s="146"/>
      <c r="G10" s="145"/>
      <c r="H10" s="146"/>
      <c r="I10" s="146"/>
      <c r="J10" s="145" t="str">
        <f t="shared" si="0"/>
        <v/>
      </c>
      <c r="K10" s="146"/>
      <c r="L10" s="146"/>
      <c r="M10" s="146"/>
      <c r="N10" s="146"/>
      <c r="O10" s="145" t="s">
        <v>3879</v>
      </c>
      <c r="P10" s="152"/>
      <c r="Q10" s="473"/>
      <c r="R10" s="151"/>
    </row>
    <row r="11" spans="4:18" x14ac:dyDescent="0.25">
      <c r="D11" s="146" t="s">
        <v>3880</v>
      </c>
      <c r="E11" s="145" t="s">
        <v>3866</v>
      </c>
      <c r="F11" s="146"/>
      <c r="G11" s="145"/>
      <c r="H11" s="146"/>
      <c r="I11" s="146"/>
      <c r="J11" s="145" t="str">
        <f t="shared" si="0"/>
        <v/>
      </c>
      <c r="K11" s="146"/>
      <c r="L11" s="146"/>
      <c r="M11" s="146"/>
      <c r="N11" s="146"/>
      <c r="O11" s="145" t="s">
        <v>3881</v>
      </c>
      <c r="P11" s="152"/>
      <c r="Q11" s="473"/>
      <c r="R11" s="151"/>
    </row>
    <row r="12" spans="4:18" x14ac:dyDescent="0.25">
      <c r="D12" s="146" t="s">
        <v>3882</v>
      </c>
      <c r="E12" s="145" t="s">
        <v>3866</v>
      </c>
      <c r="F12" s="146"/>
      <c r="G12" s="145"/>
      <c r="H12" s="146"/>
      <c r="I12" s="146"/>
      <c r="J12" s="145" t="str">
        <f t="shared" si="0"/>
        <v/>
      </c>
      <c r="K12" s="146"/>
      <c r="L12" s="146"/>
      <c r="M12" s="146"/>
      <c r="N12" s="146"/>
      <c r="O12" s="145" t="s">
        <v>3883</v>
      </c>
      <c r="P12" s="152"/>
      <c r="Q12" s="473"/>
      <c r="R12" s="151"/>
    </row>
    <row r="13" spans="4:18" x14ac:dyDescent="0.25">
      <c r="D13" s="146" t="s">
        <v>3884</v>
      </c>
      <c r="E13" s="145" t="s">
        <v>3866</v>
      </c>
      <c r="F13" s="146"/>
      <c r="G13" s="145"/>
      <c r="H13" s="146"/>
      <c r="I13" s="146"/>
      <c r="J13" s="145" t="str">
        <f t="shared" si="0"/>
        <v/>
      </c>
      <c r="K13" s="146"/>
      <c r="L13" s="146"/>
      <c r="M13" s="146"/>
      <c r="N13" s="146"/>
      <c r="O13" s="145" t="s">
        <v>3885</v>
      </c>
      <c r="P13" s="152"/>
      <c r="Q13" s="473"/>
      <c r="R13" s="151"/>
    </row>
    <row r="14" spans="4:18" x14ac:dyDescent="0.25">
      <c r="D14" s="146" t="s">
        <v>3886</v>
      </c>
      <c r="E14" s="145" t="s">
        <v>3887</v>
      </c>
      <c r="F14" s="146"/>
      <c r="G14" s="145"/>
      <c r="H14" s="146"/>
      <c r="I14" s="146"/>
      <c r="J14" s="145" t="str">
        <f t="shared" si="0"/>
        <v/>
      </c>
      <c r="K14" s="146"/>
      <c r="L14" s="146"/>
      <c r="M14" s="146"/>
      <c r="N14" s="146"/>
      <c r="O14" s="145" t="s">
        <v>3888</v>
      </c>
      <c r="P14" s="152"/>
      <c r="Q14" s="473"/>
      <c r="R14" s="151"/>
    </row>
    <row r="15" spans="4:18" x14ac:dyDescent="0.25">
      <c r="D15" s="146" t="s">
        <v>3889</v>
      </c>
      <c r="E15" s="145" t="s">
        <v>3887</v>
      </c>
      <c r="F15" s="146"/>
      <c r="G15" s="145"/>
      <c r="H15" s="146"/>
      <c r="I15" s="146"/>
      <c r="J15" s="145" t="str">
        <f t="shared" si="0"/>
        <v/>
      </c>
      <c r="K15" s="146"/>
      <c r="L15" s="146"/>
      <c r="M15" s="146"/>
      <c r="N15" s="146"/>
      <c r="O15" s="145" t="s">
        <v>3890</v>
      </c>
      <c r="P15" s="152"/>
      <c r="Q15" s="473"/>
      <c r="R15" s="151"/>
    </row>
    <row r="16" spans="4:18" x14ac:dyDescent="0.25">
      <c r="D16" s="146" t="s">
        <v>3891</v>
      </c>
      <c r="E16" s="145" t="s">
        <v>3887</v>
      </c>
      <c r="F16" s="146"/>
      <c r="G16" s="145"/>
      <c r="H16" s="146"/>
      <c r="I16" s="146"/>
      <c r="J16" s="145" t="str">
        <f t="shared" si="0"/>
        <v/>
      </c>
      <c r="K16" s="146"/>
      <c r="L16" s="146"/>
      <c r="M16" s="146"/>
      <c r="N16" s="146"/>
      <c r="O16" s="145" t="s">
        <v>3892</v>
      </c>
      <c r="P16" s="152"/>
      <c r="Q16" s="473"/>
      <c r="R16" s="151"/>
    </row>
    <row r="17" spans="4:18" x14ac:dyDescent="0.25">
      <c r="D17" s="146" t="s">
        <v>3893</v>
      </c>
      <c r="E17" s="145" t="s">
        <v>3887</v>
      </c>
      <c r="F17" s="146"/>
      <c r="G17" s="145"/>
      <c r="H17" s="146"/>
      <c r="I17" s="146"/>
      <c r="J17" s="145" t="str">
        <f t="shared" si="0"/>
        <v/>
      </c>
      <c r="K17" s="146"/>
      <c r="L17" s="146"/>
      <c r="M17" s="146"/>
      <c r="N17" s="146"/>
      <c r="O17" s="145" t="s">
        <v>3894</v>
      </c>
      <c r="P17" s="152"/>
      <c r="Q17" s="473"/>
      <c r="R17" s="151"/>
    </row>
    <row r="18" spans="4:18" x14ac:dyDescent="0.25">
      <c r="D18" s="146" t="s">
        <v>3895</v>
      </c>
      <c r="E18" s="145" t="s">
        <v>3887</v>
      </c>
      <c r="F18" s="146"/>
      <c r="G18" s="145"/>
      <c r="H18" s="146"/>
      <c r="I18" s="146"/>
      <c r="J18" s="145" t="str">
        <f t="shared" si="0"/>
        <v/>
      </c>
      <c r="K18" s="146"/>
      <c r="L18" s="146"/>
      <c r="M18" s="146"/>
      <c r="N18" s="146"/>
      <c r="O18" s="145" t="s">
        <v>3896</v>
      </c>
      <c r="P18" s="152"/>
      <c r="Q18" s="473"/>
      <c r="R18" s="151"/>
    </row>
    <row r="19" spans="4:18" x14ac:dyDescent="0.25">
      <c r="D19" s="146" t="s">
        <v>3897</v>
      </c>
      <c r="E19" s="145" t="s">
        <v>3887</v>
      </c>
      <c r="F19" s="146"/>
      <c r="G19" s="145"/>
      <c r="H19" s="146"/>
      <c r="I19" s="146"/>
      <c r="J19" s="145" t="str">
        <f t="shared" si="0"/>
        <v/>
      </c>
      <c r="K19" s="146"/>
      <c r="L19" s="146"/>
      <c r="M19" s="146"/>
      <c r="N19" s="146"/>
      <c r="O19" s="145" t="s">
        <v>3898</v>
      </c>
      <c r="P19" s="152"/>
      <c r="Q19" s="473"/>
      <c r="R19" s="151"/>
    </row>
    <row r="20" spans="4:18" x14ac:dyDescent="0.25">
      <c r="D20" s="146" t="s">
        <v>3899</v>
      </c>
      <c r="E20" s="145" t="s">
        <v>3887</v>
      </c>
      <c r="F20" s="146"/>
      <c r="G20" s="145"/>
      <c r="H20" s="146"/>
      <c r="I20" s="146"/>
      <c r="J20" s="145" t="str">
        <f t="shared" si="0"/>
        <v/>
      </c>
      <c r="K20" s="146"/>
      <c r="L20" s="146"/>
      <c r="M20" s="146"/>
      <c r="N20" s="146"/>
      <c r="O20" s="145" t="s">
        <v>3900</v>
      </c>
      <c r="P20" s="152"/>
      <c r="Q20" s="473"/>
      <c r="R20" s="151"/>
    </row>
    <row r="21" spans="4:18" x14ac:dyDescent="0.25">
      <c r="D21" s="146" t="s">
        <v>3901</v>
      </c>
      <c r="E21" s="145" t="s">
        <v>3887</v>
      </c>
      <c r="F21" s="146"/>
      <c r="G21" s="145"/>
      <c r="H21" s="146"/>
      <c r="I21" s="146"/>
      <c r="J21" s="145" t="str">
        <f t="shared" si="0"/>
        <v/>
      </c>
      <c r="K21" s="146"/>
      <c r="L21" s="146"/>
      <c r="M21" s="146"/>
      <c r="N21" s="146"/>
      <c r="O21" s="145" t="s">
        <v>3902</v>
      </c>
      <c r="P21" s="152"/>
      <c r="Q21" s="473"/>
      <c r="R21" s="151"/>
    </row>
    <row r="22" spans="4:18" x14ac:dyDescent="0.25">
      <c r="D22" s="146" t="s">
        <v>3903</v>
      </c>
      <c r="E22" s="145" t="s">
        <v>3887</v>
      </c>
      <c r="F22" s="146"/>
      <c r="G22" s="145"/>
      <c r="H22" s="146"/>
      <c r="I22" s="146"/>
      <c r="J22" s="145" t="str">
        <f t="shared" si="0"/>
        <v/>
      </c>
      <c r="K22" s="146"/>
      <c r="L22" s="146"/>
      <c r="M22" s="146"/>
      <c r="N22" s="146"/>
      <c r="O22" s="145" t="s">
        <v>3904</v>
      </c>
      <c r="P22" s="152"/>
      <c r="Q22" s="473"/>
      <c r="R22" s="151"/>
    </row>
    <row r="23" spans="4:18" x14ac:dyDescent="0.25">
      <c r="D23" s="146" t="s">
        <v>3905</v>
      </c>
      <c r="E23" s="145" t="s">
        <v>3887</v>
      </c>
      <c r="F23" s="146"/>
      <c r="G23" s="145"/>
      <c r="H23" s="146"/>
      <c r="I23" s="146"/>
      <c r="J23" s="145" t="str">
        <f t="shared" si="0"/>
        <v/>
      </c>
      <c r="K23" s="146"/>
      <c r="L23" s="146"/>
      <c r="M23" s="146"/>
      <c r="N23" s="146"/>
      <c r="O23" s="145" t="s">
        <v>3906</v>
      </c>
      <c r="P23" s="152"/>
      <c r="Q23" s="473"/>
      <c r="R23" s="151"/>
    </row>
    <row r="24" spans="4:18" x14ac:dyDescent="0.25">
      <c r="D24" s="146" t="s">
        <v>3907</v>
      </c>
      <c r="E24" s="145" t="s">
        <v>3908</v>
      </c>
      <c r="F24" s="146"/>
      <c r="G24" s="145"/>
      <c r="H24" s="146"/>
      <c r="I24" s="146"/>
      <c r="J24" s="145" t="str">
        <f t="shared" si="0"/>
        <v/>
      </c>
      <c r="K24" s="146"/>
      <c r="L24" s="146"/>
      <c r="M24" s="146"/>
      <c r="N24" s="146"/>
      <c r="O24" s="145" t="s">
        <v>3909</v>
      </c>
      <c r="P24" s="152"/>
      <c r="Q24" s="473"/>
      <c r="R24" s="151"/>
    </row>
    <row r="25" spans="4:18" x14ac:dyDescent="0.25">
      <c r="D25" s="146" t="s">
        <v>3910</v>
      </c>
      <c r="E25" s="145" t="s">
        <v>3908</v>
      </c>
      <c r="F25" s="146"/>
      <c r="G25" s="145"/>
      <c r="H25" s="146"/>
      <c r="I25" s="146"/>
      <c r="J25" s="145" t="str">
        <f t="shared" si="0"/>
        <v/>
      </c>
      <c r="K25" s="146"/>
      <c r="L25" s="146"/>
      <c r="M25" s="146"/>
      <c r="N25" s="146"/>
      <c r="O25" s="145" t="s">
        <v>3911</v>
      </c>
      <c r="P25" s="152"/>
      <c r="Q25" s="473"/>
      <c r="R25" s="151"/>
    </row>
    <row r="26" spans="4:18" x14ac:dyDescent="0.25">
      <c r="D26" s="146" t="s">
        <v>3912</v>
      </c>
      <c r="E26" s="145" t="s">
        <v>3908</v>
      </c>
      <c r="F26" s="146"/>
      <c r="G26" s="145"/>
      <c r="H26" s="146"/>
      <c r="I26" s="146"/>
      <c r="J26" s="145" t="str">
        <f t="shared" si="0"/>
        <v/>
      </c>
      <c r="K26" s="146"/>
      <c r="L26" s="146"/>
      <c r="M26" s="146"/>
      <c r="N26" s="146"/>
      <c r="O26" s="145" t="s">
        <v>3913</v>
      </c>
      <c r="P26" s="152"/>
      <c r="Q26" s="473"/>
      <c r="R26" s="151"/>
    </row>
    <row r="27" spans="4:18" x14ac:dyDescent="0.25">
      <c r="D27" s="146" t="s">
        <v>3914</v>
      </c>
      <c r="E27" s="145" t="s">
        <v>3908</v>
      </c>
      <c r="F27" s="146"/>
      <c r="G27" s="145"/>
      <c r="H27" s="146"/>
      <c r="I27" s="146"/>
      <c r="J27" s="145" t="str">
        <f t="shared" si="0"/>
        <v/>
      </c>
      <c r="K27" s="146"/>
      <c r="L27" s="146"/>
      <c r="M27" s="146"/>
      <c r="N27" s="146"/>
      <c r="O27" s="145" t="s">
        <v>3915</v>
      </c>
      <c r="P27" s="152"/>
      <c r="Q27" s="473"/>
      <c r="R27" s="151"/>
    </row>
    <row r="28" spans="4:18" x14ac:dyDescent="0.25">
      <c r="D28" s="146" t="s">
        <v>3916</v>
      </c>
      <c r="E28" s="145" t="s">
        <v>3908</v>
      </c>
      <c r="F28" s="146"/>
      <c r="G28" s="145"/>
      <c r="H28" s="146"/>
      <c r="I28" s="146"/>
      <c r="J28" s="145" t="str">
        <f t="shared" si="0"/>
        <v/>
      </c>
      <c r="K28" s="146"/>
      <c r="L28" s="146"/>
      <c r="M28" s="146"/>
      <c r="N28" s="146"/>
      <c r="O28" s="145" t="s">
        <v>3917</v>
      </c>
      <c r="P28" s="152"/>
      <c r="Q28" s="473"/>
      <c r="R28" s="151"/>
    </row>
    <row r="29" spans="4:18" x14ac:dyDescent="0.25">
      <c r="D29" s="146" t="s">
        <v>3918</v>
      </c>
      <c r="E29" s="145" t="s">
        <v>3908</v>
      </c>
      <c r="F29" s="146"/>
      <c r="G29" s="145"/>
      <c r="H29" s="146"/>
      <c r="I29" s="146"/>
      <c r="J29" s="145" t="str">
        <f t="shared" si="0"/>
        <v/>
      </c>
      <c r="K29" s="146"/>
      <c r="L29" s="146"/>
      <c r="M29" s="146"/>
      <c r="N29" s="146"/>
      <c r="O29" s="145" t="s">
        <v>3919</v>
      </c>
      <c r="P29" s="152"/>
      <c r="Q29" s="473"/>
      <c r="R29" s="151"/>
    </row>
    <row r="30" spans="4:18" x14ac:dyDescent="0.25">
      <c r="D30" s="146" t="s">
        <v>3920</v>
      </c>
      <c r="E30" s="145" t="s">
        <v>3908</v>
      </c>
      <c r="F30" s="146"/>
      <c r="G30" s="145"/>
      <c r="H30" s="146"/>
      <c r="I30" s="146"/>
      <c r="J30" s="145" t="str">
        <f t="shared" si="0"/>
        <v/>
      </c>
      <c r="K30" s="146"/>
      <c r="L30" s="146"/>
      <c r="M30" s="146"/>
      <c r="N30" s="146"/>
      <c r="O30" s="145" t="s">
        <v>3921</v>
      </c>
      <c r="P30" s="152"/>
      <c r="Q30" s="473"/>
      <c r="R30" s="151"/>
    </row>
    <row r="31" spans="4:18" x14ac:dyDescent="0.25">
      <c r="D31" s="146" t="s">
        <v>3922</v>
      </c>
      <c r="E31" s="145" t="s">
        <v>3908</v>
      </c>
      <c r="F31" s="146"/>
      <c r="G31" s="145"/>
      <c r="H31" s="146"/>
      <c r="I31" s="146"/>
      <c r="J31" s="145" t="str">
        <f t="shared" si="0"/>
        <v/>
      </c>
      <c r="K31" s="146"/>
      <c r="L31" s="146"/>
      <c r="M31" s="146"/>
      <c r="N31" s="146"/>
      <c r="O31" s="145" t="s">
        <v>3923</v>
      </c>
      <c r="P31" s="152"/>
      <c r="Q31" s="473"/>
      <c r="R31" s="151"/>
    </row>
    <row r="32" spans="4:18" x14ac:dyDescent="0.25">
      <c r="D32" s="146" t="s">
        <v>3924</v>
      </c>
      <c r="E32" s="145" t="s">
        <v>3908</v>
      </c>
      <c r="F32" s="146"/>
      <c r="G32" s="145"/>
      <c r="H32" s="146"/>
      <c r="I32" s="146"/>
      <c r="J32" s="145" t="str">
        <f t="shared" si="0"/>
        <v/>
      </c>
      <c r="K32" s="146"/>
      <c r="L32" s="146"/>
      <c r="M32" s="146"/>
      <c r="N32" s="146"/>
      <c r="O32" s="145" t="s">
        <v>3925</v>
      </c>
      <c r="P32" s="152"/>
      <c r="Q32" s="473"/>
      <c r="R32" s="151"/>
    </row>
    <row r="33" spans="4:18" x14ac:dyDescent="0.25">
      <c r="D33" s="146" t="s">
        <v>3926</v>
      </c>
      <c r="E33" s="145" t="s">
        <v>3908</v>
      </c>
      <c r="F33" s="146"/>
      <c r="G33" s="145"/>
      <c r="H33" s="146"/>
      <c r="I33" s="146"/>
      <c r="J33" s="145" t="str">
        <f t="shared" si="0"/>
        <v/>
      </c>
      <c r="K33" s="146"/>
      <c r="L33" s="146"/>
      <c r="M33" s="146"/>
      <c r="N33" s="146"/>
      <c r="O33" s="145" t="s">
        <v>3927</v>
      </c>
      <c r="P33" s="152"/>
      <c r="Q33" s="473"/>
      <c r="R33" s="151"/>
    </row>
    <row r="34" spans="4:18" x14ac:dyDescent="0.25">
      <c r="D34" s="146" t="s">
        <v>3928</v>
      </c>
      <c r="E34" s="145" t="s">
        <v>3929</v>
      </c>
      <c r="F34" s="146"/>
      <c r="G34" s="145"/>
      <c r="H34" s="146"/>
      <c r="I34" s="146"/>
      <c r="J34" s="145" t="str">
        <f t="shared" si="0"/>
        <v/>
      </c>
      <c r="K34" s="146"/>
      <c r="L34" s="146"/>
      <c r="M34" s="146"/>
      <c r="N34" s="146"/>
      <c r="O34" s="145" t="s">
        <v>3930</v>
      </c>
      <c r="P34" s="152"/>
      <c r="Q34" s="473"/>
      <c r="R34" s="151"/>
    </row>
    <row r="35" spans="4:18" x14ac:dyDescent="0.25">
      <c r="D35" s="146" t="s">
        <v>3931</v>
      </c>
      <c r="E35" s="145" t="s">
        <v>3929</v>
      </c>
      <c r="F35" s="146"/>
      <c r="G35" s="145"/>
      <c r="H35" s="146"/>
      <c r="I35" s="146"/>
      <c r="J35" s="145" t="str">
        <f t="shared" si="0"/>
        <v/>
      </c>
      <c r="K35" s="146"/>
      <c r="L35" s="146"/>
      <c r="M35" s="146"/>
      <c r="N35" s="146"/>
      <c r="O35" s="145" t="s">
        <v>3932</v>
      </c>
      <c r="P35" s="152"/>
      <c r="Q35" s="473"/>
      <c r="R35" s="151"/>
    </row>
    <row r="36" spans="4:18" x14ac:dyDescent="0.25">
      <c r="D36" s="146" t="s">
        <v>3933</v>
      </c>
      <c r="E36" s="145" t="s">
        <v>3929</v>
      </c>
      <c r="F36" s="146"/>
      <c r="G36" s="145"/>
      <c r="H36" s="146"/>
      <c r="I36" s="146"/>
      <c r="J36" s="145" t="str">
        <f t="shared" si="0"/>
        <v/>
      </c>
      <c r="K36" s="146"/>
      <c r="L36" s="146"/>
      <c r="M36" s="146"/>
      <c r="N36" s="146"/>
      <c r="O36" s="145" t="s">
        <v>3934</v>
      </c>
      <c r="P36" s="152"/>
      <c r="Q36" s="473"/>
      <c r="R36" s="151"/>
    </row>
    <row r="37" spans="4:18" x14ac:dyDescent="0.25">
      <c r="D37" s="146" t="s">
        <v>3935</v>
      </c>
      <c r="E37" s="145" t="s">
        <v>3929</v>
      </c>
      <c r="F37" s="146"/>
      <c r="G37" s="145"/>
      <c r="H37" s="146"/>
      <c r="I37" s="146"/>
      <c r="J37" s="145" t="str">
        <f t="shared" si="0"/>
        <v/>
      </c>
      <c r="K37" s="146"/>
      <c r="L37" s="146"/>
      <c r="M37" s="146"/>
      <c r="N37" s="146"/>
      <c r="O37" s="145" t="s">
        <v>3936</v>
      </c>
      <c r="P37" s="152"/>
      <c r="Q37" s="473"/>
      <c r="R37" s="151"/>
    </row>
    <row r="38" spans="4:18" x14ac:dyDescent="0.25">
      <c r="D38" s="146" t="s">
        <v>3937</v>
      </c>
      <c r="E38" s="145" t="s">
        <v>3929</v>
      </c>
      <c r="F38" s="146"/>
      <c r="G38" s="145"/>
      <c r="H38" s="146"/>
      <c r="I38" s="146"/>
      <c r="J38" s="145" t="str">
        <f t="shared" si="0"/>
        <v/>
      </c>
      <c r="K38" s="146"/>
      <c r="L38" s="146"/>
      <c r="M38" s="146"/>
      <c r="N38" s="146"/>
      <c r="O38" s="145" t="s">
        <v>3938</v>
      </c>
      <c r="P38" s="152"/>
      <c r="Q38" s="473"/>
      <c r="R38" s="151"/>
    </row>
    <row r="39" spans="4:18" x14ac:dyDescent="0.25">
      <c r="D39" s="146" t="s">
        <v>3939</v>
      </c>
      <c r="E39" s="145" t="s">
        <v>3929</v>
      </c>
      <c r="F39" s="146"/>
      <c r="G39" s="145"/>
      <c r="H39" s="146"/>
      <c r="I39" s="146"/>
      <c r="J39" s="145" t="str">
        <f t="shared" si="0"/>
        <v/>
      </c>
      <c r="K39" s="146"/>
      <c r="L39" s="146"/>
      <c r="M39" s="146"/>
      <c r="N39" s="146"/>
      <c r="O39" s="145" t="s">
        <v>3940</v>
      </c>
      <c r="P39" s="152"/>
      <c r="Q39" s="473"/>
      <c r="R39" s="151"/>
    </row>
    <row r="40" spans="4:18" x14ac:dyDescent="0.25">
      <c r="D40" s="146" t="s">
        <v>3941</v>
      </c>
      <c r="E40" s="145" t="s">
        <v>3929</v>
      </c>
      <c r="F40" s="146"/>
      <c r="G40" s="145"/>
      <c r="H40" s="146"/>
      <c r="I40" s="146"/>
      <c r="J40" s="145" t="str">
        <f t="shared" si="0"/>
        <v/>
      </c>
      <c r="K40" s="146"/>
      <c r="L40" s="146"/>
      <c r="M40" s="146"/>
      <c r="N40" s="146"/>
      <c r="O40" s="145" t="s">
        <v>3942</v>
      </c>
      <c r="P40" s="152"/>
      <c r="Q40" s="473"/>
      <c r="R40" s="151"/>
    </row>
    <row r="41" spans="4:18" x14ac:dyDescent="0.25">
      <c r="D41" s="146" t="s">
        <v>3943</v>
      </c>
      <c r="E41" s="145" t="s">
        <v>3929</v>
      </c>
      <c r="F41" s="146"/>
      <c r="G41" s="145"/>
      <c r="H41" s="146"/>
      <c r="I41" s="146"/>
      <c r="J41" s="145" t="str">
        <f t="shared" si="0"/>
        <v/>
      </c>
      <c r="K41" s="146"/>
      <c r="L41" s="146"/>
      <c r="M41" s="146"/>
      <c r="N41" s="146"/>
      <c r="O41" s="145" t="s">
        <v>3944</v>
      </c>
      <c r="P41" s="152"/>
      <c r="Q41" s="473"/>
      <c r="R41" s="151"/>
    </row>
    <row r="42" spans="4:18" x14ac:dyDescent="0.25">
      <c r="D42" s="146" t="s">
        <v>3945</v>
      </c>
      <c r="E42" s="145" t="s">
        <v>3929</v>
      </c>
      <c r="F42" s="146"/>
      <c r="G42" s="145"/>
      <c r="H42" s="146"/>
      <c r="I42" s="146"/>
      <c r="J42" s="145" t="str">
        <f t="shared" si="0"/>
        <v/>
      </c>
      <c r="K42" s="146"/>
      <c r="L42" s="146"/>
      <c r="M42" s="146"/>
      <c r="N42" s="146"/>
      <c r="O42" s="145" t="s">
        <v>3946</v>
      </c>
      <c r="P42" s="152"/>
      <c r="Q42" s="473"/>
      <c r="R42" s="151"/>
    </row>
    <row r="43" spans="4:18" x14ac:dyDescent="0.25">
      <c r="D43" s="146" t="s">
        <v>3947</v>
      </c>
      <c r="E43" s="145" t="s">
        <v>3929</v>
      </c>
      <c r="F43" s="146"/>
      <c r="G43" s="145"/>
      <c r="H43" s="146"/>
      <c r="I43" s="146"/>
      <c r="J43" s="145" t="str">
        <f t="shared" si="0"/>
        <v/>
      </c>
      <c r="K43" s="146"/>
      <c r="L43" s="146"/>
      <c r="M43" s="146"/>
      <c r="N43" s="146"/>
      <c r="O43" s="145" t="s">
        <v>3948</v>
      </c>
      <c r="P43" s="152"/>
      <c r="Q43" s="473"/>
      <c r="R43" s="151"/>
    </row>
    <row r="44" spans="4:18" x14ac:dyDescent="0.25">
      <c r="D44" s="146" t="s">
        <v>3949</v>
      </c>
      <c r="E44" s="145" t="s">
        <v>3950</v>
      </c>
      <c r="F44" s="146"/>
      <c r="G44" s="145"/>
      <c r="H44" s="146"/>
      <c r="I44" s="146"/>
      <c r="J44" s="145" t="str">
        <f t="shared" si="0"/>
        <v/>
      </c>
      <c r="K44" s="146"/>
      <c r="L44" s="146"/>
      <c r="M44" s="146"/>
      <c r="N44" s="146"/>
      <c r="O44" s="145" t="s">
        <v>3951</v>
      </c>
      <c r="P44" s="152"/>
      <c r="Q44" s="473"/>
      <c r="R44" s="151"/>
    </row>
    <row r="45" spans="4:18" x14ac:dyDescent="0.25">
      <c r="D45" s="146" t="s">
        <v>3952</v>
      </c>
      <c r="E45" s="145" t="s">
        <v>3950</v>
      </c>
      <c r="F45" s="146"/>
      <c r="G45" s="145"/>
      <c r="H45" s="146"/>
      <c r="I45" s="146"/>
      <c r="J45" s="145" t="str">
        <f t="shared" si="0"/>
        <v/>
      </c>
      <c r="K45" s="146"/>
      <c r="L45" s="146"/>
      <c r="M45" s="146"/>
      <c r="N45" s="146"/>
      <c r="O45" s="145" t="s">
        <v>3953</v>
      </c>
      <c r="P45" s="152"/>
      <c r="Q45" s="473"/>
      <c r="R45" s="151"/>
    </row>
    <row r="46" spans="4:18" x14ac:dyDescent="0.25">
      <c r="D46" s="146" t="s">
        <v>3954</v>
      </c>
      <c r="E46" s="145" t="s">
        <v>3950</v>
      </c>
      <c r="F46" s="146"/>
      <c r="G46" s="145"/>
      <c r="H46" s="146"/>
      <c r="I46" s="146"/>
      <c r="J46" s="145" t="str">
        <f t="shared" si="0"/>
        <v/>
      </c>
      <c r="K46" s="146"/>
      <c r="L46" s="146"/>
      <c r="M46" s="146"/>
      <c r="N46" s="146"/>
      <c r="O46" s="145" t="s">
        <v>3955</v>
      </c>
      <c r="P46" s="152"/>
      <c r="Q46" s="473"/>
      <c r="R46" s="151"/>
    </row>
    <row r="47" spans="4:18" x14ac:dyDescent="0.25">
      <c r="D47" s="146" t="s">
        <v>3956</v>
      </c>
      <c r="E47" s="145" t="s">
        <v>3950</v>
      </c>
      <c r="F47" s="146"/>
      <c r="G47" s="145"/>
      <c r="H47" s="146"/>
      <c r="I47" s="146"/>
      <c r="J47" s="145" t="str">
        <f t="shared" si="0"/>
        <v/>
      </c>
      <c r="K47" s="146"/>
      <c r="L47" s="146"/>
      <c r="M47" s="146"/>
      <c r="N47" s="146"/>
      <c r="O47" s="145" t="s">
        <v>3957</v>
      </c>
      <c r="P47" s="152"/>
      <c r="Q47" s="473"/>
      <c r="R47" s="151"/>
    </row>
    <row r="48" spans="4:18" x14ac:dyDescent="0.25">
      <c r="D48" s="146" t="s">
        <v>3958</v>
      </c>
      <c r="E48" s="145" t="s">
        <v>3950</v>
      </c>
      <c r="F48" s="146"/>
      <c r="G48" s="145"/>
      <c r="H48" s="146"/>
      <c r="I48" s="146"/>
      <c r="J48" s="145" t="str">
        <f t="shared" si="0"/>
        <v/>
      </c>
      <c r="K48" s="146"/>
      <c r="L48" s="146"/>
      <c r="M48" s="146"/>
      <c r="N48" s="146"/>
      <c r="O48" s="145" t="s">
        <v>3959</v>
      </c>
      <c r="P48" s="152"/>
      <c r="Q48" s="473"/>
      <c r="R48" s="151"/>
    </row>
    <row r="49" spans="4:18" x14ac:dyDescent="0.25">
      <c r="D49" s="146" t="s">
        <v>3960</v>
      </c>
      <c r="E49" s="145" t="s">
        <v>3950</v>
      </c>
      <c r="F49" s="146"/>
      <c r="G49" s="145"/>
      <c r="H49" s="146"/>
      <c r="I49" s="146"/>
      <c r="J49" s="145" t="str">
        <f t="shared" si="0"/>
        <v/>
      </c>
      <c r="K49" s="146"/>
      <c r="L49" s="146"/>
      <c r="M49" s="146"/>
      <c r="N49" s="146"/>
      <c r="O49" s="145" t="s">
        <v>3961</v>
      </c>
      <c r="P49" s="152"/>
      <c r="Q49" s="473"/>
      <c r="R49" s="151"/>
    </row>
    <row r="50" spans="4:18" x14ac:dyDescent="0.25">
      <c r="D50" s="146" t="s">
        <v>3962</v>
      </c>
      <c r="E50" s="145" t="s">
        <v>3950</v>
      </c>
      <c r="F50" s="146"/>
      <c r="G50" s="145"/>
      <c r="H50" s="146"/>
      <c r="I50" s="146"/>
      <c r="J50" s="145" t="str">
        <f t="shared" si="0"/>
        <v/>
      </c>
      <c r="K50" s="146"/>
      <c r="L50" s="146"/>
      <c r="M50" s="146"/>
      <c r="N50" s="146"/>
      <c r="O50" s="145" t="s">
        <v>3963</v>
      </c>
      <c r="P50" s="152"/>
      <c r="Q50" s="473"/>
      <c r="R50" s="151"/>
    </row>
    <row r="51" spans="4:18" x14ac:dyDescent="0.25">
      <c r="D51" s="146" t="s">
        <v>3964</v>
      </c>
      <c r="E51" s="145" t="s">
        <v>3950</v>
      </c>
      <c r="F51" s="146"/>
      <c r="G51" s="145"/>
      <c r="H51" s="146"/>
      <c r="I51" s="146"/>
      <c r="J51" s="145" t="str">
        <f t="shared" si="0"/>
        <v/>
      </c>
      <c r="K51" s="146"/>
      <c r="L51" s="146"/>
      <c r="M51" s="146"/>
      <c r="N51" s="146"/>
      <c r="O51" s="145" t="s">
        <v>3965</v>
      </c>
      <c r="P51" s="152"/>
      <c r="Q51" s="473"/>
      <c r="R51" s="151"/>
    </row>
    <row r="52" spans="4:18" x14ac:dyDescent="0.25">
      <c r="D52" s="146" t="s">
        <v>3966</v>
      </c>
      <c r="E52" s="145" t="s">
        <v>3950</v>
      </c>
      <c r="F52" s="146"/>
      <c r="G52" s="145"/>
      <c r="H52" s="146"/>
      <c r="I52" s="146"/>
      <c r="J52" s="145" t="str">
        <f t="shared" si="0"/>
        <v/>
      </c>
      <c r="K52" s="146"/>
      <c r="L52" s="146"/>
      <c r="M52" s="146"/>
      <c r="N52" s="146"/>
      <c r="O52" s="145" t="s">
        <v>3967</v>
      </c>
      <c r="P52" s="152"/>
      <c r="Q52" s="473"/>
      <c r="R52" s="151"/>
    </row>
    <row r="53" spans="4:18" x14ac:dyDescent="0.25">
      <c r="D53" s="146" t="s">
        <v>3968</v>
      </c>
      <c r="E53" s="145" t="s">
        <v>3950</v>
      </c>
      <c r="F53" s="146"/>
      <c r="G53" s="145"/>
      <c r="H53" s="146"/>
      <c r="I53" s="146"/>
      <c r="J53" s="145" t="str">
        <f t="shared" si="0"/>
        <v/>
      </c>
      <c r="K53" s="146"/>
      <c r="L53" s="146"/>
      <c r="M53" s="146"/>
      <c r="N53" s="146"/>
      <c r="O53" s="145" t="s">
        <v>3969</v>
      </c>
      <c r="P53" s="152"/>
      <c r="Q53" s="473"/>
      <c r="R53" s="151"/>
    </row>
    <row r="54" spans="4:18" x14ac:dyDescent="0.25">
      <c r="D54" s="146" t="s">
        <v>3970</v>
      </c>
      <c r="E54" s="145" t="s">
        <v>3971</v>
      </c>
      <c r="F54" s="146"/>
      <c r="G54" s="145"/>
      <c r="H54" s="146"/>
      <c r="I54" s="146"/>
      <c r="J54" s="145" t="str">
        <f t="shared" si="0"/>
        <v/>
      </c>
      <c r="K54" s="146"/>
      <c r="L54" s="146"/>
      <c r="M54" s="146"/>
      <c r="N54" s="146"/>
      <c r="O54" s="145" t="s">
        <v>3972</v>
      </c>
      <c r="P54" s="152"/>
      <c r="Q54" s="473"/>
      <c r="R54" s="151"/>
    </row>
    <row r="55" spans="4:18" x14ac:dyDescent="0.25">
      <c r="D55" s="146" t="s">
        <v>3973</v>
      </c>
      <c r="E55" s="145" t="s">
        <v>3971</v>
      </c>
      <c r="F55" s="146"/>
      <c r="G55" s="145"/>
      <c r="H55" s="146"/>
      <c r="I55" s="146"/>
      <c r="J55" s="145" t="str">
        <f t="shared" si="0"/>
        <v/>
      </c>
      <c r="K55" s="146"/>
      <c r="L55" s="146"/>
      <c r="M55" s="146"/>
      <c r="N55" s="146"/>
      <c r="O55" s="145" t="s">
        <v>3974</v>
      </c>
      <c r="P55" s="152"/>
      <c r="Q55" s="473"/>
      <c r="R55" s="151"/>
    </row>
    <row r="56" spans="4:18" x14ac:dyDescent="0.25">
      <c r="D56" s="146" t="s">
        <v>3975</v>
      </c>
      <c r="E56" s="145" t="s">
        <v>3971</v>
      </c>
      <c r="F56" s="146"/>
      <c r="G56" s="145"/>
      <c r="H56" s="146"/>
      <c r="I56" s="146"/>
      <c r="J56" s="145" t="str">
        <f t="shared" si="0"/>
        <v/>
      </c>
      <c r="K56" s="146"/>
      <c r="L56" s="146"/>
      <c r="M56" s="146"/>
      <c r="N56" s="146"/>
      <c r="O56" s="145" t="s">
        <v>3976</v>
      </c>
      <c r="P56" s="152"/>
      <c r="Q56" s="473"/>
      <c r="R56" s="151"/>
    </row>
    <row r="57" spans="4:18" x14ac:dyDescent="0.25">
      <c r="D57" s="146" t="s">
        <v>3977</v>
      </c>
      <c r="E57" s="145" t="s">
        <v>3971</v>
      </c>
      <c r="F57" s="146"/>
      <c r="G57" s="145"/>
      <c r="H57" s="146"/>
      <c r="I57" s="146"/>
      <c r="J57" s="145" t="str">
        <f t="shared" si="0"/>
        <v/>
      </c>
      <c r="K57" s="146"/>
      <c r="L57" s="146"/>
      <c r="M57" s="146"/>
      <c r="N57" s="146"/>
      <c r="O57" s="145" t="s">
        <v>3978</v>
      </c>
      <c r="P57" s="152"/>
      <c r="Q57" s="473"/>
      <c r="R57" s="151"/>
    </row>
    <row r="58" spans="4:18" x14ac:dyDescent="0.25">
      <c r="D58" s="146" t="s">
        <v>3979</v>
      </c>
      <c r="E58" s="145" t="s">
        <v>3971</v>
      </c>
      <c r="F58" s="146"/>
      <c r="G58" s="145"/>
      <c r="H58" s="146"/>
      <c r="I58" s="146"/>
      <c r="J58" s="145" t="str">
        <f t="shared" si="0"/>
        <v/>
      </c>
      <c r="K58" s="146"/>
      <c r="L58" s="146"/>
      <c r="M58" s="146"/>
      <c r="N58" s="146"/>
      <c r="O58" s="145" t="s">
        <v>3980</v>
      </c>
      <c r="P58" s="152"/>
      <c r="Q58" s="473"/>
      <c r="R58" s="151"/>
    </row>
    <row r="59" spans="4:18" x14ac:dyDescent="0.25">
      <c r="D59" s="146" t="s">
        <v>3981</v>
      </c>
      <c r="E59" s="145" t="s">
        <v>3971</v>
      </c>
      <c r="F59" s="146"/>
      <c r="G59" s="145"/>
      <c r="H59" s="146"/>
      <c r="I59" s="146"/>
      <c r="J59" s="145" t="str">
        <f t="shared" si="0"/>
        <v/>
      </c>
      <c r="K59" s="146"/>
      <c r="L59" s="146"/>
      <c r="M59" s="146"/>
      <c r="N59" s="146"/>
      <c r="O59" s="145" t="s">
        <v>3982</v>
      </c>
      <c r="P59" s="152"/>
      <c r="Q59" s="473"/>
      <c r="R59" s="151"/>
    </row>
    <row r="60" spans="4:18" x14ac:dyDescent="0.25">
      <c r="D60" s="146" t="s">
        <v>3983</v>
      </c>
      <c r="E60" s="145" t="s">
        <v>3971</v>
      </c>
      <c r="F60" s="146"/>
      <c r="G60" s="145"/>
      <c r="H60" s="146"/>
      <c r="I60" s="146"/>
      <c r="J60" s="145" t="str">
        <f t="shared" si="0"/>
        <v/>
      </c>
      <c r="K60" s="146"/>
      <c r="L60" s="146"/>
      <c r="M60" s="146"/>
      <c r="N60" s="146"/>
      <c r="O60" s="145" t="s">
        <v>3984</v>
      </c>
      <c r="P60" s="152"/>
      <c r="Q60" s="473"/>
      <c r="R60" s="151"/>
    </row>
    <row r="61" spans="4:18" x14ac:dyDescent="0.25">
      <c r="D61" s="146" t="s">
        <v>3985</v>
      </c>
      <c r="E61" s="145" t="s">
        <v>3971</v>
      </c>
      <c r="F61" s="146"/>
      <c r="G61" s="145"/>
      <c r="H61" s="146"/>
      <c r="I61" s="146"/>
      <c r="J61" s="145" t="str">
        <f t="shared" si="0"/>
        <v/>
      </c>
      <c r="K61" s="146"/>
      <c r="L61" s="146"/>
      <c r="M61" s="146"/>
      <c r="N61" s="146"/>
      <c r="O61" s="145" t="s">
        <v>3986</v>
      </c>
      <c r="P61" s="152"/>
      <c r="Q61" s="473"/>
      <c r="R61" s="151"/>
    </row>
    <row r="62" spans="4:18" x14ac:dyDescent="0.25">
      <c r="D62" s="146" t="s">
        <v>3987</v>
      </c>
      <c r="E62" s="145" t="s">
        <v>3971</v>
      </c>
      <c r="F62" s="146"/>
      <c r="G62" s="145"/>
      <c r="H62" s="146"/>
      <c r="I62" s="146"/>
      <c r="J62" s="145" t="str">
        <f t="shared" si="0"/>
        <v/>
      </c>
      <c r="K62" s="146"/>
      <c r="L62" s="146"/>
      <c r="M62" s="146"/>
      <c r="N62" s="146"/>
      <c r="O62" s="145" t="s">
        <v>3988</v>
      </c>
      <c r="P62" s="152"/>
      <c r="Q62" s="473"/>
      <c r="R62" s="151"/>
    </row>
    <row r="63" spans="4:18" x14ac:dyDescent="0.25">
      <c r="D63" s="146" t="s">
        <v>3989</v>
      </c>
      <c r="E63" s="145" t="s">
        <v>3971</v>
      </c>
      <c r="F63" s="146"/>
      <c r="G63" s="145"/>
      <c r="H63" s="146"/>
      <c r="I63" s="146"/>
      <c r="J63" s="145" t="str">
        <f t="shared" si="0"/>
        <v/>
      </c>
      <c r="K63" s="146"/>
      <c r="L63" s="146"/>
      <c r="M63" s="146"/>
      <c r="N63" s="146"/>
      <c r="O63" s="145" t="s">
        <v>3990</v>
      </c>
      <c r="P63" s="152"/>
      <c r="Q63" s="473"/>
      <c r="R63" s="151"/>
    </row>
    <row r="64" spans="4:18" x14ac:dyDescent="0.25">
      <c r="D64" s="146" t="s">
        <v>3991</v>
      </c>
      <c r="E64" s="145" t="s">
        <v>3992</v>
      </c>
      <c r="F64" s="146"/>
      <c r="G64" s="145"/>
      <c r="H64" s="146"/>
      <c r="I64" s="146"/>
      <c r="J64" s="145" t="str">
        <f t="shared" si="0"/>
        <v/>
      </c>
      <c r="K64" s="146"/>
      <c r="L64" s="146"/>
      <c r="M64" s="146"/>
      <c r="N64" s="146"/>
      <c r="O64" s="145" t="s">
        <v>3993</v>
      </c>
      <c r="P64" s="152"/>
      <c r="Q64" s="473"/>
      <c r="R64" s="151"/>
    </row>
    <row r="65" spans="4:18" x14ac:dyDescent="0.25">
      <c r="D65" s="146" t="s">
        <v>3994</v>
      </c>
      <c r="E65" s="145" t="s">
        <v>3992</v>
      </c>
      <c r="F65" s="146"/>
      <c r="G65" s="145"/>
      <c r="H65" s="146"/>
      <c r="I65" s="146"/>
      <c r="J65" s="145" t="str">
        <f t="shared" si="0"/>
        <v/>
      </c>
      <c r="K65" s="146"/>
      <c r="L65" s="146"/>
      <c r="M65" s="146"/>
      <c r="N65" s="146"/>
      <c r="O65" s="145" t="s">
        <v>3995</v>
      </c>
      <c r="P65" s="152"/>
      <c r="Q65" s="473"/>
      <c r="R65" s="151"/>
    </row>
    <row r="66" spans="4:18" x14ac:dyDescent="0.25">
      <c r="D66" s="146" t="s">
        <v>3996</v>
      </c>
      <c r="E66" s="145" t="s">
        <v>3992</v>
      </c>
      <c r="F66" s="146"/>
      <c r="G66" s="145"/>
      <c r="H66" s="146"/>
      <c r="I66" s="146"/>
      <c r="J66" s="145" t="str">
        <f t="shared" si="0"/>
        <v/>
      </c>
      <c r="K66" s="146"/>
      <c r="L66" s="146"/>
      <c r="M66" s="146"/>
      <c r="N66" s="146"/>
      <c r="O66" s="145" t="s">
        <v>3997</v>
      </c>
      <c r="P66" s="152"/>
      <c r="Q66" s="473"/>
      <c r="R66" s="151"/>
    </row>
    <row r="67" spans="4:18" x14ac:dyDescent="0.25">
      <c r="D67" s="146" t="s">
        <v>3998</v>
      </c>
      <c r="E67" s="145" t="s">
        <v>3992</v>
      </c>
      <c r="F67" s="146"/>
      <c r="G67" s="145"/>
      <c r="H67" s="146"/>
      <c r="I67" s="146"/>
      <c r="J67" s="145" t="str">
        <f t="shared" si="0"/>
        <v/>
      </c>
      <c r="K67" s="146"/>
      <c r="L67" s="146"/>
      <c r="M67" s="146"/>
      <c r="N67" s="146"/>
      <c r="O67" s="145" t="s">
        <v>3999</v>
      </c>
      <c r="P67" s="152"/>
      <c r="Q67" s="473"/>
      <c r="R67" s="151"/>
    </row>
    <row r="68" spans="4:18" x14ac:dyDescent="0.25">
      <c r="D68" s="146" t="s">
        <v>4000</v>
      </c>
      <c r="E68" s="145" t="s">
        <v>3992</v>
      </c>
      <c r="F68" s="146"/>
      <c r="G68" s="145"/>
      <c r="H68" s="146"/>
      <c r="I68" s="146"/>
      <c r="J68" s="145" t="str">
        <f t="shared" ref="J68:J131" si="1">F68&amp;H68&amp;I68</f>
        <v/>
      </c>
      <c r="K68" s="146"/>
      <c r="L68" s="146"/>
      <c r="M68" s="146"/>
      <c r="N68" s="146"/>
      <c r="O68" s="145" t="s">
        <v>4001</v>
      </c>
      <c r="P68" s="152"/>
      <c r="Q68" s="473"/>
      <c r="R68" s="151"/>
    </row>
    <row r="69" spans="4:18" x14ac:dyDescent="0.25">
      <c r="D69" s="146" t="s">
        <v>4002</v>
      </c>
      <c r="E69" s="145" t="s">
        <v>3992</v>
      </c>
      <c r="F69" s="146"/>
      <c r="G69" s="145"/>
      <c r="H69" s="146"/>
      <c r="I69" s="146"/>
      <c r="J69" s="145" t="str">
        <f t="shared" si="1"/>
        <v/>
      </c>
      <c r="K69" s="146"/>
      <c r="L69" s="146"/>
      <c r="M69" s="146"/>
      <c r="N69" s="146"/>
      <c r="O69" s="145" t="s">
        <v>4003</v>
      </c>
      <c r="P69" s="152"/>
      <c r="Q69" s="473"/>
      <c r="R69" s="151"/>
    </row>
    <row r="70" spans="4:18" x14ac:dyDescent="0.25">
      <c r="D70" s="146" t="s">
        <v>4004</v>
      </c>
      <c r="E70" s="145" t="s">
        <v>3992</v>
      </c>
      <c r="F70" s="146"/>
      <c r="G70" s="145"/>
      <c r="H70" s="146"/>
      <c r="I70" s="146"/>
      <c r="J70" s="145" t="str">
        <f t="shared" si="1"/>
        <v/>
      </c>
      <c r="K70" s="146"/>
      <c r="L70" s="146"/>
      <c r="M70" s="146"/>
      <c r="N70" s="146"/>
      <c r="O70" s="145" t="s">
        <v>4005</v>
      </c>
      <c r="P70" s="152"/>
      <c r="Q70" s="473"/>
      <c r="R70" s="151"/>
    </row>
    <row r="71" spans="4:18" x14ac:dyDescent="0.25">
      <c r="D71" s="146" t="s">
        <v>4006</v>
      </c>
      <c r="E71" s="145" t="s">
        <v>3992</v>
      </c>
      <c r="F71" s="146"/>
      <c r="G71" s="145"/>
      <c r="H71" s="146"/>
      <c r="I71" s="146"/>
      <c r="J71" s="145" t="str">
        <f t="shared" si="1"/>
        <v/>
      </c>
      <c r="K71" s="146"/>
      <c r="L71" s="146"/>
      <c r="M71" s="146"/>
      <c r="N71" s="146"/>
      <c r="O71" s="145" t="s">
        <v>4007</v>
      </c>
      <c r="P71" s="152"/>
      <c r="Q71" s="473"/>
      <c r="R71" s="151"/>
    </row>
    <row r="72" spans="4:18" x14ac:dyDescent="0.25">
      <c r="D72" s="146" t="s">
        <v>4008</v>
      </c>
      <c r="E72" s="145" t="s">
        <v>3992</v>
      </c>
      <c r="F72" s="146"/>
      <c r="G72" s="145"/>
      <c r="H72" s="146"/>
      <c r="I72" s="146"/>
      <c r="J72" s="145" t="str">
        <f t="shared" si="1"/>
        <v/>
      </c>
      <c r="K72" s="146"/>
      <c r="L72" s="146"/>
      <c r="M72" s="146"/>
      <c r="N72" s="146"/>
      <c r="O72" s="145" t="s">
        <v>4009</v>
      </c>
      <c r="P72" s="152"/>
      <c r="Q72" s="473"/>
      <c r="R72" s="151"/>
    </row>
    <row r="73" spans="4:18" x14ac:dyDescent="0.25">
      <c r="D73" s="146" t="s">
        <v>4010</v>
      </c>
      <c r="E73" s="145" t="s">
        <v>3992</v>
      </c>
      <c r="F73" s="146"/>
      <c r="G73" s="145"/>
      <c r="H73" s="146"/>
      <c r="I73" s="146"/>
      <c r="J73" s="145" t="str">
        <f t="shared" si="1"/>
        <v/>
      </c>
      <c r="K73" s="146"/>
      <c r="L73" s="146"/>
      <c r="M73" s="146"/>
      <c r="N73" s="146"/>
      <c r="O73" s="145" t="s">
        <v>4011</v>
      </c>
      <c r="P73" s="152"/>
      <c r="Q73" s="473"/>
      <c r="R73" s="151"/>
    </row>
    <row r="74" spans="4:18" x14ac:dyDescent="0.25">
      <c r="D74" s="146" t="s">
        <v>4012</v>
      </c>
      <c r="E74" s="145" t="s">
        <v>4013</v>
      </c>
      <c r="F74" s="146"/>
      <c r="G74" s="145"/>
      <c r="H74" s="146"/>
      <c r="I74" s="146"/>
      <c r="J74" s="145" t="str">
        <f t="shared" si="1"/>
        <v/>
      </c>
      <c r="K74" s="146"/>
      <c r="L74" s="146"/>
      <c r="M74" s="146"/>
      <c r="N74" s="146"/>
      <c r="O74" s="145" t="s">
        <v>4014</v>
      </c>
      <c r="P74" s="152"/>
      <c r="Q74" s="473"/>
      <c r="R74" s="151"/>
    </row>
    <row r="75" spans="4:18" x14ac:dyDescent="0.25">
      <c r="D75" s="146" t="s">
        <v>4015</v>
      </c>
      <c r="E75" s="145" t="s">
        <v>4013</v>
      </c>
      <c r="F75" s="146"/>
      <c r="G75" s="145"/>
      <c r="H75" s="146"/>
      <c r="I75" s="146"/>
      <c r="J75" s="145" t="str">
        <f t="shared" si="1"/>
        <v/>
      </c>
      <c r="K75" s="146"/>
      <c r="L75" s="146"/>
      <c r="M75" s="146"/>
      <c r="N75" s="146"/>
      <c r="O75" s="145" t="s">
        <v>4016</v>
      </c>
      <c r="P75" s="152"/>
      <c r="Q75" s="473"/>
      <c r="R75" s="151"/>
    </row>
    <row r="76" spans="4:18" x14ac:dyDescent="0.25">
      <c r="D76" s="146" t="s">
        <v>4017</v>
      </c>
      <c r="E76" s="145" t="s">
        <v>4013</v>
      </c>
      <c r="F76" s="146"/>
      <c r="G76" s="145"/>
      <c r="H76" s="146"/>
      <c r="I76" s="146"/>
      <c r="J76" s="145" t="str">
        <f t="shared" si="1"/>
        <v/>
      </c>
      <c r="K76" s="146"/>
      <c r="L76" s="146"/>
      <c r="M76" s="146"/>
      <c r="N76" s="146"/>
      <c r="O76" s="145" t="s">
        <v>4018</v>
      </c>
      <c r="P76" s="152"/>
      <c r="Q76" s="473"/>
      <c r="R76" s="151"/>
    </row>
    <row r="77" spans="4:18" x14ac:dyDescent="0.25">
      <c r="D77" s="146" t="s">
        <v>4019</v>
      </c>
      <c r="E77" s="145" t="s">
        <v>4013</v>
      </c>
      <c r="F77" s="146"/>
      <c r="G77" s="145"/>
      <c r="H77" s="146"/>
      <c r="I77" s="146"/>
      <c r="J77" s="145" t="str">
        <f t="shared" si="1"/>
        <v/>
      </c>
      <c r="K77" s="146"/>
      <c r="L77" s="146"/>
      <c r="M77" s="146"/>
      <c r="N77" s="146"/>
      <c r="O77" s="145" t="s">
        <v>4020</v>
      </c>
      <c r="P77" s="152"/>
      <c r="Q77" s="473"/>
      <c r="R77" s="151"/>
    </row>
    <row r="78" spans="4:18" x14ac:dyDescent="0.25">
      <c r="D78" s="146" t="s">
        <v>4021</v>
      </c>
      <c r="E78" s="145" t="s">
        <v>4013</v>
      </c>
      <c r="F78" s="146"/>
      <c r="G78" s="145"/>
      <c r="H78" s="146"/>
      <c r="I78" s="146"/>
      <c r="J78" s="145" t="str">
        <f t="shared" si="1"/>
        <v/>
      </c>
      <c r="K78" s="146"/>
      <c r="L78" s="146"/>
      <c r="M78" s="146"/>
      <c r="N78" s="146"/>
      <c r="O78" s="145" t="s">
        <v>4022</v>
      </c>
      <c r="P78" s="152"/>
      <c r="Q78" s="473"/>
      <c r="R78" s="151"/>
    </row>
    <row r="79" spans="4:18" x14ac:dyDescent="0.25">
      <c r="D79" s="146" t="s">
        <v>4023</v>
      </c>
      <c r="E79" s="145" t="s">
        <v>4013</v>
      </c>
      <c r="F79" s="146"/>
      <c r="G79" s="145"/>
      <c r="H79" s="146"/>
      <c r="I79" s="146"/>
      <c r="J79" s="145" t="str">
        <f t="shared" si="1"/>
        <v/>
      </c>
      <c r="K79" s="146"/>
      <c r="L79" s="146"/>
      <c r="M79" s="146"/>
      <c r="N79" s="146"/>
      <c r="O79" s="145" t="s">
        <v>4024</v>
      </c>
      <c r="P79" s="152"/>
      <c r="Q79" s="473"/>
      <c r="R79" s="151"/>
    </row>
    <row r="80" spans="4:18" x14ac:dyDescent="0.25">
      <c r="D80" s="146" t="s">
        <v>4025</v>
      </c>
      <c r="E80" s="145" t="s">
        <v>4013</v>
      </c>
      <c r="F80" s="146"/>
      <c r="G80" s="145"/>
      <c r="H80" s="146"/>
      <c r="I80" s="146"/>
      <c r="J80" s="145" t="str">
        <f t="shared" si="1"/>
        <v/>
      </c>
      <c r="K80" s="146"/>
      <c r="L80" s="146"/>
      <c r="M80" s="146"/>
      <c r="N80" s="146"/>
      <c r="O80" s="145" t="s">
        <v>4026</v>
      </c>
      <c r="P80" s="152"/>
      <c r="Q80" s="473"/>
      <c r="R80" s="151"/>
    </row>
    <row r="81" spans="4:18" x14ac:dyDescent="0.25">
      <c r="D81" s="146" t="s">
        <v>4027</v>
      </c>
      <c r="E81" s="145" t="s">
        <v>4013</v>
      </c>
      <c r="F81" s="146"/>
      <c r="G81" s="145"/>
      <c r="H81" s="146"/>
      <c r="I81" s="146"/>
      <c r="J81" s="145" t="str">
        <f t="shared" si="1"/>
        <v/>
      </c>
      <c r="K81" s="146"/>
      <c r="L81" s="146"/>
      <c r="M81" s="146"/>
      <c r="N81" s="146"/>
      <c r="O81" s="145" t="s">
        <v>4028</v>
      </c>
      <c r="P81" s="152"/>
      <c r="Q81" s="473"/>
      <c r="R81" s="151"/>
    </row>
    <row r="82" spans="4:18" x14ac:dyDescent="0.25">
      <c r="D82" s="146" t="s">
        <v>4029</v>
      </c>
      <c r="E82" s="145" t="s">
        <v>4013</v>
      </c>
      <c r="F82" s="146"/>
      <c r="G82" s="145"/>
      <c r="H82" s="146"/>
      <c r="I82" s="146"/>
      <c r="J82" s="145" t="str">
        <f t="shared" si="1"/>
        <v/>
      </c>
      <c r="K82" s="146"/>
      <c r="L82" s="146"/>
      <c r="M82" s="146"/>
      <c r="N82" s="146"/>
      <c r="O82" s="145" t="s">
        <v>4030</v>
      </c>
      <c r="P82" s="152"/>
      <c r="Q82" s="473"/>
      <c r="R82" s="151"/>
    </row>
    <row r="83" spans="4:18" x14ac:dyDescent="0.25">
      <c r="D83" s="146" t="s">
        <v>4031</v>
      </c>
      <c r="E83" s="145" t="s">
        <v>4013</v>
      </c>
      <c r="F83" s="146"/>
      <c r="G83" s="145"/>
      <c r="H83" s="146"/>
      <c r="I83" s="146"/>
      <c r="J83" s="145" t="str">
        <f t="shared" si="1"/>
        <v/>
      </c>
      <c r="K83" s="146"/>
      <c r="L83" s="146"/>
      <c r="M83" s="146"/>
      <c r="N83" s="146"/>
      <c r="O83" s="145" t="s">
        <v>4032</v>
      </c>
      <c r="P83" s="152"/>
      <c r="Q83" s="473"/>
      <c r="R83" s="151"/>
    </row>
    <row r="84" spans="4:18" x14ac:dyDescent="0.25">
      <c r="D84" s="146" t="s">
        <v>4033</v>
      </c>
      <c r="E84" s="145" t="s">
        <v>4034</v>
      </c>
      <c r="F84" s="146"/>
      <c r="G84" s="145"/>
      <c r="H84" s="146"/>
      <c r="I84" s="146"/>
      <c r="J84" s="145" t="str">
        <f t="shared" si="1"/>
        <v/>
      </c>
      <c r="K84" s="146"/>
      <c r="L84" s="146"/>
      <c r="M84" s="146"/>
      <c r="N84" s="146"/>
      <c r="O84" s="145" t="s">
        <v>4035</v>
      </c>
      <c r="P84" s="152"/>
      <c r="Q84" s="473"/>
      <c r="R84" s="151"/>
    </row>
    <row r="85" spans="4:18" x14ac:dyDescent="0.25">
      <c r="D85" s="146" t="s">
        <v>4036</v>
      </c>
      <c r="E85" s="145" t="s">
        <v>4034</v>
      </c>
      <c r="F85" s="146"/>
      <c r="G85" s="145"/>
      <c r="H85" s="146"/>
      <c r="I85" s="146"/>
      <c r="J85" s="145" t="str">
        <f t="shared" si="1"/>
        <v/>
      </c>
      <c r="K85" s="146"/>
      <c r="L85" s="146"/>
      <c r="M85" s="146"/>
      <c r="N85" s="146"/>
      <c r="O85" s="145" t="s">
        <v>4037</v>
      </c>
      <c r="P85" s="152"/>
      <c r="Q85" s="473"/>
      <c r="R85" s="151"/>
    </row>
    <row r="86" spans="4:18" x14ac:dyDescent="0.25">
      <c r="D86" s="146" t="s">
        <v>4038</v>
      </c>
      <c r="E86" s="145" t="s">
        <v>4034</v>
      </c>
      <c r="F86" s="146"/>
      <c r="G86" s="145"/>
      <c r="H86" s="146"/>
      <c r="I86" s="146"/>
      <c r="J86" s="145" t="str">
        <f t="shared" si="1"/>
        <v/>
      </c>
      <c r="K86" s="146"/>
      <c r="L86" s="146"/>
      <c r="M86" s="146"/>
      <c r="N86" s="146"/>
      <c r="O86" s="145" t="s">
        <v>4039</v>
      </c>
      <c r="P86" s="152"/>
      <c r="Q86" s="473"/>
      <c r="R86" s="151"/>
    </row>
    <row r="87" spans="4:18" x14ac:dyDescent="0.25">
      <c r="D87" s="146" t="s">
        <v>4040</v>
      </c>
      <c r="E87" s="145" t="s">
        <v>4034</v>
      </c>
      <c r="F87" s="146"/>
      <c r="G87" s="145"/>
      <c r="H87" s="146"/>
      <c r="I87" s="146"/>
      <c r="J87" s="145" t="str">
        <f t="shared" si="1"/>
        <v/>
      </c>
      <c r="K87" s="146"/>
      <c r="L87" s="146"/>
      <c r="M87" s="146"/>
      <c r="N87" s="146"/>
      <c r="O87" s="145" t="s">
        <v>4041</v>
      </c>
      <c r="P87" s="152"/>
      <c r="Q87" s="473"/>
      <c r="R87" s="151"/>
    </row>
    <row r="88" spans="4:18" x14ac:dyDescent="0.25">
      <c r="D88" s="146" t="s">
        <v>4042</v>
      </c>
      <c r="E88" s="145" t="s">
        <v>4034</v>
      </c>
      <c r="F88" s="146"/>
      <c r="G88" s="145"/>
      <c r="H88" s="146"/>
      <c r="I88" s="146"/>
      <c r="J88" s="145" t="str">
        <f t="shared" si="1"/>
        <v/>
      </c>
      <c r="K88" s="146"/>
      <c r="L88" s="146"/>
      <c r="M88" s="146"/>
      <c r="N88" s="146"/>
      <c r="O88" s="145" t="s">
        <v>4043</v>
      </c>
      <c r="P88" s="152"/>
      <c r="Q88" s="473"/>
      <c r="R88" s="151"/>
    </row>
    <row r="89" spans="4:18" x14ac:dyDescent="0.25">
      <c r="D89" s="146" t="s">
        <v>4044</v>
      </c>
      <c r="E89" s="145" t="s">
        <v>4034</v>
      </c>
      <c r="F89" s="146"/>
      <c r="G89" s="145"/>
      <c r="H89" s="146"/>
      <c r="I89" s="146"/>
      <c r="J89" s="145" t="str">
        <f t="shared" si="1"/>
        <v/>
      </c>
      <c r="K89" s="146"/>
      <c r="L89" s="146"/>
      <c r="M89" s="146"/>
      <c r="N89" s="146"/>
      <c r="O89" s="145" t="s">
        <v>4045</v>
      </c>
      <c r="P89" s="152"/>
      <c r="Q89" s="473"/>
      <c r="R89" s="151"/>
    </row>
    <row r="90" spans="4:18" x14ac:dyDescent="0.25">
      <c r="D90" s="146" t="s">
        <v>4046</v>
      </c>
      <c r="E90" s="145" t="s">
        <v>4034</v>
      </c>
      <c r="F90" s="146"/>
      <c r="G90" s="145"/>
      <c r="H90" s="146"/>
      <c r="I90" s="146"/>
      <c r="J90" s="145" t="str">
        <f t="shared" si="1"/>
        <v/>
      </c>
      <c r="K90" s="146"/>
      <c r="L90" s="146"/>
      <c r="M90" s="146"/>
      <c r="N90" s="146"/>
      <c r="O90" s="145" t="s">
        <v>4047</v>
      </c>
      <c r="P90" s="152"/>
      <c r="Q90" s="473"/>
      <c r="R90" s="151"/>
    </row>
    <row r="91" spans="4:18" x14ac:dyDescent="0.25">
      <c r="D91" s="146" t="s">
        <v>4048</v>
      </c>
      <c r="E91" s="145" t="s">
        <v>4034</v>
      </c>
      <c r="F91" s="146"/>
      <c r="G91" s="145"/>
      <c r="H91" s="146"/>
      <c r="I91" s="146"/>
      <c r="J91" s="145" t="str">
        <f t="shared" si="1"/>
        <v/>
      </c>
      <c r="K91" s="146"/>
      <c r="L91" s="146"/>
      <c r="M91" s="146"/>
      <c r="N91" s="146"/>
      <c r="O91" s="145" t="s">
        <v>4049</v>
      </c>
      <c r="P91" s="152"/>
      <c r="Q91" s="473"/>
      <c r="R91" s="151"/>
    </row>
    <row r="92" spans="4:18" x14ac:dyDescent="0.25">
      <c r="D92" s="146" t="s">
        <v>4050</v>
      </c>
      <c r="E92" s="145" t="s">
        <v>4034</v>
      </c>
      <c r="F92" s="146"/>
      <c r="G92" s="145"/>
      <c r="H92" s="146"/>
      <c r="I92" s="146"/>
      <c r="J92" s="145" t="str">
        <f t="shared" si="1"/>
        <v/>
      </c>
      <c r="K92" s="146"/>
      <c r="L92" s="146"/>
      <c r="M92" s="146"/>
      <c r="N92" s="146"/>
      <c r="O92" s="145" t="s">
        <v>4051</v>
      </c>
      <c r="P92" s="152"/>
      <c r="Q92" s="473"/>
      <c r="R92" s="151"/>
    </row>
    <row r="93" spans="4:18" x14ac:dyDescent="0.25">
      <c r="D93" s="146" t="s">
        <v>4052</v>
      </c>
      <c r="E93" s="145" t="s">
        <v>4034</v>
      </c>
      <c r="F93" s="146"/>
      <c r="G93" s="145"/>
      <c r="H93" s="146"/>
      <c r="I93" s="146"/>
      <c r="J93" s="145" t="str">
        <f t="shared" si="1"/>
        <v/>
      </c>
      <c r="K93" s="146"/>
      <c r="L93" s="146"/>
      <c r="M93" s="146"/>
      <c r="N93" s="146"/>
      <c r="O93" s="145" t="s">
        <v>4053</v>
      </c>
      <c r="P93" s="152"/>
      <c r="Q93" s="473"/>
      <c r="R93" s="151"/>
    </row>
    <row r="94" spans="4:18" x14ac:dyDescent="0.25">
      <c r="D94" s="146" t="s">
        <v>4054</v>
      </c>
      <c r="E94" s="145" t="s">
        <v>4055</v>
      </c>
      <c r="F94" s="146"/>
      <c r="G94" s="145"/>
      <c r="H94" s="146"/>
      <c r="I94" s="146"/>
      <c r="J94" s="145" t="str">
        <f t="shared" si="1"/>
        <v/>
      </c>
      <c r="K94" s="146"/>
      <c r="L94" s="146"/>
      <c r="M94" s="146"/>
      <c r="N94" s="146"/>
      <c r="O94" s="145" t="s">
        <v>4056</v>
      </c>
      <c r="P94" s="152"/>
      <c r="Q94" s="473"/>
      <c r="R94" s="151"/>
    </row>
    <row r="95" spans="4:18" x14ac:dyDescent="0.25">
      <c r="D95" s="146" t="s">
        <v>4057</v>
      </c>
      <c r="E95" s="145" t="s">
        <v>4055</v>
      </c>
      <c r="F95" s="146"/>
      <c r="G95" s="145"/>
      <c r="H95" s="146"/>
      <c r="I95" s="146"/>
      <c r="J95" s="145" t="str">
        <f t="shared" si="1"/>
        <v/>
      </c>
      <c r="K95" s="146"/>
      <c r="L95" s="146"/>
      <c r="M95" s="146"/>
      <c r="N95" s="146"/>
      <c r="O95" s="145" t="s">
        <v>4058</v>
      </c>
      <c r="P95" s="152"/>
      <c r="Q95" s="473"/>
      <c r="R95" s="151"/>
    </row>
    <row r="96" spans="4:18" x14ac:dyDescent="0.25">
      <c r="D96" s="146" t="s">
        <v>4059</v>
      </c>
      <c r="E96" s="145" t="s">
        <v>4055</v>
      </c>
      <c r="F96" s="146"/>
      <c r="G96" s="145"/>
      <c r="H96" s="146"/>
      <c r="I96" s="146"/>
      <c r="J96" s="145" t="str">
        <f t="shared" si="1"/>
        <v/>
      </c>
      <c r="K96" s="146"/>
      <c r="L96" s="146"/>
      <c r="M96" s="146"/>
      <c r="N96" s="146"/>
      <c r="O96" s="145" t="s">
        <v>4060</v>
      </c>
      <c r="P96" s="152"/>
      <c r="Q96" s="473"/>
      <c r="R96" s="151"/>
    </row>
    <row r="97" spans="4:18" x14ac:dyDescent="0.25">
      <c r="D97" s="146" t="s">
        <v>4061</v>
      </c>
      <c r="E97" s="145" t="s">
        <v>4055</v>
      </c>
      <c r="F97" s="146"/>
      <c r="G97" s="145"/>
      <c r="H97" s="146"/>
      <c r="I97" s="146"/>
      <c r="J97" s="145" t="str">
        <f t="shared" si="1"/>
        <v/>
      </c>
      <c r="K97" s="146"/>
      <c r="L97" s="146"/>
      <c r="M97" s="146"/>
      <c r="N97" s="146"/>
      <c r="O97" s="145" t="s">
        <v>4062</v>
      </c>
      <c r="P97" s="152"/>
      <c r="Q97" s="473"/>
      <c r="R97" s="151"/>
    </row>
    <row r="98" spans="4:18" x14ac:dyDescent="0.25">
      <c r="D98" s="146" t="s">
        <v>4063</v>
      </c>
      <c r="E98" s="145" t="s">
        <v>4055</v>
      </c>
      <c r="F98" s="146"/>
      <c r="G98" s="145"/>
      <c r="H98" s="146"/>
      <c r="I98" s="146"/>
      <c r="J98" s="145" t="str">
        <f t="shared" si="1"/>
        <v/>
      </c>
      <c r="K98" s="146"/>
      <c r="L98" s="146"/>
      <c r="M98" s="146"/>
      <c r="N98" s="146"/>
      <c r="O98" s="145" t="s">
        <v>4064</v>
      </c>
      <c r="P98" s="152"/>
      <c r="Q98" s="473"/>
      <c r="R98" s="151"/>
    </row>
    <row r="99" spans="4:18" x14ac:dyDescent="0.25">
      <c r="D99" s="146" t="s">
        <v>4065</v>
      </c>
      <c r="E99" s="145" t="s">
        <v>4055</v>
      </c>
      <c r="F99" s="146"/>
      <c r="G99" s="145"/>
      <c r="H99" s="146"/>
      <c r="I99" s="146"/>
      <c r="J99" s="145" t="str">
        <f t="shared" si="1"/>
        <v/>
      </c>
      <c r="K99" s="146"/>
      <c r="L99" s="146"/>
      <c r="M99" s="146"/>
      <c r="N99" s="146"/>
      <c r="O99" s="145" t="s">
        <v>4066</v>
      </c>
      <c r="P99" s="152"/>
      <c r="Q99" s="473"/>
      <c r="R99" s="151"/>
    </row>
    <row r="100" spans="4:18" x14ac:dyDescent="0.25">
      <c r="D100" s="146" t="s">
        <v>4067</v>
      </c>
      <c r="E100" s="145" t="s">
        <v>4055</v>
      </c>
      <c r="F100" s="146"/>
      <c r="G100" s="145"/>
      <c r="H100" s="146"/>
      <c r="I100" s="146"/>
      <c r="J100" s="145" t="str">
        <f t="shared" si="1"/>
        <v/>
      </c>
      <c r="K100" s="146"/>
      <c r="L100" s="146"/>
      <c r="M100" s="146"/>
      <c r="N100" s="146"/>
      <c r="O100" s="145" t="s">
        <v>4068</v>
      </c>
      <c r="P100" s="152"/>
      <c r="Q100" s="473"/>
      <c r="R100" s="151"/>
    </row>
    <row r="101" spans="4:18" x14ac:dyDescent="0.25">
      <c r="D101" s="146" t="s">
        <v>4069</v>
      </c>
      <c r="E101" s="145" t="s">
        <v>4055</v>
      </c>
      <c r="F101" s="146"/>
      <c r="G101" s="145"/>
      <c r="H101" s="146"/>
      <c r="I101" s="146"/>
      <c r="J101" s="145" t="str">
        <f t="shared" si="1"/>
        <v/>
      </c>
      <c r="K101" s="146"/>
      <c r="L101" s="146"/>
      <c r="M101" s="146"/>
      <c r="N101" s="146"/>
      <c r="O101" s="145" t="s">
        <v>4070</v>
      </c>
      <c r="P101" s="152"/>
      <c r="Q101" s="473"/>
      <c r="R101" s="151"/>
    </row>
    <row r="102" spans="4:18" x14ac:dyDescent="0.25">
      <c r="D102" s="146" t="s">
        <v>4071</v>
      </c>
      <c r="E102" s="145" t="s">
        <v>4055</v>
      </c>
      <c r="F102" s="146"/>
      <c r="G102" s="145"/>
      <c r="H102" s="146"/>
      <c r="I102" s="146"/>
      <c r="J102" s="145" t="str">
        <f t="shared" si="1"/>
        <v/>
      </c>
      <c r="K102" s="146"/>
      <c r="L102" s="146"/>
      <c r="M102" s="146"/>
      <c r="N102" s="146"/>
      <c r="O102" s="145" t="s">
        <v>4072</v>
      </c>
      <c r="P102" s="152"/>
      <c r="Q102" s="473"/>
      <c r="R102" s="151"/>
    </row>
    <row r="103" spans="4:18" x14ac:dyDescent="0.25">
      <c r="D103" s="146" t="s">
        <v>4073</v>
      </c>
      <c r="E103" s="145" t="s">
        <v>4055</v>
      </c>
      <c r="F103" s="146"/>
      <c r="G103" s="145"/>
      <c r="H103" s="146"/>
      <c r="I103" s="146"/>
      <c r="J103" s="145" t="str">
        <f t="shared" si="1"/>
        <v/>
      </c>
      <c r="K103" s="146"/>
      <c r="L103" s="146"/>
      <c r="M103" s="146"/>
      <c r="N103" s="146"/>
      <c r="O103" s="145" t="s">
        <v>4074</v>
      </c>
      <c r="P103" s="152"/>
      <c r="Q103" s="473"/>
      <c r="R103" s="151"/>
    </row>
    <row r="104" spans="4:18" x14ac:dyDescent="0.25">
      <c r="D104" s="146" t="s">
        <v>4075</v>
      </c>
      <c r="E104" s="145" t="s">
        <v>4076</v>
      </c>
      <c r="F104" s="146"/>
      <c r="G104" s="145"/>
      <c r="H104" s="146"/>
      <c r="I104" s="146"/>
      <c r="J104" s="145" t="str">
        <f t="shared" si="1"/>
        <v/>
      </c>
      <c r="K104" s="146"/>
      <c r="L104" s="146"/>
      <c r="M104" s="146"/>
      <c r="N104" s="146"/>
      <c r="O104" s="145" t="s">
        <v>4077</v>
      </c>
      <c r="P104" s="152"/>
      <c r="Q104" s="473"/>
      <c r="R104" s="151"/>
    </row>
    <row r="105" spans="4:18" x14ac:dyDescent="0.25">
      <c r="D105" s="146" t="s">
        <v>4078</v>
      </c>
      <c r="E105" s="145" t="s">
        <v>4076</v>
      </c>
      <c r="F105" s="146"/>
      <c r="G105" s="145"/>
      <c r="H105" s="146"/>
      <c r="I105" s="146"/>
      <c r="J105" s="145" t="str">
        <f t="shared" si="1"/>
        <v/>
      </c>
      <c r="K105" s="146"/>
      <c r="L105" s="146"/>
      <c r="M105" s="146"/>
      <c r="N105" s="146"/>
      <c r="O105" s="145" t="s">
        <v>4079</v>
      </c>
      <c r="P105" s="152"/>
      <c r="Q105" s="473"/>
      <c r="R105" s="151"/>
    </row>
    <row r="106" spans="4:18" x14ac:dyDescent="0.25">
      <c r="D106" s="146" t="s">
        <v>4080</v>
      </c>
      <c r="E106" s="145" t="s">
        <v>4076</v>
      </c>
      <c r="F106" s="146"/>
      <c r="G106" s="145"/>
      <c r="H106" s="146"/>
      <c r="I106" s="146"/>
      <c r="J106" s="145" t="str">
        <f t="shared" si="1"/>
        <v/>
      </c>
      <c r="K106" s="146"/>
      <c r="L106" s="146"/>
      <c r="M106" s="146"/>
      <c r="N106" s="146"/>
      <c r="O106" s="145" t="s">
        <v>4081</v>
      </c>
      <c r="P106" s="152"/>
      <c r="Q106" s="473"/>
      <c r="R106" s="151"/>
    </row>
    <row r="107" spans="4:18" x14ac:dyDescent="0.25">
      <c r="D107" s="146" t="s">
        <v>4082</v>
      </c>
      <c r="E107" s="145" t="s">
        <v>4076</v>
      </c>
      <c r="F107" s="146"/>
      <c r="G107" s="145"/>
      <c r="H107" s="146"/>
      <c r="I107" s="146"/>
      <c r="J107" s="145" t="str">
        <f t="shared" si="1"/>
        <v/>
      </c>
      <c r="K107" s="146"/>
      <c r="L107" s="146"/>
      <c r="M107" s="146"/>
      <c r="N107" s="146"/>
      <c r="O107" s="145" t="s">
        <v>4083</v>
      </c>
      <c r="P107" s="152"/>
      <c r="Q107" s="473"/>
      <c r="R107" s="151"/>
    </row>
    <row r="108" spans="4:18" x14ac:dyDescent="0.25">
      <c r="D108" s="146" t="s">
        <v>4084</v>
      </c>
      <c r="E108" s="145" t="s">
        <v>4076</v>
      </c>
      <c r="F108" s="146"/>
      <c r="G108" s="145"/>
      <c r="H108" s="146"/>
      <c r="I108" s="146"/>
      <c r="J108" s="145" t="str">
        <f t="shared" si="1"/>
        <v/>
      </c>
      <c r="K108" s="146"/>
      <c r="L108" s="146"/>
      <c r="M108" s="146"/>
      <c r="N108" s="146"/>
      <c r="O108" s="145" t="s">
        <v>4085</v>
      </c>
      <c r="P108" s="152"/>
      <c r="Q108" s="473"/>
      <c r="R108" s="151"/>
    </row>
    <row r="109" spans="4:18" x14ac:dyDescent="0.25">
      <c r="D109" s="146" t="s">
        <v>4086</v>
      </c>
      <c r="E109" s="145" t="s">
        <v>4076</v>
      </c>
      <c r="F109" s="146"/>
      <c r="G109" s="145"/>
      <c r="H109" s="146"/>
      <c r="I109" s="146"/>
      <c r="J109" s="145" t="str">
        <f t="shared" si="1"/>
        <v/>
      </c>
      <c r="K109" s="146"/>
      <c r="L109" s="146"/>
      <c r="M109" s="146"/>
      <c r="N109" s="146"/>
      <c r="O109" s="145" t="s">
        <v>4087</v>
      </c>
      <c r="P109" s="152"/>
      <c r="Q109" s="473"/>
      <c r="R109" s="151"/>
    </row>
    <row r="110" spans="4:18" x14ac:dyDescent="0.25">
      <c r="D110" s="146" t="s">
        <v>4088</v>
      </c>
      <c r="E110" s="145" t="s">
        <v>4076</v>
      </c>
      <c r="F110" s="146"/>
      <c r="G110" s="145"/>
      <c r="H110" s="146"/>
      <c r="I110" s="146"/>
      <c r="J110" s="145" t="str">
        <f t="shared" si="1"/>
        <v/>
      </c>
      <c r="K110" s="146"/>
      <c r="L110" s="146"/>
      <c r="M110" s="146"/>
      <c r="N110" s="146"/>
      <c r="O110" s="145" t="s">
        <v>4089</v>
      </c>
      <c r="P110" s="152"/>
      <c r="Q110" s="473"/>
      <c r="R110" s="151"/>
    </row>
    <row r="111" spans="4:18" x14ac:dyDescent="0.25">
      <c r="D111" s="146" t="s">
        <v>4090</v>
      </c>
      <c r="E111" s="145" t="s">
        <v>4076</v>
      </c>
      <c r="F111" s="146"/>
      <c r="G111" s="145"/>
      <c r="H111" s="146"/>
      <c r="I111" s="146"/>
      <c r="J111" s="145" t="str">
        <f t="shared" si="1"/>
        <v/>
      </c>
      <c r="K111" s="146"/>
      <c r="L111" s="146"/>
      <c r="M111" s="146"/>
      <c r="N111" s="146"/>
      <c r="O111" s="145" t="s">
        <v>4091</v>
      </c>
      <c r="P111" s="152"/>
      <c r="Q111" s="473"/>
      <c r="R111" s="151"/>
    </row>
    <row r="112" spans="4:18" x14ac:dyDescent="0.25">
      <c r="D112" s="146" t="s">
        <v>4092</v>
      </c>
      <c r="E112" s="145" t="s">
        <v>4076</v>
      </c>
      <c r="F112" s="146"/>
      <c r="G112" s="145"/>
      <c r="H112" s="146"/>
      <c r="I112" s="146"/>
      <c r="J112" s="145" t="str">
        <f t="shared" si="1"/>
        <v/>
      </c>
      <c r="K112" s="146"/>
      <c r="L112" s="146"/>
      <c r="M112" s="146"/>
      <c r="N112" s="146"/>
      <c r="O112" s="145" t="s">
        <v>4093</v>
      </c>
      <c r="P112" s="152"/>
      <c r="Q112" s="473"/>
      <c r="R112" s="151"/>
    </row>
    <row r="113" spans="4:18" x14ac:dyDescent="0.25">
      <c r="D113" s="146" t="s">
        <v>4094</v>
      </c>
      <c r="E113" s="145" t="s">
        <v>4076</v>
      </c>
      <c r="F113" s="146"/>
      <c r="G113" s="145"/>
      <c r="H113" s="146"/>
      <c r="I113" s="146"/>
      <c r="J113" s="145" t="str">
        <f t="shared" si="1"/>
        <v/>
      </c>
      <c r="K113" s="146"/>
      <c r="L113" s="146"/>
      <c r="M113" s="146"/>
      <c r="N113" s="146"/>
      <c r="O113" s="145" t="s">
        <v>4095</v>
      </c>
      <c r="P113" s="152"/>
      <c r="Q113" s="473"/>
      <c r="R113" s="151"/>
    </row>
    <row r="114" spans="4:18" x14ac:dyDescent="0.25">
      <c r="D114" s="146" t="s">
        <v>4096</v>
      </c>
      <c r="E114" s="145" t="s">
        <v>4097</v>
      </c>
      <c r="F114" s="146"/>
      <c r="G114" s="145"/>
      <c r="H114" s="146"/>
      <c r="I114" s="146"/>
      <c r="J114" s="145" t="str">
        <f t="shared" si="1"/>
        <v/>
      </c>
      <c r="K114" s="146"/>
      <c r="L114" s="146"/>
      <c r="M114" s="146"/>
      <c r="N114" s="146"/>
      <c r="O114" s="145" t="s">
        <v>4098</v>
      </c>
      <c r="P114" s="152"/>
      <c r="Q114" s="473"/>
      <c r="R114" s="151"/>
    </row>
    <row r="115" spans="4:18" x14ac:dyDescent="0.25">
      <c r="D115" s="146" t="s">
        <v>4099</v>
      </c>
      <c r="E115" s="145" t="s">
        <v>4097</v>
      </c>
      <c r="F115" s="146"/>
      <c r="G115" s="145"/>
      <c r="H115" s="146"/>
      <c r="I115" s="146"/>
      <c r="J115" s="145" t="str">
        <f t="shared" si="1"/>
        <v/>
      </c>
      <c r="K115" s="146"/>
      <c r="L115" s="146"/>
      <c r="M115" s="146"/>
      <c r="N115" s="146"/>
      <c r="O115" s="145" t="s">
        <v>4100</v>
      </c>
      <c r="P115" s="152"/>
      <c r="Q115" s="473"/>
      <c r="R115" s="151"/>
    </row>
    <row r="116" spans="4:18" x14ac:dyDescent="0.25">
      <c r="D116" s="146" t="s">
        <v>4101</v>
      </c>
      <c r="E116" s="145" t="s">
        <v>4097</v>
      </c>
      <c r="F116" s="146"/>
      <c r="G116" s="145"/>
      <c r="H116" s="146"/>
      <c r="I116" s="146"/>
      <c r="J116" s="145" t="str">
        <f t="shared" si="1"/>
        <v/>
      </c>
      <c r="K116" s="146"/>
      <c r="L116" s="146"/>
      <c r="M116" s="146"/>
      <c r="N116" s="146"/>
      <c r="O116" s="145" t="s">
        <v>4102</v>
      </c>
      <c r="P116" s="152"/>
      <c r="Q116" s="473"/>
      <c r="R116" s="151"/>
    </row>
    <row r="117" spans="4:18" x14ac:dyDescent="0.25">
      <c r="D117" s="146" t="s">
        <v>4103</v>
      </c>
      <c r="E117" s="145" t="s">
        <v>4097</v>
      </c>
      <c r="F117" s="146"/>
      <c r="G117" s="145"/>
      <c r="H117" s="146"/>
      <c r="I117" s="146"/>
      <c r="J117" s="145" t="str">
        <f t="shared" si="1"/>
        <v/>
      </c>
      <c r="K117" s="146"/>
      <c r="L117" s="146"/>
      <c r="M117" s="146"/>
      <c r="N117" s="146"/>
      <c r="O117" s="145" t="s">
        <v>4104</v>
      </c>
      <c r="P117" s="152"/>
      <c r="Q117" s="473"/>
      <c r="R117" s="151"/>
    </row>
    <row r="118" spans="4:18" x14ac:dyDescent="0.25">
      <c r="D118" s="146" t="s">
        <v>4105</v>
      </c>
      <c r="E118" s="145" t="s">
        <v>4097</v>
      </c>
      <c r="F118" s="146"/>
      <c r="G118" s="145"/>
      <c r="H118" s="146"/>
      <c r="I118" s="146"/>
      <c r="J118" s="145" t="str">
        <f t="shared" si="1"/>
        <v/>
      </c>
      <c r="K118" s="146"/>
      <c r="L118" s="146"/>
      <c r="M118" s="146"/>
      <c r="N118" s="146"/>
      <c r="O118" s="145" t="s">
        <v>4106</v>
      </c>
      <c r="P118" s="152"/>
      <c r="Q118" s="473"/>
      <c r="R118" s="151"/>
    </row>
    <row r="119" spans="4:18" x14ac:dyDescent="0.25">
      <c r="D119" s="146" t="s">
        <v>4107</v>
      </c>
      <c r="E119" s="145" t="s">
        <v>4097</v>
      </c>
      <c r="F119" s="146"/>
      <c r="G119" s="145"/>
      <c r="H119" s="146"/>
      <c r="I119" s="146"/>
      <c r="J119" s="145" t="str">
        <f t="shared" si="1"/>
        <v/>
      </c>
      <c r="K119" s="146"/>
      <c r="L119" s="146"/>
      <c r="M119" s="146"/>
      <c r="N119" s="146"/>
      <c r="O119" s="145" t="s">
        <v>4108</v>
      </c>
      <c r="P119" s="152"/>
      <c r="Q119" s="473"/>
      <c r="R119" s="151"/>
    </row>
    <row r="120" spans="4:18" x14ac:dyDescent="0.25">
      <c r="D120" s="146" t="s">
        <v>4109</v>
      </c>
      <c r="E120" s="145" t="s">
        <v>4097</v>
      </c>
      <c r="F120" s="146"/>
      <c r="G120" s="145"/>
      <c r="H120" s="146"/>
      <c r="I120" s="146"/>
      <c r="J120" s="145" t="str">
        <f t="shared" si="1"/>
        <v/>
      </c>
      <c r="K120" s="146"/>
      <c r="L120" s="146"/>
      <c r="M120" s="146"/>
      <c r="N120" s="146"/>
      <c r="O120" s="145" t="s">
        <v>4110</v>
      </c>
      <c r="P120" s="152"/>
      <c r="Q120" s="473"/>
      <c r="R120" s="151"/>
    </row>
    <row r="121" spans="4:18" x14ac:dyDescent="0.25">
      <c r="D121" s="146" t="s">
        <v>4111</v>
      </c>
      <c r="E121" s="145" t="s">
        <v>4097</v>
      </c>
      <c r="F121" s="146"/>
      <c r="G121" s="145"/>
      <c r="H121" s="146"/>
      <c r="I121" s="146"/>
      <c r="J121" s="145" t="str">
        <f t="shared" si="1"/>
        <v/>
      </c>
      <c r="K121" s="146"/>
      <c r="L121" s="146"/>
      <c r="M121" s="146"/>
      <c r="N121" s="146"/>
      <c r="O121" s="145" t="s">
        <v>4112</v>
      </c>
      <c r="P121" s="152"/>
      <c r="Q121" s="473"/>
      <c r="R121" s="151"/>
    </row>
    <row r="122" spans="4:18" x14ac:dyDescent="0.25">
      <c r="D122" s="146" t="s">
        <v>4113</v>
      </c>
      <c r="E122" s="145" t="s">
        <v>4097</v>
      </c>
      <c r="F122" s="146"/>
      <c r="G122" s="145"/>
      <c r="H122" s="146"/>
      <c r="I122" s="146"/>
      <c r="J122" s="145" t="str">
        <f t="shared" si="1"/>
        <v/>
      </c>
      <c r="K122" s="146"/>
      <c r="L122" s="146"/>
      <c r="M122" s="146"/>
      <c r="N122" s="146"/>
      <c r="O122" s="145" t="s">
        <v>4114</v>
      </c>
      <c r="P122" s="152"/>
      <c r="Q122" s="473"/>
      <c r="R122" s="151"/>
    </row>
    <row r="123" spans="4:18" x14ac:dyDescent="0.25">
      <c r="D123" s="146" t="s">
        <v>4115</v>
      </c>
      <c r="E123" s="145" t="s">
        <v>4097</v>
      </c>
      <c r="F123" s="146"/>
      <c r="G123" s="145"/>
      <c r="H123" s="146"/>
      <c r="I123" s="146"/>
      <c r="J123" s="145" t="str">
        <f t="shared" si="1"/>
        <v/>
      </c>
      <c r="K123" s="146"/>
      <c r="L123" s="146"/>
      <c r="M123" s="146"/>
      <c r="N123" s="146"/>
      <c r="O123" s="145" t="s">
        <v>4116</v>
      </c>
      <c r="P123" s="152"/>
      <c r="Q123" s="473"/>
      <c r="R123" s="151"/>
    </row>
    <row r="124" spans="4:18" x14ac:dyDescent="0.25">
      <c r="D124" s="146" t="s">
        <v>4117</v>
      </c>
      <c r="E124" s="145" t="s">
        <v>4118</v>
      </c>
      <c r="F124" s="146"/>
      <c r="G124" s="145"/>
      <c r="H124" s="146"/>
      <c r="I124" s="146"/>
      <c r="J124" s="145" t="str">
        <f t="shared" si="1"/>
        <v/>
      </c>
      <c r="K124" s="146"/>
      <c r="L124" s="146"/>
      <c r="M124" s="146"/>
      <c r="N124" s="146"/>
      <c r="O124" s="145" t="s">
        <v>4119</v>
      </c>
      <c r="P124" s="152"/>
      <c r="Q124" s="473"/>
      <c r="R124" s="151"/>
    </row>
    <row r="125" spans="4:18" x14ac:dyDescent="0.25">
      <c r="D125" s="146" t="s">
        <v>4120</v>
      </c>
      <c r="E125" s="145" t="s">
        <v>4118</v>
      </c>
      <c r="F125" s="146"/>
      <c r="G125" s="145"/>
      <c r="H125" s="146"/>
      <c r="I125" s="146"/>
      <c r="J125" s="145" t="str">
        <f t="shared" si="1"/>
        <v/>
      </c>
      <c r="K125" s="146"/>
      <c r="L125" s="146"/>
      <c r="M125" s="146"/>
      <c r="N125" s="146"/>
      <c r="O125" s="145" t="s">
        <v>4121</v>
      </c>
      <c r="P125" s="152"/>
      <c r="Q125" s="473"/>
      <c r="R125" s="151"/>
    </row>
    <row r="126" spans="4:18" x14ac:dyDescent="0.25">
      <c r="D126" s="146" t="s">
        <v>4122</v>
      </c>
      <c r="E126" s="145" t="s">
        <v>4118</v>
      </c>
      <c r="F126" s="146"/>
      <c r="G126" s="145"/>
      <c r="H126" s="146"/>
      <c r="I126" s="146"/>
      <c r="J126" s="145" t="str">
        <f t="shared" si="1"/>
        <v/>
      </c>
      <c r="K126" s="146"/>
      <c r="L126" s="146"/>
      <c r="M126" s="146"/>
      <c r="N126" s="146"/>
      <c r="O126" s="145" t="s">
        <v>4123</v>
      </c>
      <c r="P126" s="152"/>
      <c r="Q126" s="473"/>
      <c r="R126" s="151"/>
    </row>
    <row r="127" spans="4:18" x14ac:dyDescent="0.25">
      <c r="D127" s="146" t="s">
        <v>4124</v>
      </c>
      <c r="E127" s="145" t="s">
        <v>4118</v>
      </c>
      <c r="F127" s="146"/>
      <c r="G127" s="145"/>
      <c r="H127" s="146"/>
      <c r="I127" s="146"/>
      <c r="J127" s="145" t="str">
        <f t="shared" si="1"/>
        <v/>
      </c>
      <c r="K127" s="146"/>
      <c r="L127" s="146"/>
      <c r="M127" s="146"/>
      <c r="N127" s="146"/>
      <c r="O127" s="145" t="s">
        <v>4125</v>
      </c>
      <c r="P127" s="152"/>
      <c r="Q127" s="473"/>
      <c r="R127" s="151"/>
    </row>
    <row r="128" spans="4:18" x14ac:dyDescent="0.25">
      <c r="D128" s="146" t="s">
        <v>4126</v>
      </c>
      <c r="E128" s="145" t="s">
        <v>4118</v>
      </c>
      <c r="F128" s="146"/>
      <c r="G128" s="145"/>
      <c r="H128" s="146"/>
      <c r="I128" s="146"/>
      <c r="J128" s="145" t="str">
        <f t="shared" si="1"/>
        <v/>
      </c>
      <c r="K128" s="146"/>
      <c r="L128" s="146"/>
      <c r="M128" s="146"/>
      <c r="N128" s="146"/>
      <c r="O128" s="145" t="s">
        <v>4127</v>
      </c>
      <c r="P128" s="152"/>
      <c r="Q128" s="473"/>
      <c r="R128" s="151"/>
    </row>
    <row r="129" spans="4:18" x14ac:dyDescent="0.25">
      <c r="D129" s="146" t="s">
        <v>4128</v>
      </c>
      <c r="E129" s="145" t="s">
        <v>4118</v>
      </c>
      <c r="F129" s="146"/>
      <c r="G129" s="145"/>
      <c r="H129" s="146"/>
      <c r="I129" s="146"/>
      <c r="J129" s="145" t="str">
        <f t="shared" si="1"/>
        <v/>
      </c>
      <c r="K129" s="146"/>
      <c r="L129" s="146"/>
      <c r="M129" s="146"/>
      <c r="N129" s="146"/>
      <c r="O129" s="145" t="s">
        <v>4129</v>
      </c>
      <c r="P129" s="152"/>
      <c r="Q129" s="473"/>
      <c r="R129" s="151"/>
    </row>
    <row r="130" spans="4:18" x14ac:dyDescent="0.25">
      <c r="D130" s="146" t="s">
        <v>4130</v>
      </c>
      <c r="E130" s="145" t="s">
        <v>4118</v>
      </c>
      <c r="F130" s="146"/>
      <c r="G130" s="145"/>
      <c r="H130" s="146"/>
      <c r="I130" s="146"/>
      <c r="J130" s="145" t="str">
        <f t="shared" si="1"/>
        <v/>
      </c>
      <c r="K130" s="146"/>
      <c r="L130" s="146"/>
      <c r="M130" s="146"/>
      <c r="N130" s="146"/>
      <c r="O130" s="145" t="s">
        <v>4131</v>
      </c>
      <c r="P130" s="152"/>
      <c r="Q130" s="473"/>
      <c r="R130" s="151"/>
    </row>
    <row r="131" spans="4:18" x14ac:dyDescent="0.25">
      <c r="D131" s="146" t="s">
        <v>4132</v>
      </c>
      <c r="E131" s="145" t="s">
        <v>4118</v>
      </c>
      <c r="F131" s="146"/>
      <c r="G131" s="145"/>
      <c r="H131" s="146"/>
      <c r="I131" s="146"/>
      <c r="J131" s="145" t="str">
        <f t="shared" si="1"/>
        <v/>
      </c>
      <c r="K131" s="146"/>
      <c r="L131" s="146"/>
      <c r="M131" s="146"/>
      <c r="N131" s="146"/>
      <c r="O131" s="145" t="s">
        <v>4133</v>
      </c>
      <c r="P131" s="152"/>
      <c r="Q131" s="473"/>
      <c r="R131" s="151"/>
    </row>
    <row r="132" spans="4:18" x14ac:dyDescent="0.25">
      <c r="D132" s="146" t="s">
        <v>4134</v>
      </c>
      <c r="E132" s="145" t="s">
        <v>4118</v>
      </c>
      <c r="F132" s="146"/>
      <c r="G132" s="145"/>
      <c r="H132" s="146"/>
      <c r="I132" s="146"/>
      <c r="J132" s="145" t="str">
        <f t="shared" ref="J132:J153" si="2">F132&amp;H132&amp;I132</f>
        <v/>
      </c>
      <c r="K132" s="146"/>
      <c r="L132" s="146"/>
      <c r="M132" s="146"/>
      <c r="N132" s="146"/>
      <c r="O132" s="145" t="s">
        <v>4135</v>
      </c>
      <c r="P132" s="152"/>
      <c r="Q132" s="473"/>
      <c r="R132" s="151"/>
    </row>
    <row r="133" spans="4:18" x14ac:dyDescent="0.25">
      <c r="D133" s="146" t="s">
        <v>4136</v>
      </c>
      <c r="E133" s="145" t="s">
        <v>4118</v>
      </c>
      <c r="F133" s="146"/>
      <c r="G133" s="145"/>
      <c r="H133" s="146"/>
      <c r="I133" s="146"/>
      <c r="J133" s="145" t="str">
        <f t="shared" si="2"/>
        <v/>
      </c>
      <c r="K133" s="146"/>
      <c r="L133" s="146"/>
      <c r="M133" s="146"/>
      <c r="N133" s="146"/>
      <c r="O133" s="145" t="s">
        <v>4137</v>
      </c>
      <c r="P133" s="152"/>
      <c r="Q133" s="473"/>
      <c r="R133" s="151"/>
    </row>
    <row r="134" spans="4:18" x14ac:dyDescent="0.25">
      <c r="D134" s="146" t="s">
        <v>4138</v>
      </c>
      <c r="E134" s="145" t="s">
        <v>4139</v>
      </c>
      <c r="F134" s="146"/>
      <c r="G134" s="145"/>
      <c r="H134" s="146"/>
      <c r="I134" s="146"/>
      <c r="J134" s="145" t="str">
        <f t="shared" si="2"/>
        <v/>
      </c>
      <c r="K134" s="146"/>
      <c r="L134" s="146"/>
      <c r="M134" s="146"/>
      <c r="N134" s="146"/>
      <c r="O134" s="145" t="s">
        <v>4140</v>
      </c>
      <c r="P134" s="152"/>
      <c r="Q134" s="473"/>
      <c r="R134" s="151"/>
    </row>
    <row r="135" spans="4:18" x14ac:dyDescent="0.25">
      <c r="D135" s="146" t="s">
        <v>4141</v>
      </c>
      <c r="E135" s="145" t="s">
        <v>4139</v>
      </c>
      <c r="F135" s="146"/>
      <c r="G135" s="145"/>
      <c r="H135" s="146"/>
      <c r="I135" s="146"/>
      <c r="J135" s="145" t="str">
        <f t="shared" si="2"/>
        <v/>
      </c>
      <c r="K135" s="146"/>
      <c r="L135" s="146"/>
      <c r="M135" s="146"/>
      <c r="N135" s="146"/>
      <c r="O135" s="145" t="s">
        <v>4142</v>
      </c>
      <c r="P135" s="152"/>
      <c r="Q135" s="473"/>
      <c r="R135" s="151"/>
    </row>
    <row r="136" spans="4:18" x14ac:dyDescent="0.25">
      <c r="D136" s="146" t="s">
        <v>4143</v>
      </c>
      <c r="E136" s="145" t="s">
        <v>4139</v>
      </c>
      <c r="F136" s="146"/>
      <c r="G136" s="145"/>
      <c r="H136" s="146"/>
      <c r="I136" s="146"/>
      <c r="J136" s="145" t="str">
        <f t="shared" si="2"/>
        <v/>
      </c>
      <c r="K136" s="146"/>
      <c r="L136" s="146"/>
      <c r="M136" s="146"/>
      <c r="N136" s="146"/>
      <c r="O136" s="145" t="s">
        <v>4144</v>
      </c>
      <c r="P136" s="152"/>
      <c r="Q136" s="473"/>
      <c r="R136" s="151"/>
    </row>
    <row r="137" spans="4:18" x14ac:dyDescent="0.25">
      <c r="D137" s="146" t="s">
        <v>4145</v>
      </c>
      <c r="E137" s="145" t="s">
        <v>4139</v>
      </c>
      <c r="F137" s="146"/>
      <c r="G137" s="145"/>
      <c r="H137" s="146"/>
      <c r="I137" s="146"/>
      <c r="J137" s="145" t="str">
        <f t="shared" si="2"/>
        <v/>
      </c>
      <c r="K137" s="146"/>
      <c r="L137" s="146"/>
      <c r="M137" s="146"/>
      <c r="N137" s="146"/>
      <c r="O137" s="145" t="s">
        <v>4146</v>
      </c>
      <c r="P137" s="152"/>
      <c r="Q137" s="473"/>
      <c r="R137" s="151"/>
    </row>
    <row r="138" spans="4:18" x14ac:dyDescent="0.25">
      <c r="D138" s="146" t="s">
        <v>4147</v>
      </c>
      <c r="E138" s="145" t="s">
        <v>4139</v>
      </c>
      <c r="F138" s="146"/>
      <c r="G138" s="145"/>
      <c r="H138" s="146"/>
      <c r="I138" s="146"/>
      <c r="J138" s="145" t="str">
        <f t="shared" si="2"/>
        <v/>
      </c>
      <c r="K138" s="146"/>
      <c r="L138" s="146"/>
      <c r="M138" s="146"/>
      <c r="N138" s="146"/>
      <c r="O138" s="145" t="s">
        <v>4148</v>
      </c>
      <c r="P138" s="152"/>
      <c r="Q138" s="473"/>
      <c r="R138" s="151"/>
    </row>
    <row r="139" spans="4:18" x14ac:dyDescent="0.25">
      <c r="D139" s="146" t="s">
        <v>4149</v>
      </c>
      <c r="E139" s="145" t="s">
        <v>4139</v>
      </c>
      <c r="F139" s="146"/>
      <c r="G139" s="145"/>
      <c r="H139" s="146"/>
      <c r="I139" s="146"/>
      <c r="J139" s="145" t="str">
        <f t="shared" si="2"/>
        <v/>
      </c>
      <c r="K139" s="146"/>
      <c r="L139" s="146"/>
      <c r="M139" s="146"/>
      <c r="N139" s="146"/>
      <c r="O139" s="145" t="s">
        <v>4150</v>
      </c>
      <c r="P139" s="152"/>
      <c r="Q139" s="473"/>
      <c r="R139" s="151"/>
    </row>
    <row r="140" spans="4:18" x14ac:dyDescent="0.25">
      <c r="D140" s="146" t="s">
        <v>4151</v>
      </c>
      <c r="E140" s="145" t="s">
        <v>4139</v>
      </c>
      <c r="F140" s="146"/>
      <c r="G140" s="145"/>
      <c r="H140" s="146"/>
      <c r="I140" s="146"/>
      <c r="J140" s="145" t="str">
        <f t="shared" si="2"/>
        <v/>
      </c>
      <c r="K140" s="146"/>
      <c r="L140" s="146"/>
      <c r="M140" s="146"/>
      <c r="N140" s="146"/>
      <c r="O140" s="145" t="s">
        <v>4152</v>
      </c>
      <c r="P140" s="152"/>
      <c r="Q140" s="473"/>
      <c r="R140" s="151"/>
    </row>
    <row r="141" spans="4:18" x14ac:dyDescent="0.25">
      <c r="D141" s="146" t="s">
        <v>4153</v>
      </c>
      <c r="E141" s="145" t="s">
        <v>4139</v>
      </c>
      <c r="F141" s="146"/>
      <c r="G141" s="145"/>
      <c r="H141" s="146"/>
      <c r="I141" s="146"/>
      <c r="J141" s="145" t="str">
        <f t="shared" si="2"/>
        <v/>
      </c>
      <c r="K141" s="146"/>
      <c r="L141" s="146"/>
      <c r="M141" s="146"/>
      <c r="N141" s="146"/>
      <c r="O141" s="145" t="s">
        <v>4154</v>
      </c>
      <c r="P141" s="152"/>
      <c r="Q141" s="473"/>
      <c r="R141" s="151"/>
    </row>
    <row r="142" spans="4:18" x14ac:dyDescent="0.25">
      <c r="D142" s="146" t="s">
        <v>4155</v>
      </c>
      <c r="E142" s="145" t="s">
        <v>4139</v>
      </c>
      <c r="F142" s="146"/>
      <c r="G142" s="145"/>
      <c r="H142" s="146"/>
      <c r="I142" s="146"/>
      <c r="J142" s="145" t="str">
        <f t="shared" si="2"/>
        <v/>
      </c>
      <c r="K142" s="146"/>
      <c r="L142" s="146"/>
      <c r="M142" s="146"/>
      <c r="N142" s="146"/>
      <c r="O142" s="145" t="s">
        <v>4156</v>
      </c>
      <c r="P142" s="152"/>
      <c r="Q142" s="473"/>
      <c r="R142" s="151"/>
    </row>
    <row r="143" spans="4:18" x14ac:dyDescent="0.25">
      <c r="D143" s="146" t="s">
        <v>4157</v>
      </c>
      <c r="E143" s="145" t="s">
        <v>4139</v>
      </c>
      <c r="F143" s="146"/>
      <c r="G143" s="145"/>
      <c r="H143" s="146"/>
      <c r="I143" s="146"/>
      <c r="J143" s="145" t="str">
        <f t="shared" si="2"/>
        <v/>
      </c>
      <c r="K143" s="146"/>
      <c r="L143" s="146"/>
      <c r="M143" s="146"/>
      <c r="N143" s="146"/>
      <c r="O143" s="145" t="s">
        <v>4158</v>
      </c>
      <c r="P143" s="152"/>
      <c r="Q143" s="473"/>
      <c r="R143" s="151"/>
    </row>
    <row r="144" spans="4:18" x14ac:dyDescent="0.25">
      <c r="D144" s="146" t="s">
        <v>4159</v>
      </c>
      <c r="E144" s="145" t="s">
        <v>4160</v>
      </c>
      <c r="F144" s="146"/>
      <c r="G144" s="145"/>
      <c r="H144" s="146"/>
      <c r="I144" s="146"/>
      <c r="J144" s="145" t="str">
        <f t="shared" si="2"/>
        <v/>
      </c>
      <c r="K144" s="146"/>
      <c r="L144" s="146"/>
      <c r="M144" s="146"/>
      <c r="N144" s="146"/>
      <c r="O144" s="145" t="s">
        <v>4161</v>
      </c>
      <c r="P144" s="152"/>
      <c r="Q144" s="473"/>
      <c r="R144" s="151"/>
    </row>
    <row r="145" spans="4:18" x14ac:dyDescent="0.25">
      <c r="D145" s="146" t="s">
        <v>4162</v>
      </c>
      <c r="E145" s="145" t="s">
        <v>4160</v>
      </c>
      <c r="F145" s="146"/>
      <c r="G145" s="145"/>
      <c r="H145" s="146"/>
      <c r="I145" s="146"/>
      <c r="J145" s="145" t="str">
        <f t="shared" si="2"/>
        <v/>
      </c>
      <c r="K145" s="146"/>
      <c r="L145" s="146"/>
      <c r="M145" s="146"/>
      <c r="N145" s="146"/>
      <c r="O145" s="145" t="s">
        <v>4163</v>
      </c>
      <c r="P145" s="152"/>
      <c r="Q145" s="473"/>
      <c r="R145" s="151"/>
    </row>
    <row r="146" spans="4:18" x14ac:dyDescent="0.25">
      <c r="D146" s="146" t="s">
        <v>4164</v>
      </c>
      <c r="E146" s="145" t="s">
        <v>4160</v>
      </c>
      <c r="F146" s="146"/>
      <c r="G146" s="145"/>
      <c r="H146" s="146"/>
      <c r="I146" s="146"/>
      <c r="J146" s="145" t="str">
        <f t="shared" si="2"/>
        <v/>
      </c>
      <c r="K146" s="146"/>
      <c r="L146" s="146"/>
      <c r="M146" s="146"/>
      <c r="N146" s="146"/>
      <c r="O146" s="145" t="s">
        <v>4165</v>
      </c>
      <c r="P146" s="152"/>
      <c r="Q146" s="473"/>
      <c r="R146" s="151"/>
    </row>
    <row r="147" spans="4:18" x14ac:dyDescent="0.25">
      <c r="D147" s="146" t="s">
        <v>4166</v>
      </c>
      <c r="E147" s="145" t="s">
        <v>4160</v>
      </c>
      <c r="F147" s="146"/>
      <c r="G147" s="145"/>
      <c r="H147" s="146"/>
      <c r="I147" s="146"/>
      <c r="J147" s="145" t="str">
        <f t="shared" si="2"/>
        <v/>
      </c>
      <c r="K147" s="146"/>
      <c r="L147" s="146"/>
      <c r="M147" s="146"/>
      <c r="N147" s="146"/>
      <c r="O147" s="145" t="s">
        <v>4167</v>
      </c>
      <c r="P147" s="152"/>
      <c r="Q147" s="473"/>
      <c r="R147" s="151"/>
    </row>
    <row r="148" spans="4:18" x14ac:dyDescent="0.25">
      <c r="D148" s="146" t="s">
        <v>4168</v>
      </c>
      <c r="E148" s="145" t="s">
        <v>4160</v>
      </c>
      <c r="F148" s="146"/>
      <c r="G148" s="145"/>
      <c r="H148" s="146"/>
      <c r="I148" s="146"/>
      <c r="J148" s="145" t="str">
        <f t="shared" si="2"/>
        <v/>
      </c>
      <c r="K148" s="146"/>
      <c r="L148" s="146"/>
      <c r="M148" s="146"/>
      <c r="N148" s="146"/>
      <c r="O148" s="145" t="s">
        <v>4169</v>
      </c>
      <c r="P148" s="152"/>
      <c r="Q148" s="473"/>
      <c r="R148" s="151"/>
    </row>
    <row r="149" spans="4:18" x14ac:dyDescent="0.25">
      <c r="D149" s="146" t="s">
        <v>4170</v>
      </c>
      <c r="E149" s="145" t="s">
        <v>4160</v>
      </c>
      <c r="F149" s="146"/>
      <c r="G149" s="145"/>
      <c r="H149" s="146"/>
      <c r="I149" s="146"/>
      <c r="J149" s="145" t="str">
        <f t="shared" si="2"/>
        <v/>
      </c>
      <c r="K149" s="146"/>
      <c r="L149" s="146"/>
      <c r="M149" s="146"/>
      <c r="N149" s="146"/>
      <c r="O149" s="145" t="s">
        <v>4171</v>
      </c>
      <c r="P149" s="152"/>
      <c r="Q149" s="473"/>
      <c r="R149" s="151"/>
    </row>
    <row r="150" spans="4:18" x14ac:dyDescent="0.25">
      <c r="D150" s="146" t="s">
        <v>4172</v>
      </c>
      <c r="E150" s="145" t="s">
        <v>4160</v>
      </c>
      <c r="F150" s="146"/>
      <c r="G150" s="145"/>
      <c r="H150" s="146"/>
      <c r="I150" s="146"/>
      <c r="J150" s="145" t="str">
        <f t="shared" si="2"/>
        <v/>
      </c>
      <c r="K150" s="146"/>
      <c r="L150" s="146"/>
      <c r="M150" s="146"/>
      <c r="N150" s="146"/>
      <c r="O150" s="145" t="s">
        <v>4173</v>
      </c>
      <c r="P150" s="152"/>
      <c r="Q150" s="473"/>
      <c r="R150" s="151"/>
    </row>
    <row r="151" spans="4:18" x14ac:dyDescent="0.25">
      <c r="D151" s="146" t="s">
        <v>4174</v>
      </c>
      <c r="E151" s="145" t="s">
        <v>4160</v>
      </c>
      <c r="F151" s="146"/>
      <c r="G151" s="145"/>
      <c r="H151" s="146"/>
      <c r="I151" s="146"/>
      <c r="J151" s="145" t="str">
        <f t="shared" si="2"/>
        <v/>
      </c>
      <c r="K151" s="146"/>
      <c r="L151" s="146"/>
      <c r="M151" s="146"/>
      <c r="N151" s="146"/>
      <c r="O151" s="145" t="s">
        <v>4175</v>
      </c>
      <c r="P151" s="152"/>
      <c r="Q151" s="473"/>
      <c r="R151" s="151"/>
    </row>
    <row r="152" spans="4:18" x14ac:dyDescent="0.25">
      <c r="D152" s="146" t="s">
        <v>4176</v>
      </c>
      <c r="E152" s="145" t="s">
        <v>4160</v>
      </c>
      <c r="F152" s="146"/>
      <c r="G152" s="145"/>
      <c r="H152" s="146"/>
      <c r="I152" s="146"/>
      <c r="J152" s="145" t="str">
        <f t="shared" si="2"/>
        <v/>
      </c>
      <c r="K152" s="146"/>
      <c r="L152" s="146"/>
      <c r="M152" s="146"/>
      <c r="N152" s="146"/>
      <c r="O152" s="145" t="s">
        <v>4177</v>
      </c>
      <c r="P152" s="152"/>
      <c r="Q152" s="473"/>
      <c r="R152" s="151"/>
    </row>
    <row r="153" spans="4:18" x14ac:dyDescent="0.25">
      <c r="D153" s="146" t="s">
        <v>4178</v>
      </c>
      <c r="E153" s="145" t="s">
        <v>4160</v>
      </c>
      <c r="F153" s="146"/>
      <c r="G153" s="145"/>
      <c r="H153" s="146"/>
      <c r="I153" s="146"/>
      <c r="J153" s="145" t="str">
        <f t="shared" si="2"/>
        <v/>
      </c>
      <c r="K153" s="146"/>
      <c r="L153" s="146"/>
      <c r="M153" s="146"/>
      <c r="N153" s="146"/>
      <c r="O153" s="145" t="s">
        <v>4179</v>
      </c>
      <c r="P153" s="152"/>
      <c r="Q153" s="473"/>
      <c r="R153" s="151"/>
    </row>
    <row r="157" spans="4:18" x14ac:dyDescent="0.25">
      <c r="D157" s="6" t="s">
        <v>157</v>
      </c>
    </row>
    <row r="158" spans="4:18" x14ac:dyDescent="0.25">
      <c r="D158" s="145" t="s">
        <v>159</v>
      </c>
      <c r="E158" s="145" t="s">
        <v>161</v>
      </c>
      <c r="F158" s="145" t="s">
        <v>55</v>
      </c>
      <c r="G158" s="145"/>
      <c r="H158" s="145" t="s">
        <v>34</v>
      </c>
      <c r="I158" s="145" t="s">
        <v>27</v>
      </c>
      <c r="J158" s="145" t="s">
        <v>155</v>
      </c>
      <c r="K158" s="145" t="s">
        <v>28</v>
      </c>
      <c r="L158" s="145" t="s">
        <v>29</v>
      </c>
      <c r="M158" s="145" t="s">
        <v>18</v>
      </c>
      <c r="N158" s="145" t="s">
        <v>9</v>
      </c>
      <c r="O158" s="145" t="s">
        <v>48</v>
      </c>
    </row>
    <row r="159" spans="4:18" hidden="1" x14ac:dyDescent="0.25">
      <c r="D159" s="146" t="s">
        <v>158</v>
      </c>
      <c r="E159" s="145" t="s">
        <v>160</v>
      </c>
      <c r="F159" s="146" t="s">
        <v>162</v>
      </c>
      <c r="G159" s="145"/>
      <c r="H159" s="146" t="s">
        <v>77</v>
      </c>
      <c r="I159" s="146" t="s">
        <v>76</v>
      </c>
      <c r="J159" s="145" t="str">
        <f>F159&amp;H159&amp;I159</f>
        <v>[Outcome Indicator Name][Category][Disaggregation]</v>
      </c>
      <c r="K159" s="146" t="s">
        <v>40</v>
      </c>
      <c r="L159" s="146" t="s">
        <v>41</v>
      </c>
      <c r="M159" s="146" t="s">
        <v>42</v>
      </c>
      <c r="N159" s="146" t="s">
        <v>69</v>
      </c>
      <c r="O159" s="145" t="s">
        <v>47</v>
      </c>
    </row>
    <row r="160" spans="4:18" x14ac:dyDescent="0.25">
      <c r="D160" s="146" t="s">
        <v>4180</v>
      </c>
      <c r="E160" s="145" t="s">
        <v>4181</v>
      </c>
      <c r="F160" s="146"/>
      <c r="G160" s="145"/>
      <c r="H160" s="146"/>
      <c r="I160" s="146"/>
      <c r="J160" s="145" t="str">
        <f t="shared" ref="J160:J223" si="3">F160&amp;H160&amp;I160</f>
        <v/>
      </c>
      <c r="K160" s="146"/>
      <c r="L160" s="146"/>
      <c r="M160" s="146"/>
      <c r="N160" s="146"/>
      <c r="O160" s="145" t="s">
        <v>4182</v>
      </c>
    </row>
    <row r="161" spans="4:15" x14ac:dyDescent="0.25">
      <c r="D161" s="146" t="s">
        <v>4183</v>
      </c>
      <c r="E161" s="145" t="s">
        <v>4181</v>
      </c>
      <c r="F161" s="146"/>
      <c r="G161" s="145"/>
      <c r="H161" s="146"/>
      <c r="I161" s="146"/>
      <c r="J161" s="145" t="str">
        <f t="shared" si="3"/>
        <v/>
      </c>
      <c r="K161" s="146"/>
      <c r="L161" s="146"/>
      <c r="M161" s="146"/>
      <c r="N161" s="146"/>
      <c r="O161" s="145" t="s">
        <v>4184</v>
      </c>
    </row>
    <row r="162" spans="4:15" x14ac:dyDescent="0.25">
      <c r="D162" s="146" t="s">
        <v>4185</v>
      </c>
      <c r="E162" s="145" t="s">
        <v>4181</v>
      </c>
      <c r="F162" s="146"/>
      <c r="G162" s="145"/>
      <c r="H162" s="146"/>
      <c r="I162" s="146"/>
      <c r="J162" s="145" t="str">
        <f t="shared" si="3"/>
        <v/>
      </c>
      <c r="K162" s="146"/>
      <c r="L162" s="146"/>
      <c r="M162" s="146"/>
      <c r="N162" s="146"/>
      <c r="O162" s="145" t="s">
        <v>4186</v>
      </c>
    </row>
    <row r="163" spans="4:15" x14ac:dyDescent="0.25">
      <c r="D163" s="146" t="s">
        <v>4187</v>
      </c>
      <c r="E163" s="145" t="s">
        <v>4181</v>
      </c>
      <c r="F163" s="146"/>
      <c r="G163" s="145"/>
      <c r="H163" s="146"/>
      <c r="I163" s="146"/>
      <c r="J163" s="145" t="str">
        <f t="shared" si="3"/>
        <v/>
      </c>
      <c r="K163" s="146"/>
      <c r="L163" s="146"/>
      <c r="M163" s="146"/>
      <c r="N163" s="146"/>
      <c r="O163" s="145" t="s">
        <v>4188</v>
      </c>
    </row>
    <row r="164" spans="4:15" x14ac:dyDescent="0.25">
      <c r="D164" s="146" t="s">
        <v>4189</v>
      </c>
      <c r="E164" s="145" t="s">
        <v>4181</v>
      </c>
      <c r="F164" s="146"/>
      <c r="G164" s="145"/>
      <c r="H164" s="146"/>
      <c r="I164" s="146"/>
      <c r="J164" s="145" t="str">
        <f t="shared" si="3"/>
        <v/>
      </c>
      <c r="K164" s="146"/>
      <c r="L164" s="146"/>
      <c r="M164" s="146"/>
      <c r="N164" s="146"/>
      <c r="O164" s="145" t="s">
        <v>4190</v>
      </c>
    </row>
    <row r="165" spans="4:15" x14ac:dyDescent="0.25">
      <c r="D165" s="146" t="s">
        <v>4191</v>
      </c>
      <c r="E165" s="145" t="s">
        <v>4181</v>
      </c>
      <c r="F165" s="146"/>
      <c r="G165" s="145"/>
      <c r="H165" s="146"/>
      <c r="I165" s="146"/>
      <c r="J165" s="145" t="str">
        <f t="shared" si="3"/>
        <v/>
      </c>
      <c r="K165" s="146"/>
      <c r="L165" s="146"/>
      <c r="M165" s="146"/>
      <c r="N165" s="146"/>
      <c r="O165" s="145" t="s">
        <v>4192</v>
      </c>
    </row>
    <row r="166" spans="4:15" x14ac:dyDescent="0.25">
      <c r="D166" s="146" t="s">
        <v>4193</v>
      </c>
      <c r="E166" s="145" t="s">
        <v>4181</v>
      </c>
      <c r="F166" s="146"/>
      <c r="G166" s="145"/>
      <c r="H166" s="146"/>
      <c r="I166" s="146"/>
      <c r="J166" s="145" t="str">
        <f t="shared" si="3"/>
        <v/>
      </c>
      <c r="K166" s="146"/>
      <c r="L166" s="146"/>
      <c r="M166" s="146"/>
      <c r="N166" s="146"/>
      <c r="O166" s="145" t="s">
        <v>4194</v>
      </c>
    </row>
    <row r="167" spans="4:15" x14ac:dyDescent="0.25">
      <c r="D167" s="146" t="s">
        <v>4195</v>
      </c>
      <c r="E167" s="145" t="s">
        <v>4181</v>
      </c>
      <c r="F167" s="146"/>
      <c r="G167" s="145"/>
      <c r="H167" s="146"/>
      <c r="I167" s="146"/>
      <c r="J167" s="145" t="str">
        <f t="shared" si="3"/>
        <v/>
      </c>
      <c r="K167" s="146"/>
      <c r="L167" s="146"/>
      <c r="M167" s="146"/>
      <c r="N167" s="146"/>
      <c r="O167" s="145" t="s">
        <v>4196</v>
      </c>
    </row>
    <row r="168" spans="4:15" x14ac:dyDescent="0.25">
      <c r="D168" s="146" t="s">
        <v>4197</v>
      </c>
      <c r="E168" s="145" t="s">
        <v>4181</v>
      </c>
      <c r="F168" s="146"/>
      <c r="G168" s="145"/>
      <c r="H168" s="146"/>
      <c r="I168" s="146"/>
      <c r="J168" s="145" t="str">
        <f t="shared" si="3"/>
        <v/>
      </c>
      <c r="K168" s="146"/>
      <c r="L168" s="146"/>
      <c r="M168" s="146"/>
      <c r="N168" s="146"/>
      <c r="O168" s="145" t="s">
        <v>4198</v>
      </c>
    </row>
    <row r="169" spans="4:15" x14ac:dyDescent="0.25">
      <c r="D169" s="146" t="s">
        <v>4199</v>
      </c>
      <c r="E169" s="145" t="s">
        <v>4181</v>
      </c>
      <c r="F169" s="146"/>
      <c r="G169" s="145"/>
      <c r="H169" s="146"/>
      <c r="I169" s="146"/>
      <c r="J169" s="145" t="str">
        <f t="shared" si="3"/>
        <v/>
      </c>
      <c r="K169" s="146"/>
      <c r="L169" s="146"/>
      <c r="M169" s="146"/>
      <c r="N169" s="146"/>
      <c r="O169" s="145" t="s">
        <v>4200</v>
      </c>
    </row>
    <row r="170" spans="4:15" x14ac:dyDescent="0.25">
      <c r="D170" s="146" t="s">
        <v>4201</v>
      </c>
      <c r="E170" s="145" t="s">
        <v>4202</v>
      </c>
      <c r="F170" s="146"/>
      <c r="G170" s="145"/>
      <c r="H170" s="146"/>
      <c r="I170" s="146"/>
      <c r="J170" s="145" t="str">
        <f t="shared" si="3"/>
        <v/>
      </c>
      <c r="K170" s="146"/>
      <c r="L170" s="146"/>
      <c r="M170" s="146"/>
      <c r="N170" s="146"/>
      <c r="O170" s="145" t="s">
        <v>4203</v>
      </c>
    </row>
    <row r="171" spans="4:15" x14ac:dyDescent="0.25">
      <c r="D171" s="146" t="s">
        <v>4204</v>
      </c>
      <c r="E171" s="145" t="s">
        <v>4202</v>
      </c>
      <c r="F171" s="146"/>
      <c r="G171" s="145"/>
      <c r="H171" s="146"/>
      <c r="I171" s="146"/>
      <c r="J171" s="145" t="str">
        <f t="shared" si="3"/>
        <v/>
      </c>
      <c r="K171" s="146"/>
      <c r="L171" s="146"/>
      <c r="M171" s="146"/>
      <c r="N171" s="146"/>
      <c r="O171" s="145" t="s">
        <v>4205</v>
      </c>
    </row>
    <row r="172" spans="4:15" x14ac:dyDescent="0.25">
      <c r="D172" s="146" t="s">
        <v>4206</v>
      </c>
      <c r="E172" s="145" t="s">
        <v>4202</v>
      </c>
      <c r="F172" s="146"/>
      <c r="G172" s="145"/>
      <c r="H172" s="146"/>
      <c r="I172" s="146"/>
      <c r="J172" s="145" t="str">
        <f t="shared" si="3"/>
        <v/>
      </c>
      <c r="K172" s="146"/>
      <c r="L172" s="146"/>
      <c r="M172" s="146"/>
      <c r="N172" s="146"/>
      <c r="O172" s="145" t="s">
        <v>4207</v>
      </c>
    </row>
    <row r="173" spans="4:15" x14ac:dyDescent="0.25">
      <c r="D173" s="146" t="s">
        <v>4208</v>
      </c>
      <c r="E173" s="145" t="s">
        <v>4202</v>
      </c>
      <c r="F173" s="146"/>
      <c r="G173" s="145"/>
      <c r="H173" s="146"/>
      <c r="I173" s="146"/>
      <c r="J173" s="145" t="str">
        <f t="shared" si="3"/>
        <v/>
      </c>
      <c r="K173" s="146"/>
      <c r="L173" s="146"/>
      <c r="M173" s="146"/>
      <c r="N173" s="146"/>
      <c r="O173" s="145" t="s">
        <v>4209</v>
      </c>
    </row>
    <row r="174" spans="4:15" x14ac:dyDescent="0.25">
      <c r="D174" s="146" t="s">
        <v>4210</v>
      </c>
      <c r="E174" s="145" t="s">
        <v>4202</v>
      </c>
      <c r="F174" s="146"/>
      <c r="G174" s="145"/>
      <c r="H174" s="146"/>
      <c r="I174" s="146"/>
      <c r="J174" s="145" t="str">
        <f t="shared" si="3"/>
        <v/>
      </c>
      <c r="K174" s="146"/>
      <c r="L174" s="146"/>
      <c r="M174" s="146"/>
      <c r="N174" s="146"/>
      <c r="O174" s="145" t="s">
        <v>4211</v>
      </c>
    </row>
    <row r="175" spans="4:15" x14ac:dyDescent="0.25">
      <c r="D175" s="146" t="s">
        <v>4212</v>
      </c>
      <c r="E175" s="145" t="s">
        <v>4202</v>
      </c>
      <c r="F175" s="146"/>
      <c r="G175" s="145"/>
      <c r="H175" s="146"/>
      <c r="I175" s="146"/>
      <c r="J175" s="145" t="str">
        <f t="shared" si="3"/>
        <v/>
      </c>
      <c r="K175" s="146"/>
      <c r="L175" s="146"/>
      <c r="M175" s="146"/>
      <c r="N175" s="146"/>
      <c r="O175" s="145" t="s">
        <v>4213</v>
      </c>
    </row>
    <row r="176" spans="4:15" x14ac:dyDescent="0.25">
      <c r="D176" s="146" t="s">
        <v>4214</v>
      </c>
      <c r="E176" s="145" t="s">
        <v>4202</v>
      </c>
      <c r="F176" s="146"/>
      <c r="G176" s="145"/>
      <c r="H176" s="146"/>
      <c r="I176" s="146"/>
      <c r="J176" s="145" t="str">
        <f t="shared" si="3"/>
        <v/>
      </c>
      <c r="K176" s="146"/>
      <c r="L176" s="146"/>
      <c r="M176" s="146"/>
      <c r="N176" s="146"/>
      <c r="O176" s="145" t="s">
        <v>4215</v>
      </c>
    </row>
    <row r="177" spans="4:15" x14ac:dyDescent="0.25">
      <c r="D177" s="146" t="s">
        <v>4216</v>
      </c>
      <c r="E177" s="145" t="s">
        <v>4202</v>
      </c>
      <c r="F177" s="146"/>
      <c r="G177" s="145"/>
      <c r="H177" s="146"/>
      <c r="I177" s="146"/>
      <c r="J177" s="145" t="str">
        <f t="shared" si="3"/>
        <v/>
      </c>
      <c r="K177" s="146"/>
      <c r="L177" s="146"/>
      <c r="M177" s="146"/>
      <c r="N177" s="146"/>
      <c r="O177" s="145" t="s">
        <v>4217</v>
      </c>
    </row>
    <row r="178" spans="4:15" x14ac:dyDescent="0.25">
      <c r="D178" s="146" t="s">
        <v>4218</v>
      </c>
      <c r="E178" s="145" t="s">
        <v>4202</v>
      </c>
      <c r="F178" s="146"/>
      <c r="G178" s="145"/>
      <c r="H178" s="146"/>
      <c r="I178" s="146"/>
      <c r="J178" s="145" t="str">
        <f t="shared" si="3"/>
        <v/>
      </c>
      <c r="K178" s="146"/>
      <c r="L178" s="146"/>
      <c r="M178" s="146"/>
      <c r="N178" s="146"/>
      <c r="O178" s="145" t="s">
        <v>4219</v>
      </c>
    </row>
    <row r="179" spans="4:15" x14ac:dyDescent="0.25">
      <c r="D179" s="146" t="s">
        <v>4220</v>
      </c>
      <c r="E179" s="145" t="s">
        <v>4202</v>
      </c>
      <c r="F179" s="146"/>
      <c r="G179" s="145"/>
      <c r="H179" s="146"/>
      <c r="I179" s="146"/>
      <c r="J179" s="145" t="str">
        <f t="shared" si="3"/>
        <v/>
      </c>
      <c r="K179" s="146"/>
      <c r="L179" s="146"/>
      <c r="M179" s="146"/>
      <c r="N179" s="146"/>
      <c r="O179" s="145" t="s">
        <v>4221</v>
      </c>
    </row>
    <row r="180" spans="4:15" x14ac:dyDescent="0.25">
      <c r="D180" s="146" t="s">
        <v>4222</v>
      </c>
      <c r="E180" s="145" t="s">
        <v>4223</v>
      </c>
      <c r="F180" s="146"/>
      <c r="G180" s="145"/>
      <c r="H180" s="146"/>
      <c r="I180" s="146"/>
      <c r="J180" s="145" t="str">
        <f t="shared" si="3"/>
        <v/>
      </c>
      <c r="K180" s="146"/>
      <c r="L180" s="146"/>
      <c r="M180" s="146"/>
      <c r="N180" s="146"/>
      <c r="O180" s="145" t="s">
        <v>4224</v>
      </c>
    </row>
    <row r="181" spans="4:15" x14ac:dyDescent="0.25">
      <c r="D181" s="146" t="s">
        <v>4225</v>
      </c>
      <c r="E181" s="145" t="s">
        <v>4223</v>
      </c>
      <c r="F181" s="146"/>
      <c r="G181" s="145"/>
      <c r="H181" s="146"/>
      <c r="I181" s="146"/>
      <c r="J181" s="145" t="str">
        <f t="shared" si="3"/>
        <v/>
      </c>
      <c r="K181" s="146"/>
      <c r="L181" s="146"/>
      <c r="M181" s="146"/>
      <c r="N181" s="146"/>
      <c r="O181" s="145" t="s">
        <v>4226</v>
      </c>
    </row>
    <row r="182" spans="4:15" x14ac:dyDescent="0.25">
      <c r="D182" s="146" t="s">
        <v>4227</v>
      </c>
      <c r="E182" s="145" t="s">
        <v>4223</v>
      </c>
      <c r="F182" s="146"/>
      <c r="G182" s="145"/>
      <c r="H182" s="146"/>
      <c r="I182" s="146"/>
      <c r="J182" s="145" t="str">
        <f t="shared" si="3"/>
        <v/>
      </c>
      <c r="K182" s="146"/>
      <c r="L182" s="146"/>
      <c r="M182" s="146"/>
      <c r="N182" s="146"/>
      <c r="O182" s="145" t="s">
        <v>4228</v>
      </c>
    </row>
    <row r="183" spans="4:15" x14ac:dyDescent="0.25">
      <c r="D183" s="146" t="s">
        <v>4229</v>
      </c>
      <c r="E183" s="145" t="s">
        <v>4223</v>
      </c>
      <c r="F183" s="146"/>
      <c r="G183" s="145"/>
      <c r="H183" s="146"/>
      <c r="I183" s="146"/>
      <c r="J183" s="145" t="str">
        <f t="shared" si="3"/>
        <v/>
      </c>
      <c r="K183" s="146"/>
      <c r="L183" s="146"/>
      <c r="M183" s="146"/>
      <c r="N183" s="146"/>
      <c r="O183" s="145" t="s">
        <v>4230</v>
      </c>
    </row>
    <row r="184" spans="4:15" x14ac:dyDescent="0.25">
      <c r="D184" s="146" t="s">
        <v>4231</v>
      </c>
      <c r="E184" s="145" t="s">
        <v>4223</v>
      </c>
      <c r="F184" s="146"/>
      <c r="G184" s="145"/>
      <c r="H184" s="146"/>
      <c r="I184" s="146"/>
      <c r="J184" s="145" t="str">
        <f t="shared" si="3"/>
        <v/>
      </c>
      <c r="K184" s="146"/>
      <c r="L184" s="146"/>
      <c r="M184" s="146"/>
      <c r="N184" s="146"/>
      <c r="O184" s="145" t="s">
        <v>4232</v>
      </c>
    </row>
    <row r="185" spans="4:15" x14ac:dyDescent="0.25">
      <c r="D185" s="146" t="s">
        <v>4233</v>
      </c>
      <c r="E185" s="145" t="s">
        <v>4223</v>
      </c>
      <c r="F185" s="146"/>
      <c r="G185" s="145"/>
      <c r="H185" s="146"/>
      <c r="I185" s="146"/>
      <c r="J185" s="145" t="str">
        <f t="shared" si="3"/>
        <v/>
      </c>
      <c r="K185" s="146"/>
      <c r="L185" s="146"/>
      <c r="M185" s="146"/>
      <c r="N185" s="146"/>
      <c r="O185" s="145" t="s">
        <v>4234</v>
      </c>
    </row>
    <row r="186" spans="4:15" x14ac:dyDescent="0.25">
      <c r="D186" s="146" t="s">
        <v>4235</v>
      </c>
      <c r="E186" s="145" t="s">
        <v>4223</v>
      </c>
      <c r="F186" s="146"/>
      <c r="G186" s="145"/>
      <c r="H186" s="146"/>
      <c r="I186" s="146"/>
      <c r="J186" s="145" t="str">
        <f t="shared" si="3"/>
        <v/>
      </c>
      <c r="K186" s="146"/>
      <c r="L186" s="146"/>
      <c r="M186" s="146"/>
      <c r="N186" s="146"/>
      <c r="O186" s="145" t="s">
        <v>4236</v>
      </c>
    </row>
    <row r="187" spans="4:15" x14ac:dyDescent="0.25">
      <c r="D187" s="146" t="s">
        <v>4237</v>
      </c>
      <c r="E187" s="145" t="s">
        <v>4223</v>
      </c>
      <c r="F187" s="146"/>
      <c r="G187" s="145"/>
      <c r="H187" s="146"/>
      <c r="I187" s="146"/>
      <c r="J187" s="145" t="str">
        <f t="shared" si="3"/>
        <v/>
      </c>
      <c r="K187" s="146"/>
      <c r="L187" s="146"/>
      <c r="M187" s="146"/>
      <c r="N187" s="146"/>
      <c r="O187" s="145" t="s">
        <v>4238</v>
      </c>
    </row>
    <row r="188" spans="4:15" x14ac:dyDescent="0.25">
      <c r="D188" s="146" t="s">
        <v>4239</v>
      </c>
      <c r="E188" s="145" t="s">
        <v>4223</v>
      </c>
      <c r="F188" s="146"/>
      <c r="G188" s="145"/>
      <c r="H188" s="146"/>
      <c r="I188" s="146"/>
      <c r="J188" s="145" t="str">
        <f t="shared" si="3"/>
        <v/>
      </c>
      <c r="K188" s="146"/>
      <c r="L188" s="146"/>
      <c r="M188" s="146"/>
      <c r="N188" s="146"/>
      <c r="O188" s="145" t="s">
        <v>4240</v>
      </c>
    </row>
    <row r="189" spans="4:15" x14ac:dyDescent="0.25">
      <c r="D189" s="146" t="s">
        <v>4241</v>
      </c>
      <c r="E189" s="145" t="s">
        <v>4223</v>
      </c>
      <c r="F189" s="146"/>
      <c r="G189" s="145"/>
      <c r="H189" s="146"/>
      <c r="I189" s="146"/>
      <c r="J189" s="145" t="str">
        <f t="shared" si="3"/>
        <v/>
      </c>
      <c r="K189" s="146"/>
      <c r="L189" s="146"/>
      <c r="M189" s="146"/>
      <c r="N189" s="146"/>
      <c r="O189" s="145" t="s">
        <v>4242</v>
      </c>
    </row>
    <row r="190" spans="4:15" x14ac:dyDescent="0.25">
      <c r="D190" s="146" t="s">
        <v>4243</v>
      </c>
      <c r="E190" s="145" t="s">
        <v>4244</v>
      </c>
      <c r="F190" s="146"/>
      <c r="G190" s="145"/>
      <c r="H190" s="146"/>
      <c r="I190" s="146"/>
      <c r="J190" s="145" t="str">
        <f t="shared" si="3"/>
        <v/>
      </c>
      <c r="K190" s="146"/>
      <c r="L190" s="146"/>
      <c r="M190" s="146"/>
      <c r="N190" s="146"/>
      <c r="O190" s="145" t="s">
        <v>4245</v>
      </c>
    </row>
    <row r="191" spans="4:15" x14ac:dyDescent="0.25">
      <c r="D191" s="146" t="s">
        <v>4246</v>
      </c>
      <c r="E191" s="145" t="s">
        <v>4244</v>
      </c>
      <c r="F191" s="146"/>
      <c r="G191" s="145"/>
      <c r="H191" s="146"/>
      <c r="I191" s="146"/>
      <c r="J191" s="145" t="str">
        <f t="shared" si="3"/>
        <v/>
      </c>
      <c r="K191" s="146"/>
      <c r="L191" s="146"/>
      <c r="M191" s="146"/>
      <c r="N191" s="146"/>
      <c r="O191" s="145" t="s">
        <v>4247</v>
      </c>
    </row>
    <row r="192" spans="4:15" x14ac:dyDescent="0.25">
      <c r="D192" s="146" t="s">
        <v>4248</v>
      </c>
      <c r="E192" s="145" t="s">
        <v>4244</v>
      </c>
      <c r="F192" s="146"/>
      <c r="G192" s="145"/>
      <c r="H192" s="146"/>
      <c r="I192" s="146"/>
      <c r="J192" s="145" t="str">
        <f t="shared" si="3"/>
        <v/>
      </c>
      <c r="K192" s="146"/>
      <c r="L192" s="146"/>
      <c r="M192" s="146"/>
      <c r="N192" s="146"/>
      <c r="O192" s="145" t="s">
        <v>4249</v>
      </c>
    </row>
    <row r="193" spans="4:15" x14ac:dyDescent="0.25">
      <c r="D193" s="146" t="s">
        <v>4250</v>
      </c>
      <c r="E193" s="145" t="s">
        <v>4244</v>
      </c>
      <c r="F193" s="146"/>
      <c r="G193" s="145"/>
      <c r="H193" s="146"/>
      <c r="I193" s="146"/>
      <c r="J193" s="145" t="str">
        <f t="shared" si="3"/>
        <v/>
      </c>
      <c r="K193" s="146"/>
      <c r="L193" s="146"/>
      <c r="M193" s="146"/>
      <c r="N193" s="146"/>
      <c r="O193" s="145" t="s">
        <v>4251</v>
      </c>
    </row>
    <row r="194" spans="4:15" x14ac:dyDescent="0.25">
      <c r="D194" s="146" t="s">
        <v>4252</v>
      </c>
      <c r="E194" s="145" t="s">
        <v>4244</v>
      </c>
      <c r="F194" s="146"/>
      <c r="G194" s="145"/>
      <c r="H194" s="146"/>
      <c r="I194" s="146"/>
      <c r="J194" s="145" t="str">
        <f t="shared" si="3"/>
        <v/>
      </c>
      <c r="K194" s="146"/>
      <c r="L194" s="146"/>
      <c r="M194" s="146"/>
      <c r="N194" s="146"/>
      <c r="O194" s="145" t="s">
        <v>4253</v>
      </c>
    </row>
    <row r="195" spans="4:15" x14ac:dyDescent="0.25">
      <c r="D195" s="146" t="s">
        <v>4254</v>
      </c>
      <c r="E195" s="145" t="s">
        <v>4244</v>
      </c>
      <c r="F195" s="146"/>
      <c r="G195" s="145"/>
      <c r="H195" s="146"/>
      <c r="I195" s="146"/>
      <c r="J195" s="145" t="str">
        <f t="shared" si="3"/>
        <v/>
      </c>
      <c r="K195" s="146"/>
      <c r="L195" s="146"/>
      <c r="M195" s="146"/>
      <c r="N195" s="146"/>
      <c r="O195" s="145" t="s">
        <v>4255</v>
      </c>
    </row>
    <row r="196" spans="4:15" x14ac:dyDescent="0.25">
      <c r="D196" s="146" t="s">
        <v>4256</v>
      </c>
      <c r="E196" s="145" t="s">
        <v>4244</v>
      </c>
      <c r="F196" s="146"/>
      <c r="G196" s="145"/>
      <c r="H196" s="146"/>
      <c r="I196" s="146"/>
      <c r="J196" s="145" t="str">
        <f t="shared" si="3"/>
        <v/>
      </c>
      <c r="K196" s="146"/>
      <c r="L196" s="146"/>
      <c r="M196" s="146"/>
      <c r="N196" s="146"/>
      <c r="O196" s="145" t="s">
        <v>4257</v>
      </c>
    </row>
    <row r="197" spans="4:15" x14ac:dyDescent="0.25">
      <c r="D197" s="146" t="s">
        <v>4258</v>
      </c>
      <c r="E197" s="145" t="s">
        <v>4244</v>
      </c>
      <c r="F197" s="146"/>
      <c r="G197" s="145"/>
      <c r="H197" s="146"/>
      <c r="I197" s="146"/>
      <c r="J197" s="145" t="str">
        <f t="shared" si="3"/>
        <v/>
      </c>
      <c r="K197" s="146"/>
      <c r="L197" s="146"/>
      <c r="M197" s="146"/>
      <c r="N197" s="146"/>
      <c r="O197" s="145" t="s">
        <v>4259</v>
      </c>
    </row>
    <row r="198" spans="4:15" x14ac:dyDescent="0.25">
      <c r="D198" s="146" t="s">
        <v>4260</v>
      </c>
      <c r="E198" s="145" t="s">
        <v>4244</v>
      </c>
      <c r="F198" s="146"/>
      <c r="G198" s="145"/>
      <c r="H198" s="146"/>
      <c r="I198" s="146"/>
      <c r="J198" s="145" t="str">
        <f t="shared" si="3"/>
        <v/>
      </c>
      <c r="K198" s="146"/>
      <c r="L198" s="146"/>
      <c r="M198" s="146"/>
      <c r="N198" s="146"/>
      <c r="O198" s="145" t="s">
        <v>4261</v>
      </c>
    </row>
    <row r="199" spans="4:15" x14ac:dyDescent="0.25">
      <c r="D199" s="146" t="s">
        <v>4262</v>
      </c>
      <c r="E199" s="145" t="s">
        <v>4244</v>
      </c>
      <c r="F199" s="146"/>
      <c r="G199" s="145"/>
      <c r="H199" s="146"/>
      <c r="I199" s="146"/>
      <c r="J199" s="145" t="str">
        <f t="shared" si="3"/>
        <v/>
      </c>
      <c r="K199" s="146"/>
      <c r="L199" s="146"/>
      <c r="M199" s="146"/>
      <c r="N199" s="146"/>
      <c r="O199" s="145" t="s">
        <v>4263</v>
      </c>
    </row>
    <row r="200" spans="4:15" x14ac:dyDescent="0.25">
      <c r="D200" s="146" t="s">
        <v>4264</v>
      </c>
      <c r="E200" s="145" t="s">
        <v>4265</v>
      </c>
      <c r="F200" s="146"/>
      <c r="G200" s="145"/>
      <c r="H200" s="146"/>
      <c r="I200" s="146"/>
      <c r="J200" s="145" t="str">
        <f t="shared" si="3"/>
        <v/>
      </c>
      <c r="K200" s="146"/>
      <c r="L200" s="146"/>
      <c r="M200" s="146"/>
      <c r="N200" s="146"/>
      <c r="O200" s="145" t="s">
        <v>4266</v>
      </c>
    </row>
    <row r="201" spans="4:15" x14ac:dyDescent="0.25">
      <c r="D201" s="146" t="s">
        <v>4267</v>
      </c>
      <c r="E201" s="145" t="s">
        <v>4265</v>
      </c>
      <c r="F201" s="146"/>
      <c r="G201" s="145"/>
      <c r="H201" s="146"/>
      <c r="I201" s="146"/>
      <c r="J201" s="145" t="str">
        <f t="shared" si="3"/>
        <v/>
      </c>
      <c r="K201" s="146"/>
      <c r="L201" s="146"/>
      <c r="M201" s="146"/>
      <c r="N201" s="146"/>
      <c r="O201" s="145" t="s">
        <v>4268</v>
      </c>
    </row>
    <row r="202" spans="4:15" x14ac:dyDescent="0.25">
      <c r="D202" s="146" t="s">
        <v>4269</v>
      </c>
      <c r="E202" s="145" t="s">
        <v>4265</v>
      </c>
      <c r="F202" s="146"/>
      <c r="G202" s="145"/>
      <c r="H202" s="146"/>
      <c r="I202" s="146"/>
      <c r="J202" s="145" t="str">
        <f t="shared" si="3"/>
        <v/>
      </c>
      <c r="K202" s="146"/>
      <c r="L202" s="146"/>
      <c r="M202" s="146"/>
      <c r="N202" s="146"/>
      <c r="O202" s="145" t="s">
        <v>4270</v>
      </c>
    </row>
    <row r="203" spans="4:15" x14ac:dyDescent="0.25">
      <c r="D203" s="146" t="s">
        <v>4271</v>
      </c>
      <c r="E203" s="145" t="s">
        <v>4265</v>
      </c>
      <c r="F203" s="146"/>
      <c r="G203" s="145"/>
      <c r="H203" s="146"/>
      <c r="I203" s="146"/>
      <c r="J203" s="145" t="str">
        <f t="shared" si="3"/>
        <v/>
      </c>
      <c r="K203" s="146"/>
      <c r="L203" s="146"/>
      <c r="M203" s="146"/>
      <c r="N203" s="146"/>
      <c r="O203" s="145" t="s">
        <v>4272</v>
      </c>
    </row>
    <row r="204" spans="4:15" x14ac:dyDescent="0.25">
      <c r="D204" s="146" t="s">
        <v>4273</v>
      </c>
      <c r="E204" s="145" t="s">
        <v>4265</v>
      </c>
      <c r="F204" s="146"/>
      <c r="G204" s="145"/>
      <c r="H204" s="146"/>
      <c r="I204" s="146"/>
      <c r="J204" s="145" t="str">
        <f t="shared" si="3"/>
        <v/>
      </c>
      <c r="K204" s="146"/>
      <c r="L204" s="146"/>
      <c r="M204" s="146"/>
      <c r="N204" s="146"/>
      <c r="O204" s="145" t="s">
        <v>4274</v>
      </c>
    </row>
    <row r="205" spans="4:15" x14ac:dyDescent="0.25">
      <c r="D205" s="146" t="s">
        <v>4275</v>
      </c>
      <c r="E205" s="145" t="s">
        <v>4265</v>
      </c>
      <c r="F205" s="146"/>
      <c r="G205" s="145"/>
      <c r="H205" s="146"/>
      <c r="I205" s="146"/>
      <c r="J205" s="145" t="str">
        <f t="shared" si="3"/>
        <v/>
      </c>
      <c r="K205" s="146"/>
      <c r="L205" s="146"/>
      <c r="M205" s="146"/>
      <c r="N205" s="146"/>
      <c r="O205" s="145" t="s">
        <v>4276</v>
      </c>
    </row>
    <row r="206" spans="4:15" x14ac:dyDescent="0.25">
      <c r="D206" s="146" t="s">
        <v>4277</v>
      </c>
      <c r="E206" s="145" t="s">
        <v>4265</v>
      </c>
      <c r="F206" s="146"/>
      <c r="G206" s="145"/>
      <c r="H206" s="146"/>
      <c r="I206" s="146"/>
      <c r="J206" s="145" t="str">
        <f t="shared" si="3"/>
        <v/>
      </c>
      <c r="K206" s="146"/>
      <c r="L206" s="146"/>
      <c r="M206" s="146"/>
      <c r="N206" s="146"/>
      <c r="O206" s="145" t="s">
        <v>4278</v>
      </c>
    </row>
    <row r="207" spans="4:15" x14ac:dyDescent="0.25">
      <c r="D207" s="146" t="s">
        <v>4279</v>
      </c>
      <c r="E207" s="145" t="s">
        <v>4265</v>
      </c>
      <c r="F207" s="146"/>
      <c r="G207" s="145"/>
      <c r="H207" s="146"/>
      <c r="I207" s="146"/>
      <c r="J207" s="145" t="str">
        <f t="shared" si="3"/>
        <v/>
      </c>
      <c r="K207" s="146"/>
      <c r="L207" s="146"/>
      <c r="M207" s="146"/>
      <c r="N207" s="146"/>
      <c r="O207" s="145" t="s">
        <v>4280</v>
      </c>
    </row>
    <row r="208" spans="4:15" x14ac:dyDescent="0.25">
      <c r="D208" s="146" t="s">
        <v>4281</v>
      </c>
      <c r="E208" s="145" t="s">
        <v>4265</v>
      </c>
      <c r="F208" s="146"/>
      <c r="G208" s="145"/>
      <c r="H208" s="146"/>
      <c r="I208" s="146"/>
      <c r="J208" s="145" t="str">
        <f t="shared" si="3"/>
        <v/>
      </c>
      <c r="K208" s="146"/>
      <c r="L208" s="146"/>
      <c r="M208" s="146"/>
      <c r="N208" s="146"/>
      <c r="O208" s="145" t="s">
        <v>4282</v>
      </c>
    </row>
    <row r="209" spans="4:15" x14ac:dyDescent="0.25">
      <c r="D209" s="146" t="s">
        <v>4283</v>
      </c>
      <c r="E209" s="145" t="s">
        <v>4265</v>
      </c>
      <c r="F209" s="146"/>
      <c r="G209" s="145"/>
      <c r="H209" s="146"/>
      <c r="I209" s="146"/>
      <c r="J209" s="145" t="str">
        <f t="shared" si="3"/>
        <v/>
      </c>
      <c r="K209" s="146"/>
      <c r="L209" s="146"/>
      <c r="M209" s="146"/>
      <c r="N209" s="146"/>
      <c r="O209" s="145" t="s">
        <v>4284</v>
      </c>
    </row>
    <row r="210" spans="4:15" x14ac:dyDescent="0.25">
      <c r="D210" s="146" t="s">
        <v>4285</v>
      </c>
      <c r="E210" s="145" t="s">
        <v>4286</v>
      </c>
      <c r="F210" s="146"/>
      <c r="G210" s="145"/>
      <c r="H210" s="146"/>
      <c r="I210" s="146"/>
      <c r="J210" s="145" t="str">
        <f t="shared" si="3"/>
        <v/>
      </c>
      <c r="K210" s="146"/>
      <c r="L210" s="146"/>
      <c r="M210" s="146"/>
      <c r="N210" s="146"/>
      <c r="O210" s="145" t="s">
        <v>4287</v>
      </c>
    </row>
    <row r="211" spans="4:15" x14ac:dyDescent="0.25">
      <c r="D211" s="146" t="s">
        <v>4288</v>
      </c>
      <c r="E211" s="145" t="s">
        <v>4286</v>
      </c>
      <c r="F211" s="146"/>
      <c r="G211" s="145"/>
      <c r="H211" s="146"/>
      <c r="I211" s="146"/>
      <c r="J211" s="145" t="str">
        <f t="shared" si="3"/>
        <v/>
      </c>
      <c r="K211" s="146"/>
      <c r="L211" s="146"/>
      <c r="M211" s="146"/>
      <c r="N211" s="146"/>
      <c r="O211" s="145" t="s">
        <v>4289</v>
      </c>
    </row>
    <row r="212" spans="4:15" x14ac:dyDescent="0.25">
      <c r="D212" s="146" t="s">
        <v>4290</v>
      </c>
      <c r="E212" s="145" t="s">
        <v>4286</v>
      </c>
      <c r="F212" s="146"/>
      <c r="G212" s="145"/>
      <c r="H212" s="146"/>
      <c r="I212" s="146"/>
      <c r="J212" s="145" t="str">
        <f t="shared" si="3"/>
        <v/>
      </c>
      <c r="K212" s="146"/>
      <c r="L212" s="146"/>
      <c r="M212" s="146"/>
      <c r="N212" s="146"/>
      <c r="O212" s="145" t="s">
        <v>4291</v>
      </c>
    </row>
    <row r="213" spans="4:15" x14ac:dyDescent="0.25">
      <c r="D213" s="146" t="s">
        <v>4292</v>
      </c>
      <c r="E213" s="145" t="s">
        <v>4286</v>
      </c>
      <c r="F213" s="146"/>
      <c r="G213" s="145"/>
      <c r="H213" s="146"/>
      <c r="I213" s="146"/>
      <c r="J213" s="145" t="str">
        <f t="shared" si="3"/>
        <v/>
      </c>
      <c r="K213" s="146"/>
      <c r="L213" s="146"/>
      <c r="M213" s="146"/>
      <c r="N213" s="146"/>
      <c r="O213" s="145" t="s">
        <v>4293</v>
      </c>
    </row>
    <row r="214" spans="4:15" x14ac:dyDescent="0.25">
      <c r="D214" s="146" t="s">
        <v>4294</v>
      </c>
      <c r="E214" s="145" t="s">
        <v>4286</v>
      </c>
      <c r="F214" s="146"/>
      <c r="G214" s="145"/>
      <c r="H214" s="146"/>
      <c r="I214" s="146"/>
      <c r="J214" s="145" t="str">
        <f t="shared" si="3"/>
        <v/>
      </c>
      <c r="K214" s="146"/>
      <c r="L214" s="146"/>
      <c r="M214" s="146"/>
      <c r="N214" s="146"/>
      <c r="O214" s="145" t="s">
        <v>4295</v>
      </c>
    </row>
    <row r="215" spans="4:15" x14ac:dyDescent="0.25">
      <c r="D215" s="146" t="s">
        <v>4296</v>
      </c>
      <c r="E215" s="145" t="s">
        <v>4286</v>
      </c>
      <c r="F215" s="146"/>
      <c r="G215" s="145"/>
      <c r="H215" s="146"/>
      <c r="I215" s="146"/>
      <c r="J215" s="145" t="str">
        <f t="shared" si="3"/>
        <v/>
      </c>
      <c r="K215" s="146"/>
      <c r="L215" s="146"/>
      <c r="M215" s="146"/>
      <c r="N215" s="146"/>
      <c r="O215" s="145" t="s">
        <v>4297</v>
      </c>
    </row>
    <row r="216" spans="4:15" x14ac:dyDescent="0.25">
      <c r="D216" s="146" t="s">
        <v>4298</v>
      </c>
      <c r="E216" s="145" t="s">
        <v>4286</v>
      </c>
      <c r="F216" s="146"/>
      <c r="G216" s="145"/>
      <c r="H216" s="146"/>
      <c r="I216" s="146"/>
      <c r="J216" s="145" t="str">
        <f t="shared" si="3"/>
        <v/>
      </c>
      <c r="K216" s="146"/>
      <c r="L216" s="146"/>
      <c r="M216" s="146"/>
      <c r="N216" s="146"/>
      <c r="O216" s="145" t="s">
        <v>4299</v>
      </c>
    </row>
    <row r="217" spans="4:15" x14ac:dyDescent="0.25">
      <c r="D217" s="146" t="s">
        <v>4300</v>
      </c>
      <c r="E217" s="145" t="s">
        <v>4286</v>
      </c>
      <c r="F217" s="146"/>
      <c r="G217" s="145"/>
      <c r="H217" s="146"/>
      <c r="I217" s="146"/>
      <c r="J217" s="145" t="str">
        <f t="shared" si="3"/>
        <v/>
      </c>
      <c r="K217" s="146"/>
      <c r="L217" s="146"/>
      <c r="M217" s="146"/>
      <c r="N217" s="146"/>
      <c r="O217" s="145" t="s">
        <v>4301</v>
      </c>
    </row>
    <row r="218" spans="4:15" x14ac:dyDescent="0.25">
      <c r="D218" s="146" t="s">
        <v>4302</v>
      </c>
      <c r="E218" s="145" t="s">
        <v>4286</v>
      </c>
      <c r="F218" s="146"/>
      <c r="G218" s="145"/>
      <c r="H218" s="146"/>
      <c r="I218" s="146"/>
      <c r="J218" s="145" t="str">
        <f t="shared" si="3"/>
        <v/>
      </c>
      <c r="K218" s="146"/>
      <c r="L218" s="146"/>
      <c r="M218" s="146"/>
      <c r="N218" s="146"/>
      <c r="O218" s="145" t="s">
        <v>4303</v>
      </c>
    </row>
    <row r="219" spans="4:15" x14ac:dyDescent="0.25">
      <c r="D219" s="146" t="s">
        <v>4304</v>
      </c>
      <c r="E219" s="145" t="s">
        <v>4286</v>
      </c>
      <c r="F219" s="146"/>
      <c r="G219" s="145"/>
      <c r="H219" s="146"/>
      <c r="I219" s="146"/>
      <c r="J219" s="145" t="str">
        <f t="shared" si="3"/>
        <v/>
      </c>
      <c r="K219" s="146"/>
      <c r="L219" s="146"/>
      <c r="M219" s="146"/>
      <c r="N219" s="146"/>
      <c r="O219" s="145" t="s">
        <v>4305</v>
      </c>
    </row>
    <row r="220" spans="4:15" x14ac:dyDescent="0.25">
      <c r="D220" s="146" t="s">
        <v>4306</v>
      </c>
      <c r="E220" s="145" t="s">
        <v>4307</v>
      </c>
      <c r="F220" s="146"/>
      <c r="G220" s="145"/>
      <c r="H220" s="146"/>
      <c r="I220" s="146"/>
      <c r="J220" s="145" t="str">
        <f t="shared" si="3"/>
        <v/>
      </c>
      <c r="K220" s="146"/>
      <c r="L220" s="146"/>
      <c r="M220" s="146"/>
      <c r="N220" s="146"/>
      <c r="O220" s="145" t="s">
        <v>4308</v>
      </c>
    </row>
    <row r="221" spans="4:15" x14ac:dyDescent="0.25">
      <c r="D221" s="146" t="s">
        <v>4309</v>
      </c>
      <c r="E221" s="145" t="s">
        <v>4307</v>
      </c>
      <c r="F221" s="146"/>
      <c r="G221" s="145"/>
      <c r="H221" s="146"/>
      <c r="I221" s="146"/>
      <c r="J221" s="145" t="str">
        <f t="shared" si="3"/>
        <v/>
      </c>
      <c r="K221" s="146"/>
      <c r="L221" s="146"/>
      <c r="M221" s="146"/>
      <c r="N221" s="146"/>
      <c r="O221" s="145" t="s">
        <v>4310</v>
      </c>
    </row>
    <row r="222" spans="4:15" x14ac:dyDescent="0.25">
      <c r="D222" s="146" t="s">
        <v>4311</v>
      </c>
      <c r="E222" s="145" t="s">
        <v>4307</v>
      </c>
      <c r="F222" s="146"/>
      <c r="G222" s="145"/>
      <c r="H222" s="146"/>
      <c r="I222" s="146"/>
      <c r="J222" s="145" t="str">
        <f t="shared" si="3"/>
        <v/>
      </c>
      <c r="K222" s="146"/>
      <c r="L222" s="146"/>
      <c r="M222" s="146"/>
      <c r="N222" s="146"/>
      <c r="O222" s="145" t="s">
        <v>4312</v>
      </c>
    </row>
    <row r="223" spans="4:15" x14ac:dyDescent="0.25">
      <c r="D223" s="146" t="s">
        <v>4313</v>
      </c>
      <c r="E223" s="145" t="s">
        <v>4307</v>
      </c>
      <c r="F223" s="146"/>
      <c r="G223" s="145"/>
      <c r="H223" s="146"/>
      <c r="I223" s="146"/>
      <c r="J223" s="145" t="str">
        <f t="shared" si="3"/>
        <v/>
      </c>
      <c r="K223" s="146"/>
      <c r="L223" s="146"/>
      <c r="M223" s="146"/>
      <c r="N223" s="146"/>
      <c r="O223" s="145" t="s">
        <v>4314</v>
      </c>
    </row>
    <row r="224" spans="4:15" x14ac:dyDescent="0.25">
      <c r="D224" s="146" t="s">
        <v>4315</v>
      </c>
      <c r="E224" s="145" t="s">
        <v>4307</v>
      </c>
      <c r="F224" s="146"/>
      <c r="G224" s="145"/>
      <c r="H224" s="146"/>
      <c r="I224" s="146"/>
      <c r="J224" s="145" t="str">
        <f t="shared" ref="J224:J287" si="4">F224&amp;H224&amp;I224</f>
        <v/>
      </c>
      <c r="K224" s="146"/>
      <c r="L224" s="146"/>
      <c r="M224" s="146"/>
      <c r="N224" s="146"/>
      <c r="O224" s="145" t="s">
        <v>4316</v>
      </c>
    </row>
    <row r="225" spans="4:15" x14ac:dyDescent="0.25">
      <c r="D225" s="146" t="s">
        <v>4317</v>
      </c>
      <c r="E225" s="145" t="s">
        <v>4307</v>
      </c>
      <c r="F225" s="146"/>
      <c r="G225" s="145"/>
      <c r="H225" s="146"/>
      <c r="I225" s="146"/>
      <c r="J225" s="145" t="str">
        <f t="shared" si="4"/>
        <v/>
      </c>
      <c r="K225" s="146"/>
      <c r="L225" s="146"/>
      <c r="M225" s="146"/>
      <c r="N225" s="146"/>
      <c r="O225" s="145" t="s">
        <v>4318</v>
      </c>
    </row>
    <row r="226" spans="4:15" x14ac:dyDescent="0.25">
      <c r="D226" s="146" t="s">
        <v>4319</v>
      </c>
      <c r="E226" s="145" t="s">
        <v>4307</v>
      </c>
      <c r="F226" s="146"/>
      <c r="G226" s="145"/>
      <c r="H226" s="146"/>
      <c r="I226" s="146"/>
      <c r="J226" s="145" t="str">
        <f t="shared" si="4"/>
        <v/>
      </c>
      <c r="K226" s="146"/>
      <c r="L226" s="146"/>
      <c r="M226" s="146"/>
      <c r="N226" s="146"/>
      <c r="O226" s="145" t="s">
        <v>4320</v>
      </c>
    </row>
    <row r="227" spans="4:15" x14ac:dyDescent="0.25">
      <c r="D227" s="146" t="s">
        <v>4321</v>
      </c>
      <c r="E227" s="145" t="s">
        <v>4307</v>
      </c>
      <c r="F227" s="146"/>
      <c r="G227" s="145"/>
      <c r="H227" s="146"/>
      <c r="I227" s="146"/>
      <c r="J227" s="145" t="str">
        <f t="shared" si="4"/>
        <v/>
      </c>
      <c r="K227" s="146"/>
      <c r="L227" s="146"/>
      <c r="M227" s="146"/>
      <c r="N227" s="146"/>
      <c r="O227" s="145" t="s">
        <v>4322</v>
      </c>
    </row>
    <row r="228" spans="4:15" x14ac:dyDescent="0.25">
      <c r="D228" s="146" t="s">
        <v>4323</v>
      </c>
      <c r="E228" s="145" t="s">
        <v>4307</v>
      </c>
      <c r="F228" s="146"/>
      <c r="G228" s="145"/>
      <c r="H228" s="146"/>
      <c r="I228" s="146"/>
      <c r="J228" s="145" t="str">
        <f t="shared" si="4"/>
        <v/>
      </c>
      <c r="K228" s="146"/>
      <c r="L228" s="146"/>
      <c r="M228" s="146"/>
      <c r="N228" s="146"/>
      <c r="O228" s="145" t="s">
        <v>4324</v>
      </c>
    </row>
    <row r="229" spans="4:15" x14ac:dyDescent="0.25">
      <c r="D229" s="146" t="s">
        <v>4325</v>
      </c>
      <c r="E229" s="145" t="s">
        <v>4307</v>
      </c>
      <c r="F229" s="146"/>
      <c r="G229" s="145"/>
      <c r="H229" s="146"/>
      <c r="I229" s="146"/>
      <c r="J229" s="145" t="str">
        <f t="shared" si="4"/>
        <v/>
      </c>
      <c r="K229" s="146"/>
      <c r="L229" s="146"/>
      <c r="M229" s="146"/>
      <c r="N229" s="146"/>
      <c r="O229" s="145" t="s">
        <v>4326</v>
      </c>
    </row>
    <row r="230" spans="4:15" x14ac:dyDescent="0.25">
      <c r="D230" s="146" t="s">
        <v>4327</v>
      </c>
      <c r="E230" s="145" t="s">
        <v>4328</v>
      </c>
      <c r="F230" s="146"/>
      <c r="G230" s="145"/>
      <c r="H230" s="146"/>
      <c r="I230" s="146"/>
      <c r="J230" s="145" t="str">
        <f t="shared" si="4"/>
        <v/>
      </c>
      <c r="K230" s="146"/>
      <c r="L230" s="146"/>
      <c r="M230" s="146"/>
      <c r="N230" s="146"/>
      <c r="O230" s="145" t="s">
        <v>4329</v>
      </c>
    </row>
    <row r="231" spans="4:15" x14ac:dyDescent="0.25">
      <c r="D231" s="146" t="s">
        <v>4330</v>
      </c>
      <c r="E231" s="145" t="s">
        <v>4328</v>
      </c>
      <c r="F231" s="146"/>
      <c r="G231" s="145"/>
      <c r="H231" s="146"/>
      <c r="I231" s="146"/>
      <c r="J231" s="145" t="str">
        <f t="shared" si="4"/>
        <v/>
      </c>
      <c r="K231" s="146"/>
      <c r="L231" s="146"/>
      <c r="M231" s="146"/>
      <c r="N231" s="146"/>
      <c r="O231" s="145" t="s">
        <v>4331</v>
      </c>
    </row>
    <row r="232" spans="4:15" x14ac:dyDescent="0.25">
      <c r="D232" s="146" t="s">
        <v>4332</v>
      </c>
      <c r="E232" s="145" t="s">
        <v>4328</v>
      </c>
      <c r="F232" s="146"/>
      <c r="G232" s="145"/>
      <c r="H232" s="146"/>
      <c r="I232" s="146"/>
      <c r="J232" s="145" t="str">
        <f t="shared" si="4"/>
        <v/>
      </c>
      <c r="K232" s="146"/>
      <c r="L232" s="146"/>
      <c r="M232" s="146"/>
      <c r="N232" s="146"/>
      <c r="O232" s="145" t="s">
        <v>4333</v>
      </c>
    </row>
    <row r="233" spans="4:15" x14ac:dyDescent="0.25">
      <c r="D233" s="146" t="s">
        <v>4334</v>
      </c>
      <c r="E233" s="145" t="s">
        <v>4328</v>
      </c>
      <c r="F233" s="146"/>
      <c r="G233" s="145"/>
      <c r="H233" s="146"/>
      <c r="I233" s="146"/>
      <c r="J233" s="145" t="str">
        <f t="shared" si="4"/>
        <v/>
      </c>
      <c r="K233" s="146"/>
      <c r="L233" s="146"/>
      <c r="M233" s="146"/>
      <c r="N233" s="146"/>
      <c r="O233" s="145" t="s">
        <v>4335</v>
      </c>
    </row>
    <row r="234" spans="4:15" x14ac:dyDescent="0.25">
      <c r="D234" s="146" t="s">
        <v>4336</v>
      </c>
      <c r="E234" s="145" t="s">
        <v>4328</v>
      </c>
      <c r="F234" s="146"/>
      <c r="G234" s="145"/>
      <c r="H234" s="146"/>
      <c r="I234" s="146"/>
      <c r="J234" s="145" t="str">
        <f t="shared" si="4"/>
        <v/>
      </c>
      <c r="K234" s="146"/>
      <c r="L234" s="146"/>
      <c r="M234" s="146"/>
      <c r="N234" s="146"/>
      <c r="O234" s="145" t="s">
        <v>4337</v>
      </c>
    </row>
    <row r="235" spans="4:15" x14ac:dyDescent="0.25">
      <c r="D235" s="146" t="s">
        <v>4338</v>
      </c>
      <c r="E235" s="145" t="s">
        <v>4328</v>
      </c>
      <c r="F235" s="146"/>
      <c r="G235" s="145"/>
      <c r="H235" s="146"/>
      <c r="I235" s="146"/>
      <c r="J235" s="145" t="str">
        <f t="shared" si="4"/>
        <v/>
      </c>
      <c r="K235" s="146"/>
      <c r="L235" s="146"/>
      <c r="M235" s="146"/>
      <c r="N235" s="146"/>
      <c r="O235" s="145" t="s">
        <v>4339</v>
      </c>
    </row>
    <row r="236" spans="4:15" x14ac:dyDescent="0.25">
      <c r="D236" s="146" t="s">
        <v>4340</v>
      </c>
      <c r="E236" s="145" t="s">
        <v>4328</v>
      </c>
      <c r="F236" s="146"/>
      <c r="G236" s="145"/>
      <c r="H236" s="146"/>
      <c r="I236" s="146"/>
      <c r="J236" s="145" t="str">
        <f t="shared" si="4"/>
        <v/>
      </c>
      <c r="K236" s="146"/>
      <c r="L236" s="146"/>
      <c r="M236" s="146"/>
      <c r="N236" s="146"/>
      <c r="O236" s="145" t="s">
        <v>4341</v>
      </c>
    </row>
    <row r="237" spans="4:15" x14ac:dyDescent="0.25">
      <c r="D237" s="146" t="s">
        <v>4342</v>
      </c>
      <c r="E237" s="145" t="s">
        <v>4328</v>
      </c>
      <c r="F237" s="146"/>
      <c r="G237" s="145"/>
      <c r="H237" s="146"/>
      <c r="I237" s="146"/>
      <c r="J237" s="145" t="str">
        <f t="shared" si="4"/>
        <v/>
      </c>
      <c r="K237" s="146"/>
      <c r="L237" s="146"/>
      <c r="M237" s="146"/>
      <c r="N237" s="146"/>
      <c r="O237" s="145" t="s">
        <v>4343</v>
      </c>
    </row>
    <row r="238" spans="4:15" x14ac:dyDescent="0.25">
      <c r="D238" s="146" t="s">
        <v>4344</v>
      </c>
      <c r="E238" s="145" t="s">
        <v>4328</v>
      </c>
      <c r="F238" s="146"/>
      <c r="G238" s="145"/>
      <c r="H238" s="146"/>
      <c r="I238" s="146"/>
      <c r="J238" s="145" t="str">
        <f t="shared" si="4"/>
        <v/>
      </c>
      <c r="K238" s="146"/>
      <c r="L238" s="146"/>
      <c r="M238" s="146"/>
      <c r="N238" s="146"/>
      <c r="O238" s="145" t="s">
        <v>4345</v>
      </c>
    </row>
    <row r="239" spans="4:15" x14ac:dyDescent="0.25">
      <c r="D239" s="146" t="s">
        <v>4346</v>
      </c>
      <c r="E239" s="145" t="s">
        <v>4328</v>
      </c>
      <c r="F239" s="146"/>
      <c r="G239" s="145"/>
      <c r="H239" s="146"/>
      <c r="I239" s="146"/>
      <c r="J239" s="145" t="str">
        <f t="shared" si="4"/>
        <v/>
      </c>
      <c r="K239" s="146"/>
      <c r="L239" s="146"/>
      <c r="M239" s="146"/>
      <c r="N239" s="146"/>
      <c r="O239" s="145" t="s">
        <v>4347</v>
      </c>
    </row>
    <row r="240" spans="4:15" x14ac:dyDescent="0.25">
      <c r="D240" s="146" t="s">
        <v>4348</v>
      </c>
      <c r="E240" s="145" t="s">
        <v>4349</v>
      </c>
      <c r="F240" s="146"/>
      <c r="G240" s="145"/>
      <c r="H240" s="146"/>
      <c r="I240" s="146"/>
      <c r="J240" s="145" t="str">
        <f t="shared" si="4"/>
        <v/>
      </c>
      <c r="K240" s="146"/>
      <c r="L240" s="146"/>
      <c r="M240" s="146"/>
      <c r="N240" s="146"/>
      <c r="O240" s="145" t="s">
        <v>4350</v>
      </c>
    </row>
    <row r="241" spans="4:15" x14ac:dyDescent="0.25">
      <c r="D241" s="146" t="s">
        <v>4351</v>
      </c>
      <c r="E241" s="145" t="s">
        <v>4349</v>
      </c>
      <c r="F241" s="146"/>
      <c r="G241" s="145"/>
      <c r="H241" s="146"/>
      <c r="I241" s="146"/>
      <c r="J241" s="145" t="str">
        <f t="shared" si="4"/>
        <v/>
      </c>
      <c r="K241" s="146"/>
      <c r="L241" s="146"/>
      <c r="M241" s="146"/>
      <c r="N241" s="146"/>
      <c r="O241" s="145" t="s">
        <v>4352</v>
      </c>
    </row>
    <row r="242" spans="4:15" x14ac:dyDescent="0.25">
      <c r="D242" s="146" t="s">
        <v>4353</v>
      </c>
      <c r="E242" s="145" t="s">
        <v>4349</v>
      </c>
      <c r="F242" s="146"/>
      <c r="G242" s="145"/>
      <c r="H242" s="146"/>
      <c r="I242" s="146"/>
      <c r="J242" s="145" t="str">
        <f t="shared" si="4"/>
        <v/>
      </c>
      <c r="K242" s="146"/>
      <c r="L242" s="146"/>
      <c r="M242" s="146"/>
      <c r="N242" s="146"/>
      <c r="O242" s="145" t="s">
        <v>4354</v>
      </c>
    </row>
    <row r="243" spans="4:15" x14ac:dyDescent="0.25">
      <c r="D243" s="146" t="s">
        <v>4355</v>
      </c>
      <c r="E243" s="145" t="s">
        <v>4349</v>
      </c>
      <c r="F243" s="146"/>
      <c r="G243" s="145"/>
      <c r="H243" s="146"/>
      <c r="I243" s="146"/>
      <c r="J243" s="145" t="str">
        <f t="shared" si="4"/>
        <v/>
      </c>
      <c r="K243" s="146"/>
      <c r="L243" s="146"/>
      <c r="M243" s="146"/>
      <c r="N243" s="146"/>
      <c r="O243" s="145" t="s">
        <v>4356</v>
      </c>
    </row>
    <row r="244" spans="4:15" x14ac:dyDescent="0.25">
      <c r="D244" s="146" t="s">
        <v>4357</v>
      </c>
      <c r="E244" s="145" t="s">
        <v>4349</v>
      </c>
      <c r="F244" s="146"/>
      <c r="G244" s="145"/>
      <c r="H244" s="146"/>
      <c r="I244" s="146"/>
      <c r="J244" s="145" t="str">
        <f t="shared" si="4"/>
        <v/>
      </c>
      <c r="K244" s="146"/>
      <c r="L244" s="146"/>
      <c r="M244" s="146"/>
      <c r="N244" s="146"/>
      <c r="O244" s="145" t="s">
        <v>4358</v>
      </c>
    </row>
    <row r="245" spans="4:15" x14ac:dyDescent="0.25">
      <c r="D245" s="146" t="s">
        <v>4359</v>
      </c>
      <c r="E245" s="145" t="s">
        <v>4349</v>
      </c>
      <c r="F245" s="146"/>
      <c r="G245" s="145"/>
      <c r="H245" s="146"/>
      <c r="I245" s="146"/>
      <c r="J245" s="145" t="str">
        <f t="shared" si="4"/>
        <v/>
      </c>
      <c r="K245" s="146"/>
      <c r="L245" s="146"/>
      <c r="M245" s="146"/>
      <c r="N245" s="146"/>
      <c r="O245" s="145" t="s">
        <v>4360</v>
      </c>
    </row>
    <row r="246" spans="4:15" x14ac:dyDescent="0.25">
      <c r="D246" s="146" t="s">
        <v>4361</v>
      </c>
      <c r="E246" s="145" t="s">
        <v>4349</v>
      </c>
      <c r="F246" s="146"/>
      <c r="G246" s="145"/>
      <c r="H246" s="146"/>
      <c r="I246" s="146"/>
      <c r="J246" s="145" t="str">
        <f t="shared" si="4"/>
        <v/>
      </c>
      <c r="K246" s="146"/>
      <c r="L246" s="146"/>
      <c r="M246" s="146"/>
      <c r="N246" s="146"/>
      <c r="O246" s="145" t="s">
        <v>4362</v>
      </c>
    </row>
    <row r="247" spans="4:15" x14ac:dyDescent="0.25">
      <c r="D247" s="146" t="s">
        <v>4363</v>
      </c>
      <c r="E247" s="145" t="s">
        <v>4349</v>
      </c>
      <c r="F247" s="146"/>
      <c r="G247" s="145"/>
      <c r="H247" s="146"/>
      <c r="I247" s="146"/>
      <c r="J247" s="145" t="str">
        <f t="shared" si="4"/>
        <v/>
      </c>
      <c r="K247" s="146"/>
      <c r="L247" s="146"/>
      <c r="M247" s="146"/>
      <c r="N247" s="146"/>
      <c r="O247" s="145" t="s">
        <v>4364</v>
      </c>
    </row>
    <row r="248" spans="4:15" x14ac:dyDescent="0.25">
      <c r="D248" s="146" t="s">
        <v>4365</v>
      </c>
      <c r="E248" s="145" t="s">
        <v>4349</v>
      </c>
      <c r="F248" s="146"/>
      <c r="G248" s="145"/>
      <c r="H248" s="146"/>
      <c r="I248" s="146"/>
      <c r="J248" s="145" t="str">
        <f t="shared" si="4"/>
        <v/>
      </c>
      <c r="K248" s="146"/>
      <c r="L248" s="146"/>
      <c r="M248" s="146"/>
      <c r="N248" s="146"/>
      <c r="O248" s="145" t="s">
        <v>4366</v>
      </c>
    </row>
    <row r="249" spans="4:15" x14ac:dyDescent="0.25">
      <c r="D249" s="146" t="s">
        <v>4367</v>
      </c>
      <c r="E249" s="145" t="s">
        <v>4349</v>
      </c>
      <c r="F249" s="146"/>
      <c r="G249" s="145"/>
      <c r="H249" s="146"/>
      <c r="I249" s="146"/>
      <c r="J249" s="145" t="str">
        <f t="shared" si="4"/>
        <v/>
      </c>
      <c r="K249" s="146"/>
      <c r="L249" s="146"/>
      <c r="M249" s="146"/>
      <c r="N249" s="146"/>
      <c r="O249" s="145" t="s">
        <v>4368</v>
      </c>
    </row>
    <row r="250" spans="4:15" x14ac:dyDescent="0.25">
      <c r="D250" s="146" t="s">
        <v>4369</v>
      </c>
      <c r="E250" s="145" t="s">
        <v>4370</v>
      </c>
      <c r="F250" s="146"/>
      <c r="G250" s="145"/>
      <c r="H250" s="146"/>
      <c r="I250" s="146"/>
      <c r="J250" s="145" t="str">
        <f t="shared" si="4"/>
        <v/>
      </c>
      <c r="K250" s="146"/>
      <c r="L250" s="146"/>
      <c r="M250" s="146"/>
      <c r="N250" s="146"/>
      <c r="O250" s="145" t="s">
        <v>4371</v>
      </c>
    </row>
    <row r="251" spans="4:15" x14ac:dyDescent="0.25">
      <c r="D251" s="146" t="s">
        <v>4372</v>
      </c>
      <c r="E251" s="145" t="s">
        <v>4370</v>
      </c>
      <c r="F251" s="146"/>
      <c r="G251" s="145"/>
      <c r="H251" s="146"/>
      <c r="I251" s="146"/>
      <c r="J251" s="145" t="str">
        <f t="shared" si="4"/>
        <v/>
      </c>
      <c r="K251" s="146"/>
      <c r="L251" s="146"/>
      <c r="M251" s="146"/>
      <c r="N251" s="146"/>
      <c r="O251" s="145" t="s">
        <v>4373</v>
      </c>
    </row>
    <row r="252" spans="4:15" x14ac:dyDescent="0.25">
      <c r="D252" s="146" t="s">
        <v>4374</v>
      </c>
      <c r="E252" s="145" t="s">
        <v>4370</v>
      </c>
      <c r="F252" s="146"/>
      <c r="G252" s="145"/>
      <c r="H252" s="146"/>
      <c r="I252" s="146"/>
      <c r="J252" s="145" t="str">
        <f t="shared" si="4"/>
        <v/>
      </c>
      <c r="K252" s="146"/>
      <c r="L252" s="146"/>
      <c r="M252" s="146"/>
      <c r="N252" s="146"/>
      <c r="O252" s="145" t="s">
        <v>4375</v>
      </c>
    </row>
    <row r="253" spans="4:15" x14ac:dyDescent="0.25">
      <c r="D253" s="146" t="s">
        <v>4376</v>
      </c>
      <c r="E253" s="145" t="s">
        <v>4370</v>
      </c>
      <c r="F253" s="146"/>
      <c r="G253" s="145"/>
      <c r="H253" s="146"/>
      <c r="I253" s="146"/>
      <c r="J253" s="145" t="str">
        <f t="shared" si="4"/>
        <v/>
      </c>
      <c r="K253" s="146"/>
      <c r="L253" s="146"/>
      <c r="M253" s="146"/>
      <c r="N253" s="146"/>
      <c r="O253" s="145" t="s">
        <v>4377</v>
      </c>
    </row>
    <row r="254" spans="4:15" x14ac:dyDescent="0.25">
      <c r="D254" s="146" t="s">
        <v>4378</v>
      </c>
      <c r="E254" s="145" t="s">
        <v>4370</v>
      </c>
      <c r="F254" s="146"/>
      <c r="G254" s="145"/>
      <c r="H254" s="146"/>
      <c r="I254" s="146"/>
      <c r="J254" s="145" t="str">
        <f t="shared" si="4"/>
        <v/>
      </c>
      <c r="K254" s="146"/>
      <c r="L254" s="146"/>
      <c r="M254" s="146"/>
      <c r="N254" s="146"/>
      <c r="O254" s="145" t="s">
        <v>4379</v>
      </c>
    </row>
    <row r="255" spans="4:15" x14ac:dyDescent="0.25">
      <c r="D255" s="146" t="s">
        <v>4380</v>
      </c>
      <c r="E255" s="145" t="s">
        <v>4370</v>
      </c>
      <c r="F255" s="146"/>
      <c r="G255" s="145"/>
      <c r="H255" s="146"/>
      <c r="I255" s="146"/>
      <c r="J255" s="145" t="str">
        <f t="shared" si="4"/>
        <v/>
      </c>
      <c r="K255" s="146"/>
      <c r="L255" s="146"/>
      <c r="M255" s="146"/>
      <c r="N255" s="146"/>
      <c r="O255" s="145" t="s">
        <v>4381</v>
      </c>
    </row>
    <row r="256" spans="4:15" x14ac:dyDescent="0.25">
      <c r="D256" s="146" t="s">
        <v>4382</v>
      </c>
      <c r="E256" s="145" t="s">
        <v>4370</v>
      </c>
      <c r="F256" s="146"/>
      <c r="G256" s="145"/>
      <c r="H256" s="146"/>
      <c r="I256" s="146"/>
      <c r="J256" s="145" t="str">
        <f t="shared" si="4"/>
        <v/>
      </c>
      <c r="K256" s="146"/>
      <c r="L256" s="146"/>
      <c r="M256" s="146"/>
      <c r="N256" s="146"/>
      <c r="O256" s="145" t="s">
        <v>4383</v>
      </c>
    </row>
    <row r="257" spans="4:15" x14ac:dyDescent="0.25">
      <c r="D257" s="146" t="s">
        <v>4384</v>
      </c>
      <c r="E257" s="145" t="s">
        <v>4370</v>
      </c>
      <c r="F257" s="146"/>
      <c r="G257" s="145"/>
      <c r="H257" s="146"/>
      <c r="I257" s="146"/>
      <c r="J257" s="145" t="str">
        <f t="shared" si="4"/>
        <v/>
      </c>
      <c r="K257" s="146"/>
      <c r="L257" s="146"/>
      <c r="M257" s="146"/>
      <c r="N257" s="146"/>
      <c r="O257" s="145" t="s">
        <v>4385</v>
      </c>
    </row>
    <row r="258" spans="4:15" x14ac:dyDescent="0.25">
      <c r="D258" s="146" t="s">
        <v>4386</v>
      </c>
      <c r="E258" s="145" t="s">
        <v>4370</v>
      </c>
      <c r="F258" s="146"/>
      <c r="G258" s="145"/>
      <c r="H258" s="146"/>
      <c r="I258" s="146"/>
      <c r="J258" s="145" t="str">
        <f t="shared" si="4"/>
        <v/>
      </c>
      <c r="K258" s="146"/>
      <c r="L258" s="146"/>
      <c r="M258" s="146"/>
      <c r="N258" s="146"/>
      <c r="O258" s="145" t="s">
        <v>4387</v>
      </c>
    </row>
    <row r="259" spans="4:15" x14ac:dyDescent="0.25">
      <c r="D259" s="146" t="s">
        <v>4388</v>
      </c>
      <c r="E259" s="145" t="s">
        <v>4370</v>
      </c>
      <c r="F259" s="146"/>
      <c r="G259" s="145"/>
      <c r="H259" s="146"/>
      <c r="I259" s="146"/>
      <c r="J259" s="145" t="str">
        <f t="shared" si="4"/>
        <v/>
      </c>
      <c r="K259" s="146"/>
      <c r="L259" s="146"/>
      <c r="M259" s="146"/>
      <c r="N259" s="146"/>
      <c r="O259" s="145" t="s">
        <v>4389</v>
      </c>
    </row>
    <row r="260" spans="4:15" x14ac:dyDescent="0.25">
      <c r="D260" s="146" t="s">
        <v>4390</v>
      </c>
      <c r="E260" s="145" t="s">
        <v>4391</v>
      </c>
      <c r="F260" s="146"/>
      <c r="G260" s="145"/>
      <c r="H260" s="146"/>
      <c r="I260" s="146"/>
      <c r="J260" s="145" t="str">
        <f t="shared" si="4"/>
        <v/>
      </c>
      <c r="K260" s="146"/>
      <c r="L260" s="146"/>
      <c r="M260" s="146"/>
      <c r="N260" s="146"/>
      <c r="O260" s="145" t="s">
        <v>4392</v>
      </c>
    </row>
    <row r="261" spans="4:15" x14ac:dyDescent="0.25">
      <c r="D261" s="146" t="s">
        <v>4393</v>
      </c>
      <c r="E261" s="145" t="s">
        <v>4391</v>
      </c>
      <c r="F261" s="146"/>
      <c r="G261" s="145"/>
      <c r="H261" s="146"/>
      <c r="I261" s="146"/>
      <c r="J261" s="145" t="str">
        <f t="shared" si="4"/>
        <v/>
      </c>
      <c r="K261" s="146"/>
      <c r="L261" s="146"/>
      <c r="M261" s="146"/>
      <c r="N261" s="146"/>
      <c r="O261" s="145" t="s">
        <v>4394</v>
      </c>
    </row>
    <row r="262" spans="4:15" x14ac:dyDescent="0.25">
      <c r="D262" s="146" t="s">
        <v>4395</v>
      </c>
      <c r="E262" s="145" t="s">
        <v>4391</v>
      </c>
      <c r="F262" s="146"/>
      <c r="G262" s="145"/>
      <c r="H262" s="146"/>
      <c r="I262" s="146"/>
      <c r="J262" s="145" t="str">
        <f t="shared" si="4"/>
        <v/>
      </c>
      <c r="K262" s="146"/>
      <c r="L262" s="146"/>
      <c r="M262" s="146"/>
      <c r="N262" s="146"/>
      <c r="O262" s="145" t="s">
        <v>4396</v>
      </c>
    </row>
    <row r="263" spans="4:15" x14ac:dyDescent="0.25">
      <c r="D263" s="146" t="s">
        <v>4397</v>
      </c>
      <c r="E263" s="145" t="s">
        <v>4391</v>
      </c>
      <c r="F263" s="146"/>
      <c r="G263" s="145"/>
      <c r="H263" s="146"/>
      <c r="I263" s="146"/>
      <c r="J263" s="145" t="str">
        <f t="shared" si="4"/>
        <v/>
      </c>
      <c r="K263" s="146"/>
      <c r="L263" s="146"/>
      <c r="M263" s="146"/>
      <c r="N263" s="146"/>
      <c r="O263" s="145" t="s">
        <v>4398</v>
      </c>
    </row>
    <row r="264" spans="4:15" x14ac:dyDescent="0.25">
      <c r="D264" s="146" t="s">
        <v>4399</v>
      </c>
      <c r="E264" s="145" t="s">
        <v>4391</v>
      </c>
      <c r="F264" s="146"/>
      <c r="G264" s="145"/>
      <c r="H264" s="146"/>
      <c r="I264" s="146"/>
      <c r="J264" s="145" t="str">
        <f t="shared" si="4"/>
        <v/>
      </c>
      <c r="K264" s="146"/>
      <c r="L264" s="146"/>
      <c r="M264" s="146"/>
      <c r="N264" s="146"/>
      <c r="O264" s="145" t="s">
        <v>4400</v>
      </c>
    </row>
    <row r="265" spans="4:15" x14ac:dyDescent="0.25">
      <c r="D265" s="146" t="s">
        <v>4401</v>
      </c>
      <c r="E265" s="145" t="s">
        <v>4391</v>
      </c>
      <c r="F265" s="146"/>
      <c r="G265" s="145"/>
      <c r="H265" s="146"/>
      <c r="I265" s="146"/>
      <c r="J265" s="145" t="str">
        <f t="shared" si="4"/>
        <v/>
      </c>
      <c r="K265" s="146"/>
      <c r="L265" s="146"/>
      <c r="M265" s="146"/>
      <c r="N265" s="146"/>
      <c r="O265" s="145" t="s">
        <v>4402</v>
      </c>
    </row>
    <row r="266" spans="4:15" x14ac:dyDescent="0.25">
      <c r="D266" s="146" t="s">
        <v>4403</v>
      </c>
      <c r="E266" s="145" t="s">
        <v>4391</v>
      </c>
      <c r="F266" s="146"/>
      <c r="G266" s="145"/>
      <c r="H266" s="146"/>
      <c r="I266" s="146"/>
      <c r="J266" s="145" t="str">
        <f t="shared" si="4"/>
        <v/>
      </c>
      <c r="K266" s="146"/>
      <c r="L266" s="146"/>
      <c r="M266" s="146"/>
      <c r="N266" s="146"/>
      <c r="O266" s="145" t="s">
        <v>4404</v>
      </c>
    </row>
    <row r="267" spans="4:15" x14ac:dyDescent="0.25">
      <c r="D267" s="146" t="s">
        <v>4405</v>
      </c>
      <c r="E267" s="145" t="s">
        <v>4391</v>
      </c>
      <c r="F267" s="146"/>
      <c r="G267" s="145"/>
      <c r="H267" s="146"/>
      <c r="I267" s="146"/>
      <c r="J267" s="145" t="str">
        <f t="shared" si="4"/>
        <v/>
      </c>
      <c r="K267" s="146"/>
      <c r="L267" s="146"/>
      <c r="M267" s="146"/>
      <c r="N267" s="146"/>
      <c r="O267" s="145" t="s">
        <v>4406</v>
      </c>
    </row>
    <row r="268" spans="4:15" x14ac:dyDescent="0.25">
      <c r="D268" s="146" t="s">
        <v>4407</v>
      </c>
      <c r="E268" s="145" t="s">
        <v>4391</v>
      </c>
      <c r="F268" s="146"/>
      <c r="G268" s="145"/>
      <c r="H268" s="146"/>
      <c r="I268" s="146"/>
      <c r="J268" s="145" t="str">
        <f t="shared" si="4"/>
        <v/>
      </c>
      <c r="K268" s="146"/>
      <c r="L268" s="146"/>
      <c r="M268" s="146"/>
      <c r="N268" s="146"/>
      <c r="O268" s="145" t="s">
        <v>4408</v>
      </c>
    </row>
    <row r="269" spans="4:15" x14ac:dyDescent="0.25">
      <c r="D269" s="146" t="s">
        <v>4409</v>
      </c>
      <c r="E269" s="145" t="s">
        <v>4391</v>
      </c>
      <c r="F269" s="146"/>
      <c r="G269" s="145"/>
      <c r="H269" s="146"/>
      <c r="I269" s="146"/>
      <c r="J269" s="145" t="str">
        <f t="shared" si="4"/>
        <v/>
      </c>
      <c r="K269" s="146"/>
      <c r="L269" s="146"/>
      <c r="M269" s="146"/>
      <c r="N269" s="146"/>
      <c r="O269" s="145" t="s">
        <v>4410</v>
      </c>
    </row>
    <row r="270" spans="4:15" x14ac:dyDescent="0.25">
      <c r="D270" s="146" t="s">
        <v>4411</v>
      </c>
      <c r="E270" s="145" t="s">
        <v>4412</v>
      </c>
      <c r="F270" s="146"/>
      <c r="G270" s="145"/>
      <c r="H270" s="146"/>
      <c r="I270" s="146"/>
      <c r="J270" s="145" t="str">
        <f t="shared" si="4"/>
        <v/>
      </c>
      <c r="K270" s="146"/>
      <c r="L270" s="146"/>
      <c r="M270" s="146"/>
      <c r="N270" s="146"/>
      <c r="O270" s="145" t="s">
        <v>4413</v>
      </c>
    </row>
    <row r="271" spans="4:15" x14ac:dyDescent="0.25">
      <c r="D271" s="146" t="s">
        <v>4414</v>
      </c>
      <c r="E271" s="145" t="s">
        <v>4412</v>
      </c>
      <c r="F271" s="146"/>
      <c r="G271" s="145"/>
      <c r="H271" s="146"/>
      <c r="I271" s="146"/>
      <c r="J271" s="145" t="str">
        <f t="shared" si="4"/>
        <v/>
      </c>
      <c r="K271" s="146"/>
      <c r="L271" s="146"/>
      <c r="M271" s="146"/>
      <c r="N271" s="146"/>
      <c r="O271" s="145" t="s">
        <v>4415</v>
      </c>
    </row>
    <row r="272" spans="4:15" x14ac:dyDescent="0.25">
      <c r="D272" s="146" t="s">
        <v>4416</v>
      </c>
      <c r="E272" s="145" t="s">
        <v>4412</v>
      </c>
      <c r="F272" s="146"/>
      <c r="G272" s="145"/>
      <c r="H272" s="146"/>
      <c r="I272" s="146"/>
      <c r="J272" s="145" t="str">
        <f t="shared" si="4"/>
        <v/>
      </c>
      <c r="K272" s="146"/>
      <c r="L272" s="146"/>
      <c r="M272" s="146"/>
      <c r="N272" s="146"/>
      <c r="O272" s="145" t="s">
        <v>4417</v>
      </c>
    </row>
    <row r="273" spans="4:15" x14ac:dyDescent="0.25">
      <c r="D273" s="146" t="s">
        <v>4418</v>
      </c>
      <c r="E273" s="145" t="s">
        <v>4412</v>
      </c>
      <c r="F273" s="146"/>
      <c r="G273" s="145"/>
      <c r="H273" s="146"/>
      <c r="I273" s="146"/>
      <c r="J273" s="145" t="str">
        <f t="shared" si="4"/>
        <v/>
      </c>
      <c r="K273" s="146"/>
      <c r="L273" s="146"/>
      <c r="M273" s="146"/>
      <c r="N273" s="146"/>
      <c r="O273" s="145" t="s">
        <v>4419</v>
      </c>
    </row>
    <row r="274" spans="4:15" x14ac:dyDescent="0.25">
      <c r="D274" s="146" t="s">
        <v>4420</v>
      </c>
      <c r="E274" s="145" t="s">
        <v>4412</v>
      </c>
      <c r="F274" s="146"/>
      <c r="G274" s="145"/>
      <c r="H274" s="146"/>
      <c r="I274" s="146"/>
      <c r="J274" s="145" t="str">
        <f t="shared" si="4"/>
        <v/>
      </c>
      <c r="K274" s="146"/>
      <c r="L274" s="146"/>
      <c r="M274" s="146"/>
      <c r="N274" s="146"/>
      <c r="O274" s="145" t="s">
        <v>4421</v>
      </c>
    </row>
    <row r="275" spans="4:15" x14ac:dyDescent="0.25">
      <c r="D275" s="146" t="s">
        <v>4422</v>
      </c>
      <c r="E275" s="145" t="s">
        <v>4412</v>
      </c>
      <c r="F275" s="146"/>
      <c r="G275" s="145"/>
      <c r="H275" s="146"/>
      <c r="I275" s="146"/>
      <c r="J275" s="145" t="str">
        <f t="shared" si="4"/>
        <v/>
      </c>
      <c r="K275" s="146"/>
      <c r="L275" s="146"/>
      <c r="M275" s="146"/>
      <c r="N275" s="146"/>
      <c r="O275" s="145" t="s">
        <v>4423</v>
      </c>
    </row>
    <row r="276" spans="4:15" x14ac:dyDescent="0.25">
      <c r="D276" s="146" t="s">
        <v>4424</v>
      </c>
      <c r="E276" s="145" t="s">
        <v>4412</v>
      </c>
      <c r="F276" s="146"/>
      <c r="G276" s="145"/>
      <c r="H276" s="146"/>
      <c r="I276" s="146"/>
      <c r="J276" s="145" t="str">
        <f t="shared" si="4"/>
        <v/>
      </c>
      <c r="K276" s="146"/>
      <c r="L276" s="146"/>
      <c r="M276" s="146"/>
      <c r="N276" s="146"/>
      <c r="O276" s="145" t="s">
        <v>4425</v>
      </c>
    </row>
    <row r="277" spans="4:15" x14ac:dyDescent="0.25">
      <c r="D277" s="146" t="s">
        <v>4426</v>
      </c>
      <c r="E277" s="145" t="s">
        <v>4412</v>
      </c>
      <c r="F277" s="146"/>
      <c r="G277" s="145"/>
      <c r="H277" s="146"/>
      <c r="I277" s="146"/>
      <c r="J277" s="145" t="str">
        <f t="shared" si="4"/>
        <v/>
      </c>
      <c r="K277" s="146"/>
      <c r="L277" s="146"/>
      <c r="M277" s="146"/>
      <c r="N277" s="146"/>
      <c r="O277" s="145" t="s">
        <v>4427</v>
      </c>
    </row>
    <row r="278" spans="4:15" x14ac:dyDescent="0.25">
      <c r="D278" s="146" t="s">
        <v>4428</v>
      </c>
      <c r="E278" s="145" t="s">
        <v>4412</v>
      </c>
      <c r="F278" s="146"/>
      <c r="G278" s="145"/>
      <c r="H278" s="146"/>
      <c r="I278" s="146"/>
      <c r="J278" s="145" t="str">
        <f t="shared" si="4"/>
        <v/>
      </c>
      <c r="K278" s="146"/>
      <c r="L278" s="146"/>
      <c r="M278" s="146"/>
      <c r="N278" s="146"/>
      <c r="O278" s="145" t="s">
        <v>4429</v>
      </c>
    </row>
    <row r="279" spans="4:15" x14ac:dyDescent="0.25">
      <c r="D279" s="146" t="s">
        <v>4430</v>
      </c>
      <c r="E279" s="145" t="s">
        <v>4412</v>
      </c>
      <c r="F279" s="146"/>
      <c r="G279" s="145"/>
      <c r="H279" s="146"/>
      <c r="I279" s="146"/>
      <c r="J279" s="145" t="str">
        <f t="shared" si="4"/>
        <v/>
      </c>
      <c r="K279" s="146"/>
      <c r="L279" s="146"/>
      <c r="M279" s="146"/>
      <c r="N279" s="146"/>
      <c r="O279" s="145" t="s">
        <v>4431</v>
      </c>
    </row>
    <row r="280" spans="4:15" x14ac:dyDescent="0.25">
      <c r="D280" s="146" t="s">
        <v>4432</v>
      </c>
      <c r="E280" s="145" t="s">
        <v>4433</v>
      </c>
      <c r="F280" s="146"/>
      <c r="G280" s="145"/>
      <c r="H280" s="146"/>
      <c r="I280" s="146"/>
      <c r="J280" s="145" t="str">
        <f t="shared" si="4"/>
        <v/>
      </c>
      <c r="K280" s="146"/>
      <c r="L280" s="146"/>
      <c r="M280" s="146"/>
      <c r="N280" s="146"/>
      <c r="O280" s="145" t="s">
        <v>4434</v>
      </c>
    </row>
    <row r="281" spans="4:15" x14ac:dyDescent="0.25">
      <c r="D281" s="146" t="s">
        <v>4435</v>
      </c>
      <c r="E281" s="145" t="s">
        <v>4433</v>
      </c>
      <c r="F281" s="146"/>
      <c r="G281" s="145"/>
      <c r="H281" s="146"/>
      <c r="I281" s="146"/>
      <c r="J281" s="145" t="str">
        <f t="shared" si="4"/>
        <v/>
      </c>
      <c r="K281" s="146"/>
      <c r="L281" s="146"/>
      <c r="M281" s="146"/>
      <c r="N281" s="146"/>
      <c r="O281" s="145" t="s">
        <v>4436</v>
      </c>
    </row>
    <row r="282" spans="4:15" x14ac:dyDescent="0.25">
      <c r="D282" s="146" t="s">
        <v>4437</v>
      </c>
      <c r="E282" s="145" t="s">
        <v>4433</v>
      </c>
      <c r="F282" s="146"/>
      <c r="G282" s="145"/>
      <c r="H282" s="146"/>
      <c r="I282" s="146"/>
      <c r="J282" s="145" t="str">
        <f t="shared" si="4"/>
        <v/>
      </c>
      <c r="K282" s="146"/>
      <c r="L282" s="146"/>
      <c r="M282" s="146"/>
      <c r="N282" s="146"/>
      <c r="O282" s="145" t="s">
        <v>4438</v>
      </c>
    </row>
    <row r="283" spans="4:15" x14ac:dyDescent="0.25">
      <c r="D283" s="146" t="s">
        <v>4439</v>
      </c>
      <c r="E283" s="145" t="s">
        <v>4433</v>
      </c>
      <c r="F283" s="146"/>
      <c r="G283" s="145"/>
      <c r="H283" s="146"/>
      <c r="I283" s="146"/>
      <c r="J283" s="145" t="str">
        <f t="shared" si="4"/>
        <v/>
      </c>
      <c r="K283" s="146"/>
      <c r="L283" s="146"/>
      <c r="M283" s="146"/>
      <c r="N283" s="146"/>
      <c r="O283" s="145" t="s">
        <v>4440</v>
      </c>
    </row>
    <row r="284" spans="4:15" x14ac:dyDescent="0.25">
      <c r="D284" s="146" t="s">
        <v>4441</v>
      </c>
      <c r="E284" s="145" t="s">
        <v>4433</v>
      </c>
      <c r="F284" s="146"/>
      <c r="G284" s="145"/>
      <c r="H284" s="146"/>
      <c r="I284" s="146"/>
      <c r="J284" s="145" t="str">
        <f t="shared" si="4"/>
        <v/>
      </c>
      <c r="K284" s="146"/>
      <c r="L284" s="146"/>
      <c r="M284" s="146"/>
      <c r="N284" s="146"/>
      <c r="O284" s="145" t="s">
        <v>4442</v>
      </c>
    </row>
    <row r="285" spans="4:15" x14ac:dyDescent="0.25">
      <c r="D285" s="146" t="s">
        <v>4443</v>
      </c>
      <c r="E285" s="145" t="s">
        <v>4433</v>
      </c>
      <c r="F285" s="146"/>
      <c r="G285" s="145"/>
      <c r="H285" s="146"/>
      <c r="I285" s="146"/>
      <c r="J285" s="145" t="str">
        <f t="shared" si="4"/>
        <v/>
      </c>
      <c r="K285" s="146"/>
      <c r="L285" s="146"/>
      <c r="M285" s="146"/>
      <c r="N285" s="146"/>
      <c r="O285" s="145" t="s">
        <v>4444</v>
      </c>
    </row>
    <row r="286" spans="4:15" x14ac:dyDescent="0.25">
      <c r="D286" s="146" t="s">
        <v>4445</v>
      </c>
      <c r="E286" s="145" t="s">
        <v>4433</v>
      </c>
      <c r="F286" s="146"/>
      <c r="G286" s="145"/>
      <c r="H286" s="146"/>
      <c r="I286" s="146"/>
      <c r="J286" s="145" t="str">
        <f t="shared" si="4"/>
        <v/>
      </c>
      <c r="K286" s="146"/>
      <c r="L286" s="146"/>
      <c r="M286" s="146"/>
      <c r="N286" s="146"/>
      <c r="O286" s="145" t="s">
        <v>4446</v>
      </c>
    </row>
    <row r="287" spans="4:15" x14ac:dyDescent="0.25">
      <c r="D287" s="146" t="s">
        <v>4447</v>
      </c>
      <c r="E287" s="145" t="s">
        <v>4433</v>
      </c>
      <c r="F287" s="146"/>
      <c r="G287" s="145"/>
      <c r="H287" s="146"/>
      <c r="I287" s="146"/>
      <c r="J287" s="145" t="str">
        <f t="shared" si="4"/>
        <v/>
      </c>
      <c r="K287" s="146"/>
      <c r="L287" s="146"/>
      <c r="M287" s="146"/>
      <c r="N287" s="146"/>
      <c r="O287" s="145" t="s">
        <v>4448</v>
      </c>
    </row>
    <row r="288" spans="4:15" x14ac:dyDescent="0.25">
      <c r="D288" s="146" t="s">
        <v>4449</v>
      </c>
      <c r="E288" s="145" t="s">
        <v>4433</v>
      </c>
      <c r="F288" s="146"/>
      <c r="G288" s="145"/>
      <c r="H288" s="146"/>
      <c r="I288" s="146"/>
      <c r="J288" s="145" t="str">
        <f t="shared" ref="J288:J309" si="5">F288&amp;H288&amp;I288</f>
        <v/>
      </c>
      <c r="K288" s="146"/>
      <c r="L288" s="146"/>
      <c r="M288" s="146"/>
      <c r="N288" s="146"/>
      <c r="O288" s="145" t="s">
        <v>4450</v>
      </c>
    </row>
    <row r="289" spans="4:15" x14ac:dyDescent="0.25">
      <c r="D289" s="146" t="s">
        <v>4451</v>
      </c>
      <c r="E289" s="145" t="s">
        <v>4433</v>
      </c>
      <c r="F289" s="146"/>
      <c r="G289" s="145"/>
      <c r="H289" s="146"/>
      <c r="I289" s="146"/>
      <c r="J289" s="145" t="str">
        <f t="shared" si="5"/>
        <v/>
      </c>
      <c r="K289" s="146"/>
      <c r="L289" s="146"/>
      <c r="M289" s="146"/>
      <c r="N289" s="146"/>
      <c r="O289" s="145" t="s">
        <v>4452</v>
      </c>
    </row>
    <row r="290" spans="4:15" x14ac:dyDescent="0.25">
      <c r="D290" s="146" t="s">
        <v>4453</v>
      </c>
      <c r="E290" s="145" t="s">
        <v>4454</v>
      </c>
      <c r="F290" s="146"/>
      <c r="G290" s="145"/>
      <c r="H290" s="146"/>
      <c r="I290" s="146"/>
      <c r="J290" s="145" t="str">
        <f t="shared" si="5"/>
        <v/>
      </c>
      <c r="K290" s="146"/>
      <c r="L290" s="146"/>
      <c r="M290" s="146"/>
      <c r="N290" s="146"/>
      <c r="O290" s="145" t="s">
        <v>4455</v>
      </c>
    </row>
    <row r="291" spans="4:15" x14ac:dyDescent="0.25">
      <c r="D291" s="146" t="s">
        <v>4456</v>
      </c>
      <c r="E291" s="145" t="s">
        <v>4454</v>
      </c>
      <c r="F291" s="146"/>
      <c r="G291" s="145"/>
      <c r="H291" s="146"/>
      <c r="I291" s="146"/>
      <c r="J291" s="145" t="str">
        <f t="shared" si="5"/>
        <v/>
      </c>
      <c r="K291" s="146"/>
      <c r="L291" s="146"/>
      <c r="M291" s="146"/>
      <c r="N291" s="146"/>
      <c r="O291" s="145" t="s">
        <v>4457</v>
      </c>
    </row>
    <row r="292" spans="4:15" x14ac:dyDescent="0.25">
      <c r="D292" s="146" t="s">
        <v>4458</v>
      </c>
      <c r="E292" s="145" t="s">
        <v>4454</v>
      </c>
      <c r="F292" s="146"/>
      <c r="G292" s="145"/>
      <c r="H292" s="146"/>
      <c r="I292" s="146"/>
      <c r="J292" s="145" t="str">
        <f t="shared" si="5"/>
        <v/>
      </c>
      <c r="K292" s="146"/>
      <c r="L292" s="146"/>
      <c r="M292" s="146"/>
      <c r="N292" s="146"/>
      <c r="O292" s="145" t="s">
        <v>4459</v>
      </c>
    </row>
    <row r="293" spans="4:15" x14ac:dyDescent="0.25">
      <c r="D293" s="146" t="s">
        <v>4460</v>
      </c>
      <c r="E293" s="145" t="s">
        <v>4454</v>
      </c>
      <c r="F293" s="146"/>
      <c r="G293" s="145"/>
      <c r="H293" s="146"/>
      <c r="I293" s="146"/>
      <c r="J293" s="145" t="str">
        <f t="shared" si="5"/>
        <v/>
      </c>
      <c r="K293" s="146"/>
      <c r="L293" s="146"/>
      <c r="M293" s="146"/>
      <c r="N293" s="146"/>
      <c r="O293" s="145" t="s">
        <v>4461</v>
      </c>
    </row>
    <row r="294" spans="4:15" x14ac:dyDescent="0.25">
      <c r="D294" s="146" t="s">
        <v>4462</v>
      </c>
      <c r="E294" s="145" t="s">
        <v>4454</v>
      </c>
      <c r="F294" s="146"/>
      <c r="G294" s="145"/>
      <c r="H294" s="146"/>
      <c r="I294" s="146"/>
      <c r="J294" s="145" t="str">
        <f t="shared" si="5"/>
        <v/>
      </c>
      <c r="K294" s="146"/>
      <c r="L294" s="146"/>
      <c r="M294" s="146"/>
      <c r="N294" s="146"/>
      <c r="O294" s="145" t="s">
        <v>4463</v>
      </c>
    </row>
    <row r="295" spans="4:15" x14ac:dyDescent="0.25">
      <c r="D295" s="146" t="s">
        <v>4464</v>
      </c>
      <c r="E295" s="145" t="s">
        <v>4454</v>
      </c>
      <c r="F295" s="146"/>
      <c r="G295" s="145"/>
      <c r="H295" s="146"/>
      <c r="I295" s="146"/>
      <c r="J295" s="145" t="str">
        <f t="shared" si="5"/>
        <v/>
      </c>
      <c r="K295" s="146"/>
      <c r="L295" s="146"/>
      <c r="M295" s="146"/>
      <c r="N295" s="146"/>
      <c r="O295" s="145" t="s">
        <v>4465</v>
      </c>
    </row>
    <row r="296" spans="4:15" x14ac:dyDescent="0.25">
      <c r="D296" s="146" t="s">
        <v>4466</v>
      </c>
      <c r="E296" s="145" t="s">
        <v>4454</v>
      </c>
      <c r="F296" s="146"/>
      <c r="G296" s="145"/>
      <c r="H296" s="146"/>
      <c r="I296" s="146"/>
      <c r="J296" s="145" t="str">
        <f t="shared" si="5"/>
        <v/>
      </c>
      <c r="K296" s="146"/>
      <c r="L296" s="146"/>
      <c r="M296" s="146"/>
      <c r="N296" s="146"/>
      <c r="O296" s="145" t="s">
        <v>4467</v>
      </c>
    </row>
    <row r="297" spans="4:15" x14ac:dyDescent="0.25">
      <c r="D297" s="146" t="s">
        <v>4468</v>
      </c>
      <c r="E297" s="145" t="s">
        <v>4454</v>
      </c>
      <c r="F297" s="146"/>
      <c r="G297" s="145"/>
      <c r="H297" s="146"/>
      <c r="I297" s="146"/>
      <c r="J297" s="145" t="str">
        <f t="shared" si="5"/>
        <v/>
      </c>
      <c r="K297" s="146"/>
      <c r="L297" s="146"/>
      <c r="M297" s="146"/>
      <c r="N297" s="146"/>
      <c r="O297" s="145" t="s">
        <v>4469</v>
      </c>
    </row>
    <row r="298" spans="4:15" x14ac:dyDescent="0.25">
      <c r="D298" s="146" t="s">
        <v>4470</v>
      </c>
      <c r="E298" s="145" t="s">
        <v>4454</v>
      </c>
      <c r="F298" s="146"/>
      <c r="G298" s="145"/>
      <c r="H298" s="146"/>
      <c r="I298" s="146"/>
      <c r="J298" s="145" t="str">
        <f t="shared" si="5"/>
        <v/>
      </c>
      <c r="K298" s="146"/>
      <c r="L298" s="146"/>
      <c r="M298" s="146"/>
      <c r="N298" s="146"/>
      <c r="O298" s="145" t="s">
        <v>4471</v>
      </c>
    </row>
    <row r="299" spans="4:15" x14ac:dyDescent="0.25">
      <c r="D299" s="146" t="s">
        <v>4472</v>
      </c>
      <c r="E299" s="145" t="s">
        <v>4454</v>
      </c>
      <c r="F299" s="146"/>
      <c r="G299" s="145"/>
      <c r="H299" s="146"/>
      <c r="I299" s="146"/>
      <c r="J299" s="145" t="str">
        <f t="shared" si="5"/>
        <v/>
      </c>
      <c r="K299" s="146"/>
      <c r="L299" s="146"/>
      <c r="M299" s="146"/>
      <c r="N299" s="146"/>
      <c r="O299" s="145" t="s">
        <v>4473</v>
      </c>
    </row>
    <row r="300" spans="4:15" x14ac:dyDescent="0.25">
      <c r="D300" s="146" t="s">
        <v>4474</v>
      </c>
      <c r="E300" s="145" t="s">
        <v>4475</v>
      </c>
      <c r="F300" s="146"/>
      <c r="G300" s="145"/>
      <c r="H300" s="146"/>
      <c r="I300" s="146"/>
      <c r="J300" s="145" t="str">
        <f t="shared" si="5"/>
        <v/>
      </c>
      <c r="K300" s="146"/>
      <c r="L300" s="146"/>
      <c r="M300" s="146"/>
      <c r="N300" s="146"/>
      <c r="O300" s="145" t="s">
        <v>4476</v>
      </c>
    </row>
    <row r="301" spans="4:15" x14ac:dyDescent="0.25">
      <c r="D301" s="146" t="s">
        <v>4477</v>
      </c>
      <c r="E301" s="145" t="s">
        <v>4475</v>
      </c>
      <c r="F301" s="146"/>
      <c r="G301" s="145"/>
      <c r="H301" s="146"/>
      <c r="I301" s="146"/>
      <c r="J301" s="145" t="str">
        <f t="shared" si="5"/>
        <v/>
      </c>
      <c r="K301" s="146"/>
      <c r="L301" s="146"/>
      <c r="M301" s="146"/>
      <c r="N301" s="146"/>
      <c r="O301" s="145" t="s">
        <v>4478</v>
      </c>
    </row>
    <row r="302" spans="4:15" x14ac:dyDescent="0.25">
      <c r="D302" s="146" t="s">
        <v>4479</v>
      </c>
      <c r="E302" s="145" t="s">
        <v>4475</v>
      </c>
      <c r="F302" s="146"/>
      <c r="G302" s="145"/>
      <c r="H302" s="146"/>
      <c r="I302" s="146"/>
      <c r="J302" s="145" t="str">
        <f t="shared" si="5"/>
        <v/>
      </c>
      <c r="K302" s="146"/>
      <c r="L302" s="146"/>
      <c r="M302" s="146"/>
      <c r="N302" s="146"/>
      <c r="O302" s="145" t="s">
        <v>4480</v>
      </c>
    </row>
    <row r="303" spans="4:15" x14ac:dyDescent="0.25">
      <c r="D303" s="146" t="s">
        <v>4481</v>
      </c>
      <c r="E303" s="145" t="s">
        <v>4475</v>
      </c>
      <c r="F303" s="146"/>
      <c r="G303" s="145"/>
      <c r="H303" s="146"/>
      <c r="I303" s="146"/>
      <c r="J303" s="145" t="str">
        <f t="shared" si="5"/>
        <v/>
      </c>
      <c r="K303" s="146"/>
      <c r="L303" s="146"/>
      <c r="M303" s="146"/>
      <c r="N303" s="146"/>
      <c r="O303" s="145" t="s">
        <v>4482</v>
      </c>
    </row>
    <row r="304" spans="4:15" x14ac:dyDescent="0.25">
      <c r="D304" s="146" t="s">
        <v>4483</v>
      </c>
      <c r="E304" s="145" t="s">
        <v>4475</v>
      </c>
      <c r="F304" s="146"/>
      <c r="G304" s="145"/>
      <c r="H304" s="146"/>
      <c r="I304" s="146"/>
      <c r="J304" s="145" t="str">
        <f t="shared" si="5"/>
        <v/>
      </c>
      <c r="K304" s="146"/>
      <c r="L304" s="146"/>
      <c r="M304" s="146"/>
      <c r="N304" s="146"/>
      <c r="O304" s="145" t="s">
        <v>4484</v>
      </c>
    </row>
    <row r="305" spans="4:17" x14ac:dyDescent="0.25">
      <c r="D305" s="146" t="s">
        <v>4485</v>
      </c>
      <c r="E305" s="145" t="s">
        <v>4475</v>
      </c>
      <c r="F305" s="146"/>
      <c r="G305" s="145"/>
      <c r="H305" s="146"/>
      <c r="I305" s="146"/>
      <c r="J305" s="145" t="str">
        <f t="shared" si="5"/>
        <v/>
      </c>
      <c r="K305" s="146"/>
      <c r="L305" s="146"/>
      <c r="M305" s="146"/>
      <c r="N305" s="146"/>
      <c r="O305" s="145" t="s">
        <v>4486</v>
      </c>
    </row>
    <row r="306" spans="4:17" x14ac:dyDescent="0.25">
      <c r="D306" s="146" t="s">
        <v>4487</v>
      </c>
      <c r="E306" s="145" t="s">
        <v>4475</v>
      </c>
      <c r="F306" s="146"/>
      <c r="G306" s="145"/>
      <c r="H306" s="146"/>
      <c r="I306" s="146"/>
      <c r="J306" s="145" t="str">
        <f t="shared" si="5"/>
        <v/>
      </c>
      <c r="K306" s="146"/>
      <c r="L306" s="146"/>
      <c r="M306" s="146"/>
      <c r="N306" s="146"/>
      <c r="O306" s="145" t="s">
        <v>4488</v>
      </c>
    </row>
    <row r="307" spans="4:17" x14ac:dyDescent="0.25">
      <c r="D307" s="146" t="s">
        <v>4489</v>
      </c>
      <c r="E307" s="145" t="s">
        <v>4475</v>
      </c>
      <c r="F307" s="146"/>
      <c r="G307" s="145"/>
      <c r="H307" s="146"/>
      <c r="I307" s="146"/>
      <c r="J307" s="145" t="str">
        <f t="shared" si="5"/>
        <v/>
      </c>
      <c r="K307" s="146"/>
      <c r="L307" s="146"/>
      <c r="M307" s="146"/>
      <c r="N307" s="146"/>
      <c r="O307" s="145" t="s">
        <v>4490</v>
      </c>
    </row>
    <row r="308" spans="4:17" x14ac:dyDescent="0.25">
      <c r="D308" s="146" t="s">
        <v>4491</v>
      </c>
      <c r="E308" s="145" t="s">
        <v>4475</v>
      </c>
      <c r="F308" s="146"/>
      <c r="G308" s="145"/>
      <c r="H308" s="146"/>
      <c r="I308" s="146"/>
      <c r="J308" s="145" t="str">
        <f t="shared" si="5"/>
        <v/>
      </c>
      <c r="K308" s="146"/>
      <c r="L308" s="146"/>
      <c r="M308" s="146"/>
      <c r="N308" s="146"/>
      <c r="O308" s="145" t="s">
        <v>4492</v>
      </c>
    </row>
    <row r="309" spans="4:17" x14ac:dyDescent="0.25">
      <c r="D309" s="146" t="s">
        <v>4493</v>
      </c>
      <c r="E309" s="145" t="s">
        <v>4475</v>
      </c>
      <c r="F309" s="146"/>
      <c r="G309" s="145"/>
      <c r="H309" s="146"/>
      <c r="I309" s="146"/>
      <c r="J309" s="145" t="str">
        <f t="shared" si="5"/>
        <v/>
      </c>
      <c r="K309" s="146"/>
      <c r="L309" s="146"/>
      <c r="M309" s="146"/>
      <c r="N309" s="146"/>
      <c r="O309" s="145" t="s">
        <v>4494</v>
      </c>
    </row>
    <row r="313" spans="4:17" x14ac:dyDescent="0.25">
      <c r="D313" s="6" t="s">
        <v>163</v>
      </c>
    </row>
    <row r="314" spans="4:17" x14ac:dyDescent="0.25">
      <c r="D314" s="145" t="s">
        <v>165</v>
      </c>
      <c r="E314" s="145" t="s">
        <v>167</v>
      </c>
      <c r="F314" s="145" t="s">
        <v>99</v>
      </c>
      <c r="G314" s="145"/>
      <c r="H314" s="145" t="s">
        <v>34</v>
      </c>
      <c r="I314" s="145" t="s">
        <v>27</v>
      </c>
      <c r="J314" s="145" t="s">
        <v>155</v>
      </c>
      <c r="K314" s="145" t="s">
        <v>2</v>
      </c>
      <c r="L314" s="145" t="s">
        <v>3</v>
      </c>
      <c r="M314" s="145" t="s">
        <v>4</v>
      </c>
      <c r="N314" s="145" t="s">
        <v>146</v>
      </c>
      <c r="O314" s="145" t="s">
        <v>18</v>
      </c>
      <c r="P314" s="145" t="s">
        <v>9</v>
      </c>
      <c r="Q314" s="145" t="s">
        <v>48</v>
      </c>
    </row>
    <row r="315" spans="4:17" hidden="1" x14ac:dyDescent="0.25">
      <c r="D315" s="146" t="s">
        <v>164</v>
      </c>
      <c r="E315" s="145" t="s">
        <v>166</v>
      </c>
      <c r="F315" s="146" t="s">
        <v>171</v>
      </c>
      <c r="G315" s="145"/>
      <c r="H315" s="146" t="s">
        <v>77</v>
      </c>
      <c r="I315" s="146" t="s">
        <v>76</v>
      </c>
      <c r="J315" s="145" t="str">
        <f>F315&amp;H315&amp;I315</f>
        <v>[Coverage Indicator Name][Category][Disaggregation]</v>
      </c>
      <c r="K315" s="151" t="s">
        <v>56</v>
      </c>
      <c r="L315" s="152" t="s">
        <v>57</v>
      </c>
      <c r="M315" s="153" t="s">
        <v>168</v>
      </c>
      <c r="N315" s="146" t="s">
        <v>58</v>
      </c>
      <c r="O315" s="146" t="s">
        <v>42</v>
      </c>
      <c r="P315" s="146" t="s">
        <v>69</v>
      </c>
      <c r="Q315" s="145" t="s">
        <v>47</v>
      </c>
    </row>
    <row r="316" spans="4:17" x14ac:dyDescent="0.25">
      <c r="D316" s="146" t="s">
        <v>4495</v>
      </c>
      <c r="E316" s="145" t="s">
        <v>4496</v>
      </c>
      <c r="F316" s="146"/>
      <c r="G316" s="145"/>
      <c r="H316" s="146"/>
      <c r="I316" s="146"/>
      <c r="J316" s="145" t="str">
        <f t="shared" ref="J316:J379" si="6">F316&amp;H316&amp;I316</f>
        <v/>
      </c>
      <c r="K316" s="151"/>
      <c r="L316" s="152"/>
      <c r="M316" s="153"/>
      <c r="N316" s="146"/>
      <c r="O316" s="146"/>
      <c r="P316" s="146"/>
      <c r="Q316" s="145" t="s">
        <v>4497</v>
      </c>
    </row>
    <row r="317" spans="4:17" x14ac:dyDescent="0.25">
      <c r="D317" s="146" t="s">
        <v>4498</v>
      </c>
      <c r="E317" s="145" t="s">
        <v>4496</v>
      </c>
      <c r="F317" s="146"/>
      <c r="G317" s="145"/>
      <c r="H317" s="146"/>
      <c r="I317" s="146"/>
      <c r="J317" s="145" t="str">
        <f t="shared" si="6"/>
        <v/>
      </c>
      <c r="K317" s="151"/>
      <c r="L317" s="152"/>
      <c r="M317" s="153"/>
      <c r="N317" s="146"/>
      <c r="O317" s="146"/>
      <c r="P317" s="146"/>
      <c r="Q317" s="145" t="s">
        <v>4499</v>
      </c>
    </row>
    <row r="318" spans="4:17" x14ac:dyDescent="0.25">
      <c r="D318" s="146" t="s">
        <v>4500</v>
      </c>
      <c r="E318" s="145" t="s">
        <v>4496</v>
      </c>
      <c r="F318" s="146"/>
      <c r="G318" s="145"/>
      <c r="H318" s="146"/>
      <c r="I318" s="146"/>
      <c r="J318" s="145" t="str">
        <f t="shared" si="6"/>
        <v/>
      </c>
      <c r="K318" s="151"/>
      <c r="L318" s="152"/>
      <c r="M318" s="153"/>
      <c r="N318" s="146"/>
      <c r="O318" s="146"/>
      <c r="P318" s="146"/>
      <c r="Q318" s="145" t="s">
        <v>4501</v>
      </c>
    </row>
    <row r="319" spans="4:17" x14ac:dyDescent="0.25">
      <c r="D319" s="146" t="s">
        <v>4502</v>
      </c>
      <c r="E319" s="145" t="s">
        <v>4496</v>
      </c>
      <c r="F319" s="146"/>
      <c r="G319" s="145"/>
      <c r="H319" s="146"/>
      <c r="I319" s="146"/>
      <c r="J319" s="145" t="str">
        <f t="shared" si="6"/>
        <v/>
      </c>
      <c r="K319" s="151"/>
      <c r="L319" s="152"/>
      <c r="M319" s="153"/>
      <c r="N319" s="146"/>
      <c r="O319" s="146"/>
      <c r="P319" s="146"/>
      <c r="Q319" s="145" t="s">
        <v>4503</v>
      </c>
    </row>
    <row r="320" spans="4:17" x14ac:dyDescent="0.25">
      <c r="D320" s="146" t="s">
        <v>4504</v>
      </c>
      <c r="E320" s="145" t="s">
        <v>4496</v>
      </c>
      <c r="F320" s="146"/>
      <c r="G320" s="145"/>
      <c r="H320" s="146"/>
      <c r="I320" s="146"/>
      <c r="J320" s="145" t="str">
        <f t="shared" si="6"/>
        <v/>
      </c>
      <c r="K320" s="151"/>
      <c r="L320" s="152"/>
      <c r="M320" s="153"/>
      <c r="N320" s="146"/>
      <c r="O320" s="146"/>
      <c r="P320" s="146"/>
      <c r="Q320" s="145" t="s">
        <v>4505</v>
      </c>
    </row>
    <row r="321" spans="4:17" x14ac:dyDescent="0.25">
      <c r="D321" s="146" t="s">
        <v>4506</v>
      </c>
      <c r="E321" s="145" t="s">
        <v>4496</v>
      </c>
      <c r="F321" s="146"/>
      <c r="G321" s="145"/>
      <c r="H321" s="146"/>
      <c r="I321" s="146"/>
      <c r="J321" s="145" t="str">
        <f t="shared" si="6"/>
        <v/>
      </c>
      <c r="K321" s="151"/>
      <c r="L321" s="152"/>
      <c r="M321" s="153"/>
      <c r="N321" s="146"/>
      <c r="O321" s="146"/>
      <c r="P321" s="146"/>
      <c r="Q321" s="145" t="s">
        <v>4507</v>
      </c>
    </row>
    <row r="322" spans="4:17" x14ac:dyDescent="0.25">
      <c r="D322" s="146" t="s">
        <v>4508</v>
      </c>
      <c r="E322" s="145" t="s">
        <v>4496</v>
      </c>
      <c r="F322" s="146"/>
      <c r="G322" s="145"/>
      <c r="H322" s="146"/>
      <c r="I322" s="146"/>
      <c r="J322" s="145" t="str">
        <f t="shared" si="6"/>
        <v/>
      </c>
      <c r="K322" s="151"/>
      <c r="L322" s="152"/>
      <c r="M322" s="153"/>
      <c r="N322" s="146"/>
      <c r="O322" s="146"/>
      <c r="P322" s="146"/>
      <c r="Q322" s="145" t="s">
        <v>4509</v>
      </c>
    </row>
    <row r="323" spans="4:17" x14ac:dyDescent="0.25">
      <c r="D323" s="146" t="s">
        <v>4510</v>
      </c>
      <c r="E323" s="145" t="s">
        <v>4496</v>
      </c>
      <c r="F323" s="146"/>
      <c r="G323" s="145"/>
      <c r="H323" s="146"/>
      <c r="I323" s="146"/>
      <c r="J323" s="145" t="str">
        <f t="shared" si="6"/>
        <v/>
      </c>
      <c r="K323" s="151"/>
      <c r="L323" s="152"/>
      <c r="M323" s="153"/>
      <c r="N323" s="146"/>
      <c r="O323" s="146"/>
      <c r="P323" s="146"/>
      <c r="Q323" s="145" t="s">
        <v>4511</v>
      </c>
    </row>
    <row r="324" spans="4:17" x14ac:dyDescent="0.25">
      <c r="D324" s="146" t="s">
        <v>4512</v>
      </c>
      <c r="E324" s="145" t="s">
        <v>4496</v>
      </c>
      <c r="F324" s="146"/>
      <c r="G324" s="145"/>
      <c r="H324" s="146"/>
      <c r="I324" s="146"/>
      <c r="J324" s="145" t="str">
        <f t="shared" si="6"/>
        <v/>
      </c>
      <c r="K324" s="151"/>
      <c r="L324" s="152"/>
      <c r="M324" s="153"/>
      <c r="N324" s="146"/>
      <c r="O324" s="146"/>
      <c r="P324" s="146"/>
      <c r="Q324" s="145" t="s">
        <v>4513</v>
      </c>
    </row>
    <row r="325" spans="4:17" x14ac:dyDescent="0.25">
      <c r="D325" s="146" t="s">
        <v>4514</v>
      </c>
      <c r="E325" s="145" t="s">
        <v>4496</v>
      </c>
      <c r="F325" s="146"/>
      <c r="G325" s="145"/>
      <c r="H325" s="146"/>
      <c r="I325" s="146"/>
      <c r="J325" s="145" t="str">
        <f t="shared" si="6"/>
        <v/>
      </c>
      <c r="K325" s="151"/>
      <c r="L325" s="152"/>
      <c r="M325" s="153"/>
      <c r="N325" s="146"/>
      <c r="O325" s="146"/>
      <c r="P325" s="146"/>
      <c r="Q325" s="145" t="s">
        <v>4515</v>
      </c>
    </row>
    <row r="326" spans="4:17" x14ac:dyDescent="0.25">
      <c r="D326" s="146" t="s">
        <v>4516</v>
      </c>
      <c r="E326" s="145" t="s">
        <v>4496</v>
      </c>
      <c r="F326" s="146"/>
      <c r="G326" s="145"/>
      <c r="H326" s="146"/>
      <c r="I326" s="146"/>
      <c r="J326" s="145" t="str">
        <f t="shared" si="6"/>
        <v/>
      </c>
      <c r="K326" s="151"/>
      <c r="L326" s="152"/>
      <c r="M326" s="153"/>
      <c r="N326" s="146"/>
      <c r="O326" s="146"/>
      <c r="P326" s="146"/>
      <c r="Q326" s="145" t="s">
        <v>4517</v>
      </c>
    </row>
    <row r="327" spans="4:17" x14ac:dyDescent="0.25">
      <c r="D327" s="146" t="s">
        <v>4518</v>
      </c>
      <c r="E327" s="145" t="s">
        <v>4496</v>
      </c>
      <c r="F327" s="146"/>
      <c r="G327" s="145"/>
      <c r="H327" s="146"/>
      <c r="I327" s="146"/>
      <c r="J327" s="145" t="str">
        <f t="shared" si="6"/>
        <v/>
      </c>
      <c r="K327" s="151"/>
      <c r="L327" s="152"/>
      <c r="M327" s="153"/>
      <c r="N327" s="146"/>
      <c r="O327" s="146"/>
      <c r="P327" s="146"/>
      <c r="Q327" s="145" t="s">
        <v>4519</v>
      </c>
    </row>
    <row r="328" spans="4:17" x14ac:dyDescent="0.25">
      <c r="D328" s="146" t="s">
        <v>4520</v>
      </c>
      <c r="E328" s="145" t="s">
        <v>4496</v>
      </c>
      <c r="F328" s="146"/>
      <c r="G328" s="145"/>
      <c r="H328" s="146"/>
      <c r="I328" s="146"/>
      <c r="J328" s="145" t="str">
        <f t="shared" si="6"/>
        <v/>
      </c>
      <c r="K328" s="151"/>
      <c r="L328" s="152"/>
      <c r="M328" s="153"/>
      <c r="N328" s="146"/>
      <c r="O328" s="146"/>
      <c r="P328" s="146"/>
      <c r="Q328" s="145" t="s">
        <v>4521</v>
      </c>
    </row>
    <row r="329" spans="4:17" x14ac:dyDescent="0.25">
      <c r="D329" s="146" t="s">
        <v>4522</v>
      </c>
      <c r="E329" s="145" t="s">
        <v>4496</v>
      </c>
      <c r="F329" s="146"/>
      <c r="G329" s="145"/>
      <c r="H329" s="146"/>
      <c r="I329" s="146"/>
      <c r="J329" s="145" t="str">
        <f t="shared" si="6"/>
        <v/>
      </c>
      <c r="K329" s="151"/>
      <c r="L329" s="152"/>
      <c r="M329" s="153"/>
      <c r="N329" s="146"/>
      <c r="O329" s="146"/>
      <c r="P329" s="146"/>
      <c r="Q329" s="145" t="s">
        <v>4523</v>
      </c>
    </row>
    <row r="330" spans="4:17" x14ac:dyDescent="0.25">
      <c r="D330" s="146" t="s">
        <v>4524</v>
      </c>
      <c r="E330" s="145" t="s">
        <v>4496</v>
      </c>
      <c r="F330" s="146"/>
      <c r="G330" s="145"/>
      <c r="H330" s="146"/>
      <c r="I330" s="146"/>
      <c r="J330" s="145" t="str">
        <f t="shared" si="6"/>
        <v/>
      </c>
      <c r="K330" s="151"/>
      <c r="L330" s="152"/>
      <c r="M330" s="153"/>
      <c r="N330" s="146"/>
      <c r="O330" s="146"/>
      <c r="P330" s="146"/>
      <c r="Q330" s="145" t="s">
        <v>4525</v>
      </c>
    </row>
    <row r="331" spans="4:17" x14ac:dyDescent="0.25">
      <c r="D331" s="146" t="s">
        <v>4526</v>
      </c>
      <c r="E331" s="145" t="s">
        <v>4496</v>
      </c>
      <c r="F331" s="146"/>
      <c r="G331" s="145"/>
      <c r="H331" s="146"/>
      <c r="I331" s="146"/>
      <c r="J331" s="145" t="str">
        <f t="shared" si="6"/>
        <v/>
      </c>
      <c r="K331" s="151"/>
      <c r="L331" s="152"/>
      <c r="M331" s="153"/>
      <c r="N331" s="146"/>
      <c r="O331" s="146"/>
      <c r="P331" s="146"/>
      <c r="Q331" s="145" t="s">
        <v>4527</v>
      </c>
    </row>
    <row r="332" spans="4:17" x14ac:dyDescent="0.25">
      <c r="D332" s="146" t="s">
        <v>4528</v>
      </c>
      <c r="E332" s="145" t="s">
        <v>4496</v>
      </c>
      <c r="F332" s="146"/>
      <c r="G332" s="145"/>
      <c r="H332" s="146"/>
      <c r="I332" s="146"/>
      <c r="J332" s="145" t="str">
        <f t="shared" si="6"/>
        <v/>
      </c>
      <c r="K332" s="151"/>
      <c r="L332" s="152"/>
      <c r="M332" s="153"/>
      <c r="N332" s="146"/>
      <c r="O332" s="146"/>
      <c r="P332" s="146"/>
      <c r="Q332" s="145" t="s">
        <v>4529</v>
      </c>
    </row>
    <row r="333" spans="4:17" x14ac:dyDescent="0.25">
      <c r="D333" s="146" t="s">
        <v>4530</v>
      </c>
      <c r="E333" s="145" t="s">
        <v>4496</v>
      </c>
      <c r="F333" s="146"/>
      <c r="G333" s="145"/>
      <c r="H333" s="146"/>
      <c r="I333" s="146"/>
      <c r="J333" s="145" t="str">
        <f t="shared" si="6"/>
        <v/>
      </c>
      <c r="K333" s="151"/>
      <c r="L333" s="152"/>
      <c r="M333" s="153"/>
      <c r="N333" s="146"/>
      <c r="O333" s="146"/>
      <c r="P333" s="146"/>
      <c r="Q333" s="145" t="s">
        <v>4531</v>
      </c>
    </row>
    <row r="334" spans="4:17" x14ac:dyDescent="0.25">
      <c r="D334" s="146" t="s">
        <v>4532</v>
      </c>
      <c r="E334" s="145" t="s">
        <v>4496</v>
      </c>
      <c r="F334" s="146"/>
      <c r="G334" s="145"/>
      <c r="H334" s="146"/>
      <c r="I334" s="146"/>
      <c r="J334" s="145" t="str">
        <f t="shared" si="6"/>
        <v/>
      </c>
      <c r="K334" s="151"/>
      <c r="L334" s="152"/>
      <c r="M334" s="153"/>
      <c r="N334" s="146"/>
      <c r="O334" s="146"/>
      <c r="P334" s="146"/>
      <c r="Q334" s="145" t="s">
        <v>4533</v>
      </c>
    </row>
    <row r="335" spans="4:17" x14ac:dyDescent="0.25">
      <c r="D335" s="146" t="s">
        <v>4534</v>
      </c>
      <c r="E335" s="145" t="s">
        <v>4496</v>
      </c>
      <c r="F335" s="146"/>
      <c r="G335" s="145"/>
      <c r="H335" s="146"/>
      <c r="I335" s="146"/>
      <c r="J335" s="145" t="str">
        <f t="shared" si="6"/>
        <v/>
      </c>
      <c r="K335" s="151"/>
      <c r="L335" s="152"/>
      <c r="M335" s="153"/>
      <c r="N335" s="146"/>
      <c r="O335" s="146"/>
      <c r="P335" s="146"/>
      <c r="Q335" s="145" t="s">
        <v>4535</v>
      </c>
    </row>
    <row r="336" spans="4:17" x14ac:dyDescent="0.25">
      <c r="D336" s="146" t="s">
        <v>4536</v>
      </c>
      <c r="E336" s="145" t="s">
        <v>4537</v>
      </c>
      <c r="F336" s="146"/>
      <c r="G336" s="145"/>
      <c r="H336" s="146"/>
      <c r="I336" s="146"/>
      <c r="J336" s="145" t="str">
        <f t="shared" si="6"/>
        <v/>
      </c>
      <c r="K336" s="151"/>
      <c r="L336" s="152"/>
      <c r="M336" s="153"/>
      <c r="N336" s="146"/>
      <c r="O336" s="146"/>
      <c r="P336" s="146"/>
      <c r="Q336" s="145" t="s">
        <v>4538</v>
      </c>
    </row>
    <row r="337" spans="4:17" x14ac:dyDescent="0.25">
      <c r="D337" s="146" t="s">
        <v>4539</v>
      </c>
      <c r="E337" s="145" t="s">
        <v>4537</v>
      </c>
      <c r="F337" s="146"/>
      <c r="G337" s="145"/>
      <c r="H337" s="146"/>
      <c r="I337" s="146"/>
      <c r="J337" s="145" t="str">
        <f t="shared" si="6"/>
        <v/>
      </c>
      <c r="K337" s="151"/>
      <c r="L337" s="152"/>
      <c r="M337" s="153"/>
      <c r="N337" s="146"/>
      <c r="O337" s="146"/>
      <c r="P337" s="146"/>
      <c r="Q337" s="145" t="s">
        <v>4540</v>
      </c>
    </row>
    <row r="338" spans="4:17" x14ac:dyDescent="0.25">
      <c r="D338" s="146" t="s">
        <v>4541</v>
      </c>
      <c r="E338" s="145" t="s">
        <v>4537</v>
      </c>
      <c r="F338" s="146"/>
      <c r="G338" s="145"/>
      <c r="H338" s="146"/>
      <c r="I338" s="146"/>
      <c r="J338" s="145" t="str">
        <f t="shared" si="6"/>
        <v/>
      </c>
      <c r="K338" s="151"/>
      <c r="L338" s="152"/>
      <c r="M338" s="153"/>
      <c r="N338" s="146"/>
      <c r="O338" s="146"/>
      <c r="P338" s="146"/>
      <c r="Q338" s="145" t="s">
        <v>4542</v>
      </c>
    </row>
    <row r="339" spans="4:17" x14ac:dyDescent="0.25">
      <c r="D339" s="146" t="s">
        <v>4543</v>
      </c>
      <c r="E339" s="145" t="s">
        <v>4537</v>
      </c>
      <c r="F339" s="146"/>
      <c r="G339" s="145"/>
      <c r="H339" s="146"/>
      <c r="I339" s="146"/>
      <c r="J339" s="145" t="str">
        <f t="shared" si="6"/>
        <v/>
      </c>
      <c r="K339" s="151"/>
      <c r="L339" s="152"/>
      <c r="M339" s="153"/>
      <c r="N339" s="146"/>
      <c r="O339" s="146"/>
      <c r="P339" s="146"/>
      <c r="Q339" s="145" t="s">
        <v>4544</v>
      </c>
    </row>
    <row r="340" spans="4:17" x14ac:dyDescent="0.25">
      <c r="D340" s="146" t="s">
        <v>4545</v>
      </c>
      <c r="E340" s="145" t="s">
        <v>4537</v>
      </c>
      <c r="F340" s="146"/>
      <c r="G340" s="145"/>
      <c r="H340" s="146"/>
      <c r="I340" s="146"/>
      <c r="J340" s="145" t="str">
        <f t="shared" si="6"/>
        <v/>
      </c>
      <c r="K340" s="151"/>
      <c r="L340" s="152"/>
      <c r="M340" s="153"/>
      <c r="N340" s="146"/>
      <c r="O340" s="146"/>
      <c r="P340" s="146"/>
      <c r="Q340" s="145" t="s">
        <v>4546</v>
      </c>
    </row>
    <row r="341" spans="4:17" x14ac:dyDescent="0.25">
      <c r="D341" s="146" t="s">
        <v>4547</v>
      </c>
      <c r="E341" s="145" t="s">
        <v>4537</v>
      </c>
      <c r="F341" s="146"/>
      <c r="G341" s="145"/>
      <c r="H341" s="146"/>
      <c r="I341" s="146"/>
      <c r="J341" s="145" t="str">
        <f t="shared" si="6"/>
        <v/>
      </c>
      <c r="K341" s="151"/>
      <c r="L341" s="152"/>
      <c r="M341" s="153"/>
      <c r="N341" s="146"/>
      <c r="O341" s="146"/>
      <c r="P341" s="146"/>
      <c r="Q341" s="145" t="s">
        <v>4548</v>
      </c>
    </row>
    <row r="342" spans="4:17" x14ac:dyDescent="0.25">
      <c r="D342" s="146" t="s">
        <v>4549</v>
      </c>
      <c r="E342" s="145" t="s">
        <v>4537</v>
      </c>
      <c r="F342" s="146"/>
      <c r="G342" s="145"/>
      <c r="H342" s="146"/>
      <c r="I342" s="146"/>
      <c r="J342" s="145" t="str">
        <f t="shared" si="6"/>
        <v/>
      </c>
      <c r="K342" s="151"/>
      <c r="L342" s="152"/>
      <c r="M342" s="153"/>
      <c r="N342" s="146"/>
      <c r="O342" s="146"/>
      <c r="P342" s="146"/>
      <c r="Q342" s="145" t="s">
        <v>4550</v>
      </c>
    </row>
    <row r="343" spans="4:17" x14ac:dyDescent="0.25">
      <c r="D343" s="146" t="s">
        <v>4551</v>
      </c>
      <c r="E343" s="145" t="s">
        <v>4537</v>
      </c>
      <c r="F343" s="146"/>
      <c r="G343" s="145"/>
      <c r="H343" s="146"/>
      <c r="I343" s="146"/>
      <c r="J343" s="145" t="str">
        <f t="shared" si="6"/>
        <v/>
      </c>
      <c r="K343" s="151"/>
      <c r="L343" s="152"/>
      <c r="M343" s="153"/>
      <c r="N343" s="146"/>
      <c r="O343" s="146"/>
      <c r="P343" s="146"/>
      <c r="Q343" s="145" t="s">
        <v>4552</v>
      </c>
    </row>
    <row r="344" spans="4:17" x14ac:dyDescent="0.25">
      <c r="D344" s="146" t="s">
        <v>4553</v>
      </c>
      <c r="E344" s="145" t="s">
        <v>4537</v>
      </c>
      <c r="F344" s="146"/>
      <c r="G344" s="145"/>
      <c r="H344" s="146"/>
      <c r="I344" s="146"/>
      <c r="J344" s="145" t="str">
        <f t="shared" si="6"/>
        <v/>
      </c>
      <c r="K344" s="151"/>
      <c r="L344" s="152"/>
      <c r="M344" s="153"/>
      <c r="N344" s="146"/>
      <c r="O344" s="146"/>
      <c r="P344" s="146"/>
      <c r="Q344" s="145" t="s">
        <v>4554</v>
      </c>
    </row>
    <row r="345" spans="4:17" x14ac:dyDescent="0.25">
      <c r="D345" s="146" t="s">
        <v>4555</v>
      </c>
      <c r="E345" s="145" t="s">
        <v>4537</v>
      </c>
      <c r="F345" s="146"/>
      <c r="G345" s="145"/>
      <c r="H345" s="146"/>
      <c r="I345" s="146"/>
      <c r="J345" s="145" t="str">
        <f t="shared" si="6"/>
        <v/>
      </c>
      <c r="K345" s="151"/>
      <c r="L345" s="152"/>
      <c r="M345" s="153"/>
      <c r="N345" s="146"/>
      <c r="O345" s="146"/>
      <c r="P345" s="146"/>
      <c r="Q345" s="145" t="s">
        <v>4556</v>
      </c>
    </row>
    <row r="346" spans="4:17" x14ac:dyDescent="0.25">
      <c r="D346" s="146" t="s">
        <v>4557</v>
      </c>
      <c r="E346" s="145" t="s">
        <v>4537</v>
      </c>
      <c r="F346" s="146"/>
      <c r="G346" s="145"/>
      <c r="H346" s="146"/>
      <c r="I346" s="146"/>
      <c r="J346" s="145" t="str">
        <f t="shared" si="6"/>
        <v/>
      </c>
      <c r="K346" s="151"/>
      <c r="L346" s="152"/>
      <c r="M346" s="153"/>
      <c r="N346" s="146"/>
      <c r="O346" s="146"/>
      <c r="P346" s="146"/>
      <c r="Q346" s="145" t="s">
        <v>4558</v>
      </c>
    </row>
    <row r="347" spans="4:17" x14ac:dyDescent="0.25">
      <c r="D347" s="146" t="s">
        <v>4559</v>
      </c>
      <c r="E347" s="145" t="s">
        <v>4537</v>
      </c>
      <c r="F347" s="146"/>
      <c r="G347" s="145"/>
      <c r="H347" s="146"/>
      <c r="I347" s="146"/>
      <c r="J347" s="145" t="str">
        <f t="shared" si="6"/>
        <v/>
      </c>
      <c r="K347" s="151"/>
      <c r="L347" s="152"/>
      <c r="M347" s="153"/>
      <c r="N347" s="146"/>
      <c r="O347" s="146"/>
      <c r="P347" s="146"/>
      <c r="Q347" s="145" t="s">
        <v>4560</v>
      </c>
    </row>
    <row r="348" spans="4:17" x14ac:dyDescent="0.25">
      <c r="D348" s="146" t="s">
        <v>4561</v>
      </c>
      <c r="E348" s="145" t="s">
        <v>4537</v>
      </c>
      <c r="F348" s="146"/>
      <c r="G348" s="145"/>
      <c r="H348" s="146"/>
      <c r="I348" s="146"/>
      <c r="J348" s="145" t="str">
        <f t="shared" si="6"/>
        <v/>
      </c>
      <c r="K348" s="151"/>
      <c r="L348" s="152"/>
      <c r="M348" s="153"/>
      <c r="N348" s="146"/>
      <c r="O348" s="146"/>
      <c r="P348" s="146"/>
      <c r="Q348" s="145" t="s">
        <v>4562</v>
      </c>
    </row>
    <row r="349" spans="4:17" x14ac:dyDescent="0.25">
      <c r="D349" s="146" t="s">
        <v>4563</v>
      </c>
      <c r="E349" s="145" t="s">
        <v>4537</v>
      </c>
      <c r="F349" s="146"/>
      <c r="G349" s="145"/>
      <c r="H349" s="146"/>
      <c r="I349" s="146"/>
      <c r="J349" s="145" t="str">
        <f t="shared" si="6"/>
        <v/>
      </c>
      <c r="K349" s="151"/>
      <c r="L349" s="152"/>
      <c r="M349" s="153"/>
      <c r="N349" s="146"/>
      <c r="O349" s="146"/>
      <c r="P349" s="146"/>
      <c r="Q349" s="145" t="s">
        <v>4564</v>
      </c>
    </row>
    <row r="350" spans="4:17" x14ac:dyDescent="0.25">
      <c r="D350" s="146" t="s">
        <v>4565</v>
      </c>
      <c r="E350" s="145" t="s">
        <v>4537</v>
      </c>
      <c r="F350" s="146"/>
      <c r="G350" s="145"/>
      <c r="H350" s="146"/>
      <c r="I350" s="146"/>
      <c r="J350" s="145" t="str">
        <f t="shared" si="6"/>
        <v/>
      </c>
      <c r="K350" s="151"/>
      <c r="L350" s="152"/>
      <c r="M350" s="153"/>
      <c r="N350" s="146"/>
      <c r="O350" s="146"/>
      <c r="P350" s="146"/>
      <c r="Q350" s="145" t="s">
        <v>4566</v>
      </c>
    </row>
    <row r="351" spans="4:17" x14ac:dyDescent="0.25">
      <c r="D351" s="146" t="s">
        <v>4567</v>
      </c>
      <c r="E351" s="145" t="s">
        <v>4537</v>
      </c>
      <c r="F351" s="146"/>
      <c r="G351" s="145"/>
      <c r="H351" s="146"/>
      <c r="I351" s="146"/>
      <c r="J351" s="145" t="str">
        <f t="shared" si="6"/>
        <v/>
      </c>
      <c r="K351" s="151"/>
      <c r="L351" s="152"/>
      <c r="M351" s="153"/>
      <c r="N351" s="146"/>
      <c r="O351" s="146"/>
      <c r="P351" s="146"/>
      <c r="Q351" s="145" t="s">
        <v>4568</v>
      </c>
    </row>
    <row r="352" spans="4:17" x14ac:dyDescent="0.25">
      <c r="D352" s="146" t="s">
        <v>4569</v>
      </c>
      <c r="E352" s="145" t="s">
        <v>4537</v>
      </c>
      <c r="F352" s="146"/>
      <c r="G352" s="145"/>
      <c r="H352" s="146"/>
      <c r="I352" s="146"/>
      <c r="J352" s="145" t="str">
        <f t="shared" si="6"/>
        <v/>
      </c>
      <c r="K352" s="151"/>
      <c r="L352" s="152"/>
      <c r="M352" s="153"/>
      <c r="N352" s="146"/>
      <c r="O352" s="146"/>
      <c r="P352" s="146"/>
      <c r="Q352" s="145" t="s">
        <v>4570</v>
      </c>
    </row>
    <row r="353" spans="4:17" x14ac:dyDescent="0.25">
      <c r="D353" s="146" t="s">
        <v>4571</v>
      </c>
      <c r="E353" s="145" t="s">
        <v>4537</v>
      </c>
      <c r="F353" s="146"/>
      <c r="G353" s="145"/>
      <c r="H353" s="146"/>
      <c r="I353" s="146"/>
      <c r="J353" s="145" t="str">
        <f t="shared" si="6"/>
        <v/>
      </c>
      <c r="K353" s="151"/>
      <c r="L353" s="152"/>
      <c r="M353" s="153"/>
      <c r="N353" s="146"/>
      <c r="O353" s="146"/>
      <c r="P353" s="146"/>
      <c r="Q353" s="145" t="s">
        <v>4572</v>
      </c>
    </row>
    <row r="354" spans="4:17" x14ac:dyDescent="0.25">
      <c r="D354" s="146" t="s">
        <v>4573</v>
      </c>
      <c r="E354" s="145" t="s">
        <v>4537</v>
      </c>
      <c r="F354" s="146"/>
      <c r="G354" s="145"/>
      <c r="H354" s="146"/>
      <c r="I354" s="146"/>
      <c r="J354" s="145" t="str">
        <f t="shared" si="6"/>
        <v/>
      </c>
      <c r="K354" s="151"/>
      <c r="L354" s="152"/>
      <c r="M354" s="153"/>
      <c r="N354" s="146"/>
      <c r="O354" s="146"/>
      <c r="P354" s="146"/>
      <c r="Q354" s="145" t="s">
        <v>4574</v>
      </c>
    </row>
    <row r="355" spans="4:17" x14ac:dyDescent="0.25">
      <c r="D355" s="146" t="s">
        <v>4575</v>
      </c>
      <c r="E355" s="145" t="s">
        <v>4537</v>
      </c>
      <c r="F355" s="146"/>
      <c r="G355" s="145"/>
      <c r="H355" s="146"/>
      <c r="I355" s="146"/>
      <c r="J355" s="145" t="str">
        <f t="shared" si="6"/>
        <v/>
      </c>
      <c r="K355" s="151"/>
      <c r="L355" s="152"/>
      <c r="M355" s="153"/>
      <c r="N355" s="146"/>
      <c r="O355" s="146"/>
      <c r="P355" s="146"/>
      <c r="Q355" s="145" t="s">
        <v>4576</v>
      </c>
    </row>
    <row r="356" spans="4:17" x14ac:dyDescent="0.25">
      <c r="D356" s="146" t="s">
        <v>4577</v>
      </c>
      <c r="E356" s="145" t="s">
        <v>4578</v>
      </c>
      <c r="F356" s="146"/>
      <c r="G356" s="145"/>
      <c r="H356" s="146"/>
      <c r="I356" s="146"/>
      <c r="J356" s="145" t="str">
        <f t="shared" si="6"/>
        <v/>
      </c>
      <c r="K356" s="151"/>
      <c r="L356" s="152"/>
      <c r="M356" s="153"/>
      <c r="N356" s="146"/>
      <c r="O356" s="146"/>
      <c r="P356" s="146"/>
      <c r="Q356" s="145" t="s">
        <v>4579</v>
      </c>
    </row>
    <row r="357" spans="4:17" x14ac:dyDescent="0.25">
      <c r="D357" s="146" t="s">
        <v>4580</v>
      </c>
      <c r="E357" s="145" t="s">
        <v>4578</v>
      </c>
      <c r="F357" s="146"/>
      <c r="G357" s="145"/>
      <c r="H357" s="146"/>
      <c r="I357" s="146"/>
      <c r="J357" s="145" t="str">
        <f t="shared" si="6"/>
        <v/>
      </c>
      <c r="K357" s="151"/>
      <c r="L357" s="152"/>
      <c r="M357" s="153"/>
      <c r="N357" s="146"/>
      <c r="O357" s="146"/>
      <c r="P357" s="146"/>
      <c r="Q357" s="145" t="s">
        <v>4581</v>
      </c>
    </row>
    <row r="358" spans="4:17" x14ac:dyDescent="0.25">
      <c r="D358" s="146" t="s">
        <v>4582</v>
      </c>
      <c r="E358" s="145" t="s">
        <v>4578</v>
      </c>
      <c r="F358" s="146"/>
      <c r="G358" s="145"/>
      <c r="H358" s="146"/>
      <c r="I358" s="146"/>
      <c r="J358" s="145" t="str">
        <f t="shared" si="6"/>
        <v/>
      </c>
      <c r="K358" s="151"/>
      <c r="L358" s="152"/>
      <c r="M358" s="153"/>
      <c r="N358" s="146"/>
      <c r="O358" s="146"/>
      <c r="P358" s="146"/>
      <c r="Q358" s="145" t="s">
        <v>4583</v>
      </c>
    </row>
    <row r="359" spans="4:17" x14ac:dyDescent="0.25">
      <c r="D359" s="146" t="s">
        <v>4584</v>
      </c>
      <c r="E359" s="145" t="s">
        <v>4578</v>
      </c>
      <c r="F359" s="146"/>
      <c r="G359" s="145"/>
      <c r="H359" s="146"/>
      <c r="I359" s="146"/>
      <c r="J359" s="145" t="str">
        <f t="shared" si="6"/>
        <v/>
      </c>
      <c r="K359" s="151"/>
      <c r="L359" s="152"/>
      <c r="M359" s="153"/>
      <c r="N359" s="146"/>
      <c r="O359" s="146"/>
      <c r="P359" s="146"/>
      <c r="Q359" s="145" t="s">
        <v>4585</v>
      </c>
    </row>
    <row r="360" spans="4:17" x14ac:dyDescent="0.25">
      <c r="D360" s="146" t="s">
        <v>4586</v>
      </c>
      <c r="E360" s="145" t="s">
        <v>4578</v>
      </c>
      <c r="F360" s="146"/>
      <c r="G360" s="145"/>
      <c r="H360" s="146"/>
      <c r="I360" s="146"/>
      <c r="J360" s="145" t="str">
        <f t="shared" si="6"/>
        <v/>
      </c>
      <c r="K360" s="151"/>
      <c r="L360" s="152"/>
      <c r="M360" s="153"/>
      <c r="N360" s="146"/>
      <c r="O360" s="146"/>
      <c r="P360" s="146"/>
      <c r="Q360" s="145" t="s">
        <v>4587</v>
      </c>
    </row>
    <row r="361" spans="4:17" x14ac:dyDescent="0.25">
      <c r="D361" s="146" t="s">
        <v>4588</v>
      </c>
      <c r="E361" s="145" t="s">
        <v>4578</v>
      </c>
      <c r="F361" s="146"/>
      <c r="G361" s="145"/>
      <c r="H361" s="146"/>
      <c r="I361" s="146"/>
      <c r="J361" s="145" t="str">
        <f t="shared" si="6"/>
        <v/>
      </c>
      <c r="K361" s="151"/>
      <c r="L361" s="152"/>
      <c r="M361" s="153"/>
      <c r="N361" s="146"/>
      <c r="O361" s="146"/>
      <c r="P361" s="146"/>
      <c r="Q361" s="145" t="s">
        <v>4589</v>
      </c>
    </row>
    <row r="362" spans="4:17" x14ac:dyDescent="0.25">
      <c r="D362" s="146" t="s">
        <v>4590</v>
      </c>
      <c r="E362" s="145" t="s">
        <v>4578</v>
      </c>
      <c r="F362" s="146"/>
      <c r="G362" s="145"/>
      <c r="H362" s="146"/>
      <c r="I362" s="146"/>
      <c r="J362" s="145" t="str">
        <f t="shared" si="6"/>
        <v/>
      </c>
      <c r="K362" s="151"/>
      <c r="L362" s="152"/>
      <c r="M362" s="153"/>
      <c r="N362" s="146"/>
      <c r="O362" s="146"/>
      <c r="P362" s="146"/>
      <c r="Q362" s="145" t="s">
        <v>4591</v>
      </c>
    </row>
    <row r="363" spans="4:17" x14ac:dyDescent="0.25">
      <c r="D363" s="146" t="s">
        <v>4592</v>
      </c>
      <c r="E363" s="145" t="s">
        <v>4578</v>
      </c>
      <c r="F363" s="146"/>
      <c r="G363" s="145"/>
      <c r="H363" s="146"/>
      <c r="I363" s="146"/>
      <c r="J363" s="145" t="str">
        <f t="shared" si="6"/>
        <v/>
      </c>
      <c r="K363" s="151"/>
      <c r="L363" s="152"/>
      <c r="M363" s="153"/>
      <c r="N363" s="146"/>
      <c r="O363" s="146"/>
      <c r="P363" s="146"/>
      <c r="Q363" s="145" t="s">
        <v>4593</v>
      </c>
    </row>
    <row r="364" spans="4:17" x14ac:dyDescent="0.25">
      <c r="D364" s="146" t="s">
        <v>4594</v>
      </c>
      <c r="E364" s="145" t="s">
        <v>4578</v>
      </c>
      <c r="F364" s="146"/>
      <c r="G364" s="145"/>
      <c r="H364" s="146"/>
      <c r="I364" s="146"/>
      <c r="J364" s="145" t="str">
        <f t="shared" si="6"/>
        <v/>
      </c>
      <c r="K364" s="151"/>
      <c r="L364" s="152"/>
      <c r="M364" s="153"/>
      <c r="N364" s="146"/>
      <c r="O364" s="146"/>
      <c r="P364" s="146"/>
      <c r="Q364" s="145" t="s">
        <v>4595</v>
      </c>
    </row>
    <row r="365" spans="4:17" x14ac:dyDescent="0.25">
      <c r="D365" s="146" t="s">
        <v>4596</v>
      </c>
      <c r="E365" s="145" t="s">
        <v>4578</v>
      </c>
      <c r="F365" s="146"/>
      <c r="G365" s="145"/>
      <c r="H365" s="146"/>
      <c r="I365" s="146"/>
      <c r="J365" s="145" t="str">
        <f t="shared" si="6"/>
        <v/>
      </c>
      <c r="K365" s="151"/>
      <c r="L365" s="152"/>
      <c r="M365" s="153"/>
      <c r="N365" s="146"/>
      <c r="O365" s="146"/>
      <c r="P365" s="146"/>
      <c r="Q365" s="145" t="s">
        <v>4597</v>
      </c>
    </row>
    <row r="366" spans="4:17" x14ac:dyDescent="0.25">
      <c r="D366" s="146" t="s">
        <v>4598</v>
      </c>
      <c r="E366" s="145" t="s">
        <v>4578</v>
      </c>
      <c r="F366" s="146"/>
      <c r="G366" s="145"/>
      <c r="H366" s="146"/>
      <c r="I366" s="146"/>
      <c r="J366" s="145" t="str">
        <f t="shared" si="6"/>
        <v/>
      </c>
      <c r="K366" s="151"/>
      <c r="L366" s="152"/>
      <c r="M366" s="153"/>
      <c r="N366" s="146"/>
      <c r="O366" s="146"/>
      <c r="P366" s="146"/>
      <c r="Q366" s="145" t="s">
        <v>4599</v>
      </c>
    </row>
    <row r="367" spans="4:17" x14ac:dyDescent="0.25">
      <c r="D367" s="146" t="s">
        <v>4600</v>
      </c>
      <c r="E367" s="145" t="s">
        <v>4578</v>
      </c>
      <c r="F367" s="146"/>
      <c r="G367" s="145"/>
      <c r="H367" s="146"/>
      <c r="I367" s="146"/>
      <c r="J367" s="145" t="str">
        <f t="shared" si="6"/>
        <v/>
      </c>
      <c r="K367" s="151"/>
      <c r="L367" s="152"/>
      <c r="M367" s="153"/>
      <c r="N367" s="146"/>
      <c r="O367" s="146"/>
      <c r="P367" s="146"/>
      <c r="Q367" s="145" t="s">
        <v>4601</v>
      </c>
    </row>
    <row r="368" spans="4:17" x14ac:dyDescent="0.25">
      <c r="D368" s="146" t="s">
        <v>4602</v>
      </c>
      <c r="E368" s="145" t="s">
        <v>4578</v>
      </c>
      <c r="F368" s="146"/>
      <c r="G368" s="145"/>
      <c r="H368" s="146"/>
      <c r="I368" s="146"/>
      <c r="J368" s="145" t="str">
        <f t="shared" si="6"/>
        <v/>
      </c>
      <c r="K368" s="151"/>
      <c r="L368" s="152"/>
      <c r="M368" s="153"/>
      <c r="N368" s="146"/>
      <c r="O368" s="146"/>
      <c r="P368" s="146"/>
      <c r="Q368" s="145" t="s">
        <v>4603</v>
      </c>
    </row>
    <row r="369" spans="4:17" x14ac:dyDescent="0.25">
      <c r="D369" s="146" t="s">
        <v>4604</v>
      </c>
      <c r="E369" s="145" t="s">
        <v>4578</v>
      </c>
      <c r="F369" s="146"/>
      <c r="G369" s="145"/>
      <c r="H369" s="146"/>
      <c r="I369" s="146"/>
      <c r="J369" s="145" t="str">
        <f t="shared" si="6"/>
        <v/>
      </c>
      <c r="K369" s="151"/>
      <c r="L369" s="152"/>
      <c r="M369" s="153"/>
      <c r="N369" s="146"/>
      <c r="O369" s="146"/>
      <c r="P369" s="146"/>
      <c r="Q369" s="145" t="s">
        <v>4605</v>
      </c>
    </row>
    <row r="370" spans="4:17" x14ac:dyDescent="0.25">
      <c r="D370" s="146" t="s">
        <v>4606</v>
      </c>
      <c r="E370" s="145" t="s">
        <v>4578</v>
      </c>
      <c r="F370" s="146"/>
      <c r="G370" s="145"/>
      <c r="H370" s="146"/>
      <c r="I370" s="146"/>
      <c r="J370" s="145" t="str">
        <f t="shared" si="6"/>
        <v/>
      </c>
      <c r="K370" s="151"/>
      <c r="L370" s="152"/>
      <c r="M370" s="153"/>
      <c r="N370" s="146"/>
      <c r="O370" s="146"/>
      <c r="P370" s="146"/>
      <c r="Q370" s="145" t="s">
        <v>4607</v>
      </c>
    </row>
    <row r="371" spans="4:17" x14ac:dyDescent="0.25">
      <c r="D371" s="146" t="s">
        <v>4608</v>
      </c>
      <c r="E371" s="145" t="s">
        <v>4578</v>
      </c>
      <c r="F371" s="146"/>
      <c r="G371" s="145"/>
      <c r="H371" s="146"/>
      <c r="I371" s="146"/>
      <c r="J371" s="145" t="str">
        <f t="shared" si="6"/>
        <v/>
      </c>
      <c r="K371" s="151"/>
      <c r="L371" s="152"/>
      <c r="M371" s="153"/>
      <c r="N371" s="146"/>
      <c r="O371" s="146"/>
      <c r="P371" s="146"/>
      <c r="Q371" s="145" t="s">
        <v>4609</v>
      </c>
    </row>
    <row r="372" spans="4:17" x14ac:dyDescent="0.25">
      <c r="D372" s="146" t="s">
        <v>4610</v>
      </c>
      <c r="E372" s="145" t="s">
        <v>4578</v>
      </c>
      <c r="F372" s="146"/>
      <c r="G372" s="145"/>
      <c r="H372" s="146"/>
      <c r="I372" s="146"/>
      <c r="J372" s="145" t="str">
        <f t="shared" si="6"/>
        <v/>
      </c>
      <c r="K372" s="151"/>
      <c r="L372" s="152"/>
      <c r="M372" s="153"/>
      <c r="N372" s="146"/>
      <c r="O372" s="146"/>
      <c r="P372" s="146"/>
      <c r="Q372" s="145" t="s">
        <v>4611</v>
      </c>
    </row>
    <row r="373" spans="4:17" x14ac:dyDescent="0.25">
      <c r="D373" s="146" t="s">
        <v>4612</v>
      </c>
      <c r="E373" s="145" t="s">
        <v>4578</v>
      </c>
      <c r="F373" s="146"/>
      <c r="G373" s="145"/>
      <c r="H373" s="146"/>
      <c r="I373" s="146"/>
      <c r="J373" s="145" t="str">
        <f t="shared" si="6"/>
        <v/>
      </c>
      <c r="K373" s="151"/>
      <c r="L373" s="152"/>
      <c r="M373" s="153"/>
      <c r="N373" s="146"/>
      <c r="O373" s="146"/>
      <c r="P373" s="146"/>
      <c r="Q373" s="145" t="s">
        <v>4613</v>
      </c>
    </row>
    <row r="374" spans="4:17" x14ac:dyDescent="0.25">
      <c r="D374" s="146" t="s">
        <v>4614</v>
      </c>
      <c r="E374" s="145" t="s">
        <v>4578</v>
      </c>
      <c r="F374" s="146"/>
      <c r="G374" s="145"/>
      <c r="H374" s="146"/>
      <c r="I374" s="146"/>
      <c r="J374" s="145" t="str">
        <f t="shared" si="6"/>
        <v/>
      </c>
      <c r="K374" s="151"/>
      <c r="L374" s="152"/>
      <c r="M374" s="153"/>
      <c r="N374" s="146"/>
      <c r="O374" s="146"/>
      <c r="P374" s="146"/>
      <c r="Q374" s="145" t="s">
        <v>4615</v>
      </c>
    </row>
    <row r="375" spans="4:17" x14ac:dyDescent="0.25">
      <c r="D375" s="146" t="s">
        <v>4616</v>
      </c>
      <c r="E375" s="145" t="s">
        <v>4578</v>
      </c>
      <c r="F375" s="146"/>
      <c r="G375" s="145"/>
      <c r="H375" s="146"/>
      <c r="I375" s="146"/>
      <c r="J375" s="145" t="str">
        <f t="shared" si="6"/>
        <v/>
      </c>
      <c r="K375" s="151"/>
      <c r="L375" s="152"/>
      <c r="M375" s="153"/>
      <c r="N375" s="146"/>
      <c r="O375" s="146"/>
      <c r="P375" s="146"/>
      <c r="Q375" s="145" t="s">
        <v>4617</v>
      </c>
    </row>
    <row r="376" spans="4:17" x14ac:dyDescent="0.25">
      <c r="D376" s="146" t="s">
        <v>4618</v>
      </c>
      <c r="E376" s="145" t="s">
        <v>4619</v>
      </c>
      <c r="F376" s="146"/>
      <c r="G376" s="145"/>
      <c r="H376" s="146"/>
      <c r="I376" s="146"/>
      <c r="J376" s="145" t="str">
        <f t="shared" si="6"/>
        <v/>
      </c>
      <c r="K376" s="151"/>
      <c r="L376" s="152"/>
      <c r="M376" s="153"/>
      <c r="N376" s="146"/>
      <c r="O376" s="146"/>
      <c r="P376" s="146"/>
      <c r="Q376" s="145" t="s">
        <v>4620</v>
      </c>
    </row>
    <row r="377" spans="4:17" x14ac:dyDescent="0.25">
      <c r="D377" s="146" t="s">
        <v>4621</v>
      </c>
      <c r="E377" s="145" t="s">
        <v>4619</v>
      </c>
      <c r="F377" s="146"/>
      <c r="G377" s="145"/>
      <c r="H377" s="146"/>
      <c r="I377" s="146"/>
      <c r="J377" s="145" t="str">
        <f t="shared" si="6"/>
        <v/>
      </c>
      <c r="K377" s="151"/>
      <c r="L377" s="152"/>
      <c r="M377" s="153"/>
      <c r="N377" s="146"/>
      <c r="O377" s="146"/>
      <c r="P377" s="146"/>
      <c r="Q377" s="145" t="s">
        <v>4622</v>
      </c>
    </row>
    <row r="378" spans="4:17" x14ac:dyDescent="0.25">
      <c r="D378" s="146" t="s">
        <v>4623</v>
      </c>
      <c r="E378" s="145" t="s">
        <v>4619</v>
      </c>
      <c r="F378" s="146"/>
      <c r="G378" s="145"/>
      <c r="H378" s="146"/>
      <c r="I378" s="146"/>
      <c r="J378" s="145" t="str">
        <f t="shared" si="6"/>
        <v/>
      </c>
      <c r="K378" s="151"/>
      <c r="L378" s="152"/>
      <c r="M378" s="153"/>
      <c r="N378" s="146"/>
      <c r="O378" s="146"/>
      <c r="P378" s="146"/>
      <c r="Q378" s="145" t="s">
        <v>4624</v>
      </c>
    </row>
    <row r="379" spans="4:17" x14ac:dyDescent="0.25">
      <c r="D379" s="146" t="s">
        <v>4625</v>
      </c>
      <c r="E379" s="145" t="s">
        <v>4619</v>
      </c>
      <c r="F379" s="146"/>
      <c r="G379" s="145"/>
      <c r="H379" s="146"/>
      <c r="I379" s="146"/>
      <c r="J379" s="145" t="str">
        <f t="shared" si="6"/>
        <v/>
      </c>
      <c r="K379" s="151"/>
      <c r="L379" s="152"/>
      <c r="M379" s="153"/>
      <c r="N379" s="146"/>
      <c r="O379" s="146"/>
      <c r="P379" s="146"/>
      <c r="Q379" s="145" t="s">
        <v>4626</v>
      </c>
    </row>
    <row r="380" spans="4:17" x14ac:dyDescent="0.25">
      <c r="D380" s="146" t="s">
        <v>4627</v>
      </c>
      <c r="E380" s="145" t="s">
        <v>4619</v>
      </c>
      <c r="F380" s="146"/>
      <c r="G380" s="145"/>
      <c r="H380" s="146"/>
      <c r="I380" s="146"/>
      <c r="J380" s="145" t="str">
        <f t="shared" ref="J380:J443" si="7">F380&amp;H380&amp;I380</f>
        <v/>
      </c>
      <c r="K380" s="151"/>
      <c r="L380" s="152"/>
      <c r="M380" s="153"/>
      <c r="N380" s="146"/>
      <c r="O380" s="146"/>
      <c r="P380" s="146"/>
      <c r="Q380" s="145" t="s">
        <v>4628</v>
      </c>
    </row>
    <row r="381" spans="4:17" x14ac:dyDescent="0.25">
      <c r="D381" s="146" t="s">
        <v>4629</v>
      </c>
      <c r="E381" s="145" t="s">
        <v>4619</v>
      </c>
      <c r="F381" s="146"/>
      <c r="G381" s="145"/>
      <c r="H381" s="146"/>
      <c r="I381" s="146"/>
      <c r="J381" s="145" t="str">
        <f t="shared" si="7"/>
        <v/>
      </c>
      <c r="K381" s="151"/>
      <c r="L381" s="152"/>
      <c r="M381" s="153"/>
      <c r="N381" s="146"/>
      <c r="O381" s="146"/>
      <c r="P381" s="146"/>
      <c r="Q381" s="145" t="s">
        <v>4630</v>
      </c>
    </row>
    <row r="382" spans="4:17" x14ac:dyDescent="0.25">
      <c r="D382" s="146" t="s">
        <v>4631</v>
      </c>
      <c r="E382" s="145" t="s">
        <v>4619</v>
      </c>
      <c r="F382" s="146"/>
      <c r="G382" s="145"/>
      <c r="H382" s="146"/>
      <c r="I382" s="146"/>
      <c r="J382" s="145" t="str">
        <f t="shared" si="7"/>
        <v/>
      </c>
      <c r="K382" s="151"/>
      <c r="L382" s="152"/>
      <c r="M382" s="153"/>
      <c r="N382" s="146"/>
      <c r="O382" s="146"/>
      <c r="P382" s="146"/>
      <c r="Q382" s="145" t="s">
        <v>4632</v>
      </c>
    </row>
    <row r="383" spans="4:17" x14ac:dyDescent="0.25">
      <c r="D383" s="146" t="s">
        <v>4633</v>
      </c>
      <c r="E383" s="145" t="s">
        <v>4619</v>
      </c>
      <c r="F383" s="146"/>
      <c r="G383" s="145"/>
      <c r="H383" s="146"/>
      <c r="I383" s="146"/>
      <c r="J383" s="145" t="str">
        <f t="shared" si="7"/>
        <v/>
      </c>
      <c r="K383" s="151"/>
      <c r="L383" s="152"/>
      <c r="M383" s="153"/>
      <c r="N383" s="146"/>
      <c r="O383" s="146"/>
      <c r="P383" s="146"/>
      <c r="Q383" s="145" t="s">
        <v>4634</v>
      </c>
    </row>
    <row r="384" spans="4:17" x14ac:dyDescent="0.25">
      <c r="D384" s="146" t="s">
        <v>4635</v>
      </c>
      <c r="E384" s="145" t="s">
        <v>4619</v>
      </c>
      <c r="F384" s="146"/>
      <c r="G384" s="145"/>
      <c r="H384" s="146"/>
      <c r="I384" s="146"/>
      <c r="J384" s="145" t="str">
        <f t="shared" si="7"/>
        <v/>
      </c>
      <c r="K384" s="151"/>
      <c r="L384" s="152"/>
      <c r="M384" s="153"/>
      <c r="N384" s="146"/>
      <c r="O384" s="146"/>
      <c r="P384" s="146"/>
      <c r="Q384" s="145" t="s">
        <v>4636</v>
      </c>
    </row>
    <row r="385" spans="4:17" x14ac:dyDescent="0.25">
      <c r="D385" s="146" t="s">
        <v>4637</v>
      </c>
      <c r="E385" s="145" t="s">
        <v>4619</v>
      </c>
      <c r="F385" s="146"/>
      <c r="G385" s="145"/>
      <c r="H385" s="146"/>
      <c r="I385" s="146"/>
      <c r="J385" s="145" t="str">
        <f t="shared" si="7"/>
        <v/>
      </c>
      <c r="K385" s="151"/>
      <c r="L385" s="152"/>
      <c r="M385" s="153"/>
      <c r="N385" s="146"/>
      <c r="O385" s="146"/>
      <c r="P385" s="146"/>
      <c r="Q385" s="145" t="s">
        <v>4638</v>
      </c>
    </row>
    <row r="386" spans="4:17" x14ac:dyDescent="0.25">
      <c r="D386" s="146" t="s">
        <v>4639</v>
      </c>
      <c r="E386" s="145" t="s">
        <v>4619</v>
      </c>
      <c r="F386" s="146"/>
      <c r="G386" s="145"/>
      <c r="H386" s="146"/>
      <c r="I386" s="146"/>
      <c r="J386" s="145" t="str">
        <f t="shared" si="7"/>
        <v/>
      </c>
      <c r="K386" s="151"/>
      <c r="L386" s="152"/>
      <c r="M386" s="153"/>
      <c r="N386" s="146"/>
      <c r="O386" s="146"/>
      <c r="P386" s="146"/>
      <c r="Q386" s="145" t="s">
        <v>4640</v>
      </c>
    </row>
    <row r="387" spans="4:17" x14ac:dyDescent="0.25">
      <c r="D387" s="146" t="s">
        <v>4641</v>
      </c>
      <c r="E387" s="145" t="s">
        <v>4619</v>
      </c>
      <c r="F387" s="146"/>
      <c r="G387" s="145"/>
      <c r="H387" s="146"/>
      <c r="I387" s="146"/>
      <c r="J387" s="145" t="str">
        <f t="shared" si="7"/>
        <v/>
      </c>
      <c r="K387" s="151"/>
      <c r="L387" s="152"/>
      <c r="M387" s="153"/>
      <c r="N387" s="146"/>
      <c r="O387" s="146"/>
      <c r="P387" s="146"/>
      <c r="Q387" s="145" t="s">
        <v>4642</v>
      </c>
    </row>
    <row r="388" spans="4:17" x14ac:dyDescent="0.25">
      <c r="D388" s="146" t="s">
        <v>4643</v>
      </c>
      <c r="E388" s="145" t="s">
        <v>4619</v>
      </c>
      <c r="F388" s="146"/>
      <c r="G388" s="145"/>
      <c r="H388" s="146"/>
      <c r="I388" s="146"/>
      <c r="J388" s="145" t="str">
        <f t="shared" si="7"/>
        <v/>
      </c>
      <c r="K388" s="151"/>
      <c r="L388" s="152"/>
      <c r="M388" s="153"/>
      <c r="N388" s="146"/>
      <c r="O388" s="146"/>
      <c r="P388" s="146"/>
      <c r="Q388" s="145" t="s">
        <v>4644</v>
      </c>
    </row>
    <row r="389" spans="4:17" x14ac:dyDescent="0.25">
      <c r="D389" s="146" t="s">
        <v>4645</v>
      </c>
      <c r="E389" s="145" t="s">
        <v>4619</v>
      </c>
      <c r="F389" s="146"/>
      <c r="G389" s="145"/>
      <c r="H389" s="146"/>
      <c r="I389" s="146"/>
      <c r="J389" s="145" t="str">
        <f t="shared" si="7"/>
        <v/>
      </c>
      <c r="K389" s="151"/>
      <c r="L389" s="152"/>
      <c r="M389" s="153"/>
      <c r="N389" s="146"/>
      <c r="O389" s="146"/>
      <c r="P389" s="146"/>
      <c r="Q389" s="145" t="s">
        <v>4646</v>
      </c>
    </row>
    <row r="390" spans="4:17" x14ac:dyDescent="0.25">
      <c r="D390" s="146" t="s">
        <v>4647</v>
      </c>
      <c r="E390" s="145" t="s">
        <v>4619</v>
      </c>
      <c r="F390" s="146"/>
      <c r="G390" s="145"/>
      <c r="H390" s="146"/>
      <c r="I390" s="146"/>
      <c r="J390" s="145" t="str">
        <f t="shared" si="7"/>
        <v/>
      </c>
      <c r="K390" s="151"/>
      <c r="L390" s="152"/>
      <c r="M390" s="153"/>
      <c r="N390" s="146"/>
      <c r="O390" s="146"/>
      <c r="P390" s="146"/>
      <c r="Q390" s="145" t="s">
        <v>4648</v>
      </c>
    </row>
    <row r="391" spans="4:17" x14ac:dyDescent="0.25">
      <c r="D391" s="146" t="s">
        <v>4649</v>
      </c>
      <c r="E391" s="145" t="s">
        <v>4619</v>
      </c>
      <c r="F391" s="146"/>
      <c r="G391" s="145"/>
      <c r="H391" s="146"/>
      <c r="I391" s="146"/>
      <c r="J391" s="145" t="str">
        <f t="shared" si="7"/>
        <v/>
      </c>
      <c r="K391" s="151"/>
      <c r="L391" s="152"/>
      <c r="M391" s="153"/>
      <c r="N391" s="146"/>
      <c r="O391" s="146"/>
      <c r="P391" s="146"/>
      <c r="Q391" s="145" t="s">
        <v>4650</v>
      </c>
    </row>
    <row r="392" spans="4:17" x14ac:dyDescent="0.25">
      <c r="D392" s="146" t="s">
        <v>4651</v>
      </c>
      <c r="E392" s="145" t="s">
        <v>4619</v>
      </c>
      <c r="F392" s="146"/>
      <c r="G392" s="145"/>
      <c r="H392" s="146"/>
      <c r="I392" s="146"/>
      <c r="J392" s="145" t="str">
        <f t="shared" si="7"/>
        <v/>
      </c>
      <c r="K392" s="151"/>
      <c r="L392" s="152"/>
      <c r="M392" s="153"/>
      <c r="N392" s="146"/>
      <c r="O392" s="146"/>
      <c r="P392" s="146"/>
      <c r="Q392" s="145" t="s">
        <v>4652</v>
      </c>
    </row>
    <row r="393" spans="4:17" x14ac:dyDescent="0.25">
      <c r="D393" s="146" t="s">
        <v>4653</v>
      </c>
      <c r="E393" s="145" t="s">
        <v>4619</v>
      </c>
      <c r="F393" s="146"/>
      <c r="G393" s="145"/>
      <c r="H393" s="146"/>
      <c r="I393" s="146"/>
      <c r="J393" s="145" t="str">
        <f t="shared" si="7"/>
        <v/>
      </c>
      <c r="K393" s="151"/>
      <c r="L393" s="152"/>
      <c r="M393" s="153"/>
      <c r="N393" s="146"/>
      <c r="O393" s="146"/>
      <c r="P393" s="146"/>
      <c r="Q393" s="145" t="s">
        <v>4654</v>
      </c>
    </row>
    <row r="394" spans="4:17" x14ac:dyDescent="0.25">
      <c r="D394" s="146" t="s">
        <v>4655</v>
      </c>
      <c r="E394" s="145" t="s">
        <v>4619</v>
      </c>
      <c r="F394" s="146"/>
      <c r="G394" s="145"/>
      <c r="H394" s="146"/>
      <c r="I394" s="146"/>
      <c r="J394" s="145" t="str">
        <f t="shared" si="7"/>
        <v/>
      </c>
      <c r="K394" s="151"/>
      <c r="L394" s="152"/>
      <c r="M394" s="153"/>
      <c r="N394" s="146"/>
      <c r="O394" s="146"/>
      <c r="P394" s="146"/>
      <c r="Q394" s="145" t="s">
        <v>4656</v>
      </c>
    </row>
    <row r="395" spans="4:17" x14ac:dyDescent="0.25">
      <c r="D395" s="146" t="s">
        <v>4657</v>
      </c>
      <c r="E395" s="145" t="s">
        <v>4619</v>
      </c>
      <c r="F395" s="146"/>
      <c r="G395" s="145"/>
      <c r="H395" s="146"/>
      <c r="I395" s="146"/>
      <c r="J395" s="145" t="str">
        <f t="shared" si="7"/>
        <v/>
      </c>
      <c r="K395" s="151"/>
      <c r="L395" s="152"/>
      <c r="M395" s="153"/>
      <c r="N395" s="146"/>
      <c r="O395" s="146"/>
      <c r="P395" s="146"/>
      <c r="Q395" s="145" t="s">
        <v>4658</v>
      </c>
    </row>
    <row r="396" spans="4:17" x14ac:dyDescent="0.25">
      <c r="D396" s="146" t="s">
        <v>4659</v>
      </c>
      <c r="E396" s="145" t="s">
        <v>4660</v>
      </c>
      <c r="F396" s="146"/>
      <c r="G396" s="145"/>
      <c r="H396" s="146"/>
      <c r="I396" s="146"/>
      <c r="J396" s="145" t="str">
        <f t="shared" si="7"/>
        <v/>
      </c>
      <c r="K396" s="151"/>
      <c r="L396" s="152"/>
      <c r="M396" s="153"/>
      <c r="N396" s="146"/>
      <c r="O396" s="146"/>
      <c r="P396" s="146"/>
      <c r="Q396" s="145" t="s">
        <v>4661</v>
      </c>
    </row>
    <row r="397" spans="4:17" x14ac:dyDescent="0.25">
      <c r="D397" s="146" t="s">
        <v>4662</v>
      </c>
      <c r="E397" s="145" t="s">
        <v>4660</v>
      </c>
      <c r="F397" s="146"/>
      <c r="G397" s="145"/>
      <c r="H397" s="146"/>
      <c r="I397" s="146"/>
      <c r="J397" s="145" t="str">
        <f t="shared" si="7"/>
        <v/>
      </c>
      <c r="K397" s="151"/>
      <c r="L397" s="152"/>
      <c r="M397" s="153"/>
      <c r="N397" s="146"/>
      <c r="O397" s="146"/>
      <c r="P397" s="146"/>
      <c r="Q397" s="145" t="s">
        <v>4663</v>
      </c>
    </row>
    <row r="398" spans="4:17" x14ac:dyDescent="0.25">
      <c r="D398" s="146" t="s">
        <v>4664</v>
      </c>
      <c r="E398" s="145" t="s">
        <v>4660</v>
      </c>
      <c r="F398" s="146"/>
      <c r="G398" s="145"/>
      <c r="H398" s="146"/>
      <c r="I398" s="146"/>
      <c r="J398" s="145" t="str">
        <f t="shared" si="7"/>
        <v/>
      </c>
      <c r="K398" s="151"/>
      <c r="L398" s="152"/>
      <c r="M398" s="153"/>
      <c r="N398" s="146"/>
      <c r="O398" s="146"/>
      <c r="P398" s="146"/>
      <c r="Q398" s="145" t="s">
        <v>4665</v>
      </c>
    </row>
    <row r="399" spans="4:17" x14ac:dyDescent="0.25">
      <c r="D399" s="146" t="s">
        <v>4666</v>
      </c>
      <c r="E399" s="145" t="s">
        <v>4660</v>
      </c>
      <c r="F399" s="146"/>
      <c r="G399" s="145"/>
      <c r="H399" s="146"/>
      <c r="I399" s="146"/>
      <c r="J399" s="145" t="str">
        <f t="shared" si="7"/>
        <v/>
      </c>
      <c r="K399" s="151"/>
      <c r="L399" s="152"/>
      <c r="M399" s="153"/>
      <c r="N399" s="146"/>
      <c r="O399" s="146"/>
      <c r="P399" s="146"/>
      <c r="Q399" s="145" t="s">
        <v>4667</v>
      </c>
    </row>
    <row r="400" spans="4:17" x14ac:dyDescent="0.25">
      <c r="D400" s="146" t="s">
        <v>4668</v>
      </c>
      <c r="E400" s="145" t="s">
        <v>4660</v>
      </c>
      <c r="F400" s="146"/>
      <c r="G400" s="145"/>
      <c r="H400" s="146"/>
      <c r="I400" s="146"/>
      <c r="J400" s="145" t="str">
        <f t="shared" si="7"/>
        <v/>
      </c>
      <c r="K400" s="151"/>
      <c r="L400" s="152"/>
      <c r="M400" s="153"/>
      <c r="N400" s="146"/>
      <c r="O400" s="146"/>
      <c r="P400" s="146"/>
      <c r="Q400" s="145" t="s">
        <v>4669</v>
      </c>
    </row>
    <row r="401" spans="4:17" x14ac:dyDescent="0.25">
      <c r="D401" s="146" t="s">
        <v>4670</v>
      </c>
      <c r="E401" s="145" t="s">
        <v>4660</v>
      </c>
      <c r="F401" s="146"/>
      <c r="G401" s="145"/>
      <c r="H401" s="146"/>
      <c r="I401" s="146"/>
      <c r="J401" s="145" t="str">
        <f t="shared" si="7"/>
        <v/>
      </c>
      <c r="K401" s="151"/>
      <c r="L401" s="152"/>
      <c r="M401" s="153"/>
      <c r="N401" s="146"/>
      <c r="O401" s="146"/>
      <c r="P401" s="146"/>
      <c r="Q401" s="145" t="s">
        <v>4671</v>
      </c>
    </row>
    <row r="402" spans="4:17" x14ac:dyDescent="0.25">
      <c r="D402" s="146" t="s">
        <v>4672</v>
      </c>
      <c r="E402" s="145" t="s">
        <v>4660</v>
      </c>
      <c r="F402" s="146"/>
      <c r="G402" s="145"/>
      <c r="H402" s="146"/>
      <c r="I402" s="146"/>
      <c r="J402" s="145" t="str">
        <f t="shared" si="7"/>
        <v/>
      </c>
      <c r="K402" s="151"/>
      <c r="L402" s="152"/>
      <c r="M402" s="153"/>
      <c r="N402" s="146"/>
      <c r="O402" s="146"/>
      <c r="P402" s="146"/>
      <c r="Q402" s="145" t="s">
        <v>4673</v>
      </c>
    </row>
    <row r="403" spans="4:17" x14ac:dyDescent="0.25">
      <c r="D403" s="146" t="s">
        <v>4674</v>
      </c>
      <c r="E403" s="145" t="s">
        <v>4660</v>
      </c>
      <c r="F403" s="146"/>
      <c r="G403" s="145"/>
      <c r="H403" s="146"/>
      <c r="I403" s="146"/>
      <c r="J403" s="145" t="str">
        <f t="shared" si="7"/>
        <v/>
      </c>
      <c r="K403" s="151"/>
      <c r="L403" s="152"/>
      <c r="M403" s="153"/>
      <c r="N403" s="146"/>
      <c r="O403" s="146"/>
      <c r="P403" s="146"/>
      <c r="Q403" s="145" t="s">
        <v>4675</v>
      </c>
    </row>
    <row r="404" spans="4:17" x14ac:dyDescent="0.25">
      <c r="D404" s="146" t="s">
        <v>4676</v>
      </c>
      <c r="E404" s="145" t="s">
        <v>4660</v>
      </c>
      <c r="F404" s="146"/>
      <c r="G404" s="145"/>
      <c r="H404" s="146"/>
      <c r="I404" s="146"/>
      <c r="J404" s="145" t="str">
        <f t="shared" si="7"/>
        <v/>
      </c>
      <c r="K404" s="151"/>
      <c r="L404" s="152"/>
      <c r="M404" s="153"/>
      <c r="N404" s="146"/>
      <c r="O404" s="146"/>
      <c r="P404" s="146"/>
      <c r="Q404" s="145" t="s">
        <v>4677</v>
      </c>
    </row>
    <row r="405" spans="4:17" x14ac:dyDescent="0.25">
      <c r="D405" s="146" t="s">
        <v>4678</v>
      </c>
      <c r="E405" s="145" t="s">
        <v>4660</v>
      </c>
      <c r="F405" s="146"/>
      <c r="G405" s="145"/>
      <c r="H405" s="146"/>
      <c r="I405" s="146"/>
      <c r="J405" s="145" t="str">
        <f t="shared" si="7"/>
        <v/>
      </c>
      <c r="K405" s="151"/>
      <c r="L405" s="152"/>
      <c r="M405" s="153"/>
      <c r="N405" s="146"/>
      <c r="O405" s="146"/>
      <c r="P405" s="146"/>
      <c r="Q405" s="145" t="s">
        <v>4679</v>
      </c>
    </row>
    <row r="406" spans="4:17" x14ac:dyDescent="0.25">
      <c r="D406" s="146" t="s">
        <v>4680</v>
      </c>
      <c r="E406" s="145" t="s">
        <v>4660</v>
      </c>
      <c r="F406" s="146"/>
      <c r="G406" s="145"/>
      <c r="H406" s="146"/>
      <c r="I406" s="146"/>
      <c r="J406" s="145" t="str">
        <f t="shared" si="7"/>
        <v/>
      </c>
      <c r="K406" s="151"/>
      <c r="L406" s="152"/>
      <c r="M406" s="153"/>
      <c r="N406" s="146"/>
      <c r="O406" s="146"/>
      <c r="P406" s="146"/>
      <c r="Q406" s="145" t="s">
        <v>4681</v>
      </c>
    </row>
    <row r="407" spans="4:17" x14ac:dyDescent="0.25">
      <c r="D407" s="146" t="s">
        <v>4682</v>
      </c>
      <c r="E407" s="145" t="s">
        <v>4660</v>
      </c>
      <c r="F407" s="146"/>
      <c r="G407" s="145"/>
      <c r="H407" s="146"/>
      <c r="I407" s="146"/>
      <c r="J407" s="145" t="str">
        <f t="shared" si="7"/>
        <v/>
      </c>
      <c r="K407" s="151"/>
      <c r="L407" s="152"/>
      <c r="M407" s="153"/>
      <c r="N407" s="146"/>
      <c r="O407" s="146"/>
      <c r="P407" s="146"/>
      <c r="Q407" s="145" t="s">
        <v>4683</v>
      </c>
    </row>
    <row r="408" spans="4:17" x14ac:dyDescent="0.25">
      <c r="D408" s="146" t="s">
        <v>4684</v>
      </c>
      <c r="E408" s="145" t="s">
        <v>4660</v>
      </c>
      <c r="F408" s="146"/>
      <c r="G408" s="145"/>
      <c r="H408" s="146"/>
      <c r="I408" s="146"/>
      <c r="J408" s="145" t="str">
        <f t="shared" si="7"/>
        <v/>
      </c>
      <c r="K408" s="151"/>
      <c r="L408" s="152"/>
      <c r="M408" s="153"/>
      <c r="N408" s="146"/>
      <c r="O408" s="146"/>
      <c r="P408" s="146"/>
      <c r="Q408" s="145" t="s">
        <v>4685</v>
      </c>
    </row>
    <row r="409" spans="4:17" x14ac:dyDescent="0.25">
      <c r="D409" s="146" t="s">
        <v>4686</v>
      </c>
      <c r="E409" s="145" t="s">
        <v>4660</v>
      </c>
      <c r="F409" s="146"/>
      <c r="G409" s="145"/>
      <c r="H409" s="146"/>
      <c r="I409" s="146"/>
      <c r="J409" s="145" t="str">
        <f t="shared" si="7"/>
        <v/>
      </c>
      <c r="K409" s="151"/>
      <c r="L409" s="152"/>
      <c r="M409" s="153"/>
      <c r="N409" s="146"/>
      <c r="O409" s="146"/>
      <c r="P409" s="146"/>
      <c r="Q409" s="145" t="s">
        <v>4687</v>
      </c>
    </row>
    <row r="410" spans="4:17" x14ac:dyDescent="0.25">
      <c r="D410" s="146" t="s">
        <v>4688</v>
      </c>
      <c r="E410" s="145" t="s">
        <v>4660</v>
      </c>
      <c r="F410" s="146"/>
      <c r="G410" s="145"/>
      <c r="H410" s="146"/>
      <c r="I410" s="146"/>
      <c r="J410" s="145" t="str">
        <f t="shared" si="7"/>
        <v/>
      </c>
      <c r="K410" s="151"/>
      <c r="L410" s="152"/>
      <c r="M410" s="153"/>
      <c r="N410" s="146"/>
      <c r="O410" s="146"/>
      <c r="P410" s="146"/>
      <c r="Q410" s="145" t="s">
        <v>4689</v>
      </c>
    </row>
    <row r="411" spans="4:17" x14ac:dyDescent="0.25">
      <c r="D411" s="146" t="s">
        <v>4690</v>
      </c>
      <c r="E411" s="145" t="s">
        <v>4660</v>
      </c>
      <c r="F411" s="146"/>
      <c r="G411" s="145"/>
      <c r="H411" s="146"/>
      <c r="I411" s="146"/>
      <c r="J411" s="145" t="str">
        <f t="shared" si="7"/>
        <v/>
      </c>
      <c r="K411" s="151"/>
      <c r="L411" s="152"/>
      <c r="M411" s="153"/>
      <c r="N411" s="146"/>
      <c r="O411" s="146"/>
      <c r="P411" s="146"/>
      <c r="Q411" s="145" t="s">
        <v>4691</v>
      </c>
    </row>
    <row r="412" spans="4:17" x14ac:dyDescent="0.25">
      <c r="D412" s="146" t="s">
        <v>4692</v>
      </c>
      <c r="E412" s="145" t="s">
        <v>4660</v>
      </c>
      <c r="F412" s="146"/>
      <c r="G412" s="145"/>
      <c r="H412" s="146"/>
      <c r="I412" s="146"/>
      <c r="J412" s="145" t="str">
        <f t="shared" si="7"/>
        <v/>
      </c>
      <c r="K412" s="151"/>
      <c r="L412" s="152"/>
      <c r="M412" s="153"/>
      <c r="N412" s="146"/>
      <c r="O412" s="146"/>
      <c r="P412" s="146"/>
      <c r="Q412" s="145" t="s">
        <v>4693</v>
      </c>
    </row>
    <row r="413" spans="4:17" x14ac:dyDescent="0.25">
      <c r="D413" s="146" t="s">
        <v>4694</v>
      </c>
      <c r="E413" s="145" t="s">
        <v>4660</v>
      </c>
      <c r="F413" s="146"/>
      <c r="G413" s="145"/>
      <c r="H413" s="146"/>
      <c r="I413" s="146"/>
      <c r="J413" s="145" t="str">
        <f t="shared" si="7"/>
        <v/>
      </c>
      <c r="K413" s="151"/>
      <c r="L413" s="152"/>
      <c r="M413" s="153"/>
      <c r="N413" s="146"/>
      <c r="O413" s="146"/>
      <c r="P413" s="146"/>
      <c r="Q413" s="145" t="s">
        <v>4695</v>
      </c>
    </row>
    <row r="414" spans="4:17" x14ac:dyDescent="0.25">
      <c r="D414" s="146" t="s">
        <v>4696</v>
      </c>
      <c r="E414" s="145" t="s">
        <v>4660</v>
      </c>
      <c r="F414" s="146"/>
      <c r="G414" s="145"/>
      <c r="H414" s="146"/>
      <c r="I414" s="146"/>
      <c r="J414" s="145" t="str">
        <f t="shared" si="7"/>
        <v/>
      </c>
      <c r="K414" s="151"/>
      <c r="L414" s="152"/>
      <c r="M414" s="153"/>
      <c r="N414" s="146"/>
      <c r="O414" s="146"/>
      <c r="P414" s="146"/>
      <c r="Q414" s="145" t="s">
        <v>4697</v>
      </c>
    </row>
    <row r="415" spans="4:17" x14ac:dyDescent="0.25">
      <c r="D415" s="146" t="s">
        <v>4698</v>
      </c>
      <c r="E415" s="145" t="s">
        <v>4660</v>
      </c>
      <c r="F415" s="146"/>
      <c r="G415" s="145"/>
      <c r="H415" s="146"/>
      <c r="I415" s="146"/>
      <c r="J415" s="145" t="str">
        <f t="shared" si="7"/>
        <v/>
      </c>
      <c r="K415" s="151"/>
      <c r="L415" s="152"/>
      <c r="M415" s="153"/>
      <c r="N415" s="146"/>
      <c r="O415" s="146"/>
      <c r="P415" s="146"/>
      <c r="Q415" s="145" t="s">
        <v>4699</v>
      </c>
    </row>
    <row r="416" spans="4:17" x14ac:dyDescent="0.25">
      <c r="D416" s="146" t="s">
        <v>4700</v>
      </c>
      <c r="E416" s="145" t="s">
        <v>4701</v>
      </c>
      <c r="F416" s="146"/>
      <c r="G416" s="145"/>
      <c r="H416" s="146"/>
      <c r="I416" s="146"/>
      <c r="J416" s="145" t="str">
        <f t="shared" si="7"/>
        <v/>
      </c>
      <c r="K416" s="151"/>
      <c r="L416" s="152"/>
      <c r="M416" s="153"/>
      <c r="N416" s="146"/>
      <c r="O416" s="146"/>
      <c r="P416" s="146"/>
      <c r="Q416" s="145" t="s">
        <v>4702</v>
      </c>
    </row>
    <row r="417" spans="4:17" x14ac:dyDescent="0.25">
      <c r="D417" s="146" t="s">
        <v>4703</v>
      </c>
      <c r="E417" s="145" t="s">
        <v>4701</v>
      </c>
      <c r="F417" s="146"/>
      <c r="G417" s="145"/>
      <c r="H417" s="146"/>
      <c r="I417" s="146"/>
      <c r="J417" s="145" t="str">
        <f t="shared" si="7"/>
        <v/>
      </c>
      <c r="K417" s="151"/>
      <c r="L417" s="152"/>
      <c r="M417" s="153"/>
      <c r="N417" s="146"/>
      <c r="O417" s="146"/>
      <c r="P417" s="146"/>
      <c r="Q417" s="145" t="s">
        <v>4704</v>
      </c>
    </row>
    <row r="418" spans="4:17" x14ac:dyDescent="0.25">
      <c r="D418" s="146" t="s">
        <v>4705</v>
      </c>
      <c r="E418" s="145" t="s">
        <v>4701</v>
      </c>
      <c r="F418" s="146"/>
      <c r="G418" s="145"/>
      <c r="H418" s="146"/>
      <c r="I418" s="146"/>
      <c r="J418" s="145" t="str">
        <f t="shared" si="7"/>
        <v/>
      </c>
      <c r="K418" s="151"/>
      <c r="L418" s="152"/>
      <c r="M418" s="153"/>
      <c r="N418" s="146"/>
      <c r="O418" s="146"/>
      <c r="P418" s="146"/>
      <c r="Q418" s="145" t="s">
        <v>4706</v>
      </c>
    </row>
    <row r="419" spans="4:17" x14ac:dyDescent="0.25">
      <c r="D419" s="146" t="s">
        <v>4707</v>
      </c>
      <c r="E419" s="145" t="s">
        <v>4701</v>
      </c>
      <c r="F419" s="146"/>
      <c r="G419" s="145"/>
      <c r="H419" s="146"/>
      <c r="I419" s="146"/>
      <c r="J419" s="145" t="str">
        <f t="shared" si="7"/>
        <v/>
      </c>
      <c r="K419" s="151"/>
      <c r="L419" s="152"/>
      <c r="M419" s="153"/>
      <c r="N419" s="146"/>
      <c r="O419" s="146"/>
      <c r="P419" s="146"/>
      <c r="Q419" s="145" t="s">
        <v>4708</v>
      </c>
    </row>
    <row r="420" spans="4:17" x14ac:dyDescent="0.25">
      <c r="D420" s="146" t="s">
        <v>4709</v>
      </c>
      <c r="E420" s="145" t="s">
        <v>4701</v>
      </c>
      <c r="F420" s="146"/>
      <c r="G420" s="145"/>
      <c r="H420" s="146"/>
      <c r="I420" s="146"/>
      <c r="J420" s="145" t="str">
        <f t="shared" si="7"/>
        <v/>
      </c>
      <c r="K420" s="151"/>
      <c r="L420" s="152"/>
      <c r="M420" s="153"/>
      <c r="N420" s="146"/>
      <c r="O420" s="146"/>
      <c r="P420" s="146"/>
      <c r="Q420" s="145" t="s">
        <v>4710</v>
      </c>
    </row>
    <row r="421" spans="4:17" x14ac:dyDescent="0.25">
      <c r="D421" s="146" t="s">
        <v>4711</v>
      </c>
      <c r="E421" s="145" t="s">
        <v>4701</v>
      </c>
      <c r="F421" s="146"/>
      <c r="G421" s="145"/>
      <c r="H421" s="146"/>
      <c r="I421" s="146"/>
      <c r="J421" s="145" t="str">
        <f t="shared" si="7"/>
        <v/>
      </c>
      <c r="K421" s="151"/>
      <c r="L421" s="152"/>
      <c r="M421" s="153"/>
      <c r="N421" s="146"/>
      <c r="O421" s="146"/>
      <c r="P421" s="146"/>
      <c r="Q421" s="145" t="s">
        <v>4712</v>
      </c>
    </row>
    <row r="422" spans="4:17" x14ac:dyDescent="0.25">
      <c r="D422" s="146" t="s">
        <v>4713</v>
      </c>
      <c r="E422" s="145" t="s">
        <v>4701</v>
      </c>
      <c r="F422" s="146"/>
      <c r="G422" s="145"/>
      <c r="H422" s="146"/>
      <c r="I422" s="146"/>
      <c r="J422" s="145" t="str">
        <f t="shared" si="7"/>
        <v/>
      </c>
      <c r="K422" s="151"/>
      <c r="L422" s="152"/>
      <c r="M422" s="153"/>
      <c r="N422" s="146"/>
      <c r="O422" s="146"/>
      <c r="P422" s="146"/>
      <c r="Q422" s="145" t="s">
        <v>4714</v>
      </c>
    </row>
    <row r="423" spans="4:17" x14ac:dyDescent="0.25">
      <c r="D423" s="146" t="s">
        <v>4715</v>
      </c>
      <c r="E423" s="145" t="s">
        <v>4701</v>
      </c>
      <c r="F423" s="146"/>
      <c r="G423" s="145"/>
      <c r="H423" s="146"/>
      <c r="I423" s="146"/>
      <c r="J423" s="145" t="str">
        <f t="shared" si="7"/>
        <v/>
      </c>
      <c r="K423" s="151"/>
      <c r="L423" s="152"/>
      <c r="M423" s="153"/>
      <c r="N423" s="146"/>
      <c r="O423" s="146"/>
      <c r="P423" s="146"/>
      <c r="Q423" s="145" t="s">
        <v>4716</v>
      </c>
    </row>
    <row r="424" spans="4:17" x14ac:dyDescent="0.25">
      <c r="D424" s="146" t="s">
        <v>4717</v>
      </c>
      <c r="E424" s="145" t="s">
        <v>4701</v>
      </c>
      <c r="F424" s="146"/>
      <c r="G424" s="145"/>
      <c r="H424" s="146"/>
      <c r="I424" s="146"/>
      <c r="J424" s="145" t="str">
        <f t="shared" si="7"/>
        <v/>
      </c>
      <c r="K424" s="151"/>
      <c r="L424" s="152"/>
      <c r="M424" s="153"/>
      <c r="N424" s="146"/>
      <c r="O424" s="146"/>
      <c r="P424" s="146"/>
      <c r="Q424" s="145" t="s">
        <v>4718</v>
      </c>
    </row>
    <row r="425" spans="4:17" x14ac:dyDescent="0.25">
      <c r="D425" s="146" t="s">
        <v>4719</v>
      </c>
      <c r="E425" s="145" t="s">
        <v>4701</v>
      </c>
      <c r="F425" s="146"/>
      <c r="G425" s="145"/>
      <c r="H425" s="146"/>
      <c r="I425" s="146"/>
      <c r="J425" s="145" t="str">
        <f t="shared" si="7"/>
        <v/>
      </c>
      <c r="K425" s="151"/>
      <c r="L425" s="152"/>
      <c r="M425" s="153"/>
      <c r="N425" s="146"/>
      <c r="O425" s="146"/>
      <c r="P425" s="146"/>
      <c r="Q425" s="145" t="s">
        <v>4720</v>
      </c>
    </row>
    <row r="426" spans="4:17" x14ac:dyDescent="0.25">
      <c r="D426" s="146" t="s">
        <v>4721</v>
      </c>
      <c r="E426" s="145" t="s">
        <v>4701</v>
      </c>
      <c r="F426" s="146"/>
      <c r="G426" s="145"/>
      <c r="H426" s="146"/>
      <c r="I426" s="146"/>
      <c r="J426" s="145" t="str">
        <f t="shared" si="7"/>
        <v/>
      </c>
      <c r="K426" s="151"/>
      <c r="L426" s="152"/>
      <c r="M426" s="153"/>
      <c r="N426" s="146"/>
      <c r="O426" s="146"/>
      <c r="P426" s="146"/>
      <c r="Q426" s="145" t="s">
        <v>4722</v>
      </c>
    </row>
    <row r="427" spans="4:17" x14ac:dyDescent="0.25">
      <c r="D427" s="146" t="s">
        <v>4723</v>
      </c>
      <c r="E427" s="145" t="s">
        <v>4701</v>
      </c>
      <c r="F427" s="146"/>
      <c r="G427" s="145"/>
      <c r="H427" s="146"/>
      <c r="I427" s="146"/>
      <c r="J427" s="145" t="str">
        <f t="shared" si="7"/>
        <v/>
      </c>
      <c r="K427" s="151"/>
      <c r="L427" s="152"/>
      <c r="M427" s="153"/>
      <c r="N427" s="146"/>
      <c r="O427" s="146"/>
      <c r="P427" s="146"/>
      <c r="Q427" s="145" t="s">
        <v>4724</v>
      </c>
    </row>
    <row r="428" spans="4:17" x14ac:dyDescent="0.25">
      <c r="D428" s="146" t="s">
        <v>4725</v>
      </c>
      <c r="E428" s="145" t="s">
        <v>4701</v>
      </c>
      <c r="F428" s="146"/>
      <c r="G428" s="145"/>
      <c r="H428" s="146"/>
      <c r="I428" s="146"/>
      <c r="J428" s="145" t="str">
        <f t="shared" si="7"/>
        <v/>
      </c>
      <c r="K428" s="151"/>
      <c r="L428" s="152"/>
      <c r="M428" s="153"/>
      <c r="N428" s="146"/>
      <c r="O428" s="146"/>
      <c r="P428" s="146"/>
      <c r="Q428" s="145" t="s">
        <v>4726</v>
      </c>
    </row>
    <row r="429" spans="4:17" x14ac:dyDescent="0.25">
      <c r="D429" s="146" t="s">
        <v>4727</v>
      </c>
      <c r="E429" s="145" t="s">
        <v>4701</v>
      </c>
      <c r="F429" s="146"/>
      <c r="G429" s="145"/>
      <c r="H429" s="146"/>
      <c r="I429" s="146"/>
      <c r="J429" s="145" t="str">
        <f t="shared" si="7"/>
        <v/>
      </c>
      <c r="K429" s="151"/>
      <c r="L429" s="152"/>
      <c r="M429" s="153"/>
      <c r="N429" s="146"/>
      <c r="O429" s="146"/>
      <c r="P429" s="146"/>
      <c r="Q429" s="145" t="s">
        <v>4728</v>
      </c>
    </row>
    <row r="430" spans="4:17" x14ac:dyDescent="0.25">
      <c r="D430" s="146" t="s">
        <v>4729</v>
      </c>
      <c r="E430" s="145" t="s">
        <v>4701</v>
      </c>
      <c r="F430" s="146"/>
      <c r="G430" s="145"/>
      <c r="H430" s="146"/>
      <c r="I430" s="146"/>
      <c r="J430" s="145" t="str">
        <f t="shared" si="7"/>
        <v/>
      </c>
      <c r="K430" s="151"/>
      <c r="L430" s="152"/>
      <c r="M430" s="153"/>
      <c r="N430" s="146"/>
      <c r="O430" s="146"/>
      <c r="P430" s="146"/>
      <c r="Q430" s="145" t="s">
        <v>4730</v>
      </c>
    </row>
    <row r="431" spans="4:17" x14ac:dyDescent="0.25">
      <c r="D431" s="146" t="s">
        <v>4731</v>
      </c>
      <c r="E431" s="145" t="s">
        <v>4701</v>
      </c>
      <c r="F431" s="146"/>
      <c r="G431" s="145"/>
      <c r="H431" s="146"/>
      <c r="I431" s="146"/>
      <c r="J431" s="145" t="str">
        <f t="shared" si="7"/>
        <v/>
      </c>
      <c r="K431" s="151"/>
      <c r="L431" s="152"/>
      <c r="M431" s="153"/>
      <c r="N431" s="146"/>
      <c r="O431" s="146"/>
      <c r="P431" s="146"/>
      <c r="Q431" s="145" t="s">
        <v>4732</v>
      </c>
    </row>
    <row r="432" spans="4:17" x14ac:dyDescent="0.25">
      <c r="D432" s="146" t="s">
        <v>4733</v>
      </c>
      <c r="E432" s="145" t="s">
        <v>4701</v>
      </c>
      <c r="F432" s="146"/>
      <c r="G432" s="145"/>
      <c r="H432" s="146"/>
      <c r="I432" s="146"/>
      <c r="J432" s="145" t="str">
        <f t="shared" si="7"/>
        <v/>
      </c>
      <c r="K432" s="151"/>
      <c r="L432" s="152"/>
      <c r="M432" s="153"/>
      <c r="N432" s="146"/>
      <c r="O432" s="146"/>
      <c r="P432" s="146"/>
      <c r="Q432" s="145" t="s">
        <v>4734</v>
      </c>
    </row>
    <row r="433" spans="4:17" x14ac:dyDescent="0.25">
      <c r="D433" s="146" t="s">
        <v>4735</v>
      </c>
      <c r="E433" s="145" t="s">
        <v>4701</v>
      </c>
      <c r="F433" s="146"/>
      <c r="G433" s="145"/>
      <c r="H433" s="146"/>
      <c r="I433" s="146"/>
      <c r="J433" s="145" t="str">
        <f t="shared" si="7"/>
        <v/>
      </c>
      <c r="K433" s="151"/>
      <c r="L433" s="152"/>
      <c r="M433" s="153"/>
      <c r="N433" s="146"/>
      <c r="O433" s="146"/>
      <c r="P433" s="146"/>
      <c r="Q433" s="145" t="s">
        <v>4736</v>
      </c>
    </row>
    <row r="434" spans="4:17" x14ac:dyDescent="0.25">
      <c r="D434" s="146" t="s">
        <v>4737</v>
      </c>
      <c r="E434" s="145" t="s">
        <v>4701</v>
      </c>
      <c r="F434" s="146"/>
      <c r="G434" s="145"/>
      <c r="H434" s="146"/>
      <c r="I434" s="146"/>
      <c r="J434" s="145" t="str">
        <f t="shared" si="7"/>
        <v/>
      </c>
      <c r="K434" s="151"/>
      <c r="L434" s="152"/>
      <c r="M434" s="153"/>
      <c r="N434" s="146"/>
      <c r="O434" s="146"/>
      <c r="P434" s="146"/>
      <c r="Q434" s="145" t="s">
        <v>4738</v>
      </c>
    </row>
    <row r="435" spans="4:17" x14ac:dyDescent="0.25">
      <c r="D435" s="146" t="s">
        <v>4739</v>
      </c>
      <c r="E435" s="145" t="s">
        <v>4701</v>
      </c>
      <c r="F435" s="146"/>
      <c r="G435" s="145"/>
      <c r="H435" s="146"/>
      <c r="I435" s="146"/>
      <c r="J435" s="145" t="str">
        <f t="shared" si="7"/>
        <v/>
      </c>
      <c r="K435" s="151"/>
      <c r="L435" s="152"/>
      <c r="M435" s="153"/>
      <c r="N435" s="146"/>
      <c r="O435" s="146"/>
      <c r="P435" s="146"/>
      <c r="Q435" s="145" t="s">
        <v>4740</v>
      </c>
    </row>
    <row r="436" spans="4:17" x14ac:dyDescent="0.25">
      <c r="D436" s="146" t="s">
        <v>4741</v>
      </c>
      <c r="E436" s="145" t="s">
        <v>4742</v>
      </c>
      <c r="F436" s="146"/>
      <c r="G436" s="145"/>
      <c r="H436" s="146"/>
      <c r="I436" s="146"/>
      <c r="J436" s="145" t="str">
        <f t="shared" si="7"/>
        <v/>
      </c>
      <c r="K436" s="151"/>
      <c r="L436" s="152"/>
      <c r="M436" s="153"/>
      <c r="N436" s="146"/>
      <c r="O436" s="146"/>
      <c r="P436" s="146"/>
      <c r="Q436" s="145" t="s">
        <v>4743</v>
      </c>
    </row>
    <row r="437" spans="4:17" x14ac:dyDescent="0.25">
      <c r="D437" s="146" t="s">
        <v>4744</v>
      </c>
      <c r="E437" s="145" t="s">
        <v>4742</v>
      </c>
      <c r="F437" s="146"/>
      <c r="G437" s="145"/>
      <c r="H437" s="146"/>
      <c r="I437" s="146"/>
      <c r="J437" s="145" t="str">
        <f t="shared" si="7"/>
        <v/>
      </c>
      <c r="K437" s="151"/>
      <c r="L437" s="152"/>
      <c r="M437" s="153"/>
      <c r="N437" s="146"/>
      <c r="O437" s="146"/>
      <c r="P437" s="146"/>
      <c r="Q437" s="145" t="s">
        <v>4745</v>
      </c>
    </row>
    <row r="438" spans="4:17" x14ac:dyDescent="0.25">
      <c r="D438" s="146" t="s">
        <v>4746</v>
      </c>
      <c r="E438" s="145" t="s">
        <v>4742</v>
      </c>
      <c r="F438" s="146"/>
      <c r="G438" s="145"/>
      <c r="H438" s="146"/>
      <c r="I438" s="146"/>
      <c r="J438" s="145" t="str">
        <f t="shared" si="7"/>
        <v/>
      </c>
      <c r="K438" s="151"/>
      <c r="L438" s="152"/>
      <c r="M438" s="153"/>
      <c r="N438" s="146"/>
      <c r="O438" s="146"/>
      <c r="P438" s="146"/>
      <c r="Q438" s="145" t="s">
        <v>4747</v>
      </c>
    </row>
    <row r="439" spans="4:17" x14ac:dyDescent="0.25">
      <c r="D439" s="146" t="s">
        <v>4748</v>
      </c>
      <c r="E439" s="145" t="s">
        <v>4742</v>
      </c>
      <c r="F439" s="146"/>
      <c r="G439" s="145"/>
      <c r="H439" s="146"/>
      <c r="I439" s="146"/>
      <c r="J439" s="145" t="str">
        <f t="shared" si="7"/>
        <v/>
      </c>
      <c r="K439" s="151"/>
      <c r="L439" s="152"/>
      <c r="M439" s="153"/>
      <c r="N439" s="146"/>
      <c r="O439" s="146"/>
      <c r="P439" s="146"/>
      <c r="Q439" s="145" t="s">
        <v>4749</v>
      </c>
    </row>
    <row r="440" spans="4:17" x14ac:dyDescent="0.25">
      <c r="D440" s="146" t="s">
        <v>4750</v>
      </c>
      <c r="E440" s="145" t="s">
        <v>4742</v>
      </c>
      <c r="F440" s="146"/>
      <c r="G440" s="145"/>
      <c r="H440" s="146"/>
      <c r="I440" s="146"/>
      <c r="J440" s="145" t="str">
        <f t="shared" si="7"/>
        <v/>
      </c>
      <c r="K440" s="151"/>
      <c r="L440" s="152"/>
      <c r="M440" s="153"/>
      <c r="N440" s="146"/>
      <c r="O440" s="146"/>
      <c r="P440" s="146"/>
      <c r="Q440" s="145" t="s">
        <v>4751</v>
      </c>
    </row>
    <row r="441" spans="4:17" x14ac:dyDescent="0.25">
      <c r="D441" s="146" t="s">
        <v>4752</v>
      </c>
      <c r="E441" s="145" t="s">
        <v>4742</v>
      </c>
      <c r="F441" s="146"/>
      <c r="G441" s="145"/>
      <c r="H441" s="146"/>
      <c r="I441" s="146"/>
      <c r="J441" s="145" t="str">
        <f t="shared" si="7"/>
        <v/>
      </c>
      <c r="K441" s="151"/>
      <c r="L441" s="152"/>
      <c r="M441" s="153"/>
      <c r="N441" s="146"/>
      <c r="O441" s="146"/>
      <c r="P441" s="146"/>
      <c r="Q441" s="145" t="s">
        <v>4753</v>
      </c>
    </row>
    <row r="442" spans="4:17" x14ac:dyDescent="0.25">
      <c r="D442" s="146" t="s">
        <v>4754</v>
      </c>
      <c r="E442" s="145" t="s">
        <v>4742</v>
      </c>
      <c r="F442" s="146"/>
      <c r="G442" s="145"/>
      <c r="H442" s="146"/>
      <c r="I442" s="146"/>
      <c r="J442" s="145" t="str">
        <f t="shared" si="7"/>
        <v/>
      </c>
      <c r="K442" s="151"/>
      <c r="L442" s="152"/>
      <c r="M442" s="153"/>
      <c r="N442" s="146"/>
      <c r="O442" s="146"/>
      <c r="P442" s="146"/>
      <c r="Q442" s="145" t="s">
        <v>4755</v>
      </c>
    </row>
    <row r="443" spans="4:17" x14ac:dyDescent="0.25">
      <c r="D443" s="146" t="s">
        <v>4756</v>
      </c>
      <c r="E443" s="145" t="s">
        <v>4742</v>
      </c>
      <c r="F443" s="146"/>
      <c r="G443" s="145"/>
      <c r="H443" s="146"/>
      <c r="I443" s="146"/>
      <c r="J443" s="145" t="str">
        <f t="shared" si="7"/>
        <v/>
      </c>
      <c r="K443" s="151"/>
      <c r="L443" s="152"/>
      <c r="M443" s="153"/>
      <c r="N443" s="146"/>
      <c r="O443" s="146"/>
      <c r="P443" s="146"/>
      <c r="Q443" s="145" t="s">
        <v>4757</v>
      </c>
    </row>
    <row r="444" spans="4:17" x14ac:dyDescent="0.25">
      <c r="D444" s="146" t="s">
        <v>4758</v>
      </c>
      <c r="E444" s="145" t="s">
        <v>4742</v>
      </c>
      <c r="F444" s="146"/>
      <c r="G444" s="145"/>
      <c r="H444" s="146"/>
      <c r="I444" s="146"/>
      <c r="J444" s="145" t="str">
        <f t="shared" ref="J444:J507" si="8">F444&amp;H444&amp;I444</f>
        <v/>
      </c>
      <c r="K444" s="151"/>
      <c r="L444" s="152"/>
      <c r="M444" s="153"/>
      <c r="N444" s="146"/>
      <c r="O444" s="146"/>
      <c r="P444" s="146"/>
      <c r="Q444" s="145" t="s">
        <v>4759</v>
      </c>
    </row>
    <row r="445" spans="4:17" x14ac:dyDescent="0.25">
      <c r="D445" s="146" t="s">
        <v>4760</v>
      </c>
      <c r="E445" s="145" t="s">
        <v>4742</v>
      </c>
      <c r="F445" s="146"/>
      <c r="G445" s="145"/>
      <c r="H445" s="146"/>
      <c r="I445" s="146"/>
      <c r="J445" s="145" t="str">
        <f t="shared" si="8"/>
        <v/>
      </c>
      <c r="K445" s="151"/>
      <c r="L445" s="152"/>
      <c r="M445" s="153"/>
      <c r="N445" s="146"/>
      <c r="O445" s="146"/>
      <c r="P445" s="146"/>
      <c r="Q445" s="145" t="s">
        <v>4761</v>
      </c>
    </row>
    <row r="446" spans="4:17" x14ac:dyDescent="0.25">
      <c r="D446" s="146" t="s">
        <v>4762</v>
      </c>
      <c r="E446" s="145" t="s">
        <v>4742</v>
      </c>
      <c r="F446" s="146"/>
      <c r="G446" s="145"/>
      <c r="H446" s="146"/>
      <c r="I446" s="146"/>
      <c r="J446" s="145" t="str">
        <f t="shared" si="8"/>
        <v/>
      </c>
      <c r="K446" s="151"/>
      <c r="L446" s="152"/>
      <c r="M446" s="153"/>
      <c r="N446" s="146"/>
      <c r="O446" s="146"/>
      <c r="P446" s="146"/>
      <c r="Q446" s="145" t="s">
        <v>4763</v>
      </c>
    </row>
    <row r="447" spans="4:17" x14ac:dyDescent="0.25">
      <c r="D447" s="146" t="s">
        <v>4764</v>
      </c>
      <c r="E447" s="145" t="s">
        <v>4742</v>
      </c>
      <c r="F447" s="146"/>
      <c r="G447" s="145"/>
      <c r="H447" s="146"/>
      <c r="I447" s="146"/>
      <c r="J447" s="145" t="str">
        <f t="shared" si="8"/>
        <v/>
      </c>
      <c r="K447" s="151"/>
      <c r="L447" s="152"/>
      <c r="M447" s="153"/>
      <c r="N447" s="146"/>
      <c r="O447" s="146"/>
      <c r="P447" s="146"/>
      <c r="Q447" s="145" t="s">
        <v>4765</v>
      </c>
    </row>
    <row r="448" spans="4:17" x14ac:dyDescent="0.25">
      <c r="D448" s="146" t="s">
        <v>4766</v>
      </c>
      <c r="E448" s="145" t="s">
        <v>4742</v>
      </c>
      <c r="F448" s="146"/>
      <c r="G448" s="145"/>
      <c r="H448" s="146"/>
      <c r="I448" s="146"/>
      <c r="J448" s="145" t="str">
        <f t="shared" si="8"/>
        <v/>
      </c>
      <c r="K448" s="151"/>
      <c r="L448" s="152"/>
      <c r="M448" s="153"/>
      <c r="N448" s="146"/>
      <c r="O448" s="146"/>
      <c r="P448" s="146"/>
      <c r="Q448" s="145" t="s">
        <v>4767</v>
      </c>
    </row>
    <row r="449" spans="4:17" x14ac:dyDescent="0.25">
      <c r="D449" s="146" t="s">
        <v>4768</v>
      </c>
      <c r="E449" s="145" t="s">
        <v>4742</v>
      </c>
      <c r="F449" s="146"/>
      <c r="G449" s="145"/>
      <c r="H449" s="146"/>
      <c r="I449" s="146"/>
      <c r="J449" s="145" t="str">
        <f t="shared" si="8"/>
        <v/>
      </c>
      <c r="K449" s="151"/>
      <c r="L449" s="152"/>
      <c r="M449" s="153"/>
      <c r="N449" s="146"/>
      <c r="O449" s="146"/>
      <c r="P449" s="146"/>
      <c r="Q449" s="145" t="s">
        <v>4769</v>
      </c>
    </row>
    <row r="450" spans="4:17" x14ac:dyDescent="0.25">
      <c r="D450" s="146" t="s">
        <v>4770</v>
      </c>
      <c r="E450" s="145" t="s">
        <v>4742</v>
      </c>
      <c r="F450" s="146"/>
      <c r="G450" s="145"/>
      <c r="H450" s="146"/>
      <c r="I450" s="146"/>
      <c r="J450" s="145" t="str">
        <f t="shared" si="8"/>
        <v/>
      </c>
      <c r="K450" s="151"/>
      <c r="L450" s="152"/>
      <c r="M450" s="153"/>
      <c r="N450" s="146"/>
      <c r="O450" s="146"/>
      <c r="P450" s="146"/>
      <c r="Q450" s="145" t="s">
        <v>4771</v>
      </c>
    </row>
    <row r="451" spans="4:17" x14ac:dyDescent="0.25">
      <c r="D451" s="146" t="s">
        <v>4772</v>
      </c>
      <c r="E451" s="145" t="s">
        <v>4742</v>
      </c>
      <c r="F451" s="146"/>
      <c r="G451" s="145"/>
      <c r="H451" s="146"/>
      <c r="I451" s="146"/>
      <c r="J451" s="145" t="str">
        <f t="shared" si="8"/>
        <v/>
      </c>
      <c r="K451" s="151"/>
      <c r="L451" s="152"/>
      <c r="M451" s="153"/>
      <c r="N451" s="146"/>
      <c r="O451" s="146"/>
      <c r="P451" s="146"/>
      <c r="Q451" s="145" t="s">
        <v>4773</v>
      </c>
    </row>
    <row r="452" spans="4:17" x14ac:dyDescent="0.25">
      <c r="D452" s="146" t="s">
        <v>4774</v>
      </c>
      <c r="E452" s="145" t="s">
        <v>4742</v>
      </c>
      <c r="F452" s="146"/>
      <c r="G452" s="145"/>
      <c r="H452" s="146"/>
      <c r="I452" s="146"/>
      <c r="J452" s="145" t="str">
        <f t="shared" si="8"/>
        <v/>
      </c>
      <c r="K452" s="151"/>
      <c r="L452" s="152"/>
      <c r="M452" s="153"/>
      <c r="N452" s="146"/>
      <c r="O452" s="146"/>
      <c r="P452" s="146"/>
      <c r="Q452" s="145" t="s">
        <v>4775</v>
      </c>
    </row>
    <row r="453" spans="4:17" x14ac:dyDescent="0.25">
      <c r="D453" s="146" t="s">
        <v>4776</v>
      </c>
      <c r="E453" s="145" t="s">
        <v>4742</v>
      </c>
      <c r="F453" s="146"/>
      <c r="G453" s="145"/>
      <c r="H453" s="146"/>
      <c r="I453" s="146"/>
      <c r="J453" s="145" t="str">
        <f t="shared" si="8"/>
        <v/>
      </c>
      <c r="K453" s="151"/>
      <c r="L453" s="152"/>
      <c r="M453" s="153"/>
      <c r="N453" s="146"/>
      <c r="O453" s="146"/>
      <c r="P453" s="146"/>
      <c r="Q453" s="145" t="s">
        <v>4777</v>
      </c>
    </row>
    <row r="454" spans="4:17" x14ac:dyDescent="0.25">
      <c r="D454" s="146" t="s">
        <v>4778</v>
      </c>
      <c r="E454" s="145" t="s">
        <v>4742</v>
      </c>
      <c r="F454" s="146"/>
      <c r="G454" s="145"/>
      <c r="H454" s="146"/>
      <c r="I454" s="146"/>
      <c r="J454" s="145" t="str">
        <f t="shared" si="8"/>
        <v/>
      </c>
      <c r="K454" s="151"/>
      <c r="L454" s="152"/>
      <c r="M454" s="153"/>
      <c r="N454" s="146"/>
      <c r="O454" s="146"/>
      <c r="P454" s="146"/>
      <c r="Q454" s="145" t="s">
        <v>4779</v>
      </c>
    </row>
    <row r="455" spans="4:17" x14ac:dyDescent="0.25">
      <c r="D455" s="146" t="s">
        <v>4780</v>
      </c>
      <c r="E455" s="145" t="s">
        <v>4742</v>
      </c>
      <c r="F455" s="146"/>
      <c r="G455" s="145"/>
      <c r="H455" s="146"/>
      <c r="I455" s="146"/>
      <c r="J455" s="145" t="str">
        <f t="shared" si="8"/>
        <v/>
      </c>
      <c r="K455" s="151"/>
      <c r="L455" s="152"/>
      <c r="M455" s="153"/>
      <c r="N455" s="146"/>
      <c r="O455" s="146"/>
      <c r="P455" s="146"/>
      <c r="Q455" s="145" t="s">
        <v>4781</v>
      </c>
    </row>
    <row r="456" spans="4:17" x14ac:dyDescent="0.25">
      <c r="D456" s="146" t="s">
        <v>4782</v>
      </c>
      <c r="E456" s="145" t="s">
        <v>4783</v>
      </c>
      <c r="F456" s="146"/>
      <c r="G456" s="145"/>
      <c r="H456" s="146"/>
      <c r="I456" s="146"/>
      <c r="J456" s="145" t="str">
        <f t="shared" si="8"/>
        <v/>
      </c>
      <c r="K456" s="151"/>
      <c r="L456" s="152"/>
      <c r="M456" s="153"/>
      <c r="N456" s="146"/>
      <c r="O456" s="146"/>
      <c r="P456" s="146"/>
      <c r="Q456" s="145" t="s">
        <v>4784</v>
      </c>
    </row>
    <row r="457" spans="4:17" x14ac:dyDescent="0.25">
      <c r="D457" s="146" t="s">
        <v>4785</v>
      </c>
      <c r="E457" s="145" t="s">
        <v>4783</v>
      </c>
      <c r="F457" s="146"/>
      <c r="G457" s="145"/>
      <c r="H457" s="146"/>
      <c r="I457" s="146"/>
      <c r="J457" s="145" t="str">
        <f t="shared" si="8"/>
        <v/>
      </c>
      <c r="K457" s="151"/>
      <c r="L457" s="152"/>
      <c r="M457" s="153"/>
      <c r="N457" s="146"/>
      <c r="O457" s="146"/>
      <c r="P457" s="146"/>
      <c r="Q457" s="145" t="s">
        <v>4786</v>
      </c>
    </row>
    <row r="458" spans="4:17" x14ac:dyDescent="0.25">
      <c r="D458" s="146" t="s">
        <v>4787</v>
      </c>
      <c r="E458" s="145" t="s">
        <v>4783</v>
      </c>
      <c r="F458" s="146"/>
      <c r="G458" s="145"/>
      <c r="H458" s="146"/>
      <c r="I458" s="146"/>
      <c r="J458" s="145" t="str">
        <f t="shared" si="8"/>
        <v/>
      </c>
      <c r="K458" s="151"/>
      <c r="L458" s="152"/>
      <c r="M458" s="153"/>
      <c r="N458" s="146"/>
      <c r="O458" s="146"/>
      <c r="P458" s="146"/>
      <c r="Q458" s="145" t="s">
        <v>4788</v>
      </c>
    </row>
    <row r="459" spans="4:17" x14ac:dyDescent="0.25">
      <c r="D459" s="146" t="s">
        <v>4789</v>
      </c>
      <c r="E459" s="145" t="s">
        <v>4783</v>
      </c>
      <c r="F459" s="146"/>
      <c r="G459" s="145"/>
      <c r="H459" s="146"/>
      <c r="I459" s="146"/>
      <c r="J459" s="145" t="str">
        <f t="shared" si="8"/>
        <v/>
      </c>
      <c r="K459" s="151"/>
      <c r="L459" s="152"/>
      <c r="M459" s="153"/>
      <c r="N459" s="146"/>
      <c r="O459" s="146"/>
      <c r="P459" s="146"/>
      <c r="Q459" s="145" t="s">
        <v>4790</v>
      </c>
    </row>
    <row r="460" spans="4:17" x14ac:dyDescent="0.25">
      <c r="D460" s="146" t="s">
        <v>4791</v>
      </c>
      <c r="E460" s="145" t="s">
        <v>4783</v>
      </c>
      <c r="F460" s="146"/>
      <c r="G460" s="145"/>
      <c r="H460" s="146"/>
      <c r="I460" s="146"/>
      <c r="J460" s="145" t="str">
        <f t="shared" si="8"/>
        <v/>
      </c>
      <c r="K460" s="151"/>
      <c r="L460" s="152"/>
      <c r="M460" s="153"/>
      <c r="N460" s="146"/>
      <c r="O460" s="146"/>
      <c r="P460" s="146"/>
      <c r="Q460" s="145" t="s">
        <v>4792</v>
      </c>
    </row>
    <row r="461" spans="4:17" x14ac:dyDescent="0.25">
      <c r="D461" s="146" t="s">
        <v>4793</v>
      </c>
      <c r="E461" s="145" t="s">
        <v>4783</v>
      </c>
      <c r="F461" s="146"/>
      <c r="G461" s="145"/>
      <c r="H461" s="146"/>
      <c r="I461" s="146"/>
      <c r="J461" s="145" t="str">
        <f t="shared" si="8"/>
        <v/>
      </c>
      <c r="K461" s="151"/>
      <c r="L461" s="152"/>
      <c r="M461" s="153"/>
      <c r="N461" s="146"/>
      <c r="O461" s="146"/>
      <c r="P461" s="146"/>
      <c r="Q461" s="145" t="s">
        <v>4794</v>
      </c>
    </row>
    <row r="462" spans="4:17" x14ac:dyDescent="0.25">
      <c r="D462" s="146" t="s">
        <v>4795</v>
      </c>
      <c r="E462" s="145" t="s">
        <v>4783</v>
      </c>
      <c r="F462" s="146"/>
      <c r="G462" s="145"/>
      <c r="H462" s="146"/>
      <c r="I462" s="146"/>
      <c r="J462" s="145" t="str">
        <f t="shared" si="8"/>
        <v/>
      </c>
      <c r="K462" s="151"/>
      <c r="L462" s="152"/>
      <c r="M462" s="153"/>
      <c r="N462" s="146"/>
      <c r="O462" s="146"/>
      <c r="P462" s="146"/>
      <c r="Q462" s="145" t="s">
        <v>4796</v>
      </c>
    </row>
    <row r="463" spans="4:17" x14ac:dyDescent="0.25">
      <c r="D463" s="146" t="s">
        <v>4797</v>
      </c>
      <c r="E463" s="145" t="s">
        <v>4783</v>
      </c>
      <c r="F463" s="146"/>
      <c r="G463" s="145"/>
      <c r="H463" s="146"/>
      <c r="I463" s="146"/>
      <c r="J463" s="145" t="str">
        <f t="shared" si="8"/>
        <v/>
      </c>
      <c r="K463" s="151"/>
      <c r="L463" s="152"/>
      <c r="M463" s="153"/>
      <c r="N463" s="146"/>
      <c r="O463" s="146"/>
      <c r="P463" s="146"/>
      <c r="Q463" s="145" t="s">
        <v>4798</v>
      </c>
    </row>
    <row r="464" spans="4:17" x14ac:dyDescent="0.25">
      <c r="D464" s="146" t="s">
        <v>4799</v>
      </c>
      <c r="E464" s="145" t="s">
        <v>4783</v>
      </c>
      <c r="F464" s="146"/>
      <c r="G464" s="145"/>
      <c r="H464" s="146"/>
      <c r="I464" s="146"/>
      <c r="J464" s="145" t="str">
        <f t="shared" si="8"/>
        <v/>
      </c>
      <c r="K464" s="151"/>
      <c r="L464" s="152"/>
      <c r="M464" s="153"/>
      <c r="N464" s="146"/>
      <c r="O464" s="146"/>
      <c r="P464" s="146"/>
      <c r="Q464" s="145" t="s">
        <v>4800</v>
      </c>
    </row>
    <row r="465" spans="4:17" x14ac:dyDescent="0.25">
      <c r="D465" s="146" t="s">
        <v>4801</v>
      </c>
      <c r="E465" s="145" t="s">
        <v>4783</v>
      </c>
      <c r="F465" s="146"/>
      <c r="G465" s="145"/>
      <c r="H465" s="146"/>
      <c r="I465" s="146"/>
      <c r="J465" s="145" t="str">
        <f t="shared" si="8"/>
        <v/>
      </c>
      <c r="K465" s="151"/>
      <c r="L465" s="152"/>
      <c r="M465" s="153"/>
      <c r="N465" s="146"/>
      <c r="O465" s="146"/>
      <c r="P465" s="146"/>
      <c r="Q465" s="145" t="s">
        <v>4802</v>
      </c>
    </row>
    <row r="466" spans="4:17" x14ac:dyDescent="0.25">
      <c r="D466" s="146" t="s">
        <v>4803</v>
      </c>
      <c r="E466" s="145" t="s">
        <v>4783</v>
      </c>
      <c r="F466" s="146"/>
      <c r="G466" s="145"/>
      <c r="H466" s="146"/>
      <c r="I466" s="146"/>
      <c r="J466" s="145" t="str">
        <f t="shared" si="8"/>
        <v/>
      </c>
      <c r="K466" s="151"/>
      <c r="L466" s="152"/>
      <c r="M466" s="153"/>
      <c r="N466" s="146"/>
      <c r="O466" s="146"/>
      <c r="P466" s="146"/>
      <c r="Q466" s="145" t="s">
        <v>4804</v>
      </c>
    </row>
    <row r="467" spans="4:17" x14ac:dyDescent="0.25">
      <c r="D467" s="146" t="s">
        <v>4805</v>
      </c>
      <c r="E467" s="145" t="s">
        <v>4783</v>
      </c>
      <c r="F467" s="146"/>
      <c r="G467" s="145"/>
      <c r="H467" s="146"/>
      <c r="I467" s="146"/>
      <c r="J467" s="145" t="str">
        <f t="shared" si="8"/>
        <v/>
      </c>
      <c r="K467" s="151"/>
      <c r="L467" s="152"/>
      <c r="M467" s="153"/>
      <c r="N467" s="146"/>
      <c r="O467" s="146"/>
      <c r="P467" s="146"/>
      <c r="Q467" s="145" t="s">
        <v>4806</v>
      </c>
    </row>
    <row r="468" spans="4:17" x14ac:dyDescent="0.25">
      <c r="D468" s="146" t="s">
        <v>4807</v>
      </c>
      <c r="E468" s="145" t="s">
        <v>4783</v>
      </c>
      <c r="F468" s="146"/>
      <c r="G468" s="145"/>
      <c r="H468" s="146"/>
      <c r="I468" s="146"/>
      <c r="J468" s="145" t="str">
        <f t="shared" si="8"/>
        <v/>
      </c>
      <c r="K468" s="151"/>
      <c r="L468" s="152"/>
      <c r="M468" s="153"/>
      <c r="N468" s="146"/>
      <c r="O468" s="146"/>
      <c r="P468" s="146"/>
      <c r="Q468" s="145" t="s">
        <v>4808</v>
      </c>
    </row>
    <row r="469" spans="4:17" x14ac:dyDescent="0.25">
      <c r="D469" s="146" t="s">
        <v>4809</v>
      </c>
      <c r="E469" s="145" t="s">
        <v>4783</v>
      </c>
      <c r="F469" s="146"/>
      <c r="G469" s="145"/>
      <c r="H469" s="146"/>
      <c r="I469" s="146"/>
      <c r="J469" s="145" t="str">
        <f t="shared" si="8"/>
        <v/>
      </c>
      <c r="K469" s="151"/>
      <c r="L469" s="152"/>
      <c r="M469" s="153"/>
      <c r="N469" s="146"/>
      <c r="O469" s="146"/>
      <c r="P469" s="146"/>
      <c r="Q469" s="145" t="s">
        <v>4810</v>
      </c>
    </row>
    <row r="470" spans="4:17" x14ac:dyDescent="0.25">
      <c r="D470" s="146" t="s">
        <v>4811</v>
      </c>
      <c r="E470" s="145" t="s">
        <v>4783</v>
      </c>
      <c r="F470" s="146"/>
      <c r="G470" s="145"/>
      <c r="H470" s="146"/>
      <c r="I470" s="146"/>
      <c r="J470" s="145" t="str">
        <f t="shared" si="8"/>
        <v/>
      </c>
      <c r="K470" s="151"/>
      <c r="L470" s="152"/>
      <c r="M470" s="153"/>
      <c r="N470" s="146"/>
      <c r="O470" s="146"/>
      <c r="P470" s="146"/>
      <c r="Q470" s="145" t="s">
        <v>4812</v>
      </c>
    </row>
    <row r="471" spans="4:17" x14ac:dyDescent="0.25">
      <c r="D471" s="146" t="s">
        <v>4813</v>
      </c>
      <c r="E471" s="145" t="s">
        <v>4783</v>
      </c>
      <c r="F471" s="146"/>
      <c r="G471" s="145"/>
      <c r="H471" s="146"/>
      <c r="I471" s="146"/>
      <c r="J471" s="145" t="str">
        <f t="shared" si="8"/>
        <v/>
      </c>
      <c r="K471" s="151"/>
      <c r="L471" s="152"/>
      <c r="M471" s="153"/>
      <c r="N471" s="146"/>
      <c r="O471" s="146"/>
      <c r="P471" s="146"/>
      <c r="Q471" s="145" t="s">
        <v>4814</v>
      </c>
    </row>
    <row r="472" spans="4:17" x14ac:dyDescent="0.25">
      <c r="D472" s="146" t="s">
        <v>4815</v>
      </c>
      <c r="E472" s="145" t="s">
        <v>4783</v>
      </c>
      <c r="F472" s="146"/>
      <c r="G472" s="145"/>
      <c r="H472" s="146"/>
      <c r="I472" s="146"/>
      <c r="J472" s="145" t="str">
        <f t="shared" si="8"/>
        <v/>
      </c>
      <c r="K472" s="151"/>
      <c r="L472" s="152"/>
      <c r="M472" s="153"/>
      <c r="N472" s="146"/>
      <c r="O472" s="146"/>
      <c r="P472" s="146"/>
      <c r="Q472" s="145" t="s">
        <v>4816</v>
      </c>
    </row>
    <row r="473" spans="4:17" x14ac:dyDescent="0.25">
      <c r="D473" s="146" t="s">
        <v>4817</v>
      </c>
      <c r="E473" s="145" t="s">
        <v>4783</v>
      </c>
      <c r="F473" s="146"/>
      <c r="G473" s="145"/>
      <c r="H473" s="146"/>
      <c r="I473" s="146"/>
      <c r="J473" s="145" t="str">
        <f t="shared" si="8"/>
        <v/>
      </c>
      <c r="K473" s="151"/>
      <c r="L473" s="152"/>
      <c r="M473" s="153"/>
      <c r="N473" s="146"/>
      <c r="O473" s="146"/>
      <c r="P473" s="146"/>
      <c r="Q473" s="145" t="s">
        <v>4818</v>
      </c>
    </row>
    <row r="474" spans="4:17" x14ac:dyDescent="0.25">
      <c r="D474" s="146" t="s">
        <v>4819</v>
      </c>
      <c r="E474" s="145" t="s">
        <v>4783</v>
      </c>
      <c r="F474" s="146"/>
      <c r="G474" s="145"/>
      <c r="H474" s="146"/>
      <c r="I474" s="146"/>
      <c r="J474" s="145" t="str">
        <f t="shared" si="8"/>
        <v/>
      </c>
      <c r="K474" s="151"/>
      <c r="L474" s="152"/>
      <c r="M474" s="153"/>
      <c r="N474" s="146"/>
      <c r="O474" s="146"/>
      <c r="P474" s="146"/>
      <c r="Q474" s="145" t="s">
        <v>4820</v>
      </c>
    </row>
    <row r="475" spans="4:17" x14ac:dyDescent="0.25">
      <c r="D475" s="146" t="s">
        <v>4821</v>
      </c>
      <c r="E475" s="145" t="s">
        <v>4783</v>
      </c>
      <c r="F475" s="146"/>
      <c r="G475" s="145"/>
      <c r="H475" s="146"/>
      <c r="I475" s="146"/>
      <c r="J475" s="145" t="str">
        <f t="shared" si="8"/>
        <v/>
      </c>
      <c r="K475" s="151"/>
      <c r="L475" s="152"/>
      <c r="M475" s="153"/>
      <c r="N475" s="146"/>
      <c r="O475" s="146"/>
      <c r="P475" s="146"/>
      <c r="Q475" s="145" t="s">
        <v>4822</v>
      </c>
    </row>
    <row r="476" spans="4:17" x14ac:dyDescent="0.25">
      <c r="D476" s="146" t="s">
        <v>4823</v>
      </c>
      <c r="E476" s="145" t="s">
        <v>4824</v>
      </c>
      <c r="F476" s="146"/>
      <c r="G476" s="145"/>
      <c r="H476" s="146"/>
      <c r="I476" s="146"/>
      <c r="J476" s="145" t="str">
        <f t="shared" si="8"/>
        <v/>
      </c>
      <c r="K476" s="151"/>
      <c r="L476" s="152"/>
      <c r="M476" s="153"/>
      <c r="N476" s="146"/>
      <c r="O476" s="146"/>
      <c r="P476" s="146"/>
      <c r="Q476" s="145" t="s">
        <v>4825</v>
      </c>
    </row>
    <row r="477" spans="4:17" x14ac:dyDescent="0.25">
      <c r="D477" s="146" t="s">
        <v>4826</v>
      </c>
      <c r="E477" s="145" t="s">
        <v>4824</v>
      </c>
      <c r="F477" s="146"/>
      <c r="G477" s="145"/>
      <c r="H477" s="146"/>
      <c r="I477" s="146"/>
      <c r="J477" s="145" t="str">
        <f t="shared" si="8"/>
        <v/>
      </c>
      <c r="K477" s="151"/>
      <c r="L477" s="152"/>
      <c r="M477" s="153"/>
      <c r="N477" s="146"/>
      <c r="O477" s="146"/>
      <c r="P477" s="146"/>
      <c r="Q477" s="145" t="s">
        <v>4827</v>
      </c>
    </row>
    <row r="478" spans="4:17" x14ac:dyDescent="0.25">
      <c r="D478" s="146" t="s">
        <v>4828</v>
      </c>
      <c r="E478" s="145" t="s">
        <v>4824</v>
      </c>
      <c r="F478" s="146"/>
      <c r="G478" s="145"/>
      <c r="H478" s="146"/>
      <c r="I478" s="146"/>
      <c r="J478" s="145" t="str">
        <f t="shared" si="8"/>
        <v/>
      </c>
      <c r="K478" s="151"/>
      <c r="L478" s="152"/>
      <c r="M478" s="153"/>
      <c r="N478" s="146"/>
      <c r="O478" s="146"/>
      <c r="P478" s="146"/>
      <c r="Q478" s="145" t="s">
        <v>4829</v>
      </c>
    </row>
    <row r="479" spans="4:17" x14ac:dyDescent="0.25">
      <c r="D479" s="146" t="s">
        <v>4830</v>
      </c>
      <c r="E479" s="145" t="s">
        <v>4824</v>
      </c>
      <c r="F479" s="146"/>
      <c r="G479" s="145"/>
      <c r="H479" s="146"/>
      <c r="I479" s="146"/>
      <c r="J479" s="145" t="str">
        <f t="shared" si="8"/>
        <v/>
      </c>
      <c r="K479" s="151"/>
      <c r="L479" s="152"/>
      <c r="M479" s="153"/>
      <c r="N479" s="146"/>
      <c r="O479" s="146"/>
      <c r="P479" s="146"/>
      <c r="Q479" s="145" t="s">
        <v>4831</v>
      </c>
    </row>
    <row r="480" spans="4:17" x14ac:dyDescent="0.25">
      <c r="D480" s="146" t="s">
        <v>4832</v>
      </c>
      <c r="E480" s="145" t="s">
        <v>4824</v>
      </c>
      <c r="F480" s="146"/>
      <c r="G480" s="145"/>
      <c r="H480" s="146"/>
      <c r="I480" s="146"/>
      <c r="J480" s="145" t="str">
        <f t="shared" si="8"/>
        <v/>
      </c>
      <c r="K480" s="151"/>
      <c r="L480" s="152"/>
      <c r="M480" s="153"/>
      <c r="N480" s="146"/>
      <c r="O480" s="146"/>
      <c r="P480" s="146"/>
      <c r="Q480" s="145" t="s">
        <v>4833</v>
      </c>
    </row>
    <row r="481" spans="4:17" x14ac:dyDescent="0.25">
      <c r="D481" s="146" t="s">
        <v>4834</v>
      </c>
      <c r="E481" s="145" t="s">
        <v>4824</v>
      </c>
      <c r="F481" s="146"/>
      <c r="G481" s="145"/>
      <c r="H481" s="146"/>
      <c r="I481" s="146"/>
      <c r="J481" s="145" t="str">
        <f t="shared" si="8"/>
        <v/>
      </c>
      <c r="K481" s="151"/>
      <c r="L481" s="152"/>
      <c r="M481" s="153"/>
      <c r="N481" s="146"/>
      <c r="O481" s="146"/>
      <c r="P481" s="146"/>
      <c r="Q481" s="145" t="s">
        <v>4835</v>
      </c>
    </row>
    <row r="482" spans="4:17" x14ac:dyDescent="0.25">
      <c r="D482" s="146" t="s">
        <v>4836</v>
      </c>
      <c r="E482" s="145" t="s">
        <v>4824</v>
      </c>
      <c r="F482" s="146"/>
      <c r="G482" s="145"/>
      <c r="H482" s="146"/>
      <c r="I482" s="146"/>
      <c r="J482" s="145" t="str">
        <f t="shared" si="8"/>
        <v/>
      </c>
      <c r="K482" s="151"/>
      <c r="L482" s="152"/>
      <c r="M482" s="153"/>
      <c r="N482" s="146"/>
      <c r="O482" s="146"/>
      <c r="P482" s="146"/>
      <c r="Q482" s="145" t="s">
        <v>4837</v>
      </c>
    </row>
    <row r="483" spans="4:17" x14ac:dyDescent="0.25">
      <c r="D483" s="146" t="s">
        <v>4838</v>
      </c>
      <c r="E483" s="145" t="s">
        <v>4824</v>
      </c>
      <c r="F483" s="146"/>
      <c r="G483" s="145"/>
      <c r="H483" s="146"/>
      <c r="I483" s="146"/>
      <c r="J483" s="145" t="str">
        <f t="shared" si="8"/>
        <v/>
      </c>
      <c r="K483" s="151"/>
      <c r="L483" s="152"/>
      <c r="M483" s="153"/>
      <c r="N483" s="146"/>
      <c r="O483" s="146"/>
      <c r="P483" s="146"/>
      <c r="Q483" s="145" t="s">
        <v>4839</v>
      </c>
    </row>
    <row r="484" spans="4:17" x14ac:dyDescent="0.25">
      <c r="D484" s="146" t="s">
        <v>4840</v>
      </c>
      <c r="E484" s="145" t="s">
        <v>4824</v>
      </c>
      <c r="F484" s="146"/>
      <c r="G484" s="145"/>
      <c r="H484" s="146"/>
      <c r="I484" s="146"/>
      <c r="J484" s="145" t="str">
        <f t="shared" si="8"/>
        <v/>
      </c>
      <c r="K484" s="151"/>
      <c r="L484" s="152"/>
      <c r="M484" s="153"/>
      <c r="N484" s="146"/>
      <c r="O484" s="146"/>
      <c r="P484" s="146"/>
      <c r="Q484" s="145" t="s">
        <v>4841</v>
      </c>
    </row>
    <row r="485" spans="4:17" x14ac:dyDescent="0.25">
      <c r="D485" s="146" t="s">
        <v>4842</v>
      </c>
      <c r="E485" s="145" t="s">
        <v>4824</v>
      </c>
      <c r="F485" s="146"/>
      <c r="G485" s="145"/>
      <c r="H485" s="146"/>
      <c r="I485" s="146"/>
      <c r="J485" s="145" t="str">
        <f t="shared" si="8"/>
        <v/>
      </c>
      <c r="K485" s="151"/>
      <c r="L485" s="152"/>
      <c r="M485" s="153"/>
      <c r="N485" s="146"/>
      <c r="O485" s="146"/>
      <c r="P485" s="146"/>
      <c r="Q485" s="145" t="s">
        <v>4843</v>
      </c>
    </row>
    <row r="486" spans="4:17" x14ac:dyDescent="0.25">
      <c r="D486" s="146" t="s">
        <v>4844</v>
      </c>
      <c r="E486" s="145" t="s">
        <v>4824</v>
      </c>
      <c r="F486" s="146"/>
      <c r="G486" s="145"/>
      <c r="H486" s="146"/>
      <c r="I486" s="146"/>
      <c r="J486" s="145" t="str">
        <f t="shared" si="8"/>
        <v/>
      </c>
      <c r="K486" s="151"/>
      <c r="L486" s="152"/>
      <c r="M486" s="153"/>
      <c r="N486" s="146"/>
      <c r="O486" s="146"/>
      <c r="P486" s="146"/>
      <c r="Q486" s="145" t="s">
        <v>4845</v>
      </c>
    </row>
    <row r="487" spans="4:17" x14ac:dyDescent="0.25">
      <c r="D487" s="146" t="s">
        <v>4846</v>
      </c>
      <c r="E487" s="145" t="s">
        <v>4824</v>
      </c>
      <c r="F487" s="146"/>
      <c r="G487" s="145"/>
      <c r="H487" s="146"/>
      <c r="I487" s="146"/>
      <c r="J487" s="145" t="str">
        <f t="shared" si="8"/>
        <v/>
      </c>
      <c r="K487" s="151"/>
      <c r="L487" s="152"/>
      <c r="M487" s="153"/>
      <c r="N487" s="146"/>
      <c r="O487" s="146"/>
      <c r="P487" s="146"/>
      <c r="Q487" s="145" t="s">
        <v>4847</v>
      </c>
    </row>
    <row r="488" spans="4:17" x14ac:dyDescent="0.25">
      <c r="D488" s="146" t="s">
        <v>4848</v>
      </c>
      <c r="E488" s="145" t="s">
        <v>4824</v>
      </c>
      <c r="F488" s="146"/>
      <c r="G488" s="145"/>
      <c r="H488" s="146"/>
      <c r="I488" s="146"/>
      <c r="J488" s="145" t="str">
        <f t="shared" si="8"/>
        <v/>
      </c>
      <c r="K488" s="151"/>
      <c r="L488" s="152"/>
      <c r="M488" s="153"/>
      <c r="N488" s="146"/>
      <c r="O488" s="146"/>
      <c r="P488" s="146"/>
      <c r="Q488" s="145" t="s">
        <v>4849</v>
      </c>
    </row>
    <row r="489" spans="4:17" x14ac:dyDescent="0.25">
      <c r="D489" s="146" t="s">
        <v>4850</v>
      </c>
      <c r="E489" s="145" t="s">
        <v>4824</v>
      </c>
      <c r="F489" s="146"/>
      <c r="G489" s="145"/>
      <c r="H489" s="146"/>
      <c r="I489" s="146"/>
      <c r="J489" s="145" t="str">
        <f t="shared" si="8"/>
        <v/>
      </c>
      <c r="K489" s="151"/>
      <c r="L489" s="152"/>
      <c r="M489" s="153"/>
      <c r="N489" s="146"/>
      <c r="O489" s="146"/>
      <c r="P489" s="146"/>
      <c r="Q489" s="145" t="s">
        <v>4851</v>
      </c>
    </row>
    <row r="490" spans="4:17" x14ac:dyDescent="0.25">
      <c r="D490" s="146" t="s">
        <v>4852</v>
      </c>
      <c r="E490" s="145" t="s">
        <v>4824</v>
      </c>
      <c r="F490" s="146"/>
      <c r="G490" s="145"/>
      <c r="H490" s="146"/>
      <c r="I490" s="146"/>
      <c r="J490" s="145" t="str">
        <f t="shared" si="8"/>
        <v/>
      </c>
      <c r="K490" s="151"/>
      <c r="L490" s="152"/>
      <c r="M490" s="153"/>
      <c r="N490" s="146"/>
      <c r="O490" s="146"/>
      <c r="P490" s="146"/>
      <c r="Q490" s="145" t="s">
        <v>4853</v>
      </c>
    </row>
    <row r="491" spans="4:17" x14ac:dyDescent="0.25">
      <c r="D491" s="146" t="s">
        <v>4854</v>
      </c>
      <c r="E491" s="145" t="s">
        <v>4824</v>
      </c>
      <c r="F491" s="146"/>
      <c r="G491" s="145"/>
      <c r="H491" s="146"/>
      <c r="I491" s="146"/>
      <c r="J491" s="145" t="str">
        <f t="shared" si="8"/>
        <v/>
      </c>
      <c r="K491" s="151"/>
      <c r="L491" s="152"/>
      <c r="M491" s="153"/>
      <c r="N491" s="146"/>
      <c r="O491" s="146"/>
      <c r="P491" s="146"/>
      <c r="Q491" s="145" t="s">
        <v>4855</v>
      </c>
    </row>
    <row r="492" spans="4:17" x14ac:dyDescent="0.25">
      <c r="D492" s="146" t="s">
        <v>4856</v>
      </c>
      <c r="E492" s="145" t="s">
        <v>4824</v>
      </c>
      <c r="F492" s="146"/>
      <c r="G492" s="145"/>
      <c r="H492" s="146"/>
      <c r="I492" s="146"/>
      <c r="J492" s="145" t="str">
        <f t="shared" si="8"/>
        <v/>
      </c>
      <c r="K492" s="151"/>
      <c r="L492" s="152"/>
      <c r="M492" s="153"/>
      <c r="N492" s="146"/>
      <c r="O492" s="146"/>
      <c r="P492" s="146"/>
      <c r="Q492" s="145" t="s">
        <v>4857</v>
      </c>
    </row>
    <row r="493" spans="4:17" x14ac:dyDescent="0.25">
      <c r="D493" s="146" t="s">
        <v>4858</v>
      </c>
      <c r="E493" s="145" t="s">
        <v>4824</v>
      </c>
      <c r="F493" s="146"/>
      <c r="G493" s="145"/>
      <c r="H493" s="146"/>
      <c r="I493" s="146"/>
      <c r="J493" s="145" t="str">
        <f t="shared" si="8"/>
        <v/>
      </c>
      <c r="K493" s="151"/>
      <c r="L493" s="152"/>
      <c r="M493" s="153"/>
      <c r="N493" s="146"/>
      <c r="O493" s="146"/>
      <c r="P493" s="146"/>
      <c r="Q493" s="145" t="s">
        <v>4859</v>
      </c>
    </row>
    <row r="494" spans="4:17" x14ac:dyDescent="0.25">
      <c r="D494" s="146" t="s">
        <v>4860</v>
      </c>
      <c r="E494" s="145" t="s">
        <v>4824</v>
      </c>
      <c r="F494" s="146"/>
      <c r="G494" s="145"/>
      <c r="H494" s="146"/>
      <c r="I494" s="146"/>
      <c r="J494" s="145" t="str">
        <f t="shared" si="8"/>
        <v/>
      </c>
      <c r="K494" s="151"/>
      <c r="L494" s="152"/>
      <c r="M494" s="153"/>
      <c r="N494" s="146"/>
      <c r="O494" s="146"/>
      <c r="P494" s="146"/>
      <c r="Q494" s="145" t="s">
        <v>4861</v>
      </c>
    </row>
    <row r="495" spans="4:17" x14ac:dyDescent="0.25">
      <c r="D495" s="146" t="s">
        <v>4862</v>
      </c>
      <c r="E495" s="145" t="s">
        <v>4824</v>
      </c>
      <c r="F495" s="146"/>
      <c r="G495" s="145"/>
      <c r="H495" s="146"/>
      <c r="I495" s="146"/>
      <c r="J495" s="145" t="str">
        <f t="shared" si="8"/>
        <v/>
      </c>
      <c r="K495" s="151"/>
      <c r="L495" s="152"/>
      <c r="M495" s="153"/>
      <c r="N495" s="146"/>
      <c r="O495" s="146"/>
      <c r="P495" s="146"/>
      <c r="Q495" s="145" t="s">
        <v>4863</v>
      </c>
    </row>
    <row r="496" spans="4:17" x14ac:dyDescent="0.25">
      <c r="D496" s="146" t="s">
        <v>4864</v>
      </c>
      <c r="E496" s="145" t="s">
        <v>4865</v>
      </c>
      <c r="F496" s="146"/>
      <c r="G496" s="145"/>
      <c r="H496" s="146"/>
      <c r="I496" s="146"/>
      <c r="J496" s="145" t="str">
        <f t="shared" si="8"/>
        <v/>
      </c>
      <c r="K496" s="151"/>
      <c r="L496" s="152"/>
      <c r="M496" s="153"/>
      <c r="N496" s="146"/>
      <c r="O496" s="146"/>
      <c r="P496" s="146"/>
      <c r="Q496" s="145" t="s">
        <v>4866</v>
      </c>
    </row>
    <row r="497" spans="4:17" x14ac:dyDescent="0.25">
      <c r="D497" s="146" t="s">
        <v>4867</v>
      </c>
      <c r="E497" s="145" t="s">
        <v>4865</v>
      </c>
      <c r="F497" s="146"/>
      <c r="G497" s="145"/>
      <c r="H497" s="146"/>
      <c r="I497" s="146"/>
      <c r="J497" s="145" t="str">
        <f t="shared" si="8"/>
        <v/>
      </c>
      <c r="K497" s="151"/>
      <c r="L497" s="152"/>
      <c r="M497" s="153"/>
      <c r="N497" s="146"/>
      <c r="O497" s="146"/>
      <c r="P497" s="146"/>
      <c r="Q497" s="145" t="s">
        <v>4868</v>
      </c>
    </row>
    <row r="498" spans="4:17" x14ac:dyDescent="0.25">
      <c r="D498" s="146" t="s">
        <v>4869</v>
      </c>
      <c r="E498" s="145" t="s">
        <v>4865</v>
      </c>
      <c r="F498" s="146"/>
      <c r="G498" s="145"/>
      <c r="H498" s="146"/>
      <c r="I498" s="146"/>
      <c r="J498" s="145" t="str">
        <f t="shared" si="8"/>
        <v/>
      </c>
      <c r="K498" s="151"/>
      <c r="L498" s="152"/>
      <c r="M498" s="153"/>
      <c r="N498" s="146"/>
      <c r="O498" s="146"/>
      <c r="P498" s="146"/>
      <c r="Q498" s="145" t="s">
        <v>4870</v>
      </c>
    </row>
    <row r="499" spans="4:17" x14ac:dyDescent="0.25">
      <c r="D499" s="146" t="s">
        <v>4871</v>
      </c>
      <c r="E499" s="145" t="s">
        <v>4865</v>
      </c>
      <c r="F499" s="146"/>
      <c r="G499" s="145"/>
      <c r="H499" s="146"/>
      <c r="I499" s="146"/>
      <c r="J499" s="145" t="str">
        <f t="shared" si="8"/>
        <v/>
      </c>
      <c r="K499" s="151"/>
      <c r="L499" s="152"/>
      <c r="M499" s="153"/>
      <c r="N499" s="146"/>
      <c r="O499" s="146"/>
      <c r="P499" s="146"/>
      <c r="Q499" s="145" t="s">
        <v>4872</v>
      </c>
    </row>
    <row r="500" spans="4:17" x14ac:dyDescent="0.25">
      <c r="D500" s="146" t="s">
        <v>4873</v>
      </c>
      <c r="E500" s="145" t="s">
        <v>4865</v>
      </c>
      <c r="F500" s="146"/>
      <c r="G500" s="145"/>
      <c r="H500" s="146"/>
      <c r="I500" s="146"/>
      <c r="J500" s="145" t="str">
        <f t="shared" si="8"/>
        <v/>
      </c>
      <c r="K500" s="151"/>
      <c r="L500" s="152"/>
      <c r="M500" s="153"/>
      <c r="N500" s="146"/>
      <c r="O500" s="146"/>
      <c r="P500" s="146"/>
      <c r="Q500" s="145" t="s">
        <v>4874</v>
      </c>
    </row>
    <row r="501" spans="4:17" x14ac:dyDescent="0.25">
      <c r="D501" s="146" t="s">
        <v>4875</v>
      </c>
      <c r="E501" s="145" t="s">
        <v>4865</v>
      </c>
      <c r="F501" s="146"/>
      <c r="G501" s="145"/>
      <c r="H501" s="146"/>
      <c r="I501" s="146"/>
      <c r="J501" s="145" t="str">
        <f t="shared" si="8"/>
        <v/>
      </c>
      <c r="K501" s="151"/>
      <c r="L501" s="152"/>
      <c r="M501" s="153"/>
      <c r="N501" s="146"/>
      <c r="O501" s="146"/>
      <c r="P501" s="146"/>
      <c r="Q501" s="145" t="s">
        <v>4876</v>
      </c>
    </row>
    <row r="502" spans="4:17" x14ac:dyDescent="0.25">
      <c r="D502" s="146" t="s">
        <v>4877</v>
      </c>
      <c r="E502" s="145" t="s">
        <v>4865</v>
      </c>
      <c r="F502" s="146"/>
      <c r="G502" s="145"/>
      <c r="H502" s="146"/>
      <c r="I502" s="146"/>
      <c r="J502" s="145" t="str">
        <f t="shared" si="8"/>
        <v/>
      </c>
      <c r="K502" s="151"/>
      <c r="L502" s="152"/>
      <c r="M502" s="153"/>
      <c r="N502" s="146"/>
      <c r="O502" s="146"/>
      <c r="P502" s="146"/>
      <c r="Q502" s="145" t="s">
        <v>4878</v>
      </c>
    </row>
    <row r="503" spans="4:17" x14ac:dyDescent="0.25">
      <c r="D503" s="146" t="s">
        <v>4879</v>
      </c>
      <c r="E503" s="145" t="s">
        <v>4865</v>
      </c>
      <c r="F503" s="146"/>
      <c r="G503" s="145"/>
      <c r="H503" s="146"/>
      <c r="I503" s="146"/>
      <c r="J503" s="145" t="str">
        <f t="shared" si="8"/>
        <v/>
      </c>
      <c r="K503" s="151"/>
      <c r="L503" s="152"/>
      <c r="M503" s="153"/>
      <c r="N503" s="146"/>
      <c r="O503" s="146"/>
      <c r="P503" s="146"/>
      <c r="Q503" s="145" t="s">
        <v>4880</v>
      </c>
    </row>
    <row r="504" spans="4:17" x14ac:dyDescent="0.25">
      <c r="D504" s="146" t="s">
        <v>4881</v>
      </c>
      <c r="E504" s="145" t="s">
        <v>4865</v>
      </c>
      <c r="F504" s="146"/>
      <c r="G504" s="145"/>
      <c r="H504" s="146"/>
      <c r="I504" s="146"/>
      <c r="J504" s="145" t="str">
        <f t="shared" si="8"/>
        <v/>
      </c>
      <c r="K504" s="151"/>
      <c r="L504" s="152"/>
      <c r="M504" s="153"/>
      <c r="N504" s="146"/>
      <c r="O504" s="146"/>
      <c r="P504" s="146"/>
      <c r="Q504" s="145" t="s">
        <v>4882</v>
      </c>
    </row>
    <row r="505" spans="4:17" x14ac:dyDescent="0.25">
      <c r="D505" s="146" t="s">
        <v>4883</v>
      </c>
      <c r="E505" s="145" t="s">
        <v>4865</v>
      </c>
      <c r="F505" s="146"/>
      <c r="G505" s="145"/>
      <c r="H505" s="146"/>
      <c r="I505" s="146"/>
      <c r="J505" s="145" t="str">
        <f t="shared" si="8"/>
        <v/>
      </c>
      <c r="K505" s="151"/>
      <c r="L505" s="152"/>
      <c r="M505" s="153"/>
      <c r="N505" s="146"/>
      <c r="O505" s="146"/>
      <c r="P505" s="146"/>
      <c r="Q505" s="145" t="s">
        <v>4884</v>
      </c>
    </row>
    <row r="506" spans="4:17" x14ac:dyDescent="0.25">
      <c r="D506" s="146" t="s">
        <v>4885</v>
      </c>
      <c r="E506" s="145" t="s">
        <v>4865</v>
      </c>
      <c r="F506" s="146"/>
      <c r="G506" s="145"/>
      <c r="H506" s="146"/>
      <c r="I506" s="146"/>
      <c r="J506" s="145" t="str">
        <f t="shared" si="8"/>
        <v/>
      </c>
      <c r="K506" s="151"/>
      <c r="L506" s="152"/>
      <c r="M506" s="153"/>
      <c r="N506" s="146"/>
      <c r="O506" s="146"/>
      <c r="P506" s="146"/>
      <c r="Q506" s="145" t="s">
        <v>4886</v>
      </c>
    </row>
    <row r="507" spans="4:17" x14ac:dyDescent="0.25">
      <c r="D507" s="146" t="s">
        <v>4887</v>
      </c>
      <c r="E507" s="145" t="s">
        <v>4865</v>
      </c>
      <c r="F507" s="146"/>
      <c r="G507" s="145"/>
      <c r="H507" s="146"/>
      <c r="I507" s="146"/>
      <c r="J507" s="145" t="str">
        <f t="shared" si="8"/>
        <v/>
      </c>
      <c r="K507" s="151"/>
      <c r="L507" s="152"/>
      <c r="M507" s="153"/>
      <c r="N507" s="146"/>
      <c r="O507" s="146"/>
      <c r="P507" s="146"/>
      <c r="Q507" s="145" t="s">
        <v>4888</v>
      </c>
    </row>
    <row r="508" spans="4:17" x14ac:dyDescent="0.25">
      <c r="D508" s="146" t="s">
        <v>4889</v>
      </c>
      <c r="E508" s="145" t="s">
        <v>4865</v>
      </c>
      <c r="F508" s="146"/>
      <c r="G508" s="145"/>
      <c r="H508" s="146"/>
      <c r="I508" s="146"/>
      <c r="J508" s="145" t="str">
        <f t="shared" ref="J508:J571" si="9">F508&amp;H508&amp;I508</f>
        <v/>
      </c>
      <c r="K508" s="151"/>
      <c r="L508" s="152"/>
      <c r="M508" s="153"/>
      <c r="N508" s="146"/>
      <c r="O508" s="146"/>
      <c r="P508" s="146"/>
      <c r="Q508" s="145" t="s">
        <v>4890</v>
      </c>
    </row>
    <row r="509" spans="4:17" x14ac:dyDescent="0.25">
      <c r="D509" s="146" t="s">
        <v>4891</v>
      </c>
      <c r="E509" s="145" t="s">
        <v>4865</v>
      </c>
      <c r="F509" s="146"/>
      <c r="G509" s="145"/>
      <c r="H509" s="146"/>
      <c r="I509" s="146"/>
      <c r="J509" s="145" t="str">
        <f t="shared" si="9"/>
        <v/>
      </c>
      <c r="K509" s="151"/>
      <c r="L509" s="152"/>
      <c r="M509" s="153"/>
      <c r="N509" s="146"/>
      <c r="O509" s="146"/>
      <c r="P509" s="146"/>
      <c r="Q509" s="145" t="s">
        <v>4892</v>
      </c>
    </row>
    <row r="510" spans="4:17" x14ac:dyDescent="0.25">
      <c r="D510" s="146" t="s">
        <v>4893</v>
      </c>
      <c r="E510" s="145" t="s">
        <v>4865</v>
      </c>
      <c r="F510" s="146"/>
      <c r="G510" s="145"/>
      <c r="H510" s="146"/>
      <c r="I510" s="146"/>
      <c r="J510" s="145" t="str">
        <f t="shared" si="9"/>
        <v/>
      </c>
      <c r="K510" s="151"/>
      <c r="L510" s="152"/>
      <c r="M510" s="153"/>
      <c r="N510" s="146"/>
      <c r="O510" s="146"/>
      <c r="P510" s="146"/>
      <c r="Q510" s="145" t="s">
        <v>4894</v>
      </c>
    </row>
    <row r="511" spans="4:17" x14ac:dyDescent="0.25">
      <c r="D511" s="146" t="s">
        <v>4895</v>
      </c>
      <c r="E511" s="145" t="s">
        <v>4865</v>
      </c>
      <c r="F511" s="146"/>
      <c r="G511" s="145"/>
      <c r="H511" s="146"/>
      <c r="I511" s="146"/>
      <c r="J511" s="145" t="str">
        <f t="shared" si="9"/>
        <v/>
      </c>
      <c r="K511" s="151"/>
      <c r="L511" s="152"/>
      <c r="M511" s="153"/>
      <c r="N511" s="146"/>
      <c r="O511" s="146"/>
      <c r="P511" s="146"/>
      <c r="Q511" s="145" t="s">
        <v>4896</v>
      </c>
    </row>
    <row r="512" spans="4:17" x14ac:dyDescent="0.25">
      <c r="D512" s="146" t="s">
        <v>4897</v>
      </c>
      <c r="E512" s="145" t="s">
        <v>4865</v>
      </c>
      <c r="F512" s="146"/>
      <c r="G512" s="145"/>
      <c r="H512" s="146"/>
      <c r="I512" s="146"/>
      <c r="J512" s="145" t="str">
        <f t="shared" si="9"/>
        <v/>
      </c>
      <c r="K512" s="151"/>
      <c r="L512" s="152"/>
      <c r="M512" s="153"/>
      <c r="N512" s="146"/>
      <c r="O512" s="146"/>
      <c r="P512" s="146"/>
      <c r="Q512" s="145" t="s">
        <v>4898</v>
      </c>
    </row>
    <row r="513" spans="4:17" x14ac:dyDescent="0.25">
      <c r="D513" s="146" t="s">
        <v>4899</v>
      </c>
      <c r="E513" s="145" t="s">
        <v>4865</v>
      </c>
      <c r="F513" s="146"/>
      <c r="G513" s="145"/>
      <c r="H513" s="146"/>
      <c r="I513" s="146"/>
      <c r="J513" s="145" t="str">
        <f t="shared" si="9"/>
        <v/>
      </c>
      <c r="K513" s="151"/>
      <c r="L513" s="152"/>
      <c r="M513" s="153"/>
      <c r="N513" s="146"/>
      <c r="O513" s="146"/>
      <c r="P513" s="146"/>
      <c r="Q513" s="145" t="s">
        <v>4900</v>
      </c>
    </row>
    <row r="514" spans="4:17" x14ac:dyDescent="0.25">
      <c r="D514" s="146" t="s">
        <v>4901</v>
      </c>
      <c r="E514" s="145" t="s">
        <v>4865</v>
      </c>
      <c r="F514" s="146"/>
      <c r="G514" s="145"/>
      <c r="H514" s="146"/>
      <c r="I514" s="146"/>
      <c r="J514" s="145" t="str">
        <f t="shared" si="9"/>
        <v/>
      </c>
      <c r="K514" s="151"/>
      <c r="L514" s="152"/>
      <c r="M514" s="153"/>
      <c r="N514" s="146"/>
      <c r="O514" s="146"/>
      <c r="P514" s="146"/>
      <c r="Q514" s="145" t="s">
        <v>4902</v>
      </c>
    </row>
    <row r="515" spans="4:17" x14ac:dyDescent="0.25">
      <c r="D515" s="146" t="s">
        <v>4903</v>
      </c>
      <c r="E515" s="145" t="s">
        <v>4865</v>
      </c>
      <c r="F515" s="146"/>
      <c r="G515" s="145"/>
      <c r="H515" s="146"/>
      <c r="I515" s="146"/>
      <c r="J515" s="145" t="str">
        <f t="shared" si="9"/>
        <v/>
      </c>
      <c r="K515" s="151"/>
      <c r="L515" s="152"/>
      <c r="M515" s="153"/>
      <c r="N515" s="146"/>
      <c r="O515" s="146"/>
      <c r="P515" s="146"/>
      <c r="Q515" s="145" t="s">
        <v>4904</v>
      </c>
    </row>
    <row r="516" spans="4:17" x14ac:dyDescent="0.25">
      <c r="D516" s="146" t="s">
        <v>4905</v>
      </c>
      <c r="E516" s="145" t="s">
        <v>4906</v>
      </c>
      <c r="F516" s="146"/>
      <c r="G516" s="145"/>
      <c r="H516" s="146"/>
      <c r="I516" s="146"/>
      <c r="J516" s="145" t="str">
        <f t="shared" si="9"/>
        <v/>
      </c>
      <c r="K516" s="151"/>
      <c r="L516" s="152"/>
      <c r="M516" s="153"/>
      <c r="N516" s="146"/>
      <c r="O516" s="146"/>
      <c r="P516" s="146"/>
      <c r="Q516" s="145" t="s">
        <v>4907</v>
      </c>
    </row>
    <row r="517" spans="4:17" x14ac:dyDescent="0.25">
      <c r="D517" s="146" t="s">
        <v>4908</v>
      </c>
      <c r="E517" s="145" t="s">
        <v>4906</v>
      </c>
      <c r="F517" s="146"/>
      <c r="G517" s="145"/>
      <c r="H517" s="146"/>
      <c r="I517" s="146"/>
      <c r="J517" s="145" t="str">
        <f t="shared" si="9"/>
        <v/>
      </c>
      <c r="K517" s="151"/>
      <c r="L517" s="152"/>
      <c r="M517" s="153"/>
      <c r="N517" s="146"/>
      <c r="O517" s="146"/>
      <c r="P517" s="146"/>
      <c r="Q517" s="145" t="s">
        <v>4909</v>
      </c>
    </row>
    <row r="518" spans="4:17" x14ac:dyDescent="0.25">
      <c r="D518" s="146" t="s">
        <v>4910</v>
      </c>
      <c r="E518" s="145" t="s">
        <v>4906</v>
      </c>
      <c r="F518" s="146"/>
      <c r="G518" s="145"/>
      <c r="H518" s="146"/>
      <c r="I518" s="146"/>
      <c r="J518" s="145" t="str">
        <f t="shared" si="9"/>
        <v/>
      </c>
      <c r="K518" s="151"/>
      <c r="L518" s="152"/>
      <c r="M518" s="153"/>
      <c r="N518" s="146"/>
      <c r="O518" s="146"/>
      <c r="P518" s="146"/>
      <c r="Q518" s="145" t="s">
        <v>4911</v>
      </c>
    </row>
    <row r="519" spans="4:17" x14ac:dyDescent="0.25">
      <c r="D519" s="146" t="s">
        <v>4912</v>
      </c>
      <c r="E519" s="145" t="s">
        <v>4906</v>
      </c>
      <c r="F519" s="146"/>
      <c r="G519" s="145"/>
      <c r="H519" s="146"/>
      <c r="I519" s="146"/>
      <c r="J519" s="145" t="str">
        <f t="shared" si="9"/>
        <v/>
      </c>
      <c r="K519" s="151"/>
      <c r="L519" s="152"/>
      <c r="M519" s="153"/>
      <c r="N519" s="146"/>
      <c r="O519" s="146"/>
      <c r="P519" s="146"/>
      <c r="Q519" s="145" t="s">
        <v>4913</v>
      </c>
    </row>
    <row r="520" spans="4:17" x14ac:dyDescent="0.25">
      <c r="D520" s="146" t="s">
        <v>4914</v>
      </c>
      <c r="E520" s="145" t="s">
        <v>4906</v>
      </c>
      <c r="F520" s="146"/>
      <c r="G520" s="145"/>
      <c r="H520" s="146"/>
      <c r="I520" s="146"/>
      <c r="J520" s="145" t="str">
        <f t="shared" si="9"/>
        <v/>
      </c>
      <c r="K520" s="151"/>
      <c r="L520" s="152"/>
      <c r="M520" s="153"/>
      <c r="N520" s="146"/>
      <c r="O520" s="146"/>
      <c r="P520" s="146"/>
      <c r="Q520" s="145" t="s">
        <v>4915</v>
      </c>
    </row>
    <row r="521" spans="4:17" x14ac:dyDescent="0.25">
      <c r="D521" s="146" t="s">
        <v>4916</v>
      </c>
      <c r="E521" s="145" t="s">
        <v>4906</v>
      </c>
      <c r="F521" s="146"/>
      <c r="G521" s="145"/>
      <c r="H521" s="146"/>
      <c r="I521" s="146"/>
      <c r="J521" s="145" t="str">
        <f t="shared" si="9"/>
        <v/>
      </c>
      <c r="K521" s="151"/>
      <c r="L521" s="152"/>
      <c r="M521" s="153"/>
      <c r="N521" s="146"/>
      <c r="O521" s="146"/>
      <c r="P521" s="146"/>
      <c r="Q521" s="145" t="s">
        <v>4917</v>
      </c>
    </row>
    <row r="522" spans="4:17" x14ac:dyDescent="0.25">
      <c r="D522" s="146" t="s">
        <v>4918</v>
      </c>
      <c r="E522" s="145" t="s">
        <v>4906</v>
      </c>
      <c r="F522" s="146"/>
      <c r="G522" s="145"/>
      <c r="H522" s="146"/>
      <c r="I522" s="146"/>
      <c r="J522" s="145" t="str">
        <f t="shared" si="9"/>
        <v/>
      </c>
      <c r="K522" s="151"/>
      <c r="L522" s="152"/>
      <c r="M522" s="153"/>
      <c r="N522" s="146"/>
      <c r="O522" s="146"/>
      <c r="P522" s="146"/>
      <c r="Q522" s="145" t="s">
        <v>4919</v>
      </c>
    </row>
    <row r="523" spans="4:17" x14ac:dyDescent="0.25">
      <c r="D523" s="146" t="s">
        <v>4920</v>
      </c>
      <c r="E523" s="145" t="s">
        <v>4906</v>
      </c>
      <c r="F523" s="146"/>
      <c r="G523" s="145"/>
      <c r="H523" s="146"/>
      <c r="I523" s="146"/>
      <c r="J523" s="145" t="str">
        <f t="shared" si="9"/>
        <v/>
      </c>
      <c r="K523" s="151"/>
      <c r="L523" s="152"/>
      <c r="M523" s="153"/>
      <c r="N523" s="146"/>
      <c r="O523" s="146"/>
      <c r="P523" s="146"/>
      <c r="Q523" s="145" t="s">
        <v>4921</v>
      </c>
    </row>
    <row r="524" spans="4:17" x14ac:dyDescent="0.25">
      <c r="D524" s="146" t="s">
        <v>4922</v>
      </c>
      <c r="E524" s="145" t="s">
        <v>4906</v>
      </c>
      <c r="F524" s="146"/>
      <c r="G524" s="145"/>
      <c r="H524" s="146"/>
      <c r="I524" s="146"/>
      <c r="J524" s="145" t="str">
        <f t="shared" si="9"/>
        <v/>
      </c>
      <c r="K524" s="151"/>
      <c r="L524" s="152"/>
      <c r="M524" s="153"/>
      <c r="N524" s="146"/>
      <c r="O524" s="146"/>
      <c r="P524" s="146"/>
      <c r="Q524" s="145" t="s">
        <v>4923</v>
      </c>
    </row>
    <row r="525" spans="4:17" x14ac:dyDescent="0.25">
      <c r="D525" s="146" t="s">
        <v>4924</v>
      </c>
      <c r="E525" s="145" t="s">
        <v>4906</v>
      </c>
      <c r="F525" s="146"/>
      <c r="G525" s="145"/>
      <c r="H525" s="146"/>
      <c r="I525" s="146"/>
      <c r="J525" s="145" t="str">
        <f t="shared" si="9"/>
        <v/>
      </c>
      <c r="K525" s="151"/>
      <c r="L525" s="152"/>
      <c r="M525" s="153"/>
      <c r="N525" s="146"/>
      <c r="O525" s="146"/>
      <c r="P525" s="146"/>
      <c r="Q525" s="145" t="s">
        <v>4925</v>
      </c>
    </row>
    <row r="526" spans="4:17" x14ac:dyDescent="0.25">
      <c r="D526" s="146" t="s">
        <v>4926</v>
      </c>
      <c r="E526" s="145" t="s">
        <v>4906</v>
      </c>
      <c r="F526" s="146"/>
      <c r="G526" s="145"/>
      <c r="H526" s="146"/>
      <c r="I526" s="146"/>
      <c r="J526" s="145" t="str">
        <f t="shared" si="9"/>
        <v/>
      </c>
      <c r="K526" s="151"/>
      <c r="L526" s="152"/>
      <c r="M526" s="153"/>
      <c r="N526" s="146"/>
      <c r="O526" s="146"/>
      <c r="P526" s="146"/>
      <c r="Q526" s="145" t="s">
        <v>4927</v>
      </c>
    </row>
    <row r="527" spans="4:17" x14ac:dyDescent="0.25">
      <c r="D527" s="146" t="s">
        <v>4928</v>
      </c>
      <c r="E527" s="145" t="s">
        <v>4906</v>
      </c>
      <c r="F527" s="146"/>
      <c r="G527" s="145"/>
      <c r="H527" s="146"/>
      <c r="I527" s="146"/>
      <c r="J527" s="145" t="str">
        <f t="shared" si="9"/>
        <v/>
      </c>
      <c r="K527" s="151"/>
      <c r="L527" s="152"/>
      <c r="M527" s="153"/>
      <c r="N527" s="146"/>
      <c r="O527" s="146"/>
      <c r="P527" s="146"/>
      <c r="Q527" s="145" t="s">
        <v>4929</v>
      </c>
    </row>
    <row r="528" spans="4:17" x14ac:dyDescent="0.25">
      <c r="D528" s="146" t="s">
        <v>4930</v>
      </c>
      <c r="E528" s="145" t="s">
        <v>4906</v>
      </c>
      <c r="F528" s="146"/>
      <c r="G528" s="145"/>
      <c r="H528" s="146"/>
      <c r="I528" s="146"/>
      <c r="J528" s="145" t="str">
        <f t="shared" si="9"/>
        <v/>
      </c>
      <c r="K528" s="151"/>
      <c r="L528" s="152"/>
      <c r="M528" s="153"/>
      <c r="N528" s="146"/>
      <c r="O528" s="146"/>
      <c r="P528" s="146"/>
      <c r="Q528" s="145" t="s">
        <v>4931</v>
      </c>
    </row>
    <row r="529" spans="4:17" x14ac:dyDescent="0.25">
      <c r="D529" s="146" t="s">
        <v>4932</v>
      </c>
      <c r="E529" s="145" t="s">
        <v>4906</v>
      </c>
      <c r="F529" s="146"/>
      <c r="G529" s="145"/>
      <c r="H529" s="146"/>
      <c r="I529" s="146"/>
      <c r="J529" s="145" t="str">
        <f t="shared" si="9"/>
        <v/>
      </c>
      <c r="K529" s="151"/>
      <c r="L529" s="152"/>
      <c r="M529" s="153"/>
      <c r="N529" s="146"/>
      <c r="O529" s="146"/>
      <c r="P529" s="146"/>
      <c r="Q529" s="145" t="s">
        <v>4933</v>
      </c>
    </row>
    <row r="530" spans="4:17" x14ac:dyDescent="0.25">
      <c r="D530" s="146" t="s">
        <v>4934</v>
      </c>
      <c r="E530" s="145" t="s">
        <v>4906</v>
      </c>
      <c r="F530" s="146"/>
      <c r="G530" s="145"/>
      <c r="H530" s="146"/>
      <c r="I530" s="146"/>
      <c r="J530" s="145" t="str">
        <f t="shared" si="9"/>
        <v/>
      </c>
      <c r="K530" s="151"/>
      <c r="L530" s="152"/>
      <c r="M530" s="153"/>
      <c r="N530" s="146"/>
      <c r="O530" s="146"/>
      <c r="P530" s="146"/>
      <c r="Q530" s="145" t="s">
        <v>4935</v>
      </c>
    </row>
    <row r="531" spans="4:17" x14ac:dyDescent="0.25">
      <c r="D531" s="146" t="s">
        <v>4936</v>
      </c>
      <c r="E531" s="145" t="s">
        <v>4906</v>
      </c>
      <c r="F531" s="146"/>
      <c r="G531" s="145"/>
      <c r="H531" s="146"/>
      <c r="I531" s="146"/>
      <c r="J531" s="145" t="str">
        <f t="shared" si="9"/>
        <v/>
      </c>
      <c r="K531" s="151"/>
      <c r="L531" s="152"/>
      <c r="M531" s="153"/>
      <c r="N531" s="146"/>
      <c r="O531" s="146"/>
      <c r="P531" s="146"/>
      <c r="Q531" s="145" t="s">
        <v>4937</v>
      </c>
    </row>
    <row r="532" spans="4:17" x14ac:dyDescent="0.25">
      <c r="D532" s="146" t="s">
        <v>4938</v>
      </c>
      <c r="E532" s="145" t="s">
        <v>4906</v>
      </c>
      <c r="F532" s="146"/>
      <c r="G532" s="145"/>
      <c r="H532" s="146"/>
      <c r="I532" s="146"/>
      <c r="J532" s="145" t="str">
        <f t="shared" si="9"/>
        <v/>
      </c>
      <c r="K532" s="151"/>
      <c r="L532" s="152"/>
      <c r="M532" s="153"/>
      <c r="N532" s="146"/>
      <c r="O532" s="146"/>
      <c r="P532" s="146"/>
      <c r="Q532" s="145" t="s">
        <v>4939</v>
      </c>
    </row>
    <row r="533" spans="4:17" x14ac:dyDescent="0.25">
      <c r="D533" s="146" t="s">
        <v>4940</v>
      </c>
      <c r="E533" s="145" t="s">
        <v>4906</v>
      </c>
      <c r="F533" s="146"/>
      <c r="G533" s="145"/>
      <c r="H533" s="146"/>
      <c r="I533" s="146"/>
      <c r="J533" s="145" t="str">
        <f t="shared" si="9"/>
        <v/>
      </c>
      <c r="K533" s="151"/>
      <c r="L533" s="152"/>
      <c r="M533" s="153"/>
      <c r="N533" s="146"/>
      <c r="O533" s="146"/>
      <c r="P533" s="146"/>
      <c r="Q533" s="145" t="s">
        <v>4941</v>
      </c>
    </row>
    <row r="534" spans="4:17" x14ac:dyDescent="0.25">
      <c r="D534" s="146" t="s">
        <v>4942</v>
      </c>
      <c r="E534" s="145" t="s">
        <v>4906</v>
      </c>
      <c r="F534" s="146"/>
      <c r="G534" s="145"/>
      <c r="H534" s="146"/>
      <c r="I534" s="146"/>
      <c r="J534" s="145" t="str">
        <f t="shared" si="9"/>
        <v/>
      </c>
      <c r="K534" s="151"/>
      <c r="L534" s="152"/>
      <c r="M534" s="153"/>
      <c r="N534" s="146"/>
      <c r="O534" s="146"/>
      <c r="P534" s="146"/>
      <c r="Q534" s="145" t="s">
        <v>4943</v>
      </c>
    </row>
    <row r="535" spans="4:17" x14ac:dyDescent="0.25">
      <c r="D535" s="146" t="s">
        <v>4944</v>
      </c>
      <c r="E535" s="145" t="s">
        <v>4906</v>
      </c>
      <c r="F535" s="146"/>
      <c r="G535" s="145"/>
      <c r="H535" s="146"/>
      <c r="I535" s="146"/>
      <c r="J535" s="145" t="str">
        <f t="shared" si="9"/>
        <v/>
      </c>
      <c r="K535" s="151"/>
      <c r="L535" s="152"/>
      <c r="M535" s="153"/>
      <c r="N535" s="146"/>
      <c r="O535" s="146"/>
      <c r="P535" s="146"/>
      <c r="Q535" s="145" t="s">
        <v>4945</v>
      </c>
    </row>
    <row r="536" spans="4:17" x14ac:dyDescent="0.25">
      <c r="D536" s="146" t="s">
        <v>4946</v>
      </c>
      <c r="E536" s="145" t="s">
        <v>4947</v>
      </c>
      <c r="F536" s="146"/>
      <c r="G536" s="145"/>
      <c r="H536" s="146"/>
      <c r="I536" s="146"/>
      <c r="J536" s="145" t="str">
        <f t="shared" si="9"/>
        <v/>
      </c>
      <c r="K536" s="151"/>
      <c r="L536" s="152"/>
      <c r="M536" s="153"/>
      <c r="N536" s="146"/>
      <c r="O536" s="146"/>
      <c r="P536" s="146"/>
      <c r="Q536" s="145" t="s">
        <v>4948</v>
      </c>
    </row>
    <row r="537" spans="4:17" x14ac:dyDescent="0.25">
      <c r="D537" s="146" t="s">
        <v>4949</v>
      </c>
      <c r="E537" s="145" t="s">
        <v>4947</v>
      </c>
      <c r="F537" s="146"/>
      <c r="G537" s="145"/>
      <c r="H537" s="146"/>
      <c r="I537" s="146"/>
      <c r="J537" s="145" t="str">
        <f t="shared" si="9"/>
        <v/>
      </c>
      <c r="K537" s="151"/>
      <c r="L537" s="152"/>
      <c r="M537" s="153"/>
      <c r="N537" s="146"/>
      <c r="O537" s="146"/>
      <c r="P537" s="146"/>
      <c r="Q537" s="145" t="s">
        <v>4950</v>
      </c>
    </row>
    <row r="538" spans="4:17" x14ac:dyDescent="0.25">
      <c r="D538" s="146" t="s">
        <v>4951</v>
      </c>
      <c r="E538" s="145" t="s">
        <v>4947</v>
      </c>
      <c r="F538" s="146"/>
      <c r="G538" s="145"/>
      <c r="H538" s="146"/>
      <c r="I538" s="146"/>
      <c r="J538" s="145" t="str">
        <f t="shared" si="9"/>
        <v/>
      </c>
      <c r="K538" s="151"/>
      <c r="L538" s="152"/>
      <c r="M538" s="153"/>
      <c r="N538" s="146"/>
      <c r="O538" s="146"/>
      <c r="P538" s="146"/>
      <c r="Q538" s="145" t="s">
        <v>4952</v>
      </c>
    </row>
    <row r="539" spans="4:17" x14ac:dyDescent="0.25">
      <c r="D539" s="146" t="s">
        <v>4953</v>
      </c>
      <c r="E539" s="145" t="s">
        <v>4947</v>
      </c>
      <c r="F539" s="146"/>
      <c r="G539" s="145"/>
      <c r="H539" s="146"/>
      <c r="I539" s="146"/>
      <c r="J539" s="145" t="str">
        <f t="shared" si="9"/>
        <v/>
      </c>
      <c r="K539" s="151"/>
      <c r="L539" s="152"/>
      <c r="M539" s="153"/>
      <c r="N539" s="146"/>
      <c r="O539" s="146"/>
      <c r="P539" s="146"/>
      <c r="Q539" s="145" t="s">
        <v>4954</v>
      </c>
    </row>
    <row r="540" spans="4:17" x14ac:dyDescent="0.25">
      <c r="D540" s="146" t="s">
        <v>4955</v>
      </c>
      <c r="E540" s="145" t="s">
        <v>4947</v>
      </c>
      <c r="F540" s="146"/>
      <c r="G540" s="145"/>
      <c r="H540" s="146"/>
      <c r="I540" s="146"/>
      <c r="J540" s="145" t="str">
        <f t="shared" si="9"/>
        <v/>
      </c>
      <c r="K540" s="151"/>
      <c r="L540" s="152"/>
      <c r="M540" s="153"/>
      <c r="N540" s="146"/>
      <c r="O540" s="146"/>
      <c r="P540" s="146"/>
      <c r="Q540" s="145" t="s">
        <v>4956</v>
      </c>
    </row>
    <row r="541" spans="4:17" x14ac:dyDescent="0.25">
      <c r="D541" s="146" t="s">
        <v>4957</v>
      </c>
      <c r="E541" s="145" t="s">
        <v>4947</v>
      </c>
      <c r="F541" s="146"/>
      <c r="G541" s="145"/>
      <c r="H541" s="146"/>
      <c r="I541" s="146"/>
      <c r="J541" s="145" t="str">
        <f t="shared" si="9"/>
        <v/>
      </c>
      <c r="K541" s="151"/>
      <c r="L541" s="152"/>
      <c r="M541" s="153"/>
      <c r="N541" s="146"/>
      <c r="O541" s="146"/>
      <c r="P541" s="146"/>
      <c r="Q541" s="145" t="s">
        <v>4958</v>
      </c>
    </row>
    <row r="542" spans="4:17" x14ac:dyDescent="0.25">
      <c r="D542" s="146" t="s">
        <v>4959</v>
      </c>
      <c r="E542" s="145" t="s">
        <v>4947</v>
      </c>
      <c r="F542" s="146"/>
      <c r="G542" s="145"/>
      <c r="H542" s="146"/>
      <c r="I542" s="146"/>
      <c r="J542" s="145" t="str">
        <f t="shared" si="9"/>
        <v/>
      </c>
      <c r="K542" s="151"/>
      <c r="L542" s="152"/>
      <c r="M542" s="153"/>
      <c r="N542" s="146"/>
      <c r="O542" s="146"/>
      <c r="P542" s="146"/>
      <c r="Q542" s="145" t="s">
        <v>4960</v>
      </c>
    </row>
    <row r="543" spans="4:17" x14ac:dyDescent="0.25">
      <c r="D543" s="146" t="s">
        <v>4961</v>
      </c>
      <c r="E543" s="145" t="s">
        <v>4947</v>
      </c>
      <c r="F543" s="146"/>
      <c r="G543" s="145"/>
      <c r="H543" s="146"/>
      <c r="I543" s="146"/>
      <c r="J543" s="145" t="str">
        <f t="shared" si="9"/>
        <v/>
      </c>
      <c r="K543" s="151"/>
      <c r="L543" s="152"/>
      <c r="M543" s="153"/>
      <c r="N543" s="146"/>
      <c r="O543" s="146"/>
      <c r="P543" s="146"/>
      <c r="Q543" s="145" t="s">
        <v>4962</v>
      </c>
    </row>
    <row r="544" spans="4:17" x14ac:dyDescent="0.25">
      <c r="D544" s="146" t="s">
        <v>4963</v>
      </c>
      <c r="E544" s="145" t="s">
        <v>4947</v>
      </c>
      <c r="F544" s="146"/>
      <c r="G544" s="145"/>
      <c r="H544" s="146"/>
      <c r="I544" s="146"/>
      <c r="J544" s="145" t="str">
        <f t="shared" si="9"/>
        <v/>
      </c>
      <c r="K544" s="151"/>
      <c r="L544" s="152"/>
      <c r="M544" s="153"/>
      <c r="N544" s="146"/>
      <c r="O544" s="146"/>
      <c r="P544" s="146"/>
      <c r="Q544" s="145" t="s">
        <v>4964</v>
      </c>
    </row>
    <row r="545" spans="4:17" x14ac:dyDescent="0.25">
      <c r="D545" s="146" t="s">
        <v>4965</v>
      </c>
      <c r="E545" s="145" t="s">
        <v>4947</v>
      </c>
      <c r="F545" s="146"/>
      <c r="G545" s="145"/>
      <c r="H545" s="146"/>
      <c r="I545" s="146"/>
      <c r="J545" s="145" t="str">
        <f t="shared" si="9"/>
        <v/>
      </c>
      <c r="K545" s="151"/>
      <c r="L545" s="152"/>
      <c r="M545" s="153"/>
      <c r="N545" s="146"/>
      <c r="O545" s="146"/>
      <c r="P545" s="146"/>
      <c r="Q545" s="145" t="s">
        <v>4966</v>
      </c>
    </row>
    <row r="546" spans="4:17" x14ac:dyDescent="0.25">
      <c r="D546" s="146" t="s">
        <v>4967</v>
      </c>
      <c r="E546" s="145" t="s">
        <v>4947</v>
      </c>
      <c r="F546" s="146"/>
      <c r="G546" s="145"/>
      <c r="H546" s="146"/>
      <c r="I546" s="146"/>
      <c r="J546" s="145" t="str">
        <f t="shared" si="9"/>
        <v/>
      </c>
      <c r="K546" s="151"/>
      <c r="L546" s="152"/>
      <c r="M546" s="153"/>
      <c r="N546" s="146"/>
      <c r="O546" s="146"/>
      <c r="P546" s="146"/>
      <c r="Q546" s="145" t="s">
        <v>4968</v>
      </c>
    </row>
    <row r="547" spans="4:17" x14ac:dyDescent="0.25">
      <c r="D547" s="146" t="s">
        <v>4969</v>
      </c>
      <c r="E547" s="145" t="s">
        <v>4947</v>
      </c>
      <c r="F547" s="146"/>
      <c r="G547" s="145"/>
      <c r="H547" s="146"/>
      <c r="I547" s="146"/>
      <c r="J547" s="145" t="str">
        <f t="shared" si="9"/>
        <v/>
      </c>
      <c r="K547" s="151"/>
      <c r="L547" s="152"/>
      <c r="M547" s="153"/>
      <c r="N547" s="146"/>
      <c r="O547" s="146"/>
      <c r="P547" s="146"/>
      <c r="Q547" s="145" t="s">
        <v>4970</v>
      </c>
    </row>
    <row r="548" spans="4:17" x14ac:dyDescent="0.25">
      <c r="D548" s="146" t="s">
        <v>4971</v>
      </c>
      <c r="E548" s="145" t="s">
        <v>4947</v>
      </c>
      <c r="F548" s="146"/>
      <c r="G548" s="145"/>
      <c r="H548" s="146"/>
      <c r="I548" s="146"/>
      <c r="J548" s="145" t="str">
        <f t="shared" si="9"/>
        <v/>
      </c>
      <c r="K548" s="151"/>
      <c r="L548" s="152"/>
      <c r="M548" s="153"/>
      <c r="N548" s="146"/>
      <c r="O548" s="146"/>
      <c r="P548" s="146"/>
      <c r="Q548" s="145" t="s">
        <v>4972</v>
      </c>
    </row>
    <row r="549" spans="4:17" x14ac:dyDescent="0.25">
      <c r="D549" s="146" t="s">
        <v>4973</v>
      </c>
      <c r="E549" s="145" t="s">
        <v>4947</v>
      </c>
      <c r="F549" s="146"/>
      <c r="G549" s="145"/>
      <c r="H549" s="146"/>
      <c r="I549" s="146"/>
      <c r="J549" s="145" t="str">
        <f t="shared" si="9"/>
        <v/>
      </c>
      <c r="K549" s="151"/>
      <c r="L549" s="152"/>
      <c r="M549" s="153"/>
      <c r="N549" s="146"/>
      <c r="O549" s="146"/>
      <c r="P549" s="146"/>
      <c r="Q549" s="145" t="s">
        <v>4974</v>
      </c>
    </row>
    <row r="550" spans="4:17" x14ac:dyDescent="0.25">
      <c r="D550" s="146" t="s">
        <v>4975</v>
      </c>
      <c r="E550" s="145" t="s">
        <v>4947</v>
      </c>
      <c r="F550" s="146"/>
      <c r="G550" s="145"/>
      <c r="H550" s="146"/>
      <c r="I550" s="146"/>
      <c r="J550" s="145" t="str">
        <f t="shared" si="9"/>
        <v/>
      </c>
      <c r="K550" s="151"/>
      <c r="L550" s="152"/>
      <c r="M550" s="153"/>
      <c r="N550" s="146"/>
      <c r="O550" s="146"/>
      <c r="P550" s="146"/>
      <c r="Q550" s="145" t="s">
        <v>4976</v>
      </c>
    </row>
    <row r="551" spans="4:17" x14ac:dyDescent="0.25">
      <c r="D551" s="146" t="s">
        <v>4977</v>
      </c>
      <c r="E551" s="145" t="s">
        <v>4947</v>
      </c>
      <c r="F551" s="146"/>
      <c r="G551" s="145"/>
      <c r="H551" s="146"/>
      <c r="I551" s="146"/>
      <c r="J551" s="145" t="str">
        <f t="shared" si="9"/>
        <v/>
      </c>
      <c r="K551" s="151"/>
      <c r="L551" s="152"/>
      <c r="M551" s="153"/>
      <c r="N551" s="146"/>
      <c r="O551" s="146"/>
      <c r="P551" s="146"/>
      <c r="Q551" s="145" t="s">
        <v>4978</v>
      </c>
    </row>
    <row r="552" spans="4:17" x14ac:dyDescent="0.25">
      <c r="D552" s="146" t="s">
        <v>4979</v>
      </c>
      <c r="E552" s="145" t="s">
        <v>4947</v>
      </c>
      <c r="F552" s="146"/>
      <c r="G552" s="145"/>
      <c r="H552" s="146"/>
      <c r="I552" s="146"/>
      <c r="J552" s="145" t="str">
        <f t="shared" si="9"/>
        <v/>
      </c>
      <c r="K552" s="151"/>
      <c r="L552" s="152"/>
      <c r="M552" s="153"/>
      <c r="N552" s="146"/>
      <c r="O552" s="146"/>
      <c r="P552" s="146"/>
      <c r="Q552" s="145" t="s">
        <v>4980</v>
      </c>
    </row>
    <row r="553" spans="4:17" x14ac:dyDescent="0.25">
      <c r="D553" s="146" t="s">
        <v>4981</v>
      </c>
      <c r="E553" s="145" t="s">
        <v>4947</v>
      </c>
      <c r="F553" s="146"/>
      <c r="G553" s="145"/>
      <c r="H553" s="146"/>
      <c r="I553" s="146"/>
      <c r="J553" s="145" t="str">
        <f t="shared" si="9"/>
        <v/>
      </c>
      <c r="K553" s="151"/>
      <c r="L553" s="152"/>
      <c r="M553" s="153"/>
      <c r="N553" s="146"/>
      <c r="O553" s="146"/>
      <c r="P553" s="146"/>
      <c r="Q553" s="145" t="s">
        <v>4982</v>
      </c>
    </row>
    <row r="554" spans="4:17" x14ac:dyDescent="0.25">
      <c r="D554" s="146" t="s">
        <v>4983</v>
      </c>
      <c r="E554" s="145" t="s">
        <v>4947</v>
      </c>
      <c r="F554" s="146"/>
      <c r="G554" s="145"/>
      <c r="H554" s="146"/>
      <c r="I554" s="146"/>
      <c r="J554" s="145" t="str">
        <f t="shared" si="9"/>
        <v/>
      </c>
      <c r="K554" s="151"/>
      <c r="L554" s="152"/>
      <c r="M554" s="153"/>
      <c r="N554" s="146"/>
      <c r="O554" s="146"/>
      <c r="P554" s="146"/>
      <c r="Q554" s="145" t="s">
        <v>4984</v>
      </c>
    </row>
    <row r="555" spans="4:17" x14ac:dyDescent="0.25">
      <c r="D555" s="146" t="s">
        <v>4985</v>
      </c>
      <c r="E555" s="145" t="s">
        <v>4947</v>
      </c>
      <c r="F555" s="146"/>
      <c r="G555" s="145"/>
      <c r="H555" s="146"/>
      <c r="I555" s="146"/>
      <c r="J555" s="145" t="str">
        <f t="shared" si="9"/>
        <v/>
      </c>
      <c r="K555" s="151"/>
      <c r="L555" s="152"/>
      <c r="M555" s="153"/>
      <c r="N555" s="146"/>
      <c r="O555" s="146"/>
      <c r="P555" s="146"/>
      <c r="Q555" s="145" t="s">
        <v>4986</v>
      </c>
    </row>
    <row r="556" spans="4:17" x14ac:dyDescent="0.25">
      <c r="D556" s="146" t="s">
        <v>4987</v>
      </c>
      <c r="E556" s="145" t="s">
        <v>4988</v>
      </c>
      <c r="F556" s="146"/>
      <c r="G556" s="145"/>
      <c r="H556" s="146"/>
      <c r="I556" s="146"/>
      <c r="J556" s="145" t="str">
        <f t="shared" si="9"/>
        <v/>
      </c>
      <c r="K556" s="151"/>
      <c r="L556" s="152"/>
      <c r="M556" s="153"/>
      <c r="N556" s="146"/>
      <c r="O556" s="146"/>
      <c r="P556" s="146"/>
      <c r="Q556" s="145" t="s">
        <v>4989</v>
      </c>
    </row>
    <row r="557" spans="4:17" x14ac:dyDescent="0.25">
      <c r="D557" s="146" t="s">
        <v>4990</v>
      </c>
      <c r="E557" s="145" t="s">
        <v>4988</v>
      </c>
      <c r="F557" s="146"/>
      <c r="G557" s="145"/>
      <c r="H557" s="146"/>
      <c r="I557" s="146"/>
      <c r="J557" s="145" t="str">
        <f t="shared" si="9"/>
        <v/>
      </c>
      <c r="K557" s="151"/>
      <c r="L557" s="152"/>
      <c r="M557" s="153"/>
      <c r="N557" s="146"/>
      <c r="O557" s="146"/>
      <c r="P557" s="146"/>
      <c r="Q557" s="145" t="s">
        <v>4991</v>
      </c>
    </row>
    <row r="558" spans="4:17" x14ac:dyDescent="0.25">
      <c r="D558" s="146" t="s">
        <v>4992</v>
      </c>
      <c r="E558" s="145" t="s">
        <v>4988</v>
      </c>
      <c r="F558" s="146"/>
      <c r="G558" s="145"/>
      <c r="H558" s="146"/>
      <c r="I558" s="146"/>
      <c r="J558" s="145" t="str">
        <f t="shared" si="9"/>
        <v/>
      </c>
      <c r="K558" s="151"/>
      <c r="L558" s="152"/>
      <c r="M558" s="153"/>
      <c r="N558" s="146"/>
      <c r="O558" s="146"/>
      <c r="P558" s="146"/>
      <c r="Q558" s="145" t="s">
        <v>4993</v>
      </c>
    </row>
    <row r="559" spans="4:17" x14ac:dyDescent="0.25">
      <c r="D559" s="146" t="s">
        <v>4994</v>
      </c>
      <c r="E559" s="145" t="s">
        <v>4988</v>
      </c>
      <c r="F559" s="146"/>
      <c r="G559" s="145"/>
      <c r="H559" s="146"/>
      <c r="I559" s="146"/>
      <c r="J559" s="145" t="str">
        <f t="shared" si="9"/>
        <v/>
      </c>
      <c r="K559" s="151"/>
      <c r="L559" s="152"/>
      <c r="M559" s="153"/>
      <c r="N559" s="146"/>
      <c r="O559" s="146"/>
      <c r="P559" s="146"/>
      <c r="Q559" s="145" t="s">
        <v>4995</v>
      </c>
    </row>
    <row r="560" spans="4:17" x14ac:dyDescent="0.25">
      <c r="D560" s="146" t="s">
        <v>4996</v>
      </c>
      <c r="E560" s="145" t="s">
        <v>4988</v>
      </c>
      <c r="F560" s="146"/>
      <c r="G560" s="145"/>
      <c r="H560" s="146"/>
      <c r="I560" s="146"/>
      <c r="J560" s="145" t="str">
        <f t="shared" si="9"/>
        <v/>
      </c>
      <c r="K560" s="151"/>
      <c r="L560" s="152"/>
      <c r="M560" s="153"/>
      <c r="N560" s="146"/>
      <c r="O560" s="146"/>
      <c r="P560" s="146"/>
      <c r="Q560" s="145" t="s">
        <v>4997</v>
      </c>
    </row>
    <row r="561" spans="4:17" x14ac:dyDescent="0.25">
      <c r="D561" s="146" t="s">
        <v>4998</v>
      </c>
      <c r="E561" s="145" t="s">
        <v>4988</v>
      </c>
      <c r="F561" s="146"/>
      <c r="G561" s="145"/>
      <c r="H561" s="146"/>
      <c r="I561" s="146"/>
      <c r="J561" s="145" t="str">
        <f t="shared" si="9"/>
        <v/>
      </c>
      <c r="K561" s="151"/>
      <c r="L561" s="152"/>
      <c r="M561" s="153"/>
      <c r="N561" s="146"/>
      <c r="O561" s="146"/>
      <c r="P561" s="146"/>
      <c r="Q561" s="145" t="s">
        <v>4999</v>
      </c>
    </row>
    <row r="562" spans="4:17" x14ac:dyDescent="0.25">
      <c r="D562" s="146" t="s">
        <v>5000</v>
      </c>
      <c r="E562" s="145" t="s">
        <v>4988</v>
      </c>
      <c r="F562" s="146"/>
      <c r="G562" s="145"/>
      <c r="H562" s="146"/>
      <c r="I562" s="146"/>
      <c r="J562" s="145" t="str">
        <f t="shared" si="9"/>
        <v/>
      </c>
      <c r="K562" s="151"/>
      <c r="L562" s="152"/>
      <c r="M562" s="153"/>
      <c r="N562" s="146"/>
      <c r="O562" s="146"/>
      <c r="P562" s="146"/>
      <c r="Q562" s="145" t="s">
        <v>5001</v>
      </c>
    </row>
    <row r="563" spans="4:17" x14ac:dyDescent="0.25">
      <c r="D563" s="146" t="s">
        <v>5002</v>
      </c>
      <c r="E563" s="145" t="s">
        <v>4988</v>
      </c>
      <c r="F563" s="146"/>
      <c r="G563" s="145"/>
      <c r="H563" s="146"/>
      <c r="I563" s="146"/>
      <c r="J563" s="145" t="str">
        <f t="shared" si="9"/>
        <v/>
      </c>
      <c r="K563" s="151"/>
      <c r="L563" s="152"/>
      <c r="M563" s="153"/>
      <c r="N563" s="146"/>
      <c r="O563" s="146"/>
      <c r="P563" s="146"/>
      <c r="Q563" s="145" t="s">
        <v>5003</v>
      </c>
    </row>
    <row r="564" spans="4:17" x14ac:dyDescent="0.25">
      <c r="D564" s="146" t="s">
        <v>5004</v>
      </c>
      <c r="E564" s="145" t="s">
        <v>4988</v>
      </c>
      <c r="F564" s="146"/>
      <c r="G564" s="145"/>
      <c r="H564" s="146"/>
      <c r="I564" s="146"/>
      <c r="J564" s="145" t="str">
        <f t="shared" si="9"/>
        <v/>
      </c>
      <c r="K564" s="151"/>
      <c r="L564" s="152"/>
      <c r="M564" s="153"/>
      <c r="N564" s="146"/>
      <c r="O564" s="146"/>
      <c r="P564" s="146"/>
      <c r="Q564" s="145" t="s">
        <v>5005</v>
      </c>
    </row>
    <row r="565" spans="4:17" x14ac:dyDescent="0.25">
      <c r="D565" s="146" t="s">
        <v>5006</v>
      </c>
      <c r="E565" s="145" t="s">
        <v>4988</v>
      </c>
      <c r="F565" s="146"/>
      <c r="G565" s="145"/>
      <c r="H565" s="146"/>
      <c r="I565" s="146"/>
      <c r="J565" s="145" t="str">
        <f t="shared" si="9"/>
        <v/>
      </c>
      <c r="K565" s="151"/>
      <c r="L565" s="152"/>
      <c r="M565" s="153"/>
      <c r="N565" s="146"/>
      <c r="O565" s="146"/>
      <c r="P565" s="146"/>
      <c r="Q565" s="145" t="s">
        <v>5007</v>
      </c>
    </row>
    <row r="566" spans="4:17" x14ac:dyDescent="0.25">
      <c r="D566" s="146" t="s">
        <v>5008</v>
      </c>
      <c r="E566" s="145" t="s">
        <v>4988</v>
      </c>
      <c r="F566" s="146"/>
      <c r="G566" s="145"/>
      <c r="H566" s="146"/>
      <c r="I566" s="146"/>
      <c r="J566" s="145" t="str">
        <f t="shared" si="9"/>
        <v/>
      </c>
      <c r="K566" s="151"/>
      <c r="L566" s="152"/>
      <c r="M566" s="153"/>
      <c r="N566" s="146"/>
      <c r="O566" s="146"/>
      <c r="P566" s="146"/>
      <c r="Q566" s="145" t="s">
        <v>5009</v>
      </c>
    </row>
    <row r="567" spans="4:17" x14ac:dyDescent="0.25">
      <c r="D567" s="146" t="s">
        <v>5010</v>
      </c>
      <c r="E567" s="145" t="s">
        <v>4988</v>
      </c>
      <c r="F567" s="146"/>
      <c r="G567" s="145"/>
      <c r="H567" s="146"/>
      <c r="I567" s="146"/>
      <c r="J567" s="145" t="str">
        <f t="shared" si="9"/>
        <v/>
      </c>
      <c r="K567" s="151"/>
      <c r="L567" s="152"/>
      <c r="M567" s="153"/>
      <c r="N567" s="146"/>
      <c r="O567" s="146"/>
      <c r="P567" s="146"/>
      <c r="Q567" s="145" t="s">
        <v>5011</v>
      </c>
    </row>
    <row r="568" spans="4:17" x14ac:dyDescent="0.25">
      <c r="D568" s="146" t="s">
        <v>5012</v>
      </c>
      <c r="E568" s="145" t="s">
        <v>4988</v>
      </c>
      <c r="F568" s="146"/>
      <c r="G568" s="145"/>
      <c r="H568" s="146"/>
      <c r="I568" s="146"/>
      <c r="J568" s="145" t="str">
        <f t="shared" si="9"/>
        <v/>
      </c>
      <c r="K568" s="151"/>
      <c r="L568" s="152"/>
      <c r="M568" s="153"/>
      <c r="N568" s="146"/>
      <c r="O568" s="146"/>
      <c r="P568" s="146"/>
      <c r="Q568" s="145" t="s">
        <v>5013</v>
      </c>
    </row>
    <row r="569" spans="4:17" x14ac:dyDescent="0.25">
      <c r="D569" s="146" t="s">
        <v>5014</v>
      </c>
      <c r="E569" s="145" t="s">
        <v>4988</v>
      </c>
      <c r="F569" s="146"/>
      <c r="G569" s="145"/>
      <c r="H569" s="146"/>
      <c r="I569" s="146"/>
      <c r="J569" s="145" t="str">
        <f t="shared" si="9"/>
        <v/>
      </c>
      <c r="K569" s="151"/>
      <c r="L569" s="152"/>
      <c r="M569" s="153"/>
      <c r="N569" s="146"/>
      <c r="O569" s="146"/>
      <c r="P569" s="146"/>
      <c r="Q569" s="145" t="s">
        <v>5015</v>
      </c>
    </row>
    <row r="570" spans="4:17" x14ac:dyDescent="0.25">
      <c r="D570" s="146" t="s">
        <v>5016</v>
      </c>
      <c r="E570" s="145" t="s">
        <v>4988</v>
      </c>
      <c r="F570" s="146"/>
      <c r="G570" s="145"/>
      <c r="H570" s="146"/>
      <c r="I570" s="146"/>
      <c r="J570" s="145" t="str">
        <f t="shared" si="9"/>
        <v/>
      </c>
      <c r="K570" s="151"/>
      <c r="L570" s="152"/>
      <c r="M570" s="153"/>
      <c r="N570" s="146"/>
      <c r="O570" s="146"/>
      <c r="P570" s="146"/>
      <c r="Q570" s="145" t="s">
        <v>5017</v>
      </c>
    </row>
    <row r="571" spans="4:17" x14ac:dyDescent="0.25">
      <c r="D571" s="146" t="s">
        <v>5018</v>
      </c>
      <c r="E571" s="145" t="s">
        <v>4988</v>
      </c>
      <c r="F571" s="146"/>
      <c r="G571" s="145"/>
      <c r="H571" s="146"/>
      <c r="I571" s="146"/>
      <c r="J571" s="145" t="str">
        <f t="shared" si="9"/>
        <v/>
      </c>
      <c r="K571" s="151"/>
      <c r="L571" s="152"/>
      <c r="M571" s="153"/>
      <c r="N571" s="146"/>
      <c r="O571" s="146"/>
      <c r="P571" s="146"/>
      <c r="Q571" s="145" t="s">
        <v>5019</v>
      </c>
    </row>
    <row r="572" spans="4:17" x14ac:dyDescent="0.25">
      <c r="D572" s="146" t="s">
        <v>5020</v>
      </c>
      <c r="E572" s="145" t="s">
        <v>4988</v>
      </c>
      <c r="F572" s="146"/>
      <c r="G572" s="145"/>
      <c r="H572" s="146"/>
      <c r="I572" s="146"/>
      <c r="J572" s="145" t="str">
        <f t="shared" ref="J572:J635" si="10">F572&amp;H572&amp;I572</f>
        <v/>
      </c>
      <c r="K572" s="151"/>
      <c r="L572" s="152"/>
      <c r="M572" s="153"/>
      <c r="N572" s="146"/>
      <c r="O572" s="146"/>
      <c r="P572" s="146"/>
      <c r="Q572" s="145" t="s">
        <v>5021</v>
      </c>
    </row>
    <row r="573" spans="4:17" x14ac:dyDescent="0.25">
      <c r="D573" s="146" t="s">
        <v>5022</v>
      </c>
      <c r="E573" s="145" t="s">
        <v>4988</v>
      </c>
      <c r="F573" s="146"/>
      <c r="G573" s="145"/>
      <c r="H573" s="146"/>
      <c r="I573" s="146"/>
      <c r="J573" s="145" t="str">
        <f t="shared" si="10"/>
        <v/>
      </c>
      <c r="K573" s="151"/>
      <c r="L573" s="152"/>
      <c r="M573" s="153"/>
      <c r="N573" s="146"/>
      <c r="O573" s="146"/>
      <c r="P573" s="146"/>
      <c r="Q573" s="145" t="s">
        <v>5023</v>
      </c>
    </row>
    <row r="574" spans="4:17" x14ac:dyDescent="0.25">
      <c r="D574" s="146" t="s">
        <v>5024</v>
      </c>
      <c r="E574" s="145" t="s">
        <v>4988</v>
      </c>
      <c r="F574" s="146"/>
      <c r="G574" s="145"/>
      <c r="H574" s="146"/>
      <c r="I574" s="146"/>
      <c r="J574" s="145" t="str">
        <f t="shared" si="10"/>
        <v/>
      </c>
      <c r="K574" s="151"/>
      <c r="L574" s="152"/>
      <c r="M574" s="153"/>
      <c r="N574" s="146"/>
      <c r="O574" s="146"/>
      <c r="P574" s="146"/>
      <c r="Q574" s="145" t="s">
        <v>5025</v>
      </c>
    </row>
    <row r="575" spans="4:17" x14ac:dyDescent="0.25">
      <c r="D575" s="146" t="s">
        <v>5026</v>
      </c>
      <c r="E575" s="145" t="s">
        <v>4988</v>
      </c>
      <c r="F575" s="146"/>
      <c r="G575" s="145"/>
      <c r="H575" s="146"/>
      <c r="I575" s="146"/>
      <c r="J575" s="145" t="str">
        <f t="shared" si="10"/>
        <v/>
      </c>
      <c r="K575" s="151"/>
      <c r="L575" s="152"/>
      <c r="M575" s="153"/>
      <c r="N575" s="146"/>
      <c r="O575" s="146"/>
      <c r="P575" s="146"/>
      <c r="Q575" s="145" t="s">
        <v>5027</v>
      </c>
    </row>
    <row r="576" spans="4:17" x14ac:dyDescent="0.25">
      <c r="D576" s="146" t="s">
        <v>5028</v>
      </c>
      <c r="E576" s="145" t="s">
        <v>5029</v>
      </c>
      <c r="F576" s="146"/>
      <c r="G576" s="145"/>
      <c r="H576" s="146"/>
      <c r="I576" s="146"/>
      <c r="J576" s="145" t="str">
        <f t="shared" si="10"/>
        <v/>
      </c>
      <c r="K576" s="151"/>
      <c r="L576" s="152"/>
      <c r="M576" s="153"/>
      <c r="N576" s="146"/>
      <c r="O576" s="146"/>
      <c r="P576" s="146"/>
      <c r="Q576" s="145" t="s">
        <v>5030</v>
      </c>
    </row>
    <row r="577" spans="4:17" x14ac:dyDescent="0.25">
      <c r="D577" s="146" t="s">
        <v>5031</v>
      </c>
      <c r="E577" s="145" t="s">
        <v>5029</v>
      </c>
      <c r="F577" s="146"/>
      <c r="G577" s="145"/>
      <c r="H577" s="146"/>
      <c r="I577" s="146"/>
      <c r="J577" s="145" t="str">
        <f t="shared" si="10"/>
        <v/>
      </c>
      <c r="K577" s="151"/>
      <c r="L577" s="152"/>
      <c r="M577" s="153"/>
      <c r="N577" s="146"/>
      <c r="O577" s="146"/>
      <c r="P577" s="146"/>
      <c r="Q577" s="145" t="s">
        <v>5032</v>
      </c>
    </row>
    <row r="578" spans="4:17" x14ac:dyDescent="0.25">
      <c r="D578" s="146" t="s">
        <v>5033</v>
      </c>
      <c r="E578" s="145" t="s">
        <v>5029</v>
      </c>
      <c r="F578" s="146"/>
      <c r="G578" s="145"/>
      <c r="H578" s="146"/>
      <c r="I578" s="146"/>
      <c r="J578" s="145" t="str">
        <f t="shared" si="10"/>
        <v/>
      </c>
      <c r="K578" s="151"/>
      <c r="L578" s="152"/>
      <c r="M578" s="153"/>
      <c r="N578" s="146"/>
      <c r="O578" s="146"/>
      <c r="P578" s="146"/>
      <c r="Q578" s="145" t="s">
        <v>5034</v>
      </c>
    </row>
    <row r="579" spans="4:17" x14ac:dyDescent="0.25">
      <c r="D579" s="146" t="s">
        <v>5035</v>
      </c>
      <c r="E579" s="145" t="s">
        <v>5029</v>
      </c>
      <c r="F579" s="146"/>
      <c r="G579" s="145"/>
      <c r="H579" s="146"/>
      <c r="I579" s="146"/>
      <c r="J579" s="145" t="str">
        <f t="shared" si="10"/>
        <v/>
      </c>
      <c r="K579" s="151"/>
      <c r="L579" s="152"/>
      <c r="M579" s="153"/>
      <c r="N579" s="146"/>
      <c r="O579" s="146"/>
      <c r="P579" s="146"/>
      <c r="Q579" s="145" t="s">
        <v>5036</v>
      </c>
    </row>
    <row r="580" spans="4:17" x14ac:dyDescent="0.25">
      <c r="D580" s="146" t="s">
        <v>5037</v>
      </c>
      <c r="E580" s="145" t="s">
        <v>5029</v>
      </c>
      <c r="F580" s="146"/>
      <c r="G580" s="145"/>
      <c r="H580" s="146"/>
      <c r="I580" s="146"/>
      <c r="J580" s="145" t="str">
        <f t="shared" si="10"/>
        <v/>
      </c>
      <c r="K580" s="151"/>
      <c r="L580" s="152"/>
      <c r="M580" s="153"/>
      <c r="N580" s="146"/>
      <c r="O580" s="146"/>
      <c r="P580" s="146"/>
      <c r="Q580" s="145" t="s">
        <v>5038</v>
      </c>
    </row>
    <row r="581" spans="4:17" x14ac:dyDescent="0.25">
      <c r="D581" s="146" t="s">
        <v>5039</v>
      </c>
      <c r="E581" s="145" t="s">
        <v>5029</v>
      </c>
      <c r="F581" s="146"/>
      <c r="G581" s="145"/>
      <c r="H581" s="146"/>
      <c r="I581" s="146"/>
      <c r="J581" s="145" t="str">
        <f t="shared" si="10"/>
        <v/>
      </c>
      <c r="K581" s="151"/>
      <c r="L581" s="152"/>
      <c r="M581" s="153"/>
      <c r="N581" s="146"/>
      <c r="O581" s="146"/>
      <c r="P581" s="146"/>
      <c r="Q581" s="145" t="s">
        <v>5040</v>
      </c>
    </row>
    <row r="582" spans="4:17" x14ac:dyDescent="0.25">
      <c r="D582" s="146" t="s">
        <v>5041</v>
      </c>
      <c r="E582" s="145" t="s">
        <v>5029</v>
      </c>
      <c r="F582" s="146"/>
      <c r="G582" s="145"/>
      <c r="H582" s="146"/>
      <c r="I582" s="146"/>
      <c r="J582" s="145" t="str">
        <f t="shared" si="10"/>
        <v/>
      </c>
      <c r="K582" s="151"/>
      <c r="L582" s="152"/>
      <c r="M582" s="153"/>
      <c r="N582" s="146"/>
      <c r="O582" s="146"/>
      <c r="P582" s="146"/>
      <c r="Q582" s="145" t="s">
        <v>5042</v>
      </c>
    </row>
    <row r="583" spans="4:17" x14ac:dyDescent="0.25">
      <c r="D583" s="146" t="s">
        <v>5043</v>
      </c>
      <c r="E583" s="145" t="s">
        <v>5029</v>
      </c>
      <c r="F583" s="146"/>
      <c r="G583" s="145"/>
      <c r="H583" s="146"/>
      <c r="I583" s="146"/>
      <c r="J583" s="145" t="str">
        <f t="shared" si="10"/>
        <v/>
      </c>
      <c r="K583" s="151"/>
      <c r="L583" s="152"/>
      <c r="M583" s="153"/>
      <c r="N583" s="146"/>
      <c r="O583" s="146"/>
      <c r="P583" s="146"/>
      <c r="Q583" s="145" t="s">
        <v>5044</v>
      </c>
    </row>
    <row r="584" spans="4:17" x14ac:dyDescent="0.25">
      <c r="D584" s="146" t="s">
        <v>5045</v>
      </c>
      <c r="E584" s="145" t="s">
        <v>5029</v>
      </c>
      <c r="F584" s="146"/>
      <c r="G584" s="145"/>
      <c r="H584" s="146"/>
      <c r="I584" s="146"/>
      <c r="J584" s="145" t="str">
        <f t="shared" si="10"/>
        <v/>
      </c>
      <c r="K584" s="151"/>
      <c r="L584" s="152"/>
      <c r="M584" s="153"/>
      <c r="N584" s="146"/>
      <c r="O584" s="146"/>
      <c r="P584" s="146"/>
      <c r="Q584" s="145" t="s">
        <v>5046</v>
      </c>
    </row>
    <row r="585" spans="4:17" x14ac:dyDescent="0.25">
      <c r="D585" s="146" t="s">
        <v>5047</v>
      </c>
      <c r="E585" s="145" t="s">
        <v>5029</v>
      </c>
      <c r="F585" s="146"/>
      <c r="G585" s="145"/>
      <c r="H585" s="146"/>
      <c r="I585" s="146"/>
      <c r="J585" s="145" t="str">
        <f t="shared" si="10"/>
        <v/>
      </c>
      <c r="K585" s="151"/>
      <c r="L585" s="152"/>
      <c r="M585" s="153"/>
      <c r="N585" s="146"/>
      <c r="O585" s="146"/>
      <c r="P585" s="146"/>
      <c r="Q585" s="145" t="s">
        <v>5048</v>
      </c>
    </row>
    <row r="586" spans="4:17" x14ac:dyDescent="0.25">
      <c r="D586" s="146" t="s">
        <v>5049</v>
      </c>
      <c r="E586" s="145" t="s">
        <v>5029</v>
      </c>
      <c r="F586" s="146"/>
      <c r="G586" s="145"/>
      <c r="H586" s="146"/>
      <c r="I586" s="146"/>
      <c r="J586" s="145" t="str">
        <f t="shared" si="10"/>
        <v/>
      </c>
      <c r="K586" s="151"/>
      <c r="L586" s="152"/>
      <c r="M586" s="153"/>
      <c r="N586" s="146"/>
      <c r="O586" s="146"/>
      <c r="P586" s="146"/>
      <c r="Q586" s="145" t="s">
        <v>5050</v>
      </c>
    </row>
    <row r="587" spans="4:17" x14ac:dyDescent="0.25">
      <c r="D587" s="146" t="s">
        <v>5051</v>
      </c>
      <c r="E587" s="145" t="s">
        <v>5029</v>
      </c>
      <c r="F587" s="146"/>
      <c r="G587" s="145"/>
      <c r="H587" s="146"/>
      <c r="I587" s="146"/>
      <c r="J587" s="145" t="str">
        <f t="shared" si="10"/>
        <v/>
      </c>
      <c r="K587" s="151"/>
      <c r="L587" s="152"/>
      <c r="M587" s="153"/>
      <c r="N587" s="146"/>
      <c r="O587" s="146"/>
      <c r="P587" s="146"/>
      <c r="Q587" s="145" t="s">
        <v>5052</v>
      </c>
    </row>
    <row r="588" spans="4:17" x14ac:dyDescent="0.25">
      <c r="D588" s="146" t="s">
        <v>5053</v>
      </c>
      <c r="E588" s="145" t="s">
        <v>5029</v>
      </c>
      <c r="F588" s="146"/>
      <c r="G588" s="145"/>
      <c r="H588" s="146"/>
      <c r="I588" s="146"/>
      <c r="J588" s="145" t="str">
        <f t="shared" si="10"/>
        <v/>
      </c>
      <c r="K588" s="151"/>
      <c r="L588" s="152"/>
      <c r="M588" s="153"/>
      <c r="N588" s="146"/>
      <c r="O588" s="146"/>
      <c r="P588" s="146"/>
      <c r="Q588" s="145" t="s">
        <v>5054</v>
      </c>
    </row>
    <row r="589" spans="4:17" x14ac:dyDescent="0.25">
      <c r="D589" s="146" t="s">
        <v>5055</v>
      </c>
      <c r="E589" s="145" t="s">
        <v>5029</v>
      </c>
      <c r="F589" s="146"/>
      <c r="G589" s="145"/>
      <c r="H589" s="146"/>
      <c r="I589" s="146"/>
      <c r="J589" s="145" t="str">
        <f t="shared" si="10"/>
        <v/>
      </c>
      <c r="K589" s="151"/>
      <c r="L589" s="152"/>
      <c r="M589" s="153"/>
      <c r="N589" s="146"/>
      <c r="O589" s="146"/>
      <c r="P589" s="146"/>
      <c r="Q589" s="145" t="s">
        <v>5056</v>
      </c>
    </row>
    <row r="590" spans="4:17" x14ac:dyDescent="0.25">
      <c r="D590" s="146" t="s">
        <v>5057</v>
      </c>
      <c r="E590" s="145" t="s">
        <v>5029</v>
      </c>
      <c r="F590" s="146"/>
      <c r="G590" s="145"/>
      <c r="H590" s="146"/>
      <c r="I590" s="146"/>
      <c r="J590" s="145" t="str">
        <f t="shared" si="10"/>
        <v/>
      </c>
      <c r="K590" s="151"/>
      <c r="L590" s="152"/>
      <c r="M590" s="153"/>
      <c r="N590" s="146"/>
      <c r="O590" s="146"/>
      <c r="P590" s="146"/>
      <c r="Q590" s="145" t="s">
        <v>5058</v>
      </c>
    </row>
    <row r="591" spans="4:17" x14ac:dyDescent="0.25">
      <c r="D591" s="146" t="s">
        <v>5059</v>
      </c>
      <c r="E591" s="145" t="s">
        <v>5029</v>
      </c>
      <c r="F591" s="146"/>
      <c r="G591" s="145"/>
      <c r="H591" s="146"/>
      <c r="I591" s="146"/>
      <c r="J591" s="145" t="str">
        <f t="shared" si="10"/>
        <v/>
      </c>
      <c r="K591" s="151"/>
      <c r="L591" s="152"/>
      <c r="M591" s="153"/>
      <c r="N591" s="146"/>
      <c r="O591" s="146"/>
      <c r="P591" s="146"/>
      <c r="Q591" s="145" t="s">
        <v>5060</v>
      </c>
    </row>
    <row r="592" spans="4:17" x14ac:dyDescent="0.25">
      <c r="D592" s="146" t="s">
        <v>5061</v>
      </c>
      <c r="E592" s="145" t="s">
        <v>5029</v>
      </c>
      <c r="F592" s="146"/>
      <c r="G592" s="145"/>
      <c r="H592" s="146"/>
      <c r="I592" s="146"/>
      <c r="J592" s="145" t="str">
        <f t="shared" si="10"/>
        <v/>
      </c>
      <c r="K592" s="151"/>
      <c r="L592" s="152"/>
      <c r="M592" s="153"/>
      <c r="N592" s="146"/>
      <c r="O592" s="146"/>
      <c r="P592" s="146"/>
      <c r="Q592" s="145" t="s">
        <v>5062</v>
      </c>
    </row>
    <row r="593" spans="4:17" x14ac:dyDescent="0.25">
      <c r="D593" s="146" t="s">
        <v>5063</v>
      </c>
      <c r="E593" s="145" t="s">
        <v>5029</v>
      </c>
      <c r="F593" s="146"/>
      <c r="G593" s="145"/>
      <c r="H593" s="146"/>
      <c r="I593" s="146"/>
      <c r="J593" s="145" t="str">
        <f t="shared" si="10"/>
        <v/>
      </c>
      <c r="K593" s="151"/>
      <c r="L593" s="152"/>
      <c r="M593" s="153"/>
      <c r="N593" s="146"/>
      <c r="O593" s="146"/>
      <c r="P593" s="146"/>
      <c r="Q593" s="145" t="s">
        <v>5064</v>
      </c>
    </row>
    <row r="594" spans="4:17" x14ac:dyDescent="0.25">
      <c r="D594" s="146" t="s">
        <v>5065</v>
      </c>
      <c r="E594" s="145" t="s">
        <v>5029</v>
      </c>
      <c r="F594" s="146"/>
      <c r="G594" s="145"/>
      <c r="H594" s="146"/>
      <c r="I594" s="146"/>
      <c r="J594" s="145" t="str">
        <f t="shared" si="10"/>
        <v/>
      </c>
      <c r="K594" s="151"/>
      <c r="L594" s="152"/>
      <c r="M594" s="153"/>
      <c r="N594" s="146"/>
      <c r="O594" s="146"/>
      <c r="P594" s="146"/>
      <c r="Q594" s="145" t="s">
        <v>5066</v>
      </c>
    </row>
    <row r="595" spans="4:17" x14ac:dyDescent="0.25">
      <c r="D595" s="146" t="s">
        <v>5067</v>
      </c>
      <c r="E595" s="145" t="s">
        <v>5029</v>
      </c>
      <c r="F595" s="146"/>
      <c r="G595" s="145"/>
      <c r="H595" s="146"/>
      <c r="I595" s="146"/>
      <c r="J595" s="145" t="str">
        <f t="shared" si="10"/>
        <v/>
      </c>
      <c r="K595" s="151"/>
      <c r="L595" s="152"/>
      <c r="M595" s="153"/>
      <c r="N595" s="146"/>
      <c r="O595" s="146"/>
      <c r="P595" s="146"/>
      <c r="Q595" s="145" t="s">
        <v>5068</v>
      </c>
    </row>
    <row r="596" spans="4:17" x14ac:dyDescent="0.25">
      <c r="D596" s="146" t="s">
        <v>5069</v>
      </c>
      <c r="E596" s="145" t="s">
        <v>5070</v>
      </c>
      <c r="F596" s="146"/>
      <c r="G596" s="145"/>
      <c r="H596" s="146"/>
      <c r="I596" s="146"/>
      <c r="J596" s="145" t="str">
        <f t="shared" si="10"/>
        <v/>
      </c>
      <c r="K596" s="151"/>
      <c r="L596" s="152"/>
      <c r="M596" s="153"/>
      <c r="N596" s="146"/>
      <c r="O596" s="146"/>
      <c r="P596" s="146"/>
      <c r="Q596" s="145" t="s">
        <v>5071</v>
      </c>
    </row>
    <row r="597" spans="4:17" x14ac:dyDescent="0.25">
      <c r="D597" s="146" t="s">
        <v>5072</v>
      </c>
      <c r="E597" s="145" t="s">
        <v>5070</v>
      </c>
      <c r="F597" s="146"/>
      <c r="G597" s="145"/>
      <c r="H597" s="146"/>
      <c r="I597" s="146"/>
      <c r="J597" s="145" t="str">
        <f t="shared" si="10"/>
        <v/>
      </c>
      <c r="K597" s="151"/>
      <c r="L597" s="152"/>
      <c r="M597" s="153"/>
      <c r="N597" s="146"/>
      <c r="O597" s="146"/>
      <c r="P597" s="146"/>
      <c r="Q597" s="145" t="s">
        <v>5073</v>
      </c>
    </row>
    <row r="598" spans="4:17" x14ac:dyDescent="0.25">
      <c r="D598" s="146" t="s">
        <v>5074</v>
      </c>
      <c r="E598" s="145" t="s">
        <v>5070</v>
      </c>
      <c r="F598" s="146"/>
      <c r="G598" s="145"/>
      <c r="H598" s="146"/>
      <c r="I598" s="146"/>
      <c r="J598" s="145" t="str">
        <f t="shared" si="10"/>
        <v/>
      </c>
      <c r="K598" s="151"/>
      <c r="L598" s="152"/>
      <c r="M598" s="153"/>
      <c r="N598" s="146"/>
      <c r="O598" s="146"/>
      <c r="P598" s="146"/>
      <c r="Q598" s="145" t="s">
        <v>5075</v>
      </c>
    </row>
    <row r="599" spans="4:17" x14ac:dyDescent="0.25">
      <c r="D599" s="146" t="s">
        <v>5076</v>
      </c>
      <c r="E599" s="145" t="s">
        <v>5070</v>
      </c>
      <c r="F599" s="146"/>
      <c r="G599" s="145"/>
      <c r="H599" s="146"/>
      <c r="I599" s="146"/>
      <c r="J599" s="145" t="str">
        <f t="shared" si="10"/>
        <v/>
      </c>
      <c r="K599" s="151"/>
      <c r="L599" s="152"/>
      <c r="M599" s="153"/>
      <c r="N599" s="146"/>
      <c r="O599" s="146"/>
      <c r="P599" s="146"/>
      <c r="Q599" s="145" t="s">
        <v>5077</v>
      </c>
    </row>
    <row r="600" spans="4:17" x14ac:dyDescent="0.25">
      <c r="D600" s="146" t="s">
        <v>5078</v>
      </c>
      <c r="E600" s="145" t="s">
        <v>5070</v>
      </c>
      <c r="F600" s="146"/>
      <c r="G600" s="145"/>
      <c r="H600" s="146"/>
      <c r="I600" s="146"/>
      <c r="J600" s="145" t="str">
        <f t="shared" si="10"/>
        <v/>
      </c>
      <c r="K600" s="151"/>
      <c r="L600" s="152"/>
      <c r="M600" s="153"/>
      <c r="N600" s="146"/>
      <c r="O600" s="146"/>
      <c r="P600" s="146"/>
      <c r="Q600" s="145" t="s">
        <v>5079</v>
      </c>
    </row>
    <row r="601" spans="4:17" x14ac:dyDescent="0.25">
      <c r="D601" s="146" t="s">
        <v>5080</v>
      </c>
      <c r="E601" s="145" t="s">
        <v>5070</v>
      </c>
      <c r="F601" s="146"/>
      <c r="G601" s="145"/>
      <c r="H601" s="146"/>
      <c r="I601" s="146"/>
      <c r="J601" s="145" t="str">
        <f t="shared" si="10"/>
        <v/>
      </c>
      <c r="K601" s="151"/>
      <c r="L601" s="152"/>
      <c r="M601" s="153"/>
      <c r="N601" s="146"/>
      <c r="O601" s="146"/>
      <c r="P601" s="146"/>
      <c r="Q601" s="145" t="s">
        <v>5081</v>
      </c>
    </row>
    <row r="602" spans="4:17" x14ac:dyDescent="0.25">
      <c r="D602" s="146" t="s">
        <v>5082</v>
      </c>
      <c r="E602" s="145" t="s">
        <v>5070</v>
      </c>
      <c r="F602" s="146"/>
      <c r="G602" s="145"/>
      <c r="H602" s="146"/>
      <c r="I602" s="146"/>
      <c r="J602" s="145" t="str">
        <f t="shared" si="10"/>
        <v/>
      </c>
      <c r="K602" s="151"/>
      <c r="L602" s="152"/>
      <c r="M602" s="153"/>
      <c r="N602" s="146"/>
      <c r="O602" s="146"/>
      <c r="P602" s="146"/>
      <c r="Q602" s="145" t="s">
        <v>5083</v>
      </c>
    </row>
    <row r="603" spans="4:17" x14ac:dyDescent="0.25">
      <c r="D603" s="146" t="s">
        <v>5084</v>
      </c>
      <c r="E603" s="145" t="s">
        <v>5070</v>
      </c>
      <c r="F603" s="146"/>
      <c r="G603" s="145"/>
      <c r="H603" s="146"/>
      <c r="I603" s="146"/>
      <c r="J603" s="145" t="str">
        <f t="shared" si="10"/>
        <v/>
      </c>
      <c r="K603" s="151"/>
      <c r="L603" s="152"/>
      <c r="M603" s="153"/>
      <c r="N603" s="146"/>
      <c r="O603" s="146"/>
      <c r="P603" s="146"/>
      <c r="Q603" s="145" t="s">
        <v>5085</v>
      </c>
    </row>
    <row r="604" spans="4:17" x14ac:dyDescent="0.25">
      <c r="D604" s="146" t="s">
        <v>5086</v>
      </c>
      <c r="E604" s="145" t="s">
        <v>5070</v>
      </c>
      <c r="F604" s="146"/>
      <c r="G604" s="145"/>
      <c r="H604" s="146"/>
      <c r="I604" s="146"/>
      <c r="J604" s="145" t="str">
        <f t="shared" si="10"/>
        <v/>
      </c>
      <c r="K604" s="151"/>
      <c r="L604" s="152"/>
      <c r="M604" s="153"/>
      <c r="N604" s="146"/>
      <c r="O604" s="146"/>
      <c r="P604" s="146"/>
      <c r="Q604" s="145" t="s">
        <v>5087</v>
      </c>
    </row>
    <row r="605" spans="4:17" x14ac:dyDescent="0.25">
      <c r="D605" s="146" t="s">
        <v>5088</v>
      </c>
      <c r="E605" s="145" t="s">
        <v>5070</v>
      </c>
      <c r="F605" s="146"/>
      <c r="G605" s="145"/>
      <c r="H605" s="146"/>
      <c r="I605" s="146"/>
      <c r="J605" s="145" t="str">
        <f t="shared" si="10"/>
        <v/>
      </c>
      <c r="K605" s="151"/>
      <c r="L605" s="152"/>
      <c r="M605" s="153"/>
      <c r="N605" s="146"/>
      <c r="O605" s="146"/>
      <c r="P605" s="146"/>
      <c r="Q605" s="145" t="s">
        <v>5089</v>
      </c>
    </row>
    <row r="606" spans="4:17" x14ac:dyDescent="0.25">
      <c r="D606" s="146" t="s">
        <v>5090</v>
      </c>
      <c r="E606" s="145" t="s">
        <v>5070</v>
      </c>
      <c r="F606" s="146"/>
      <c r="G606" s="145"/>
      <c r="H606" s="146"/>
      <c r="I606" s="146"/>
      <c r="J606" s="145" t="str">
        <f t="shared" si="10"/>
        <v/>
      </c>
      <c r="K606" s="151"/>
      <c r="L606" s="152"/>
      <c r="M606" s="153"/>
      <c r="N606" s="146"/>
      <c r="O606" s="146"/>
      <c r="P606" s="146"/>
      <c r="Q606" s="145" t="s">
        <v>5091</v>
      </c>
    </row>
    <row r="607" spans="4:17" x14ac:dyDescent="0.25">
      <c r="D607" s="146" t="s">
        <v>5092</v>
      </c>
      <c r="E607" s="145" t="s">
        <v>5070</v>
      </c>
      <c r="F607" s="146"/>
      <c r="G607" s="145"/>
      <c r="H607" s="146"/>
      <c r="I607" s="146"/>
      <c r="J607" s="145" t="str">
        <f t="shared" si="10"/>
        <v/>
      </c>
      <c r="K607" s="151"/>
      <c r="L607" s="152"/>
      <c r="M607" s="153"/>
      <c r="N607" s="146"/>
      <c r="O607" s="146"/>
      <c r="P607" s="146"/>
      <c r="Q607" s="145" t="s">
        <v>5093</v>
      </c>
    </row>
    <row r="608" spans="4:17" x14ac:dyDescent="0.25">
      <c r="D608" s="146" t="s">
        <v>5094</v>
      </c>
      <c r="E608" s="145" t="s">
        <v>5070</v>
      </c>
      <c r="F608" s="146"/>
      <c r="G608" s="145"/>
      <c r="H608" s="146"/>
      <c r="I608" s="146"/>
      <c r="J608" s="145" t="str">
        <f t="shared" si="10"/>
        <v/>
      </c>
      <c r="K608" s="151"/>
      <c r="L608" s="152"/>
      <c r="M608" s="153"/>
      <c r="N608" s="146"/>
      <c r="O608" s="146"/>
      <c r="P608" s="146"/>
      <c r="Q608" s="145" t="s">
        <v>5095</v>
      </c>
    </row>
    <row r="609" spans="4:17" x14ac:dyDescent="0.25">
      <c r="D609" s="146" t="s">
        <v>5096</v>
      </c>
      <c r="E609" s="145" t="s">
        <v>5070</v>
      </c>
      <c r="F609" s="146"/>
      <c r="G609" s="145"/>
      <c r="H609" s="146"/>
      <c r="I609" s="146"/>
      <c r="J609" s="145" t="str">
        <f t="shared" si="10"/>
        <v/>
      </c>
      <c r="K609" s="151"/>
      <c r="L609" s="152"/>
      <c r="M609" s="153"/>
      <c r="N609" s="146"/>
      <c r="O609" s="146"/>
      <c r="P609" s="146"/>
      <c r="Q609" s="145" t="s">
        <v>5097</v>
      </c>
    </row>
    <row r="610" spans="4:17" x14ac:dyDescent="0.25">
      <c r="D610" s="146" t="s">
        <v>5098</v>
      </c>
      <c r="E610" s="145" t="s">
        <v>5070</v>
      </c>
      <c r="F610" s="146"/>
      <c r="G610" s="145"/>
      <c r="H610" s="146"/>
      <c r="I610" s="146"/>
      <c r="J610" s="145" t="str">
        <f t="shared" si="10"/>
        <v/>
      </c>
      <c r="K610" s="151"/>
      <c r="L610" s="152"/>
      <c r="M610" s="153"/>
      <c r="N610" s="146"/>
      <c r="O610" s="146"/>
      <c r="P610" s="146"/>
      <c r="Q610" s="145" t="s">
        <v>5099</v>
      </c>
    </row>
    <row r="611" spans="4:17" x14ac:dyDescent="0.25">
      <c r="D611" s="146" t="s">
        <v>5100</v>
      </c>
      <c r="E611" s="145" t="s">
        <v>5070</v>
      </c>
      <c r="F611" s="146"/>
      <c r="G611" s="145"/>
      <c r="H611" s="146"/>
      <c r="I611" s="146"/>
      <c r="J611" s="145" t="str">
        <f t="shared" si="10"/>
        <v/>
      </c>
      <c r="K611" s="151"/>
      <c r="L611" s="152"/>
      <c r="M611" s="153"/>
      <c r="N611" s="146"/>
      <c r="O611" s="146"/>
      <c r="P611" s="146"/>
      <c r="Q611" s="145" t="s">
        <v>5101</v>
      </c>
    </row>
    <row r="612" spans="4:17" x14ac:dyDescent="0.25">
      <c r="D612" s="146" t="s">
        <v>5102</v>
      </c>
      <c r="E612" s="145" t="s">
        <v>5070</v>
      </c>
      <c r="F612" s="146"/>
      <c r="G612" s="145"/>
      <c r="H612" s="146"/>
      <c r="I612" s="146"/>
      <c r="J612" s="145" t="str">
        <f t="shared" si="10"/>
        <v/>
      </c>
      <c r="K612" s="151"/>
      <c r="L612" s="152"/>
      <c r="M612" s="153"/>
      <c r="N612" s="146"/>
      <c r="O612" s="146"/>
      <c r="P612" s="146"/>
      <c r="Q612" s="145" t="s">
        <v>5103</v>
      </c>
    </row>
    <row r="613" spans="4:17" x14ac:dyDescent="0.25">
      <c r="D613" s="146" t="s">
        <v>5104</v>
      </c>
      <c r="E613" s="145" t="s">
        <v>5070</v>
      </c>
      <c r="F613" s="146"/>
      <c r="G613" s="145"/>
      <c r="H613" s="146"/>
      <c r="I613" s="146"/>
      <c r="J613" s="145" t="str">
        <f t="shared" si="10"/>
        <v/>
      </c>
      <c r="K613" s="151"/>
      <c r="L613" s="152"/>
      <c r="M613" s="153"/>
      <c r="N613" s="146"/>
      <c r="O613" s="146"/>
      <c r="P613" s="146"/>
      <c r="Q613" s="145" t="s">
        <v>5105</v>
      </c>
    </row>
    <row r="614" spans="4:17" x14ac:dyDescent="0.25">
      <c r="D614" s="146" t="s">
        <v>5106</v>
      </c>
      <c r="E614" s="145" t="s">
        <v>5070</v>
      </c>
      <c r="F614" s="146"/>
      <c r="G614" s="145"/>
      <c r="H614" s="146"/>
      <c r="I614" s="146"/>
      <c r="J614" s="145" t="str">
        <f t="shared" si="10"/>
        <v/>
      </c>
      <c r="K614" s="151"/>
      <c r="L614" s="152"/>
      <c r="M614" s="153"/>
      <c r="N614" s="146"/>
      <c r="O614" s="146"/>
      <c r="P614" s="146"/>
      <c r="Q614" s="145" t="s">
        <v>5107</v>
      </c>
    </row>
    <row r="615" spans="4:17" x14ac:dyDescent="0.25">
      <c r="D615" s="146" t="s">
        <v>5108</v>
      </c>
      <c r="E615" s="145" t="s">
        <v>5070</v>
      </c>
      <c r="F615" s="146"/>
      <c r="G615" s="145"/>
      <c r="H615" s="146"/>
      <c r="I615" s="146"/>
      <c r="J615" s="145" t="str">
        <f t="shared" si="10"/>
        <v/>
      </c>
      <c r="K615" s="151"/>
      <c r="L615" s="152"/>
      <c r="M615" s="153"/>
      <c r="N615" s="146"/>
      <c r="O615" s="146"/>
      <c r="P615" s="146"/>
      <c r="Q615" s="145" t="s">
        <v>5109</v>
      </c>
    </row>
    <row r="616" spans="4:17" x14ac:dyDescent="0.25">
      <c r="D616" s="146" t="s">
        <v>5110</v>
      </c>
      <c r="E616" s="145" t="s">
        <v>5111</v>
      </c>
      <c r="F616" s="146"/>
      <c r="G616" s="145"/>
      <c r="H616" s="146"/>
      <c r="I616" s="146"/>
      <c r="J616" s="145" t="str">
        <f t="shared" si="10"/>
        <v/>
      </c>
      <c r="K616" s="151"/>
      <c r="L616" s="152"/>
      <c r="M616" s="153"/>
      <c r="N616" s="146"/>
      <c r="O616" s="146"/>
      <c r="P616" s="146"/>
      <c r="Q616" s="145" t="s">
        <v>5112</v>
      </c>
    </row>
    <row r="617" spans="4:17" x14ac:dyDescent="0.25">
      <c r="D617" s="146" t="s">
        <v>5113</v>
      </c>
      <c r="E617" s="145" t="s">
        <v>5111</v>
      </c>
      <c r="F617" s="146"/>
      <c r="G617" s="145"/>
      <c r="H617" s="146"/>
      <c r="I617" s="146"/>
      <c r="J617" s="145" t="str">
        <f t="shared" si="10"/>
        <v/>
      </c>
      <c r="K617" s="151"/>
      <c r="L617" s="152"/>
      <c r="M617" s="153"/>
      <c r="N617" s="146"/>
      <c r="O617" s="146"/>
      <c r="P617" s="146"/>
      <c r="Q617" s="145" t="s">
        <v>5114</v>
      </c>
    </row>
    <row r="618" spans="4:17" x14ac:dyDescent="0.25">
      <c r="D618" s="146" t="s">
        <v>5115</v>
      </c>
      <c r="E618" s="145" t="s">
        <v>5111</v>
      </c>
      <c r="F618" s="146"/>
      <c r="G618" s="145"/>
      <c r="H618" s="146"/>
      <c r="I618" s="146"/>
      <c r="J618" s="145" t="str">
        <f t="shared" si="10"/>
        <v/>
      </c>
      <c r="K618" s="151"/>
      <c r="L618" s="152"/>
      <c r="M618" s="153"/>
      <c r="N618" s="146"/>
      <c r="O618" s="146"/>
      <c r="P618" s="146"/>
      <c r="Q618" s="145" t="s">
        <v>5116</v>
      </c>
    </row>
    <row r="619" spans="4:17" x14ac:dyDescent="0.25">
      <c r="D619" s="146" t="s">
        <v>5117</v>
      </c>
      <c r="E619" s="145" t="s">
        <v>5111</v>
      </c>
      <c r="F619" s="146"/>
      <c r="G619" s="145"/>
      <c r="H619" s="146"/>
      <c r="I619" s="146"/>
      <c r="J619" s="145" t="str">
        <f t="shared" si="10"/>
        <v/>
      </c>
      <c r="K619" s="151"/>
      <c r="L619" s="152"/>
      <c r="M619" s="153"/>
      <c r="N619" s="146"/>
      <c r="O619" s="146"/>
      <c r="P619" s="146"/>
      <c r="Q619" s="145" t="s">
        <v>5118</v>
      </c>
    </row>
    <row r="620" spans="4:17" x14ac:dyDescent="0.25">
      <c r="D620" s="146" t="s">
        <v>5119</v>
      </c>
      <c r="E620" s="145" t="s">
        <v>5111</v>
      </c>
      <c r="F620" s="146"/>
      <c r="G620" s="145"/>
      <c r="H620" s="146"/>
      <c r="I620" s="146"/>
      <c r="J620" s="145" t="str">
        <f t="shared" si="10"/>
        <v/>
      </c>
      <c r="K620" s="151"/>
      <c r="L620" s="152"/>
      <c r="M620" s="153"/>
      <c r="N620" s="146"/>
      <c r="O620" s="146"/>
      <c r="P620" s="146"/>
      <c r="Q620" s="145" t="s">
        <v>5120</v>
      </c>
    </row>
    <row r="621" spans="4:17" x14ac:dyDescent="0.25">
      <c r="D621" s="146" t="s">
        <v>5121</v>
      </c>
      <c r="E621" s="145" t="s">
        <v>5111</v>
      </c>
      <c r="F621" s="146"/>
      <c r="G621" s="145"/>
      <c r="H621" s="146"/>
      <c r="I621" s="146"/>
      <c r="J621" s="145" t="str">
        <f t="shared" si="10"/>
        <v/>
      </c>
      <c r="K621" s="151"/>
      <c r="L621" s="152"/>
      <c r="M621" s="153"/>
      <c r="N621" s="146"/>
      <c r="O621" s="146"/>
      <c r="P621" s="146"/>
      <c r="Q621" s="145" t="s">
        <v>5122</v>
      </c>
    </row>
    <row r="622" spans="4:17" x14ac:dyDescent="0.25">
      <c r="D622" s="146" t="s">
        <v>5123</v>
      </c>
      <c r="E622" s="145" t="s">
        <v>5111</v>
      </c>
      <c r="F622" s="146"/>
      <c r="G622" s="145"/>
      <c r="H622" s="146"/>
      <c r="I622" s="146"/>
      <c r="J622" s="145" t="str">
        <f t="shared" si="10"/>
        <v/>
      </c>
      <c r="K622" s="151"/>
      <c r="L622" s="152"/>
      <c r="M622" s="153"/>
      <c r="N622" s="146"/>
      <c r="O622" s="146"/>
      <c r="P622" s="146"/>
      <c r="Q622" s="145" t="s">
        <v>5124</v>
      </c>
    </row>
    <row r="623" spans="4:17" x14ac:dyDescent="0.25">
      <c r="D623" s="146" t="s">
        <v>5125</v>
      </c>
      <c r="E623" s="145" t="s">
        <v>5111</v>
      </c>
      <c r="F623" s="146"/>
      <c r="G623" s="145"/>
      <c r="H623" s="146"/>
      <c r="I623" s="146"/>
      <c r="J623" s="145" t="str">
        <f t="shared" si="10"/>
        <v/>
      </c>
      <c r="K623" s="151"/>
      <c r="L623" s="152"/>
      <c r="M623" s="153"/>
      <c r="N623" s="146"/>
      <c r="O623" s="146"/>
      <c r="P623" s="146"/>
      <c r="Q623" s="145" t="s">
        <v>5126</v>
      </c>
    </row>
    <row r="624" spans="4:17" x14ac:dyDescent="0.25">
      <c r="D624" s="146" t="s">
        <v>5127</v>
      </c>
      <c r="E624" s="145" t="s">
        <v>5111</v>
      </c>
      <c r="F624" s="146"/>
      <c r="G624" s="145"/>
      <c r="H624" s="146"/>
      <c r="I624" s="146"/>
      <c r="J624" s="145" t="str">
        <f t="shared" si="10"/>
        <v/>
      </c>
      <c r="K624" s="151"/>
      <c r="L624" s="152"/>
      <c r="M624" s="153"/>
      <c r="N624" s="146"/>
      <c r="O624" s="146"/>
      <c r="P624" s="146"/>
      <c r="Q624" s="145" t="s">
        <v>5128</v>
      </c>
    </row>
    <row r="625" spans="4:17" x14ac:dyDescent="0.25">
      <c r="D625" s="146" t="s">
        <v>5129</v>
      </c>
      <c r="E625" s="145" t="s">
        <v>5111</v>
      </c>
      <c r="F625" s="146"/>
      <c r="G625" s="145"/>
      <c r="H625" s="146"/>
      <c r="I625" s="146"/>
      <c r="J625" s="145" t="str">
        <f t="shared" si="10"/>
        <v/>
      </c>
      <c r="K625" s="151"/>
      <c r="L625" s="152"/>
      <c r="M625" s="153"/>
      <c r="N625" s="146"/>
      <c r="O625" s="146"/>
      <c r="P625" s="146"/>
      <c r="Q625" s="145" t="s">
        <v>5130</v>
      </c>
    </row>
    <row r="626" spans="4:17" x14ac:dyDescent="0.25">
      <c r="D626" s="146" t="s">
        <v>5131</v>
      </c>
      <c r="E626" s="145" t="s">
        <v>5111</v>
      </c>
      <c r="F626" s="146"/>
      <c r="G626" s="145"/>
      <c r="H626" s="146"/>
      <c r="I626" s="146"/>
      <c r="J626" s="145" t="str">
        <f t="shared" si="10"/>
        <v/>
      </c>
      <c r="K626" s="151"/>
      <c r="L626" s="152"/>
      <c r="M626" s="153"/>
      <c r="N626" s="146"/>
      <c r="O626" s="146"/>
      <c r="P626" s="146"/>
      <c r="Q626" s="145" t="s">
        <v>5132</v>
      </c>
    </row>
    <row r="627" spans="4:17" x14ac:dyDescent="0.25">
      <c r="D627" s="146" t="s">
        <v>5133</v>
      </c>
      <c r="E627" s="145" t="s">
        <v>5111</v>
      </c>
      <c r="F627" s="146"/>
      <c r="G627" s="145"/>
      <c r="H627" s="146"/>
      <c r="I627" s="146"/>
      <c r="J627" s="145" t="str">
        <f t="shared" si="10"/>
        <v/>
      </c>
      <c r="K627" s="151"/>
      <c r="L627" s="152"/>
      <c r="M627" s="153"/>
      <c r="N627" s="146"/>
      <c r="O627" s="146"/>
      <c r="P627" s="146"/>
      <c r="Q627" s="145" t="s">
        <v>5134</v>
      </c>
    </row>
    <row r="628" spans="4:17" x14ac:dyDescent="0.25">
      <c r="D628" s="146" t="s">
        <v>5135</v>
      </c>
      <c r="E628" s="145" t="s">
        <v>5111</v>
      </c>
      <c r="F628" s="146"/>
      <c r="G628" s="145"/>
      <c r="H628" s="146"/>
      <c r="I628" s="146"/>
      <c r="J628" s="145" t="str">
        <f t="shared" si="10"/>
        <v/>
      </c>
      <c r="K628" s="151"/>
      <c r="L628" s="152"/>
      <c r="M628" s="153"/>
      <c r="N628" s="146"/>
      <c r="O628" s="146"/>
      <c r="P628" s="146"/>
      <c r="Q628" s="145" t="s">
        <v>5136</v>
      </c>
    </row>
    <row r="629" spans="4:17" x14ac:dyDescent="0.25">
      <c r="D629" s="146" t="s">
        <v>5137</v>
      </c>
      <c r="E629" s="145" t="s">
        <v>5111</v>
      </c>
      <c r="F629" s="146"/>
      <c r="G629" s="145"/>
      <c r="H629" s="146"/>
      <c r="I629" s="146"/>
      <c r="J629" s="145" t="str">
        <f t="shared" si="10"/>
        <v/>
      </c>
      <c r="K629" s="151"/>
      <c r="L629" s="152"/>
      <c r="M629" s="153"/>
      <c r="N629" s="146"/>
      <c r="O629" s="146"/>
      <c r="P629" s="146"/>
      <c r="Q629" s="145" t="s">
        <v>5138</v>
      </c>
    </row>
    <row r="630" spans="4:17" x14ac:dyDescent="0.25">
      <c r="D630" s="146" t="s">
        <v>5139</v>
      </c>
      <c r="E630" s="145" t="s">
        <v>5111</v>
      </c>
      <c r="F630" s="146"/>
      <c r="G630" s="145"/>
      <c r="H630" s="146"/>
      <c r="I630" s="146"/>
      <c r="J630" s="145" t="str">
        <f t="shared" si="10"/>
        <v/>
      </c>
      <c r="K630" s="151"/>
      <c r="L630" s="152"/>
      <c r="M630" s="153"/>
      <c r="N630" s="146"/>
      <c r="O630" s="146"/>
      <c r="P630" s="146"/>
      <c r="Q630" s="145" t="s">
        <v>5140</v>
      </c>
    </row>
    <row r="631" spans="4:17" x14ac:dyDescent="0.25">
      <c r="D631" s="146" t="s">
        <v>5141</v>
      </c>
      <c r="E631" s="145" t="s">
        <v>5111</v>
      </c>
      <c r="F631" s="146"/>
      <c r="G631" s="145"/>
      <c r="H631" s="146"/>
      <c r="I631" s="146"/>
      <c r="J631" s="145" t="str">
        <f t="shared" si="10"/>
        <v/>
      </c>
      <c r="K631" s="151"/>
      <c r="L631" s="152"/>
      <c r="M631" s="153"/>
      <c r="N631" s="146"/>
      <c r="O631" s="146"/>
      <c r="P631" s="146"/>
      <c r="Q631" s="145" t="s">
        <v>5142</v>
      </c>
    </row>
    <row r="632" spans="4:17" x14ac:dyDescent="0.25">
      <c r="D632" s="146" t="s">
        <v>5143</v>
      </c>
      <c r="E632" s="145" t="s">
        <v>5111</v>
      </c>
      <c r="F632" s="146"/>
      <c r="G632" s="145"/>
      <c r="H632" s="146"/>
      <c r="I632" s="146"/>
      <c r="J632" s="145" t="str">
        <f t="shared" si="10"/>
        <v/>
      </c>
      <c r="K632" s="151"/>
      <c r="L632" s="152"/>
      <c r="M632" s="153"/>
      <c r="N632" s="146"/>
      <c r="O632" s="146"/>
      <c r="P632" s="146"/>
      <c r="Q632" s="145" t="s">
        <v>5144</v>
      </c>
    </row>
    <row r="633" spans="4:17" x14ac:dyDescent="0.25">
      <c r="D633" s="146" t="s">
        <v>5145</v>
      </c>
      <c r="E633" s="145" t="s">
        <v>5111</v>
      </c>
      <c r="F633" s="146"/>
      <c r="G633" s="145"/>
      <c r="H633" s="146"/>
      <c r="I633" s="146"/>
      <c r="J633" s="145" t="str">
        <f t="shared" si="10"/>
        <v/>
      </c>
      <c r="K633" s="151"/>
      <c r="L633" s="152"/>
      <c r="M633" s="153"/>
      <c r="N633" s="146"/>
      <c r="O633" s="146"/>
      <c r="P633" s="146"/>
      <c r="Q633" s="145" t="s">
        <v>5146</v>
      </c>
    </row>
    <row r="634" spans="4:17" x14ac:dyDescent="0.25">
      <c r="D634" s="146" t="s">
        <v>5147</v>
      </c>
      <c r="E634" s="145" t="s">
        <v>5111</v>
      </c>
      <c r="F634" s="146"/>
      <c r="G634" s="145"/>
      <c r="H634" s="146"/>
      <c r="I634" s="146"/>
      <c r="J634" s="145" t="str">
        <f t="shared" si="10"/>
        <v/>
      </c>
      <c r="K634" s="151"/>
      <c r="L634" s="152"/>
      <c r="M634" s="153"/>
      <c r="N634" s="146"/>
      <c r="O634" s="146"/>
      <c r="P634" s="146"/>
      <c r="Q634" s="145" t="s">
        <v>5148</v>
      </c>
    </row>
    <row r="635" spans="4:17" x14ac:dyDescent="0.25">
      <c r="D635" s="146" t="s">
        <v>5149</v>
      </c>
      <c r="E635" s="145" t="s">
        <v>5111</v>
      </c>
      <c r="F635" s="146"/>
      <c r="G635" s="145"/>
      <c r="H635" s="146"/>
      <c r="I635" s="146"/>
      <c r="J635" s="145" t="str">
        <f t="shared" si="10"/>
        <v/>
      </c>
      <c r="K635" s="151"/>
      <c r="L635" s="152"/>
      <c r="M635" s="153"/>
      <c r="N635" s="146"/>
      <c r="O635" s="146"/>
      <c r="P635" s="146"/>
      <c r="Q635" s="145" t="s">
        <v>5150</v>
      </c>
    </row>
    <row r="636" spans="4:17" x14ac:dyDescent="0.25">
      <c r="D636" s="146" t="s">
        <v>5151</v>
      </c>
      <c r="E636" s="145" t="s">
        <v>5152</v>
      </c>
      <c r="F636" s="146"/>
      <c r="G636" s="145"/>
      <c r="H636" s="146"/>
      <c r="I636" s="146"/>
      <c r="J636" s="145" t="str">
        <f t="shared" ref="J636:J699" si="11">F636&amp;H636&amp;I636</f>
        <v/>
      </c>
      <c r="K636" s="151"/>
      <c r="L636" s="152"/>
      <c r="M636" s="153"/>
      <c r="N636" s="146"/>
      <c r="O636" s="146"/>
      <c r="P636" s="146"/>
      <c r="Q636" s="145" t="s">
        <v>5153</v>
      </c>
    </row>
    <row r="637" spans="4:17" x14ac:dyDescent="0.25">
      <c r="D637" s="146" t="s">
        <v>5154</v>
      </c>
      <c r="E637" s="145" t="s">
        <v>5152</v>
      </c>
      <c r="F637" s="146"/>
      <c r="G637" s="145"/>
      <c r="H637" s="146"/>
      <c r="I637" s="146"/>
      <c r="J637" s="145" t="str">
        <f t="shared" si="11"/>
        <v/>
      </c>
      <c r="K637" s="151"/>
      <c r="L637" s="152"/>
      <c r="M637" s="153"/>
      <c r="N637" s="146"/>
      <c r="O637" s="146"/>
      <c r="P637" s="146"/>
      <c r="Q637" s="145" t="s">
        <v>5155</v>
      </c>
    </row>
    <row r="638" spans="4:17" x14ac:dyDescent="0.25">
      <c r="D638" s="146" t="s">
        <v>5156</v>
      </c>
      <c r="E638" s="145" t="s">
        <v>5152</v>
      </c>
      <c r="F638" s="146"/>
      <c r="G638" s="145"/>
      <c r="H638" s="146"/>
      <c r="I638" s="146"/>
      <c r="J638" s="145" t="str">
        <f t="shared" si="11"/>
        <v/>
      </c>
      <c r="K638" s="151"/>
      <c r="L638" s="152"/>
      <c r="M638" s="153"/>
      <c r="N638" s="146"/>
      <c r="O638" s="146"/>
      <c r="P638" s="146"/>
      <c r="Q638" s="145" t="s">
        <v>5157</v>
      </c>
    </row>
    <row r="639" spans="4:17" x14ac:dyDescent="0.25">
      <c r="D639" s="146" t="s">
        <v>5158</v>
      </c>
      <c r="E639" s="145" t="s">
        <v>5152</v>
      </c>
      <c r="F639" s="146"/>
      <c r="G639" s="145"/>
      <c r="H639" s="146"/>
      <c r="I639" s="146"/>
      <c r="J639" s="145" t="str">
        <f t="shared" si="11"/>
        <v/>
      </c>
      <c r="K639" s="151"/>
      <c r="L639" s="152"/>
      <c r="M639" s="153"/>
      <c r="N639" s="146"/>
      <c r="O639" s="146"/>
      <c r="P639" s="146"/>
      <c r="Q639" s="145" t="s">
        <v>5159</v>
      </c>
    </row>
    <row r="640" spans="4:17" x14ac:dyDescent="0.25">
      <c r="D640" s="146" t="s">
        <v>5160</v>
      </c>
      <c r="E640" s="145" t="s">
        <v>5152</v>
      </c>
      <c r="F640" s="146"/>
      <c r="G640" s="145"/>
      <c r="H640" s="146"/>
      <c r="I640" s="146"/>
      <c r="J640" s="145" t="str">
        <f t="shared" si="11"/>
        <v/>
      </c>
      <c r="K640" s="151"/>
      <c r="L640" s="152"/>
      <c r="M640" s="153"/>
      <c r="N640" s="146"/>
      <c r="O640" s="146"/>
      <c r="P640" s="146"/>
      <c r="Q640" s="145" t="s">
        <v>5161</v>
      </c>
    </row>
    <row r="641" spans="4:17" x14ac:dyDescent="0.25">
      <c r="D641" s="146" t="s">
        <v>5162</v>
      </c>
      <c r="E641" s="145" t="s">
        <v>5152</v>
      </c>
      <c r="F641" s="146"/>
      <c r="G641" s="145"/>
      <c r="H641" s="146"/>
      <c r="I641" s="146"/>
      <c r="J641" s="145" t="str">
        <f t="shared" si="11"/>
        <v/>
      </c>
      <c r="K641" s="151"/>
      <c r="L641" s="152"/>
      <c r="M641" s="153"/>
      <c r="N641" s="146"/>
      <c r="O641" s="146"/>
      <c r="P641" s="146"/>
      <c r="Q641" s="145" t="s">
        <v>5163</v>
      </c>
    </row>
    <row r="642" spans="4:17" x14ac:dyDescent="0.25">
      <c r="D642" s="146" t="s">
        <v>5164</v>
      </c>
      <c r="E642" s="145" t="s">
        <v>5152</v>
      </c>
      <c r="F642" s="146"/>
      <c r="G642" s="145"/>
      <c r="H642" s="146"/>
      <c r="I642" s="146"/>
      <c r="J642" s="145" t="str">
        <f t="shared" si="11"/>
        <v/>
      </c>
      <c r="K642" s="151"/>
      <c r="L642" s="152"/>
      <c r="M642" s="153"/>
      <c r="N642" s="146"/>
      <c r="O642" s="146"/>
      <c r="P642" s="146"/>
      <c r="Q642" s="145" t="s">
        <v>5165</v>
      </c>
    </row>
    <row r="643" spans="4:17" x14ac:dyDescent="0.25">
      <c r="D643" s="146" t="s">
        <v>5166</v>
      </c>
      <c r="E643" s="145" t="s">
        <v>5152</v>
      </c>
      <c r="F643" s="146"/>
      <c r="G643" s="145"/>
      <c r="H643" s="146"/>
      <c r="I643" s="146"/>
      <c r="J643" s="145" t="str">
        <f t="shared" si="11"/>
        <v/>
      </c>
      <c r="K643" s="151"/>
      <c r="L643" s="152"/>
      <c r="M643" s="153"/>
      <c r="N643" s="146"/>
      <c r="O643" s="146"/>
      <c r="P643" s="146"/>
      <c r="Q643" s="145" t="s">
        <v>5167</v>
      </c>
    </row>
    <row r="644" spans="4:17" x14ac:dyDescent="0.25">
      <c r="D644" s="146" t="s">
        <v>5168</v>
      </c>
      <c r="E644" s="145" t="s">
        <v>5152</v>
      </c>
      <c r="F644" s="146"/>
      <c r="G644" s="145"/>
      <c r="H644" s="146"/>
      <c r="I644" s="146"/>
      <c r="J644" s="145" t="str">
        <f t="shared" si="11"/>
        <v/>
      </c>
      <c r="K644" s="151"/>
      <c r="L644" s="152"/>
      <c r="M644" s="153"/>
      <c r="N644" s="146"/>
      <c r="O644" s="146"/>
      <c r="P644" s="146"/>
      <c r="Q644" s="145" t="s">
        <v>5169</v>
      </c>
    </row>
    <row r="645" spans="4:17" x14ac:dyDescent="0.25">
      <c r="D645" s="146" t="s">
        <v>5170</v>
      </c>
      <c r="E645" s="145" t="s">
        <v>5152</v>
      </c>
      <c r="F645" s="146"/>
      <c r="G645" s="145"/>
      <c r="H645" s="146"/>
      <c r="I645" s="146"/>
      <c r="J645" s="145" t="str">
        <f t="shared" si="11"/>
        <v/>
      </c>
      <c r="K645" s="151"/>
      <c r="L645" s="152"/>
      <c r="M645" s="153"/>
      <c r="N645" s="146"/>
      <c r="O645" s="146"/>
      <c r="P645" s="146"/>
      <c r="Q645" s="145" t="s">
        <v>5171</v>
      </c>
    </row>
    <row r="646" spans="4:17" x14ac:dyDescent="0.25">
      <c r="D646" s="146" t="s">
        <v>5172</v>
      </c>
      <c r="E646" s="145" t="s">
        <v>5152</v>
      </c>
      <c r="F646" s="146"/>
      <c r="G646" s="145"/>
      <c r="H646" s="146"/>
      <c r="I646" s="146"/>
      <c r="J646" s="145" t="str">
        <f t="shared" si="11"/>
        <v/>
      </c>
      <c r="K646" s="151"/>
      <c r="L646" s="152"/>
      <c r="M646" s="153"/>
      <c r="N646" s="146"/>
      <c r="O646" s="146"/>
      <c r="P646" s="146"/>
      <c r="Q646" s="145" t="s">
        <v>5173</v>
      </c>
    </row>
    <row r="647" spans="4:17" x14ac:dyDescent="0.25">
      <c r="D647" s="146" t="s">
        <v>5174</v>
      </c>
      <c r="E647" s="145" t="s">
        <v>5152</v>
      </c>
      <c r="F647" s="146"/>
      <c r="G647" s="145"/>
      <c r="H647" s="146"/>
      <c r="I647" s="146"/>
      <c r="J647" s="145" t="str">
        <f t="shared" si="11"/>
        <v/>
      </c>
      <c r="K647" s="151"/>
      <c r="L647" s="152"/>
      <c r="M647" s="153"/>
      <c r="N647" s="146"/>
      <c r="O647" s="146"/>
      <c r="P647" s="146"/>
      <c r="Q647" s="145" t="s">
        <v>5175</v>
      </c>
    </row>
    <row r="648" spans="4:17" x14ac:dyDescent="0.25">
      <c r="D648" s="146" t="s">
        <v>5176</v>
      </c>
      <c r="E648" s="145" t="s">
        <v>5152</v>
      </c>
      <c r="F648" s="146"/>
      <c r="G648" s="145"/>
      <c r="H648" s="146"/>
      <c r="I648" s="146"/>
      <c r="J648" s="145" t="str">
        <f t="shared" si="11"/>
        <v/>
      </c>
      <c r="K648" s="151"/>
      <c r="L648" s="152"/>
      <c r="M648" s="153"/>
      <c r="N648" s="146"/>
      <c r="O648" s="146"/>
      <c r="P648" s="146"/>
      <c r="Q648" s="145" t="s">
        <v>5177</v>
      </c>
    </row>
    <row r="649" spans="4:17" x14ac:dyDescent="0.25">
      <c r="D649" s="146" t="s">
        <v>5178</v>
      </c>
      <c r="E649" s="145" t="s">
        <v>5152</v>
      </c>
      <c r="F649" s="146"/>
      <c r="G649" s="145"/>
      <c r="H649" s="146"/>
      <c r="I649" s="146"/>
      <c r="J649" s="145" t="str">
        <f t="shared" si="11"/>
        <v/>
      </c>
      <c r="K649" s="151"/>
      <c r="L649" s="152"/>
      <c r="M649" s="153"/>
      <c r="N649" s="146"/>
      <c r="O649" s="146"/>
      <c r="P649" s="146"/>
      <c r="Q649" s="145" t="s">
        <v>5179</v>
      </c>
    </row>
    <row r="650" spans="4:17" x14ac:dyDescent="0.25">
      <c r="D650" s="146" t="s">
        <v>5180</v>
      </c>
      <c r="E650" s="145" t="s">
        <v>5152</v>
      </c>
      <c r="F650" s="146"/>
      <c r="G650" s="145"/>
      <c r="H650" s="146"/>
      <c r="I650" s="146"/>
      <c r="J650" s="145" t="str">
        <f t="shared" si="11"/>
        <v/>
      </c>
      <c r="K650" s="151"/>
      <c r="L650" s="152"/>
      <c r="M650" s="153"/>
      <c r="N650" s="146"/>
      <c r="O650" s="146"/>
      <c r="P650" s="146"/>
      <c r="Q650" s="145" t="s">
        <v>5181</v>
      </c>
    </row>
    <row r="651" spans="4:17" x14ac:dyDescent="0.25">
      <c r="D651" s="146" t="s">
        <v>5182</v>
      </c>
      <c r="E651" s="145" t="s">
        <v>5152</v>
      </c>
      <c r="F651" s="146"/>
      <c r="G651" s="145"/>
      <c r="H651" s="146"/>
      <c r="I651" s="146"/>
      <c r="J651" s="145" t="str">
        <f t="shared" si="11"/>
        <v/>
      </c>
      <c r="K651" s="151"/>
      <c r="L651" s="152"/>
      <c r="M651" s="153"/>
      <c r="N651" s="146"/>
      <c r="O651" s="146"/>
      <c r="P651" s="146"/>
      <c r="Q651" s="145" t="s">
        <v>5183</v>
      </c>
    </row>
    <row r="652" spans="4:17" x14ac:dyDescent="0.25">
      <c r="D652" s="146" t="s">
        <v>5184</v>
      </c>
      <c r="E652" s="145" t="s">
        <v>5152</v>
      </c>
      <c r="F652" s="146"/>
      <c r="G652" s="145"/>
      <c r="H652" s="146"/>
      <c r="I652" s="146"/>
      <c r="J652" s="145" t="str">
        <f t="shared" si="11"/>
        <v/>
      </c>
      <c r="K652" s="151"/>
      <c r="L652" s="152"/>
      <c r="M652" s="153"/>
      <c r="N652" s="146"/>
      <c r="O652" s="146"/>
      <c r="P652" s="146"/>
      <c r="Q652" s="145" t="s">
        <v>5185</v>
      </c>
    </row>
    <row r="653" spans="4:17" x14ac:dyDescent="0.25">
      <c r="D653" s="146" t="s">
        <v>5186</v>
      </c>
      <c r="E653" s="145" t="s">
        <v>5152</v>
      </c>
      <c r="F653" s="146"/>
      <c r="G653" s="145"/>
      <c r="H653" s="146"/>
      <c r="I653" s="146"/>
      <c r="J653" s="145" t="str">
        <f t="shared" si="11"/>
        <v/>
      </c>
      <c r="K653" s="151"/>
      <c r="L653" s="152"/>
      <c r="M653" s="153"/>
      <c r="N653" s="146"/>
      <c r="O653" s="146"/>
      <c r="P653" s="146"/>
      <c r="Q653" s="145" t="s">
        <v>5187</v>
      </c>
    </row>
    <row r="654" spans="4:17" x14ac:dyDescent="0.25">
      <c r="D654" s="146" t="s">
        <v>5188</v>
      </c>
      <c r="E654" s="145" t="s">
        <v>5152</v>
      </c>
      <c r="F654" s="146"/>
      <c r="G654" s="145"/>
      <c r="H654" s="146"/>
      <c r="I654" s="146"/>
      <c r="J654" s="145" t="str">
        <f t="shared" si="11"/>
        <v/>
      </c>
      <c r="K654" s="151"/>
      <c r="L654" s="152"/>
      <c r="M654" s="153"/>
      <c r="N654" s="146"/>
      <c r="O654" s="146"/>
      <c r="P654" s="146"/>
      <c r="Q654" s="145" t="s">
        <v>5189</v>
      </c>
    </row>
    <row r="655" spans="4:17" x14ac:dyDescent="0.25">
      <c r="D655" s="146" t="s">
        <v>5190</v>
      </c>
      <c r="E655" s="145" t="s">
        <v>5152</v>
      </c>
      <c r="F655" s="146"/>
      <c r="G655" s="145"/>
      <c r="H655" s="146"/>
      <c r="I655" s="146"/>
      <c r="J655" s="145" t="str">
        <f t="shared" si="11"/>
        <v/>
      </c>
      <c r="K655" s="151"/>
      <c r="L655" s="152"/>
      <c r="M655" s="153"/>
      <c r="N655" s="146"/>
      <c r="O655" s="146"/>
      <c r="P655" s="146"/>
      <c r="Q655" s="145" t="s">
        <v>5191</v>
      </c>
    </row>
    <row r="656" spans="4:17" x14ac:dyDescent="0.25">
      <c r="D656" s="146" t="s">
        <v>5192</v>
      </c>
      <c r="E656" s="145" t="s">
        <v>5193</v>
      </c>
      <c r="F656" s="146"/>
      <c r="G656" s="145"/>
      <c r="H656" s="146"/>
      <c r="I656" s="146"/>
      <c r="J656" s="145" t="str">
        <f t="shared" si="11"/>
        <v/>
      </c>
      <c r="K656" s="151"/>
      <c r="L656" s="152"/>
      <c r="M656" s="153"/>
      <c r="N656" s="146"/>
      <c r="O656" s="146"/>
      <c r="P656" s="146"/>
      <c r="Q656" s="145" t="s">
        <v>5194</v>
      </c>
    </row>
    <row r="657" spans="4:17" x14ac:dyDescent="0.25">
      <c r="D657" s="146" t="s">
        <v>5195</v>
      </c>
      <c r="E657" s="145" t="s">
        <v>5193</v>
      </c>
      <c r="F657" s="146"/>
      <c r="G657" s="145"/>
      <c r="H657" s="146"/>
      <c r="I657" s="146"/>
      <c r="J657" s="145" t="str">
        <f t="shared" si="11"/>
        <v/>
      </c>
      <c r="K657" s="151"/>
      <c r="L657" s="152"/>
      <c r="M657" s="153"/>
      <c r="N657" s="146"/>
      <c r="O657" s="146"/>
      <c r="P657" s="146"/>
      <c r="Q657" s="145" t="s">
        <v>5196</v>
      </c>
    </row>
    <row r="658" spans="4:17" x14ac:dyDescent="0.25">
      <c r="D658" s="146" t="s">
        <v>5197</v>
      </c>
      <c r="E658" s="145" t="s">
        <v>5193</v>
      </c>
      <c r="F658" s="146"/>
      <c r="G658" s="145"/>
      <c r="H658" s="146"/>
      <c r="I658" s="146"/>
      <c r="J658" s="145" t="str">
        <f t="shared" si="11"/>
        <v/>
      </c>
      <c r="K658" s="151"/>
      <c r="L658" s="152"/>
      <c r="M658" s="153"/>
      <c r="N658" s="146"/>
      <c r="O658" s="146"/>
      <c r="P658" s="146"/>
      <c r="Q658" s="145" t="s">
        <v>5198</v>
      </c>
    </row>
    <row r="659" spans="4:17" x14ac:dyDescent="0.25">
      <c r="D659" s="146" t="s">
        <v>5199</v>
      </c>
      <c r="E659" s="145" t="s">
        <v>5193</v>
      </c>
      <c r="F659" s="146"/>
      <c r="G659" s="145"/>
      <c r="H659" s="146"/>
      <c r="I659" s="146"/>
      <c r="J659" s="145" t="str">
        <f t="shared" si="11"/>
        <v/>
      </c>
      <c r="K659" s="151"/>
      <c r="L659" s="152"/>
      <c r="M659" s="153"/>
      <c r="N659" s="146"/>
      <c r="O659" s="146"/>
      <c r="P659" s="146"/>
      <c r="Q659" s="145" t="s">
        <v>5200</v>
      </c>
    </row>
    <row r="660" spans="4:17" x14ac:dyDescent="0.25">
      <c r="D660" s="146" t="s">
        <v>5201</v>
      </c>
      <c r="E660" s="145" t="s">
        <v>5193</v>
      </c>
      <c r="F660" s="146"/>
      <c r="G660" s="145"/>
      <c r="H660" s="146"/>
      <c r="I660" s="146"/>
      <c r="J660" s="145" t="str">
        <f t="shared" si="11"/>
        <v/>
      </c>
      <c r="K660" s="151"/>
      <c r="L660" s="152"/>
      <c r="M660" s="153"/>
      <c r="N660" s="146"/>
      <c r="O660" s="146"/>
      <c r="P660" s="146"/>
      <c r="Q660" s="145" t="s">
        <v>5202</v>
      </c>
    </row>
    <row r="661" spans="4:17" x14ac:dyDescent="0.25">
      <c r="D661" s="146" t="s">
        <v>5203</v>
      </c>
      <c r="E661" s="145" t="s">
        <v>5193</v>
      </c>
      <c r="F661" s="146"/>
      <c r="G661" s="145"/>
      <c r="H661" s="146"/>
      <c r="I661" s="146"/>
      <c r="J661" s="145" t="str">
        <f t="shared" si="11"/>
        <v/>
      </c>
      <c r="K661" s="151"/>
      <c r="L661" s="152"/>
      <c r="M661" s="153"/>
      <c r="N661" s="146"/>
      <c r="O661" s="146"/>
      <c r="P661" s="146"/>
      <c r="Q661" s="145" t="s">
        <v>5204</v>
      </c>
    </row>
    <row r="662" spans="4:17" x14ac:dyDescent="0.25">
      <c r="D662" s="146" t="s">
        <v>5205</v>
      </c>
      <c r="E662" s="145" t="s">
        <v>5193</v>
      </c>
      <c r="F662" s="146"/>
      <c r="G662" s="145"/>
      <c r="H662" s="146"/>
      <c r="I662" s="146"/>
      <c r="J662" s="145" t="str">
        <f t="shared" si="11"/>
        <v/>
      </c>
      <c r="K662" s="151"/>
      <c r="L662" s="152"/>
      <c r="M662" s="153"/>
      <c r="N662" s="146"/>
      <c r="O662" s="146"/>
      <c r="P662" s="146"/>
      <c r="Q662" s="145" t="s">
        <v>5206</v>
      </c>
    </row>
    <row r="663" spans="4:17" x14ac:dyDescent="0.25">
      <c r="D663" s="146" t="s">
        <v>5207</v>
      </c>
      <c r="E663" s="145" t="s">
        <v>5193</v>
      </c>
      <c r="F663" s="146"/>
      <c r="G663" s="145"/>
      <c r="H663" s="146"/>
      <c r="I663" s="146"/>
      <c r="J663" s="145" t="str">
        <f t="shared" si="11"/>
        <v/>
      </c>
      <c r="K663" s="151"/>
      <c r="L663" s="152"/>
      <c r="M663" s="153"/>
      <c r="N663" s="146"/>
      <c r="O663" s="146"/>
      <c r="P663" s="146"/>
      <c r="Q663" s="145" t="s">
        <v>5208</v>
      </c>
    </row>
    <row r="664" spans="4:17" x14ac:dyDescent="0.25">
      <c r="D664" s="146" t="s">
        <v>5209</v>
      </c>
      <c r="E664" s="145" t="s">
        <v>5193</v>
      </c>
      <c r="F664" s="146"/>
      <c r="G664" s="145"/>
      <c r="H664" s="146"/>
      <c r="I664" s="146"/>
      <c r="J664" s="145" t="str">
        <f t="shared" si="11"/>
        <v/>
      </c>
      <c r="K664" s="151"/>
      <c r="L664" s="152"/>
      <c r="M664" s="153"/>
      <c r="N664" s="146"/>
      <c r="O664" s="146"/>
      <c r="P664" s="146"/>
      <c r="Q664" s="145" t="s">
        <v>5210</v>
      </c>
    </row>
    <row r="665" spans="4:17" x14ac:dyDescent="0.25">
      <c r="D665" s="146" t="s">
        <v>5211</v>
      </c>
      <c r="E665" s="145" t="s">
        <v>5193</v>
      </c>
      <c r="F665" s="146"/>
      <c r="G665" s="145"/>
      <c r="H665" s="146"/>
      <c r="I665" s="146"/>
      <c r="J665" s="145" t="str">
        <f t="shared" si="11"/>
        <v/>
      </c>
      <c r="K665" s="151"/>
      <c r="L665" s="152"/>
      <c r="M665" s="153"/>
      <c r="N665" s="146"/>
      <c r="O665" s="146"/>
      <c r="P665" s="146"/>
      <c r="Q665" s="145" t="s">
        <v>5212</v>
      </c>
    </row>
    <row r="666" spans="4:17" x14ac:dyDescent="0.25">
      <c r="D666" s="146" t="s">
        <v>5213</v>
      </c>
      <c r="E666" s="145" t="s">
        <v>5193</v>
      </c>
      <c r="F666" s="146"/>
      <c r="G666" s="145"/>
      <c r="H666" s="146"/>
      <c r="I666" s="146"/>
      <c r="J666" s="145" t="str">
        <f t="shared" si="11"/>
        <v/>
      </c>
      <c r="K666" s="151"/>
      <c r="L666" s="152"/>
      <c r="M666" s="153"/>
      <c r="N666" s="146"/>
      <c r="O666" s="146"/>
      <c r="P666" s="146"/>
      <c r="Q666" s="145" t="s">
        <v>5214</v>
      </c>
    </row>
    <row r="667" spans="4:17" x14ac:dyDescent="0.25">
      <c r="D667" s="146" t="s">
        <v>5215</v>
      </c>
      <c r="E667" s="145" t="s">
        <v>5193</v>
      </c>
      <c r="F667" s="146"/>
      <c r="G667" s="145"/>
      <c r="H667" s="146"/>
      <c r="I667" s="146"/>
      <c r="J667" s="145" t="str">
        <f t="shared" si="11"/>
        <v/>
      </c>
      <c r="K667" s="151"/>
      <c r="L667" s="152"/>
      <c r="M667" s="153"/>
      <c r="N667" s="146"/>
      <c r="O667" s="146"/>
      <c r="P667" s="146"/>
      <c r="Q667" s="145" t="s">
        <v>5216</v>
      </c>
    </row>
    <row r="668" spans="4:17" x14ac:dyDescent="0.25">
      <c r="D668" s="146" t="s">
        <v>5217</v>
      </c>
      <c r="E668" s="145" t="s">
        <v>5193</v>
      </c>
      <c r="F668" s="146"/>
      <c r="G668" s="145"/>
      <c r="H668" s="146"/>
      <c r="I668" s="146"/>
      <c r="J668" s="145" t="str">
        <f t="shared" si="11"/>
        <v/>
      </c>
      <c r="K668" s="151"/>
      <c r="L668" s="152"/>
      <c r="M668" s="153"/>
      <c r="N668" s="146"/>
      <c r="O668" s="146"/>
      <c r="P668" s="146"/>
      <c r="Q668" s="145" t="s">
        <v>5218</v>
      </c>
    </row>
    <row r="669" spans="4:17" x14ac:dyDescent="0.25">
      <c r="D669" s="146" t="s">
        <v>5219</v>
      </c>
      <c r="E669" s="145" t="s">
        <v>5193</v>
      </c>
      <c r="F669" s="146"/>
      <c r="G669" s="145"/>
      <c r="H669" s="146"/>
      <c r="I669" s="146"/>
      <c r="J669" s="145" t="str">
        <f t="shared" si="11"/>
        <v/>
      </c>
      <c r="K669" s="151"/>
      <c r="L669" s="152"/>
      <c r="M669" s="153"/>
      <c r="N669" s="146"/>
      <c r="O669" s="146"/>
      <c r="P669" s="146"/>
      <c r="Q669" s="145" t="s">
        <v>5220</v>
      </c>
    </row>
    <row r="670" spans="4:17" x14ac:dyDescent="0.25">
      <c r="D670" s="146" t="s">
        <v>5221</v>
      </c>
      <c r="E670" s="145" t="s">
        <v>5193</v>
      </c>
      <c r="F670" s="146"/>
      <c r="G670" s="145"/>
      <c r="H670" s="146"/>
      <c r="I670" s="146"/>
      <c r="J670" s="145" t="str">
        <f t="shared" si="11"/>
        <v/>
      </c>
      <c r="K670" s="151"/>
      <c r="L670" s="152"/>
      <c r="M670" s="153"/>
      <c r="N670" s="146"/>
      <c r="O670" s="146"/>
      <c r="P670" s="146"/>
      <c r="Q670" s="145" t="s">
        <v>5222</v>
      </c>
    </row>
    <row r="671" spans="4:17" x14ac:dyDescent="0.25">
      <c r="D671" s="146" t="s">
        <v>5223</v>
      </c>
      <c r="E671" s="145" t="s">
        <v>5193</v>
      </c>
      <c r="F671" s="146"/>
      <c r="G671" s="145"/>
      <c r="H671" s="146"/>
      <c r="I671" s="146"/>
      <c r="J671" s="145" t="str">
        <f t="shared" si="11"/>
        <v/>
      </c>
      <c r="K671" s="151"/>
      <c r="L671" s="152"/>
      <c r="M671" s="153"/>
      <c r="N671" s="146"/>
      <c r="O671" s="146"/>
      <c r="P671" s="146"/>
      <c r="Q671" s="145" t="s">
        <v>5224</v>
      </c>
    </row>
    <row r="672" spans="4:17" x14ac:dyDescent="0.25">
      <c r="D672" s="146" t="s">
        <v>5225</v>
      </c>
      <c r="E672" s="145" t="s">
        <v>5193</v>
      </c>
      <c r="F672" s="146"/>
      <c r="G672" s="145"/>
      <c r="H672" s="146"/>
      <c r="I672" s="146"/>
      <c r="J672" s="145" t="str">
        <f t="shared" si="11"/>
        <v/>
      </c>
      <c r="K672" s="151"/>
      <c r="L672" s="152"/>
      <c r="M672" s="153"/>
      <c r="N672" s="146"/>
      <c r="O672" s="146"/>
      <c r="P672" s="146"/>
      <c r="Q672" s="145" t="s">
        <v>5226</v>
      </c>
    </row>
    <row r="673" spans="4:17" x14ac:dyDescent="0.25">
      <c r="D673" s="146" t="s">
        <v>5227</v>
      </c>
      <c r="E673" s="145" t="s">
        <v>5193</v>
      </c>
      <c r="F673" s="146"/>
      <c r="G673" s="145"/>
      <c r="H673" s="146"/>
      <c r="I673" s="146"/>
      <c r="J673" s="145" t="str">
        <f t="shared" si="11"/>
        <v/>
      </c>
      <c r="K673" s="151"/>
      <c r="L673" s="152"/>
      <c r="M673" s="153"/>
      <c r="N673" s="146"/>
      <c r="O673" s="146"/>
      <c r="P673" s="146"/>
      <c r="Q673" s="145" t="s">
        <v>5228</v>
      </c>
    </row>
    <row r="674" spans="4:17" x14ac:dyDescent="0.25">
      <c r="D674" s="146" t="s">
        <v>5229</v>
      </c>
      <c r="E674" s="145" t="s">
        <v>5193</v>
      </c>
      <c r="F674" s="146"/>
      <c r="G674" s="145"/>
      <c r="H674" s="146"/>
      <c r="I674" s="146"/>
      <c r="J674" s="145" t="str">
        <f t="shared" si="11"/>
        <v/>
      </c>
      <c r="K674" s="151"/>
      <c r="L674" s="152"/>
      <c r="M674" s="153"/>
      <c r="N674" s="146"/>
      <c r="O674" s="146"/>
      <c r="P674" s="146"/>
      <c r="Q674" s="145" t="s">
        <v>5230</v>
      </c>
    </row>
    <row r="675" spans="4:17" x14ac:dyDescent="0.25">
      <c r="D675" s="146" t="s">
        <v>5231</v>
      </c>
      <c r="E675" s="145" t="s">
        <v>5193</v>
      </c>
      <c r="F675" s="146"/>
      <c r="G675" s="145"/>
      <c r="H675" s="146"/>
      <c r="I675" s="146"/>
      <c r="J675" s="145" t="str">
        <f t="shared" si="11"/>
        <v/>
      </c>
      <c r="K675" s="151"/>
      <c r="L675" s="152"/>
      <c r="M675" s="153"/>
      <c r="N675" s="146"/>
      <c r="O675" s="146"/>
      <c r="P675" s="146"/>
      <c r="Q675" s="145" t="s">
        <v>5232</v>
      </c>
    </row>
    <row r="676" spans="4:17" x14ac:dyDescent="0.25">
      <c r="D676" s="146" t="s">
        <v>5233</v>
      </c>
      <c r="E676" s="145" t="s">
        <v>5234</v>
      </c>
      <c r="F676" s="146"/>
      <c r="G676" s="145"/>
      <c r="H676" s="146"/>
      <c r="I676" s="146"/>
      <c r="J676" s="145" t="str">
        <f t="shared" si="11"/>
        <v/>
      </c>
      <c r="K676" s="151"/>
      <c r="L676" s="152"/>
      <c r="M676" s="153"/>
      <c r="N676" s="146"/>
      <c r="O676" s="146"/>
      <c r="P676" s="146"/>
      <c r="Q676" s="145" t="s">
        <v>5235</v>
      </c>
    </row>
    <row r="677" spans="4:17" x14ac:dyDescent="0.25">
      <c r="D677" s="146" t="s">
        <v>5236</v>
      </c>
      <c r="E677" s="145" t="s">
        <v>5234</v>
      </c>
      <c r="F677" s="146"/>
      <c r="G677" s="145"/>
      <c r="H677" s="146"/>
      <c r="I677" s="146"/>
      <c r="J677" s="145" t="str">
        <f t="shared" si="11"/>
        <v/>
      </c>
      <c r="K677" s="151"/>
      <c r="L677" s="152"/>
      <c r="M677" s="153"/>
      <c r="N677" s="146"/>
      <c r="O677" s="146"/>
      <c r="P677" s="146"/>
      <c r="Q677" s="145" t="s">
        <v>5237</v>
      </c>
    </row>
    <row r="678" spans="4:17" x14ac:dyDescent="0.25">
      <c r="D678" s="146" t="s">
        <v>5238</v>
      </c>
      <c r="E678" s="145" t="s">
        <v>5234</v>
      </c>
      <c r="F678" s="146"/>
      <c r="G678" s="145"/>
      <c r="H678" s="146"/>
      <c r="I678" s="146"/>
      <c r="J678" s="145" t="str">
        <f t="shared" si="11"/>
        <v/>
      </c>
      <c r="K678" s="151"/>
      <c r="L678" s="152"/>
      <c r="M678" s="153"/>
      <c r="N678" s="146"/>
      <c r="O678" s="146"/>
      <c r="P678" s="146"/>
      <c r="Q678" s="145" t="s">
        <v>5239</v>
      </c>
    </row>
    <row r="679" spans="4:17" x14ac:dyDescent="0.25">
      <c r="D679" s="146" t="s">
        <v>5240</v>
      </c>
      <c r="E679" s="145" t="s">
        <v>5234</v>
      </c>
      <c r="F679" s="146"/>
      <c r="G679" s="145"/>
      <c r="H679" s="146"/>
      <c r="I679" s="146"/>
      <c r="J679" s="145" t="str">
        <f t="shared" si="11"/>
        <v/>
      </c>
      <c r="K679" s="151"/>
      <c r="L679" s="152"/>
      <c r="M679" s="153"/>
      <c r="N679" s="146"/>
      <c r="O679" s="146"/>
      <c r="P679" s="146"/>
      <c r="Q679" s="145" t="s">
        <v>5241</v>
      </c>
    </row>
    <row r="680" spans="4:17" x14ac:dyDescent="0.25">
      <c r="D680" s="146" t="s">
        <v>5242</v>
      </c>
      <c r="E680" s="145" t="s">
        <v>5234</v>
      </c>
      <c r="F680" s="146"/>
      <c r="G680" s="145"/>
      <c r="H680" s="146"/>
      <c r="I680" s="146"/>
      <c r="J680" s="145" t="str">
        <f t="shared" si="11"/>
        <v/>
      </c>
      <c r="K680" s="151"/>
      <c r="L680" s="152"/>
      <c r="M680" s="153"/>
      <c r="N680" s="146"/>
      <c r="O680" s="146"/>
      <c r="P680" s="146"/>
      <c r="Q680" s="145" t="s">
        <v>5243</v>
      </c>
    </row>
    <row r="681" spans="4:17" x14ac:dyDescent="0.25">
      <c r="D681" s="146" t="s">
        <v>5244</v>
      </c>
      <c r="E681" s="145" t="s">
        <v>5234</v>
      </c>
      <c r="F681" s="146"/>
      <c r="G681" s="145"/>
      <c r="H681" s="146"/>
      <c r="I681" s="146"/>
      <c r="J681" s="145" t="str">
        <f t="shared" si="11"/>
        <v/>
      </c>
      <c r="K681" s="151"/>
      <c r="L681" s="152"/>
      <c r="M681" s="153"/>
      <c r="N681" s="146"/>
      <c r="O681" s="146"/>
      <c r="P681" s="146"/>
      <c r="Q681" s="145" t="s">
        <v>5245</v>
      </c>
    </row>
    <row r="682" spans="4:17" x14ac:dyDescent="0.25">
      <c r="D682" s="146" t="s">
        <v>5246</v>
      </c>
      <c r="E682" s="145" t="s">
        <v>5234</v>
      </c>
      <c r="F682" s="146"/>
      <c r="G682" s="145"/>
      <c r="H682" s="146"/>
      <c r="I682" s="146"/>
      <c r="J682" s="145" t="str">
        <f t="shared" si="11"/>
        <v/>
      </c>
      <c r="K682" s="151"/>
      <c r="L682" s="152"/>
      <c r="M682" s="153"/>
      <c r="N682" s="146"/>
      <c r="O682" s="146"/>
      <c r="P682" s="146"/>
      <c r="Q682" s="145" t="s">
        <v>5247</v>
      </c>
    </row>
    <row r="683" spans="4:17" x14ac:dyDescent="0.25">
      <c r="D683" s="146" t="s">
        <v>5248</v>
      </c>
      <c r="E683" s="145" t="s">
        <v>5234</v>
      </c>
      <c r="F683" s="146"/>
      <c r="G683" s="145"/>
      <c r="H683" s="146"/>
      <c r="I683" s="146"/>
      <c r="J683" s="145" t="str">
        <f t="shared" si="11"/>
        <v/>
      </c>
      <c r="K683" s="151"/>
      <c r="L683" s="152"/>
      <c r="M683" s="153"/>
      <c r="N683" s="146"/>
      <c r="O683" s="146"/>
      <c r="P683" s="146"/>
      <c r="Q683" s="145" t="s">
        <v>5249</v>
      </c>
    </row>
    <row r="684" spans="4:17" x14ac:dyDescent="0.25">
      <c r="D684" s="146" t="s">
        <v>5250</v>
      </c>
      <c r="E684" s="145" t="s">
        <v>5234</v>
      </c>
      <c r="F684" s="146"/>
      <c r="G684" s="145"/>
      <c r="H684" s="146"/>
      <c r="I684" s="146"/>
      <c r="J684" s="145" t="str">
        <f t="shared" si="11"/>
        <v/>
      </c>
      <c r="K684" s="151"/>
      <c r="L684" s="152"/>
      <c r="M684" s="153"/>
      <c r="N684" s="146"/>
      <c r="O684" s="146"/>
      <c r="P684" s="146"/>
      <c r="Q684" s="145" t="s">
        <v>5251</v>
      </c>
    </row>
    <row r="685" spans="4:17" x14ac:dyDescent="0.25">
      <c r="D685" s="146" t="s">
        <v>5252</v>
      </c>
      <c r="E685" s="145" t="s">
        <v>5234</v>
      </c>
      <c r="F685" s="146"/>
      <c r="G685" s="145"/>
      <c r="H685" s="146"/>
      <c r="I685" s="146"/>
      <c r="J685" s="145" t="str">
        <f t="shared" si="11"/>
        <v/>
      </c>
      <c r="K685" s="151"/>
      <c r="L685" s="152"/>
      <c r="M685" s="153"/>
      <c r="N685" s="146"/>
      <c r="O685" s="146"/>
      <c r="P685" s="146"/>
      <c r="Q685" s="145" t="s">
        <v>5253</v>
      </c>
    </row>
    <row r="686" spans="4:17" x14ac:dyDescent="0.25">
      <c r="D686" s="146" t="s">
        <v>5254</v>
      </c>
      <c r="E686" s="145" t="s">
        <v>5234</v>
      </c>
      <c r="F686" s="146"/>
      <c r="G686" s="145"/>
      <c r="H686" s="146"/>
      <c r="I686" s="146"/>
      <c r="J686" s="145" t="str">
        <f t="shared" si="11"/>
        <v/>
      </c>
      <c r="K686" s="151"/>
      <c r="L686" s="152"/>
      <c r="M686" s="153"/>
      <c r="N686" s="146"/>
      <c r="O686" s="146"/>
      <c r="P686" s="146"/>
      <c r="Q686" s="145" t="s">
        <v>5255</v>
      </c>
    </row>
    <row r="687" spans="4:17" x14ac:dyDescent="0.25">
      <c r="D687" s="146" t="s">
        <v>5256</v>
      </c>
      <c r="E687" s="145" t="s">
        <v>5234</v>
      </c>
      <c r="F687" s="146"/>
      <c r="G687" s="145"/>
      <c r="H687" s="146"/>
      <c r="I687" s="146"/>
      <c r="J687" s="145" t="str">
        <f t="shared" si="11"/>
        <v/>
      </c>
      <c r="K687" s="151"/>
      <c r="L687" s="152"/>
      <c r="M687" s="153"/>
      <c r="N687" s="146"/>
      <c r="O687" s="146"/>
      <c r="P687" s="146"/>
      <c r="Q687" s="145" t="s">
        <v>5257</v>
      </c>
    </row>
    <row r="688" spans="4:17" x14ac:dyDescent="0.25">
      <c r="D688" s="146" t="s">
        <v>5258</v>
      </c>
      <c r="E688" s="145" t="s">
        <v>5234</v>
      </c>
      <c r="F688" s="146"/>
      <c r="G688" s="145"/>
      <c r="H688" s="146"/>
      <c r="I688" s="146"/>
      <c r="J688" s="145" t="str">
        <f t="shared" si="11"/>
        <v/>
      </c>
      <c r="K688" s="151"/>
      <c r="L688" s="152"/>
      <c r="M688" s="153"/>
      <c r="N688" s="146"/>
      <c r="O688" s="146"/>
      <c r="P688" s="146"/>
      <c r="Q688" s="145" t="s">
        <v>5259</v>
      </c>
    </row>
    <row r="689" spans="4:17" x14ac:dyDescent="0.25">
      <c r="D689" s="146" t="s">
        <v>5260</v>
      </c>
      <c r="E689" s="145" t="s">
        <v>5234</v>
      </c>
      <c r="F689" s="146"/>
      <c r="G689" s="145"/>
      <c r="H689" s="146"/>
      <c r="I689" s="146"/>
      <c r="J689" s="145" t="str">
        <f t="shared" si="11"/>
        <v/>
      </c>
      <c r="K689" s="151"/>
      <c r="L689" s="152"/>
      <c r="M689" s="153"/>
      <c r="N689" s="146"/>
      <c r="O689" s="146"/>
      <c r="P689" s="146"/>
      <c r="Q689" s="145" t="s">
        <v>5261</v>
      </c>
    </row>
    <row r="690" spans="4:17" x14ac:dyDescent="0.25">
      <c r="D690" s="146" t="s">
        <v>5262</v>
      </c>
      <c r="E690" s="145" t="s">
        <v>5234</v>
      </c>
      <c r="F690" s="146"/>
      <c r="G690" s="145"/>
      <c r="H690" s="146"/>
      <c r="I690" s="146"/>
      <c r="J690" s="145" t="str">
        <f t="shared" si="11"/>
        <v/>
      </c>
      <c r="K690" s="151"/>
      <c r="L690" s="152"/>
      <c r="M690" s="153"/>
      <c r="N690" s="146"/>
      <c r="O690" s="146"/>
      <c r="P690" s="146"/>
      <c r="Q690" s="145" t="s">
        <v>5263</v>
      </c>
    </row>
    <row r="691" spans="4:17" x14ac:dyDescent="0.25">
      <c r="D691" s="146" t="s">
        <v>5264</v>
      </c>
      <c r="E691" s="145" t="s">
        <v>5234</v>
      </c>
      <c r="F691" s="146"/>
      <c r="G691" s="145"/>
      <c r="H691" s="146"/>
      <c r="I691" s="146"/>
      <c r="J691" s="145" t="str">
        <f t="shared" si="11"/>
        <v/>
      </c>
      <c r="K691" s="151"/>
      <c r="L691" s="152"/>
      <c r="M691" s="153"/>
      <c r="N691" s="146"/>
      <c r="O691" s="146"/>
      <c r="P691" s="146"/>
      <c r="Q691" s="145" t="s">
        <v>5265</v>
      </c>
    </row>
    <row r="692" spans="4:17" x14ac:dyDescent="0.25">
      <c r="D692" s="146" t="s">
        <v>5266</v>
      </c>
      <c r="E692" s="145" t="s">
        <v>5234</v>
      </c>
      <c r="F692" s="146"/>
      <c r="G692" s="145"/>
      <c r="H692" s="146"/>
      <c r="I692" s="146"/>
      <c r="J692" s="145" t="str">
        <f t="shared" si="11"/>
        <v/>
      </c>
      <c r="K692" s="151"/>
      <c r="L692" s="152"/>
      <c r="M692" s="153"/>
      <c r="N692" s="146"/>
      <c r="O692" s="146"/>
      <c r="P692" s="146"/>
      <c r="Q692" s="145" t="s">
        <v>5267</v>
      </c>
    </row>
    <row r="693" spans="4:17" x14ac:dyDescent="0.25">
      <c r="D693" s="146" t="s">
        <v>5268</v>
      </c>
      <c r="E693" s="145" t="s">
        <v>5234</v>
      </c>
      <c r="F693" s="146"/>
      <c r="G693" s="145"/>
      <c r="H693" s="146"/>
      <c r="I693" s="146"/>
      <c r="J693" s="145" t="str">
        <f t="shared" si="11"/>
        <v/>
      </c>
      <c r="K693" s="151"/>
      <c r="L693" s="152"/>
      <c r="M693" s="153"/>
      <c r="N693" s="146"/>
      <c r="O693" s="146"/>
      <c r="P693" s="146"/>
      <c r="Q693" s="145" t="s">
        <v>5269</v>
      </c>
    </row>
    <row r="694" spans="4:17" x14ac:dyDescent="0.25">
      <c r="D694" s="146" t="s">
        <v>5270</v>
      </c>
      <c r="E694" s="145" t="s">
        <v>5234</v>
      </c>
      <c r="F694" s="146"/>
      <c r="G694" s="145"/>
      <c r="H694" s="146"/>
      <c r="I694" s="146"/>
      <c r="J694" s="145" t="str">
        <f t="shared" si="11"/>
        <v/>
      </c>
      <c r="K694" s="151"/>
      <c r="L694" s="152"/>
      <c r="M694" s="153"/>
      <c r="N694" s="146"/>
      <c r="O694" s="146"/>
      <c r="P694" s="146"/>
      <c r="Q694" s="145" t="s">
        <v>5271</v>
      </c>
    </row>
    <row r="695" spans="4:17" x14ac:dyDescent="0.25">
      <c r="D695" s="146" t="s">
        <v>5272</v>
      </c>
      <c r="E695" s="145" t="s">
        <v>5234</v>
      </c>
      <c r="F695" s="146"/>
      <c r="G695" s="145"/>
      <c r="H695" s="146"/>
      <c r="I695" s="146"/>
      <c r="J695" s="145" t="str">
        <f t="shared" si="11"/>
        <v/>
      </c>
      <c r="K695" s="151"/>
      <c r="L695" s="152"/>
      <c r="M695" s="153"/>
      <c r="N695" s="146"/>
      <c r="O695" s="146"/>
      <c r="P695" s="146"/>
      <c r="Q695" s="145" t="s">
        <v>5273</v>
      </c>
    </row>
    <row r="696" spans="4:17" x14ac:dyDescent="0.25">
      <c r="D696" s="146" t="s">
        <v>5274</v>
      </c>
      <c r="E696" s="145" t="s">
        <v>5275</v>
      </c>
      <c r="F696" s="146"/>
      <c r="G696" s="145"/>
      <c r="H696" s="146"/>
      <c r="I696" s="146"/>
      <c r="J696" s="145" t="str">
        <f t="shared" si="11"/>
        <v/>
      </c>
      <c r="K696" s="151"/>
      <c r="L696" s="152"/>
      <c r="M696" s="153"/>
      <c r="N696" s="146"/>
      <c r="O696" s="146"/>
      <c r="P696" s="146"/>
      <c r="Q696" s="145" t="s">
        <v>5276</v>
      </c>
    </row>
    <row r="697" spans="4:17" x14ac:dyDescent="0.25">
      <c r="D697" s="146" t="s">
        <v>5277</v>
      </c>
      <c r="E697" s="145" t="s">
        <v>5275</v>
      </c>
      <c r="F697" s="146"/>
      <c r="G697" s="145"/>
      <c r="H697" s="146"/>
      <c r="I697" s="146"/>
      <c r="J697" s="145" t="str">
        <f t="shared" si="11"/>
        <v/>
      </c>
      <c r="K697" s="151"/>
      <c r="L697" s="152"/>
      <c r="M697" s="153"/>
      <c r="N697" s="146"/>
      <c r="O697" s="146"/>
      <c r="P697" s="146"/>
      <c r="Q697" s="145" t="s">
        <v>5278</v>
      </c>
    </row>
    <row r="698" spans="4:17" x14ac:dyDescent="0.25">
      <c r="D698" s="146" t="s">
        <v>5279</v>
      </c>
      <c r="E698" s="145" t="s">
        <v>5275</v>
      </c>
      <c r="F698" s="146"/>
      <c r="G698" s="145"/>
      <c r="H698" s="146"/>
      <c r="I698" s="146"/>
      <c r="J698" s="145" t="str">
        <f t="shared" si="11"/>
        <v/>
      </c>
      <c r="K698" s="151"/>
      <c r="L698" s="152"/>
      <c r="M698" s="153"/>
      <c r="N698" s="146"/>
      <c r="O698" s="146"/>
      <c r="P698" s="146"/>
      <c r="Q698" s="145" t="s">
        <v>5280</v>
      </c>
    </row>
    <row r="699" spans="4:17" x14ac:dyDescent="0.25">
      <c r="D699" s="146" t="s">
        <v>5281</v>
      </c>
      <c r="E699" s="145" t="s">
        <v>5275</v>
      </c>
      <c r="F699" s="146"/>
      <c r="G699" s="145"/>
      <c r="H699" s="146"/>
      <c r="I699" s="146"/>
      <c r="J699" s="145" t="str">
        <f t="shared" si="11"/>
        <v/>
      </c>
      <c r="K699" s="151"/>
      <c r="L699" s="152"/>
      <c r="M699" s="153"/>
      <c r="N699" s="146"/>
      <c r="O699" s="146"/>
      <c r="P699" s="146"/>
      <c r="Q699" s="145" t="s">
        <v>5282</v>
      </c>
    </row>
    <row r="700" spans="4:17" x14ac:dyDescent="0.25">
      <c r="D700" s="146" t="s">
        <v>5283</v>
      </c>
      <c r="E700" s="145" t="s">
        <v>5275</v>
      </c>
      <c r="F700" s="146"/>
      <c r="G700" s="145"/>
      <c r="H700" s="146"/>
      <c r="I700" s="146"/>
      <c r="J700" s="145" t="str">
        <f t="shared" ref="J700:J763" si="12">F700&amp;H700&amp;I700</f>
        <v/>
      </c>
      <c r="K700" s="151"/>
      <c r="L700" s="152"/>
      <c r="M700" s="153"/>
      <c r="N700" s="146"/>
      <c r="O700" s="146"/>
      <c r="P700" s="146"/>
      <c r="Q700" s="145" t="s">
        <v>5284</v>
      </c>
    </row>
    <row r="701" spans="4:17" x14ac:dyDescent="0.25">
      <c r="D701" s="146" t="s">
        <v>5285</v>
      </c>
      <c r="E701" s="145" t="s">
        <v>5275</v>
      </c>
      <c r="F701" s="146"/>
      <c r="G701" s="145"/>
      <c r="H701" s="146"/>
      <c r="I701" s="146"/>
      <c r="J701" s="145" t="str">
        <f t="shared" si="12"/>
        <v/>
      </c>
      <c r="K701" s="151"/>
      <c r="L701" s="152"/>
      <c r="M701" s="153"/>
      <c r="N701" s="146"/>
      <c r="O701" s="146"/>
      <c r="P701" s="146"/>
      <c r="Q701" s="145" t="s">
        <v>5286</v>
      </c>
    </row>
    <row r="702" spans="4:17" x14ac:dyDescent="0.25">
      <c r="D702" s="146" t="s">
        <v>5287</v>
      </c>
      <c r="E702" s="145" t="s">
        <v>5275</v>
      </c>
      <c r="F702" s="146"/>
      <c r="G702" s="145"/>
      <c r="H702" s="146"/>
      <c r="I702" s="146"/>
      <c r="J702" s="145" t="str">
        <f t="shared" si="12"/>
        <v/>
      </c>
      <c r="K702" s="151"/>
      <c r="L702" s="152"/>
      <c r="M702" s="153"/>
      <c r="N702" s="146"/>
      <c r="O702" s="146"/>
      <c r="P702" s="146"/>
      <c r="Q702" s="145" t="s">
        <v>5288</v>
      </c>
    </row>
    <row r="703" spans="4:17" x14ac:dyDescent="0.25">
      <c r="D703" s="146" t="s">
        <v>5289</v>
      </c>
      <c r="E703" s="145" t="s">
        <v>5275</v>
      </c>
      <c r="F703" s="146"/>
      <c r="G703" s="145"/>
      <c r="H703" s="146"/>
      <c r="I703" s="146"/>
      <c r="J703" s="145" t="str">
        <f t="shared" si="12"/>
        <v/>
      </c>
      <c r="K703" s="151"/>
      <c r="L703" s="152"/>
      <c r="M703" s="153"/>
      <c r="N703" s="146"/>
      <c r="O703" s="146"/>
      <c r="P703" s="146"/>
      <c r="Q703" s="145" t="s">
        <v>5290</v>
      </c>
    </row>
    <row r="704" spans="4:17" x14ac:dyDescent="0.25">
      <c r="D704" s="146" t="s">
        <v>5291</v>
      </c>
      <c r="E704" s="145" t="s">
        <v>5275</v>
      </c>
      <c r="F704" s="146"/>
      <c r="G704" s="145"/>
      <c r="H704" s="146"/>
      <c r="I704" s="146"/>
      <c r="J704" s="145" t="str">
        <f t="shared" si="12"/>
        <v/>
      </c>
      <c r="K704" s="151"/>
      <c r="L704" s="152"/>
      <c r="M704" s="153"/>
      <c r="N704" s="146"/>
      <c r="O704" s="146"/>
      <c r="P704" s="146"/>
      <c r="Q704" s="145" t="s">
        <v>5292</v>
      </c>
    </row>
    <row r="705" spans="4:17" x14ac:dyDescent="0.25">
      <c r="D705" s="146" t="s">
        <v>5293</v>
      </c>
      <c r="E705" s="145" t="s">
        <v>5275</v>
      </c>
      <c r="F705" s="146"/>
      <c r="G705" s="145"/>
      <c r="H705" s="146"/>
      <c r="I705" s="146"/>
      <c r="J705" s="145" t="str">
        <f t="shared" si="12"/>
        <v/>
      </c>
      <c r="K705" s="151"/>
      <c r="L705" s="152"/>
      <c r="M705" s="153"/>
      <c r="N705" s="146"/>
      <c r="O705" s="146"/>
      <c r="P705" s="146"/>
      <c r="Q705" s="145" t="s">
        <v>5294</v>
      </c>
    </row>
    <row r="706" spans="4:17" x14ac:dyDescent="0.25">
      <c r="D706" s="146" t="s">
        <v>5295</v>
      </c>
      <c r="E706" s="145" t="s">
        <v>5275</v>
      </c>
      <c r="F706" s="146"/>
      <c r="G706" s="145"/>
      <c r="H706" s="146"/>
      <c r="I706" s="146"/>
      <c r="J706" s="145" t="str">
        <f t="shared" si="12"/>
        <v/>
      </c>
      <c r="K706" s="151"/>
      <c r="L706" s="152"/>
      <c r="M706" s="153"/>
      <c r="N706" s="146"/>
      <c r="O706" s="146"/>
      <c r="P706" s="146"/>
      <c r="Q706" s="145" t="s">
        <v>5296</v>
      </c>
    </row>
    <row r="707" spans="4:17" x14ac:dyDescent="0.25">
      <c r="D707" s="146" t="s">
        <v>5297</v>
      </c>
      <c r="E707" s="145" t="s">
        <v>5275</v>
      </c>
      <c r="F707" s="146"/>
      <c r="G707" s="145"/>
      <c r="H707" s="146"/>
      <c r="I707" s="146"/>
      <c r="J707" s="145" t="str">
        <f t="shared" si="12"/>
        <v/>
      </c>
      <c r="K707" s="151"/>
      <c r="L707" s="152"/>
      <c r="M707" s="153"/>
      <c r="N707" s="146"/>
      <c r="O707" s="146"/>
      <c r="P707" s="146"/>
      <c r="Q707" s="145" t="s">
        <v>5298</v>
      </c>
    </row>
    <row r="708" spans="4:17" x14ac:dyDescent="0.25">
      <c r="D708" s="146" t="s">
        <v>5299</v>
      </c>
      <c r="E708" s="145" t="s">
        <v>5275</v>
      </c>
      <c r="F708" s="146"/>
      <c r="G708" s="145"/>
      <c r="H708" s="146"/>
      <c r="I708" s="146"/>
      <c r="J708" s="145" t="str">
        <f t="shared" si="12"/>
        <v/>
      </c>
      <c r="K708" s="151"/>
      <c r="L708" s="152"/>
      <c r="M708" s="153"/>
      <c r="N708" s="146"/>
      <c r="O708" s="146"/>
      <c r="P708" s="146"/>
      <c r="Q708" s="145" t="s">
        <v>5300</v>
      </c>
    </row>
    <row r="709" spans="4:17" x14ac:dyDescent="0.25">
      <c r="D709" s="146" t="s">
        <v>5301</v>
      </c>
      <c r="E709" s="145" t="s">
        <v>5275</v>
      </c>
      <c r="F709" s="146"/>
      <c r="G709" s="145"/>
      <c r="H709" s="146"/>
      <c r="I709" s="146"/>
      <c r="J709" s="145" t="str">
        <f t="shared" si="12"/>
        <v/>
      </c>
      <c r="K709" s="151"/>
      <c r="L709" s="152"/>
      <c r="M709" s="153"/>
      <c r="N709" s="146"/>
      <c r="O709" s="146"/>
      <c r="P709" s="146"/>
      <c r="Q709" s="145" t="s">
        <v>5302</v>
      </c>
    </row>
    <row r="710" spans="4:17" x14ac:dyDescent="0.25">
      <c r="D710" s="146" t="s">
        <v>5303</v>
      </c>
      <c r="E710" s="145" t="s">
        <v>5275</v>
      </c>
      <c r="F710" s="146"/>
      <c r="G710" s="145"/>
      <c r="H710" s="146"/>
      <c r="I710" s="146"/>
      <c r="J710" s="145" t="str">
        <f t="shared" si="12"/>
        <v/>
      </c>
      <c r="K710" s="151"/>
      <c r="L710" s="152"/>
      <c r="M710" s="153"/>
      <c r="N710" s="146"/>
      <c r="O710" s="146"/>
      <c r="P710" s="146"/>
      <c r="Q710" s="145" t="s">
        <v>5304</v>
      </c>
    </row>
    <row r="711" spans="4:17" x14ac:dyDescent="0.25">
      <c r="D711" s="146" t="s">
        <v>5305</v>
      </c>
      <c r="E711" s="145" t="s">
        <v>5275</v>
      </c>
      <c r="F711" s="146"/>
      <c r="G711" s="145"/>
      <c r="H711" s="146"/>
      <c r="I711" s="146"/>
      <c r="J711" s="145" t="str">
        <f t="shared" si="12"/>
        <v/>
      </c>
      <c r="K711" s="151"/>
      <c r="L711" s="152"/>
      <c r="M711" s="153"/>
      <c r="N711" s="146"/>
      <c r="O711" s="146"/>
      <c r="P711" s="146"/>
      <c r="Q711" s="145" t="s">
        <v>5306</v>
      </c>
    </row>
    <row r="712" spans="4:17" x14ac:dyDescent="0.25">
      <c r="D712" s="146" t="s">
        <v>5307</v>
      </c>
      <c r="E712" s="145" t="s">
        <v>5275</v>
      </c>
      <c r="F712" s="146"/>
      <c r="G712" s="145"/>
      <c r="H712" s="146"/>
      <c r="I712" s="146"/>
      <c r="J712" s="145" t="str">
        <f t="shared" si="12"/>
        <v/>
      </c>
      <c r="K712" s="151"/>
      <c r="L712" s="152"/>
      <c r="M712" s="153"/>
      <c r="N712" s="146"/>
      <c r="O712" s="146"/>
      <c r="P712" s="146"/>
      <c r="Q712" s="145" t="s">
        <v>5308</v>
      </c>
    </row>
    <row r="713" spans="4:17" x14ac:dyDescent="0.25">
      <c r="D713" s="146" t="s">
        <v>5309</v>
      </c>
      <c r="E713" s="145" t="s">
        <v>5275</v>
      </c>
      <c r="F713" s="146"/>
      <c r="G713" s="145"/>
      <c r="H713" s="146"/>
      <c r="I713" s="146"/>
      <c r="J713" s="145" t="str">
        <f t="shared" si="12"/>
        <v/>
      </c>
      <c r="K713" s="151"/>
      <c r="L713" s="152"/>
      <c r="M713" s="153"/>
      <c r="N713" s="146"/>
      <c r="O713" s="146"/>
      <c r="P713" s="146"/>
      <c r="Q713" s="145" t="s">
        <v>5310</v>
      </c>
    </row>
    <row r="714" spans="4:17" x14ac:dyDescent="0.25">
      <c r="D714" s="146" t="s">
        <v>5311</v>
      </c>
      <c r="E714" s="145" t="s">
        <v>5275</v>
      </c>
      <c r="F714" s="146"/>
      <c r="G714" s="145"/>
      <c r="H714" s="146"/>
      <c r="I714" s="146"/>
      <c r="J714" s="145" t="str">
        <f t="shared" si="12"/>
        <v/>
      </c>
      <c r="K714" s="151"/>
      <c r="L714" s="152"/>
      <c r="M714" s="153"/>
      <c r="N714" s="146"/>
      <c r="O714" s="146"/>
      <c r="P714" s="146"/>
      <c r="Q714" s="145" t="s">
        <v>5312</v>
      </c>
    </row>
    <row r="715" spans="4:17" x14ac:dyDescent="0.25">
      <c r="D715" s="146" t="s">
        <v>5313</v>
      </c>
      <c r="E715" s="145" t="s">
        <v>5275</v>
      </c>
      <c r="F715" s="146"/>
      <c r="G715" s="145"/>
      <c r="H715" s="146"/>
      <c r="I715" s="146"/>
      <c r="J715" s="145" t="str">
        <f t="shared" si="12"/>
        <v/>
      </c>
      <c r="K715" s="151"/>
      <c r="L715" s="152"/>
      <c r="M715" s="153"/>
      <c r="N715" s="146"/>
      <c r="O715" s="146"/>
      <c r="P715" s="146"/>
      <c r="Q715" s="145" t="s">
        <v>5314</v>
      </c>
    </row>
    <row r="716" spans="4:17" x14ac:dyDescent="0.25">
      <c r="D716" s="146" t="s">
        <v>5315</v>
      </c>
      <c r="E716" s="145" t="s">
        <v>5316</v>
      </c>
      <c r="F716" s="146"/>
      <c r="G716" s="145"/>
      <c r="H716" s="146"/>
      <c r="I716" s="146"/>
      <c r="J716" s="145" t="str">
        <f t="shared" si="12"/>
        <v/>
      </c>
      <c r="K716" s="151"/>
      <c r="L716" s="152"/>
      <c r="M716" s="153"/>
      <c r="N716" s="146"/>
      <c r="O716" s="146"/>
      <c r="P716" s="146"/>
      <c r="Q716" s="145" t="s">
        <v>5317</v>
      </c>
    </row>
    <row r="717" spans="4:17" x14ac:dyDescent="0.25">
      <c r="D717" s="146" t="s">
        <v>5318</v>
      </c>
      <c r="E717" s="145" t="s">
        <v>5316</v>
      </c>
      <c r="F717" s="146"/>
      <c r="G717" s="145"/>
      <c r="H717" s="146"/>
      <c r="I717" s="146"/>
      <c r="J717" s="145" t="str">
        <f t="shared" si="12"/>
        <v/>
      </c>
      <c r="K717" s="151"/>
      <c r="L717" s="152"/>
      <c r="M717" s="153"/>
      <c r="N717" s="146"/>
      <c r="O717" s="146"/>
      <c r="P717" s="146"/>
      <c r="Q717" s="145" t="s">
        <v>5319</v>
      </c>
    </row>
    <row r="718" spans="4:17" x14ac:dyDescent="0.25">
      <c r="D718" s="146" t="s">
        <v>5320</v>
      </c>
      <c r="E718" s="145" t="s">
        <v>5316</v>
      </c>
      <c r="F718" s="146"/>
      <c r="G718" s="145"/>
      <c r="H718" s="146"/>
      <c r="I718" s="146"/>
      <c r="J718" s="145" t="str">
        <f t="shared" si="12"/>
        <v/>
      </c>
      <c r="K718" s="151"/>
      <c r="L718" s="152"/>
      <c r="M718" s="153"/>
      <c r="N718" s="146"/>
      <c r="O718" s="146"/>
      <c r="P718" s="146"/>
      <c r="Q718" s="145" t="s">
        <v>5321</v>
      </c>
    </row>
    <row r="719" spans="4:17" x14ac:dyDescent="0.25">
      <c r="D719" s="146" t="s">
        <v>5322</v>
      </c>
      <c r="E719" s="145" t="s">
        <v>5316</v>
      </c>
      <c r="F719" s="146"/>
      <c r="G719" s="145"/>
      <c r="H719" s="146"/>
      <c r="I719" s="146"/>
      <c r="J719" s="145" t="str">
        <f t="shared" si="12"/>
        <v/>
      </c>
      <c r="K719" s="151"/>
      <c r="L719" s="152"/>
      <c r="M719" s="153"/>
      <c r="N719" s="146"/>
      <c r="O719" s="146"/>
      <c r="P719" s="146"/>
      <c r="Q719" s="145" t="s">
        <v>5323</v>
      </c>
    </row>
    <row r="720" spans="4:17" x14ac:dyDescent="0.25">
      <c r="D720" s="146" t="s">
        <v>5324</v>
      </c>
      <c r="E720" s="145" t="s">
        <v>5316</v>
      </c>
      <c r="F720" s="146"/>
      <c r="G720" s="145"/>
      <c r="H720" s="146"/>
      <c r="I720" s="146"/>
      <c r="J720" s="145" t="str">
        <f t="shared" si="12"/>
        <v/>
      </c>
      <c r="K720" s="151"/>
      <c r="L720" s="152"/>
      <c r="M720" s="153"/>
      <c r="N720" s="146"/>
      <c r="O720" s="146"/>
      <c r="P720" s="146"/>
      <c r="Q720" s="145" t="s">
        <v>5325</v>
      </c>
    </row>
    <row r="721" spans="4:17" x14ac:dyDescent="0.25">
      <c r="D721" s="146" t="s">
        <v>5326</v>
      </c>
      <c r="E721" s="145" t="s">
        <v>5316</v>
      </c>
      <c r="F721" s="146"/>
      <c r="G721" s="145"/>
      <c r="H721" s="146"/>
      <c r="I721" s="146"/>
      <c r="J721" s="145" t="str">
        <f t="shared" si="12"/>
        <v/>
      </c>
      <c r="K721" s="151"/>
      <c r="L721" s="152"/>
      <c r="M721" s="153"/>
      <c r="N721" s="146"/>
      <c r="O721" s="146"/>
      <c r="P721" s="146"/>
      <c r="Q721" s="145" t="s">
        <v>5327</v>
      </c>
    </row>
    <row r="722" spans="4:17" x14ac:dyDescent="0.25">
      <c r="D722" s="146" t="s">
        <v>5328</v>
      </c>
      <c r="E722" s="145" t="s">
        <v>5316</v>
      </c>
      <c r="F722" s="146"/>
      <c r="G722" s="145"/>
      <c r="H722" s="146"/>
      <c r="I722" s="146"/>
      <c r="J722" s="145" t="str">
        <f t="shared" si="12"/>
        <v/>
      </c>
      <c r="K722" s="151"/>
      <c r="L722" s="152"/>
      <c r="M722" s="153"/>
      <c r="N722" s="146"/>
      <c r="O722" s="146"/>
      <c r="P722" s="146"/>
      <c r="Q722" s="145" t="s">
        <v>5329</v>
      </c>
    </row>
    <row r="723" spans="4:17" x14ac:dyDescent="0.25">
      <c r="D723" s="146" t="s">
        <v>5330</v>
      </c>
      <c r="E723" s="145" t="s">
        <v>5316</v>
      </c>
      <c r="F723" s="146"/>
      <c r="G723" s="145"/>
      <c r="H723" s="146"/>
      <c r="I723" s="146"/>
      <c r="J723" s="145" t="str">
        <f t="shared" si="12"/>
        <v/>
      </c>
      <c r="K723" s="151"/>
      <c r="L723" s="152"/>
      <c r="M723" s="153"/>
      <c r="N723" s="146"/>
      <c r="O723" s="146"/>
      <c r="P723" s="146"/>
      <c r="Q723" s="145" t="s">
        <v>5331</v>
      </c>
    </row>
    <row r="724" spans="4:17" x14ac:dyDescent="0.25">
      <c r="D724" s="146" t="s">
        <v>5332</v>
      </c>
      <c r="E724" s="145" t="s">
        <v>5316</v>
      </c>
      <c r="F724" s="146"/>
      <c r="G724" s="145"/>
      <c r="H724" s="146"/>
      <c r="I724" s="146"/>
      <c r="J724" s="145" t="str">
        <f t="shared" si="12"/>
        <v/>
      </c>
      <c r="K724" s="151"/>
      <c r="L724" s="152"/>
      <c r="M724" s="153"/>
      <c r="N724" s="146"/>
      <c r="O724" s="146"/>
      <c r="P724" s="146"/>
      <c r="Q724" s="145" t="s">
        <v>5333</v>
      </c>
    </row>
    <row r="725" spans="4:17" x14ac:dyDescent="0.25">
      <c r="D725" s="146" t="s">
        <v>5334</v>
      </c>
      <c r="E725" s="145" t="s">
        <v>5316</v>
      </c>
      <c r="F725" s="146"/>
      <c r="G725" s="145"/>
      <c r="H725" s="146"/>
      <c r="I725" s="146"/>
      <c r="J725" s="145" t="str">
        <f t="shared" si="12"/>
        <v/>
      </c>
      <c r="K725" s="151"/>
      <c r="L725" s="152"/>
      <c r="M725" s="153"/>
      <c r="N725" s="146"/>
      <c r="O725" s="146"/>
      <c r="P725" s="146"/>
      <c r="Q725" s="145" t="s">
        <v>5335</v>
      </c>
    </row>
    <row r="726" spans="4:17" x14ac:dyDescent="0.25">
      <c r="D726" s="146" t="s">
        <v>5336</v>
      </c>
      <c r="E726" s="145" t="s">
        <v>5316</v>
      </c>
      <c r="F726" s="146"/>
      <c r="G726" s="145"/>
      <c r="H726" s="146"/>
      <c r="I726" s="146"/>
      <c r="J726" s="145" t="str">
        <f t="shared" si="12"/>
        <v/>
      </c>
      <c r="K726" s="151"/>
      <c r="L726" s="152"/>
      <c r="M726" s="153"/>
      <c r="N726" s="146"/>
      <c r="O726" s="146"/>
      <c r="P726" s="146"/>
      <c r="Q726" s="145" t="s">
        <v>5337</v>
      </c>
    </row>
    <row r="727" spans="4:17" x14ac:dyDescent="0.25">
      <c r="D727" s="146" t="s">
        <v>5338</v>
      </c>
      <c r="E727" s="145" t="s">
        <v>5316</v>
      </c>
      <c r="F727" s="146"/>
      <c r="G727" s="145"/>
      <c r="H727" s="146"/>
      <c r="I727" s="146"/>
      <c r="J727" s="145" t="str">
        <f t="shared" si="12"/>
        <v/>
      </c>
      <c r="K727" s="151"/>
      <c r="L727" s="152"/>
      <c r="M727" s="153"/>
      <c r="N727" s="146"/>
      <c r="O727" s="146"/>
      <c r="P727" s="146"/>
      <c r="Q727" s="145" t="s">
        <v>5339</v>
      </c>
    </row>
    <row r="728" spans="4:17" x14ac:dyDescent="0.25">
      <c r="D728" s="146" t="s">
        <v>5340</v>
      </c>
      <c r="E728" s="145" t="s">
        <v>5316</v>
      </c>
      <c r="F728" s="146"/>
      <c r="G728" s="145"/>
      <c r="H728" s="146"/>
      <c r="I728" s="146"/>
      <c r="J728" s="145" t="str">
        <f t="shared" si="12"/>
        <v/>
      </c>
      <c r="K728" s="151"/>
      <c r="L728" s="152"/>
      <c r="M728" s="153"/>
      <c r="N728" s="146"/>
      <c r="O728" s="146"/>
      <c r="P728" s="146"/>
      <c r="Q728" s="145" t="s">
        <v>5341</v>
      </c>
    </row>
    <row r="729" spans="4:17" x14ac:dyDescent="0.25">
      <c r="D729" s="146" t="s">
        <v>5342</v>
      </c>
      <c r="E729" s="145" t="s">
        <v>5316</v>
      </c>
      <c r="F729" s="146"/>
      <c r="G729" s="145"/>
      <c r="H729" s="146"/>
      <c r="I729" s="146"/>
      <c r="J729" s="145" t="str">
        <f t="shared" si="12"/>
        <v/>
      </c>
      <c r="K729" s="151"/>
      <c r="L729" s="152"/>
      <c r="M729" s="153"/>
      <c r="N729" s="146"/>
      <c r="O729" s="146"/>
      <c r="P729" s="146"/>
      <c r="Q729" s="145" t="s">
        <v>5343</v>
      </c>
    </row>
    <row r="730" spans="4:17" x14ac:dyDescent="0.25">
      <c r="D730" s="146" t="s">
        <v>5344</v>
      </c>
      <c r="E730" s="145" t="s">
        <v>5316</v>
      </c>
      <c r="F730" s="146"/>
      <c r="G730" s="145"/>
      <c r="H730" s="146"/>
      <c r="I730" s="146"/>
      <c r="J730" s="145" t="str">
        <f t="shared" si="12"/>
        <v/>
      </c>
      <c r="K730" s="151"/>
      <c r="L730" s="152"/>
      <c r="M730" s="153"/>
      <c r="N730" s="146"/>
      <c r="O730" s="146"/>
      <c r="P730" s="146"/>
      <c r="Q730" s="145" t="s">
        <v>5345</v>
      </c>
    </row>
    <row r="731" spans="4:17" x14ac:dyDescent="0.25">
      <c r="D731" s="146" t="s">
        <v>5346</v>
      </c>
      <c r="E731" s="145" t="s">
        <v>5316</v>
      </c>
      <c r="F731" s="146"/>
      <c r="G731" s="145"/>
      <c r="H731" s="146"/>
      <c r="I731" s="146"/>
      <c r="J731" s="145" t="str">
        <f t="shared" si="12"/>
        <v/>
      </c>
      <c r="K731" s="151"/>
      <c r="L731" s="152"/>
      <c r="M731" s="153"/>
      <c r="N731" s="146"/>
      <c r="O731" s="146"/>
      <c r="P731" s="146"/>
      <c r="Q731" s="145" t="s">
        <v>5347</v>
      </c>
    </row>
    <row r="732" spans="4:17" x14ac:dyDescent="0.25">
      <c r="D732" s="146" t="s">
        <v>5348</v>
      </c>
      <c r="E732" s="145" t="s">
        <v>5316</v>
      </c>
      <c r="F732" s="146"/>
      <c r="G732" s="145"/>
      <c r="H732" s="146"/>
      <c r="I732" s="146"/>
      <c r="J732" s="145" t="str">
        <f t="shared" si="12"/>
        <v/>
      </c>
      <c r="K732" s="151"/>
      <c r="L732" s="152"/>
      <c r="M732" s="153"/>
      <c r="N732" s="146"/>
      <c r="O732" s="146"/>
      <c r="P732" s="146"/>
      <c r="Q732" s="145" t="s">
        <v>5349</v>
      </c>
    </row>
    <row r="733" spans="4:17" x14ac:dyDescent="0.25">
      <c r="D733" s="146" t="s">
        <v>5350</v>
      </c>
      <c r="E733" s="145" t="s">
        <v>5316</v>
      </c>
      <c r="F733" s="146"/>
      <c r="G733" s="145"/>
      <c r="H733" s="146"/>
      <c r="I733" s="146"/>
      <c r="J733" s="145" t="str">
        <f t="shared" si="12"/>
        <v/>
      </c>
      <c r="K733" s="151"/>
      <c r="L733" s="152"/>
      <c r="M733" s="153"/>
      <c r="N733" s="146"/>
      <c r="O733" s="146"/>
      <c r="P733" s="146"/>
      <c r="Q733" s="145" t="s">
        <v>5351</v>
      </c>
    </row>
    <row r="734" spans="4:17" x14ac:dyDescent="0.25">
      <c r="D734" s="146" t="s">
        <v>5352</v>
      </c>
      <c r="E734" s="145" t="s">
        <v>5316</v>
      </c>
      <c r="F734" s="146"/>
      <c r="G734" s="145"/>
      <c r="H734" s="146"/>
      <c r="I734" s="146"/>
      <c r="J734" s="145" t="str">
        <f t="shared" si="12"/>
        <v/>
      </c>
      <c r="K734" s="151"/>
      <c r="L734" s="152"/>
      <c r="M734" s="153"/>
      <c r="N734" s="146"/>
      <c r="O734" s="146"/>
      <c r="P734" s="146"/>
      <c r="Q734" s="145" t="s">
        <v>5353</v>
      </c>
    </row>
    <row r="735" spans="4:17" x14ac:dyDescent="0.25">
      <c r="D735" s="146" t="s">
        <v>5354</v>
      </c>
      <c r="E735" s="145" t="s">
        <v>5316</v>
      </c>
      <c r="F735" s="146"/>
      <c r="G735" s="145"/>
      <c r="H735" s="146"/>
      <c r="I735" s="146"/>
      <c r="J735" s="145" t="str">
        <f t="shared" si="12"/>
        <v/>
      </c>
      <c r="K735" s="151"/>
      <c r="L735" s="152"/>
      <c r="M735" s="153"/>
      <c r="N735" s="146"/>
      <c r="O735" s="146"/>
      <c r="P735" s="146"/>
      <c r="Q735" s="145" t="s">
        <v>5355</v>
      </c>
    </row>
    <row r="736" spans="4:17" x14ac:dyDescent="0.25">
      <c r="D736" s="146" t="s">
        <v>5356</v>
      </c>
      <c r="E736" s="145" t="s">
        <v>5357</v>
      </c>
      <c r="F736" s="146"/>
      <c r="G736" s="145"/>
      <c r="H736" s="146"/>
      <c r="I736" s="146"/>
      <c r="J736" s="145" t="str">
        <f t="shared" si="12"/>
        <v/>
      </c>
      <c r="K736" s="151"/>
      <c r="L736" s="152"/>
      <c r="M736" s="153"/>
      <c r="N736" s="146"/>
      <c r="O736" s="146"/>
      <c r="P736" s="146"/>
      <c r="Q736" s="145" t="s">
        <v>5358</v>
      </c>
    </row>
    <row r="737" spans="4:17" x14ac:dyDescent="0.25">
      <c r="D737" s="146" t="s">
        <v>5359</v>
      </c>
      <c r="E737" s="145" t="s">
        <v>5357</v>
      </c>
      <c r="F737" s="146"/>
      <c r="G737" s="145"/>
      <c r="H737" s="146"/>
      <c r="I737" s="146"/>
      <c r="J737" s="145" t="str">
        <f t="shared" si="12"/>
        <v/>
      </c>
      <c r="K737" s="151"/>
      <c r="L737" s="152"/>
      <c r="M737" s="153"/>
      <c r="N737" s="146"/>
      <c r="O737" s="146"/>
      <c r="P737" s="146"/>
      <c r="Q737" s="145" t="s">
        <v>5360</v>
      </c>
    </row>
    <row r="738" spans="4:17" x14ac:dyDescent="0.25">
      <c r="D738" s="146" t="s">
        <v>5361</v>
      </c>
      <c r="E738" s="145" t="s">
        <v>5357</v>
      </c>
      <c r="F738" s="146"/>
      <c r="G738" s="145"/>
      <c r="H738" s="146"/>
      <c r="I738" s="146"/>
      <c r="J738" s="145" t="str">
        <f t="shared" si="12"/>
        <v/>
      </c>
      <c r="K738" s="151"/>
      <c r="L738" s="152"/>
      <c r="M738" s="153"/>
      <c r="N738" s="146"/>
      <c r="O738" s="146"/>
      <c r="P738" s="146"/>
      <c r="Q738" s="145" t="s">
        <v>5362</v>
      </c>
    </row>
    <row r="739" spans="4:17" x14ac:dyDescent="0.25">
      <c r="D739" s="146" t="s">
        <v>5363</v>
      </c>
      <c r="E739" s="145" t="s">
        <v>5357</v>
      </c>
      <c r="F739" s="146"/>
      <c r="G739" s="145"/>
      <c r="H739" s="146"/>
      <c r="I739" s="146"/>
      <c r="J739" s="145" t="str">
        <f t="shared" si="12"/>
        <v/>
      </c>
      <c r="K739" s="151"/>
      <c r="L739" s="152"/>
      <c r="M739" s="153"/>
      <c r="N739" s="146"/>
      <c r="O739" s="146"/>
      <c r="P739" s="146"/>
      <c r="Q739" s="145" t="s">
        <v>5364</v>
      </c>
    </row>
    <row r="740" spans="4:17" x14ac:dyDescent="0.25">
      <c r="D740" s="146" t="s">
        <v>5365</v>
      </c>
      <c r="E740" s="145" t="s">
        <v>5357</v>
      </c>
      <c r="F740" s="146"/>
      <c r="G740" s="145"/>
      <c r="H740" s="146"/>
      <c r="I740" s="146"/>
      <c r="J740" s="145" t="str">
        <f t="shared" si="12"/>
        <v/>
      </c>
      <c r="K740" s="151"/>
      <c r="L740" s="152"/>
      <c r="M740" s="153"/>
      <c r="N740" s="146"/>
      <c r="O740" s="146"/>
      <c r="P740" s="146"/>
      <c r="Q740" s="145" t="s">
        <v>5366</v>
      </c>
    </row>
    <row r="741" spans="4:17" x14ac:dyDescent="0.25">
      <c r="D741" s="146" t="s">
        <v>5367</v>
      </c>
      <c r="E741" s="145" t="s">
        <v>5357</v>
      </c>
      <c r="F741" s="146"/>
      <c r="G741" s="145"/>
      <c r="H741" s="146"/>
      <c r="I741" s="146"/>
      <c r="J741" s="145" t="str">
        <f t="shared" si="12"/>
        <v/>
      </c>
      <c r="K741" s="151"/>
      <c r="L741" s="152"/>
      <c r="M741" s="153"/>
      <c r="N741" s="146"/>
      <c r="O741" s="146"/>
      <c r="P741" s="146"/>
      <c r="Q741" s="145" t="s">
        <v>5368</v>
      </c>
    </row>
    <row r="742" spans="4:17" x14ac:dyDescent="0.25">
      <c r="D742" s="146" t="s">
        <v>5369</v>
      </c>
      <c r="E742" s="145" t="s">
        <v>5357</v>
      </c>
      <c r="F742" s="146"/>
      <c r="G742" s="145"/>
      <c r="H742" s="146"/>
      <c r="I742" s="146"/>
      <c r="J742" s="145" t="str">
        <f t="shared" si="12"/>
        <v/>
      </c>
      <c r="K742" s="151"/>
      <c r="L742" s="152"/>
      <c r="M742" s="153"/>
      <c r="N742" s="146"/>
      <c r="O742" s="146"/>
      <c r="P742" s="146"/>
      <c r="Q742" s="145" t="s">
        <v>5370</v>
      </c>
    </row>
    <row r="743" spans="4:17" x14ac:dyDescent="0.25">
      <c r="D743" s="146" t="s">
        <v>5371</v>
      </c>
      <c r="E743" s="145" t="s">
        <v>5357</v>
      </c>
      <c r="F743" s="146"/>
      <c r="G743" s="145"/>
      <c r="H743" s="146"/>
      <c r="I743" s="146"/>
      <c r="J743" s="145" t="str">
        <f t="shared" si="12"/>
        <v/>
      </c>
      <c r="K743" s="151"/>
      <c r="L743" s="152"/>
      <c r="M743" s="153"/>
      <c r="N743" s="146"/>
      <c r="O743" s="146"/>
      <c r="P743" s="146"/>
      <c r="Q743" s="145" t="s">
        <v>5372</v>
      </c>
    </row>
    <row r="744" spans="4:17" x14ac:dyDescent="0.25">
      <c r="D744" s="146" t="s">
        <v>5373</v>
      </c>
      <c r="E744" s="145" t="s">
        <v>5357</v>
      </c>
      <c r="F744" s="146"/>
      <c r="G744" s="145"/>
      <c r="H744" s="146"/>
      <c r="I744" s="146"/>
      <c r="J744" s="145" t="str">
        <f t="shared" si="12"/>
        <v/>
      </c>
      <c r="K744" s="151"/>
      <c r="L744" s="152"/>
      <c r="M744" s="153"/>
      <c r="N744" s="146"/>
      <c r="O744" s="146"/>
      <c r="P744" s="146"/>
      <c r="Q744" s="145" t="s">
        <v>5374</v>
      </c>
    </row>
    <row r="745" spans="4:17" x14ac:dyDescent="0.25">
      <c r="D745" s="146" t="s">
        <v>5375</v>
      </c>
      <c r="E745" s="145" t="s">
        <v>5357</v>
      </c>
      <c r="F745" s="146"/>
      <c r="G745" s="145"/>
      <c r="H745" s="146"/>
      <c r="I745" s="146"/>
      <c r="J745" s="145" t="str">
        <f t="shared" si="12"/>
        <v/>
      </c>
      <c r="K745" s="151"/>
      <c r="L745" s="152"/>
      <c r="M745" s="153"/>
      <c r="N745" s="146"/>
      <c r="O745" s="146"/>
      <c r="P745" s="146"/>
      <c r="Q745" s="145" t="s">
        <v>5376</v>
      </c>
    </row>
    <row r="746" spans="4:17" x14ac:dyDescent="0.25">
      <c r="D746" s="146" t="s">
        <v>5377</v>
      </c>
      <c r="E746" s="145" t="s">
        <v>5357</v>
      </c>
      <c r="F746" s="146"/>
      <c r="G746" s="145"/>
      <c r="H746" s="146"/>
      <c r="I746" s="146"/>
      <c r="J746" s="145" t="str">
        <f t="shared" si="12"/>
        <v/>
      </c>
      <c r="K746" s="151"/>
      <c r="L746" s="152"/>
      <c r="M746" s="153"/>
      <c r="N746" s="146"/>
      <c r="O746" s="146"/>
      <c r="P746" s="146"/>
      <c r="Q746" s="145" t="s">
        <v>5378</v>
      </c>
    </row>
    <row r="747" spans="4:17" x14ac:dyDescent="0.25">
      <c r="D747" s="146" t="s">
        <v>5379</v>
      </c>
      <c r="E747" s="145" t="s">
        <v>5357</v>
      </c>
      <c r="F747" s="146"/>
      <c r="G747" s="145"/>
      <c r="H747" s="146"/>
      <c r="I747" s="146"/>
      <c r="J747" s="145" t="str">
        <f t="shared" si="12"/>
        <v/>
      </c>
      <c r="K747" s="151"/>
      <c r="L747" s="152"/>
      <c r="M747" s="153"/>
      <c r="N747" s="146"/>
      <c r="O747" s="146"/>
      <c r="P747" s="146"/>
      <c r="Q747" s="145" t="s">
        <v>5380</v>
      </c>
    </row>
    <row r="748" spans="4:17" x14ac:dyDescent="0.25">
      <c r="D748" s="146" t="s">
        <v>5381</v>
      </c>
      <c r="E748" s="145" t="s">
        <v>5357</v>
      </c>
      <c r="F748" s="146"/>
      <c r="G748" s="145"/>
      <c r="H748" s="146"/>
      <c r="I748" s="146"/>
      <c r="J748" s="145" t="str">
        <f t="shared" si="12"/>
        <v/>
      </c>
      <c r="K748" s="151"/>
      <c r="L748" s="152"/>
      <c r="M748" s="153"/>
      <c r="N748" s="146"/>
      <c r="O748" s="146"/>
      <c r="P748" s="146"/>
      <c r="Q748" s="145" t="s">
        <v>5382</v>
      </c>
    </row>
    <row r="749" spans="4:17" x14ac:dyDescent="0.25">
      <c r="D749" s="146" t="s">
        <v>5383</v>
      </c>
      <c r="E749" s="145" t="s">
        <v>5357</v>
      </c>
      <c r="F749" s="146"/>
      <c r="G749" s="145"/>
      <c r="H749" s="146"/>
      <c r="I749" s="146"/>
      <c r="J749" s="145" t="str">
        <f t="shared" si="12"/>
        <v/>
      </c>
      <c r="K749" s="151"/>
      <c r="L749" s="152"/>
      <c r="M749" s="153"/>
      <c r="N749" s="146"/>
      <c r="O749" s="146"/>
      <c r="P749" s="146"/>
      <c r="Q749" s="145" t="s">
        <v>5384</v>
      </c>
    </row>
    <row r="750" spans="4:17" x14ac:dyDescent="0.25">
      <c r="D750" s="146" t="s">
        <v>5385</v>
      </c>
      <c r="E750" s="145" t="s">
        <v>5357</v>
      </c>
      <c r="F750" s="146"/>
      <c r="G750" s="145"/>
      <c r="H750" s="146"/>
      <c r="I750" s="146"/>
      <c r="J750" s="145" t="str">
        <f t="shared" si="12"/>
        <v/>
      </c>
      <c r="K750" s="151"/>
      <c r="L750" s="152"/>
      <c r="M750" s="153"/>
      <c r="N750" s="146"/>
      <c r="O750" s="146"/>
      <c r="P750" s="146"/>
      <c r="Q750" s="145" t="s">
        <v>5386</v>
      </c>
    </row>
    <row r="751" spans="4:17" x14ac:dyDescent="0.25">
      <c r="D751" s="146" t="s">
        <v>5387</v>
      </c>
      <c r="E751" s="145" t="s">
        <v>5357</v>
      </c>
      <c r="F751" s="146"/>
      <c r="G751" s="145"/>
      <c r="H751" s="146"/>
      <c r="I751" s="146"/>
      <c r="J751" s="145" t="str">
        <f t="shared" si="12"/>
        <v/>
      </c>
      <c r="K751" s="151"/>
      <c r="L751" s="152"/>
      <c r="M751" s="153"/>
      <c r="N751" s="146"/>
      <c r="O751" s="146"/>
      <c r="P751" s="146"/>
      <c r="Q751" s="145" t="s">
        <v>5388</v>
      </c>
    </row>
    <row r="752" spans="4:17" x14ac:dyDescent="0.25">
      <c r="D752" s="146" t="s">
        <v>5389</v>
      </c>
      <c r="E752" s="145" t="s">
        <v>5357</v>
      </c>
      <c r="F752" s="146"/>
      <c r="G752" s="145"/>
      <c r="H752" s="146"/>
      <c r="I752" s="146"/>
      <c r="J752" s="145" t="str">
        <f t="shared" si="12"/>
        <v/>
      </c>
      <c r="K752" s="151"/>
      <c r="L752" s="152"/>
      <c r="M752" s="153"/>
      <c r="N752" s="146"/>
      <c r="O752" s="146"/>
      <c r="P752" s="146"/>
      <c r="Q752" s="145" t="s">
        <v>5390</v>
      </c>
    </row>
    <row r="753" spans="4:17" x14ac:dyDescent="0.25">
      <c r="D753" s="146" t="s">
        <v>5391</v>
      </c>
      <c r="E753" s="145" t="s">
        <v>5357</v>
      </c>
      <c r="F753" s="146"/>
      <c r="G753" s="145"/>
      <c r="H753" s="146"/>
      <c r="I753" s="146"/>
      <c r="J753" s="145" t="str">
        <f t="shared" si="12"/>
        <v/>
      </c>
      <c r="K753" s="151"/>
      <c r="L753" s="152"/>
      <c r="M753" s="153"/>
      <c r="N753" s="146"/>
      <c r="O753" s="146"/>
      <c r="P753" s="146"/>
      <c r="Q753" s="145" t="s">
        <v>5392</v>
      </c>
    </row>
    <row r="754" spans="4:17" x14ac:dyDescent="0.25">
      <c r="D754" s="146" t="s">
        <v>5393</v>
      </c>
      <c r="E754" s="145" t="s">
        <v>5357</v>
      </c>
      <c r="F754" s="146"/>
      <c r="G754" s="145"/>
      <c r="H754" s="146"/>
      <c r="I754" s="146"/>
      <c r="J754" s="145" t="str">
        <f t="shared" si="12"/>
        <v/>
      </c>
      <c r="K754" s="151"/>
      <c r="L754" s="152"/>
      <c r="M754" s="153"/>
      <c r="N754" s="146"/>
      <c r="O754" s="146"/>
      <c r="P754" s="146"/>
      <c r="Q754" s="145" t="s">
        <v>5394</v>
      </c>
    </row>
    <row r="755" spans="4:17" x14ac:dyDescent="0.25">
      <c r="D755" s="146" t="s">
        <v>5395</v>
      </c>
      <c r="E755" s="145" t="s">
        <v>5357</v>
      </c>
      <c r="F755" s="146"/>
      <c r="G755" s="145"/>
      <c r="H755" s="146"/>
      <c r="I755" s="146"/>
      <c r="J755" s="145" t="str">
        <f t="shared" si="12"/>
        <v/>
      </c>
      <c r="K755" s="151"/>
      <c r="L755" s="152"/>
      <c r="M755" s="153"/>
      <c r="N755" s="146"/>
      <c r="O755" s="146"/>
      <c r="P755" s="146"/>
      <c r="Q755" s="145" t="s">
        <v>5396</v>
      </c>
    </row>
    <row r="756" spans="4:17" x14ac:dyDescent="0.25">
      <c r="D756" s="146" t="s">
        <v>5397</v>
      </c>
      <c r="E756" s="145" t="s">
        <v>5398</v>
      </c>
      <c r="F756" s="146"/>
      <c r="G756" s="145"/>
      <c r="H756" s="146"/>
      <c r="I756" s="146"/>
      <c r="J756" s="145" t="str">
        <f t="shared" si="12"/>
        <v/>
      </c>
      <c r="K756" s="151"/>
      <c r="L756" s="152"/>
      <c r="M756" s="153"/>
      <c r="N756" s="146"/>
      <c r="O756" s="146"/>
      <c r="P756" s="146"/>
      <c r="Q756" s="145" t="s">
        <v>5399</v>
      </c>
    </row>
    <row r="757" spans="4:17" x14ac:dyDescent="0.25">
      <c r="D757" s="146" t="s">
        <v>5400</v>
      </c>
      <c r="E757" s="145" t="s">
        <v>5398</v>
      </c>
      <c r="F757" s="146"/>
      <c r="G757" s="145"/>
      <c r="H757" s="146"/>
      <c r="I757" s="146"/>
      <c r="J757" s="145" t="str">
        <f t="shared" si="12"/>
        <v/>
      </c>
      <c r="K757" s="151"/>
      <c r="L757" s="152"/>
      <c r="M757" s="153"/>
      <c r="N757" s="146"/>
      <c r="O757" s="146"/>
      <c r="P757" s="146"/>
      <c r="Q757" s="145" t="s">
        <v>5401</v>
      </c>
    </row>
    <row r="758" spans="4:17" x14ac:dyDescent="0.25">
      <c r="D758" s="146" t="s">
        <v>5402</v>
      </c>
      <c r="E758" s="145" t="s">
        <v>5398</v>
      </c>
      <c r="F758" s="146"/>
      <c r="G758" s="145"/>
      <c r="H758" s="146"/>
      <c r="I758" s="146"/>
      <c r="J758" s="145" t="str">
        <f t="shared" si="12"/>
        <v/>
      </c>
      <c r="K758" s="151"/>
      <c r="L758" s="152"/>
      <c r="M758" s="153"/>
      <c r="N758" s="146"/>
      <c r="O758" s="146"/>
      <c r="P758" s="146"/>
      <c r="Q758" s="145" t="s">
        <v>5403</v>
      </c>
    </row>
    <row r="759" spans="4:17" x14ac:dyDescent="0.25">
      <c r="D759" s="146" t="s">
        <v>5404</v>
      </c>
      <c r="E759" s="145" t="s">
        <v>5398</v>
      </c>
      <c r="F759" s="146"/>
      <c r="G759" s="145"/>
      <c r="H759" s="146"/>
      <c r="I759" s="146"/>
      <c r="J759" s="145" t="str">
        <f t="shared" si="12"/>
        <v/>
      </c>
      <c r="K759" s="151"/>
      <c r="L759" s="152"/>
      <c r="M759" s="153"/>
      <c r="N759" s="146"/>
      <c r="O759" s="146"/>
      <c r="P759" s="146"/>
      <c r="Q759" s="145" t="s">
        <v>5405</v>
      </c>
    </row>
    <row r="760" spans="4:17" x14ac:dyDescent="0.25">
      <c r="D760" s="146" t="s">
        <v>5406</v>
      </c>
      <c r="E760" s="145" t="s">
        <v>5398</v>
      </c>
      <c r="F760" s="146"/>
      <c r="G760" s="145"/>
      <c r="H760" s="146"/>
      <c r="I760" s="146"/>
      <c r="J760" s="145" t="str">
        <f t="shared" si="12"/>
        <v/>
      </c>
      <c r="K760" s="151"/>
      <c r="L760" s="152"/>
      <c r="M760" s="153"/>
      <c r="N760" s="146"/>
      <c r="O760" s="146"/>
      <c r="P760" s="146"/>
      <c r="Q760" s="145" t="s">
        <v>5407</v>
      </c>
    </row>
    <row r="761" spans="4:17" x14ac:dyDescent="0.25">
      <c r="D761" s="146" t="s">
        <v>5408</v>
      </c>
      <c r="E761" s="145" t="s">
        <v>5398</v>
      </c>
      <c r="F761" s="146"/>
      <c r="G761" s="145"/>
      <c r="H761" s="146"/>
      <c r="I761" s="146"/>
      <c r="J761" s="145" t="str">
        <f t="shared" si="12"/>
        <v/>
      </c>
      <c r="K761" s="151"/>
      <c r="L761" s="152"/>
      <c r="M761" s="153"/>
      <c r="N761" s="146"/>
      <c r="O761" s="146"/>
      <c r="P761" s="146"/>
      <c r="Q761" s="145" t="s">
        <v>5409</v>
      </c>
    </row>
    <row r="762" spans="4:17" x14ac:dyDescent="0.25">
      <c r="D762" s="146" t="s">
        <v>5410</v>
      </c>
      <c r="E762" s="145" t="s">
        <v>5398</v>
      </c>
      <c r="F762" s="146"/>
      <c r="G762" s="145"/>
      <c r="H762" s="146"/>
      <c r="I762" s="146"/>
      <c r="J762" s="145" t="str">
        <f t="shared" si="12"/>
        <v/>
      </c>
      <c r="K762" s="151"/>
      <c r="L762" s="152"/>
      <c r="M762" s="153"/>
      <c r="N762" s="146"/>
      <c r="O762" s="146"/>
      <c r="P762" s="146"/>
      <c r="Q762" s="145" t="s">
        <v>5411</v>
      </c>
    </row>
    <row r="763" spans="4:17" x14ac:dyDescent="0.25">
      <c r="D763" s="146" t="s">
        <v>5412</v>
      </c>
      <c r="E763" s="145" t="s">
        <v>5398</v>
      </c>
      <c r="F763" s="146"/>
      <c r="G763" s="145"/>
      <c r="H763" s="146"/>
      <c r="I763" s="146"/>
      <c r="J763" s="145" t="str">
        <f t="shared" si="12"/>
        <v/>
      </c>
      <c r="K763" s="151"/>
      <c r="L763" s="152"/>
      <c r="M763" s="153"/>
      <c r="N763" s="146"/>
      <c r="O763" s="146"/>
      <c r="P763" s="146"/>
      <c r="Q763" s="145" t="s">
        <v>5413</v>
      </c>
    </row>
    <row r="764" spans="4:17" x14ac:dyDescent="0.25">
      <c r="D764" s="146" t="s">
        <v>5414</v>
      </c>
      <c r="E764" s="145" t="s">
        <v>5398</v>
      </c>
      <c r="F764" s="146"/>
      <c r="G764" s="145"/>
      <c r="H764" s="146"/>
      <c r="I764" s="146"/>
      <c r="J764" s="145" t="str">
        <f t="shared" ref="J764:J827" si="13">F764&amp;H764&amp;I764</f>
        <v/>
      </c>
      <c r="K764" s="151"/>
      <c r="L764" s="152"/>
      <c r="M764" s="153"/>
      <c r="N764" s="146"/>
      <c r="O764" s="146"/>
      <c r="P764" s="146"/>
      <c r="Q764" s="145" t="s">
        <v>5415</v>
      </c>
    </row>
    <row r="765" spans="4:17" x14ac:dyDescent="0.25">
      <c r="D765" s="146" t="s">
        <v>5416</v>
      </c>
      <c r="E765" s="145" t="s">
        <v>5398</v>
      </c>
      <c r="F765" s="146"/>
      <c r="G765" s="145"/>
      <c r="H765" s="146"/>
      <c r="I765" s="146"/>
      <c r="J765" s="145" t="str">
        <f t="shared" si="13"/>
        <v/>
      </c>
      <c r="K765" s="151"/>
      <c r="L765" s="152"/>
      <c r="M765" s="153"/>
      <c r="N765" s="146"/>
      <c r="O765" s="146"/>
      <c r="P765" s="146"/>
      <c r="Q765" s="145" t="s">
        <v>5417</v>
      </c>
    </row>
    <row r="766" spans="4:17" x14ac:dyDescent="0.25">
      <c r="D766" s="146" t="s">
        <v>5418</v>
      </c>
      <c r="E766" s="145" t="s">
        <v>5398</v>
      </c>
      <c r="F766" s="146"/>
      <c r="G766" s="145"/>
      <c r="H766" s="146"/>
      <c r="I766" s="146"/>
      <c r="J766" s="145" t="str">
        <f t="shared" si="13"/>
        <v/>
      </c>
      <c r="K766" s="151"/>
      <c r="L766" s="152"/>
      <c r="M766" s="153"/>
      <c r="N766" s="146"/>
      <c r="O766" s="146"/>
      <c r="P766" s="146"/>
      <c r="Q766" s="145" t="s">
        <v>5419</v>
      </c>
    </row>
    <row r="767" spans="4:17" x14ac:dyDescent="0.25">
      <c r="D767" s="146" t="s">
        <v>5420</v>
      </c>
      <c r="E767" s="145" t="s">
        <v>5398</v>
      </c>
      <c r="F767" s="146"/>
      <c r="G767" s="145"/>
      <c r="H767" s="146"/>
      <c r="I767" s="146"/>
      <c r="J767" s="145" t="str">
        <f t="shared" si="13"/>
        <v/>
      </c>
      <c r="K767" s="151"/>
      <c r="L767" s="152"/>
      <c r="M767" s="153"/>
      <c r="N767" s="146"/>
      <c r="O767" s="146"/>
      <c r="P767" s="146"/>
      <c r="Q767" s="145" t="s">
        <v>5421</v>
      </c>
    </row>
    <row r="768" spans="4:17" x14ac:dyDescent="0.25">
      <c r="D768" s="146" t="s">
        <v>5422</v>
      </c>
      <c r="E768" s="145" t="s">
        <v>5398</v>
      </c>
      <c r="F768" s="146"/>
      <c r="G768" s="145"/>
      <c r="H768" s="146"/>
      <c r="I768" s="146"/>
      <c r="J768" s="145" t="str">
        <f t="shared" si="13"/>
        <v/>
      </c>
      <c r="K768" s="151"/>
      <c r="L768" s="152"/>
      <c r="M768" s="153"/>
      <c r="N768" s="146"/>
      <c r="O768" s="146"/>
      <c r="P768" s="146"/>
      <c r="Q768" s="145" t="s">
        <v>5423</v>
      </c>
    </row>
    <row r="769" spans="4:17" x14ac:dyDescent="0.25">
      <c r="D769" s="146" t="s">
        <v>5424</v>
      </c>
      <c r="E769" s="145" t="s">
        <v>5398</v>
      </c>
      <c r="F769" s="146"/>
      <c r="G769" s="145"/>
      <c r="H769" s="146"/>
      <c r="I769" s="146"/>
      <c r="J769" s="145" t="str">
        <f t="shared" si="13"/>
        <v/>
      </c>
      <c r="K769" s="151"/>
      <c r="L769" s="152"/>
      <c r="M769" s="153"/>
      <c r="N769" s="146"/>
      <c r="O769" s="146"/>
      <c r="P769" s="146"/>
      <c r="Q769" s="145" t="s">
        <v>5425</v>
      </c>
    </row>
    <row r="770" spans="4:17" x14ac:dyDescent="0.25">
      <c r="D770" s="146" t="s">
        <v>5426</v>
      </c>
      <c r="E770" s="145" t="s">
        <v>5398</v>
      </c>
      <c r="F770" s="146"/>
      <c r="G770" s="145"/>
      <c r="H770" s="146"/>
      <c r="I770" s="146"/>
      <c r="J770" s="145" t="str">
        <f t="shared" si="13"/>
        <v/>
      </c>
      <c r="K770" s="151"/>
      <c r="L770" s="152"/>
      <c r="M770" s="153"/>
      <c r="N770" s="146"/>
      <c r="O770" s="146"/>
      <c r="P770" s="146"/>
      <c r="Q770" s="145" t="s">
        <v>5427</v>
      </c>
    </row>
    <row r="771" spans="4:17" x14ac:dyDescent="0.25">
      <c r="D771" s="146" t="s">
        <v>5428</v>
      </c>
      <c r="E771" s="145" t="s">
        <v>5398</v>
      </c>
      <c r="F771" s="146"/>
      <c r="G771" s="145"/>
      <c r="H771" s="146"/>
      <c r="I771" s="146"/>
      <c r="J771" s="145" t="str">
        <f t="shared" si="13"/>
        <v/>
      </c>
      <c r="K771" s="151"/>
      <c r="L771" s="152"/>
      <c r="M771" s="153"/>
      <c r="N771" s="146"/>
      <c r="O771" s="146"/>
      <c r="P771" s="146"/>
      <c r="Q771" s="145" t="s">
        <v>5429</v>
      </c>
    </row>
    <row r="772" spans="4:17" x14ac:dyDescent="0.25">
      <c r="D772" s="146" t="s">
        <v>5430</v>
      </c>
      <c r="E772" s="145" t="s">
        <v>5398</v>
      </c>
      <c r="F772" s="146"/>
      <c r="G772" s="145"/>
      <c r="H772" s="146"/>
      <c r="I772" s="146"/>
      <c r="J772" s="145" t="str">
        <f t="shared" si="13"/>
        <v/>
      </c>
      <c r="K772" s="151"/>
      <c r="L772" s="152"/>
      <c r="M772" s="153"/>
      <c r="N772" s="146"/>
      <c r="O772" s="146"/>
      <c r="P772" s="146"/>
      <c r="Q772" s="145" t="s">
        <v>5431</v>
      </c>
    </row>
    <row r="773" spans="4:17" x14ac:dyDescent="0.25">
      <c r="D773" s="146" t="s">
        <v>5432</v>
      </c>
      <c r="E773" s="145" t="s">
        <v>5398</v>
      </c>
      <c r="F773" s="146"/>
      <c r="G773" s="145"/>
      <c r="H773" s="146"/>
      <c r="I773" s="146"/>
      <c r="J773" s="145" t="str">
        <f t="shared" si="13"/>
        <v/>
      </c>
      <c r="K773" s="151"/>
      <c r="L773" s="152"/>
      <c r="M773" s="153"/>
      <c r="N773" s="146"/>
      <c r="O773" s="146"/>
      <c r="P773" s="146"/>
      <c r="Q773" s="145" t="s">
        <v>5433</v>
      </c>
    </row>
    <row r="774" spans="4:17" x14ac:dyDescent="0.25">
      <c r="D774" s="146" t="s">
        <v>5434</v>
      </c>
      <c r="E774" s="145" t="s">
        <v>5398</v>
      </c>
      <c r="F774" s="146"/>
      <c r="G774" s="145"/>
      <c r="H774" s="146"/>
      <c r="I774" s="146"/>
      <c r="J774" s="145" t="str">
        <f t="shared" si="13"/>
        <v/>
      </c>
      <c r="K774" s="151"/>
      <c r="L774" s="152"/>
      <c r="M774" s="153"/>
      <c r="N774" s="146"/>
      <c r="O774" s="146"/>
      <c r="P774" s="146"/>
      <c r="Q774" s="145" t="s">
        <v>5435</v>
      </c>
    </row>
    <row r="775" spans="4:17" x14ac:dyDescent="0.25">
      <c r="D775" s="146" t="s">
        <v>5436</v>
      </c>
      <c r="E775" s="145" t="s">
        <v>5398</v>
      </c>
      <c r="F775" s="146"/>
      <c r="G775" s="145"/>
      <c r="H775" s="146"/>
      <c r="I775" s="146"/>
      <c r="J775" s="145" t="str">
        <f t="shared" si="13"/>
        <v/>
      </c>
      <c r="K775" s="151"/>
      <c r="L775" s="152"/>
      <c r="M775" s="153"/>
      <c r="N775" s="146"/>
      <c r="O775" s="146"/>
      <c r="P775" s="146"/>
      <c r="Q775" s="145" t="s">
        <v>5437</v>
      </c>
    </row>
    <row r="776" spans="4:17" x14ac:dyDescent="0.25">
      <c r="D776" s="146" t="s">
        <v>5438</v>
      </c>
      <c r="E776" s="145" t="s">
        <v>5439</v>
      </c>
      <c r="F776" s="146"/>
      <c r="G776" s="145"/>
      <c r="H776" s="146"/>
      <c r="I776" s="146"/>
      <c r="J776" s="145" t="str">
        <f t="shared" si="13"/>
        <v/>
      </c>
      <c r="K776" s="151"/>
      <c r="L776" s="152"/>
      <c r="M776" s="153"/>
      <c r="N776" s="146"/>
      <c r="O776" s="146"/>
      <c r="P776" s="146"/>
      <c r="Q776" s="145" t="s">
        <v>5440</v>
      </c>
    </row>
    <row r="777" spans="4:17" x14ac:dyDescent="0.25">
      <c r="D777" s="146" t="s">
        <v>5441</v>
      </c>
      <c r="E777" s="145" t="s">
        <v>5439</v>
      </c>
      <c r="F777" s="146"/>
      <c r="G777" s="145"/>
      <c r="H777" s="146"/>
      <c r="I777" s="146"/>
      <c r="J777" s="145" t="str">
        <f t="shared" si="13"/>
        <v/>
      </c>
      <c r="K777" s="151"/>
      <c r="L777" s="152"/>
      <c r="M777" s="153"/>
      <c r="N777" s="146"/>
      <c r="O777" s="146"/>
      <c r="P777" s="146"/>
      <c r="Q777" s="145" t="s">
        <v>5442</v>
      </c>
    </row>
    <row r="778" spans="4:17" x14ac:dyDescent="0.25">
      <c r="D778" s="146" t="s">
        <v>5443</v>
      </c>
      <c r="E778" s="145" t="s">
        <v>5439</v>
      </c>
      <c r="F778" s="146"/>
      <c r="G778" s="145"/>
      <c r="H778" s="146"/>
      <c r="I778" s="146"/>
      <c r="J778" s="145" t="str">
        <f t="shared" si="13"/>
        <v/>
      </c>
      <c r="K778" s="151"/>
      <c r="L778" s="152"/>
      <c r="M778" s="153"/>
      <c r="N778" s="146"/>
      <c r="O778" s="146"/>
      <c r="P778" s="146"/>
      <c r="Q778" s="145" t="s">
        <v>5444</v>
      </c>
    </row>
    <row r="779" spans="4:17" x14ac:dyDescent="0.25">
      <c r="D779" s="146" t="s">
        <v>5445</v>
      </c>
      <c r="E779" s="145" t="s">
        <v>5439</v>
      </c>
      <c r="F779" s="146"/>
      <c r="G779" s="145"/>
      <c r="H779" s="146"/>
      <c r="I779" s="146"/>
      <c r="J779" s="145" t="str">
        <f t="shared" si="13"/>
        <v/>
      </c>
      <c r="K779" s="151"/>
      <c r="L779" s="152"/>
      <c r="M779" s="153"/>
      <c r="N779" s="146"/>
      <c r="O779" s="146"/>
      <c r="P779" s="146"/>
      <c r="Q779" s="145" t="s">
        <v>5446</v>
      </c>
    </row>
    <row r="780" spans="4:17" x14ac:dyDescent="0.25">
      <c r="D780" s="146" t="s">
        <v>5447</v>
      </c>
      <c r="E780" s="145" t="s">
        <v>5439</v>
      </c>
      <c r="F780" s="146"/>
      <c r="G780" s="145"/>
      <c r="H780" s="146"/>
      <c r="I780" s="146"/>
      <c r="J780" s="145" t="str">
        <f t="shared" si="13"/>
        <v/>
      </c>
      <c r="K780" s="151"/>
      <c r="L780" s="152"/>
      <c r="M780" s="153"/>
      <c r="N780" s="146"/>
      <c r="O780" s="146"/>
      <c r="P780" s="146"/>
      <c r="Q780" s="145" t="s">
        <v>5448</v>
      </c>
    </row>
    <row r="781" spans="4:17" x14ac:dyDescent="0.25">
      <c r="D781" s="146" t="s">
        <v>5449</v>
      </c>
      <c r="E781" s="145" t="s">
        <v>5439</v>
      </c>
      <c r="F781" s="146"/>
      <c r="G781" s="145"/>
      <c r="H781" s="146"/>
      <c r="I781" s="146"/>
      <c r="J781" s="145" t="str">
        <f t="shared" si="13"/>
        <v/>
      </c>
      <c r="K781" s="151"/>
      <c r="L781" s="152"/>
      <c r="M781" s="153"/>
      <c r="N781" s="146"/>
      <c r="O781" s="146"/>
      <c r="P781" s="146"/>
      <c r="Q781" s="145" t="s">
        <v>5450</v>
      </c>
    </row>
    <row r="782" spans="4:17" x14ac:dyDescent="0.25">
      <c r="D782" s="146" t="s">
        <v>5451</v>
      </c>
      <c r="E782" s="145" t="s">
        <v>5439</v>
      </c>
      <c r="F782" s="146"/>
      <c r="G782" s="145"/>
      <c r="H782" s="146"/>
      <c r="I782" s="146"/>
      <c r="J782" s="145" t="str">
        <f t="shared" si="13"/>
        <v/>
      </c>
      <c r="K782" s="151"/>
      <c r="L782" s="152"/>
      <c r="M782" s="153"/>
      <c r="N782" s="146"/>
      <c r="O782" s="146"/>
      <c r="P782" s="146"/>
      <c r="Q782" s="145" t="s">
        <v>5452</v>
      </c>
    </row>
    <row r="783" spans="4:17" x14ac:dyDescent="0.25">
      <c r="D783" s="146" t="s">
        <v>5453</v>
      </c>
      <c r="E783" s="145" t="s">
        <v>5439</v>
      </c>
      <c r="F783" s="146"/>
      <c r="G783" s="145"/>
      <c r="H783" s="146"/>
      <c r="I783" s="146"/>
      <c r="J783" s="145" t="str">
        <f t="shared" si="13"/>
        <v/>
      </c>
      <c r="K783" s="151"/>
      <c r="L783" s="152"/>
      <c r="M783" s="153"/>
      <c r="N783" s="146"/>
      <c r="O783" s="146"/>
      <c r="P783" s="146"/>
      <c r="Q783" s="145" t="s">
        <v>5454</v>
      </c>
    </row>
    <row r="784" spans="4:17" x14ac:dyDescent="0.25">
      <c r="D784" s="146" t="s">
        <v>5455</v>
      </c>
      <c r="E784" s="145" t="s">
        <v>5439</v>
      </c>
      <c r="F784" s="146"/>
      <c r="G784" s="145"/>
      <c r="H784" s="146"/>
      <c r="I784" s="146"/>
      <c r="J784" s="145" t="str">
        <f t="shared" si="13"/>
        <v/>
      </c>
      <c r="K784" s="151"/>
      <c r="L784" s="152"/>
      <c r="M784" s="153"/>
      <c r="N784" s="146"/>
      <c r="O784" s="146"/>
      <c r="P784" s="146"/>
      <c r="Q784" s="145" t="s">
        <v>5456</v>
      </c>
    </row>
    <row r="785" spans="4:17" x14ac:dyDescent="0.25">
      <c r="D785" s="146" t="s">
        <v>5457</v>
      </c>
      <c r="E785" s="145" t="s">
        <v>5439</v>
      </c>
      <c r="F785" s="146"/>
      <c r="G785" s="145"/>
      <c r="H785" s="146"/>
      <c r="I785" s="146"/>
      <c r="J785" s="145" t="str">
        <f t="shared" si="13"/>
        <v/>
      </c>
      <c r="K785" s="151"/>
      <c r="L785" s="152"/>
      <c r="M785" s="153"/>
      <c r="N785" s="146"/>
      <c r="O785" s="146"/>
      <c r="P785" s="146"/>
      <c r="Q785" s="145" t="s">
        <v>5458</v>
      </c>
    </row>
    <row r="786" spans="4:17" x14ac:dyDescent="0.25">
      <c r="D786" s="146" t="s">
        <v>5459</v>
      </c>
      <c r="E786" s="145" t="s">
        <v>5439</v>
      </c>
      <c r="F786" s="146"/>
      <c r="G786" s="145"/>
      <c r="H786" s="146"/>
      <c r="I786" s="146"/>
      <c r="J786" s="145" t="str">
        <f t="shared" si="13"/>
        <v/>
      </c>
      <c r="K786" s="151"/>
      <c r="L786" s="152"/>
      <c r="M786" s="153"/>
      <c r="N786" s="146"/>
      <c r="O786" s="146"/>
      <c r="P786" s="146"/>
      <c r="Q786" s="145" t="s">
        <v>5460</v>
      </c>
    </row>
    <row r="787" spans="4:17" x14ac:dyDescent="0.25">
      <c r="D787" s="146" t="s">
        <v>5461</v>
      </c>
      <c r="E787" s="145" t="s">
        <v>5439</v>
      </c>
      <c r="F787" s="146"/>
      <c r="G787" s="145"/>
      <c r="H787" s="146"/>
      <c r="I787" s="146"/>
      <c r="J787" s="145" t="str">
        <f t="shared" si="13"/>
        <v/>
      </c>
      <c r="K787" s="151"/>
      <c r="L787" s="152"/>
      <c r="M787" s="153"/>
      <c r="N787" s="146"/>
      <c r="O787" s="146"/>
      <c r="P787" s="146"/>
      <c r="Q787" s="145" t="s">
        <v>5462</v>
      </c>
    </row>
    <row r="788" spans="4:17" x14ac:dyDescent="0.25">
      <c r="D788" s="146" t="s">
        <v>5463</v>
      </c>
      <c r="E788" s="145" t="s">
        <v>5439</v>
      </c>
      <c r="F788" s="146"/>
      <c r="G788" s="145"/>
      <c r="H788" s="146"/>
      <c r="I788" s="146"/>
      <c r="J788" s="145" t="str">
        <f t="shared" si="13"/>
        <v/>
      </c>
      <c r="K788" s="151"/>
      <c r="L788" s="152"/>
      <c r="M788" s="153"/>
      <c r="N788" s="146"/>
      <c r="O788" s="146"/>
      <c r="P788" s="146"/>
      <c r="Q788" s="145" t="s">
        <v>5464</v>
      </c>
    </row>
    <row r="789" spans="4:17" x14ac:dyDescent="0.25">
      <c r="D789" s="146" t="s">
        <v>5465</v>
      </c>
      <c r="E789" s="145" t="s">
        <v>5439</v>
      </c>
      <c r="F789" s="146"/>
      <c r="G789" s="145"/>
      <c r="H789" s="146"/>
      <c r="I789" s="146"/>
      <c r="J789" s="145" t="str">
        <f t="shared" si="13"/>
        <v/>
      </c>
      <c r="K789" s="151"/>
      <c r="L789" s="152"/>
      <c r="M789" s="153"/>
      <c r="N789" s="146"/>
      <c r="O789" s="146"/>
      <c r="P789" s="146"/>
      <c r="Q789" s="145" t="s">
        <v>5466</v>
      </c>
    </row>
    <row r="790" spans="4:17" x14ac:dyDescent="0.25">
      <c r="D790" s="146" t="s">
        <v>5467</v>
      </c>
      <c r="E790" s="145" t="s">
        <v>5439</v>
      </c>
      <c r="F790" s="146"/>
      <c r="G790" s="145"/>
      <c r="H790" s="146"/>
      <c r="I790" s="146"/>
      <c r="J790" s="145" t="str">
        <f t="shared" si="13"/>
        <v/>
      </c>
      <c r="K790" s="151"/>
      <c r="L790" s="152"/>
      <c r="M790" s="153"/>
      <c r="N790" s="146"/>
      <c r="O790" s="146"/>
      <c r="P790" s="146"/>
      <c r="Q790" s="145" t="s">
        <v>5468</v>
      </c>
    </row>
    <row r="791" spans="4:17" x14ac:dyDescent="0.25">
      <c r="D791" s="146" t="s">
        <v>5469</v>
      </c>
      <c r="E791" s="145" t="s">
        <v>5439</v>
      </c>
      <c r="F791" s="146"/>
      <c r="G791" s="145"/>
      <c r="H791" s="146"/>
      <c r="I791" s="146"/>
      <c r="J791" s="145" t="str">
        <f t="shared" si="13"/>
        <v/>
      </c>
      <c r="K791" s="151"/>
      <c r="L791" s="152"/>
      <c r="M791" s="153"/>
      <c r="N791" s="146"/>
      <c r="O791" s="146"/>
      <c r="P791" s="146"/>
      <c r="Q791" s="145" t="s">
        <v>5470</v>
      </c>
    </row>
    <row r="792" spans="4:17" x14ac:dyDescent="0.25">
      <c r="D792" s="146" t="s">
        <v>5471</v>
      </c>
      <c r="E792" s="145" t="s">
        <v>5439</v>
      </c>
      <c r="F792" s="146"/>
      <c r="G792" s="145"/>
      <c r="H792" s="146"/>
      <c r="I792" s="146"/>
      <c r="J792" s="145" t="str">
        <f t="shared" si="13"/>
        <v/>
      </c>
      <c r="K792" s="151"/>
      <c r="L792" s="152"/>
      <c r="M792" s="153"/>
      <c r="N792" s="146"/>
      <c r="O792" s="146"/>
      <c r="P792" s="146"/>
      <c r="Q792" s="145" t="s">
        <v>5472</v>
      </c>
    </row>
    <row r="793" spans="4:17" x14ac:dyDescent="0.25">
      <c r="D793" s="146" t="s">
        <v>5473</v>
      </c>
      <c r="E793" s="145" t="s">
        <v>5439</v>
      </c>
      <c r="F793" s="146"/>
      <c r="G793" s="145"/>
      <c r="H793" s="146"/>
      <c r="I793" s="146"/>
      <c r="J793" s="145" t="str">
        <f t="shared" si="13"/>
        <v/>
      </c>
      <c r="K793" s="151"/>
      <c r="L793" s="152"/>
      <c r="M793" s="153"/>
      <c r="N793" s="146"/>
      <c r="O793" s="146"/>
      <c r="P793" s="146"/>
      <c r="Q793" s="145" t="s">
        <v>5474</v>
      </c>
    </row>
    <row r="794" spans="4:17" x14ac:dyDescent="0.25">
      <c r="D794" s="146" t="s">
        <v>5475</v>
      </c>
      <c r="E794" s="145" t="s">
        <v>5439</v>
      </c>
      <c r="F794" s="146"/>
      <c r="G794" s="145"/>
      <c r="H794" s="146"/>
      <c r="I794" s="146"/>
      <c r="J794" s="145" t="str">
        <f t="shared" si="13"/>
        <v/>
      </c>
      <c r="K794" s="151"/>
      <c r="L794" s="152"/>
      <c r="M794" s="153"/>
      <c r="N794" s="146"/>
      <c r="O794" s="146"/>
      <c r="P794" s="146"/>
      <c r="Q794" s="145" t="s">
        <v>5476</v>
      </c>
    </row>
    <row r="795" spans="4:17" x14ac:dyDescent="0.25">
      <c r="D795" s="146" t="s">
        <v>5477</v>
      </c>
      <c r="E795" s="145" t="s">
        <v>5439</v>
      </c>
      <c r="F795" s="146"/>
      <c r="G795" s="145"/>
      <c r="H795" s="146"/>
      <c r="I795" s="146"/>
      <c r="J795" s="145" t="str">
        <f t="shared" si="13"/>
        <v/>
      </c>
      <c r="K795" s="151"/>
      <c r="L795" s="152"/>
      <c r="M795" s="153"/>
      <c r="N795" s="146"/>
      <c r="O795" s="146"/>
      <c r="P795" s="146"/>
      <c r="Q795" s="145" t="s">
        <v>5478</v>
      </c>
    </row>
    <row r="796" spans="4:17" x14ac:dyDescent="0.25">
      <c r="D796" s="146" t="s">
        <v>5479</v>
      </c>
      <c r="E796" s="145" t="s">
        <v>5480</v>
      </c>
      <c r="F796" s="146"/>
      <c r="G796" s="145"/>
      <c r="H796" s="146"/>
      <c r="I796" s="146"/>
      <c r="J796" s="145" t="str">
        <f t="shared" si="13"/>
        <v/>
      </c>
      <c r="K796" s="151"/>
      <c r="L796" s="152"/>
      <c r="M796" s="153"/>
      <c r="N796" s="146"/>
      <c r="O796" s="146"/>
      <c r="P796" s="146"/>
      <c r="Q796" s="145" t="s">
        <v>5481</v>
      </c>
    </row>
    <row r="797" spans="4:17" x14ac:dyDescent="0.25">
      <c r="D797" s="146" t="s">
        <v>5482</v>
      </c>
      <c r="E797" s="145" t="s">
        <v>5480</v>
      </c>
      <c r="F797" s="146"/>
      <c r="G797" s="145"/>
      <c r="H797" s="146"/>
      <c r="I797" s="146"/>
      <c r="J797" s="145" t="str">
        <f t="shared" si="13"/>
        <v/>
      </c>
      <c r="K797" s="151"/>
      <c r="L797" s="152"/>
      <c r="M797" s="153"/>
      <c r="N797" s="146"/>
      <c r="O797" s="146"/>
      <c r="P797" s="146"/>
      <c r="Q797" s="145" t="s">
        <v>5483</v>
      </c>
    </row>
    <row r="798" spans="4:17" x14ac:dyDescent="0.25">
      <c r="D798" s="146" t="s">
        <v>5484</v>
      </c>
      <c r="E798" s="145" t="s">
        <v>5480</v>
      </c>
      <c r="F798" s="146"/>
      <c r="G798" s="145"/>
      <c r="H798" s="146"/>
      <c r="I798" s="146"/>
      <c r="J798" s="145" t="str">
        <f t="shared" si="13"/>
        <v/>
      </c>
      <c r="K798" s="151"/>
      <c r="L798" s="152"/>
      <c r="M798" s="153"/>
      <c r="N798" s="146"/>
      <c r="O798" s="146"/>
      <c r="P798" s="146"/>
      <c r="Q798" s="145" t="s">
        <v>5485</v>
      </c>
    </row>
    <row r="799" spans="4:17" x14ac:dyDescent="0.25">
      <c r="D799" s="146" t="s">
        <v>5486</v>
      </c>
      <c r="E799" s="145" t="s">
        <v>5480</v>
      </c>
      <c r="F799" s="146"/>
      <c r="G799" s="145"/>
      <c r="H799" s="146"/>
      <c r="I799" s="146"/>
      <c r="J799" s="145" t="str">
        <f t="shared" si="13"/>
        <v/>
      </c>
      <c r="K799" s="151"/>
      <c r="L799" s="152"/>
      <c r="M799" s="153"/>
      <c r="N799" s="146"/>
      <c r="O799" s="146"/>
      <c r="P799" s="146"/>
      <c r="Q799" s="145" t="s">
        <v>5487</v>
      </c>
    </row>
    <row r="800" spans="4:17" x14ac:dyDescent="0.25">
      <c r="D800" s="146" t="s">
        <v>5488</v>
      </c>
      <c r="E800" s="145" t="s">
        <v>5480</v>
      </c>
      <c r="F800" s="146"/>
      <c r="G800" s="145"/>
      <c r="H800" s="146"/>
      <c r="I800" s="146"/>
      <c r="J800" s="145" t="str">
        <f t="shared" si="13"/>
        <v/>
      </c>
      <c r="K800" s="151"/>
      <c r="L800" s="152"/>
      <c r="M800" s="153"/>
      <c r="N800" s="146"/>
      <c r="O800" s="146"/>
      <c r="P800" s="146"/>
      <c r="Q800" s="145" t="s">
        <v>5489</v>
      </c>
    </row>
    <row r="801" spans="4:17" x14ac:dyDescent="0.25">
      <c r="D801" s="146" t="s">
        <v>5490</v>
      </c>
      <c r="E801" s="145" t="s">
        <v>5480</v>
      </c>
      <c r="F801" s="146"/>
      <c r="G801" s="145"/>
      <c r="H801" s="146"/>
      <c r="I801" s="146"/>
      <c r="J801" s="145" t="str">
        <f t="shared" si="13"/>
        <v/>
      </c>
      <c r="K801" s="151"/>
      <c r="L801" s="152"/>
      <c r="M801" s="153"/>
      <c r="N801" s="146"/>
      <c r="O801" s="146"/>
      <c r="P801" s="146"/>
      <c r="Q801" s="145" t="s">
        <v>5491</v>
      </c>
    </row>
    <row r="802" spans="4:17" x14ac:dyDescent="0.25">
      <c r="D802" s="146" t="s">
        <v>5492</v>
      </c>
      <c r="E802" s="145" t="s">
        <v>5480</v>
      </c>
      <c r="F802" s="146"/>
      <c r="G802" s="145"/>
      <c r="H802" s="146"/>
      <c r="I802" s="146"/>
      <c r="J802" s="145" t="str">
        <f t="shared" si="13"/>
        <v/>
      </c>
      <c r="K802" s="151"/>
      <c r="L802" s="152"/>
      <c r="M802" s="153"/>
      <c r="N802" s="146"/>
      <c r="O802" s="146"/>
      <c r="P802" s="146"/>
      <c r="Q802" s="145" t="s">
        <v>5493</v>
      </c>
    </row>
    <row r="803" spans="4:17" x14ac:dyDescent="0.25">
      <c r="D803" s="146" t="s">
        <v>5494</v>
      </c>
      <c r="E803" s="145" t="s">
        <v>5480</v>
      </c>
      <c r="F803" s="146"/>
      <c r="G803" s="145"/>
      <c r="H803" s="146"/>
      <c r="I803" s="146"/>
      <c r="J803" s="145" t="str">
        <f t="shared" si="13"/>
        <v/>
      </c>
      <c r="K803" s="151"/>
      <c r="L803" s="152"/>
      <c r="M803" s="153"/>
      <c r="N803" s="146"/>
      <c r="O803" s="146"/>
      <c r="P803" s="146"/>
      <c r="Q803" s="145" t="s">
        <v>5495</v>
      </c>
    </row>
    <row r="804" spans="4:17" x14ac:dyDescent="0.25">
      <c r="D804" s="146" t="s">
        <v>5496</v>
      </c>
      <c r="E804" s="145" t="s">
        <v>5480</v>
      </c>
      <c r="F804" s="146"/>
      <c r="G804" s="145"/>
      <c r="H804" s="146"/>
      <c r="I804" s="146"/>
      <c r="J804" s="145" t="str">
        <f t="shared" si="13"/>
        <v/>
      </c>
      <c r="K804" s="151"/>
      <c r="L804" s="152"/>
      <c r="M804" s="153"/>
      <c r="N804" s="146"/>
      <c r="O804" s="146"/>
      <c r="P804" s="146"/>
      <c r="Q804" s="145" t="s">
        <v>5497</v>
      </c>
    </row>
    <row r="805" spans="4:17" x14ac:dyDescent="0.25">
      <c r="D805" s="146" t="s">
        <v>5498</v>
      </c>
      <c r="E805" s="145" t="s">
        <v>5480</v>
      </c>
      <c r="F805" s="146"/>
      <c r="G805" s="145"/>
      <c r="H805" s="146"/>
      <c r="I805" s="146"/>
      <c r="J805" s="145" t="str">
        <f t="shared" si="13"/>
        <v/>
      </c>
      <c r="K805" s="151"/>
      <c r="L805" s="152"/>
      <c r="M805" s="153"/>
      <c r="N805" s="146"/>
      <c r="O805" s="146"/>
      <c r="P805" s="146"/>
      <c r="Q805" s="145" t="s">
        <v>5499</v>
      </c>
    </row>
    <row r="806" spans="4:17" x14ac:dyDescent="0.25">
      <c r="D806" s="146" t="s">
        <v>5500</v>
      </c>
      <c r="E806" s="145" t="s">
        <v>5480</v>
      </c>
      <c r="F806" s="146"/>
      <c r="G806" s="145"/>
      <c r="H806" s="146"/>
      <c r="I806" s="146"/>
      <c r="J806" s="145" t="str">
        <f t="shared" si="13"/>
        <v/>
      </c>
      <c r="K806" s="151"/>
      <c r="L806" s="152"/>
      <c r="M806" s="153"/>
      <c r="N806" s="146"/>
      <c r="O806" s="146"/>
      <c r="P806" s="146"/>
      <c r="Q806" s="145" t="s">
        <v>5501</v>
      </c>
    </row>
    <row r="807" spans="4:17" x14ac:dyDescent="0.25">
      <c r="D807" s="146" t="s">
        <v>5502</v>
      </c>
      <c r="E807" s="145" t="s">
        <v>5480</v>
      </c>
      <c r="F807" s="146"/>
      <c r="G807" s="145"/>
      <c r="H807" s="146"/>
      <c r="I807" s="146"/>
      <c r="J807" s="145" t="str">
        <f t="shared" si="13"/>
        <v/>
      </c>
      <c r="K807" s="151"/>
      <c r="L807" s="152"/>
      <c r="M807" s="153"/>
      <c r="N807" s="146"/>
      <c r="O807" s="146"/>
      <c r="P807" s="146"/>
      <c r="Q807" s="145" t="s">
        <v>5503</v>
      </c>
    </row>
    <row r="808" spans="4:17" x14ac:dyDescent="0.25">
      <c r="D808" s="146" t="s">
        <v>5504</v>
      </c>
      <c r="E808" s="145" t="s">
        <v>5480</v>
      </c>
      <c r="F808" s="146"/>
      <c r="G808" s="145"/>
      <c r="H808" s="146"/>
      <c r="I808" s="146"/>
      <c r="J808" s="145" t="str">
        <f t="shared" si="13"/>
        <v/>
      </c>
      <c r="K808" s="151"/>
      <c r="L808" s="152"/>
      <c r="M808" s="153"/>
      <c r="N808" s="146"/>
      <c r="O808" s="146"/>
      <c r="P808" s="146"/>
      <c r="Q808" s="145" t="s">
        <v>5505</v>
      </c>
    </row>
    <row r="809" spans="4:17" x14ac:dyDescent="0.25">
      <c r="D809" s="146" t="s">
        <v>5506</v>
      </c>
      <c r="E809" s="145" t="s">
        <v>5480</v>
      </c>
      <c r="F809" s="146"/>
      <c r="G809" s="145"/>
      <c r="H809" s="146"/>
      <c r="I809" s="146"/>
      <c r="J809" s="145" t="str">
        <f t="shared" si="13"/>
        <v/>
      </c>
      <c r="K809" s="151"/>
      <c r="L809" s="152"/>
      <c r="M809" s="153"/>
      <c r="N809" s="146"/>
      <c r="O809" s="146"/>
      <c r="P809" s="146"/>
      <c r="Q809" s="145" t="s">
        <v>5507</v>
      </c>
    </row>
    <row r="810" spans="4:17" x14ac:dyDescent="0.25">
      <c r="D810" s="146" t="s">
        <v>5508</v>
      </c>
      <c r="E810" s="145" t="s">
        <v>5480</v>
      </c>
      <c r="F810" s="146"/>
      <c r="G810" s="145"/>
      <c r="H810" s="146"/>
      <c r="I810" s="146"/>
      <c r="J810" s="145" t="str">
        <f t="shared" si="13"/>
        <v/>
      </c>
      <c r="K810" s="151"/>
      <c r="L810" s="152"/>
      <c r="M810" s="153"/>
      <c r="N810" s="146"/>
      <c r="O810" s="146"/>
      <c r="P810" s="146"/>
      <c r="Q810" s="145" t="s">
        <v>5509</v>
      </c>
    </row>
    <row r="811" spans="4:17" x14ac:dyDescent="0.25">
      <c r="D811" s="146" t="s">
        <v>5510</v>
      </c>
      <c r="E811" s="145" t="s">
        <v>5480</v>
      </c>
      <c r="F811" s="146"/>
      <c r="G811" s="145"/>
      <c r="H811" s="146"/>
      <c r="I811" s="146"/>
      <c r="J811" s="145" t="str">
        <f t="shared" si="13"/>
        <v/>
      </c>
      <c r="K811" s="151"/>
      <c r="L811" s="152"/>
      <c r="M811" s="153"/>
      <c r="N811" s="146"/>
      <c r="O811" s="146"/>
      <c r="P811" s="146"/>
      <c r="Q811" s="145" t="s">
        <v>5511</v>
      </c>
    </row>
    <row r="812" spans="4:17" x14ac:dyDescent="0.25">
      <c r="D812" s="146" t="s">
        <v>5512</v>
      </c>
      <c r="E812" s="145" t="s">
        <v>5480</v>
      </c>
      <c r="F812" s="146"/>
      <c r="G812" s="145"/>
      <c r="H812" s="146"/>
      <c r="I812" s="146"/>
      <c r="J812" s="145" t="str">
        <f t="shared" si="13"/>
        <v/>
      </c>
      <c r="K812" s="151"/>
      <c r="L812" s="152"/>
      <c r="M812" s="153"/>
      <c r="N812" s="146"/>
      <c r="O812" s="146"/>
      <c r="P812" s="146"/>
      <c r="Q812" s="145" t="s">
        <v>5513</v>
      </c>
    </row>
    <row r="813" spans="4:17" x14ac:dyDescent="0.25">
      <c r="D813" s="146" t="s">
        <v>5514</v>
      </c>
      <c r="E813" s="145" t="s">
        <v>5480</v>
      </c>
      <c r="F813" s="146"/>
      <c r="G813" s="145"/>
      <c r="H813" s="146"/>
      <c r="I813" s="146"/>
      <c r="J813" s="145" t="str">
        <f t="shared" si="13"/>
        <v/>
      </c>
      <c r="K813" s="151"/>
      <c r="L813" s="152"/>
      <c r="M813" s="153"/>
      <c r="N813" s="146"/>
      <c r="O813" s="146"/>
      <c r="P813" s="146"/>
      <c r="Q813" s="145" t="s">
        <v>5515</v>
      </c>
    </row>
    <row r="814" spans="4:17" x14ac:dyDescent="0.25">
      <c r="D814" s="146" t="s">
        <v>5516</v>
      </c>
      <c r="E814" s="145" t="s">
        <v>5480</v>
      </c>
      <c r="F814" s="146"/>
      <c r="G814" s="145"/>
      <c r="H814" s="146"/>
      <c r="I814" s="146"/>
      <c r="J814" s="145" t="str">
        <f t="shared" si="13"/>
        <v/>
      </c>
      <c r="K814" s="151"/>
      <c r="L814" s="152"/>
      <c r="M814" s="153"/>
      <c r="N814" s="146"/>
      <c r="O814" s="146"/>
      <c r="P814" s="146"/>
      <c r="Q814" s="145" t="s">
        <v>5517</v>
      </c>
    </row>
    <row r="815" spans="4:17" x14ac:dyDescent="0.25">
      <c r="D815" s="146" t="s">
        <v>5518</v>
      </c>
      <c r="E815" s="145" t="s">
        <v>5480</v>
      </c>
      <c r="F815" s="146"/>
      <c r="G815" s="145"/>
      <c r="H815" s="146"/>
      <c r="I815" s="146"/>
      <c r="J815" s="145" t="str">
        <f t="shared" si="13"/>
        <v/>
      </c>
      <c r="K815" s="151"/>
      <c r="L815" s="152"/>
      <c r="M815" s="153"/>
      <c r="N815" s="146"/>
      <c r="O815" s="146"/>
      <c r="P815" s="146"/>
      <c r="Q815" s="145" t="s">
        <v>5519</v>
      </c>
    </row>
    <row r="816" spans="4:17" x14ac:dyDescent="0.25">
      <c r="D816" s="146" t="s">
        <v>5520</v>
      </c>
      <c r="E816" s="145" t="s">
        <v>5521</v>
      </c>
      <c r="F816" s="146"/>
      <c r="G816" s="145"/>
      <c r="H816" s="146"/>
      <c r="I816" s="146"/>
      <c r="J816" s="145" t="str">
        <f t="shared" si="13"/>
        <v/>
      </c>
      <c r="K816" s="151"/>
      <c r="L816" s="152"/>
      <c r="M816" s="153"/>
      <c r="N816" s="146"/>
      <c r="O816" s="146"/>
      <c r="P816" s="146"/>
      <c r="Q816" s="145" t="s">
        <v>5522</v>
      </c>
    </row>
    <row r="817" spans="4:17" x14ac:dyDescent="0.25">
      <c r="D817" s="146" t="s">
        <v>5523</v>
      </c>
      <c r="E817" s="145" t="s">
        <v>5521</v>
      </c>
      <c r="F817" s="146"/>
      <c r="G817" s="145"/>
      <c r="H817" s="146"/>
      <c r="I817" s="146"/>
      <c r="J817" s="145" t="str">
        <f t="shared" si="13"/>
        <v/>
      </c>
      <c r="K817" s="151"/>
      <c r="L817" s="152"/>
      <c r="M817" s="153"/>
      <c r="N817" s="146"/>
      <c r="O817" s="146"/>
      <c r="P817" s="146"/>
      <c r="Q817" s="145" t="s">
        <v>5524</v>
      </c>
    </row>
    <row r="818" spans="4:17" x14ac:dyDescent="0.25">
      <c r="D818" s="146" t="s">
        <v>5525</v>
      </c>
      <c r="E818" s="145" t="s">
        <v>5521</v>
      </c>
      <c r="F818" s="146"/>
      <c r="G818" s="145"/>
      <c r="H818" s="146"/>
      <c r="I818" s="146"/>
      <c r="J818" s="145" t="str">
        <f t="shared" si="13"/>
        <v/>
      </c>
      <c r="K818" s="151"/>
      <c r="L818" s="152"/>
      <c r="M818" s="153"/>
      <c r="N818" s="146"/>
      <c r="O818" s="146"/>
      <c r="P818" s="146"/>
      <c r="Q818" s="145" t="s">
        <v>5526</v>
      </c>
    </row>
    <row r="819" spans="4:17" x14ac:dyDescent="0.25">
      <c r="D819" s="146" t="s">
        <v>5527</v>
      </c>
      <c r="E819" s="145" t="s">
        <v>5521</v>
      </c>
      <c r="F819" s="146"/>
      <c r="G819" s="145"/>
      <c r="H819" s="146"/>
      <c r="I819" s="146"/>
      <c r="J819" s="145" t="str">
        <f t="shared" si="13"/>
        <v/>
      </c>
      <c r="K819" s="151"/>
      <c r="L819" s="152"/>
      <c r="M819" s="153"/>
      <c r="N819" s="146"/>
      <c r="O819" s="146"/>
      <c r="P819" s="146"/>
      <c r="Q819" s="145" t="s">
        <v>5528</v>
      </c>
    </row>
    <row r="820" spans="4:17" x14ac:dyDescent="0.25">
      <c r="D820" s="146" t="s">
        <v>5529</v>
      </c>
      <c r="E820" s="145" t="s">
        <v>5521</v>
      </c>
      <c r="F820" s="146"/>
      <c r="G820" s="145"/>
      <c r="H820" s="146"/>
      <c r="I820" s="146"/>
      <c r="J820" s="145" t="str">
        <f t="shared" si="13"/>
        <v/>
      </c>
      <c r="K820" s="151"/>
      <c r="L820" s="152"/>
      <c r="M820" s="153"/>
      <c r="N820" s="146"/>
      <c r="O820" s="146"/>
      <c r="P820" s="146"/>
      <c r="Q820" s="145" t="s">
        <v>5530</v>
      </c>
    </row>
    <row r="821" spans="4:17" x14ac:dyDescent="0.25">
      <c r="D821" s="146" t="s">
        <v>5531</v>
      </c>
      <c r="E821" s="145" t="s">
        <v>5521</v>
      </c>
      <c r="F821" s="146"/>
      <c r="G821" s="145"/>
      <c r="H821" s="146"/>
      <c r="I821" s="146"/>
      <c r="J821" s="145" t="str">
        <f t="shared" si="13"/>
        <v/>
      </c>
      <c r="K821" s="151"/>
      <c r="L821" s="152"/>
      <c r="M821" s="153"/>
      <c r="N821" s="146"/>
      <c r="O821" s="146"/>
      <c r="P821" s="146"/>
      <c r="Q821" s="145" t="s">
        <v>5532</v>
      </c>
    </row>
    <row r="822" spans="4:17" x14ac:dyDescent="0.25">
      <c r="D822" s="146" t="s">
        <v>5533</v>
      </c>
      <c r="E822" s="145" t="s">
        <v>5521</v>
      </c>
      <c r="F822" s="146"/>
      <c r="G822" s="145"/>
      <c r="H822" s="146"/>
      <c r="I822" s="146"/>
      <c r="J822" s="145" t="str">
        <f t="shared" si="13"/>
        <v/>
      </c>
      <c r="K822" s="151"/>
      <c r="L822" s="152"/>
      <c r="M822" s="153"/>
      <c r="N822" s="146"/>
      <c r="O822" s="146"/>
      <c r="P822" s="146"/>
      <c r="Q822" s="145" t="s">
        <v>5534</v>
      </c>
    </row>
    <row r="823" spans="4:17" x14ac:dyDescent="0.25">
      <c r="D823" s="146" t="s">
        <v>5535</v>
      </c>
      <c r="E823" s="145" t="s">
        <v>5521</v>
      </c>
      <c r="F823" s="146"/>
      <c r="G823" s="145"/>
      <c r="H823" s="146"/>
      <c r="I823" s="146"/>
      <c r="J823" s="145" t="str">
        <f t="shared" si="13"/>
        <v/>
      </c>
      <c r="K823" s="151"/>
      <c r="L823" s="152"/>
      <c r="M823" s="153"/>
      <c r="N823" s="146"/>
      <c r="O823" s="146"/>
      <c r="P823" s="146"/>
      <c r="Q823" s="145" t="s">
        <v>5536</v>
      </c>
    </row>
    <row r="824" spans="4:17" x14ac:dyDescent="0.25">
      <c r="D824" s="146" t="s">
        <v>5537</v>
      </c>
      <c r="E824" s="145" t="s">
        <v>5521</v>
      </c>
      <c r="F824" s="146"/>
      <c r="G824" s="145"/>
      <c r="H824" s="146"/>
      <c r="I824" s="146"/>
      <c r="J824" s="145" t="str">
        <f t="shared" si="13"/>
        <v/>
      </c>
      <c r="K824" s="151"/>
      <c r="L824" s="152"/>
      <c r="M824" s="153"/>
      <c r="N824" s="146"/>
      <c r="O824" s="146"/>
      <c r="P824" s="146"/>
      <c r="Q824" s="145" t="s">
        <v>5538</v>
      </c>
    </row>
    <row r="825" spans="4:17" x14ac:dyDescent="0.25">
      <c r="D825" s="146" t="s">
        <v>5539</v>
      </c>
      <c r="E825" s="145" t="s">
        <v>5521</v>
      </c>
      <c r="F825" s="146"/>
      <c r="G825" s="145"/>
      <c r="H825" s="146"/>
      <c r="I825" s="146"/>
      <c r="J825" s="145" t="str">
        <f t="shared" si="13"/>
        <v/>
      </c>
      <c r="K825" s="151"/>
      <c r="L825" s="152"/>
      <c r="M825" s="153"/>
      <c r="N825" s="146"/>
      <c r="O825" s="146"/>
      <c r="P825" s="146"/>
      <c r="Q825" s="145" t="s">
        <v>5540</v>
      </c>
    </row>
    <row r="826" spans="4:17" x14ac:dyDescent="0.25">
      <c r="D826" s="146" t="s">
        <v>5541</v>
      </c>
      <c r="E826" s="145" t="s">
        <v>5521</v>
      </c>
      <c r="F826" s="146"/>
      <c r="G826" s="145"/>
      <c r="H826" s="146"/>
      <c r="I826" s="146"/>
      <c r="J826" s="145" t="str">
        <f t="shared" si="13"/>
        <v/>
      </c>
      <c r="K826" s="151"/>
      <c r="L826" s="152"/>
      <c r="M826" s="153"/>
      <c r="N826" s="146"/>
      <c r="O826" s="146"/>
      <c r="P826" s="146"/>
      <c r="Q826" s="145" t="s">
        <v>5542</v>
      </c>
    </row>
    <row r="827" spans="4:17" x14ac:dyDescent="0.25">
      <c r="D827" s="146" t="s">
        <v>5543</v>
      </c>
      <c r="E827" s="145" t="s">
        <v>5521</v>
      </c>
      <c r="F827" s="146"/>
      <c r="G827" s="145"/>
      <c r="H827" s="146"/>
      <c r="I827" s="146"/>
      <c r="J827" s="145" t="str">
        <f t="shared" si="13"/>
        <v/>
      </c>
      <c r="K827" s="151"/>
      <c r="L827" s="152"/>
      <c r="M827" s="153"/>
      <c r="N827" s="146"/>
      <c r="O827" s="146"/>
      <c r="P827" s="146"/>
      <c r="Q827" s="145" t="s">
        <v>5544</v>
      </c>
    </row>
    <row r="828" spans="4:17" x14ac:dyDescent="0.25">
      <c r="D828" s="146" t="s">
        <v>5545</v>
      </c>
      <c r="E828" s="145" t="s">
        <v>5521</v>
      </c>
      <c r="F828" s="146"/>
      <c r="G828" s="145"/>
      <c r="H828" s="146"/>
      <c r="I828" s="146"/>
      <c r="J828" s="145" t="str">
        <f t="shared" ref="J828:J891" si="14">F828&amp;H828&amp;I828</f>
        <v/>
      </c>
      <c r="K828" s="151"/>
      <c r="L828" s="152"/>
      <c r="M828" s="153"/>
      <c r="N828" s="146"/>
      <c r="O828" s="146"/>
      <c r="P828" s="146"/>
      <c r="Q828" s="145" t="s">
        <v>5546</v>
      </c>
    </row>
    <row r="829" spans="4:17" x14ac:dyDescent="0.25">
      <c r="D829" s="146" t="s">
        <v>5547</v>
      </c>
      <c r="E829" s="145" t="s">
        <v>5521</v>
      </c>
      <c r="F829" s="146"/>
      <c r="G829" s="145"/>
      <c r="H829" s="146"/>
      <c r="I829" s="146"/>
      <c r="J829" s="145" t="str">
        <f t="shared" si="14"/>
        <v/>
      </c>
      <c r="K829" s="151"/>
      <c r="L829" s="152"/>
      <c r="M829" s="153"/>
      <c r="N829" s="146"/>
      <c r="O829" s="146"/>
      <c r="P829" s="146"/>
      <c r="Q829" s="145" t="s">
        <v>5548</v>
      </c>
    </row>
    <row r="830" spans="4:17" x14ac:dyDescent="0.25">
      <c r="D830" s="146" t="s">
        <v>5549</v>
      </c>
      <c r="E830" s="145" t="s">
        <v>5521</v>
      </c>
      <c r="F830" s="146"/>
      <c r="G830" s="145"/>
      <c r="H830" s="146"/>
      <c r="I830" s="146"/>
      <c r="J830" s="145" t="str">
        <f t="shared" si="14"/>
        <v/>
      </c>
      <c r="K830" s="151"/>
      <c r="L830" s="152"/>
      <c r="M830" s="153"/>
      <c r="N830" s="146"/>
      <c r="O830" s="146"/>
      <c r="P830" s="146"/>
      <c r="Q830" s="145" t="s">
        <v>5550</v>
      </c>
    </row>
    <row r="831" spans="4:17" x14ac:dyDescent="0.25">
      <c r="D831" s="146" t="s">
        <v>5551</v>
      </c>
      <c r="E831" s="145" t="s">
        <v>5521</v>
      </c>
      <c r="F831" s="146"/>
      <c r="G831" s="145"/>
      <c r="H831" s="146"/>
      <c r="I831" s="146"/>
      <c r="J831" s="145" t="str">
        <f t="shared" si="14"/>
        <v/>
      </c>
      <c r="K831" s="151"/>
      <c r="L831" s="152"/>
      <c r="M831" s="153"/>
      <c r="N831" s="146"/>
      <c r="O831" s="146"/>
      <c r="P831" s="146"/>
      <c r="Q831" s="145" t="s">
        <v>5552</v>
      </c>
    </row>
    <row r="832" spans="4:17" x14ac:dyDescent="0.25">
      <c r="D832" s="146" t="s">
        <v>5553</v>
      </c>
      <c r="E832" s="145" t="s">
        <v>5521</v>
      </c>
      <c r="F832" s="146"/>
      <c r="G832" s="145"/>
      <c r="H832" s="146"/>
      <c r="I832" s="146"/>
      <c r="J832" s="145" t="str">
        <f t="shared" si="14"/>
        <v/>
      </c>
      <c r="K832" s="151"/>
      <c r="L832" s="152"/>
      <c r="M832" s="153"/>
      <c r="N832" s="146"/>
      <c r="O832" s="146"/>
      <c r="P832" s="146"/>
      <c r="Q832" s="145" t="s">
        <v>5554</v>
      </c>
    </row>
    <row r="833" spans="4:17" x14ac:dyDescent="0.25">
      <c r="D833" s="146" t="s">
        <v>5555</v>
      </c>
      <c r="E833" s="145" t="s">
        <v>5521</v>
      </c>
      <c r="F833" s="146"/>
      <c r="G833" s="145"/>
      <c r="H833" s="146"/>
      <c r="I833" s="146"/>
      <c r="J833" s="145" t="str">
        <f t="shared" si="14"/>
        <v/>
      </c>
      <c r="K833" s="151"/>
      <c r="L833" s="152"/>
      <c r="M833" s="153"/>
      <c r="N833" s="146"/>
      <c r="O833" s="146"/>
      <c r="P833" s="146"/>
      <c r="Q833" s="145" t="s">
        <v>5556</v>
      </c>
    </row>
    <row r="834" spans="4:17" x14ac:dyDescent="0.25">
      <c r="D834" s="146" t="s">
        <v>5557</v>
      </c>
      <c r="E834" s="145" t="s">
        <v>5521</v>
      </c>
      <c r="F834" s="146"/>
      <c r="G834" s="145"/>
      <c r="H834" s="146"/>
      <c r="I834" s="146"/>
      <c r="J834" s="145" t="str">
        <f t="shared" si="14"/>
        <v/>
      </c>
      <c r="K834" s="151"/>
      <c r="L834" s="152"/>
      <c r="M834" s="153"/>
      <c r="N834" s="146"/>
      <c r="O834" s="146"/>
      <c r="P834" s="146"/>
      <c r="Q834" s="145" t="s">
        <v>5558</v>
      </c>
    </row>
    <row r="835" spans="4:17" x14ac:dyDescent="0.25">
      <c r="D835" s="146" t="s">
        <v>5559</v>
      </c>
      <c r="E835" s="145" t="s">
        <v>5521</v>
      </c>
      <c r="F835" s="146"/>
      <c r="G835" s="145"/>
      <c r="H835" s="146"/>
      <c r="I835" s="146"/>
      <c r="J835" s="145" t="str">
        <f t="shared" si="14"/>
        <v/>
      </c>
      <c r="K835" s="151"/>
      <c r="L835" s="152"/>
      <c r="M835" s="153"/>
      <c r="N835" s="146"/>
      <c r="O835" s="146"/>
      <c r="P835" s="146"/>
      <c r="Q835" s="145" t="s">
        <v>5560</v>
      </c>
    </row>
    <row r="836" spans="4:17" x14ac:dyDescent="0.25">
      <c r="D836" s="146" t="s">
        <v>5561</v>
      </c>
      <c r="E836" s="145" t="s">
        <v>5562</v>
      </c>
      <c r="F836" s="146"/>
      <c r="G836" s="145"/>
      <c r="H836" s="146"/>
      <c r="I836" s="146"/>
      <c r="J836" s="145" t="str">
        <f t="shared" si="14"/>
        <v/>
      </c>
      <c r="K836" s="151"/>
      <c r="L836" s="152"/>
      <c r="M836" s="153"/>
      <c r="N836" s="146"/>
      <c r="O836" s="146"/>
      <c r="P836" s="146"/>
      <c r="Q836" s="145" t="s">
        <v>5563</v>
      </c>
    </row>
    <row r="837" spans="4:17" x14ac:dyDescent="0.25">
      <c r="D837" s="146" t="s">
        <v>5564</v>
      </c>
      <c r="E837" s="145" t="s">
        <v>5562</v>
      </c>
      <c r="F837" s="146"/>
      <c r="G837" s="145"/>
      <c r="H837" s="146"/>
      <c r="I837" s="146"/>
      <c r="J837" s="145" t="str">
        <f t="shared" si="14"/>
        <v/>
      </c>
      <c r="K837" s="151"/>
      <c r="L837" s="152"/>
      <c r="M837" s="153"/>
      <c r="N837" s="146"/>
      <c r="O837" s="146"/>
      <c r="P837" s="146"/>
      <c r="Q837" s="145" t="s">
        <v>5565</v>
      </c>
    </row>
    <row r="838" spans="4:17" x14ac:dyDescent="0.25">
      <c r="D838" s="146" t="s">
        <v>5566</v>
      </c>
      <c r="E838" s="145" t="s">
        <v>5562</v>
      </c>
      <c r="F838" s="146"/>
      <c r="G838" s="145"/>
      <c r="H838" s="146"/>
      <c r="I838" s="146"/>
      <c r="J838" s="145" t="str">
        <f t="shared" si="14"/>
        <v/>
      </c>
      <c r="K838" s="151"/>
      <c r="L838" s="152"/>
      <c r="M838" s="153"/>
      <c r="N838" s="146"/>
      <c r="O838" s="146"/>
      <c r="P838" s="146"/>
      <c r="Q838" s="145" t="s">
        <v>5567</v>
      </c>
    </row>
    <row r="839" spans="4:17" x14ac:dyDescent="0.25">
      <c r="D839" s="146" t="s">
        <v>5568</v>
      </c>
      <c r="E839" s="145" t="s">
        <v>5562</v>
      </c>
      <c r="F839" s="146"/>
      <c r="G839" s="145"/>
      <c r="H839" s="146"/>
      <c r="I839" s="146"/>
      <c r="J839" s="145" t="str">
        <f t="shared" si="14"/>
        <v/>
      </c>
      <c r="K839" s="151"/>
      <c r="L839" s="152"/>
      <c r="M839" s="153"/>
      <c r="N839" s="146"/>
      <c r="O839" s="146"/>
      <c r="P839" s="146"/>
      <c r="Q839" s="145" t="s">
        <v>5569</v>
      </c>
    </row>
    <row r="840" spans="4:17" x14ac:dyDescent="0.25">
      <c r="D840" s="146" t="s">
        <v>5570</v>
      </c>
      <c r="E840" s="145" t="s">
        <v>5562</v>
      </c>
      <c r="F840" s="146"/>
      <c r="G840" s="145"/>
      <c r="H840" s="146"/>
      <c r="I840" s="146"/>
      <c r="J840" s="145" t="str">
        <f t="shared" si="14"/>
        <v/>
      </c>
      <c r="K840" s="151"/>
      <c r="L840" s="152"/>
      <c r="M840" s="153"/>
      <c r="N840" s="146"/>
      <c r="O840" s="146"/>
      <c r="P840" s="146"/>
      <c r="Q840" s="145" t="s">
        <v>5571</v>
      </c>
    </row>
    <row r="841" spans="4:17" x14ac:dyDescent="0.25">
      <c r="D841" s="146" t="s">
        <v>5572</v>
      </c>
      <c r="E841" s="145" t="s">
        <v>5562</v>
      </c>
      <c r="F841" s="146"/>
      <c r="G841" s="145"/>
      <c r="H841" s="146"/>
      <c r="I841" s="146"/>
      <c r="J841" s="145" t="str">
        <f t="shared" si="14"/>
        <v/>
      </c>
      <c r="K841" s="151"/>
      <c r="L841" s="152"/>
      <c r="M841" s="153"/>
      <c r="N841" s="146"/>
      <c r="O841" s="146"/>
      <c r="P841" s="146"/>
      <c r="Q841" s="145" t="s">
        <v>5573</v>
      </c>
    </row>
    <row r="842" spans="4:17" x14ac:dyDescent="0.25">
      <c r="D842" s="146" t="s">
        <v>5574</v>
      </c>
      <c r="E842" s="145" t="s">
        <v>5562</v>
      </c>
      <c r="F842" s="146"/>
      <c r="G842" s="145"/>
      <c r="H842" s="146"/>
      <c r="I842" s="146"/>
      <c r="J842" s="145" t="str">
        <f t="shared" si="14"/>
        <v/>
      </c>
      <c r="K842" s="151"/>
      <c r="L842" s="152"/>
      <c r="M842" s="153"/>
      <c r="N842" s="146"/>
      <c r="O842" s="146"/>
      <c r="P842" s="146"/>
      <c r="Q842" s="145" t="s">
        <v>5575</v>
      </c>
    </row>
    <row r="843" spans="4:17" x14ac:dyDescent="0.25">
      <c r="D843" s="146" t="s">
        <v>5576</v>
      </c>
      <c r="E843" s="145" t="s">
        <v>5562</v>
      </c>
      <c r="F843" s="146"/>
      <c r="G843" s="145"/>
      <c r="H843" s="146"/>
      <c r="I843" s="146"/>
      <c r="J843" s="145" t="str">
        <f t="shared" si="14"/>
        <v/>
      </c>
      <c r="K843" s="151"/>
      <c r="L843" s="152"/>
      <c r="M843" s="153"/>
      <c r="N843" s="146"/>
      <c r="O843" s="146"/>
      <c r="P843" s="146"/>
      <c r="Q843" s="145" t="s">
        <v>5577</v>
      </c>
    </row>
    <row r="844" spans="4:17" x14ac:dyDescent="0.25">
      <c r="D844" s="146" t="s">
        <v>5578</v>
      </c>
      <c r="E844" s="145" t="s">
        <v>5562</v>
      </c>
      <c r="F844" s="146"/>
      <c r="G844" s="145"/>
      <c r="H844" s="146"/>
      <c r="I844" s="146"/>
      <c r="J844" s="145" t="str">
        <f t="shared" si="14"/>
        <v/>
      </c>
      <c r="K844" s="151"/>
      <c r="L844" s="152"/>
      <c r="M844" s="153"/>
      <c r="N844" s="146"/>
      <c r="O844" s="146"/>
      <c r="P844" s="146"/>
      <c r="Q844" s="145" t="s">
        <v>5579</v>
      </c>
    </row>
    <row r="845" spans="4:17" x14ac:dyDescent="0.25">
      <c r="D845" s="146" t="s">
        <v>5580</v>
      </c>
      <c r="E845" s="145" t="s">
        <v>5562</v>
      </c>
      <c r="F845" s="146"/>
      <c r="G845" s="145"/>
      <c r="H845" s="146"/>
      <c r="I845" s="146"/>
      <c r="J845" s="145" t="str">
        <f t="shared" si="14"/>
        <v/>
      </c>
      <c r="K845" s="151"/>
      <c r="L845" s="152"/>
      <c r="M845" s="153"/>
      <c r="N845" s="146"/>
      <c r="O845" s="146"/>
      <c r="P845" s="146"/>
      <c r="Q845" s="145" t="s">
        <v>5581</v>
      </c>
    </row>
    <row r="846" spans="4:17" x14ac:dyDescent="0.25">
      <c r="D846" s="146" t="s">
        <v>5582</v>
      </c>
      <c r="E846" s="145" t="s">
        <v>5562</v>
      </c>
      <c r="F846" s="146"/>
      <c r="G846" s="145"/>
      <c r="H846" s="146"/>
      <c r="I846" s="146"/>
      <c r="J846" s="145" t="str">
        <f t="shared" si="14"/>
        <v/>
      </c>
      <c r="K846" s="151"/>
      <c r="L846" s="152"/>
      <c r="M846" s="153"/>
      <c r="N846" s="146"/>
      <c r="O846" s="146"/>
      <c r="P846" s="146"/>
      <c r="Q846" s="145" t="s">
        <v>5583</v>
      </c>
    </row>
    <row r="847" spans="4:17" x14ac:dyDescent="0.25">
      <c r="D847" s="146" t="s">
        <v>5584</v>
      </c>
      <c r="E847" s="145" t="s">
        <v>5562</v>
      </c>
      <c r="F847" s="146"/>
      <c r="G847" s="145"/>
      <c r="H847" s="146"/>
      <c r="I847" s="146"/>
      <c r="J847" s="145" t="str">
        <f t="shared" si="14"/>
        <v/>
      </c>
      <c r="K847" s="151"/>
      <c r="L847" s="152"/>
      <c r="M847" s="153"/>
      <c r="N847" s="146"/>
      <c r="O847" s="146"/>
      <c r="P847" s="146"/>
      <c r="Q847" s="145" t="s">
        <v>5585</v>
      </c>
    </row>
    <row r="848" spans="4:17" x14ac:dyDescent="0.25">
      <c r="D848" s="146" t="s">
        <v>5586</v>
      </c>
      <c r="E848" s="145" t="s">
        <v>5562</v>
      </c>
      <c r="F848" s="146"/>
      <c r="G848" s="145"/>
      <c r="H848" s="146"/>
      <c r="I848" s="146"/>
      <c r="J848" s="145" t="str">
        <f t="shared" si="14"/>
        <v/>
      </c>
      <c r="K848" s="151"/>
      <c r="L848" s="152"/>
      <c r="M848" s="153"/>
      <c r="N848" s="146"/>
      <c r="O848" s="146"/>
      <c r="P848" s="146"/>
      <c r="Q848" s="145" t="s">
        <v>5587</v>
      </c>
    </row>
    <row r="849" spans="4:17" x14ac:dyDescent="0.25">
      <c r="D849" s="146" t="s">
        <v>5588</v>
      </c>
      <c r="E849" s="145" t="s">
        <v>5562</v>
      </c>
      <c r="F849" s="146"/>
      <c r="G849" s="145"/>
      <c r="H849" s="146"/>
      <c r="I849" s="146"/>
      <c r="J849" s="145" t="str">
        <f t="shared" si="14"/>
        <v/>
      </c>
      <c r="K849" s="151"/>
      <c r="L849" s="152"/>
      <c r="M849" s="153"/>
      <c r="N849" s="146"/>
      <c r="O849" s="146"/>
      <c r="P849" s="146"/>
      <c r="Q849" s="145" t="s">
        <v>5589</v>
      </c>
    </row>
    <row r="850" spans="4:17" x14ac:dyDescent="0.25">
      <c r="D850" s="146" t="s">
        <v>5590</v>
      </c>
      <c r="E850" s="145" t="s">
        <v>5562</v>
      </c>
      <c r="F850" s="146"/>
      <c r="G850" s="145"/>
      <c r="H850" s="146"/>
      <c r="I850" s="146"/>
      <c r="J850" s="145" t="str">
        <f t="shared" si="14"/>
        <v/>
      </c>
      <c r="K850" s="151"/>
      <c r="L850" s="152"/>
      <c r="M850" s="153"/>
      <c r="N850" s="146"/>
      <c r="O850" s="146"/>
      <c r="P850" s="146"/>
      <c r="Q850" s="145" t="s">
        <v>5591</v>
      </c>
    </row>
    <row r="851" spans="4:17" x14ac:dyDescent="0.25">
      <c r="D851" s="146" t="s">
        <v>5592</v>
      </c>
      <c r="E851" s="145" t="s">
        <v>5562</v>
      </c>
      <c r="F851" s="146"/>
      <c r="G851" s="145"/>
      <c r="H851" s="146"/>
      <c r="I851" s="146"/>
      <c r="J851" s="145" t="str">
        <f t="shared" si="14"/>
        <v/>
      </c>
      <c r="K851" s="151"/>
      <c r="L851" s="152"/>
      <c r="M851" s="153"/>
      <c r="N851" s="146"/>
      <c r="O851" s="146"/>
      <c r="P851" s="146"/>
      <c r="Q851" s="145" t="s">
        <v>5593</v>
      </c>
    </row>
    <row r="852" spans="4:17" x14ac:dyDescent="0.25">
      <c r="D852" s="146" t="s">
        <v>5594</v>
      </c>
      <c r="E852" s="145" t="s">
        <v>5562</v>
      </c>
      <c r="F852" s="146"/>
      <c r="G852" s="145"/>
      <c r="H852" s="146"/>
      <c r="I852" s="146"/>
      <c r="J852" s="145" t="str">
        <f t="shared" si="14"/>
        <v/>
      </c>
      <c r="K852" s="151"/>
      <c r="L852" s="152"/>
      <c r="M852" s="153"/>
      <c r="N852" s="146"/>
      <c r="O852" s="146"/>
      <c r="P852" s="146"/>
      <c r="Q852" s="145" t="s">
        <v>5595</v>
      </c>
    </row>
    <row r="853" spans="4:17" x14ac:dyDescent="0.25">
      <c r="D853" s="146" t="s">
        <v>5596</v>
      </c>
      <c r="E853" s="145" t="s">
        <v>5562</v>
      </c>
      <c r="F853" s="146"/>
      <c r="G853" s="145"/>
      <c r="H853" s="146"/>
      <c r="I853" s="146"/>
      <c r="J853" s="145" t="str">
        <f t="shared" si="14"/>
        <v/>
      </c>
      <c r="K853" s="151"/>
      <c r="L853" s="152"/>
      <c r="M853" s="153"/>
      <c r="N853" s="146"/>
      <c r="O853" s="146"/>
      <c r="P853" s="146"/>
      <c r="Q853" s="145" t="s">
        <v>5597</v>
      </c>
    </row>
    <row r="854" spans="4:17" x14ac:dyDescent="0.25">
      <c r="D854" s="146" t="s">
        <v>5598</v>
      </c>
      <c r="E854" s="145" t="s">
        <v>5562</v>
      </c>
      <c r="F854" s="146"/>
      <c r="G854" s="145"/>
      <c r="H854" s="146"/>
      <c r="I854" s="146"/>
      <c r="J854" s="145" t="str">
        <f t="shared" si="14"/>
        <v/>
      </c>
      <c r="K854" s="151"/>
      <c r="L854" s="152"/>
      <c r="M854" s="153"/>
      <c r="N854" s="146"/>
      <c r="O854" s="146"/>
      <c r="P854" s="146"/>
      <c r="Q854" s="145" t="s">
        <v>5599</v>
      </c>
    </row>
    <row r="855" spans="4:17" x14ac:dyDescent="0.25">
      <c r="D855" s="146" t="s">
        <v>5600</v>
      </c>
      <c r="E855" s="145" t="s">
        <v>5562</v>
      </c>
      <c r="F855" s="146"/>
      <c r="G855" s="145"/>
      <c r="H855" s="146"/>
      <c r="I855" s="146"/>
      <c r="J855" s="145" t="str">
        <f t="shared" si="14"/>
        <v/>
      </c>
      <c r="K855" s="151"/>
      <c r="L855" s="152"/>
      <c r="M855" s="153"/>
      <c r="N855" s="146"/>
      <c r="O855" s="146"/>
      <c r="P855" s="146"/>
      <c r="Q855" s="145" t="s">
        <v>5601</v>
      </c>
    </row>
    <row r="856" spans="4:17" x14ac:dyDescent="0.25">
      <c r="D856" s="146" t="s">
        <v>5602</v>
      </c>
      <c r="E856" s="145" t="s">
        <v>5603</v>
      </c>
      <c r="F856" s="146"/>
      <c r="G856" s="145"/>
      <c r="H856" s="146"/>
      <c r="I856" s="146"/>
      <c r="J856" s="145" t="str">
        <f t="shared" si="14"/>
        <v/>
      </c>
      <c r="K856" s="151"/>
      <c r="L856" s="152"/>
      <c r="M856" s="153"/>
      <c r="N856" s="146"/>
      <c r="O856" s="146"/>
      <c r="P856" s="146"/>
      <c r="Q856" s="145" t="s">
        <v>5604</v>
      </c>
    </row>
    <row r="857" spans="4:17" x14ac:dyDescent="0.25">
      <c r="D857" s="146" t="s">
        <v>5605</v>
      </c>
      <c r="E857" s="145" t="s">
        <v>5603</v>
      </c>
      <c r="F857" s="146"/>
      <c r="G857" s="145"/>
      <c r="H857" s="146"/>
      <c r="I857" s="146"/>
      <c r="J857" s="145" t="str">
        <f t="shared" si="14"/>
        <v/>
      </c>
      <c r="K857" s="151"/>
      <c r="L857" s="152"/>
      <c r="M857" s="153"/>
      <c r="N857" s="146"/>
      <c r="O857" s="146"/>
      <c r="P857" s="146"/>
      <c r="Q857" s="145" t="s">
        <v>5606</v>
      </c>
    </row>
    <row r="858" spans="4:17" x14ac:dyDescent="0.25">
      <c r="D858" s="146" t="s">
        <v>5607</v>
      </c>
      <c r="E858" s="145" t="s">
        <v>5603</v>
      </c>
      <c r="F858" s="146"/>
      <c r="G858" s="145"/>
      <c r="H858" s="146"/>
      <c r="I858" s="146"/>
      <c r="J858" s="145" t="str">
        <f t="shared" si="14"/>
        <v/>
      </c>
      <c r="K858" s="151"/>
      <c r="L858" s="152"/>
      <c r="M858" s="153"/>
      <c r="N858" s="146"/>
      <c r="O858" s="146"/>
      <c r="P858" s="146"/>
      <c r="Q858" s="145" t="s">
        <v>5608</v>
      </c>
    </row>
    <row r="859" spans="4:17" x14ac:dyDescent="0.25">
      <c r="D859" s="146" t="s">
        <v>5609</v>
      </c>
      <c r="E859" s="145" t="s">
        <v>5603</v>
      </c>
      <c r="F859" s="146"/>
      <c r="G859" s="145"/>
      <c r="H859" s="146"/>
      <c r="I859" s="146"/>
      <c r="J859" s="145" t="str">
        <f t="shared" si="14"/>
        <v/>
      </c>
      <c r="K859" s="151"/>
      <c r="L859" s="152"/>
      <c r="M859" s="153"/>
      <c r="N859" s="146"/>
      <c r="O859" s="146"/>
      <c r="P859" s="146"/>
      <c r="Q859" s="145" t="s">
        <v>5610</v>
      </c>
    </row>
    <row r="860" spans="4:17" x14ac:dyDescent="0.25">
      <c r="D860" s="146" t="s">
        <v>5611</v>
      </c>
      <c r="E860" s="145" t="s">
        <v>5603</v>
      </c>
      <c r="F860" s="146"/>
      <c r="G860" s="145"/>
      <c r="H860" s="146"/>
      <c r="I860" s="146"/>
      <c r="J860" s="145" t="str">
        <f t="shared" si="14"/>
        <v/>
      </c>
      <c r="K860" s="151"/>
      <c r="L860" s="152"/>
      <c r="M860" s="153"/>
      <c r="N860" s="146"/>
      <c r="O860" s="146"/>
      <c r="P860" s="146"/>
      <c r="Q860" s="145" t="s">
        <v>5612</v>
      </c>
    </row>
    <row r="861" spans="4:17" x14ac:dyDescent="0.25">
      <c r="D861" s="146" t="s">
        <v>5613</v>
      </c>
      <c r="E861" s="145" t="s">
        <v>5603</v>
      </c>
      <c r="F861" s="146"/>
      <c r="G861" s="145"/>
      <c r="H861" s="146"/>
      <c r="I861" s="146"/>
      <c r="J861" s="145" t="str">
        <f t="shared" si="14"/>
        <v/>
      </c>
      <c r="K861" s="151"/>
      <c r="L861" s="152"/>
      <c r="M861" s="153"/>
      <c r="N861" s="146"/>
      <c r="O861" s="146"/>
      <c r="P861" s="146"/>
      <c r="Q861" s="145" t="s">
        <v>5614</v>
      </c>
    </row>
    <row r="862" spans="4:17" x14ac:dyDescent="0.25">
      <c r="D862" s="146" t="s">
        <v>5615</v>
      </c>
      <c r="E862" s="145" t="s">
        <v>5603</v>
      </c>
      <c r="F862" s="146"/>
      <c r="G862" s="145"/>
      <c r="H862" s="146"/>
      <c r="I862" s="146"/>
      <c r="J862" s="145" t="str">
        <f t="shared" si="14"/>
        <v/>
      </c>
      <c r="K862" s="151"/>
      <c r="L862" s="152"/>
      <c r="M862" s="153"/>
      <c r="N862" s="146"/>
      <c r="O862" s="146"/>
      <c r="P862" s="146"/>
      <c r="Q862" s="145" t="s">
        <v>5616</v>
      </c>
    </row>
    <row r="863" spans="4:17" x14ac:dyDescent="0.25">
      <c r="D863" s="146" t="s">
        <v>5617</v>
      </c>
      <c r="E863" s="145" t="s">
        <v>5603</v>
      </c>
      <c r="F863" s="146"/>
      <c r="G863" s="145"/>
      <c r="H863" s="146"/>
      <c r="I863" s="146"/>
      <c r="J863" s="145" t="str">
        <f t="shared" si="14"/>
        <v/>
      </c>
      <c r="K863" s="151"/>
      <c r="L863" s="152"/>
      <c r="M863" s="153"/>
      <c r="N863" s="146"/>
      <c r="O863" s="146"/>
      <c r="P863" s="146"/>
      <c r="Q863" s="145" t="s">
        <v>5618</v>
      </c>
    </row>
    <row r="864" spans="4:17" x14ac:dyDescent="0.25">
      <c r="D864" s="146" t="s">
        <v>5619</v>
      </c>
      <c r="E864" s="145" t="s">
        <v>5603</v>
      </c>
      <c r="F864" s="146"/>
      <c r="G864" s="145"/>
      <c r="H864" s="146"/>
      <c r="I864" s="146"/>
      <c r="J864" s="145" t="str">
        <f t="shared" si="14"/>
        <v/>
      </c>
      <c r="K864" s="151"/>
      <c r="L864" s="152"/>
      <c r="M864" s="153"/>
      <c r="N864" s="146"/>
      <c r="O864" s="146"/>
      <c r="P864" s="146"/>
      <c r="Q864" s="145" t="s">
        <v>5620</v>
      </c>
    </row>
    <row r="865" spans="4:17" x14ac:dyDescent="0.25">
      <c r="D865" s="146" t="s">
        <v>5621</v>
      </c>
      <c r="E865" s="145" t="s">
        <v>5603</v>
      </c>
      <c r="F865" s="146"/>
      <c r="G865" s="145"/>
      <c r="H865" s="146"/>
      <c r="I865" s="146"/>
      <c r="J865" s="145" t="str">
        <f t="shared" si="14"/>
        <v/>
      </c>
      <c r="K865" s="151"/>
      <c r="L865" s="152"/>
      <c r="M865" s="153"/>
      <c r="N865" s="146"/>
      <c r="O865" s="146"/>
      <c r="P865" s="146"/>
      <c r="Q865" s="145" t="s">
        <v>5622</v>
      </c>
    </row>
    <row r="866" spans="4:17" x14ac:dyDescent="0.25">
      <c r="D866" s="146" t="s">
        <v>5623</v>
      </c>
      <c r="E866" s="145" t="s">
        <v>5603</v>
      </c>
      <c r="F866" s="146"/>
      <c r="G866" s="145"/>
      <c r="H866" s="146"/>
      <c r="I866" s="146"/>
      <c r="J866" s="145" t="str">
        <f t="shared" si="14"/>
        <v/>
      </c>
      <c r="K866" s="151"/>
      <c r="L866" s="152"/>
      <c r="M866" s="153"/>
      <c r="N866" s="146"/>
      <c r="O866" s="146"/>
      <c r="P866" s="146"/>
      <c r="Q866" s="145" t="s">
        <v>5624</v>
      </c>
    </row>
    <row r="867" spans="4:17" x14ac:dyDescent="0.25">
      <c r="D867" s="146" t="s">
        <v>5625</v>
      </c>
      <c r="E867" s="145" t="s">
        <v>5603</v>
      </c>
      <c r="F867" s="146"/>
      <c r="G867" s="145"/>
      <c r="H867" s="146"/>
      <c r="I867" s="146"/>
      <c r="J867" s="145" t="str">
        <f t="shared" si="14"/>
        <v/>
      </c>
      <c r="K867" s="151"/>
      <c r="L867" s="152"/>
      <c r="M867" s="153"/>
      <c r="N867" s="146"/>
      <c r="O867" s="146"/>
      <c r="P867" s="146"/>
      <c r="Q867" s="145" t="s">
        <v>5626</v>
      </c>
    </row>
    <row r="868" spans="4:17" x14ac:dyDescent="0.25">
      <c r="D868" s="146" t="s">
        <v>5627</v>
      </c>
      <c r="E868" s="145" t="s">
        <v>5603</v>
      </c>
      <c r="F868" s="146"/>
      <c r="G868" s="145"/>
      <c r="H868" s="146"/>
      <c r="I868" s="146"/>
      <c r="J868" s="145" t="str">
        <f t="shared" si="14"/>
        <v/>
      </c>
      <c r="K868" s="151"/>
      <c r="L868" s="152"/>
      <c r="M868" s="153"/>
      <c r="N868" s="146"/>
      <c r="O868" s="146"/>
      <c r="P868" s="146"/>
      <c r="Q868" s="145" t="s">
        <v>5628</v>
      </c>
    </row>
    <row r="869" spans="4:17" x14ac:dyDescent="0.25">
      <c r="D869" s="146" t="s">
        <v>5629</v>
      </c>
      <c r="E869" s="145" t="s">
        <v>5603</v>
      </c>
      <c r="F869" s="146"/>
      <c r="G869" s="145"/>
      <c r="H869" s="146"/>
      <c r="I869" s="146"/>
      <c r="J869" s="145" t="str">
        <f t="shared" si="14"/>
        <v/>
      </c>
      <c r="K869" s="151"/>
      <c r="L869" s="152"/>
      <c r="M869" s="153"/>
      <c r="N869" s="146"/>
      <c r="O869" s="146"/>
      <c r="P869" s="146"/>
      <c r="Q869" s="145" t="s">
        <v>5630</v>
      </c>
    </row>
    <row r="870" spans="4:17" x14ac:dyDescent="0.25">
      <c r="D870" s="146" t="s">
        <v>5631</v>
      </c>
      <c r="E870" s="145" t="s">
        <v>5603</v>
      </c>
      <c r="F870" s="146"/>
      <c r="G870" s="145"/>
      <c r="H870" s="146"/>
      <c r="I870" s="146"/>
      <c r="J870" s="145" t="str">
        <f t="shared" si="14"/>
        <v/>
      </c>
      <c r="K870" s="151"/>
      <c r="L870" s="152"/>
      <c r="M870" s="153"/>
      <c r="N870" s="146"/>
      <c r="O870" s="146"/>
      <c r="P870" s="146"/>
      <c r="Q870" s="145" t="s">
        <v>5632</v>
      </c>
    </row>
    <row r="871" spans="4:17" x14ac:dyDescent="0.25">
      <c r="D871" s="146" t="s">
        <v>5633</v>
      </c>
      <c r="E871" s="145" t="s">
        <v>5603</v>
      </c>
      <c r="F871" s="146"/>
      <c r="G871" s="145"/>
      <c r="H871" s="146"/>
      <c r="I871" s="146"/>
      <c r="J871" s="145" t="str">
        <f t="shared" si="14"/>
        <v/>
      </c>
      <c r="K871" s="151"/>
      <c r="L871" s="152"/>
      <c r="M871" s="153"/>
      <c r="N871" s="146"/>
      <c r="O871" s="146"/>
      <c r="P871" s="146"/>
      <c r="Q871" s="145" t="s">
        <v>5634</v>
      </c>
    </row>
    <row r="872" spans="4:17" x14ac:dyDescent="0.25">
      <c r="D872" s="146" t="s">
        <v>5635</v>
      </c>
      <c r="E872" s="145" t="s">
        <v>5603</v>
      </c>
      <c r="F872" s="146"/>
      <c r="G872" s="145"/>
      <c r="H872" s="146"/>
      <c r="I872" s="146"/>
      <c r="J872" s="145" t="str">
        <f t="shared" si="14"/>
        <v/>
      </c>
      <c r="K872" s="151"/>
      <c r="L872" s="152"/>
      <c r="M872" s="153"/>
      <c r="N872" s="146"/>
      <c r="O872" s="146"/>
      <c r="P872" s="146"/>
      <c r="Q872" s="145" t="s">
        <v>5636</v>
      </c>
    </row>
    <row r="873" spans="4:17" x14ac:dyDescent="0.25">
      <c r="D873" s="146" t="s">
        <v>5637</v>
      </c>
      <c r="E873" s="145" t="s">
        <v>5603</v>
      </c>
      <c r="F873" s="146"/>
      <c r="G873" s="145"/>
      <c r="H873" s="146"/>
      <c r="I873" s="146"/>
      <c r="J873" s="145" t="str">
        <f t="shared" si="14"/>
        <v/>
      </c>
      <c r="K873" s="151"/>
      <c r="L873" s="152"/>
      <c r="M873" s="153"/>
      <c r="N873" s="146"/>
      <c r="O873" s="146"/>
      <c r="P873" s="146"/>
      <c r="Q873" s="145" t="s">
        <v>5638</v>
      </c>
    </row>
    <row r="874" spans="4:17" x14ac:dyDescent="0.25">
      <c r="D874" s="146" t="s">
        <v>5639</v>
      </c>
      <c r="E874" s="145" t="s">
        <v>5603</v>
      </c>
      <c r="F874" s="146"/>
      <c r="G874" s="145"/>
      <c r="H874" s="146"/>
      <c r="I874" s="146"/>
      <c r="J874" s="145" t="str">
        <f t="shared" si="14"/>
        <v/>
      </c>
      <c r="K874" s="151"/>
      <c r="L874" s="152"/>
      <c r="M874" s="153"/>
      <c r="N874" s="146"/>
      <c r="O874" s="146"/>
      <c r="P874" s="146"/>
      <c r="Q874" s="145" t="s">
        <v>5640</v>
      </c>
    </row>
    <row r="875" spans="4:17" x14ac:dyDescent="0.25">
      <c r="D875" s="146" t="s">
        <v>5641</v>
      </c>
      <c r="E875" s="145" t="s">
        <v>5603</v>
      </c>
      <c r="F875" s="146"/>
      <c r="G875" s="145"/>
      <c r="H875" s="146"/>
      <c r="I875" s="146"/>
      <c r="J875" s="145" t="str">
        <f t="shared" si="14"/>
        <v/>
      </c>
      <c r="K875" s="151"/>
      <c r="L875" s="152"/>
      <c r="M875" s="153"/>
      <c r="N875" s="146"/>
      <c r="O875" s="146"/>
      <c r="P875" s="146"/>
      <c r="Q875" s="145" t="s">
        <v>5642</v>
      </c>
    </row>
    <row r="876" spans="4:17" x14ac:dyDescent="0.25">
      <c r="D876" s="146" t="s">
        <v>5643</v>
      </c>
      <c r="E876" s="145" t="s">
        <v>5644</v>
      </c>
      <c r="F876" s="146"/>
      <c r="G876" s="145"/>
      <c r="H876" s="146"/>
      <c r="I876" s="146"/>
      <c r="J876" s="145" t="str">
        <f t="shared" si="14"/>
        <v/>
      </c>
      <c r="K876" s="151"/>
      <c r="L876" s="152"/>
      <c r="M876" s="153"/>
      <c r="N876" s="146"/>
      <c r="O876" s="146"/>
      <c r="P876" s="146"/>
      <c r="Q876" s="145" t="s">
        <v>5645</v>
      </c>
    </row>
    <row r="877" spans="4:17" x14ac:dyDescent="0.25">
      <c r="D877" s="146" t="s">
        <v>5646</v>
      </c>
      <c r="E877" s="145" t="s">
        <v>5644</v>
      </c>
      <c r="F877" s="146"/>
      <c r="G877" s="145"/>
      <c r="H877" s="146"/>
      <c r="I877" s="146"/>
      <c r="J877" s="145" t="str">
        <f t="shared" si="14"/>
        <v/>
      </c>
      <c r="K877" s="151"/>
      <c r="L877" s="152"/>
      <c r="M877" s="153"/>
      <c r="N877" s="146"/>
      <c r="O877" s="146"/>
      <c r="P877" s="146"/>
      <c r="Q877" s="145" t="s">
        <v>5647</v>
      </c>
    </row>
    <row r="878" spans="4:17" x14ac:dyDescent="0.25">
      <c r="D878" s="146" t="s">
        <v>5648</v>
      </c>
      <c r="E878" s="145" t="s">
        <v>5644</v>
      </c>
      <c r="F878" s="146"/>
      <c r="G878" s="145"/>
      <c r="H878" s="146"/>
      <c r="I878" s="146"/>
      <c r="J878" s="145" t="str">
        <f t="shared" si="14"/>
        <v/>
      </c>
      <c r="K878" s="151"/>
      <c r="L878" s="152"/>
      <c r="M878" s="153"/>
      <c r="N878" s="146"/>
      <c r="O878" s="146"/>
      <c r="P878" s="146"/>
      <c r="Q878" s="145" t="s">
        <v>5649</v>
      </c>
    </row>
    <row r="879" spans="4:17" x14ac:dyDescent="0.25">
      <c r="D879" s="146" t="s">
        <v>5650</v>
      </c>
      <c r="E879" s="145" t="s">
        <v>5644</v>
      </c>
      <c r="F879" s="146"/>
      <c r="G879" s="145"/>
      <c r="H879" s="146"/>
      <c r="I879" s="146"/>
      <c r="J879" s="145" t="str">
        <f t="shared" si="14"/>
        <v/>
      </c>
      <c r="K879" s="151"/>
      <c r="L879" s="152"/>
      <c r="M879" s="153"/>
      <c r="N879" s="146"/>
      <c r="O879" s="146"/>
      <c r="P879" s="146"/>
      <c r="Q879" s="145" t="s">
        <v>5651</v>
      </c>
    </row>
    <row r="880" spans="4:17" x14ac:dyDescent="0.25">
      <c r="D880" s="146" t="s">
        <v>5652</v>
      </c>
      <c r="E880" s="145" t="s">
        <v>5644</v>
      </c>
      <c r="F880" s="146"/>
      <c r="G880" s="145"/>
      <c r="H880" s="146"/>
      <c r="I880" s="146"/>
      <c r="J880" s="145" t="str">
        <f t="shared" si="14"/>
        <v/>
      </c>
      <c r="K880" s="151"/>
      <c r="L880" s="152"/>
      <c r="M880" s="153"/>
      <c r="N880" s="146"/>
      <c r="O880" s="146"/>
      <c r="P880" s="146"/>
      <c r="Q880" s="145" t="s">
        <v>5653</v>
      </c>
    </row>
    <row r="881" spans="4:17" x14ac:dyDescent="0.25">
      <c r="D881" s="146" t="s">
        <v>5654</v>
      </c>
      <c r="E881" s="145" t="s">
        <v>5644</v>
      </c>
      <c r="F881" s="146"/>
      <c r="G881" s="145"/>
      <c r="H881" s="146"/>
      <c r="I881" s="146"/>
      <c r="J881" s="145" t="str">
        <f t="shared" si="14"/>
        <v/>
      </c>
      <c r="K881" s="151"/>
      <c r="L881" s="152"/>
      <c r="M881" s="153"/>
      <c r="N881" s="146"/>
      <c r="O881" s="146"/>
      <c r="P881" s="146"/>
      <c r="Q881" s="145" t="s">
        <v>5655</v>
      </c>
    </row>
    <row r="882" spans="4:17" x14ac:dyDescent="0.25">
      <c r="D882" s="146" t="s">
        <v>5656</v>
      </c>
      <c r="E882" s="145" t="s">
        <v>5644</v>
      </c>
      <c r="F882" s="146"/>
      <c r="G882" s="145"/>
      <c r="H882" s="146"/>
      <c r="I882" s="146"/>
      <c r="J882" s="145" t="str">
        <f t="shared" si="14"/>
        <v/>
      </c>
      <c r="K882" s="151"/>
      <c r="L882" s="152"/>
      <c r="M882" s="153"/>
      <c r="N882" s="146"/>
      <c r="O882" s="146"/>
      <c r="P882" s="146"/>
      <c r="Q882" s="145" t="s">
        <v>5657</v>
      </c>
    </row>
    <row r="883" spans="4:17" x14ac:dyDescent="0.25">
      <c r="D883" s="146" t="s">
        <v>5658</v>
      </c>
      <c r="E883" s="145" t="s">
        <v>5644</v>
      </c>
      <c r="F883" s="146"/>
      <c r="G883" s="145"/>
      <c r="H883" s="146"/>
      <c r="I883" s="146"/>
      <c r="J883" s="145" t="str">
        <f t="shared" si="14"/>
        <v/>
      </c>
      <c r="K883" s="151"/>
      <c r="L883" s="152"/>
      <c r="M883" s="153"/>
      <c r="N883" s="146"/>
      <c r="O883" s="146"/>
      <c r="P883" s="146"/>
      <c r="Q883" s="145" t="s">
        <v>5659</v>
      </c>
    </row>
    <row r="884" spans="4:17" x14ac:dyDescent="0.25">
      <c r="D884" s="146" t="s">
        <v>5660</v>
      </c>
      <c r="E884" s="145" t="s">
        <v>5644</v>
      </c>
      <c r="F884" s="146"/>
      <c r="G884" s="145"/>
      <c r="H884" s="146"/>
      <c r="I884" s="146"/>
      <c r="J884" s="145" t="str">
        <f t="shared" si="14"/>
        <v/>
      </c>
      <c r="K884" s="151"/>
      <c r="L884" s="152"/>
      <c r="M884" s="153"/>
      <c r="N884" s="146"/>
      <c r="O884" s="146"/>
      <c r="P884" s="146"/>
      <c r="Q884" s="145" t="s">
        <v>5661</v>
      </c>
    </row>
    <row r="885" spans="4:17" x14ac:dyDescent="0.25">
      <c r="D885" s="146" t="s">
        <v>5662</v>
      </c>
      <c r="E885" s="145" t="s">
        <v>5644</v>
      </c>
      <c r="F885" s="146"/>
      <c r="G885" s="145"/>
      <c r="H885" s="146"/>
      <c r="I885" s="146"/>
      <c r="J885" s="145" t="str">
        <f t="shared" si="14"/>
        <v/>
      </c>
      <c r="K885" s="151"/>
      <c r="L885" s="152"/>
      <c r="M885" s="153"/>
      <c r="N885" s="146"/>
      <c r="O885" s="146"/>
      <c r="P885" s="146"/>
      <c r="Q885" s="145" t="s">
        <v>5663</v>
      </c>
    </row>
    <row r="886" spans="4:17" x14ac:dyDescent="0.25">
      <c r="D886" s="146" t="s">
        <v>5664</v>
      </c>
      <c r="E886" s="145" t="s">
        <v>5644</v>
      </c>
      <c r="F886" s="146"/>
      <c r="G886" s="145"/>
      <c r="H886" s="146"/>
      <c r="I886" s="146"/>
      <c r="J886" s="145" t="str">
        <f t="shared" si="14"/>
        <v/>
      </c>
      <c r="K886" s="151"/>
      <c r="L886" s="152"/>
      <c r="M886" s="153"/>
      <c r="N886" s="146"/>
      <c r="O886" s="146"/>
      <c r="P886" s="146"/>
      <c r="Q886" s="145" t="s">
        <v>5665</v>
      </c>
    </row>
    <row r="887" spans="4:17" x14ac:dyDescent="0.25">
      <c r="D887" s="146" t="s">
        <v>5666</v>
      </c>
      <c r="E887" s="145" t="s">
        <v>5644</v>
      </c>
      <c r="F887" s="146"/>
      <c r="G887" s="145"/>
      <c r="H887" s="146"/>
      <c r="I887" s="146"/>
      <c r="J887" s="145" t="str">
        <f t="shared" si="14"/>
        <v/>
      </c>
      <c r="K887" s="151"/>
      <c r="L887" s="152"/>
      <c r="M887" s="153"/>
      <c r="N887" s="146"/>
      <c r="O887" s="146"/>
      <c r="P887" s="146"/>
      <c r="Q887" s="145" t="s">
        <v>5667</v>
      </c>
    </row>
    <row r="888" spans="4:17" x14ac:dyDescent="0.25">
      <c r="D888" s="146" t="s">
        <v>5668</v>
      </c>
      <c r="E888" s="145" t="s">
        <v>5644</v>
      </c>
      <c r="F888" s="146"/>
      <c r="G888" s="145"/>
      <c r="H888" s="146"/>
      <c r="I888" s="146"/>
      <c r="J888" s="145" t="str">
        <f t="shared" si="14"/>
        <v/>
      </c>
      <c r="K888" s="151"/>
      <c r="L888" s="152"/>
      <c r="M888" s="153"/>
      <c r="N888" s="146"/>
      <c r="O888" s="146"/>
      <c r="P888" s="146"/>
      <c r="Q888" s="145" t="s">
        <v>5669</v>
      </c>
    </row>
    <row r="889" spans="4:17" x14ac:dyDescent="0.25">
      <c r="D889" s="146" t="s">
        <v>5670</v>
      </c>
      <c r="E889" s="145" t="s">
        <v>5644</v>
      </c>
      <c r="F889" s="146"/>
      <c r="G889" s="145"/>
      <c r="H889" s="146"/>
      <c r="I889" s="146"/>
      <c r="J889" s="145" t="str">
        <f t="shared" si="14"/>
        <v/>
      </c>
      <c r="K889" s="151"/>
      <c r="L889" s="152"/>
      <c r="M889" s="153"/>
      <c r="N889" s="146"/>
      <c r="O889" s="146"/>
      <c r="P889" s="146"/>
      <c r="Q889" s="145" t="s">
        <v>5671</v>
      </c>
    </row>
    <row r="890" spans="4:17" x14ac:dyDescent="0.25">
      <c r="D890" s="146" t="s">
        <v>5672</v>
      </c>
      <c r="E890" s="145" t="s">
        <v>5644</v>
      </c>
      <c r="F890" s="146"/>
      <c r="G890" s="145"/>
      <c r="H890" s="146"/>
      <c r="I890" s="146"/>
      <c r="J890" s="145" t="str">
        <f t="shared" si="14"/>
        <v/>
      </c>
      <c r="K890" s="151"/>
      <c r="L890" s="152"/>
      <c r="M890" s="153"/>
      <c r="N890" s="146"/>
      <c r="O890" s="146"/>
      <c r="P890" s="146"/>
      <c r="Q890" s="145" t="s">
        <v>5673</v>
      </c>
    </row>
    <row r="891" spans="4:17" x14ac:dyDescent="0.25">
      <c r="D891" s="146" t="s">
        <v>5674</v>
      </c>
      <c r="E891" s="145" t="s">
        <v>5644</v>
      </c>
      <c r="F891" s="146"/>
      <c r="G891" s="145"/>
      <c r="H891" s="146"/>
      <c r="I891" s="146"/>
      <c r="J891" s="145" t="str">
        <f t="shared" si="14"/>
        <v/>
      </c>
      <c r="K891" s="151"/>
      <c r="L891" s="152"/>
      <c r="M891" s="153"/>
      <c r="N891" s="146"/>
      <c r="O891" s="146"/>
      <c r="P891" s="146"/>
      <c r="Q891" s="145" t="s">
        <v>5675</v>
      </c>
    </row>
    <row r="892" spans="4:17" x14ac:dyDescent="0.25">
      <c r="D892" s="146" t="s">
        <v>5676</v>
      </c>
      <c r="E892" s="145" t="s">
        <v>5644</v>
      </c>
      <c r="F892" s="146"/>
      <c r="G892" s="145"/>
      <c r="H892" s="146"/>
      <c r="I892" s="146"/>
      <c r="J892" s="145" t="str">
        <f t="shared" ref="J892:J915" si="15">F892&amp;H892&amp;I892</f>
        <v/>
      </c>
      <c r="K892" s="151"/>
      <c r="L892" s="152"/>
      <c r="M892" s="153"/>
      <c r="N892" s="146"/>
      <c r="O892" s="146"/>
      <c r="P892" s="146"/>
      <c r="Q892" s="145" t="s">
        <v>5677</v>
      </c>
    </row>
    <row r="893" spans="4:17" x14ac:dyDescent="0.25">
      <c r="D893" s="146" t="s">
        <v>5678</v>
      </c>
      <c r="E893" s="145" t="s">
        <v>5644</v>
      </c>
      <c r="F893" s="146"/>
      <c r="G893" s="145"/>
      <c r="H893" s="146"/>
      <c r="I893" s="146"/>
      <c r="J893" s="145" t="str">
        <f t="shared" si="15"/>
        <v/>
      </c>
      <c r="K893" s="151"/>
      <c r="L893" s="152"/>
      <c r="M893" s="153"/>
      <c r="N893" s="146"/>
      <c r="O893" s="146"/>
      <c r="P893" s="146"/>
      <c r="Q893" s="145" t="s">
        <v>5679</v>
      </c>
    </row>
    <row r="894" spans="4:17" x14ac:dyDescent="0.25">
      <c r="D894" s="146" t="s">
        <v>5680</v>
      </c>
      <c r="E894" s="145" t="s">
        <v>5644</v>
      </c>
      <c r="F894" s="146"/>
      <c r="G894" s="145"/>
      <c r="H894" s="146"/>
      <c r="I894" s="146"/>
      <c r="J894" s="145" t="str">
        <f t="shared" si="15"/>
        <v/>
      </c>
      <c r="K894" s="151"/>
      <c r="L894" s="152"/>
      <c r="M894" s="153"/>
      <c r="N894" s="146"/>
      <c r="O894" s="146"/>
      <c r="P894" s="146"/>
      <c r="Q894" s="145" t="s">
        <v>5681</v>
      </c>
    </row>
    <row r="895" spans="4:17" x14ac:dyDescent="0.25">
      <c r="D895" s="146" t="s">
        <v>5682</v>
      </c>
      <c r="E895" s="145" t="s">
        <v>5644</v>
      </c>
      <c r="F895" s="146"/>
      <c r="G895" s="145"/>
      <c r="H895" s="146"/>
      <c r="I895" s="146"/>
      <c r="J895" s="145" t="str">
        <f t="shared" si="15"/>
        <v/>
      </c>
      <c r="K895" s="151"/>
      <c r="L895" s="152"/>
      <c r="M895" s="153"/>
      <c r="N895" s="146"/>
      <c r="O895" s="146"/>
      <c r="P895" s="146"/>
      <c r="Q895" s="145" t="s">
        <v>5683</v>
      </c>
    </row>
    <row r="896" spans="4:17" x14ac:dyDescent="0.25">
      <c r="D896" s="146" t="s">
        <v>5684</v>
      </c>
      <c r="E896" s="145" t="s">
        <v>5685</v>
      </c>
      <c r="F896" s="146"/>
      <c r="G896" s="145"/>
      <c r="H896" s="146"/>
      <c r="I896" s="146"/>
      <c r="J896" s="145" t="str">
        <f t="shared" si="15"/>
        <v/>
      </c>
      <c r="K896" s="151"/>
      <c r="L896" s="152"/>
      <c r="M896" s="153"/>
      <c r="N896" s="146"/>
      <c r="O896" s="146"/>
      <c r="P896" s="146"/>
      <c r="Q896" s="145" t="s">
        <v>5686</v>
      </c>
    </row>
    <row r="897" spans="4:17" x14ac:dyDescent="0.25">
      <c r="D897" s="146" t="s">
        <v>5687</v>
      </c>
      <c r="E897" s="145" t="s">
        <v>5685</v>
      </c>
      <c r="F897" s="146"/>
      <c r="G897" s="145"/>
      <c r="H897" s="146"/>
      <c r="I897" s="146"/>
      <c r="J897" s="145" t="str">
        <f t="shared" si="15"/>
        <v/>
      </c>
      <c r="K897" s="151"/>
      <c r="L897" s="152"/>
      <c r="M897" s="153"/>
      <c r="N897" s="146"/>
      <c r="O897" s="146"/>
      <c r="P897" s="146"/>
      <c r="Q897" s="145" t="s">
        <v>5688</v>
      </c>
    </row>
    <row r="898" spans="4:17" x14ac:dyDescent="0.25">
      <c r="D898" s="146" t="s">
        <v>5689</v>
      </c>
      <c r="E898" s="145" t="s">
        <v>5685</v>
      </c>
      <c r="F898" s="146"/>
      <c r="G898" s="145"/>
      <c r="H898" s="146"/>
      <c r="I898" s="146"/>
      <c r="J898" s="145" t="str">
        <f t="shared" si="15"/>
        <v/>
      </c>
      <c r="K898" s="151"/>
      <c r="L898" s="152"/>
      <c r="M898" s="153"/>
      <c r="N898" s="146"/>
      <c r="O898" s="146"/>
      <c r="P898" s="146"/>
      <c r="Q898" s="145" t="s">
        <v>5690</v>
      </c>
    </row>
    <row r="899" spans="4:17" x14ac:dyDescent="0.25">
      <c r="D899" s="146" t="s">
        <v>5691</v>
      </c>
      <c r="E899" s="145" t="s">
        <v>5685</v>
      </c>
      <c r="F899" s="146"/>
      <c r="G899" s="145"/>
      <c r="H899" s="146"/>
      <c r="I899" s="146"/>
      <c r="J899" s="145" t="str">
        <f t="shared" si="15"/>
        <v/>
      </c>
      <c r="K899" s="151"/>
      <c r="L899" s="152"/>
      <c r="M899" s="153"/>
      <c r="N899" s="146"/>
      <c r="O899" s="146"/>
      <c r="P899" s="146"/>
      <c r="Q899" s="145" t="s">
        <v>5692</v>
      </c>
    </row>
    <row r="900" spans="4:17" x14ac:dyDescent="0.25">
      <c r="D900" s="146" t="s">
        <v>5693</v>
      </c>
      <c r="E900" s="145" t="s">
        <v>5685</v>
      </c>
      <c r="F900" s="146"/>
      <c r="G900" s="145"/>
      <c r="H900" s="146"/>
      <c r="I900" s="146"/>
      <c r="J900" s="145" t="str">
        <f t="shared" si="15"/>
        <v/>
      </c>
      <c r="K900" s="151"/>
      <c r="L900" s="152"/>
      <c r="M900" s="153"/>
      <c r="N900" s="146"/>
      <c r="O900" s="146"/>
      <c r="P900" s="146"/>
      <c r="Q900" s="145" t="s">
        <v>5694</v>
      </c>
    </row>
    <row r="901" spans="4:17" x14ac:dyDescent="0.25">
      <c r="D901" s="146" t="s">
        <v>5695</v>
      </c>
      <c r="E901" s="145" t="s">
        <v>5685</v>
      </c>
      <c r="F901" s="146"/>
      <c r="G901" s="145"/>
      <c r="H901" s="146"/>
      <c r="I901" s="146"/>
      <c r="J901" s="145" t="str">
        <f t="shared" si="15"/>
        <v/>
      </c>
      <c r="K901" s="151"/>
      <c r="L901" s="152"/>
      <c r="M901" s="153"/>
      <c r="N901" s="146"/>
      <c r="O901" s="146"/>
      <c r="P901" s="146"/>
      <c r="Q901" s="145" t="s">
        <v>5696</v>
      </c>
    </row>
    <row r="902" spans="4:17" x14ac:dyDescent="0.25">
      <c r="D902" s="146" t="s">
        <v>5697</v>
      </c>
      <c r="E902" s="145" t="s">
        <v>5685</v>
      </c>
      <c r="F902" s="146"/>
      <c r="G902" s="145"/>
      <c r="H902" s="146"/>
      <c r="I902" s="146"/>
      <c r="J902" s="145" t="str">
        <f t="shared" si="15"/>
        <v/>
      </c>
      <c r="K902" s="151"/>
      <c r="L902" s="152"/>
      <c r="M902" s="153"/>
      <c r="N902" s="146"/>
      <c r="O902" s="146"/>
      <c r="P902" s="146"/>
      <c r="Q902" s="145" t="s">
        <v>5698</v>
      </c>
    </row>
    <row r="903" spans="4:17" x14ac:dyDescent="0.25">
      <c r="D903" s="146" t="s">
        <v>5699</v>
      </c>
      <c r="E903" s="145" t="s">
        <v>5685</v>
      </c>
      <c r="F903" s="146"/>
      <c r="G903" s="145"/>
      <c r="H903" s="146"/>
      <c r="I903" s="146"/>
      <c r="J903" s="145" t="str">
        <f t="shared" si="15"/>
        <v/>
      </c>
      <c r="K903" s="151"/>
      <c r="L903" s="152"/>
      <c r="M903" s="153"/>
      <c r="N903" s="146"/>
      <c r="O903" s="146"/>
      <c r="P903" s="146"/>
      <c r="Q903" s="145" t="s">
        <v>5700</v>
      </c>
    </row>
    <row r="904" spans="4:17" x14ac:dyDescent="0.25">
      <c r="D904" s="146" t="s">
        <v>5701</v>
      </c>
      <c r="E904" s="145" t="s">
        <v>5685</v>
      </c>
      <c r="F904" s="146"/>
      <c r="G904" s="145"/>
      <c r="H904" s="146"/>
      <c r="I904" s="146"/>
      <c r="J904" s="145" t="str">
        <f t="shared" si="15"/>
        <v/>
      </c>
      <c r="K904" s="151"/>
      <c r="L904" s="152"/>
      <c r="M904" s="153"/>
      <c r="N904" s="146"/>
      <c r="O904" s="146"/>
      <c r="P904" s="146"/>
      <c r="Q904" s="145" t="s">
        <v>5702</v>
      </c>
    </row>
    <row r="905" spans="4:17" x14ac:dyDescent="0.25">
      <c r="D905" s="146" t="s">
        <v>5703</v>
      </c>
      <c r="E905" s="145" t="s">
        <v>5685</v>
      </c>
      <c r="F905" s="146"/>
      <c r="G905" s="145"/>
      <c r="H905" s="146"/>
      <c r="I905" s="146"/>
      <c r="J905" s="145" t="str">
        <f t="shared" si="15"/>
        <v/>
      </c>
      <c r="K905" s="151"/>
      <c r="L905" s="152"/>
      <c r="M905" s="153"/>
      <c r="N905" s="146"/>
      <c r="O905" s="146"/>
      <c r="P905" s="146"/>
      <c r="Q905" s="145" t="s">
        <v>5704</v>
      </c>
    </row>
    <row r="906" spans="4:17" x14ac:dyDescent="0.25">
      <c r="D906" s="146" t="s">
        <v>5705</v>
      </c>
      <c r="E906" s="145" t="s">
        <v>5685</v>
      </c>
      <c r="F906" s="146"/>
      <c r="G906" s="145"/>
      <c r="H906" s="146"/>
      <c r="I906" s="146"/>
      <c r="J906" s="145" t="str">
        <f t="shared" si="15"/>
        <v/>
      </c>
      <c r="K906" s="151"/>
      <c r="L906" s="152"/>
      <c r="M906" s="153"/>
      <c r="N906" s="146"/>
      <c r="O906" s="146"/>
      <c r="P906" s="146"/>
      <c r="Q906" s="145" t="s">
        <v>5706</v>
      </c>
    </row>
    <row r="907" spans="4:17" x14ac:dyDescent="0.25">
      <c r="D907" s="146" t="s">
        <v>5707</v>
      </c>
      <c r="E907" s="145" t="s">
        <v>5685</v>
      </c>
      <c r="F907" s="146"/>
      <c r="G907" s="145"/>
      <c r="H907" s="146"/>
      <c r="I907" s="146"/>
      <c r="J907" s="145" t="str">
        <f t="shared" si="15"/>
        <v/>
      </c>
      <c r="K907" s="151"/>
      <c r="L907" s="152"/>
      <c r="M907" s="153"/>
      <c r="N907" s="146"/>
      <c r="O907" s="146"/>
      <c r="P907" s="146"/>
      <c r="Q907" s="145" t="s">
        <v>5708</v>
      </c>
    </row>
    <row r="908" spans="4:17" x14ac:dyDescent="0.25">
      <c r="D908" s="146" t="s">
        <v>5709</v>
      </c>
      <c r="E908" s="145" t="s">
        <v>5685</v>
      </c>
      <c r="F908" s="146"/>
      <c r="G908" s="145"/>
      <c r="H908" s="146"/>
      <c r="I908" s="146"/>
      <c r="J908" s="145" t="str">
        <f t="shared" si="15"/>
        <v/>
      </c>
      <c r="K908" s="151"/>
      <c r="L908" s="152"/>
      <c r="M908" s="153"/>
      <c r="N908" s="146"/>
      <c r="O908" s="146"/>
      <c r="P908" s="146"/>
      <c r="Q908" s="145" t="s">
        <v>5710</v>
      </c>
    </row>
    <row r="909" spans="4:17" x14ac:dyDescent="0.25">
      <c r="D909" s="146" t="s">
        <v>5711</v>
      </c>
      <c r="E909" s="145" t="s">
        <v>5685</v>
      </c>
      <c r="F909" s="146"/>
      <c r="G909" s="145"/>
      <c r="H909" s="146"/>
      <c r="I909" s="146"/>
      <c r="J909" s="145" t="str">
        <f t="shared" si="15"/>
        <v/>
      </c>
      <c r="K909" s="151"/>
      <c r="L909" s="152"/>
      <c r="M909" s="153"/>
      <c r="N909" s="146"/>
      <c r="O909" s="146"/>
      <c r="P909" s="146"/>
      <c r="Q909" s="145" t="s">
        <v>5712</v>
      </c>
    </row>
    <row r="910" spans="4:17" x14ac:dyDescent="0.25">
      <c r="D910" s="146" t="s">
        <v>5713</v>
      </c>
      <c r="E910" s="145" t="s">
        <v>5685</v>
      </c>
      <c r="F910" s="146"/>
      <c r="G910" s="145"/>
      <c r="H910" s="146"/>
      <c r="I910" s="146"/>
      <c r="J910" s="145" t="str">
        <f t="shared" si="15"/>
        <v/>
      </c>
      <c r="K910" s="151"/>
      <c r="L910" s="152"/>
      <c r="M910" s="153"/>
      <c r="N910" s="146"/>
      <c r="O910" s="146"/>
      <c r="P910" s="146"/>
      <c r="Q910" s="145" t="s">
        <v>5714</v>
      </c>
    </row>
    <row r="911" spans="4:17" x14ac:dyDescent="0.25">
      <c r="D911" s="146" t="s">
        <v>5715</v>
      </c>
      <c r="E911" s="145" t="s">
        <v>5685</v>
      </c>
      <c r="F911" s="146"/>
      <c r="G911" s="145"/>
      <c r="H911" s="146"/>
      <c r="I911" s="146"/>
      <c r="J911" s="145" t="str">
        <f t="shared" si="15"/>
        <v/>
      </c>
      <c r="K911" s="151"/>
      <c r="L911" s="152"/>
      <c r="M911" s="153"/>
      <c r="N911" s="146"/>
      <c r="O911" s="146"/>
      <c r="P911" s="146"/>
      <c r="Q911" s="145" t="s">
        <v>5716</v>
      </c>
    </row>
    <row r="912" spans="4:17" x14ac:dyDescent="0.25">
      <c r="D912" s="146" t="s">
        <v>5717</v>
      </c>
      <c r="E912" s="145" t="s">
        <v>5685</v>
      </c>
      <c r="F912" s="146"/>
      <c r="G912" s="145"/>
      <c r="H912" s="146"/>
      <c r="I912" s="146"/>
      <c r="J912" s="145" t="str">
        <f t="shared" si="15"/>
        <v/>
      </c>
      <c r="K912" s="151"/>
      <c r="L912" s="152"/>
      <c r="M912" s="153"/>
      <c r="N912" s="146"/>
      <c r="O912" s="146"/>
      <c r="P912" s="146"/>
      <c r="Q912" s="145" t="s">
        <v>5718</v>
      </c>
    </row>
    <row r="913" spans="4:17" x14ac:dyDescent="0.25">
      <c r="D913" s="146" t="s">
        <v>5719</v>
      </c>
      <c r="E913" s="145" t="s">
        <v>5685</v>
      </c>
      <c r="F913" s="146"/>
      <c r="G913" s="145"/>
      <c r="H913" s="146"/>
      <c r="I913" s="146"/>
      <c r="J913" s="145" t="str">
        <f t="shared" si="15"/>
        <v/>
      </c>
      <c r="K913" s="151"/>
      <c r="L913" s="152"/>
      <c r="M913" s="153"/>
      <c r="N913" s="146"/>
      <c r="O913" s="146"/>
      <c r="P913" s="146"/>
      <c r="Q913" s="145" t="s">
        <v>5720</v>
      </c>
    </row>
    <row r="914" spans="4:17" x14ac:dyDescent="0.25">
      <c r="D914" s="146" t="s">
        <v>5721</v>
      </c>
      <c r="E914" s="145" t="s">
        <v>5685</v>
      </c>
      <c r="F914" s="146"/>
      <c r="G914" s="145"/>
      <c r="H914" s="146"/>
      <c r="I914" s="146"/>
      <c r="J914" s="145" t="str">
        <f t="shared" si="15"/>
        <v/>
      </c>
      <c r="K914" s="151"/>
      <c r="L914" s="152"/>
      <c r="M914" s="153"/>
      <c r="N914" s="146"/>
      <c r="O914" s="146"/>
      <c r="P914" s="146"/>
      <c r="Q914" s="145" t="s">
        <v>5722</v>
      </c>
    </row>
    <row r="915" spans="4:17" x14ac:dyDescent="0.25">
      <c r="D915" s="146" t="s">
        <v>5723</v>
      </c>
      <c r="E915" s="145" t="s">
        <v>5685</v>
      </c>
      <c r="F915" s="146"/>
      <c r="G915" s="145"/>
      <c r="H915" s="146"/>
      <c r="I915" s="146"/>
      <c r="J915" s="145" t="str">
        <f t="shared" si="15"/>
        <v/>
      </c>
      <c r="K915" s="151"/>
      <c r="L915" s="152"/>
      <c r="M915" s="153"/>
      <c r="N915" s="146"/>
      <c r="O915" s="146"/>
      <c r="P915" s="146"/>
      <c r="Q915" s="145" t="s">
        <v>5724</v>
      </c>
    </row>
  </sheetData>
  <dataValidations count="9">
    <dataValidation type="custom" allowBlank="1" showInputMessage="1" showErrorMessage="1" errorTitle="X-Author for Excel" error="Id and Lookup fields are not editable." promptTitle="X-Author for Excel" sqref="O3:O153 O159:O309 Q315:Q915" xr:uid="{00000000-0002-0000-13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1300-000001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xr:uid="{00000000-0002-0000-1300-000002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300-000003000000}">
      <formula1>-999.9</formula1>
      <formula2>999.9</formula2>
    </dataValidation>
    <dataValidation type="list" allowBlank="1" showInputMessage="1" showErrorMessage="1" errorTitle="X-Author for Excel" error="Please select a value from the drop-down." promptTitle="X-Author for Excel" sqref="L3:L153" xr:uid="{10C85093-D7DA-44FF-8498-D90991AE2260}">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xr:uid="{6623B1F3-C9CB-409A-8059-01287F723CA5}">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1F6FA14D-B049-48DA-B4C9-36FB1B9C673E}">
      <formula1>-999.99</formula1>
      <formula2>999.99</formula2>
    </dataValidation>
    <dataValidation type="list" allowBlank="1" showInputMessage="1" showErrorMessage="1" errorTitle="X-Author for Excel" error="Please select a value from the drop-down." promptTitle="X-Author for Excel" sqref="L159:L309" xr:uid="{37DF9278-AA61-4ABE-99E2-80B465889495}">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CAEEF7F1-F349-47FD-80BA-447D2C3CEA7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G1082"/>
  <sheetViews>
    <sheetView workbookViewId="0">
      <selection activeCell="F2" sqref="F2"/>
    </sheetView>
  </sheetViews>
  <sheetFormatPr defaultColWidth="8.59765625" defaultRowHeight="13.2" x14ac:dyDescent="0.25"/>
  <cols>
    <col min="1" max="1" width="13.59765625" style="1" bestFit="1" customWidth="1"/>
    <col min="2" max="2" width="24.09765625" style="1" customWidth="1"/>
    <col min="3" max="3" width="12.59765625" style="9" customWidth="1"/>
    <col min="4" max="4" width="13.59765625" style="1" bestFit="1" customWidth="1"/>
    <col min="5" max="5" width="26.8984375" style="1" customWidth="1"/>
    <col min="6" max="6" width="18.8984375" style="1" customWidth="1"/>
    <col min="7" max="16384" width="8.59765625" style="1"/>
  </cols>
  <sheetData>
    <row r="1" spans="1:7" x14ac:dyDescent="0.25">
      <c r="A1" s="825" t="s">
        <v>118</v>
      </c>
      <c r="B1" s="825"/>
      <c r="C1" s="825"/>
      <c r="D1" s="825"/>
    </row>
    <row r="2" spans="1:7" x14ac:dyDescent="0.25">
      <c r="A2" s="145" t="s">
        <v>51</v>
      </c>
      <c r="B2" s="150" t="s">
        <v>49</v>
      </c>
      <c r="C2" s="148"/>
      <c r="D2" s="145" t="s">
        <v>82</v>
      </c>
      <c r="E2" s="145" t="s">
        <v>48</v>
      </c>
      <c r="F2" s="145" t="str">
        <f>A2</f>
        <v>Account Role ID</v>
      </c>
      <c r="G2" s="145" t="s">
        <v>39</v>
      </c>
    </row>
    <row r="3" spans="1:7" hidden="1" x14ac:dyDescent="0.25">
      <c r="A3" s="146" t="s">
        <v>50</v>
      </c>
      <c r="B3" s="145" t="s">
        <v>119</v>
      </c>
      <c r="C3" s="145" t="str">
        <f t="array" ref="C3">IFERROR(INDEX($B$3:$B$28, MATCH(0, COUNTIF($C$2:C2, $B$3:$B$28&amp;"") + IF($B$3:$B$28="",1,0), 0)), "")</f>
        <v>[Account (Name)]</v>
      </c>
      <c r="D3" s="145" t="s">
        <v>81</v>
      </c>
      <c r="E3" s="146" t="s">
        <v>47</v>
      </c>
      <c r="F3" s="146" t="str">
        <f>A3</f>
        <v>[Account Role ID]</v>
      </c>
      <c r="G3" s="145" t="s">
        <v>143</v>
      </c>
    </row>
    <row r="4" spans="1:7" s="9" customFormat="1" x14ac:dyDescent="0.25">
      <c r="A4" s="146" t="s">
        <v>3799</v>
      </c>
      <c r="B4" s="145" t="s">
        <v>3800</v>
      </c>
      <c r="C4" s="145" t="str">
        <f t="array" ref="C4">IFERROR(INDEX($B$3:$B$28, MATCH(0, COUNTIF($C$2:C3, $B$3:$B$28&amp;"") + IF($B$3:$B$28="",1,0), 0)), "")</f>
        <v>Ministry of Health and Public Hygiene of the Republic of Côte d'Ivoire - PNLT</v>
      </c>
      <c r="D4" s="145" t="s">
        <v>3801</v>
      </c>
      <c r="E4" s="146" t="s">
        <v>3802</v>
      </c>
      <c r="F4" s="146" t="str">
        <f t="shared" ref="F4:F27" si="0">A4</f>
        <v>AR-07312</v>
      </c>
      <c r="G4" s="145"/>
    </row>
    <row r="5" spans="1:7" s="9" customFormat="1" x14ac:dyDescent="0.25">
      <c r="A5" s="146" t="s">
        <v>3803</v>
      </c>
      <c r="B5" s="145" t="s">
        <v>3804</v>
      </c>
      <c r="C5" s="145" t="str">
        <f t="array" ref="C5">IFERROR(INDEX($B$3:$B$28, MATCH(0, COUNTIF($C$2:C4, $B$3:$B$28&amp;"") + IF($B$3:$B$28="",1,0), 0)), "")</f>
        <v>Alliance Nationale Contre Le Sida en Cote D'Ivoire</v>
      </c>
      <c r="D5" s="145" t="s">
        <v>3805</v>
      </c>
      <c r="E5" s="146" t="s">
        <v>3806</v>
      </c>
      <c r="F5" s="146" t="str">
        <f t="shared" si="0"/>
        <v>AR-07313</v>
      </c>
      <c r="G5" s="145"/>
    </row>
    <row r="6" spans="1:7" s="9" customFormat="1" x14ac:dyDescent="0.25">
      <c r="A6" s="146" t="s">
        <v>3807</v>
      </c>
      <c r="B6" s="145" t="s">
        <v>3808</v>
      </c>
      <c r="C6" s="145" t="str">
        <f t="array" ref="C6">IFERROR(INDEX($B$3:$B$28, MATCH(0, COUNTIF($C$2:C5, $B$3:$B$28&amp;"") + IF($B$3:$B$28="",1,0), 0)), "")</f>
        <v>Programme National de Lutte contre le SIDA de la République de Côte d'Ivoire</v>
      </c>
      <c r="D6" s="145" t="s">
        <v>3809</v>
      </c>
      <c r="E6" s="146" t="s">
        <v>3810</v>
      </c>
      <c r="F6" s="146" t="str">
        <f t="shared" si="0"/>
        <v>AR-07755</v>
      </c>
      <c r="G6" s="145"/>
    </row>
    <row r="7" spans="1:7" s="9" customFormat="1" x14ac:dyDescent="0.25">
      <c r="A7" s="146" t="s">
        <v>3811</v>
      </c>
      <c r="B7" s="145" t="s">
        <v>3804</v>
      </c>
      <c r="C7" s="145" t="str">
        <f t="array" ref="C7">IFERROR(INDEX($B$3:$B$28, MATCH(0, COUNTIF($C$2:C6, $B$3:$B$28&amp;"") + IF($B$3:$B$28="",1,0), 0)), "")</f>
        <v>Save the Children Federation, Inc.</v>
      </c>
      <c r="D7" s="145" t="s">
        <v>3805</v>
      </c>
      <c r="E7" s="146" t="s">
        <v>3812</v>
      </c>
      <c r="F7" s="146" t="str">
        <f t="shared" si="0"/>
        <v>AR-07756</v>
      </c>
      <c r="G7" s="145"/>
    </row>
    <row r="8" spans="1:7" s="9" customFormat="1" x14ac:dyDescent="0.25">
      <c r="A8" s="146" t="s">
        <v>3813</v>
      </c>
      <c r="B8" s="145" t="s">
        <v>3814</v>
      </c>
      <c r="C8" s="145" t="str">
        <f t="array" ref="C8">IFERROR(INDEX($B$3:$B$28, MATCH(0, COUNTIF($C$2:C7, $B$3:$B$28&amp;"") + IF($B$3:$B$28="",1,0), 0)), "")</f>
        <v>Ministry of Health and Public Hygiene of the Republic of Côte d'Ivoire - PNLP</v>
      </c>
      <c r="D8" s="145" t="s">
        <v>3815</v>
      </c>
      <c r="E8" s="146" t="s">
        <v>3816</v>
      </c>
      <c r="F8" s="146" t="str">
        <f t="shared" si="0"/>
        <v>AR-01091</v>
      </c>
      <c r="G8" s="145"/>
    </row>
    <row r="9" spans="1:7" s="9" customFormat="1" x14ac:dyDescent="0.25">
      <c r="A9" s="146" t="s">
        <v>3817</v>
      </c>
      <c r="B9" s="145" t="s">
        <v>3804</v>
      </c>
      <c r="C9" s="145" t="str">
        <f t="array" ref="C9">IFERROR(INDEX($B$3:$B$28, MATCH(0, COUNTIF($C$2:C8, $B$3:$B$28&amp;"") + IF($B$3:$B$28="",1,0), 0)), "")</f>
        <v>Caritas Côte d'Ivoire</v>
      </c>
      <c r="D9" s="145" t="s">
        <v>3805</v>
      </c>
      <c r="E9" s="146" t="s">
        <v>3818</v>
      </c>
      <c r="F9" s="146" t="str">
        <f t="shared" si="0"/>
        <v>AR-01331</v>
      </c>
      <c r="G9" s="145"/>
    </row>
    <row r="10" spans="1:7" s="9" customFormat="1" x14ac:dyDescent="0.25">
      <c r="A10" s="146" t="s">
        <v>3819</v>
      </c>
      <c r="B10" s="145" t="s">
        <v>3820</v>
      </c>
      <c r="C10" s="145" t="str">
        <f t="array" ref="C10">IFERROR(INDEX($B$3:$B$28, MATCH(0, COUNTIF($C$2:C9, $B$3:$B$28&amp;"") + IF($B$3:$B$28="",1,0), 0)), "")</f>
        <v>CARE International</v>
      </c>
      <c r="D10" s="145" t="s">
        <v>3821</v>
      </c>
      <c r="E10" s="146" t="s">
        <v>3822</v>
      </c>
      <c r="F10" s="146" t="str">
        <f t="shared" si="0"/>
        <v>AR-01328</v>
      </c>
      <c r="G10" s="145"/>
    </row>
    <row r="11" spans="1:7" s="9" customFormat="1" x14ac:dyDescent="0.25">
      <c r="A11" s="146" t="s">
        <v>3823</v>
      </c>
      <c r="B11" s="145" t="s">
        <v>3804</v>
      </c>
      <c r="C11" s="145" t="str">
        <f t="array" ref="C11">IFERROR(INDEX($B$3:$B$28, MATCH(0, COUNTIF($C$2:C10, $B$3:$B$28&amp;"") + IF($B$3:$B$28="",1,0), 0)), "")</f>
        <v>Programme National de Lutte contre le Paludisme</v>
      </c>
      <c r="D11" s="145" t="s">
        <v>3805</v>
      </c>
      <c r="E11" s="146" t="s">
        <v>3824</v>
      </c>
      <c r="F11" s="146" t="str">
        <f t="shared" si="0"/>
        <v>AR-01330</v>
      </c>
      <c r="G11" s="145"/>
    </row>
    <row r="12" spans="1:7" s="9" customFormat="1" x14ac:dyDescent="0.25">
      <c r="A12" s="146" t="s">
        <v>3825</v>
      </c>
      <c r="B12" s="145" t="s">
        <v>3808</v>
      </c>
      <c r="C12" s="145" t="str">
        <f t="array" ref="C12">IFERROR(INDEX($B$3:$B$28, MATCH(0, COUNTIF($C$2:C11, $B$3:$B$28&amp;"") + IF($B$3:$B$28="",1,0), 0)), "")</f>
        <v>Ministry of Health and Public Hygiene of the Republic of Côte d'Ivoire - PNLS</v>
      </c>
      <c r="D12" s="145" t="s">
        <v>3809</v>
      </c>
      <c r="E12" s="146" t="s">
        <v>3826</v>
      </c>
      <c r="F12" s="146" t="str">
        <f t="shared" si="0"/>
        <v>AR-01329</v>
      </c>
      <c r="G12" s="145"/>
    </row>
    <row r="13" spans="1:7" s="9" customFormat="1" x14ac:dyDescent="0.25">
      <c r="A13" s="146" t="s">
        <v>3827</v>
      </c>
      <c r="B13" s="145" t="s">
        <v>3800</v>
      </c>
      <c r="C13" s="145" t="str">
        <f t="array" ref="C13">IFERROR(INDEX($B$3:$B$28, MATCH(0, COUNTIF($C$2:C12, $B$3:$B$28&amp;"") + IF($B$3:$B$28="",1,0), 0)), "")</f>
        <v/>
      </c>
      <c r="D13" s="145" t="s">
        <v>3801</v>
      </c>
      <c r="E13" s="146" t="s">
        <v>3828</v>
      </c>
      <c r="F13" s="146" t="str">
        <f t="shared" si="0"/>
        <v>AR-01332</v>
      </c>
      <c r="G13" s="145"/>
    </row>
    <row r="14" spans="1:7" s="9" customFormat="1" x14ac:dyDescent="0.25">
      <c r="A14" s="146" t="s">
        <v>3829</v>
      </c>
      <c r="B14" s="145" t="s">
        <v>3830</v>
      </c>
      <c r="C14" s="145" t="str">
        <f t="array" ref="C14">IFERROR(INDEX($B$3:$B$28, MATCH(0, COUNTIF($C$2:C13, $B$3:$B$28&amp;"") + IF($B$3:$B$28="",1,0), 0)), "")</f>
        <v/>
      </c>
      <c r="D14" s="145" t="s">
        <v>3831</v>
      </c>
      <c r="E14" s="146" t="s">
        <v>3832</v>
      </c>
      <c r="F14" s="146" t="str">
        <f t="shared" si="0"/>
        <v>AR-01333</v>
      </c>
      <c r="G14" s="145"/>
    </row>
    <row r="15" spans="1:7" s="9" customFormat="1" x14ac:dyDescent="0.25">
      <c r="A15" s="146" t="s">
        <v>3833</v>
      </c>
      <c r="B15" s="145" t="s">
        <v>3834</v>
      </c>
      <c r="C15" s="145" t="str">
        <f t="array" ref="C15">IFERROR(INDEX($B$3:$B$28, MATCH(0, COUNTIF($C$2:C14, $B$3:$B$28&amp;"") + IF($B$3:$B$28="",1,0), 0)), "")</f>
        <v/>
      </c>
      <c r="D15" s="145" t="s">
        <v>3835</v>
      </c>
      <c r="E15" s="146" t="s">
        <v>3836</v>
      </c>
      <c r="F15" s="146" t="str">
        <f t="shared" si="0"/>
        <v>AR-01326</v>
      </c>
      <c r="G15" s="145"/>
    </row>
    <row r="16" spans="1:7" s="9" customFormat="1" x14ac:dyDescent="0.25">
      <c r="A16" s="146" t="s">
        <v>3837</v>
      </c>
      <c r="B16" s="145" t="s">
        <v>3838</v>
      </c>
      <c r="C16" s="145" t="str">
        <f t="array" ref="C16">IFERROR(INDEX($B$3:$B$28, MATCH(0, COUNTIF($C$2:C15, $B$3:$B$28&amp;"") + IF($B$3:$B$28="",1,0), 0)), "")</f>
        <v/>
      </c>
      <c r="D16" s="145" t="s">
        <v>3839</v>
      </c>
      <c r="E16" s="146" t="s">
        <v>3840</v>
      </c>
      <c r="F16" s="146" t="str">
        <f t="shared" si="0"/>
        <v>AR-01327</v>
      </c>
      <c r="G16" s="145"/>
    </row>
    <row r="17" spans="1:7" s="9" customFormat="1" x14ac:dyDescent="0.25">
      <c r="A17" s="146" t="s">
        <v>3841</v>
      </c>
      <c r="B17" s="145" t="s">
        <v>3808</v>
      </c>
      <c r="C17" s="145" t="str">
        <f t="array" ref="C17">IFERROR(INDEX($B$3:$B$28, MATCH(0, COUNTIF($C$2:C16, $B$3:$B$28&amp;"") + IF($B$3:$B$28="",1,0), 0)), "")</f>
        <v/>
      </c>
      <c r="D17" s="145" t="s">
        <v>3809</v>
      </c>
      <c r="E17" s="146" t="s">
        <v>3842</v>
      </c>
      <c r="F17" s="146" t="str">
        <f t="shared" si="0"/>
        <v>AR-03438</v>
      </c>
      <c r="G17" s="145"/>
    </row>
    <row r="18" spans="1:7" s="9" customFormat="1" x14ac:dyDescent="0.25">
      <c r="A18" s="146" t="s">
        <v>3843</v>
      </c>
      <c r="B18" s="145" t="s">
        <v>3804</v>
      </c>
      <c r="C18" s="145" t="str">
        <f t="array" ref="C18">IFERROR(INDEX($B$3:$B$28, MATCH(0, COUNTIF($C$2:C17, $B$3:$B$28&amp;"") + IF($B$3:$B$28="",1,0), 0)), "")</f>
        <v/>
      </c>
      <c r="D18" s="145" t="s">
        <v>3805</v>
      </c>
      <c r="E18" s="146" t="s">
        <v>3844</v>
      </c>
      <c r="F18" s="146" t="str">
        <f t="shared" si="0"/>
        <v>AR-03439</v>
      </c>
      <c r="G18" s="145"/>
    </row>
    <row r="19" spans="1:7" s="9" customFormat="1" x14ac:dyDescent="0.25">
      <c r="A19" s="146" t="s">
        <v>3845</v>
      </c>
      <c r="B19" s="145" t="s">
        <v>3820</v>
      </c>
      <c r="C19" s="145" t="str">
        <f t="array" ref="C19">IFERROR(INDEX($B$3:$B$28, MATCH(0, COUNTIF($C$2:C18, $B$3:$B$28&amp;"") + IF($B$3:$B$28="",1,0), 0)), "")</f>
        <v/>
      </c>
      <c r="D19" s="145" t="s">
        <v>3821</v>
      </c>
      <c r="E19" s="146" t="s">
        <v>3846</v>
      </c>
      <c r="F19" s="146" t="str">
        <f t="shared" si="0"/>
        <v>AR-04396</v>
      </c>
      <c r="G19" s="145"/>
    </row>
    <row r="20" spans="1:7" s="9" customFormat="1" x14ac:dyDescent="0.25">
      <c r="A20" s="146" t="s">
        <v>3847</v>
      </c>
      <c r="B20" s="145" t="s">
        <v>3838</v>
      </c>
      <c r="C20" s="145" t="str">
        <f t="array" ref="C20">IFERROR(INDEX($B$3:$B$28, MATCH(0, COUNTIF($C$2:C19, $B$3:$B$28&amp;"") + IF($B$3:$B$28="",1,0), 0)), "")</f>
        <v/>
      </c>
      <c r="D20" s="145" t="s">
        <v>3839</v>
      </c>
      <c r="E20" s="146" t="s">
        <v>3848</v>
      </c>
      <c r="F20" s="146" t="str">
        <f t="shared" si="0"/>
        <v>AR-04027</v>
      </c>
      <c r="G20" s="145"/>
    </row>
    <row r="21" spans="1:7" s="9" customFormat="1" x14ac:dyDescent="0.25">
      <c r="A21" s="146" t="s">
        <v>3849</v>
      </c>
      <c r="B21" s="145" t="s">
        <v>3814</v>
      </c>
      <c r="C21" s="145" t="str">
        <f t="array" ref="C21">IFERROR(INDEX($B$3:$B$28, MATCH(0, COUNTIF($C$2:C20, $B$3:$B$28&amp;"") + IF($B$3:$B$28="",1,0), 0)), "")</f>
        <v/>
      </c>
      <c r="D21" s="145" t="s">
        <v>3815</v>
      </c>
      <c r="E21" s="146" t="s">
        <v>3850</v>
      </c>
      <c r="F21" s="146" t="str">
        <f t="shared" si="0"/>
        <v>AR-04034</v>
      </c>
      <c r="G21" s="145"/>
    </row>
    <row r="22" spans="1:7" s="9" customFormat="1" x14ac:dyDescent="0.25">
      <c r="A22" s="146" t="s">
        <v>3851</v>
      </c>
      <c r="B22" s="145" t="s">
        <v>3820</v>
      </c>
      <c r="C22" s="145" t="str">
        <f t="array" ref="C22">IFERROR(INDEX($B$3:$B$28, MATCH(0, COUNTIF($C$2:C21, $B$3:$B$28&amp;"") + IF($B$3:$B$28="",1,0), 0)), "")</f>
        <v/>
      </c>
      <c r="D22" s="145" t="s">
        <v>3821</v>
      </c>
      <c r="E22" s="146" t="s">
        <v>3852</v>
      </c>
      <c r="F22" s="146" t="str">
        <f t="shared" si="0"/>
        <v>AR-04047</v>
      </c>
      <c r="G22" s="145"/>
    </row>
    <row r="23" spans="1:7" s="9" customFormat="1" x14ac:dyDescent="0.25">
      <c r="A23" s="146" t="s">
        <v>3853</v>
      </c>
      <c r="B23" s="145" t="s">
        <v>3820</v>
      </c>
      <c r="C23" s="145" t="str">
        <f t="array" ref="C23">IFERROR(INDEX($B$3:$B$28, MATCH(0, COUNTIF($C$2:C22, $B$3:$B$28&amp;"") + IF($B$3:$B$28="",1,0), 0)), "")</f>
        <v/>
      </c>
      <c r="D23" s="145" t="s">
        <v>3821</v>
      </c>
      <c r="E23" s="146" t="s">
        <v>3854</v>
      </c>
      <c r="F23" s="146" t="str">
        <f t="shared" si="0"/>
        <v>AR-04029</v>
      </c>
      <c r="G23" s="145"/>
    </row>
    <row r="24" spans="1:7" s="9" customFormat="1" x14ac:dyDescent="0.25">
      <c r="A24" s="146" t="s">
        <v>3855</v>
      </c>
      <c r="B24" s="145" t="s">
        <v>3800</v>
      </c>
      <c r="C24" s="145" t="str">
        <f t="array" ref="C24">IFERROR(INDEX($B$3:$B$28, MATCH(0, COUNTIF($C$2:C23, $B$3:$B$28&amp;"") + IF($B$3:$B$28="",1,0), 0)), "")</f>
        <v/>
      </c>
      <c r="D24" s="145" t="s">
        <v>3801</v>
      </c>
      <c r="E24" s="146" t="s">
        <v>3856</v>
      </c>
      <c r="F24" s="146" t="str">
        <f t="shared" si="0"/>
        <v>AR-04049</v>
      </c>
      <c r="G24" s="145"/>
    </row>
    <row r="25" spans="1:7" s="9" customFormat="1" x14ac:dyDescent="0.25">
      <c r="A25" s="146" t="s">
        <v>3857</v>
      </c>
      <c r="B25" s="145" t="s">
        <v>3804</v>
      </c>
      <c r="C25" s="145" t="str">
        <f t="array" ref="C25">IFERROR(INDEX($B$3:$B$28, MATCH(0, COUNTIF($C$2:C24, $B$3:$B$28&amp;"") + IF($B$3:$B$28="",1,0), 0)), "")</f>
        <v/>
      </c>
      <c r="D25" s="145" t="s">
        <v>3805</v>
      </c>
      <c r="E25" s="146" t="s">
        <v>3858</v>
      </c>
      <c r="F25" s="146" t="str">
        <f t="shared" si="0"/>
        <v>AR-04111</v>
      </c>
      <c r="G25" s="145"/>
    </row>
    <row r="26" spans="1:7" s="9" customFormat="1" x14ac:dyDescent="0.25">
      <c r="A26" s="146" t="s">
        <v>3859</v>
      </c>
      <c r="B26" s="145" t="s">
        <v>3860</v>
      </c>
      <c r="C26" s="145" t="str">
        <f t="array" ref="C26">IFERROR(INDEX($B$3:$B$28, MATCH(0, COUNTIF($C$2:C25, $B$3:$B$28&amp;"") + IF($B$3:$B$28="",1,0), 0)), "")</f>
        <v/>
      </c>
      <c r="D26" s="145" t="s">
        <v>3861</v>
      </c>
      <c r="E26" s="146" t="s">
        <v>3862</v>
      </c>
      <c r="F26" s="146" t="str">
        <f t="shared" si="0"/>
        <v>AR-04397</v>
      </c>
      <c r="G26" s="145"/>
    </row>
    <row r="27" spans="1:7" s="9" customFormat="1" x14ac:dyDescent="0.25">
      <c r="A27" s="146" t="s">
        <v>3863</v>
      </c>
      <c r="B27" s="145" t="s">
        <v>3804</v>
      </c>
      <c r="C27" s="145" t="str">
        <f t="array" ref="C27">IFERROR(INDEX($B$3:$B$28, MATCH(0, COUNTIF($C$2:C26, $B$3:$B$28&amp;"") + IF($B$3:$B$28="",1,0), 0)), "")</f>
        <v/>
      </c>
      <c r="D27" s="145" t="s">
        <v>3805</v>
      </c>
      <c r="E27" s="146" t="s">
        <v>3864</v>
      </c>
      <c r="F27" s="146" t="str">
        <f t="shared" si="0"/>
        <v>AR-04652</v>
      </c>
      <c r="G27" s="145"/>
    </row>
    <row r="28" spans="1:7" s="9" customFormat="1" x14ac:dyDescent="0.25"/>
    <row r="29" spans="1:7" s="9" customFormat="1" hidden="1" x14ac:dyDescent="0.25"/>
    <row r="30" spans="1:7" s="9" customFormat="1" hidden="1" x14ac:dyDescent="0.25"/>
    <row r="31" spans="1:7" s="9" customFormat="1" hidden="1" x14ac:dyDescent="0.25"/>
    <row r="32" spans="1:7" s="9" customFormat="1" hidden="1" x14ac:dyDescent="0.25"/>
    <row r="34" spans="1:4" x14ac:dyDescent="0.25">
      <c r="A34" s="825" t="s">
        <v>117</v>
      </c>
      <c r="B34" s="825"/>
      <c r="C34" s="825"/>
      <c r="D34" s="825"/>
    </row>
    <row r="35" spans="1:4" x14ac:dyDescent="0.25">
      <c r="A35" s="145" t="s">
        <v>51</v>
      </c>
      <c r="B35" s="145" t="s">
        <v>49</v>
      </c>
      <c r="C35" s="145"/>
      <c r="D35" s="145" t="s">
        <v>82</v>
      </c>
    </row>
    <row r="36" spans="1:4" hidden="1" x14ac:dyDescent="0.25">
      <c r="A36" s="146" t="s">
        <v>50</v>
      </c>
      <c r="B36" s="145" t="s">
        <v>119</v>
      </c>
      <c r="C36" s="145" t="str">
        <f t="array" ref="C36">IFERROR(INDEX($B$36:$B$266, MATCH(0, COUNTIF($C$35:C35, $B$36:$B$266&amp;"") + IF($B$36:$B$266="",1,0), 0)), "")</f>
        <v>[Account (Name)]</v>
      </c>
      <c r="D36" s="145" t="s">
        <v>81</v>
      </c>
    </row>
    <row r="37" spans="1:4" s="9" customFormat="1" x14ac:dyDescent="0.25">
      <c r="A37" s="146" t="s">
        <v>5775</v>
      </c>
      <c r="B37" s="145" t="s">
        <v>5776</v>
      </c>
      <c r="C37" s="145" t="str">
        <f t="array" ref="C37">IFERROR(INDEX($B$36:$B$266, MATCH(0, COUNTIF($C$35:C36, $B$36:$B$266&amp;"") + IF($B$36:$B$266="",1,0), 0)), "")</f>
        <v>Project HOPE  - the People to People Health Foundation</v>
      </c>
      <c r="D37" s="145" t="s">
        <v>5777</v>
      </c>
    </row>
    <row r="38" spans="1:4" s="9" customFormat="1" x14ac:dyDescent="0.25">
      <c r="A38" s="146" t="s">
        <v>5778</v>
      </c>
      <c r="B38" s="145" t="s">
        <v>5779</v>
      </c>
      <c r="C38" s="145" t="str">
        <f t="array" ref="C38">IFERROR(INDEX($B$36:$B$266, MATCH(0, COUNTIF($C$35:C37, $B$36:$B$266&amp;"") + IF($B$36:$B$266="",1,0), 0)), "")</f>
        <v>RSE on REU “National Scientific Center of Phthisiopulmonology of the Republic of  Kazakhstan” of the Ministry of Health of the Republic of  Kazakhstan</v>
      </c>
      <c r="D38" s="145" t="s">
        <v>5780</v>
      </c>
    </row>
    <row r="39" spans="1:4" s="9" customFormat="1" x14ac:dyDescent="0.25">
      <c r="A39" s="146" t="s">
        <v>5781</v>
      </c>
      <c r="B39" s="145" t="s">
        <v>5782</v>
      </c>
      <c r="C39" s="145" t="str">
        <f t="array" ref="C39">IFERROR(INDEX($B$36:$B$266, MATCH(0, COUNTIF($C$35:C38, $B$36:$B$266&amp;"") + IF($B$36:$B$266="",1,0), 0)), "")</f>
        <v>Kazakh scientific center of dermatology and infectious diseases of the Ministry of Health of the Republic of Kazakhstan</v>
      </c>
      <c r="D39" s="145" t="s">
        <v>5783</v>
      </c>
    </row>
    <row r="40" spans="1:4" s="9" customFormat="1" x14ac:dyDescent="0.25">
      <c r="A40" s="146" t="s">
        <v>5784</v>
      </c>
      <c r="B40" s="145" t="s">
        <v>5779</v>
      </c>
      <c r="C40" s="145" t="str">
        <f t="array" ref="C40">IFERROR(INDEX($B$36:$B$266, MATCH(0, COUNTIF($C$35:C39, $B$36:$B$266&amp;"") + IF($B$36:$B$266="",1,0), 0)), "")</f>
        <v>United Nations Development Programme</v>
      </c>
      <c r="D40" s="145" t="s">
        <v>5780</v>
      </c>
    </row>
    <row r="41" spans="1:4" s="9" customFormat="1" x14ac:dyDescent="0.25">
      <c r="A41" s="146" t="s">
        <v>5785</v>
      </c>
      <c r="B41" s="145" t="s">
        <v>5782</v>
      </c>
      <c r="C41" s="145" t="str">
        <f t="array" ref="C41">IFERROR(INDEX($B$36:$B$266, MATCH(0, COUNTIF($C$35:C40, $B$36:$B$266&amp;"") + IF($B$36:$B$266="",1,0), 0)), "")</f>
        <v>Republican Center of Tuberculosis Control - Tajikistan</v>
      </c>
      <c r="D41" s="145" t="s">
        <v>5783</v>
      </c>
    </row>
    <row r="42" spans="1:4" s="9" customFormat="1" x14ac:dyDescent="0.25">
      <c r="A42" s="146" t="s">
        <v>5786</v>
      </c>
      <c r="B42" s="145" t="s">
        <v>5779</v>
      </c>
      <c r="C42" s="145" t="str">
        <f t="array" ref="C42">IFERROR(INDEX($B$36:$B$266, MATCH(0, COUNTIF($C$35:C41, $B$36:$B$266&amp;"") + IF($B$36:$B$266="",1,0), 0)), "")</f>
        <v>Republican Specialized Scientific-Practical Medical Center of Phthisiology and Pulmonology</v>
      </c>
      <c r="D42" s="145" t="s">
        <v>5780</v>
      </c>
    </row>
    <row r="43" spans="1:4" s="9" customFormat="1" x14ac:dyDescent="0.25">
      <c r="A43" s="146" t="s">
        <v>5787</v>
      </c>
      <c r="B43" s="145" t="s">
        <v>5788</v>
      </c>
      <c r="C43" s="145" t="str">
        <f t="array" ref="C43">IFERROR(INDEX($B$36:$B$266, MATCH(0, COUNTIF($C$35:C42, $B$36:$B$266&amp;"") + IF($B$36:$B$266="",1,0), 0)), "")</f>
        <v>Republican Center of State Sanitary-Epidemiological Surveillance of the Republic of Uzbekistan</v>
      </c>
      <c r="D43" s="145" t="s">
        <v>5789</v>
      </c>
    </row>
    <row r="44" spans="1:4" s="9" customFormat="1" x14ac:dyDescent="0.25">
      <c r="A44" s="146" t="s">
        <v>5790</v>
      </c>
      <c r="B44" s="145" t="s">
        <v>5788</v>
      </c>
      <c r="C44" s="145" t="str">
        <f t="array" ref="C44">IFERROR(INDEX($B$36:$B$266, MATCH(0, COUNTIF($C$35:C43, $B$36:$B$266&amp;"") + IF($B$36:$B$266="",1,0), 0)), "")</f>
        <v>Republican DOTS Centre  Ministry of Health of the Republic of Uzbekistan</v>
      </c>
      <c r="D44" s="145" t="s">
        <v>5789</v>
      </c>
    </row>
    <row r="45" spans="1:4" s="9" customFormat="1" x14ac:dyDescent="0.25">
      <c r="A45" s="146" t="s">
        <v>5791</v>
      </c>
      <c r="B45" s="145" t="s">
        <v>5788</v>
      </c>
      <c r="C45" s="145" t="str">
        <f t="array" ref="C45">IFERROR(INDEX($B$36:$B$266, MATCH(0, COUNTIF($C$35:C44, $B$36:$B$266&amp;"") + IF($B$36:$B$266="",1,0), 0)), "")</f>
        <v>Republican Center to Fight AIDS</v>
      </c>
      <c r="D45" s="145" t="s">
        <v>5789</v>
      </c>
    </row>
    <row r="46" spans="1:4" s="9" customFormat="1" x14ac:dyDescent="0.25">
      <c r="A46" s="146" t="s">
        <v>5792</v>
      </c>
      <c r="B46" s="145" t="s">
        <v>5788</v>
      </c>
      <c r="C46" s="145" t="str">
        <f t="array" ref="C46">IFERROR(INDEX($B$36:$B$266, MATCH(0, COUNTIF($C$35:C45, $B$36:$B$266&amp;"") + IF($B$36:$B$266="",1,0), 0)), "")</f>
        <v>Ministry of Health of Mongolia</v>
      </c>
      <c r="D46" s="145" t="s">
        <v>5789</v>
      </c>
    </row>
    <row r="47" spans="1:4" s="9" customFormat="1" x14ac:dyDescent="0.25">
      <c r="A47" s="146" t="s">
        <v>5793</v>
      </c>
      <c r="B47" s="145" t="s">
        <v>5776</v>
      </c>
      <c r="C47" s="145" t="str">
        <f t="array" ref="C47">IFERROR(INDEX($B$36:$B$266, MATCH(0, COUNTIF($C$35:C46, $B$36:$B$266&amp;"") + IF($B$36:$B$266="",1,0), 0)), "")</f>
        <v>Ministry of Health of the Lao People's Democratic Republic</v>
      </c>
      <c r="D47" s="145" t="s">
        <v>5794</v>
      </c>
    </row>
    <row r="48" spans="1:4" s="9" customFormat="1" x14ac:dyDescent="0.25">
      <c r="A48" s="146" t="s">
        <v>5795</v>
      </c>
      <c r="B48" s="145" t="s">
        <v>5788</v>
      </c>
      <c r="C48" s="145" t="str">
        <f t="array" ref="C48">IFERROR(INDEX($B$36:$B$266, MATCH(0, COUNTIF($C$35:C47, $B$36:$B$266&amp;"") + IF($B$36:$B$266="",1,0), 0)), "")</f>
        <v>Malaysian AIDS Council</v>
      </c>
      <c r="D48" s="145" t="s">
        <v>5789</v>
      </c>
    </row>
    <row r="49" spans="1:4" s="9" customFormat="1" x14ac:dyDescent="0.25">
      <c r="A49" s="146" t="s">
        <v>5796</v>
      </c>
      <c r="B49" s="145" t="s">
        <v>5788</v>
      </c>
      <c r="C49" s="145" t="str">
        <f t="array" ref="C49">IFERROR(INDEX($B$36:$B$266, MATCH(0, COUNTIF($C$35:C48, $B$36:$B$266&amp;"") + IF($B$36:$B$266="",1,0), 0)), "")</f>
        <v>Ministry of Health of the Democratic Republic of Timor-Leste</v>
      </c>
      <c r="D49" s="145" t="s">
        <v>5789</v>
      </c>
    </row>
    <row r="50" spans="1:4" s="9" customFormat="1" x14ac:dyDescent="0.25">
      <c r="A50" s="146" t="s">
        <v>5797</v>
      </c>
      <c r="B50" s="145" t="s">
        <v>5788</v>
      </c>
      <c r="C50" s="145" t="str">
        <f t="array" ref="C50">IFERROR(INDEX($B$36:$B$266, MATCH(0, COUNTIF($C$35:C49, $B$36:$B$266&amp;"") + IF($B$36:$B$266="",1,0), 0)), "")</f>
        <v>Ministry of Health of the Royal Government of Bhutan</v>
      </c>
      <c r="D50" s="145" t="s">
        <v>5789</v>
      </c>
    </row>
    <row r="51" spans="1:4" s="9" customFormat="1" x14ac:dyDescent="0.25">
      <c r="A51" s="146" t="s">
        <v>5798</v>
      </c>
      <c r="B51" s="145" t="s">
        <v>5788</v>
      </c>
      <c r="C51" s="145" t="str">
        <f t="array" ref="C51">IFERROR(INDEX($B$36:$B$266, MATCH(0, COUNTIF($C$35:C50, $B$36:$B$266&amp;"") + IF($B$36:$B$266="",1,0), 0)), "")</f>
        <v>Ministry of Health of the Republic of Armenia</v>
      </c>
      <c r="D51" s="145" t="s">
        <v>5799</v>
      </c>
    </row>
    <row r="52" spans="1:4" s="9" customFormat="1" x14ac:dyDescent="0.25">
      <c r="A52" s="146" t="s">
        <v>5800</v>
      </c>
      <c r="B52" s="145" t="s">
        <v>5776</v>
      </c>
      <c r="C52" s="145" t="str">
        <f t="array" ref="C52">IFERROR(INDEX($B$36:$B$266, MATCH(0, COUNTIF($C$35:C51, $B$36:$B$266&amp;"") + IF($B$36:$B$266="",1,0), 0)), "")</f>
        <v>Mission East</v>
      </c>
      <c r="D52" s="145" t="s">
        <v>5794</v>
      </c>
    </row>
    <row r="53" spans="1:4" s="9" customFormat="1" x14ac:dyDescent="0.25">
      <c r="A53" s="146" t="s">
        <v>5801</v>
      </c>
      <c r="B53" s="145" t="s">
        <v>5802</v>
      </c>
      <c r="C53" s="145" t="str">
        <f t="array" ref="C53">IFERROR(INDEX($B$36:$B$266, MATCH(0, COUNTIF($C$35:C52, $B$36:$B$266&amp;"") + IF($B$36:$B$266="",1,0), 0)), "")</f>
        <v>Ministry of Health of the Republic of Azerbaijan</v>
      </c>
      <c r="D53" s="145" t="s">
        <v>5803</v>
      </c>
    </row>
    <row r="54" spans="1:4" s="9" customFormat="1" x14ac:dyDescent="0.25">
      <c r="A54" s="146" t="s">
        <v>5804</v>
      </c>
      <c r="B54" s="145" t="s">
        <v>5788</v>
      </c>
      <c r="C54" s="145" t="str">
        <f t="array" ref="C54">IFERROR(INDEX($B$36:$B$266, MATCH(0, COUNTIF($C$35:C53, $B$36:$B$266&amp;"") + IF($B$36:$B$266="",1,0), 0)), "")</f>
        <v>Main Medical Department of the Ministry of Justice of the Republic of Azerbaijan</v>
      </c>
      <c r="D54" s="145" t="s">
        <v>5799</v>
      </c>
    </row>
    <row r="55" spans="1:4" s="9" customFormat="1" x14ac:dyDescent="0.25">
      <c r="A55" s="146" t="s">
        <v>5805</v>
      </c>
      <c r="B55" s="145" t="s">
        <v>5788</v>
      </c>
      <c r="C55" s="145" t="str">
        <f t="array" ref="C55">IFERROR(INDEX($B$36:$B$266, MATCH(0, COUNTIF($C$35:C54, $B$36:$B$266&amp;"") + IF($B$36:$B$266="",1,0), 0)), "")</f>
        <v>National Center For Disease Control and Public Health</v>
      </c>
      <c r="D55" s="145" t="s">
        <v>5799</v>
      </c>
    </row>
    <row r="56" spans="1:4" s="9" customFormat="1" x14ac:dyDescent="0.25">
      <c r="A56" s="146" t="s">
        <v>5806</v>
      </c>
      <c r="B56" s="145" t="s">
        <v>5776</v>
      </c>
      <c r="C56" s="145" t="str">
        <f t="array" ref="C56">IFERROR(INDEX($B$36:$B$266, MATCH(0, COUNTIF($C$35:C55, $B$36:$B$266&amp;"") + IF($B$36:$B$266="",1,0), 0)), "")</f>
        <v>Republican Scientific and Practical Center for Medical Technologies, Informatization, Administration and Management of Health</v>
      </c>
      <c r="D56" s="145" t="s">
        <v>5794</v>
      </c>
    </row>
    <row r="57" spans="1:4" s="9" customFormat="1" x14ac:dyDescent="0.25">
      <c r="A57" s="146" t="s">
        <v>5807</v>
      </c>
      <c r="B57" s="145" t="s">
        <v>5788</v>
      </c>
      <c r="C57" s="145" t="str">
        <f t="array" ref="C57">IFERROR(INDEX($B$36:$B$266, MATCH(0, COUNTIF($C$35:C56, $B$36:$B$266&amp;"") + IF($B$36:$B$266="",1,0), 0)), "")</f>
        <v>Public Institution - Coordination, Implementation and Monitoring Unit of the Health  System Projects</v>
      </c>
      <c r="D57" s="145" t="s">
        <v>5799</v>
      </c>
    </row>
    <row r="58" spans="1:4" s="9" customFormat="1" x14ac:dyDescent="0.25">
      <c r="A58" s="146" t="s">
        <v>5808</v>
      </c>
      <c r="B58" s="145" t="s">
        <v>5788</v>
      </c>
      <c r="C58" s="145" t="str">
        <f t="array" ref="C58">IFERROR(INDEX($B$36:$B$266, MATCH(0, COUNTIF($C$35:C57, $B$36:$B$266&amp;"") + IF($B$36:$B$266="",1,0), 0)), "")</f>
        <v>Center for Health Policies and Studies</v>
      </c>
      <c r="D58" s="145" t="s">
        <v>5799</v>
      </c>
    </row>
    <row r="59" spans="1:4" s="9" customFormat="1" x14ac:dyDescent="0.25">
      <c r="A59" s="146" t="s">
        <v>5809</v>
      </c>
      <c r="B59" s="145" t="s">
        <v>5788</v>
      </c>
      <c r="C59" s="145" t="str">
        <f t="array" ref="C59">IFERROR(INDEX($B$36:$B$266, MATCH(0, COUNTIF($C$35:C58, $B$36:$B$266&amp;"") + IF($B$36:$B$266="",1,0), 0)), "")</f>
        <v>United Nations Children's Fund</v>
      </c>
      <c r="D59" s="145" t="s">
        <v>5799</v>
      </c>
    </row>
    <row r="60" spans="1:4" s="9" customFormat="1" x14ac:dyDescent="0.25">
      <c r="A60" s="146" t="s">
        <v>5810</v>
      </c>
      <c r="B60" s="145" t="s">
        <v>5802</v>
      </c>
      <c r="C60" s="145" t="str">
        <f t="array" ref="C60">IFERROR(INDEX($B$36:$B$266, MATCH(0, COUNTIF($C$35:C59, $B$36:$B$266&amp;"") + IF($B$36:$B$266="",1,0), 0)), "")</f>
        <v>International Charitable Foundation “Alliance for Public Health”</v>
      </c>
      <c r="D60" s="145" t="s">
        <v>5803</v>
      </c>
    </row>
    <row r="61" spans="1:4" s="9" customFormat="1" x14ac:dyDescent="0.25">
      <c r="A61" s="146" t="s">
        <v>5811</v>
      </c>
      <c r="B61" s="145" t="s">
        <v>5776</v>
      </c>
      <c r="C61" s="145" t="str">
        <f t="array" ref="C61">IFERROR(INDEX($B$36:$B$266, MATCH(0, COUNTIF($C$35:C60, $B$36:$B$266&amp;"") + IF($B$36:$B$266="",1,0), 0)), "")</f>
        <v>Charitable Organization "All-Ukrainian Network of People Living with HIV/AIDS"</v>
      </c>
      <c r="D61" s="145" t="s">
        <v>5794</v>
      </c>
    </row>
    <row r="62" spans="1:4" s="9" customFormat="1" x14ac:dyDescent="0.25">
      <c r="A62" s="146" t="s">
        <v>5812</v>
      </c>
      <c r="B62" s="145" t="s">
        <v>5788</v>
      </c>
      <c r="C62" s="145" t="str">
        <f t="array" ref="C62">IFERROR(INDEX($B$36:$B$266, MATCH(0, COUNTIF($C$35:C61, $B$36:$B$266&amp;"") + IF($B$36:$B$266="",1,0), 0)), "")</f>
        <v>State Institution "Public Health Center of the Ministry of Health of Ukraine"</v>
      </c>
      <c r="D62" s="145" t="s">
        <v>5813</v>
      </c>
    </row>
    <row r="63" spans="1:4" s="9" customFormat="1" x14ac:dyDescent="0.25">
      <c r="A63" s="146" t="s">
        <v>5814</v>
      </c>
      <c r="B63" s="145" t="s">
        <v>5788</v>
      </c>
      <c r="C63" s="145" t="str">
        <f t="array" ref="C63">IFERROR(INDEX($B$36:$B$266, MATCH(0, COUNTIF($C$35:C62, $B$36:$B$266&amp;"") + IF($B$36:$B$266="",1,0), 0)), "")</f>
        <v>The Rotary Club of Port Moresby Inc.</v>
      </c>
      <c r="D63" s="145" t="s">
        <v>5813</v>
      </c>
    </row>
    <row r="64" spans="1:4" s="9" customFormat="1" x14ac:dyDescent="0.25">
      <c r="A64" s="146" t="s">
        <v>5815</v>
      </c>
      <c r="B64" s="145" t="s">
        <v>5788</v>
      </c>
      <c r="C64" s="145" t="str">
        <f t="array" ref="C64">IFERROR(INDEX($B$36:$B$266, MATCH(0, COUNTIF($C$35:C63, $B$36:$B$266&amp;"") + IF($B$36:$B$266="",1,0), 0)), "")</f>
        <v>Oil Search Foundation</v>
      </c>
      <c r="D64" s="145" t="s">
        <v>5813</v>
      </c>
    </row>
    <row r="65" spans="1:4" s="9" customFormat="1" x14ac:dyDescent="0.25">
      <c r="A65" s="146" t="s">
        <v>5816</v>
      </c>
      <c r="B65" s="145" t="s">
        <v>5817</v>
      </c>
      <c r="C65" s="145" t="str">
        <f t="array" ref="C65">IFERROR(INDEX($B$36:$B$266, MATCH(0, COUNTIF($C$35:C64, $B$36:$B$266&amp;"") + IF($B$36:$B$266="",1,0), 0)), "")</f>
        <v>Population Services International</v>
      </c>
      <c r="D65" s="145" t="s">
        <v>5818</v>
      </c>
    </row>
    <row r="66" spans="1:4" s="9" customFormat="1" x14ac:dyDescent="0.25">
      <c r="A66" s="146" t="s">
        <v>5819</v>
      </c>
      <c r="B66" s="145" t="s">
        <v>5820</v>
      </c>
      <c r="C66" s="145" t="str">
        <f t="array" ref="C66">IFERROR(INDEX($B$36:$B$266, MATCH(0, COUNTIF($C$35:C65, $B$36:$B$266&amp;"") + IF($B$36:$B$266="",1,0), 0)), "")</f>
        <v>World Vision (PNG) Trust</v>
      </c>
      <c r="D66" s="145" t="s">
        <v>5821</v>
      </c>
    </row>
    <row r="67" spans="1:4" s="9" customFormat="1" x14ac:dyDescent="0.25">
      <c r="A67" s="146" t="s">
        <v>5822</v>
      </c>
      <c r="B67" s="145" t="s">
        <v>5823</v>
      </c>
      <c r="C67" s="145" t="str">
        <f t="array" ref="C67">IFERROR(INDEX($B$36:$B$266, MATCH(0, COUNTIF($C$35:C66, $B$36:$B$266&amp;"") + IF($B$36:$B$266="",1,0), 0)), "")</f>
        <v>UNICEF Ethiopia</v>
      </c>
      <c r="D67" s="145" t="s">
        <v>5824</v>
      </c>
    </row>
    <row r="68" spans="1:4" s="9" customFormat="1" x14ac:dyDescent="0.25">
      <c r="A68" s="146" t="s">
        <v>5825</v>
      </c>
      <c r="B68" s="145" t="s">
        <v>5820</v>
      </c>
      <c r="C68" s="145" t="str">
        <f t="array" ref="C68">IFERROR(INDEX($B$36:$B$266, MATCH(0, COUNTIF($C$35:C67, $B$36:$B$266&amp;"") + IF($B$36:$B$266="",1,0), 0)), "")</f>
        <v>Federal Ministry of Health of the Federal Democratic Republic of Ethiopia</v>
      </c>
      <c r="D68" s="145" t="s">
        <v>5821</v>
      </c>
    </row>
    <row r="69" spans="1:4" s="9" customFormat="1" x14ac:dyDescent="0.25">
      <c r="A69" s="146" t="s">
        <v>5826</v>
      </c>
      <c r="B69" s="145" t="s">
        <v>5788</v>
      </c>
      <c r="C69" s="145" t="str">
        <f t="array" ref="C69">IFERROR(INDEX($B$36:$B$266, MATCH(0, COUNTIF($C$35:C68, $B$36:$B$266&amp;"") + IF($B$36:$B$266="",1,0), 0)), "")</f>
        <v>HIV/AIDS Prevention and Control Office</v>
      </c>
      <c r="D69" s="145" t="s">
        <v>5827</v>
      </c>
    </row>
    <row r="70" spans="1:4" s="9" customFormat="1" x14ac:dyDescent="0.25">
      <c r="A70" s="146" t="s">
        <v>5828</v>
      </c>
      <c r="B70" s="145" t="s">
        <v>5829</v>
      </c>
      <c r="C70" s="145" t="str">
        <f t="array" ref="C70">IFERROR(INDEX($B$36:$B$266, MATCH(0, COUNTIF($C$35:C69, $B$36:$B$266&amp;"") + IF($B$36:$B$266="",1,0), 0)), "")</f>
        <v>Amref Health Africa in Kenya</v>
      </c>
      <c r="D70" s="145" t="s">
        <v>5830</v>
      </c>
    </row>
    <row r="71" spans="1:4" s="9" customFormat="1" x14ac:dyDescent="0.25">
      <c r="A71" s="146" t="s">
        <v>5831</v>
      </c>
      <c r="B71" s="145" t="s">
        <v>5823</v>
      </c>
      <c r="C71" s="145" t="str">
        <f t="array" ref="C71">IFERROR(INDEX($B$36:$B$266, MATCH(0, COUNTIF($C$35:C70, $B$36:$B$266&amp;"") + IF($B$36:$B$266="",1,0), 0)), "")</f>
        <v>National Treasury of the Republic of Kenya</v>
      </c>
      <c r="D71" s="145" t="s">
        <v>5824</v>
      </c>
    </row>
    <row r="72" spans="1:4" s="9" customFormat="1" x14ac:dyDescent="0.25">
      <c r="A72" s="146" t="s">
        <v>5832</v>
      </c>
      <c r="B72" s="145" t="s">
        <v>5823</v>
      </c>
      <c r="C72" s="145" t="str">
        <f t="array" ref="C72">IFERROR(INDEX($B$36:$B$266, MATCH(0, COUNTIF($C$35:C71, $B$36:$B$266&amp;"") + IF($B$36:$B$266="",1,0), 0)), "")</f>
        <v>Kenya Red Cross Society</v>
      </c>
      <c r="D72" s="145" t="s">
        <v>5824</v>
      </c>
    </row>
    <row r="73" spans="1:4" s="9" customFormat="1" x14ac:dyDescent="0.25">
      <c r="A73" s="146" t="s">
        <v>5833</v>
      </c>
      <c r="B73" s="145" t="s">
        <v>5829</v>
      </c>
      <c r="C73" s="145" t="str">
        <f t="array" ref="C73">IFERROR(INDEX($B$36:$B$266, MATCH(0, COUNTIF($C$35:C72, $B$36:$B$266&amp;"") + IF($B$36:$B$266="",1,0), 0)), "")</f>
        <v>World Vision Somalia</v>
      </c>
      <c r="D73" s="145" t="s">
        <v>5830</v>
      </c>
    </row>
    <row r="74" spans="1:4" s="9" customFormat="1" x14ac:dyDescent="0.25">
      <c r="A74" s="146" t="s">
        <v>5834</v>
      </c>
      <c r="B74" s="145" t="s">
        <v>5817</v>
      </c>
      <c r="C74" s="145" t="str">
        <f t="array" ref="C74">IFERROR(INDEX($B$36:$B$266, MATCH(0, COUNTIF($C$35:C73, $B$36:$B$266&amp;"") + IF($B$36:$B$266="",1,0), 0)), "")</f>
        <v>Ministry of Finance, Planning and Economic Development of the Republic of Uganda</v>
      </c>
      <c r="D74" s="145" t="s">
        <v>5818</v>
      </c>
    </row>
    <row r="75" spans="1:4" s="9" customFormat="1" x14ac:dyDescent="0.25">
      <c r="A75" s="146" t="s">
        <v>5835</v>
      </c>
      <c r="B75" s="145" t="s">
        <v>5823</v>
      </c>
      <c r="C75" s="145" t="str">
        <f t="array" ref="C75">IFERROR(INDEX($B$36:$B$266, MATCH(0, COUNTIF($C$35:C74, $B$36:$B$266&amp;"") + IF($B$36:$B$266="",1,0), 0)), "")</f>
        <v>The AIDS Support Organisation (Uganda) Limited</v>
      </c>
      <c r="D75" s="145" t="s">
        <v>5824</v>
      </c>
    </row>
    <row r="76" spans="1:4" s="9" customFormat="1" x14ac:dyDescent="0.25">
      <c r="A76" s="146" t="s">
        <v>5836</v>
      </c>
      <c r="B76" s="145" t="s">
        <v>5837</v>
      </c>
      <c r="C76" s="145" t="str">
        <f t="array" ref="C76">IFERROR(INDEX($B$36:$B$266, MATCH(0, COUNTIF($C$35:C75, $B$36:$B$266&amp;"") + IF($B$36:$B$266="",1,0), 0)), "")</f>
        <v>Federal Ministry of Health of the Republic of Sudan</v>
      </c>
      <c r="D76" s="145" t="s">
        <v>5838</v>
      </c>
    </row>
    <row r="77" spans="1:4" s="9" customFormat="1" x14ac:dyDescent="0.25">
      <c r="A77" s="146" t="s">
        <v>5839</v>
      </c>
      <c r="B77" s="145" t="s">
        <v>5837</v>
      </c>
      <c r="C77" s="145" t="str">
        <f t="array" ref="C77">IFERROR(INDEX($B$36:$B$266, MATCH(0, COUNTIF($C$35:C76, $B$36:$B$266&amp;"") + IF($B$36:$B$266="",1,0), 0)), "")</f>
        <v>Conseil National de Lutte contre le VIH/SIDA, la Tuberculose, le Paludisme, les Hépatites, les Infections sexuellement transmissibles et les Epidémies</v>
      </c>
      <c r="D77" s="145" t="s">
        <v>5838</v>
      </c>
    </row>
    <row r="78" spans="1:4" s="9" customFormat="1" x14ac:dyDescent="0.25">
      <c r="A78" s="146" t="s">
        <v>5840</v>
      </c>
      <c r="B78" s="145" t="s">
        <v>5837</v>
      </c>
      <c r="C78" s="145" t="str">
        <f t="array" ref="C78">IFERROR(INDEX($B$36:$B$266, MATCH(0, COUNTIF($C$35:C77, $B$36:$B$266&amp;"") + IF($B$36:$B$266="",1,0), 0)), "")</f>
        <v>Programme National contre la Tuberculose de la République du Bénin</v>
      </c>
      <c r="D78" s="145" t="s">
        <v>5838</v>
      </c>
    </row>
    <row r="79" spans="1:4" s="9" customFormat="1" x14ac:dyDescent="0.25">
      <c r="A79" s="146" t="s">
        <v>5841</v>
      </c>
      <c r="B79" s="145" t="s">
        <v>5837</v>
      </c>
      <c r="C79" s="145" t="str">
        <f t="array" ref="C79">IFERROR(INDEX($B$36:$B$266, MATCH(0, COUNTIF($C$35:C78, $B$36:$B$266&amp;"") + IF($B$36:$B$266="",1,0), 0)), "")</f>
        <v>Programme santé de lutte contre le Sida</v>
      </c>
      <c r="D79" s="145" t="s">
        <v>5838</v>
      </c>
    </row>
    <row r="80" spans="1:4" s="9" customFormat="1" x14ac:dyDescent="0.25">
      <c r="A80" s="146" t="s">
        <v>5842</v>
      </c>
      <c r="B80" s="145" t="s">
        <v>5837</v>
      </c>
      <c r="C80" s="145" t="str">
        <f t="array" ref="C80">IFERROR(INDEX($B$36:$B$266, MATCH(0, COUNTIF($C$35:C79, $B$36:$B$266&amp;"") + IF($B$36:$B$266="",1,0), 0)), "")</f>
        <v>Africare</v>
      </c>
      <c r="D80" s="145" t="s">
        <v>5838</v>
      </c>
    </row>
    <row r="81" spans="1:4" s="9" customFormat="1" x14ac:dyDescent="0.25">
      <c r="A81" s="146" t="s">
        <v>5843</v>
      </c>
      <c r="B81" s="145" t="s">
        <v>5837</v>
      </c>
      <c r="C81" s="145" t="str">
        <f t="array" ref="C81">IFERROR(INDEX($B$36:$B$266, MATCH(0, COUNTIF($C$35:C80, $B$36:$B$266&amp;"") + IF($B$36:$B$266="",1,0), 0)), "")</f>
        <v>Catholic Relief Services - United States Conference of Catholic Bishops</v>
      </c>
      <c r="D81" s="145" t="s">
        <v>5838</v>
      </c>
    </row>
    <row r="82" spans="1:4" s="9" customFormat="1" x14ac:dyDescent="0.25">
      <c r="A82" s="146" t="s">
        <v>5844</v>
      </c>
      <c r="B82" s="145" t="s">
        <v>5837</v>
      </c>
      <c r="C82" s="145" t="str">
        <f t="array" ref="C82">IFERROR(INDEX($B$36:$B$266, MATCH(0, COUNTIF($C$35:C81, $B$36:$B$266&amp;"") + IF($B$36:$B$266="",1,0), 0)), "")</f>
        <v>Plan International, Inc.</v>
      </c>
      <c r="D82" s="145" t="s">
        <v>5838</v>
      </c>
    </row>
    <row r="83" spans="1:4" s="9" customFormat="1" x14ac:dyDescent="0.25">
      <c r="A83" s="146" t="s">
        <v>5845</v>
      </c>
      <c r="B83" s="145" t="s">
        <v>5846</v>
      </c>
      <c r="C83" s="145" t="str">
        <f t="array" ref="C83">IFERROR(INDEX($B$36:$B$266, MATCH(0, COUNTIF($C$35:C82, $B$36:$B$266&amp;"") + IF($B$36:$B$266="",1,0), 0)), "")</f>
        <v>Health System Performance Program</v>
      </c>
      <c r="D83" s="145" t="s">
        <v>5847</v>
      </c>
    </row>
    <row r="84" spans="1:4" s="9" customFormat="1" x14ac:dyDescent="0.25">
      <c r="A84" s="146" t="s">
        <v>5848</v>
      </c>
      <c r="B84" s="145" t="s">
        <v>5846</v>
      </c>
      <c r="C84" s="145" t="str">
        <f t="array" ref="C84">IFERROR(INDEX($B$36:$B$266, MATCH(0, COUNTIF($C$35:C83, $B$36:$B$266&amp;"") + IF($B$36:$B$266="",1,0), 0)), "")</f>
        <v>Programme National de Lutte contre le Paludisme de la République du Bénin</v>
      </c>
      <c r="D84" s="145" t="s">
        <v>5847</v>
      </c>
    </row>
    <row r="85" spans="1:4" s="9" customFormat="1" x14ac:dyDescent="0.25">
      <c r="A85" s="146" t="s">
        <v>5849</v>
      </c>
      <c r="B85" s="145" t="s">
        <v>5846</v>
      </c>
      <c r="C85" s="145" t="str">
        <f t="array" ref="C85">IFERROR(INDEX($B$36:$B$266, MATCH(0, COUNTIF($C$35:C84, $B$36:$B$266&amp;"") + IF($B$36:$B$266="",1,0), 0)), "")</f>
        <v/>
      </c>
      <c r="D85" s="145" t="s">
        <v>5847</v>
      </c>
    </row>
    <row r="86" spans="1:4" s="9" customFormat="1" x14ac:dyDescent="0.25">
      <c r="A86" s="146" t="s">
        <v>5850</v>
      </c>
      <c r="B86" s="145" t="s">
        <v>5846</v>
      </c>
      <c r="C86" s="145" t="str">
        <f t="array" ref="C86">IFERROR(INDEX($B$36:$B$266, MATCH(0, COUNTIF($C$35:C85, $B$36:$B$266&amp;"") + IF($B$36:$B$266="",1,0), 0)), "")</f>
        <v/>
      </c>
      <c r="D86" s="145" t="s">
        <v>5847</v>
      </c>
    </row>
    <row r="87" spans="1:4" s="9" customFormat="1" x14ac:dyDescent="0.25">
      <c r="A87" s="146" t="s">
        <v>5851</v>
      </c>
      <c r="B87" s="145" t="s">
        <v>5846</v>
      </c>
      <c r="C87" s="145" t="str">
        <f t="array" ref="C87">IFERROR(INDEX($B$36:$B$266, MATCH(0, COUNTIF($C$35:C86, $B$36:$B$266&amp;"") + IF($B$36:$B$266="",1,0), 0)), "")</f>
        <v/>
      </c>
      <c r="D87" s="145" t="s">
        <v>5847</v>
      </c>
    </row>
    <row r="88" spans="1:4" s="9" customFormat="1" x14ac:dyDescent="0.25">
      <c r="A88" s="146" t="s">
        <v>5852</v>
      </c>
      <c r="B88" s="145" t="s">
        <v>5846</v>
      </c>
      <c r="C88" s="145" t="str">
        <f t="array" ref="C88">IFERROR(INDEX($B$36:$B$266, MATCH(0, COUNTIF($C$35:C87, $B$36:$B$266&amp;"") + IF($B$36:$B$266="",1,0), 0)), "")</f>
        <v/>
      </c>
      <c r="D88" s="145" t="s">
        <v>5847</v>
      </c>
    </row>
    <row r="89" spans="1:4" s="9" customFormat="1" x14ac:dyDescent="0.25">
      <c r="A89" s="146" t="s">
        <v>5853</v>
      </c>
      <c r="B89" s="145" t="s">
        <v>5846</v>
      </c>
      <c r="C89" s="145" t="str">
        <f t="array" ref="C89">IFERROR(INDEX($B$36:$B$266, MATCH(0, COUNTIF($C$35:C88, $B$36:$B$266&amp;"") + IF($B$36:$B$266="",1,0), 0)), "")</f>
        <v/>
      </c>
      <c r="D89" s="145" t="s">
        <v>5847</v>
      </c>
    </row>
    <row r="90" spans="1:4" s="9" customFormat="1" x14ac:dyDescent="0.25">
      <c r="A90" s="146" t="s">
        <v>5854</v>
      </c>
      <c r="B90" s="145" t="s">
        <v>5846</v>
      </c>
      <c r="C90" s="145" t="str">
        <f t="array" ref="C90">IFERROR(INDEX($B$36:$B$266, MATCH(0, COUNTIF($C$35:C89, $B$36:$B$266&amp;"") + IF($B$36:$B$266="",1,0), 0)), "")</f>
        <v/>
      </c>
      <c r="D90" s="145" t="s">
        <v>5847</v>
      </c>
    </row>
    <row r="91" spans="1:4" s="9" customFormat="1" x14ac:dyDescent="0.25">
      <c r="A91" s="146" t="s">
        <v>5855</v>
      </c>
      <c r="B91" s="145" t="s">
        <v>5846</v>
      </c>
      <c r="C91" s="145" t="str">
        <f t="array" ref="C91">IFERROR(INDEX($B$36:$B$266, MATCH(0, COUNTIF($C$35:C90, $B$36:$B$266&amp;"") + IF($B$36:$B$266="",1,0), 0)), "")</f>
        <v/>
      </c>
      <c r="D91" s="145" t="s">
        <v>5847</v>
      </c>
    </row>
    <row r="92" spans="1:4" s="9" customFormat="1" x14ac:dyDescent="0.25">
      <c r="A92" s="146" t="s">
        <v>5856</v>
      </c>
      <c r="B92" s="145" t="s">
        <v>5857</v>
      </c>
      <c r="C92" s="145" t="str">
        <f t="array" ref="C92">IFERROR(INDEX($B$36:$B$266, MATCH(0, COUNTIF($C$35:C91, $B$36:$B$266&amp;"") + IF($B$36:$B$266="",1,0), 0)), "")</f>
        <v/>
      </c>
      <c r="D92" s="145" t="s">
        <v>5858</v>
      </c>
    </row>
    <row r="93" spans="1:4" s="9" customFormat="1" x14ac:dyDescent="0.25">
      <c r="A93" s="146" t="s">
        <v>5859</v>
      </c>
      <c r="B93" s="145" t="s">
        <v>5857</v>
      </c>
      <c r="C93" s="145" t="str">
        <f t="array" ref="C93">IFERROR(INDEX($B$36:$B$266, MATCH(0, COUNTIF($C$35:C92, $B$36:$B$266&amp;"") + IF($B$36:$B$266="",1,0), 0)), "")</f>
        <v/>
      </c>
      <c r="D93" s="145" t="s">
        <v>5858</v>
      </c>
    </row>
    <row r="94" spans="1:4" s="9" customFormat="1" x14ac:dyDescent="0.25">
      <c r="A94" s="146" t="s">
        <v>5860</v>
      </c>
      <c r="B94" s="145" t="s">
        <v>5857</v>
      </c>
      <c r="C94" s="145" t="str">
        <f t="array" ref="C94">IFERROR(INDEX($B$36:$B$266, MATCH(0, COUNTIF($C$35:C93, $B$36:$B$266&amp;"") + IF($B$36:$B$266="",1,0), 0)), "")</f>
        <v/>
      </c>
      <c r="D94" s="145" t="s">
        <v>5858</v>
      </c>
    </row>
    <row r="95" spans="1:4" s="9" customFormat="1" x14ac:dyDescent="0.25">
      <c r="A95" s="146" t="s">
        <v>5861</v>
      </c>
      <c r="B95" s="145" t="s">
        <v>5862</v>
      </c>
      <c r="C95" s="145" t="str">
        <f t="array" ref="C95">IFERROR(INDEX($B$36:$B$266, MATCH(0, COUNTIF($C$35:C94, $B$36:$B$266&amp;"") + IF($B$36:$B$266="",1,0), 0)), "")</f>
        <v/>
      </c>
      <c r="D95" s="145" t="s">
        <v>5863</v>
      </c>
    </row>
    <row r="96" spans="1:4" s="9" customFormat="1" x14ac:dyDescent="0.25">
      <c r="A96" s="146" t="s">
        <v>5864</v>
      </c>
      <c r="B96" s="145" t="s">
        <v>5862</v>
      </c>
      <c r="C96" s="145" t="str">
        <f t="array" ref="C96">IFERROR(INDEX($B$36:$B$266, MATCH(0, COUNTIF($C$35:C95, $B$36:$B$266&amp;"") + IF($B$36:$B$266="",1,0), 0)), "")</f>
        <v/>
      </c>
      <c r="D96" s="145" t="s">
        <v>5863</v>
      </c>
    </row>
    <row r="97" spans="1:4" s="9" customFormat="1" x14ac:dyDescent="0.25">
      <c r="A97" s="146" t="s">
        <v>5865</v>
      </c>
      <c r="B97" s="145" t="s">
        <v>5862</v>
      </c>
      <c r="C97" s="145" t="str">
        <f t="array" ref="C97">IFERROR(INDEX($B$36:$B$266, MATCH(0, COUNTIF($C$35:C96, $B$36:$B$266&amp;"") + IF($B$36:$B$266="",1,0), 0)), "")</f>
        <v/>
      </c>
      <c r="D97" s="145" t="s">
        <v>5863</v>
      </c>
    </row>
    <row r="98" spans="1:4" s="9" customFormat="1" x14ac:dyDescent="0.25">
      <c r="A98" s="146" t="s">
        <v>5866</v>
      </c>
      <c r="B98" s="145" t="s">
        <v>5862</v>
      </c>
      <c r="C98" s="145" t="str">
        <f t="array" ref="C98">IFERROR(INDEX($B$36:$B$266, MATCH(0, COUNTIF($C$35:C97, $B$36:$B$266&amp;"") + IF($B$36:$B$266="",1,0), 0)), "")</f>
        <v/>
      </c>
      <c r="D98" s="145" t="s">
        <v>5863</v>
      </c>
    </row>
    <row r="99" spans="1:4" s="9" customFormat="1" x14ac:dyDescent="0.25">
      <c r="A99" s="146" t="s">
        <v>5867</v>
      </c>
      <c r="B99" s="145" t="s">
        <v>5862</v>
      </c>
      <c r="C99" s="145" t="str">
        <f t="array" ref="C99">IFERROR(INDEX($B$36:$B$266, MATCH(0, COUNTIF($C$35:C98, $B$36:$B$266&amp;"") + IF($B$36:$B$266="",1,0), 0)), "")</f>
        <v/>
      </c>
      <c r="D99" s="145" t="s">
        <v>5863</v>
      </c>
    </row>
    <row r="100" spans="1:4" s="9" customFormat="1" x14ac:dyDescent="0.25">
      <c r="A100" s="146" t="s">
        <v>5868</v>
      </c>
      <c r="B100" s="145" t="s">
        <v>5862</v>
      </c>
      <c r="C100" s="145" t="str">
        <f t="array" ref="C100">IFERROR(INDEX($B$36:$B$266, MATCH(0, COUNTIF($C$35:C99, $B$36:$B$266&amp;"") + IF($B$36:$B$266="",1,0), 0)), "")</f>
        <v/>
      </c>
      <c r="D100" s="145" t="s">
        <v>5863</v>
      </c>
    </row>
    <row r="101" spans="1:4" s="9" customFormat="1" x14ac:dyDescent="0.25">
      <c r="A101" s="146" t="s">
        <v>5869</v>
      </c>
      <c r="B101" s="145" t="s">
        <v>5870</v>
      </c>
      <c r="C101" s="145" t="str">
        <f t="array" ref="C101">IFERROR(INDEX($B$36:$B$266, MATCH(0, COUNTIF($C$35:C100, $B$36:$B$266&amp;"") + IF($B$36:$B$266="",1,0), 0)), "")</f>
        <v/>
      </c>
      <c r="D101" s="145" t="s">
        <v>5871</v>
      </c>
    </row>
    <row r="102" spans="1:4" s="9" customFormat="1" x14ac:dyDescent="0.25">
      <c r="A102" s="146" t="s">
        <v>5872</v>
      </c>
      <c r="B102" s="145" t="s">
        <v>5870</v>
      </c>
      <c r="C102" s="145" t="str">
        <f t="array" ref="C102">IFERROR(INDEX($B$36:$B$266, MATCH(0, COUNTIF($C$35:C101, $B$36:$B$266&amp;"") + IF($B$36:$B$266="",1,0), 0)), "")</f>
        <v/>
      </c>
      <c r="D102" s="145" t="s">
        <v>5871</v>
      </c>
    </row>
    <row r="103" spans="1:4" s="9" customFormat="1" x14ac:dyDescent="0.25">
      <c r="A103" s="146" t="s">
        <v>5873</v>
      </c>
      <c r="B103" s="145" t="s">
        <v>5870</v>
      </c>
      <c r="C103" s="145" t="str">
        <f t="array" ref="C103">IFERROR(INDEX($B$36:$B$266, MATCH(0, COUNTIF($C$35:C102, $B$36:$B$266&amp;"") + IF($B$36:$B$266="",1,0), 0)), "")</f>
        <v/>
      </c>
      <c r="D103" s="145" t="s">
        <v>5871</v>
      </c>
    </row>
    <row r="104" spans="1:4" s="9" customFormat="1" x14ac:dyDescent="0.25">
      <c r="A104" s="146" t="s">
        <v>5874</v>
      </c>
      <c r="B104" s="145" t="s">
        <v>5870</v>
      </c>
      <c r="C104" s="145" t="str">
        <f t="array" ref="C104">IFERROR(INDEX($B$36:$B$266, MATCH(0, COUNTIF($C$35:C103, $B$36:$B$266&amp;"") + IF($B$36:$B$266="",1,0), 0)), "")</f>
        <v/>
      </c>
      <c r="D104" s="145" t="s">
        <v>5871</v>
      </c>
    </row>
    <row r="105" spans="1:4" s="9" customFormat="1" x14ac:dyDescent="0.25">
      <c r="A105" s="146" t="s">
        <v>5875</v>
      </c>
      <c r="B105" s="145" t="s">
        <v>5870</v>
      </c>
      <c r="C105" s="145" t="str">
        <f t="array" ref="C105">IFERROR(INDEX($B$36:$B$266, MATCH(0, COUNTIF($C$35:C104, $B$36:$B$266&amp;"") + IF($B$36:$B$266="",1,0), 0)), "")</f>
        <v/>
      </c>
      <c r="D105" s="145" t="s">
        <v>5871</v>
      </c>
    </row>
    <row r="106" spans="1:4" s="9" customFormat="1" x14ac:dyDescent="0.25">
      <c r="A106" s="146" t="s">
        <v>5876</v>
      </c>
      <c r="B106" s="145" t="s">
        <v>5870</v>
      </c>
      <c r="C106" s="145" t="str">
        <f t="array" ref="C106">IFERROR(INDEX($B$36:$B$266, MATCH(0, COUNTIF($C$35:C105, $B$36:$B$266&amp;"") + IF($B$36:$B$266="",1,0), 0)), "")</f>
        <v/>
      </c>
      <c r="D106" s="145" t="s">
        <v>5871</v>
      </c>
    </row>
    <row r="107" spans="1:4" s="9" customFormat="1" x14ac:dyDescent="0.25">
      <c r="A107" s="146" t="s">
        <v>5877</v>
      </c>
      <c r="B107" s="145" t="s">
        <v>5878</v>
      </c>
      <c r="C107" s="145" t="str">
        <f t="array" ref="C107">IFERROR(INDEX($B$36:$B$266, MATCH(0, COUNTIF($C$35:C106, $B$36:$B$266&amp;"") + IF($B$36:$B$266="",1,0), 0)), "")</f>
        <v/>
      </c>
      <c r="D107" s="145" t="s">
        <v>5879</v>
      </c>
    </row>
    <row r="108" spans="1:4" s="9" customFormat="1" x14ac:dyDescent="0.25">
      <c r="A108" s="146" t="s">
        <v>5880</v>
      </c>
      <c r="B108" s="145" t="s">
        <v>5881</v>
      </c>
      <c r="C108" s="145" t="str">
        <f t="array" ref="C108">IFERROR(INDEX($B$36:$B$266, MATCH(0, COUNTIF($C$35:C107, $B$36:$B$266&amp;"") + IF($B$36:$B$266="",1,0), 0)), "")</f>
        <v/>
      </c>
      <c r="D108" s="145" t="s">
        <v>5882</v>
      </c>
    </row>
    <row r="109" spans="1:4" s="9" customFormat="1" x14ac:dyDescent="0.25">
      <c r="A109" s="146" t="s">
        <v>5883</v>
      </c>
      <c r="B109" s="145" t="s">
        <v>5878</v>
      </c>
      <c r="C109" s="145" t="str">
        <f t="array" ref="C109">IFERROR(INDEX($B$36:$B$266, MATCH(0, COUNTIF($C$35:C108, $B$36:$B$266&amp;"") + IF($B$36:$B$266="",1,0), 0)), "")</f>
        <v/>
      </c>
      <c r="D109" s="145" t="s">
        <v>5879</v>
      </c>
    </row>
    <row r="110" spans="1:4" s="9" customFormat="1" x14ac:dyDescent="0.25">
      <c r="A110" s="146" t="s">
        <v>5884</v>
      </c>
      <c r="B110" s="145" t="s">
        <v>5878</v>
      </c>
      <c r="C110" s="145" t="str">
        <f t="array" ref="C110">IFERROR(INDEX($B$36:$B$266, MATCH(0, COUNTIF($C$35:C109, $B$36:$B$266&amp;"") + IF($B$36:$B$266="",1,0), 0)), "")</f>
        <v/>
      </c>
      <c r="D110" s="145" t="s">
        <v>5879</v>
      </c>
    </row>
    <row r="111" spans="1:4" s="9" customFormat="1" x14ac:dyDescent="0.25">
      <c r="A111" s="146" t="s">
        <v>5885</v>
      </c>
      <c r="B111" s="145" t="s">
        <v>5878</v>
      </c>
      <c r="C111" s="145" t="str">
        <f t="array" ref="C111">IFERROR(INDEX($B$36:$B$266, MATCH(0, COUNTIF($C$35:C110, $B$36:$B$266&amp;"") + IF($B$36:$B$266="",1,0), 0)), "")</f>
        <v/>
      </c>
      <c r="D111" s="145" t="s">
        <v>5879</v>
      </c>
    </row>
    <row r="112" spans="1:4" s="9" customFormat="1" x14ac:dyDescent="0.25">
      <c r="A112" s="146" t="s">
        <v>5886</v>
      </c>
      <c r="B112" s="145" t="s">
        <v>5878</v>
      </c>
      <c r="C112" s="145" t="str">
        <f t="array" ref="C112">IFERROR(INDEX($B$36:$B$266, MATCH(0, COUNTIF($C$35:C111, $B$36:$B$266&amp;"") + IF($B$36:$B$266="",1,0), 0)), "")</f>
        <v/>
      </c>
      <c r="D112" s="145" t="s">
        <v>5879</v>
      </c>
    </row>
    <row r="113" spans="1:4" s="9" customFormat="1" x14ac:dyDescent="0.25">
      <c r="A113" s="146" t="s">
        <v>5887</v>
      </c>
      <c r="B113" s="145" t="s">
        <v>5878</v>
      </c>
      <c r="C113" s="145" t="str">
        <f t="array" ref="C113">IFERROR(INDEX($B$36:$B$266, MATCH(0, COUNTIF($C$35:C112, $B$36:$B$266&amp;"") + IF($B$36:$B$266="",1,0), 0)), "")</f>
        <v/>
      </c>
      <c r="D113" s="145" t="s">
        <v>5879</v>
      </c>
    </row>
    <row r="114" spans="1:4" s="9" customFormat="1" x14ac:dyDescent="0.25">
      <c r="A114" s="146" t="s">
        <v>5888</v>
      </c>
      <c r="B114" s="145" t="s">
        <v>5878</v>
      </c>
      <c r="C114" s="145" t="str">
        <f t="array" ref="C114">IFERROR(INDEX($B$36:$B$266, MATCH(0, COUNTIF($C$35:C113, $B$36:$B$266&amp;"") + IF($B$36:$B$266="",1,0), 0)), "")</f>
        <v/>
      </c>
      <c r="D114" s="145" t="s">
        <v>5879</v>
      </c>
    </row>
    <row r="115" spans="1:4" s="9" customFormat="1" x14ac:dyDescent="0.25">
      <c r="A115" s="146" t="s">
        <v>5889</v>
      </c>
      <c r="B115" s="145" t="s">
        <v>5890</v>
      </c>
      <c r="C115" s="145" t="str">
        <f t="array" ref="C115">IFERROR(INDEX($B$36:$B$266, MATCH(0, COUNTIF($C$35:C114, $B$36:$B$266&amp;"") + IF($B$36:$B$266="",1,0), 0)), "")</f>
        <v/>
      </c>
      <c r="D115" s="145" t="s">
        <v>5891</v>
      </c>
    </row>
    <row r="116" spans="1:4" s="9" customFormat="1" x14ac:dyDescent="0.25">
      <c r="A116" s="146" t="s">
        <v>5892</v>
      </c>
      <c r="B116" s="145" t="s">
        <v>5890</v>
      </c>
      <c r="C116" s="145" t="str">
        <f t="array" ref="C116">IFERROR(INDEX($B$36:$B$266, MATCH(0, COUNTIF($C$35:C115, $B$36:$B$266&amp;"") + IF($B$36:$B$266="",1,0), 0)), "")</f>
        <v/>
      </c>
      <c r="D116" s="145" t="s">
        <v>5891</v>
      </c>
    </row>
    <row r="117" spans="1:4" s="9" customFormat="1" x14ac:dyDescent="0.25">
      <c r="A117" s="146" t="s">
        <v>5893</v>
      </c>
      <c r="B117" s="145" t="s">
        <v>5890</v>
      </c>
      <c r="C117" s="145" t="str">
        <f t="array" ref="C117">IFERROR(INDEX($B$36:$B$266, MATCH(0, COUNTIF($C$35:C116, $B$36:$B$266&amp;"") + IF($B$36:$B$266="",1,0), 0)), "")</f>
        <v/>
      </c>
      <c r="D117" s="145" t="s">
        <v>5891</v>
      </c>
    </row>
    <row r="118" spans="1:4" s="9" customFormat="1" x14ac:dyDescent="0.25">
      <c r="A118" s="146" t="s">
        <v>5894</v>
      </c>
      <c r="B118" s="145" t="s">
        <v>5890</v>
      </c>
      <c r="C118" s="145" t="str">
        <f t="array" ref="C118">IFERROR(INDEX($B$36:$B$266, MATCH(0, COUNTIF($C$35:C117, $B$36:$B$266&amp;"") + IF($B$36:$B$266="",1,0), 0)), "")</f>
        <v/>
      </c>
      <c r="D118" s="145" t="s">
        <v>5891</v>
      </c>
    </row>
    <row r="119" spans="1:4" s="9" customFormat="1" x14ac:dyDescent="0.25">
      <c r="A119" s="146" t="s">
        <v>5895</v>
      </c>
      <c r="B119" s="145" t="s">
        <v>5896</v>
      </c>
      <c r="C119" s="145" t="str">
        <f t="array" ref="C119">IFERROR(INDEX($B$36:$B$266, MATCH(0, COUNTIF($C$35:C118, $B$36:$B$266&amp;"") + IF($B$36:$B$266="",1,0), 0)), "")</f>
        <v/>
      </c>
      <c r="D119" s="145" t="s">
        <v>5897</v>
      </c>
    </row>
    <row r="120" spans="1:4" s="9" customFormat="1" x14ac:dyDescent="0.25">
      <c r="A120" s="146" t="s">
        <v>5898</v>
      </c>
      <c r="B120" s="145" t="s">
        <v>5890</v>
      </c>
      <c r="C120" s="145" t="str">
        <f t="array" ref="C120">IFERROR(INDEX($B$36:$B$266, MATCH(0, COUNTIF($C$35:C119, $B$36:$B$266&amp;"") + IF($B$36:$B$266="",1,0), 0)), "")</f>
        <v/>
      </c>
      <c r="D120" s="145" t="s">
        <v>5891</v>
      </c>
    </row>
    <row r="121" spans="1:4" s="9" customFormat="1" x14ac:dyDescent="0.25">
      <c r="A121" s="146" t="s">
        <v>5899</v>
      </c>
      <c r="B121" s="145" t="s">
        <v>5890</v>
      </c>
      <c r="C121" s="145" t="str">
        <f t="array" ref="C121">IFERROR(INDEX($B$36:$B$266, MATCH(0, COUNTIF($C$35:C120, $B$36:$B$266&amp;"") + IF($B$36:$B$266="",1,0), 0)), "")</f>
        <v/>
      </c>
      <c r="D121" s="145" t="s">
        <v>5891</v>
      </c>
    </row>
    <row r="122" spans="1:4" s="9" customFormat="1" x14ac:dyDescent="0.25">
      <c r="A122" s="146" t="s">
        <v>5900</v>
      </c>
      <c r="B122" s="145" t="s">
        <v>5890</v>
      </c>
      <c r="C122" s="145" t="str">
        <f t="array" ref="C122">IFERROR(INDEX($B$36:$B$266, MATCH(0, COUNTIF($C$35:C121, $B$36:$B$266&amp;"") + IF($B$36:$B$266="",1,0), 0)), "")</f>
        <v/>
      </c>
      <c r="D122" s="145" t="s">
        <v>5891</v>
      </c>
    </row>
    <row r="123" spans="1:4" s="9" customFormat="1" x14ac:dyDescent="0.25">
      <c r="A123" s="146" t="s">
        <v>5901</v>
      </c>
      <c r="B123" s="145" t="s">
        <v>5890</v>
      </c>
      <c r="C123" s="145" t="str">
        <f t="array" ref="C123">IFERROR(INDEX($B$36:$B$266, MATCH(0, COUNTIF($C$35:C122, $B$36:$B$266&amp;"") + IF($B$36:$B$266="",1,0), 0)), "")</f>
        <v/>
      </c>
      <c r="D123" s="145" t="s">
        <v>5891</v>
      </c>
    </row>
    <row r="124" spans="1:4" s="9" customFormat="1" x14ac:dyDescent="0.25">
      <c r="A124" s="146" t="s">
        <v>5902</v>
      </c>
      <c r="B124" s="145" t="s">
        <v>5903</v>
      </c>
      <c r="C124" s="145" t="str">
        <f t="array" ref="C124">IFERROR(INDEX($B$36:$B$266, MATCH(0, COUNTIF($C$35:C123, $B$36:$B$266&amp;"") + IF($B$36:$B$266="",1,0), 0)), "")</f>
        <v/>
      </c>
      <c r="D124" s="145" t="s">
        <v>5904</v>
      </c>
    </row>
    <row r="125" spans="1:4" s="9" customFormat="1" x14ac:dyDescent="0.25">
      <c r="A125" s="146" t="s">
        <v>5905</v>
      </c>
      <c r="B125" s="145" t="s">
        <v>5903</v>
      </c>
      <c r="C125" s="145" t="str">
        <f t="array" ref="C125">IFERROR(INDEX($B$36:$B$266, MATCH(0, COUNTIF($C$35:C124, $B$36:$B$266&amp;"") + IF($B$36:$B$266="",1,0), 0)), "")</f>
        <v/>
      </c>
      <c r="D125" s="145" t="s">
        <v>5904</v>
      </c>
    </row>
    <row r="126" spans="1:4" s="9" customFormat="1" x14ac:dyDescent="0.25">
      <c r="A126" s="146" t="s">
        <v>5906</v>
      </c>
      <c r="B126" s="145" t="s">
        <v>5903</v>
      </c>
      <c r="C126" s="145" t="str">
        <f t="array" ref="C126">IFERROR(INDEX($B$36:$B$266, MATCH(0, COUNTIF($C$35:C125, $B$36:$B$266&amp;"") + IF($B$36:$B$266="",1,0), 0)), "")</f>
        <v/>
      </c>
      <c r="D126" s="145" t="s">
        <v>5904</v>
      </c>
    </row>
    <row r="127" spans="1:4" s="9" customFormat="1" x14ac:dyDescent="0.25">
      <c r="A127" s="146" t="s">
        <v>5907</v>
      </c>
      <c r="B127" s="145" t="s">
        <v>5903</v>
      </c>
      <c r="C127" s="145" t="str">
        <f t="array" ref="C127">IFERROR(INDEX($B$36:$B$266, MATCH(0, COUNTIF($C$35:C126, $B$36:$B$266&amp;"") + IF($B$36:$B$266="",1,0), 0)), "")</f>
        <v/>
      </c>
      <c r="D127" s="145" t="s">
        <v>5904</v>
      </c>
    </row>
    <row r="128" spans="1:4" s="9" customFormat="1" x14ac:dyDescent="0.25">
      <c r="A128" s="146" t="s">
        <v>5908</v>
      </c>
      <c r="B128" s="145" t="s">
        <v>5909</v>
      </c>
      <c r="C128" s="145" t="str">
        <f t="array" ref="C128">IFERROR(INDEX($B$36:$B$266, MATCH(0, COUNTIF($C$35:C127, $B$36:$B$266&amp;"") + IF($B$36:$B$266="",1,0), 0)), "")</f>
        <v/>
      </c>
      <c r="D128" s="145" t="s">
        <v>5910</v>
      </c>
    </row>
    <row r="129" spans="1:4" s="9" customFormat="1" x14ac:dyDescent="0.25">
      <c r="A129" s="146" t="s">
        <v>5911</v>
      </c>
      <c r="B129" s="145" t="s">
        <v>5909</v>
      </c>
      <c r="C129" s="145" t="str">
        <f t="array" ref="C129">IFERROR(INDEX($B$36:$B$266, MATCH(0, COUNTIF($C$35:C128, $B$36:$B$266&amp;"") + IF($B$36:$B$266="",1,0), 0)), "")</f>
        <v/>
      </c>
      <c r="D129" s="145" t="s">
        <v>5910</v>
      </c>
    </row>
    <row r="130" spans="1:4" s="9" customFormat="1" x14ac:dyDescent="0.25">
      <c r="A130" s="146" t="s">
        <v>5912</v>
      </c>
      <c r="B130" s="145" t="s">
        <v>5788</v>
      </c>
      <c r="C130" s="145" t="str">
        <f t="array" ref="C130">IFERROR(INDEX($B$36:$B$266, MATCH(0, COUNTIF($C$35:C129, $B$36:$B$266&amp;"") + IF($B$36:$B$266="",1,0), 0)), "")</f>
        <v/>
      </c>
      <c r="D130" s="145" t="s">
        <v>5913</v>
      </c>
    </row>
    <row r="131" spans="1:4" s="9" customFormat="1" x14ac:dyDescent="0.25">
      <c r="A131" s="146" t="s">
        <v>5914</v>
      </c>
      <c r="B131" s="145" t="s">
        <v>5788</v>
      </c>
      <c r="C131" s="145" t="str">
        <f t="array" ref="C131">IFERROR(INDEX($B$36:$B$266, MATCH(0, COUNTIF($C$35:C130, $B$36:$B$266&amp;"") + IF($B$36:$B$266="",1,0), 0)), "")</f>
        <v/>
      </c>
      <c r="D131" s="145" t="s">
        <v>5913</v>
      </c>
    </row>
    <row r="132" spans="1:4" s="9" customFormat="1" x14ac:dyDescent="0.25">
      <c r="A132" s="146" t="s">
        <v>5915</v>
      </c>
      <c r="B132" s="145" t="s">
        <v>5909</v>
      </c>
      <c r="C132" s="145" t="str">
        <f t="array" ref="C132">IFERROR(INDEX($B$36:$B$266, MATCH(0, COUNTIF($C$35:C131, $B$36:$B$266&amp;"") + IF($B$36:$B$266="",1,0), 0)), "")</f>
        <v/>
      </c>
      <c r="D132" s="145" t="s">
        <v>5910</v>
      </c>
    </row>
    <row r="133" spans="1:4" s="9" customFormat="1" x14ac:dyDescent="0.25">
      <c r="A133" s="146" t="s">
        <v>5916</v>
      </c>
      <c r="B133" s="145" t="s">
        <v>5909</v>
      </c>
      <c r="C133" s="145" t="str">
        <f t="array" ref="C133">IFERROR(INDEX($B$36:$B$266, MATCH(0, COUNTIF($C$35:C132, $B$36:$B$266&amp;"") + IF($B$36:$B$266="",1,0), 0)), "")</f>
        <v/>
      </c>
      <c r="D133" s="145" t="s">
        <v>5910</v>
      </c>
    </row>
    <row r="134" spans="1:4" s="9" customFormat="1" x14ac:dyDescent="0.25">
      <c r="A134" s="146" t="s">
        <v>5917</v>
      </c>
      <c r="B134" s="145" t="s">
        <v>5909</v>
      </c>
      <c r="C134" s="145" t="str">
        <f t="array" ref="C134">IFERROR(INDEX($B$36:$B$266, MATCH(0, COUNTIF($C$35:C133, $B$36:$B$266&amp;"") + IF($B$36:$B$266="",1,0), 0)), "")</f>
        <v/>
      </c>
      <c r="D134" s="145" t="s">
        <v>5910</v>
      </c>
    </row>
    <row r="135" spans="1:4" s="9" customFormat="1" x14ac:dyDescent="0.25">
      <c r="A135" s="146" t="s">
        <v>5918</v>
      </c>
      <c r="B135" s="145" t="s">
        <v>5909</v>
      </c>
      <c r="C135" s="145" t="str">
        <f t="array" ref="C135">IFERROR(INDEX($B$36:$B$266, MATCH(0, COUNTIF($C$35:C134, $B$36:$B$266&amp;"") + IF($B$36:$B$266="",1,0), 0)), "")</f>
        <v/>
      </c>
      <c r="D135" s="145" t="s">
        <v>5910</v>
      </c>
    </row>
    <row r="136" spans="1:4" s="9" customFormat="1" x14ac:dyDescent="0.25">
      <c r="A136" s="146" t="s">
        <v>5919</v>
      </c>
      <c r="B136" s="145" t="s">
        <v>5920</v>
      </c>
      <c r="C136" s="145" t="str">
        <f t="array" ref="C136">IFERROR(INDEX($B$36:$B$266, MATCH(0, COUNTIF($C$35:C135, $B$36:$B$266&amp;"") + IF($B$36:$B$266="",1,0), 0)), "")</f>
        <v/>
      </c>
      <c r="D136" s="145" t="s">
        <v>5921</v>
      </c>
    </row>
    <row r="137" spans="1:4" s="9" customFormat="1" x14ac:dyDescent="0.25">
      <c r="A137" s="146" t="s">
        <v>5922</v>
      </c>
      <c r="B137" s="145" t="s">
        <v>5920</v>
      </c>
      <c r="C137" s="145" t="str">
        <f t="array" ref="C137">IFERROR(INDEX($B$36:$B$266, MATCH(0, COUNTIF($C$35:C136, $B$36:$B$266&amp;"") + IF($B$36:$B$266="",1,0), 0)), "")</f>
        <v/>
      </c>
      <c r="D137" s="145" t="s">
        <v>5921</v>
      </c>
    </row>
    <row r="138" spans="1:4" s="9" customFormat="1" x14ac:dyDescent="0.25">
      <c r="A138" s="146" t="s">
        <v>5923</v>
      </c>
      <c r="B138" s="145" t="s">
        <v>5924</v>
      </c>
      <c r="C138" s="145" t="str">
        <f t="array" ref="C138">IFERROR(INDEX($B$36:$B$266, MATCH(0, COUNTIF($C$35:C137, $B$36:$B$266&amp;"") + IF($B$36:$B$266="",1,0), 0)), "")</f>
        <v/>
      </c>
      <c r="D138" s="145" t="s">
        <v>5925</v>
      </c>
    </row>
    <row r="139" spans="1:4" s="9" customFormat="1" x14ac:dyDescent="0.25">
      <c r="A139" s="146" t="s">
        <v>5926</v>
      </c>
      <c r="B139" s="145" t="s">
        <v>5924</v>
      </c>
      <c r="C139" s="145" t="str">
        <f t="array" ref="C139">IFERROR(INDEX($B$36:$B$266, MATCH(0, COUNTIF($C$35:C138, $B$36:$B$266&amp;"") + IF($B$36:$B$266="",1,0), 0)), "")</f>
        <v/>
      </c>
      <c r="D139" s="145" t="s">
        <v>5925</v>
      </c>
    </row>
    <row r="140" spans="1:4" s="9" customFormat="1" x14ac:dyDescent="0.25">
      <c r="A140" s="146" t="s">
        <v>5927</v>
      </c>
      <c r="B140" s="145" t="s">
        <v>5924</v>
      </c>
      <c r="C140" s="145" t="str">
        <f t="array" ref="C140">IFERROR(INDEX($B$36:$B$266, MATCH(0, COUNTIF($C$35:C139, $B$36:$B$266&amp;"") + IF($B$36:$B$266="",1,0), 0)), "")</f>
        <v/>
      </c>
      <c r="D140" s="145" t="s">
        <v>5925</v>
      </c>
    </row>
    <row r="141" spans="1:4" s="9" customFormat="1" x14ac:dyDescent="0.25">
      <c r="A141" s="146" t="s">
        <v>5928</v>
      </c>
      <c r="B141" s="145" t="s">
        <v>5924</v>
      </c>
      <c r="C141" s="145" t="str">
        <f t="array" ref="C141">IFERROR(INDEX($B$36:$B$266, MATCH(0, COUNTIF($C$35:C140, $B$36:$B$266&amp;"") + IF($B$36:$B$266="",1,0), 0)), "")</f>
        <v/>
      </c>
      <c r="D141" s="145" t="s">
        <v>5925</v>
      </c>
    </row>
    <row r="142" spans="1:4" s="9" customFormat="1" x14ac:dyDescent="0.25">
      <c r="A142" s="146" t="s">
        <v>5929</v>
      </c>
      <c r="B142" s="145" t="s">
        <v>5920</v>
      </c>
      <c r="C142" s="145" t="str">
        <f t="array" ref="C142">IFERROR(INDEX($B$36:$B$266, MATCH(0, COUNTIF($C$35:C141, $B$36:$B$266&amp;"") + IF($B$36:$B$266="",1,0), 0)), "")</f>
        <v/>
      </c>
      <c r="D142" s="145" t="s">
        <v>5921</v>
      </c>
    </row>
    <row r="143" spans="1:4" s="9" customFormat="1" x14ac:dyDescent="0.25">
      <c r="A143" s="146" t="s">
        <v>5930</v>
      </c>
      <c r="B143" s="145" t="s">
        <v>5924</v>
      </c>
      <c r="C143" s="145" t="str">
        <f t="array" ref="C143">IFERROR(INDEX($B$36:$B$266, MATCH(0, COUNTIF($C$35:C142, $B$36:$B$266&amp;"") + IF($B$36:$B$266="",1,0), 0)), "")</f>
        <v/>
      </c>
      <c r="D143" s="145" t="s">
        <v>5925</v>
      </c>
    </row>
    <row r="144" spans="1:4" s="9" customFormat="1" x14ac:dyDescent="0.25">
      <c r="A144" s="146" t="s">
        <v>5931</v>
      </c>
      <c r="B144" s="145" t="s">
        <v>5920</v>
      </c>
      <c r="C144" s="145" t="str">
        <f t="array" ref="C144">IFERROR(INDEX($B$36:$B$266, MATCH(0, COUNTIF($C$35:C143, $B$36:$B$266&amp;"") + IF($B$36:$B$266="",1,0), 0)), "")</f>
        <v/>
      </c>
      <c r="D144" s="145" t="s">
        <v>5921</v>
      </c>
    </row>
    <row r="145" spans="1:4" s="9" customFormat="1" x14ac:dyDescent="0.25">
      <c r="A145" s="146" t="s">
        <v>5932</v>
      </c>
      <c r="B145" s="145" t="s">
        <v>5920</v>
      </c>
      <c r="C145" s="145" t="str">
        <f t="array" ref="C145">IFERROR(INDEX($B$36:$B$266, MATCH(0, COUNTIF($C$35:C144, $B$36:$B$266&amp;"") + IF($B$36:$B$266="",1,0), 0)), "")</f>
        <v/>
      </c>
      <c r="D145" s="145" t="s">
        <v>5921</v>
      </c>
    </row>
    <row r="146" spans="1:4" s="9" customFormat="1" x14ac:dyDescent="0.25">
      <c r="A146" s="146" t="s">
        <v>5933</v>
      </c>
      <c r="B146" s="145" t="s">
        <v>5934</v>
      </c>
      <c r="C146" s="145" t="str">
        <f t="array" ref="C146">IFERROR(INDEX($B$36:$B$266, MATCH(0, COUNTIF($C$35:C145, $B$36:$B$266&amp;"") + IF($B$36:$B$266="",1,0), 0)), "")</f>
        <v/>
      </c>
      <c r="D146" s="145" t="s">
        <v>5935</v>
      </c>
    </row>
    <row r="147" spans="1:4" s="9" customFormat="1" x14ac:dyDescent="0.25">
      <c r="A147" s="146" t="s">
        <v>5936</v>
      </c>
      <c r="B147" s="145" t="s">
        <v>5937</v>
      </c>
      <c r="C147" s="145" t="str">
        <f t="array" ref="C147">IFERROR(INDEX($B$36:$B$266, MATCH(0, COUNTIF($C$35:C146, $B$36:$B$266&amp;"") + IF($B$36:$B$266="",1,0), 0)), "")</f>
        <v/>
      </c>
      <c r="D147" s="145" t="s">
        <v>5938</v>
      </c>
    </row>
    <row r="148" spans="1:4" s="9" customFormat="1" x14ac:dyDescent="0.25">
      <c r="A148" s="146" t="s">
        <v>5939</v>
      </c>
      <c r="B148" s="145" t="s">
        <v>5940</v>
      </c>
      <c r="C148" s="145" t="str">
        <f t="array" ref="C148">IFERROR(INDEX($B$36:$B$266, MATCH(0, COUNTIF($C$35:C147, $B$36:$B$266&amp;"") + IF($B$36:$B$266="",1,0), 0)), "")</f>
        <v/>
      </c>
      <c r="D148" s="145" t="s">
        <v>5941</v>
      </c>
    </row>
    <row r="149" spans="1:4" s="9" customFormat="1" x14ac:dyDescent="0.25">
      <c r="A149" s="146" t="s">
        <v>5942</v>
      </c>
      <c r="B149" s="145" t="s">
        <v>5943</v>
      </c>
      <c r="C149" s="145" t="str">
        <f t="array" ref="C149">IFERROR(INDEX($B$36:$B$266, MATCH(0, COUNTIF($C$35:C148, $B$36:$B$266&amp;"") + IF($B$36:$B$266="",1,0), 0)), "")</f>
        <v/>
      </c>
      <c r="D149" s="145" t="s">
        <v>5944</v>
      </c>
    </row>
    <row r="150" spans="1:4" s="9" customFormat="1" x14ac:dyDescent="0.25">
      <c r="A150" s="146" t="s">
        <v>5945</v>
      </c>
      <c r="B150" s="145" t="s">
        <v>5943</v>
      </c>
      <c r="C150" s="145" t="str">
        <f t="array" ref="C150">IFERROR(INDEX($B$36:$B$266, MATCH(0, COUNTIF($C$35:C149, $B$36:$B$266&amp;"") + IF($B$36:$B$266="",1,0), 0)), "")</f>
        <v/>
      </c>
      <c r="D150" s="145" t="s">
        <v>5944</v>
      </c>
    </row>
    <row r="151" spans="1:4" s="9" customFormat="1" x14ac:dyDescent="0.25">
      <c r="A151" s="146" t="s">
        <v>5946</v>
      </c>
      <c r="B151" s="145" t="s">
        <v>5937</v>
      </c>
      <c r="C151" s="145" t="str">
        <f t="array" ref="C151">IFERROR(INDEX($B$36:$B$266, MATCH(0, COUNTIF($C$35:C150, $B$36:$B$266&amp;"") + IF($B$36:$B$266="",1,0), 0)), "")</f>
        <v/>
      </c>
      <c r="D151" s="145" t="s">
        <v>5938</v>
      </c>
    </row>
    <row r="152" spans="1:4" s="9" customFormat="1" x14ac:dyDescent="0.25">
      <c r="A152" s="146" t="s">
        <v>5947</v>
      </c>
      <c r="B152" s="145" t="s">
        <v>5940</v>
      </c>
      <c r="C152" s="145" t="str">
        <f t="array" ref="C152">IFERROR(INDEX($B$36:$B$266, MATCH(0, COUNTIF($C$35:C151, $B$36:$B$266&amp;"") + IF($B$36:$B$266="",1,0), 0)), "")</f>
        <v/>
      </c>
      <c r="D152" s="145" t="s">
        <v>5941</v>
      </c>
    </row>
    <row r="153" spans="1:4" s="9" customFormat="1" x14ac:dyDescent="0.25">
      <c r="A153" s="146" t="s">
        <v>5948</v>
      </c>
      <c r="B153" s="145" t="s">
        <v>5943</v>
      </c>
      <c r="C153" s="145" t="str">
        <f t="array" ref="C153">IFERROR(INDEX($B$36:$B$266, MATCH(0, COUNTIF($C$35:C152, $B$36:$B$266&amp;"") + IF($B$36:$B$266="",1,0), 0)), "")</f>
        <v/>
      </c>
      <c r="D153" s="145" t="s">
        <v>5944</v>
      </c>
    </row>
    <row r="154" spans="1:4" s="9" customFormat="1" x14ac:dyDescent="0.25">
      <c r="A154" s="146" t="s">
        <v>5949</v>
      </c>
      <c r="B154" s="145" t="s">
        <v>5943</v>
      </c>
      <c r="C154" s="145" t="str">
        <f t="array" ref="C154">IFERROR(INDEX($B$36:$B$266, MATCH(0, COUNTIF($C$35:C153, $B$36:$B$266&amp;"") + IF($B$36:$B$266="",1,0), 0)), "")</f>
        <v/>
      </c>
      <c r="D154" s="145" t="s">
        <v>5944</v>
      </c>
    </row>
    <row r="155" spans="1:4" s="9" customFormat="1" x14ac:dyDescent="0.25">
      <c r="A155" s="146" t="s">
        <v>5950</v>
      </c>
      <c r="B155" s="145" t="s">
        <v>5937</v>
      </c>
      <c r="C155" s="145" t="str">
        <f t="array" ref="C155">IFERROR(INDEX($B$36:$B$266, MATCH(0, COUNTIF($C$35:C154, $B$36:$B$266&amp;"") + IF($B$36:$B$266="",1,0), 0)), "")</f>
        <v/>
      </c>
      <c r="D155" s="145" t="s">
        <v>5938</v>
      </c>
    </row>
    <row r="156" spans="1:4" s="9" customFormat="1" x14ac:dyDescent="0.25">
      <c r="A156" s="146" t="s">
        <v>5951</v>
      </c>
      <c r="B156" s="145" t="s">
        <v>5940</v>
      </c>
      <c r="C156" s="145" t="str">
        <f t="array" ref="C156">IFERROR(INDEX($B$36:$B$266, MATCH(0, COUNTIF($C$35:C155, $B$36:$B$266&amp;"") + IF($B$36:$B$266="",1,0), 0)), "")</f>
        <v/>
      </c>
      <c r="D156" s="145" t="s">
        <v>5941</v>
      </c>
    </row>
    <row r="157" spans="1:4" s="9" customFormat="1" x14ac:dyDescent="0.25">
      <c r="A157" s="146" t="s">
        <v>5952</v>
      </c>
      <c r="B157" s="145" t="s">
        <v>5953</v>
      </c>
      <c r="C157" s="145" t="str">
        <f t="array" ref="C157">IFERROR(INDEX($B$36:$B$266, MATCH(0, COUNTIF($C$35:C156, $B$36:$B$266&amp;"") + IF($B$36:$B$266="",1,0), 0)), "")</f>
        <v/>
      </c>
      <c r="D157" s="145" t="s">
        <v>5954</v>
      </c>
    </row>
    <row r="158" spans="1:4" s="9" customFormat="1" x14ac:dyDescent="0.25">
      <c r="A158" s="146" t="s">
        <v>5955</v>
      </c>
      <c r="B158" s="145" t="s">
        <v>5956</v>
      </c>
      <c r="C158" s="145" t="str">
        <f t="array" ref="C158">IFERROR(INDEX($B$36:$B$266, MATCH(0, COUNTIF($C$35:C157, $B$36:$B$266&amp;"") + IF($B$36:$B$266="",1,0), 0)), "")</f>
        <v/>
      </c>
      <c r="D158" s="145" t="s">
        <v>5957</v>
      </c>
    </row>
    <row r="159" spans="1:4" s="9" customFormat="1" x14ac:dyDescent="0.25">
      <c r="A159" s="146" t="s">
        <v>5958</v>
      </c>
      <c r="B159" s="145" t="s">
        <v>5959</v>
      </c>
      <c r="C159" s="145" t="str">
        <f t="array" ref="C159">IFERROR(INDEX($B$36:$B$266, MATCH(0, COUNTIF($C$35:C158, $B$36:$B$266&amp;"") + IF($B$36:$B$266="",1,0), 0)), "")</f>
        <v/>
      </c>
      <c r="D159" s="145" t="s">
        <v>5960</v>
      </c>
    </row>
    <row r="160" spans="1:4" s="9" customFormat="1" x14ac:dyDescent="0.25">
      <c r="A160" s="146" t="s">
        <v>5961</v>
      </c>
      <c r="B160" s="145" t="s">
        <v>5953</v>
      </c>
      <c r="C160" s="145" t="str">
        <f t="array" ref="C160">IFERROR(INDEX($B$36:$B$266, MATCH(0, COUNTIF($C$35:C159, $B$36:$B$266&amp;"") + IF($B$36:$B$266="",1,0), 0)), "")</f>
        <v/>
      </c>
      <c r="D160" s="145" t="s">
        <v>5954</v>
      </c>
    </row>
    <row r="161" spans="1:4" s="9" customFormat="1" x14ac:dyDescent="0.25">
      <c r="A161" s="146" t="s">
        <v>5962</v>
      </c>
      <c r="B161" s="145" t="s">
        <v>5963</v>
      </c>
      <c r="C161" s="145" t="str">
        <f t="array" ref="C161">IFERROR(INDEX($B$36:$B$266, MATCH(0, COUNTIF($C$35:C160, $B$36:$B$266&amp;"") + IF($B$36:$B$266="",1,0), 0)), "")</f>
        <v/>
      </c>
      <c r="D161" s="145" t="s">
        <v>5964</v>
      </c>
    </row>
    <row r="162" spans="1:4" s="9" customFormat="1" x14ac:dyDescent="0.25">
      <c r="A162" s="146" t="s">
        <v>5965</v>
      </c>
      <c r="B162" s="145" t="s">
        <v>5959</v>
      </c>
      <c r="C162" s="145" t="str">
        <f t="array" ref="C162">IFERROR(INDEX($B$36:$B$266, MATCH(0, COUNTIF($C$35:C161, $B$36:$B$266&amp;"") + IF($B$36:$B$266="",1,0), 0)), "")</f>
        <v/>
      </c>
      <c r="D162" s="145" t="s">
        <v>5960</v>
      </c>
    </row>
    <row r="163" spans="1:4" s="9" customFormat="1" x14ac:dyDescent="0.25">
      <c r="A163" s="146" t="s">
        <v>5966</v>
      </c>
      <c r="B163" s="145" t="s">
        <v>5963</v>
      </c>
      <c r="C163" s="145" t="str">
        <f t="array" ref="C163">IFERROR(INDEX($B$36:$B$266, MATCH(0, COUNTIF($C$35:C162, $B$36:$B$266&amp;"") + IF($B$36:$B$266="",1,0), 0)), "")</f>
        <v/>
      </c>
      <c r="D163" s="145" t="s">
        <v>5964</v>
      </c>
    </row>
    <row r="164" spans="1:4" s="9" customFormat="1" x14ac:dyDescent="0.25">
      <c r="A164" s="146" t="s">
        <v>5967</v>
      </c>
      <c r="B164" s="145" t="s">
        <v>5956</v>
      </c>
      <c r="C164" s="145" t="str">
        <f t="array" ref="C164">IFERROR(INDEX($B$36:$B$266, MATCH(0, COUNTIF($C$35:C163, $B$36:$B$266&amp;"") + IF($B$36:$B$266="",1,0), 0)), "")</f>
        <v/>
      </c>
      <c r="D164" s="145" t="s">
        <v>5957</v>
      </c>
    </row>
    <row r="165" spans="1:4" s="9" customFormat="1" x14ac:dyDescent="0.25">
      <c r="A165" s="146" t="s">
        <v>5968</v>
      </c>
      <c r="B165" s="145" t="s">
        <v>5953</v>
      </c>
      <c r="C165" s="145" t="str">
        <f t="array" ref="C165">IFERROR(INDEX($B$36:$B$266, MATCH(0, COUNTIF($C$35:C164, $B$36:$B$266&amp;"") + IF($B$36:$B$266="",1,0), 0)), "")</f>
        <v/>
      </c>
      <c r="D165" s="145" t="s">
        <v>5954</v>
      </c>
    </row>
    <row r="166" spans="1:4" s="9" customFormat="1" x14ac:dyDescent="0.25">
      <c r="A166" s="146" t="s">
        <v>5969</v>
      </c>
      <c r="B166" s="145" t="s">
        <v>5963</v>
      </c>
      <c r="C166" s="145" t="str">
        <f t="array" ref="C166">IFERROR(INDEX($B$36:$B$266, MATCH(0, COUNTIF($C$35:C165, $B$36:$B$266&amp;"") + IF($B$36:$B$266="",1,0), 0)), "")</f>
        <v/>
      </c>
      <c r="D166" s="145" t="s">
        <v>5964</v>
      </c>
    </row>
    <row r="167" spans="1:4" s="9" customFormat="1" x14ac:dyDescent="0.25">
      <c r="A167" s="146" t="s">
        <v>5970</v>
      </c>
      <c r="B167" s="145" t="s">
        <v>5788</v>
      </c>
      <c r="C167" s="145" t="str">
        <f t="array" ref="C167">IFERROR(INDEX($B$36:$B$266, MATCH(0, COUNTIF($C$35:C166, $B$36:$B$266&amp;"") + IF($B$36:$B$266="",1,0), 0)), "")</f>
        <v/>
      </c>
      <c r="D167" s="145" t="s">
        <v>5971</v>
      </c>
    </row>
    <row r="168" spans="1:4" s="9" customFormat="1" x14ac:dyDescent="0.25">
      <c r="A168" s="146" t="s">
        <v>5972</v>
      </c>
      <c r="B168" s="145" t="s">
        <v>5788</v>
      </c>
      <c r="C168" s="145" t="str">
        <f t="array" ref="C168">IFERROR(INDEX($B$36:$B$266, MATCH(0, COUNTIF($C$35:C167, $B$36:$B$266&amp;"") + IF($B$36:$B$266="",1,0), 0)), "")</f>
        <v/>
      </c>
      <c r="D168" s="145" t="s">
        <v>5971</v>
      </c>
    </row>
    <row r="169" spans="1:4" s="9" customFormat="1" x14ac:dyDescent="0.25">
      <c r="A169" s="146" t="s">
        <v>5973</v>
      </c>
      <c r="B169" s="145" t="s">
        <v>5959</v>
      </c>
      <c r="C169" s="145" t="str">
        <f t="array" ref="C169">IFERROR(INDEX($B$36:$B$266, MATCH(0, COUNTIF($C$35:C168, $B$36:$B$266&amp;"") + IF($B$36:$B$266="",1,0), 0)), "")</f>
        <v/>
      </c>
      <c r="D169" s="145" t="s">
        <v>5960</v>
      </c>
    </row>
    <row r="170" spans="1:4" s="9" customFormat="1" x14ac:dyDescent="0.25">
      <c r="A170" s="146" t="s">
        <v>5974</v>
      </c>
      <c r="B170" s="145" t="s">
        <v>5788</v>
      </c>
      <c r="C170" s="145" t="str">
        <f t="array" ref="C170">IFERROR(INDEX($B$36:$B$266, MATCH(0, COUNTIF($C$35:C169, $B$36:$B$266&amp;"") + IF($B$36:$B$266="",1,0), 0)), "")</f>
        <v/>
      </c>
      <c r="D170" s="145" t="s">
        <v>5971</v>
      </c>
    </row>
    <row r="171" spans="1:4" s="9" customFormat="1" x14ac:dyDescent="0.25">
      <c r="A171" s="146" t="s">
        <v>5975</v>
      </c>
      <c r="B171" s="145" t="s">
        <v>5788</v>
      </c>
      <c r="C171" s="145" t="str">
        <f t="array" ref="C171">IFERROR(INDEX($B$36:$B$266, MATCH(0, COUNTIF($C$35:C170, $B$36:$B$266&amp;"") + IF($B$36:$B$266="",1,0), 0)), "")</f>
        <v/>
      </c>
      <c r="D171" s="145" t="s">
        <v>5971</v>
      </c>
    </row>
    <row r="172" spans="1:4" s="9" customFormat="1" x14ac:dyDescent="0.25">
      <c r="A172" s="146" t="s">
        <v>5976</v>
      </c>
      <c r="B172" s="145" t="s">
        <v>5788</v>
      </c>
      <c r="C172" s="145" t="str">
        <f t="array" ref="C172">IFERROR(INDEX($B$36:$B$266, MATCH(0, COUNTIF($C$35:C171, $B$36:$B$266&amp;"") + IF($B$36:$B$266="",1,0), 0)), "")</f>
        <v/>
      </c>
      <c r="D172" s="145" t="s">
        <v>5971</v>
      </c>
    </row>
    <row r="173" spans="1:4" s="9" customFormat="1" x14ac:dyDescent="0.25">
      <c r="A173" s="146" t="s">
        <v>5977</v>
      </c>
      <c r="B173" s="145" t="s">
        <v>5788</v>
      </c>
      <c r="C173" s="145" t="str">
        <f t="array" ref="C173">IFERROR(INDEX($B$36:$B$266, MATCH(0, COUNTIF($C$35:C172, $B$36:$B$266&amp;"") + IF($B$36:$B$266="",1,0), 0)), "")</f>
        <v/>
      </c>
      <c r="D173" s="145" t="s">
        <v>5971</v>
      </c>
    </row>
    <row r="174" spans="1:4" s="9" customFormat="1" x14ac:dyDescent="0.25">
      <c r="A174" s="146" t="s">
        <v>5978</v>
      </c>
      <c r="B174" s="145" t="s">
        <v>5788</v>
      </c>
      <c r="C174" s="145" t="str">
        <f t="array" ref="C174">IFERROR(INDEX($B$36:$B$266, MATCH(0, COUNTIF($C$35:C173, $B$36:$B$266&amp;"") + IF($B$36:$B$266="",1,0), 0)), "")</f>
        <v/>
      </c>
      <c r="D174" s="145" t="s">
        <v>5971</v>
      </c>
    </row>
    <row r="175" spans="1:4" s="9" customFormat="1" x14ac:dyDescent="0.25">
      <c r="A175" s="146" t="s">
        <v>5979</v>
      </c>
      <c r="B175" s="145" t="s">
        <v>5959</v>
      </c>
      <c r="C175" s="145" t="str">
        <f t="array" ref="C175">IFERROR(INDEX($B$36:$B$266, MATCH(0, COUNTIF($C$35:C174, $B$36:$B$266&amp;"") + IF($B$36:$B$266="",1,0), 0)), "")</f>
        <v/>
      </c>
      <c r="D175" s="145" t="s">
        <v>5960</v>
      </c>
    </row>
    <row r="176" spans="1:4" s="9" customFormat="1" x14ac:dyDescent="0.25">
      <c r="A176" s="146" t="s">
        <v>5980</v>
      </c>
      <c r="B176" s="145" t="s">
        <v>5959</v>
      </c>
      <c r="C176" s="145" t="str">
        <f t="array" ref="C176">IFERROR(INDEX($B$36:$B$266, MATCH(0, COUNTIF($C$35:C175, $B$36:$B$266&amp;"") + IF($B$36:$B$266="",1,0), 0)), "")</f>
        <v/>
      </c>
      <c r="D176" s="145" t="s">
        <v>5960</v>
      </c>
    </row>
    <row r="177" spans="1:4" s="9" customFormat="1" x14ac:dyDescent="0.25">
      <c r="A177" s="146" t="s">
        <v>5981</v>
      </c>
      <c r="B177" s="145" t="s">
        <v>5788</v>
      </c>
      <c r="C177" s="145" t="str">
        <f t="array" ref="C177">IFERROR(INDEX($B$36:$B$266, MATCH(0, COUNTIF($C$35:C176, $B$36:$B$266&amp;"") + IF($B$36:$B$266="",1,0), 0)), "")</f>
        <v/>
      </c>
      <c r="D177" s="145" t="s">
        <v>5971</v>
      </c>
    </row>
    <row r="178" spans="1:4" s="9" customFormat="1" x14ac:dyDescent="0.25">
      <c r="A178" s="146" t="s">
        <v>5982</v>
      </c>
      <c r="B178" s="145" t="s">
        <v>5788</v>
      </c>
      <c r="C178" s="145" t="str">
        <f t="array" ref="C178">IFERROR(INDEX($B$36:$B$266, MATCH(0, COUNTIF($C$35:C177, $B$36:$B$266&amp;"") + IF($B$36:$B$266="",1,0), 0)), "")</f>
        <v/>
      </c>
      <c r="D178" s="145" t="s">
        <v>5983</v>
      </c>
    </row>
    <row r="179" spans="1:4" s="9" customFormat="1" x14ac:dyDescent="0.25">
      <c r="A179" s="146" t="s">
        <v>5984</v>
      </c>
      <c r="B179" s="145" t="s">
        <v>5788</v>
      </c>
      <c r="C179" s="145" t="str">
        <f t="array" ref="C179">IFERROR(INDEX($B$36:$B$266, MATCH(0, COUNTIF($C$35:C178, $B$36:$B$266&amp;"") + IF($B$36:$B$266="",1,0), 0)), "")</f>
        <v/>
      </c>
      <c r="D179" s="145" t="s">
        <v>5983</v>
      </c>
    </row>
    <row r="180" spans="1:4" s="9" customFormat="1" x14ac:dyDescent="0.25">
      <c r="A180" s="146" t="s">
        <v>5985</v>
      </c>
      <c r="B180" s="145" t="s">
        <v>5788</v>
      </c>
      <c r="C180" s="145" t="str">
        <f t="array" ref="C180">IFERROR(INDEX($B$36:$B$266, MATCH(0, COUNTIF($C$35:C179, $B$36:$B$266&amp;"") + IF($B$36:$B$266="",1,0), 0)), "")</f>
        <v/>
      </c>
      <c r="D180" s="145" t="s">
        <v>5983</v>
      </c>
    </row>
    <row r="181" spans="1:4" s="9" customFormat="1" x14ac:dyDescent="0.25">
      <c r="A181" s="146" t="s">
        <v>5986</v>
      </c>
      <c r="B181" s="145" t="s">
        <v>5788</v>
      </c>
      <c r="C181" s="145" t="str">
        <f t="array" ref="C181">IFERROR(INDEX($B$36:$B$266, MATCH(0, COUNTIF($C$35:C180, $B$36:$B$266&amp;"") + IF($B$36:$B$266="",1,0), 0)), "")</f>
        <v/>
      </c>
      <c r="D181" s="145" t="s">
        <v>5983</v>
      </c>
    </row>
    <row r="182" spans="1:4" s="9" customFormat="1" x14ac:dyDescent="0.25">
      <c r="A182" s="146" t="s">
        <v>5987</v>
      </c>
      <c r="B182" s="145" t="s">
        <v>5788</v>
      </c>
      <c r="C182" s="145" t="str">
        <f t="array" ref="C182">IFERROR(INDEX($B$36:$B$266, MATCH(0, COUNTIF($C$35:C181, $B$36:$B$266&amp;"") + IF($B$36:$B$266="",1,0), 0)), "")</f>
        <v/>
      </c>
      <c r="D182" s="145" t="s">
        <v>5983</v>
      </c>
    </row>
    <row r="183" spans="1:4" s="9" customFormat="1" x14ac:dyDescent="0.25">
      <c r="A183" s="146" t="s">
        <v>5988</v>
      </c>
      <c r="B183" s="145" t="s">
        <v>5788</v>
      </c>
      <c r="C183" s="145" t="str">
        <f t="array" ref="C183">IFERROR(INDEX($B$36:$B$266, MATCH(0, COUNTIF($C$35:C182, $B$36:$B$266&amp;"") + IF($B$36:$B$266="",1,0), 0)), "")</f>
        <v/>
      </c>
      <c r="D183" s="145" t="s">
        <v>5983</v>
      </c>
    </row>
    <row r="184" spans="1:4" s="9" customFormat="1" x14ac:dyDescent="0.25">
      <c r="A184" s="146" t="s">
        <v>5989</v>
      </c>
      <c r="B184" s="145" t="s">
        <v>5788</v>
      </c>
      <c r="C184" s="145" t="str">
        <f t="array" ref="C184">IFERROR(INDEX($B$36:$B$266, MATCH(0, COUNTIF($C$35:C183, $B$36:$B$266&amp;"") + IF($B$36:$B$266="",1,0), 0)), "")</f>
        <v/>
      </c>
      <c r="D184" s="145" t="s">
        <v>5983</v>
      </c>
    </row>
    <row r="185" spans="1:4" s="9" customFormat="1" x14ac:dyDescent="0.25">
      <c r="A185" s="146" t="s">
        <v>5990</v>
      </c>
      <c r="B185" s="145" t="s">
        <v>5788</v>
      </c>
      <c r="C185" s="145" t="str">
        <f t="array" ref="C185">IFERROR(INDEX($B$36:$B$266, MATCH(0, COUNTIF($C$35:C184, $B$36:$B$266&amp;"") + IF($B$36:$B$266="",1,0), 0)), "")</f>
        <v/>
      </c>
      <c r="D185" s="145" t="s">
        <v>5983</v>
      </c>
    </row>
    <row r="186" spans="1:4" s="9" customFormat="1" x14ac:dyDescent="0.25">
      <c r="A186" s="146" t="s">
        <v>5991</v>
      </c>
      <c r="B186" s="145" t="s">
        <v>5788</v>
      </c>
      <c r="C186" s="145" t="str">
        <f t="array" ref="C186">IFERROR(INDEX($B$36:$B$266, MATCH(0, COUNTIF($C$35:C185, $B$36:$B$266&amp;"") + IF($B$36:$B$266="",1,0), 0)), "")</f>
        <v/>
      </c>
      <c r="D186" s="145" t="s">
        <v>5983</v>
      </c>
    </row>
    <row r="187" spans="1:4" s="9" customFormat="1" x14ac:dyDescent="0.25">
      <c r="A187" s="146" t="s">
        <v>5992</v>
      </c>
      <c r="B187" s="145" t="s">
        <v>5993</v>
      </c>
      <c r="C187" s="145" t="str">
        <f t="array" ref="C187">IFERROR(INDEX($B$36:$B$266, MATCH(0, COUNTIF($C$35:C186, $B$36:$B$266&amp;"") + IF($B$36:$B$266="",1,0), 0)), "")</f>
        <v/>
      </c>
      <c r="D187" s="145" t="s">
        <v>5994</v>
      </c>
    </row>
    <row r="188" spans="1:4" s="9" customFormat="1" x14ac:dyDescent="0.25">
      <c r="A188" s="146" t="s">
        <v>5995</v>
      </c>
      <c r="B188" s="145" t="s">
        <v>5993</v>
      </c>
      <c r="C188" s="145" t="str">
        <f t="array" ref="C188">IFERROR(INDEX($B$36:$B$266, MATCH(0, COUNTIF($C$35:C187, $B$36:$B$266&amp;"") + IF($B$36:$B$266="",1,0), 0)), "")</f>
        <v/>
      </c>
      <c r="D188" s="145" t="s">
        <v>5994</v>
      </c>
    </row>
    <row r="189" spans="1:4" s="9" customFormat="1" x14ac:dyDescent="0.25">
      <c r="A189" s="146" t="s">
        <v>5996</v>
      </c>
      <c r="B189" s="145" t="s">
        <v>5997</v>
      </c>
      <c r="C189" s="145" t="str">
        <f t="array" ref="C189">IFERROR(INDEX($B$36:$B$266, MATCH(0, COUNTIF($C$35:C188, $B$36:$B$266&amp;"") + IF($B$36:$B$266="",1,0), 0)), "")</f>
        <v/>
      </c>
      <c r="D189" s="145" t="s">
        <v>5998</v>
      </c>
    </row>
    <row r="190" spans="1:4" s="9" customFormat="1" x14ac:dyDescent="0.25">
      <c r="A190" s="146" t="s">
        <v>5999</v>
      </c>
      <c r="B190" s="145" t="s">
        <v>5997</v>
      </c>
      <c r="C190" s="145" t="str">
        <f t="array" ref="C190">IFERROR(INDEX($B$36:$B$266, MATCH(0, COUNTIF($C$35:C189, $B$36:$B$266&amp;"") + IF($B$36:$B$266="",1,0), 0)), "")</f>
        <v/>
      </c>
      <c r="D190" s="145" t="s">
        <v>5998</v>
      </c>
    </row>
    <row r="191" spans="1:4" s="9" customFormat="1" x14ac:dyDescent="0.25">
      <c r="A191" s="146" t="s">
        <v>6000</v>
      </c>
      <c r="B191" s="145" t="s">
        <v>5997</v>
      </c>
      <c r="C191" s="145" t="str">
        <f t="array" ref="C191">IFERROR(INDEX($B$36:$B$266, MATCH(0, COUNTIF($C$35:C190, $B$36:$B$266&amp;"") + IF($B$36:$B$266="",1,0), 0)), "")</f>
        <v/>
      </c>
      <c r="D191" s="145" t="s">
        <v>5998</v>
      </c>
    </row>
    <row r="192" spans="1:4" s="9" customFormat="1" x14ac:dyDescent="0.25">
      <c r="A192" s="146" t="s">
        <v>6001</v>
      </c>
      <c r="B192" s="145" t="s">
        <v>6002</v>
      </c>
      <c r="C192" s="145" t="str">
        <f t="array" ref="C192">IFERROR(INDEX($B$36:$B$266, MATCH(0, COUNTIF($C$35:C191, $B$36:$B$266&amp;"") + IF($B$36:$B$266="",1,0), 0)), "")</f>
        <v/>
      </c>
      <c r="D192" s="145" t="s">
        <v>6003</v>
      </c>
    </row>
    <row r="193" spans="1:4" s="9" customFormat="1" x14ac:dyDescent="0.25">
      <c r="A193" s="146" t="s">
        <v>6004</v>
      </c>
      <c r="B193" s="145" t="s">
        <v>6002</v>
      </c>
      <c r="C193" s="145" t="str">
        <f t="array" ref="C193">IFERROR(INDEX($B$36:$B$266, MATCH(0, COUNTIF($C$35:C192, $B$36:$B$266&amp;"") + IF($B$36:$B$266="",1,0), 0)), "")</f>
        <v/>
      </c>
      <c r="D193" s="145" t="s">
        <v>6003</v>
      </c>
    </row>
    <row r="194" spans="1:4" s="9" customFormat="1" x14ac:dyDescent="0.25">
      <c r="A194" s="146" t="s">
        <v>6005</v>
      </c>
      <c r="B194" s="145" t="s">
        <v>5997</v>
      </c>
      <c r="C194" s="145" t="str">
        <f t="array" ref="C194">IFERROR(INDEX($B$36:$B$266, MATCH(0, COUNTIF($C$35:C193, $B$36:$B$266&amp;"") + IF($B$36:$B$266="",1,0), 0)), "")</f>
        <v/>
      </c>
      <c r="D194" s="145" t="s">
        <v>5998</v>
      </c>
    </row>
    <row r="195" spans="1:4" s="9" customFormat="1" x14ac:dyDescent="0.25">
      <c r="A195" s="146" t="s">
        <v>6006</v>
      </c>
      <c r="B195" s="145" t="s">
        <v>5997</v>
      </c>
      <c r="C195" s="145" t="str">
        <f t="array" ref="C195">IFERROR(INDEX($B$36:$B$266, MATCH(0, COUNTIF($C$35:C194, $B$36:$B$266&amp;"") + IF($B$36:$B$266="",1,0), 0)), "")</f>
        <v/>
      </c>
      <c r="D195" s="145" t="s">
        <v>5998</v>
      </c>
    </row>
    <row r="196" spans="1:4" s="9" customFormat="1" x14ac:dyDescent="0.25">
      <c r="A196" s="146" t="s">
        <v>6007</v>
      </c>
      <c r="B196" s="145" t="s">
        <v>5997</v>
      </c>
      <c r="C196" s="145" t="str">
        <f t="array" ref="C196">IFERROR(INDEX($B$36:$B$266, MATCH(0, COUNTIF($C$35:C195, $B$36:$B$266&amp;"") + IF($B$36:$B$266="",1,0), 0)), "")</f>
        <v/>
      </c>
      <c r="D196" s="145" t="s">
        <v>5998</v>
      </c>
    </row>
    <row r="197" spans="1:4" s="9" customFormat="1" x14ac:dyDescent="0.25">
      <c r="A197" s="146" t="s">
        <v>6008</v>
      </c>
      <c r="B197" s="145" t="s">
        <v>5997</v>
      </c>
      <c r="C197" s="145" t="str">
        <f t="array" ref="C197">IFERROR(INDEX($B$36:$B$266, MATCH(0, COUNTIF($C$35:C196, $B$36:$B$266&amp;"") + IF($B$36:$B$266="",1,0), 0)), "")</f>
        <v/>
      </c>
      <c r="D197" s="145" t="s">
        <v>5998</v>
      </c>
    </row>
    <row r="198" spans="1:4" s="9" customFormat="1" x14ac:dyDescent="0.25">
      <c r="A198" s="146" t="s">
        <v>6009</v>
      </c>
      <c r="B198" s="145" t="s">
        <v>6002</v>
      </c>
      <c r="C198" s="145" t="str">
        <f t="array" ref="C198">IFERROR(INDEX($B$36:$B$266, MATCH(0, COUNTIF($C$35:C197, $B$36:$B$266&amp;"") + IF($B$36:$B$266="",1,0), 0)), "")</f>
        <v/>
      </c>
      <c r="D198" s="145" t="s">
        <v>6003</v>
      </c>
    </row>
    <row r="199" spans="1:4" s="9" customFormat="1" x14ac:dyDescent="0.25">
      <c r="A199" s="146" t="s">
        <v>6010</v>
      </c>
      <c r="B199" s="145" t="s">
        <v>5997</v>
      </c>
      <c r="C199" s="145" t="str">
        <f t="array" ref="C199">IFERROR(INDEX($B$36:$B$266, MATCH(0, COUNTIF($C$35:C198, $B$36:$B$266&amp;"") + IF($B$36:$B$266="",1,0), 0)), "")</f>
        <v/>
      </c>
      <c r="D199" s="145" t="s">
        <v>5998</v>
      </c>
    </row>
    <row r="200" spans="1:4" s="9" customFormat="1" x14ac:dyDescent="0.25">
      <c r="A200" s="146" t="s">
        <v>6011</v>
      </c>
      <c r="B200" s="145" t="s">
        <v>6012</v>
      </c>
      <c r="C200" s="145" t="str">
        <f t="array" ref="C200">IFERROR(INDEX($B$36:$B$266, MATCH(0, COUNTIF($C$35:C199, $B$36:$B$266&amp;"") + IF($B$36:$B$266="",1,0), 0)), "")</f>
        <v/>
      </c>
      <c r="D200" s="145" t="s">
        <v>6013</v>
      </c>
    </row>
    <row r="201" spans="1:4" s="9" customFormat="1" x14ac:dyDescent="0.25">
      <c r="A201" s="146" t="s">
        <v>6014</v>
      </c>
      <c r="B201" s="145" t="s">
        <v>6015</v>
      </c>
      <c r="C201" s="145" t="str">
        <f t="array" ref="C201">IFERROR(INDEX($B$36:$B$266, MATCH(0, COUNTIF($C$35:C200, $B$36:$B$266&amp;"") + IF($B$36:$B$266="",1,0), 0)), "")</f>
        <v/>
      </c>
      <c r="D201" s="145" t="s">
        <v>6016</v>
      </c>
    </row>
    <row r="202" spans="1:4" s="9" customFormat="1" x14ac:dyDescent="0.25">
      <c r="A202" s="146" t="s">
        <v>6017</v>
      </c>
      <c r="B202" s="145" t="s">
        <v>6018</v>
      </c>
      <c r="C202" s="145" t="str">
        <f t="array" ref="C202">IFERROR(INDEX($B$36:$B$266, MATCH(0, COUNTIF($C$35:C201, $B$36:$B$266&amp;"") + IF($B$36:$B$266="",1,0), 0)), "")</f>
        <v/>
      </c>
      <c r="D202" s="145" t="s">
        <v>6019</v>
      </c>
    </row>
    <row r="203" spans="1:4" s="9" customFormat="1" x14ac:dyDescent="0.25">
      <c r="A203" s="146" t="s">
        <v>6020</v>
      </c>
      <c r="B203" s="145" t="s">
        <v>6015</v>
      </c>
      <c r="C203" s="145" t="str">
        <f t="array" ref="C203">IFERROR(INDEX($B$36:$B$266, MATCH(0, COUNTIF($C$35:C202, $B$36:$B$266&amp;"") + IF($B$36:$B$266="",1,0), 0)), "")</f>
        <v/>
      </c>
      <c r="D203" s="145" t="s">
        <v>6016</v>
      </c>
    </row>
    <row r="204" spans="1:4" s="9" customFormat="1" x14ac:dyDescent="0.25">
      <c r="A204" s="146" t="s">
        <v>6021</v>
      </c>
      <c r="B204" s="145" t="s">
        <v>6012</v>
      </c>
      <c r="C204" s="145" t="str">
        <f t="array" ref="C204">IFERROR(INDEX($B$36:$B$266, MATCH(0, COUNTIF($C$35:C203, $B$36:$B$266&amp;"") + IF($B$36:$B$266="",1,0), 0)), "")</f>
        <v/>
      </c>
      <c r="D204" s="145" t="s">
        <v>6013</v>
      </c>
    </row>
    <row r="205" spans="1:4" s="9" customFormat="1" x14ac:dyDescent="0.25">
      <c r="A205" s="146" t="s">
        <v>6022</v>
      </c>
      <c r="B205" s="145" t="s">
        <v>6015</v>
      </c>
      <c r="C205" s="145" t="str">
        <f t="array" ref="C205">IFERROR(INDEX($B$36:$B$266, MATCH(0, COUNTIF($C$35:C204, $B$36:$B$266&amp;"") + IF($B$36:$B$266="",1,0), 0)), "")</f>
        <v/>
      </c>
      <c r="D205" s="145" t="s">
        <v>6016</v>
      </c>
    </row>
    <row r="206" spans="1:4" s="9" customFormat="1" x14ac:dyDescent="0.25">
      <c r="A206" s="146" t="s">
        <v>6023</v>
      </c>
      <c r="B206" s="145" t="s">
        <v>6015</v>
      </c>
      <c r="C206" s="145" t="str">
        <f t="array" ref="C206">IFERROR(INDEX($B$36:$B$266, MATCH(0, COUNTIF($C$35:C205, $B$36:$B$266&amp;"") + IF($B$36:$B$266="",1,0), 0)), "")</f>
        <v/>
      </c>
      <c r="D206" s="145" t="s">
        <v>6016</v>
      </c>
    </row>
    <row r="207" spans="1:4" s="9" customFormat="1" x14ac:dyDescent="0.25">
      <c r="A207" s="146" t="s">
        <v>6024</v>
      </c>
      <c r="B207" s="145" t="s">
        <v>6012</v>
      </c>
      <c r="C207" s="145" t="str">
        <f t="array" ref="C207">IFERROR(INDEX($B$36:$B$266, MATCH(0, COUNTIF($C$35:C206, $B$36:$B$266&amp;"") + IF($B$36:$B$266="",1,0), 0)), "")</f>
        <v/>
      </c>
      <c r="D207" s="145" t="s">
        <v>6013</v>
      </c>
    </row>
    <row r="208" spans="1:4" s="9" customFormat="1" x14ac:dyDescent="0.25">
      <c r="A208" s="146" t="s">
        <v>6025</v>
      </c>
      <c r="B208" s="145" t="s">
        <v>6015</v>
      </c>
      <c r="C208" s="145" t="str">
        <f t="array" ref="C208">IFERROR(INDEX($B$36:$B$266, MATCH(0, COUNTIF($C$35:C207, $B$36:$B$266&amp;"") + IF($B$36:$B$266="",1,0), 0)), "")</f>
        <v/>
      </c>
      <c r="D208" s="145" t="s">
        <v>6016</v>
      </c>
    </row>
    <row r="209" spans="1:4" s="9" customFormat="1" x14ac:dyDescent="0.25">
      <c r="A209" s="146" t="s">
        <v>6026</v>
      </c>
      <c r="B209" s="145" t="s">
        <v>6018</v>
      </c>
      <c r="C209" s="145" t="str">
        <f t="array" ref="C209">IFERROR(INDEX($B$36:$B$266, MATCH(0, COUNTIF($C$35:C208, $B$36:$B$266&amp;"") + IF($B$36:$B$266="",1,0), 0)), "")</f>
        <v/>
      </c>
      <c r="D209" s="145" t="s">
        <v>6019</v>
      </c>
    </row>
    <row r="210" spans="1:4" s="9" customFormat="1" x14ac:dyDescent="0.25">
      <c r="A210" s="146" t="s">
        <v>6027</v>
      </c>
      <c r="B210" s="145" t="s">
        <v>6012</v>
      </c>
      <c r="C210" s="145" t="str">
        <f t="array" ref="C210">IFERROR(INDEX($B$36:$B$266, MATCH(0, COUNTIF($C$35:C209, $B$36:$B$266&amp;"") + IF($B$36:$B$266="",1,0), 0)), "")</f>
        <v/>
      </c>
      <c r="D210" s="145" t="s">
        <v>6013</v>
      </c>
    </row>
    <row r="211" spans="1:4" s="9" customFormat="1" x14ac:dyDescent="0.25">
      <c r="A211" s="146" t="s">
        <v>6028</v>
      </c>
      <c r="B211" s="145" t="s">
        <v>5934</v>
      </c>
      <c r="C211" s="145" t="str">
        <f t="array" ref="C211">IFERROR(INDEX($B$36:$B$266, MATCH(0, COUNTIF($C$35:C210, $B$36:$B$266&amp;"") + IF($B$36:$B$266="",1,0), 0)), "")</f>
        <v/>
      </c>
      <c r="D211" s="145" t="s">
        <v>5935</v>
      </c>
    </row>
    <row r="212" spans="1:4" s="9" customFormat="1" x14ac:dyDescent="0.25">
      <c r="A212" s="146" t="s">
        <v>6029</v>
      </c>
      <c r="B212" s="145" t="s">
        <v>5934</v>
      </c>
      <c r="C212" s="145" t="str">
        <f t="array" ref="C212">IFERROR(INDEX($B$36:$B$266, MATCH(0, COUNTIF($C$35:C211, $B$36:$B$266&amp;"") + IF($B$36:$B$266="",1,0), 0)), "")</f>
        <v/>
      </c>
      <c r="D212" s="145" t="s">
        <v>5935</v>
      </c>
    </row>
    <row r="213" spans="1:4" s="9" customFormat="1" x14ac:dyDescent="0.25">
      <c r="A213" s="146" t="s">
        <v>6030</v>
      </c>
      <c r="B213" s="145" t="s">
        <v>5934</v>
      </c>
      <c r="C213" s="145" t="str">
        <f t="array" ref="C213">IFERROR(INDEX($B$36:$B$266, MATCH(0, COUNTIF($C$35:C212, $B$36:$B$266&amp;"") + IF($B$36:$B$266="",1,0), 0)), "")</f>
        <v/>
      </c>
      <c r="D213" s="145" t="s">
        <v>5935</v>
      </c>
    </row>
    <row r="214" spans="1:4" s="9" customFormat="1" x14ac:dyDescent="0.25">
      <c r="A214" s="146" t="s">
        <v>6031</v>
      </c>
      <c r="B214" s="145" t="s">
        <v>6032</v>
      </c>
      <c r="C214" s="145" t="str">
        <f t="array" ref="C214">IFERROR(INDEX($B$36:$B$266, MATCH(0, COUNTIF($C$35:C213, $B$36:$B$266&amp;"") + IF($B$36:$B$266="",1,0), 0)), "")</f>
        <v/>
      </c>
      <c r="D214" s="145" t="s">
        <v>6033</v>
      </c>
    </row>
    <row r="215" spans="1:4" s="9" customFormat="1" x14ac:dyDescent="0.25">
      <c r="A215" s="146" t="s">
        <v>6034</v>
      </c>
      <c r="B215" s="145" t="s">
        <v>5934</v>
      </c>
      <c r="C215" s="145" t="str">
        <f t="array" ref="C215">IFERROR(INDEX($B$36:$B$266, MATCH(0, COUNTIF($C$35:C214, $B$36:$B$266&amp;"") + IF($B$36:$B$266="",1,0), 0)), "")</f>
        <v/>
      </c>
      <c r="D215" s="145" t="s">
        <v>5935</v>
      </c>
    </row>
    <row r="216" spans="1:4" s="9" customFormat="1" x14ac:dyDescent="0.25">
      <c r="A216" s="146" t="s">
        <v>6035</v>
      </c>
      <c r="B216" s="145" t="s">
        <v>5934</v>
      </c>
      <c r="C216" s="145" t="str">
        <f t="array" ref="C216">IFERROR(INDEX($B$36:$B$266, MATCH(0, COUNTIF($C$35:C215, $B$36:$B$266&amp;"") + IF($B$36:$B$266="",1,0), 0)), "")</f>
        <v/>
      </c>
      <c r="D216" s="145" t="s">
        <v>5935</v>
      </c>
    </row>
    <row r="217" spans="1:4" s="9" customFormat="1" x14ac:dyDescent="0.25">
      <c r="A217" s="146" t="s">
        <v>6036</v>
      </c>
      <c r="B217" s="145" t="s">
        <v>6032</v>
      </c>
      <c r="C217" s="145" t="str">
        <f t="array" ref="C217">IFERROR(INDEX($B$36:$B$266, MATCH(0, COUNTIF($C$35:C216, $B$36:$B$266&amp;"") + IF($B$36:$B$266="",1,0), 0)), "")</f>
        <v/>
      </c>
      <c r="D217" s="145" t="s">
        <v>6033</v>
      </c>
    </row>
    <row r="218" spans="1:4" s="9" customFormat="1" x14ac:dyDescent="0.25">
      <c r="A218" s="146" t="s">
        <v>6037</v>
      </c>
      <c r="B218" s="145" t="s">
        <v>5934</v>
      </c>
      <c r="C218" s="145" t="str">
        <f t="array" ref="C218">IFERROR(INDEX($B$36:$B$266, MATCH(0, COUNTIF($C$35:C217, $B$36:$B$266&amp;"") + IF($B$36:$B$266="",1,0), 0)), "")</f>
        <v/>
      </c>
      <c r="D218" s="145" t="s">
        <v>5935</v>
      </c>
    </row>
    <row r="219" spans="1:4" s="9" customFormat="1" x14ac:dyDescent="0.25">
      <c r="A219" s="146" t="s">
        <v>6038</v>
      </c>
      <c r="B219" s="145" t="s">
        <v>5934</v>
      </c>
      <c r="C219" s="145" t="str">
        <f t="array" ref="C219">IFERROR(INDEX($B$36:$B$266, MATCH(0, COUNTIF($C$35:C218, $B$36:$B$266&amp;"") + IF($B$36:$B$266="",1,0), 0)), "")</f>
        <v/>
      </c>
      <c r="D219" s="145" t="s">
        <v>5935</v>
      </c>
    </row>
    <row r="220" spans="1:4" s="9" customFormat="1" x14ac:dyDescent="0.25">
      <c r="A220" s="146" t="s">
        <v>6039</v>
      </c>
      <c r="B220" s="145" t="s">
        <v>6040</v>
      </c>
      <c r="C220" s="145" t="str">
        <f t="array" ref="C220">IFERROR(INDEX($B$36:$B$266, MATCH(0, COUNTIF($C$35:C219, $B$36:$B$266&amp;"") + IF($B$36:$B$266="",1,0), 0)), "")</f>
        <v/>
      </c>
      <c r="D220" s="145" t="s">
        <v>6041</v>
      </c>
    </row>
    <row r="221" spans="1:4" s="9" customFormat="1" x14ac:dyDescent="0.25">
      <c r="A221" s="146" t="s">
        <v>6042</v>
      </c>
      <c r="B221" s="145" t="s">
        <v>6043</v>
      </c>
      <c r="C221" s="145" t="str">
        <f t="array" ref="C221">IFERROR(INDEX($B$36:$B$266, MATCH(0, COUNTIF($C$35:C220, $B$36:$B$266&amp;"") + IF($B$36:$B$266="",1,0), 0)), "")</f>
        <v/>
      </c>
      <c r="D221" s="145" t="s">
        <v>6044</v>
      </c>
    </row>
    <row r="222" spans="1:4" s="9" customFormat="1" x14ac:dyDescent="0.25">
      <c r="A222" s="146" t="s">
        <v>6045</v>
      </c>
      <c r="B222" s="145" t="s">
        <v>6040</v>
      </c>
      <c r="C222" s="145" t="str">
        <f t="array" ref="C222">IFERROR(INDEX($B$36:$B$266, MATCH(0, COUNTIF($C$35:C221, $B$36:$B$266&amp;"") + IF($B$36:$B$266="",1,0), 0)), "")</f>
        <v/>
      </c>
      <c r="D222" s="145" t="s">
        <v>6041</v>
      </c>
    </row>
    <row r="223" spans="1:4" s="9" customFormat="1" x14ac:dyDescent="0.25">
      <c r="A223" s="146" t="s">
        <v>6046</v>
      </c>
      <c r="B223" s="145" t="s">
        <v>6043</v>
      </c>
      <c r="C223" s="145" t="str">
        <f t="array" ref="C223">IFERROR(INDEX($B$36:$B$266, MATCH(0, COUNTIF($C$35:C222, $B$36:$B$266&amp;"") + IF($B$36:$B$266="",1,0), 0)), "")</f>
        <v/>
      </c>
      <c r="D223" s="145" t="s">
        <v>6044</v>
      </c>
    </row>
    <row r="224" spans="1:4" s="9" customFormat="1" x14ac:dyDescent="0.25">
      <c r="A224" s="146" t="s">
        <v>6047</v>
      </c>
      <c r="B224" s="145" t="s">
        <v>6040</v>
      </c>
      <c r="C224" s="145" t="str">
        <f t="array" ref="C224">IFERROR(INDEX($B$36:$B$266, MATCH(0, COUNTIF($C$35:C223, $B$36:$B$266&amp;"") + IF($B$36:$B$266="",1,0), 0)), "")</f>
        <v/>
      </c>
      <c r="D224" s="145" t="s">
        <v>6041</v>
      </c>
    </row>
    <row r="225" spans="1:4" s="9" customFormat="1" x14ac:dyDescent="0.25">
      <c r="A225" s="146" t="s">
        <v>6048</v>
      </c>
      <c r="B225" s="145" t="s">
        <v>6043</v>
      </c>
      <c r="C225" s="145" t="str">
        <f t="array" ref="C225">IFERROR(INDEX($B$36:$B$266, MATCH(0, COUNTIF($C$35:C224, $B$36:$B$266&amp;"") + IF($B$36:$B$266="",1,0), 0)), "")</f>
        <v/>
      </c>
      <c r="D225" s="145" t="s">
        <v>6044</v>
      </c>
    </row>
    <row r="226" spans="1:4" s="9" customFormat="1" x14ac:dyDescent="0.25">
      <c r="A226" s="146" t="s">
        <v>6049</v>
      </c>
      <c r="B226" s="145" t="s">
        <v>6040</v>
      </c>
      <c r="C226" s="145" t="str">
        <f t="array" ref="C226">IFERROR(INDEX($B$36:$B$266, MATCH(0, COUNTIF($C$35:C225, $B$36:$B$266&amp;"") + IF($B$36:$B$266="",1,0), 0)), "")</f>
        <v/>
      </c>
      <c r="D226" s="145" t="s">
        <v>6041</v>
      </c>
    </row>
    <row r="227" spans="1:4" s="9" customFormat="1" x14ac:dyDescent="0.25">
      <c r="A227" s="146" t="s">
        <v>6050</v>
      </c>
      <c r="B227" s="145" t="s">
        <v>6040</v>
      </c>
      <c r="C227" s="145" t="str">
        <f t="array" ref="C227">IFERROR(INDEX($B$36:$B$266, MATCH(0, COUNTIF($C$35:C226, $B$36:$B$266&amp;"") + IF($B$36:$B$266="",1,0), 0)), "")</f>
        <v/>
      </c>
      <c r="D227" s="145" t="s">
        <v>6041</v>
      </c>
    </row>
    <row r="228" spans="1:4" s="9" customFormat="1" x14ac:dyDescent="0.25">
      <c r="A228" s="146" t="s">
        <v>6051</v>
      </c>
      <c r="B228" s="145" t="s">
        <v>6040</v>
      </c>
      <c r="C228" s="145" t="str">
        <f t="array" ref="C228">IFERROR(INDEX($B$36:$B$266, MATCH(0, COUNTIF($C$35:C227, $B$36:$B$266&amp;"") + IF($B$36:$B$266="",1,0), 0)), "")</f>
        <v/>
      </c>
      <c r="D228" s="145" t="s">
        <v>6041</v>
      </c>
    </row>
    <row r="229" spans="1:4" s="9" customFormat="1" x14ac:dyDescent="0.25">
      <c r="A229" s="146" t="s">
        <v>6052</v>
      </c>
      <c r="B229" s="145" t="s">
        <v>6043</v>
      </c>
      <c r="C229" s="145" t="str">
        <f t="array" ref="C229">IFERROR(INDEX($B$36:$B$266, MATCH(0, COUNTIF($C$35:C228, $B$36:$B$266&amp;"") + IF($B$36:$B$266="",1,0), 0)), "")</f>
        <v/>
      </c>
      <c r="D229" s="145" t="s">
        <v>6044</v>
      </c>
    </row>
    <row r="230" spans="1:4" s="9" customFormat="1" x14ac:dyDescent="0.25">
      <c r="A230" s="146" t="s">
        <v>6053</v>
      </c>
      <c r="B230" s="145" t="s">
        <v>6040</v>
      </c>
      <c r="C230" s="145" t="str">
        <f t="array" ref="C230">IFERROR(INDEX($B$36:$B$266, MATCH(0, COUNTIF($C$35:C229, $B$36:$B$266&amp;"") + IF($B$36:$B$266="",1,0), 0)), "")</f>
        <v/>
      </c>
      <c r="D230" s="145" t="s">
        <v>6041</v>
      </c>
    </row>
    <row r="231" spans="1:4" s="9" customFormat="1" x14ac:dyDescent="0.25">
      <c r="A231" s="146" t="s">
        <v>6054</v>
      </c>
      <c r="B231" s="145" t="s">
        <v>6043</v>
      </c>
      <c r="C231" s="145" t="str">
        <f t="array" ref="C231">IFERROR(INDEX($B$36:$B$266, MATCH(0, COUNTIF($C$35:C230, $B$36:$B$266&amp;"") + IF($B$36:$B$266="",1,0), 0)), "")</f>
        <v/>
      </c>
      <c r="D231" s="145" t="s">
        <v>6044</v>
      </c>
    </row>
    <row r="232" spans="1:4" s="9" customFormat="1" x14ac:dyDescent="0.25">
      <c r="A232" s="146" t="s">
        <v>6055</v>
      </c>
      <c r="B232" s="145" t="s">
        <v>6040</v>
      </c>
      <c r="C232" s="145" t="str">
        <f t="array" ref="C232">IFERROR(INDEX($B$36:$B$266, MATCH(0, COUNTIF($C$35:C231, $B$36:$B$266&amp;"") + IF($B$36:$B$266="",1,0), 0)), "")</f>
        <v/>
      </c>
      <c r="D232" s="145" t="s">
        <v>6041</v>
      </c>
    </row>
    <row r="233" spans="1:4" s="9" customFormat="1" x14ac:dyDescent="0.25">
      <c r="A233" s="146" t="s">
        <v>6056</v>
      </c>
      <c r="B233" s="145" t="s">
        <v>6043</v>
      </c>
      <c r="C233" s="145" t="str">
        <f t="array" ref="C233">IFERROR(INDEX($B$36:$B$266, MATCH(0, COUNTIF($C$35:C232, $B$36:$B$266&amp;"") + IF($B$36:$B$266="",1,0), 0)), "")</f>
        <v/>
      </c>
      <c r="D233" s="145" t="s">
        <v>6044</v>
      </c>
    </row>
    <row r="234" spans="1:4" s="9" customFormat="1" x14ac:dyDescent="0.25">
      <c r="A234" s="146" t="s">
        <v>6057</v>
      </c>
      <c r="B234" s="145" t="s">
        <v>6040</v>
      </c>
      <c r="C234" s="145" t="str">
        <f t="array" ref="C234">IFERROR(INDEX($B$36:$B$266, MATCH(0, COUNTIF($C$35:C233, $B$36:$B$266&amp;"") + IF($B$36:$B$266="",1,0), 0)), "")</f>
        <v/>
      </c>
      <c r="D234" s="145" t="s">
        <v>6041</v>
      </c>
    </row>
    <row r="235" spans="1:4" s="9" customFormat="1" x14ac:dyDescent="0.25">
      <c r="A235" s="146" t="s">
        <v>6058</v>
      </c>
      <c r="B235" s="145" t="s">
        <v>6040</v>
      </c>
      <c r="C235" s="145" t="str">
        <f t="array" ref="C235">IFERROR(INDEX($B$36:$B$266, MATCH(0, COUNTIF($C$35:C234, $B$36:$B$266&amp;"") + IF($B$36:$B$266="",1,0), 0)), "")</f>
        <v/>
      </c>
      <c r="D235" s="145" t="s">
        <v>6041</v>
      </c>
    </row>
    <row r="236" spans="1:4" s="9" customFormat="1" x14ac:dyDescent="0.25">
      <c r="A236" s="146" t="s">
        <v>6059</v>
      </c>
      <c r="B236" s="145" t="s">
        <v>6040</v>
      </c>
      <c r="C236" s="145" t="str">
        <f t="array" ref="C236">IFERROR(INDEX($B$36:$B$266, MATCH(0, COUNTIF($C$35:C235, $B$36:$B$266&amp;"") + IF($B$36:$B$266="",1,0), 0)), "")</f>
        <v/>
      </c>
      <c r="D236" s="145" t="s">
        <v>6041</v>
      </c>
    </row>
    <row r="237" spans="1:4" s="9" customFormat="1" x14ac:dyDescent="0.25">
      <c r="A237" s="146" t="s">
        <v>6060</v>
      </c>
      <c r="B237" s="145" t="s">
        <v>6043</v>
      </c>
      <c r="C237" s="145" t="str">
        <f t="array" ref="C237">IFERROR(INDEX($B$36:$B$266, MATCH(0, COUNTIF($C$35:C236, $B$36:$B$266&amp;"") + IF($B$36:$B$266="",1,0), 0)), "")</f>
        <v/>
      </c>
      <c r="D237" s="145" t="s">
        <v>6044</v>
      </c>
    </row>
    <row r="238" spans="1:4" s="9" customFormat="1" x14ac:dyDescent="0.25">
      <c r="A238" s="146" t="s">
        <v>6061</v>
      </c>
      <c r="B238" s="145" t="s">
        <v>6040</v>
      </c>
      <c r="C238" s="145" t="str">
        <f t="array" ref="C238">IFERROR(INDEX($B$36:$B$266, MATCH(0, COUNTIF($C$35:C237, $B$36:$B$266&amp;"") + IF($B$36:$B$266="",1,0), 0)), "")</f>
        <v/>
      </c>
      <c r="D238" s="145" t="s">
        <v>6041</v>
      </c>
    </row>
    <row r="239" spans="1:4" s="9" customFormat="1" x14ac:dyDescent="0.25">
      <c r="A239" s="146" t="s">
        <v>6062</v>
      </c>
      <c r="B239" s="145" t="s">
        <v>6043</v>
      </c>
      <c r="C239" s="145" t="str">
        <f t="array" ref="C239">IFERROR(INDEX($B$36:$B$266, MATCH(0, COUNTIF($C$35:C238, $B$36:$B$266&amp;"") + IF($B$36:$B$266="",1,0), 0)), "")</f>
        <v/>
      </c>
      <c r="D239" s="145" t="s">
        <v>6044</v>
      </c>
    </row>
    <row r="240" spans="1:4" s="9" customFormat="1" x14ac:dyDescent="0.25">
      <c r="A240" s="146" t="s">
        <v>6063</v>
      </c>
      <c r="B240" s="145" t="s">
        <v>5788</v>
      </c>
      <c r="C240" s="145" t="str">
        <f t="array" ref="C240">IFERROR(INDEX($B$36:$B$266, MATCH(0, COUNTIF($C$35:C239, $B$36:$B$266&amp;"") + IF($B$36:$B$266="",1,0), 0)), "")</f>
        <v/>
      </c>
      <c r="D240" s="145" t="s">
        <v>6064</v>
      </c>
    </row>
    <row r="241" spans="1:4" s="9" customFormat="1" x14ac:dyDescent="0.25">
      <c r="A241" s="146" t="s">
        <v>6065</v>
      </c>
      <c r="B241" s="145" t="s">
        <v>5788</v>
      </c>
      <c r="C241" s="145" t="str">
        <f t="array" ref="C241">IFERROR(INDEX($B$36:$B$266, MATCH(0, COUNTIF($C$35:C240, $B$36:$B$266&amp;"") + IF($B$36:$B$266="",1,0), 0)), "")</f>
        <v/>
      </c>
      <c r="D241" s="145" t="s">
        <v>6064</v>
      </c>
    </row>
    <row r="242" spans="1:4" s="9" customFormat="1" x14ac:dyDescent="0.25">
      <c r="A242" s="146" t="s">
        <v>6066</v>
      </c>
      <c r="B242" s="145" t="s">
        <v>5788</v>
      </c>
      <c r="C242" s="145" t="str">
        <f t="array" ref="C242">IFERROR(INDEX($B$36:$B$266, MATCH(0, COUNTIF($C$35:C241, $B$36:$B$266&amp;"") + IF($B$36:$B$266="",1,0), 0)), "")</f>
        <v/>
      </c>
      <c r="D242" s="145" t="s">
        <v>6064</v>
      </c>
    </row>
    <row r="243" spans="1:4" s="9" customFormat="1" x14ac:dyDescent="0.25">
      <c r="A243" s="146" t="s">
        <v>6067</v>
      </c>
      <c r="B243" s="145" t="s">
        <v>5788</v>
      </c>
      <c r="C243" s="145" t="str">
        <f t="array" ref="C243">IFERROR(INDEX($B$36:$B$266, MATCH(0, COUNTIF($C$35:C242, $B$36:$B$266&amp;"") + IF($B$36:$B$266="",1,0), 0)), "")</f>
        <v/>
      </c>
      <c r="D243" s="145" t="s">
        <v>6064</v>
      </c>
    </row>
    <row r="244" spans="1:4" s="9" customFormat="1" x14ac:dyDescent="0.25">
      <c r="A244" s="146" t="s">
        <v>6068</v>
      </c>
      <c r="B244" s="145" t="s">
        <v>6069</v>
      </c>
      <c r="C244" s="145" t="str">
        <f t="array" ref="C244">IFERROR(INDEX($B$36:$B$266, MATCH(0, COUNTIF($C$35:C243, $B$36:$B$266&amp;"") + IF($B$36:$B$266="",1,0), 0)), "")</f>
        <v/>
      </c>
      <c r="D244" s="145" t="s">
        <v>6070</v>
      </c>
    </row>
    <row r="245" spans="1:4" s="9" customFormat="1" x14ac:dyDescent="0.25">
      <c r="A245" s="146" t="s">
        <v>6071</v>
      </c>
      <c r="B245" s="145" t="s">
        <v>5788</v>
      </c>
      <c r="C245" s="145" t="str">
        <f t="array" ref="C245">IFERROR(INDEX($B$36:$B$266, MATCH(0, COUNTIF($C$35:C244, $B$36:$B$266&amp;"") + IF($B$36:$B$266="",1,0), 0)), "")</f>
        <v/>
      </c>
      <c r="D245" s="145" t="s">
        <v>6064</v>
      </c>
    </row>
    <row r="246" spans="1:4" s="9" customFormat="1" x14ac:dyDescent="0.25">
      <c r="A246" s="146" t="s">
        <v>6072</v>
      </c>
      <c r="B246" s="145" t="s">
        <v>5788</v>
      </c>
      <c r="C246" s="145" t="str">
        <f t="array" ref="C246">IFERROR(INDEX($B$36:$B$266, MATCH(0, COUNTIF($C$35:C245, $B$36:$B$266&amp;"") + IF($B$36:$B$266="",1,0), 0)), "")</f>
        <v/>
      </c>
      <c r="D246" s="145" t="s">
        <v>6064</v>
      </c>
    </row>
    <row r="247" spans="1:4" s="9" customFormat="1" x14ac:dyDescent="0.25">
      <c r="A247" s="146" t="s">
        <v>6073</v>
      </c>
      <c r="B247" s="145" t="s">
        <v>5788</v>
      </c>
      <c r="C247" s="145" t="str">
        <f t="array" ref="C247">IFERROR(INDEX($B$36:$B$266, MATCH(0, COUNTIF($C$35:C246, $B$36:$B$266&amp;"") + IF($B$36:$B$266="",1,0), 0)), "")</f>
        <v/>
      </c>
      <c r="D247" s="145" t="s">
        <v>6064</v>
      </c>
    </row>
    <row r="248" spans="1:4" s="9" customFormat="1" x14ac:dyDescent="0.25">
      <c r="A248" s="146" t="s">
        <v>6074</v>
      </c>
      <c r="B248" s="145" t="s">
        <v>5788</v>
      </c>
      <c r="C248" s="145" t="str">
        <f t="array" ref="C248">IFERROR(INDEX($B$36:$B$266, MATCH(0, COUNTIF($C$35:C247, $B$36:$B$266&amp;"") + IF($B$36:$B$266="",1,0), 0)), "")</f>
        <v/>
      </c>
      <c r="D248" s="145" t="s">
        <v>6064</v>
      </c>
    </row>
    <row r="249" spans="1:4" s="9" customFormat="1" x14ac:dyDescent="0.25">
      <c r="A249" s="146" t="s">
        <v>6075</v>
      </c>
      <c r="B249" s="145" t="s">
        <v>6069</v>
      </c>
      <c r="C249" s="145" t="str">
        <f t="array" ref="C249">IFERROR(INDEX($B$36:$B$266, MATCH(0, COUNTIF($C$35:C248, $B$36:$B$266&amp;"") + IF($B$36:$B$266="",1,0), 0)), "")</f>
        <v/>
      </c>
      <c r="D249" s="145" t="s">
        <v>6070</v>
      </c>
    </row>
    <row r="250" spans="1:4" s="9" customFormat="1" x14ac:dyDescent="0.25">
      <c r="A250" s="146" t="s">
        <v>6076</v>
      </c>
      <c r="B250" s="145" t="s">
        <v>6069</v>
      </c>
      <c r="C250" s="145" t="str">
        <f t="array" ref="C250">IFERROR(INDEX($B$36:$B$266, MATCH(0, COUNTIF($C$35:C249, $B$36:$B$266&amp;"") + IF($B$36:$B$266="",1,0), 0)), "")</f>
        <v/>
      </c>
      <c r="D250" s="145" t="s">
        <v>6070</v>
      </c>
    </row>
    <row r="251" spans="1:4" s="9" customFormat="1" x14ac:dyDescent="0.25">
      <c r="A251" s="146" t="s">
        <v>6077</v>
      </c>
      <c r="B251" s="145" t="s">
        <v>6078</v>
      </c>
      <c r="C251" s="145" t="str">
        <f t="array" ref="C251">IFERROR(INDEX($B$36:$B$266, MATCH(0, COUNTIF($C$35:C250, $B$36:$B$266&amp;"") + IF($B$36:$B$266="",1,0), 0)), "")</f>
        <v/>
      </c>
      <c r="D251" s="145" t="s">
        <v>6079</v>
      </c>
    </row>
    <row r="252" spans="1:4" s="9" customFormat="1" x14ac:dyDescent="0.25">
      <c r="A252" s="146" t="s">
        <v>6080</v>
      </c>
      <c r="B252" s="145" t="s">
        <v>6081</v>
      </c>
      <c r="C252" s="145" t="str">
        <f t="array" ref="C252">IFERROR(INDEX($B$36:$B$266, MATCH(0, COUNTIF($C$35:C251, $B$36:$B$266&amp;"") + IF($B$36:$B$266="",1,0), 0)), "")</f>
        <v/>
      </c>
      <c r="D252" s="145" t="s">
        <v>6082</v>
      </c>
    </row>
    <row r="253" spans="1:4" s="9" customFormat="1" x14ac:dyDescent="0.25">
      <c r="A253" s="146" t="s">
        <v>6083</v>
      </c>
      <c r="B253" s="145" t="s">
        <v>6084</v>
      </c>
      <c r="C253" s="145" t="str">
        <f t="array" ref="C253">IFERROR(INDEX($B$36:$B$266, MATCH(0, COUNTIF($C$35:C252, $B$36:$B$266&amp;"") + IF($B$36:$B$266="",1,0), 0)), "")</f>
        <v/>
      </c>
      <c r="D253" s="145" t="s">
        <v>6085</v>
      </c>
    </row>
    <row r="254" spans="1:4" s="9" customFormat="1" x14ac:dyDescent="0.25">
      <c r="A254" s="146" t="s">
        <v>6086</v>
      </c>
      <c r="B254" s="145" t="s">
        <v>6087</v>
      </c>
      <c r="C254" s="145" t="str">
        <f t="array" ref="C254">IFERROR(INDEX($B$36:$B$266, MATCH(0, COUNTIF($C$35:C253, $B$36:$B$266&amp;"") + IF($B$36:$B$266="",1,0), 0)), "")</f>
        <v/>
      </c>
      <c r="D254" s="145" t="s">
        <v>6088</v>
      </c>
    </row>
    <row r="255" spans="1:4" s="9" customFormat="1" x14ac:dyDescent="0.25">
      <c r="A255" s="146" t="s">
        <v>6089</v>
      </c>
      <c r="B255" s="145" t="s">
        <v>6090</v>
      </c>
      <c r="C255" s="145" t="str">
        <f t="array" ref="C255">IFERROR(INDEX($B$36:$B$266, MATCH(0, COUNTIF($C$35:C254, $B$36:$B$266&amp;"") + IF($B$36:$B$266="",1,0), 0)), "")</f>
        <v/>
      </c>
      <c r="D255" s="145" t="s">
        <v>6091</v>
      </c>
    </row>
    <row r="256" spans="1:4" s="9" customFormat="1" x14ac:dyDescent="0.25">
      <c r="A256" s="146" t="s">
        <v>6092</v>
      </c>
      <c r="B256" s="145" t="s">
        <v>6081</v>
      </c>
      <c r="C256" s="145" t="str">
        <f t="array" ref="C256">IFERROR(INDEX($B$36:$B$266, MATCH(0, COUNTIF($C$35:C255, $B$36:$B$266&amp;"") + IF($B$36:$B$266="",1,0), 0)), "")</f>
        <v/>
      </c>
      <c r="D256" s="145" t="s">
        <v>6082</v>
      </c>
    </row>
    <row r="257" spans="1:4" s="9" customFormat="1" x14ac:dyDescent="0.25">
      <c r="A257" s="146" t="s">
        <v>6093</v>
      </c>
      <c r="B257" s="145" t="s">
        <v>6094</v>
      </c>
      <c r="C257" s="145" t="str">
        <f t="array" ref="C257">IFERROR(INDEX($B$36:$B$266, MATCH(0, COUNTIF($C$35:C256, $B$36:$B$266&amp;"") + IF($B$36:$B$266="",1,0), 0)), "")</f>
        <v/>
      </c>
      <c r="D257" s="145" t="s">
        <v>6095</v>
      </c>
    </row>
    <row r="258" spans="1:4" s="9" customFormat="1" x14ac:dyDescent="0.25">
      <c r="A258" s="146" t="s">
        <v>6096</v>
      </c>
      <c r="B258" s="145" t="s">
        <v>6097</v>
      </c>
      <c r="C258" s="145" t="str">
        <f t="array" ref="C258">IFERROR(INDEX($B$36:$B$266, MATCH(0, COUNTIF($C$35:C257, $B$36:$B$266&amp;"") + IF($B$36:$B$266="",1,0), 0)), "")</f>
        <v/>
      </c>
      <c r="D258" s="145" t="s">
        <v>6098</v>
      </c>
    </row>
    <row r="259" spans="1:4" s="9" customFormat="1" x14ac:dyDescent="0.25">
      <c r="A259" s="146" t="s">
        <v>6099</v>
      </c>
      <c r="B259" s="145" t="s">
        <v>6100</v>
      </c>
      <c r="C259" s="145" t="str">
        <f t="array" ref="C259">IFERROR(INDEX($B$36:$B$266, MATCH(0, COUNTIF($C$35:C258, $B$36:$B$266&amp;"") + IF($B$36:$B$266="",1,0), 0)), "")</f>
        <v/>
      </c>
      <c r="D259" s="145" t="s">
        <v>6101</v>
      </c>
    </row>
    <row r="260" spans="1:4" s="9" customFormat="1" x14ac:dyDescent="0.25">
      <c r="A260" s="146" t="s">
        <v>6102</v>
      </c>
      <c r="B260" s="145" t="s">
        <v>6084</v>
      </c>
      <c r="C260" s="145" t="str">
        <f t="array" ref="C260">IFERROR(INDEX($B$36:$B$266, MATCH(0, COUNTIF($C$35:C259, $B$36:$B$266&amp;"") + IF($B$36:$B$266="",1,0), 0)), "")</f>
        <v/>
      </c>
      <c r="D260" s="145" t="s">
        <v>6085</v>
      </c>
    </row>
    <row r="261" spans="1:4" s="9" customFormat="1" x14ac:dyDescent="0.25">
      <c r="A261" s="146" t="s">
        <v>6103</v>
      </c>
      <c r="B261" s="145" t="s">
        <v>6094</v>
      </c>
      <c r="C261" s="145" t="str">
        <f t="array" ref="C261">IFERROR(INDEX($B$36:$B$266, MATCH(0, COUNTIF($C$35:C260, $B$36:$B$266&amp;"") + IF($B$36:$B$266="",1,0), 0)), "")</f>
        <v/>
      </c>
      <c r="D261" s="145" t="s">
        <v>6095</v>
      </c>
    </row>
    <row r="262" spans="1:4" s="9" customFormat="1" x14ac:dyDescent="0.25">
      <c r="A262" s="146" t="s">
        <v>6104</v>
      </c>
      <c r="B262" s="145" t="s">
        <v>6081</v>
      </c>
      <c r="C262" s="145" t="str">
        <f t="array" ref="C262">IFERROR(INDEX($B$36:$B$266, MATCH(0, COUNTIF($C$35:C261, $B$36:$B$266&amp;"") + IF($B$36:$B$266="",1,0), 0)), "")</f>
        <v/>
      </c>
      <c r="D262" s="145" t="s">
        <v>6082</v>
      </c>
    </row>
    <row r="263" spans="1:4" s="9" customFormat="1" x14ac:dyDescent="0.25">
      <c r="A263" s="146" t="s">
        <v>6105</v>
      </c>
      <c r="B263" s="145" t="s">
        <v>6100</v>
      </c>
      <c r="C263" s="145" t="str">
        <f t="array" ref="C263">IFERROR(INDEX($B$36:$B$266, MATCH(0, COUNTIF($C$35:C262, $B$36:$B$266&amp;"") + IF($B$36:$B$266="",1,0), 0)), "")</f>
        <v/>
      </c>
      <c r="D263" s="145" t="s">
        <v>6101</v>
      </c>
    </row>
    <row r="264" spans="1:4" s="9" customFormat="1" x14ac:dyDescent="0.25">
      <c r="A264" s="146" t="s">
        <v>6106</v>
      </c>
      <c r="B264" s="145" t="s">
        <v>6078</v>
      </c>
      <c r="C264" s="145" t="str">
        <f t="array" ref="C264">IFERROR(INDEX($B$36:$B$266, MATCH(0, COUNTIF($C$35:C263, $B$36:$B$266&amp;"") + IF($B$36:$B$266="",1,0), 0)), "")</f>
        <v/>
      </c>
      <c r="D264" s="145" t="s">
        <v>6079</v>
      </c>
    </row>
    <row r="265" spans="1:4" s="9" customFormat="1" x14ac:dyDescent="0.25">
      <c r="A265" s="146" t="s">
        <v>6107</v>
      </c>
      <c r="B265" s="145" t="s">
        <v>6078</v>
      </c>
      <c r="C265" s="145" t="str">
        <f t="array" ref="C265">IFERROR(INDEX($B$36:$B$266, MATCH(0, COUNTIF($C$35:C264, $B$36:$B$266&amp;"") + IF($B$36:$B$266="",1,0), 0)), "")</f>
        <v/>
      </c>
      <c r="D265" s="145" t="s">
        <v>6079</v>
      </c>
    </row>
    <row r="269" spans="1:4" x14ac:dyDescent="0.25">
      <c r="B269" s="8"/>
    </row>
    <row r="270" spans="1:4" x14ac:dyDescent="0.25">
      <c r="A270" s="9"/>
      <c r="B270" s="8"/>
    </row>
    <row r="271" spans="1:4" x14ac:dyDescent="0.25">
      <c r="A271" s="9"/>
      <c r="B271" s="8"/>
    </row>
    <row r="272" spans="1:4" x14ac:dyDescent="0.25">
      <c r="A272" s="9"/>
      <c r="B272" s="8"/>
    </row>
    <row r="273" spans="1:2" x14ac:dyDescent="0.25">
      <c r="A273" s="9"/>
      <c r="B273" s="8"/>
    </row>
    <row r="274" spans="1:2" x14ac:dyDescent="0.25">
      <c r="A274" s="9"/>
      <c r="B274" s="8"/>
    </row>
    <row r="275" spans="1:2" x14ac:dyDescent="0.25">
      <c r="A275" s="9"/>
      <c r="B275" s="8"/>
    </row>
    <row r="276" spans="1:2" x14ac:dyDescent="0.25">
      <c r="A276" s="9"/>
      <c r="B276" s="8"/>
    </row>
    <row r="277" spans="1:2" x14ac:dyDescent="0.25">
      <c r="A277" s="9"/>
      <c r="B277" s="8"/>
    </row>
    <row r="278" spans="1:2" x14ac:dyDescent="0.25">
      <c r="A278" s="9"/>
      <c r="B278" s="8"/>
    </row>
    <row r="279" spans="1:2" x14ac:dyDescent="0.25">
      <c r="A279" s="9"/>
      <c r="B279" s="8"/>
    </row>
    <row r="280" spans="1:2" x14ac:dyDescent="0.25">
      <c r="A280" s="9"/>
      <c r="B280" s="8"/>
    </row>
    <row r="281" spans="1:2" x14ac:dyDescent="0.25">
      <c r="A281" s="9"/>
      <c r="B281" s="8"/>
    </row>
    <row r="282" spans="1:2" x14ac:dyDescent="0.25">
      <c r="A282" s="9"/>
      <c r="B282" s="8"/>
    </row>
    <row r="283" spans="1:2" x14ac:dyDescent="0.25">
      <c r="A283" s="9"/>
      <c r="B283" s="8"/>
    </row>
    <row r="284" spans="1:2" x14ac:dyDescent="0.25">
      <c r="A284" s="9"/>
      <c r="B284" s="8"/>
    </row>
    <row r="285" spans="1:2" x14ac:dyDescent="0.25">
      <c r="A285" s="9"/>
      <c r="B285" s="8"/>
    </row>
    <row r="286" spans="1:2" x14ac:dyDescent="0.25">
      <c r="A286" s="9"/>
      <c r="B286" s="8"/>
    </row>
    <row r="287" spans="1:2" x14ac:dyDescent="0.25">
      <c r="A287" s="9"/>
      <c r="B287" s="8"/>
    </row>
    <row r="288" spans="1:2" x14ac:dyDescent="0.25">
      <c r="A288" s="9"/>
      <c r="B288" s="8"/>
    </row>
    <row r="289" spans="1:2" x14ac:dyDescent="0.25">
      <c r="A289" s="9"/>
      <c r="B289" s="8"/>
    </row>
    <row r="290" spans="1:2" x14ac:dyDescent="0.25">
      <c r="A290" s="9"/>
      <c r="B290" s="8"/>
    </row>
    <row r="291" spans="1:2" x14ac:dyDescent="0.25">
      <c r="A291" s="9"/>
      <c r="B291" s="8"/>
    </row>
    <row r="292" spans="1:2" x14ac:dyDescent="0.25">
      <c r="A292" s="9"/>
      <c r="B292" s="8"/>
    </row>
    <row r="293" spans="1:2" x14ac:dyDescent="0.25">
      <c r="A293" s="9"/>
      <c r="B293" s="8"/>
    </row>
    <row r="294" spans="1:2" x14ac:dyDescent="0.25">
      <c r="A294" s="9"/>
      <c r="B294" s="8"/>
    </row>
    <row r="295" spans="1:2" x14ac:dyDescent="0.25">
      <c r="A295" s="9"/>
      <c r="B295" s="8"/>
    </row>
    <row r="296" spans="1:2" x14ac:dyDescent="0.25">
      <c r="A296" s="9"/>
      <c r="B296" s="8"/>
    </row>
    <row r="297" spans="1:2" x14ac:dyDescent="0.25">
      <c r="A297" s="9"/>
      <c r="B297" s="8"/>
    </row>
    <row r="298" spans="1:2" x14ac:dyDescent="0.25">
      <c r="A298" s="9"/>
      <c r="B298" s="8"/>
    </row>
    <row r="299" spans="1:2" x14ac:dyDescent="0.25">
      <c r="A299" s="9"/>
      <c r="B299" s="8"/>
    </row>
    <row r="300" spans="1:2" x14ac:dyDescent="0.25">
      <c r="A300" s="9"/>
      <c r="B300" s="8"/>
    </row>
    <row r="301" spans="1:2" x14ac:dyDescent="0.25">
      <c r="A301" s="9"/>
      <c r="B301" s="8"/>
    </row>
    <row r="302" spans="1:2" x14ac:dyDescent="0.25">
      <c r="A302" s="9"/>
      <c r="B302" s="8"/>
    </row>
    <row r="303" spans="1:2" x14ac:dyDescent="0.25">
      <c r="A303" s="9"/>
      <c r="B303" s="8"/>
    </row>
    <row r="304" spans="1:2" x14ac:dyDescent="0.25">
      <c r="A304" s="9"/>
      <c r="B304" s="8"/>
    </row>
    <row r="305" spans="1:2" x14ac:dyDescent="0.25">
      <c r="A305" s="9"/>
      <c r="B305" s="8"/>
    </row>
    <row r="306" spans="1:2" x14ac:dyDescent="0.25">
      <c r="A306" s="9"/>
      <c r="B306" s="8"/>
    </row>
    <row r="307" spans="1:2" x14ac:dyDescent="0.25">
      <c r="A307" s="9"/>
      <c r="B307" s="8"/>
    </row>
    <row r="308" spans="1:2" x14ac:dyDescent="0.25">
      <c r="A308" s="9"/>
      <c r="B308" s="8"/>
    </row>
    <row r="309" spans="1:2" x14ac:dyDescent="0.25">
      <c r="A309" s="9"/>
      <c r="B309" s="8"/>
    </row>
    <row r="310" spans="1:2" x14ac:dyDescent="0.25">
      <c r="A310" s="9"/>
      <c r="B310" s="8"/>
    </row>
    <row r="311" spans="1:2" x14ac:dyDescent="0.25">
      <c r="A311" s="9"/>
      <c r="B311" s="8"/>
    </row>
    <row r="312" spans="1:2" x14ac:dyDescent="0.25">
      <c r="A312" s="9"/>
      <c r="B312" s="8"/>
    </row>
    <row r="313" spans="1:2" x14ac:dyDescent="0.25">
      <c r="A313" s="9"/>
      <c r="B313" s="8"/>
    </row>
    <row r="314" spans="1:2" x14ac:dyDescent="0.25">
      <c r="A314" s="9"/>
      <c r="B314" s="8"/>
    </row>
    <row r="315" spans="1:2" x14ac:dyDescent="0.25">
      <c r="A315" s="9"/>
      <c r="B315" s="8"/>
    </row>
    <row r="316" spans="1:2" x14ac:dyDescent="0.25">
      <c r="A316" s="9"/>
      <c r="B316" s="8"/>
    </row>
    <row r="317" spans="1:2" x14ac:dyDescent="0.25">
      <c r="A317" s="9"/>
      <c r="B317" s="8"/>
    </row>
    <row r="318" spans="1:2" x14ac:dyDescent="0.25">
      <c r="A318" s="9"/>
      <c r="B318" s="8"/>
    </row>
    <row r="319" spans="1:2" x14ac:dyDescent="0.25">
      <c r="A319" s="9"/>
      <c r="B319" s="8"/>
    </row>
    <row r="320" spans="1:2" x14ac:dyDescent="0.25">
      <c r="A320" s="9"/>
      <c r="B320" s="8"/>
    </row>
    <row r="321" spans="1:2" x14ac:dyDescent="0.25">
      <c r="A321" s="9"/>
      <c r="B321" s="8"/>
    </row>
    <row r="322" spans="1:2" x14ac:dyDescent="0.25">
      <c r="A322" s="9"/>
      <c r="B322" s="8"/>
    </row>
    <row r="323" spans="1:2" x14ac:dyDescent="0.25">
      <c r="A323" s="9"/>
      <c r="B323" s="8"/>
    </row>
    <row r="324" spans="1:2" x14ac:dyDescent="0.25">
      <c r="A324" s="9"/>
      <c r="B324" s="8"/>
    </row>
    <row r="325" spans="1:2" x14ac:dyDescent="0.25">
      <c r="A325" s="9"/>
      <c r="B325" s="8"/>
    </row>
    <row r="326" spans="1:2" x14ac:dyDescent="0.25">
      <c r="A326" s="9"/>
      <c r="B326" s="8"/>
    </row>
    <row r="327" spans="1:2" x14ac:dyDescent="0.25">
      <c r="A327" s="9"/>
      <c r="B327" s="8"/>
    </row>
    <row r="328" spans="1:2" x14ac:dyDescent="0.25">
      <c r="A328" s="9"/>
      <c r="B328" s="8"/>
    </row>
    <row r="329" spans="1:2" x14ac:dyDescent="0.25">
      <c r="A329" s="9"/>
      <c r="B329" s="8"/>
    </row>
    <row r="330" spans="1:2" x14ac:dyDescent="0.25">
      <c r="A330" s="9"/>
      <c r="B330" s="8"/>
    </row>
    <row r="331" spans="1:2" x14ac:dyDescent="0.25">
      <c r="A331" s="9"/>
      <c r="B331" s="8"/>
    </row>
    <row r="332" spans="1:2" x14ac:dyDescent="0.25">
      <c r="A332" s="9"/>
      <c r="B332" s="8"/>
    </row>
    <row r="333" spans="1:2" x14ac:dyDescent="0.25">
      <c r="A333" s="9"/>
      <c r="B333" s="8"/>
    </row>
    <row r="334" spans="1:2" x14ac:dyDescent="0.25">
      <c r="A334" s="9"/>
      <c r="B334" s="8"/>
    </row>
    <row r="335" spans="1:2" x14ac:dyDescent="0.25">
      <c r="A335" s="9"/>
      <c r="B335" s="8"/>
    </row>
    <row r="336" spans="1:2" x14ac:dyDescent="0.25">
      <c r="A336" s="9"/>
      <c r="B336" s="8"/>
    </row>
    <row r="337" spans="1:2" x14ac:dyDescent="0.25">
      <c r="A337" s="9"/>
      <c r="B337" s="8"/>
    </row>
    <row r="338" spans="1:2" x14ac:dyDescent="0.25">
      <c r="A338" s="9"/>
      <c r="B338" s="8"/>
    </row>
    <row r="339" spans="1:2" x14ac:dyDescent="0.25">
      <c r="A339" s="9"/>
      <c r="B339" s="8"/>
    </row>
    <row r="340" spans="1:2" x14ac:dyDescent="0.25">
      <c r="A340" s="9"/>
      <c r="B340" s="8"/>
    </row>
    <row r="341" spans="1:2" x14ac:dyDescent="0.25">
      <c r="A341" s="9"/>
      <c r="B341" s="8"/>
    </row>
    <row r="342" spans="1:2" x14ac:dyDescent="0.25">
      <c r="A342" s="9"/>
      <c r="B342" s="8"/>
    </row>
    <row r="343" spans="1:2" x14ac:dyDescent="0.25">
      <c r="A343" s="9"/>
      <c r="B343" s="8"/>
    </row>
    <row r="344" spans="1:2" x14ac:dyDescent="0.25">
      <c r="A344" s="9"/>
      <c r="B344" s="8"/>
    </row>
    <row r="345" spans="1:2" x14ac:dyDescent="0.25">
      <c r="A345" s="9"/>
      <c r="B345" s="8"/>
    </row>
    <row r="346" spans="1:2" x14ac:dyDescent="0.25">
      <c r="A346" s="9"/>
      <c r="B346" s="8"/>
    </row>
    <row r="347" spans="1:2" x14ac:dyDescent="0.25">
      <c r="A347" s="9"/>
      <c r="B347" s="8"/>
    </row>
    <row r="348" spans="1:2" x14ac:dyDescent="0.25">
      <c r="A348" s="9"/>
      <c r="B348" s="8"/>
    </row>
    <row r="349" spans="1:2" x14ac:dyDescent="0.25">
      <c r="A349" s="9"/>
      <c r="B349" s="8"/>
    </row>
    <row r="350" spans="1:2" x14ac:dyDescent="0.25">
      <c r="A350" s="9"/>
      <c r="B350" s="8"/>
    </row>
    <row r="351" spans="1:2" x14ac:dyDescent="0.25">
      <c r="A351" s="9"/>
      <c r="B351" s="8"/>
    </row>
    <row r="352" spans="1:2" x14ac:dyDescent="0.25">
      <c r="A352" s="9"/>
      <c r="B352" s="8"/>
    </row>
    <row r="353" spans="1:2" x14ac:dyDescent="0.25">
      <c r="A353" s="9"/>
      <c r="B353" s="8"/>
    </row>
    <row r="354" spans="1:2" x14ac:dyDescent="0.25">
      <c r="A354" s="9"/>
      <c r="B354" s="8"/>
    </row>
    <row r="355" spans="1:2" x14ac:dyDescent="0.25">
      <c r="A355" s="9"/>
      <c r="B355" s="8"/>
    </row>
    <row r="356" spans="1:2" x14ac:dyDescent="0.25">
      <c r="A356" s="9"/>
      <c r="B356" s="8"/>
    </row>
    <row r="357" spans="1:2" x14ac:dyDescent="0.25">
      <c r="A357" s="9"/>
      <c r="B357" s="8"/>
    </row>
    <row r="358" spans="1:2" x14ac:dyDescent="0.25">
      <c r="A358" s="9"/>
      <c r="B358" s="8"/>
    </row>
    <row r="359" spans="1:2" x14ac:dyDescent="0.25">
      <c r="A359" s="9"/>
      <c r="B359" s="8"/>
    </row>
    <row r="360" spans="1:2" x14ac:dyDescent="0.25">
      <c r="A360" s="9"/>
      <c r="B360" s="8"/>
    </row>
    <row r="361" spans="1:2" x14ac:dyDescent="0.25">
      <c r="A361" s="9"/>
      <c r="B361" s="8"/>
    </row>
    <row r="362" spans="1:2" x14ac:dyDescent="0.25">
      <c r="A362" s="9"/>
      <c r="B362" s="8"/>
    </row>
    <row r="363" spans="1:2" x14ac:dyDescent="0.25">
      <c r="A363" s="9"/>
      <c r="B363" s="8"/>
    </row>
    <row r="364" spans="1:2" x14ac:dyDescent="0.25">
      <c r="A364" s="9"/>
      <c r="B364" s="8"/>
    </row>
    <row r="365" spans="1:2" x14ac:dyDescent="0.25">
      <c r="A365" s="9"/>
      <c r="B365" s="8"/>
    </row>
    <row r="366" spans="1:2" x14ac:dyDescent="0.25">
      <c r="A366" s="9"/>
      <c r="B366" s="8"/>
    </row>
    <row r="367" spans="1:2" x14ac:dyDescent="0.25">
      <c r="A367" s="9"/>
      <c r="B367" s="8"/>
    </row>
    <row r="368" spans="1:2" x14ac:dyDescent="0.25">
      <c r="A368" s="9"/>
      <c r="B368" s="8"/>
    </row>
    <row r="369" spans="1:2" x14ac:dyDescent="0.25">
      <c r="A369" s="9"/>
      <c r="B369" s="8"/>
    </row>
    <row r="370" spans="1:2" x14ac:dyDescent="0.25">
      <c r="A370" s="9"/>
      <c r="B370" s="8"/>
    </row>
    <row r="371" spans="1:2" x14ac:dyDescent="0.25">
      <c r="A371" s="9"/>
      <c r="B371" s="8"/>
    </row>
    <row r="372" spans="1:2" x14ac:dyDescent="0.25">
      <c r="A372" s="9"/>
      <c r="B372" s="8"/>
    </row>
    <row r="373" spans="1:2" x14ac:dyDescent="0.25">
      <c r="A373" s="9"/>
      <c r="B373" s="8"/>
    </row>
    <row r="374" spans="1:2" x14ac:dyDescent="0.25">
      <c r="A374" s="9"/>
      <c r="B374" s="8"/>
    </row>
    <row r="375" spans="1:2" x14ac:dyDescent="0.25">
      <c r="A375" s="9"/>
      <c r="B375" s="8"/>
    </row>
    <row r="376" spans="1:2" x14ac:dyDescent="0.25">
      <c r="A376" s="9"/>
      <c r="B376" s="8"/>
    </row>
    <row r="377" spans="1:2" x14ac:dyDescent="0.25">
      <c r="A377" s="9"/>
      <c r="B377" s="8"/>
    </row>
    <row r="378" spans="1:2" x14ac:dyDescent="0.25">
      <c r="A378" s="9"/>
      <c r="B378" s="8"/>
    </row>
    <row r="379" spans="1:2" x14ac:dyDescent="0.25">
      <c r="A379" s="9"/>
      <c r="B379" s="8"/>
    </row>
    <row r="380" spans="1:2" x14ac:dyDescent="0.25">
      <c r="A380" s="9"/>
      <c r="B380" s="8"/>
    </row>
    <row r="381" spans="1:2" x14ac:dyDescent="0.25">
      <c r="A381" s="9"/>
      <c r="B381" s="8"/>
    </row>
    <row r="382" spans="1:2" x14ac:dyDescent="0.25">
      <c r="A382" s="9"/>
      <c r="B382" s="8"/>
    </row>
    <row r="383" spans="1:2" x14ac:dyDescent="0.25">
      <c r="A383" s="9"/>
      <c r="B383" s="8"/>
    </row>
    <row r="384" spans="1:2" x14ac:dyDescent="0.25">
      <c r="A384" s="9"/>
      <c r="B384" s="8"/>
    </row>
    <row r="385" spans="1:2" x14ac:dyDescent="0.25">
      <c r="A385" s="9"/>
      <c r="B385" s="8"/>
    </row>
    <row r="386" spans="1:2" x14ac:dyDescent="0.25">
      <c r="A386" s="9"/>
      <c r="B386" s="8"/>
    </row>
    <row r="387" spans="1:2" x14ac:dyDescent="0.25">
      <c r="A387" s="9"/>
      <c r="B387" s="8"/>
    </row>
    <row r="388" spans="1:2" x14ac:dyDescent="0.25">
      <c r="A388" s="9"/>
      <c r="B388" s="8"/>
    </row>
    <row r="389" spans="1:2" x14ac:dyDescent="0.25">
      <c r="A389" s="9"/>
      <c r="B389" s="8"/>
    </row>
    <row r="390" spans="1:2" x14ac:dyDescent="0.25">
      <c r="A390" s="9"/>
      <c r="B390" s="8"/>
    </row>
    <row r="391" spans="1:2" x14ac:dyDescent="0.25">
      <c r="A391" s="9"/>
      <c r="B391" s="8"/>
    </row>
    <row r="392" spans="1:2" x14ac:dyDescent="0.25">
      <c r="A392" s="9"/>
      <c r="B392" s="8"/>
    </row>
    <row r="393" spans="1:2" x14ac:dyDescent="0.25">
      <c r="A393" s="9"/>
      <c r="B393" s="8"/>
    </row>
    <row r="394" spans="1:2" x14ac:dyDescent="0.25">
      <c r="A394" s="9"/>
      <c r="B394" s="8"/>
    </row>
    <row r="395" spans="1:2" x14ac:dyDescent="0.25">
      <c r="A395" s="9"/>
      <c r="B395" s="8"/>
    </row>
    <row r="396" spans="1:2" x14ac:dyDescent="0.25">
      <c r="A396" s="9"/>
      <c r="B396" s="8"/>
    </row>
    <row r="397" spans="1:2" x14ac:dyDescent="0.25">
      <c r="A397" s="9"/>
      <c r="B397" s="8"/>
    </row>
    <row r="398" spans="1:2" x14ac:dyDescent="0.25">
      <c r="A398" s="9"/>
      <c r="B398" s="8"/>
    </row>
    <row r="399" spans="1:2" x14ac:dyDescent="0.25">
      <c r="A399" s="9"/>
      <c r="B399" s="8"/>
    </row>
    <row r="400" spans="1:2" x14ac:dyDescent="0.25">
      <c r="A400" s="9"/>
      <c r="B400" s="8"/>
    </row>
    <row r="401" spans="1:2" x14ac:dyDescent="0.25">
      <c r="A401" s="9"/>
      <c r="B401" s="8"/>
    </row>
    <row r="402" spans="1:2" x14ac:dyDescent="0.25">
      <c r="A402" s="9"/>
      <c r="B402" s="8"/>
    </row>
    <row r="403" spans="1:2" x14ac:dyDescent="0.25">
      <c r="A403" s="9"/>
      <c r="B403" s="8"/>
    </row>
    <row r="404" spans="1:2" x14ac:dyDescent="0.25">
      <c r="A404" s="9"/>
      <c r="B404" s="8"/>
    </row>
    <row r="405" spans="1:2" x14ac:dyDescent="0.25">
      <c r="A405" s="9"/>
      <c r="B405" s="8"/>
    </row>
    <row r="406" spans="1:2" x14ac:dyDescent="0.25">
      <c r="A406" s="9"/>
      <c r="B406" s="8"/>
    </row>
    <row r="407" spans="1:2" x14ac:dyDescent="0.25">
      <c r="A407" s="9"/>
      <c r="B407" s="8"/>
    </row>
    <row r="408" spans="1:2" x14ac:dyDescent="0.25">
      <c r="A408" s="9"/>
      <c r="B408" s="8"/>
    </row>
    <row r="409" spans="1:2" x14ac:dyDescent="0.25">
      <c r="A409" s="9"/>
      <c r="B409" s="8"/>
    </row>
    <row r="410" spans="1:2" x14ac:dyDescent="0.25">
      <c r="A410" s="9"/>
      <c r="B410" s="8"/>
    </row>
    <row r="411" spans="1:2" x14ac:dyDescent="0.25">
      <c r="A411" s="9"/>
      <c r="B411" s="8"/>
    </row>
    <row r="412" spans="1:2" x14ac:dyDescent="0.25">
      <c r="A412" s="9"/>
      <c r="B412" s="8"/>
    </row>
    <row r="413" spans="1:2" x14ac:dyDescent="0.25">
      <c r="A413" s="9"/>
      <c r="B413" s="8"/>
    </row>
    <row r="414" spans="1:2" x14ac:dyDescent="0.25">
      <c r="A414" s="9"/>
      <c r="B414" s="8"/>
    </row>
    <row r="415" spans="1:2" x14ac:dyDescent="0.25">
      <c r="A415" s="9"/>
      <c r="B415" s="8"/>
    </row>
    <row r="416" spans="1:2" x14ac:dyDescent="0.25">
      <c r="A416" s="9"/>
      <c r="B416" s="8"/>
    </row>
    <row r="417" spans="1:2" x14ac:dyDescent="0.25">
      <c r="A417" s="9"/>
      <c r="B417" s="8"/>
    </row>
    <row r="418" spans="1:2" x14ac:dyDescent="0.25">
      <c r="A418" s="9"/>
      <c r="B418" s="8"/>
    </row>
    <row r="419" spans="1:2" x14ac:dyDescent="0.25">
      <c r="A419" s="9"/>
      <c r="B419" s="8"/>
    </row>
    <row r="420" spans="1:2" x14ac:dyDescent="0.25">
      <c r="A420" s="9"/>
      <c r="B420" s="8"/>
    </row>
    <row r="421" spans="1:2" x14ac:dyDescent="0.25">
      <c r="A421" s="9"/>
      <c r="B421" s="8"/>
    </row>
    <row r="422" spans="1:2" x14ac:dyDescent="0.25">
      <c r="A422" s="9"/>
      <c r="B422" s="8"/>
    </row>
    <row r="423" spans="1:2" x14ac:dyDescent="0.25">
      <c r="A423" s="9"/>
      <c r="B423" s="8"/>
    </row>
    <row r="424" spans="1:2" x14ac:dyDescent="0.25">
      <c r="A424" s="9"/>
      <c r="B424" s="8"/>
    </row>
    <row r="425" spans="1:2" x14ac:dyDescent="0.25">
      <c r="A425" s="9"/>
      <c r="B425" s="8"/>
    </row>
    <row r="426" spans="1:2" x14ac:dyDescent="0.25">
      <c r="A426" s="9"/>
      <c r="B426" s="8"/>
    </row>
    <row r="427" spans="1:2" x14ac:dyDescent="0.25">
      <c r="A427" s="9"/>
      <c r="B427" s="8"/>
    </row>
    <row r="428" spans="1:2" x14ac:dyDescent="0.25">
      <c r="A428" s="9"/>
      <c r="B428" s="8"/>
    </row>
    <row r="429" spans="1:2" x14ac:dyDescent="0.25">
      <c r="A429" s="9"/>
      <c r="B429" s="8"/>
    </row>
    <row r="430" spans="1:2" x14ac:dyDescent="0.25">
      <c r="A430" s="9"/>
      <c r="B430" s="8"/>
    </row>
    <row r="431" spans="1:2" x14ac:dyDescent="0.25">
      <c r="A431" s="9"/>
      <c r="B431" s="8"/>
    </row>
    <row r="432" spans="1:2" x14ac:dyDescent="0.25">
      <c r="A432" s="9"/>
      <c r="B432" s="8"/>
    </row>
    <row r="433" spans="1:2" x14ac:dyDescent="0.25">
      <c r="A433" s="9"/>
      <c r="B433" s="8"/>
    </row>
    <row r="434" spans="1:2" x14ac:dyDescent="0.25">
      <c r="A434" s="9"/>
      <c r="B434" s="8"/>
    </row>
    <row r="435" spans="1:2" x14ac:dyDescent="0.25">
      <c r="A435" s="9"/>
      <c r="B435" s="8"/>
    </row>
    <row r="436" spans="1:2" x14ac:dyDescent="0.25">
      <c r="A436" s="9"/>
      <c r="B436" s="8"/>
    </row>
    <row r="437" spans="1:2" x14ac:dyDescent="0.25">
      <c r="A437" s="9"/>
      <c r="B437" s="8"/>
    </row>
    <row r="438" spans="1:2" x14ac:dyDescent="0.25">
      <c r="A438" s="9"/>
      <c r="B438" s="8"/>
    </row>
    <row r="439" spans="1:2" x14ac:dyDescent="0.25">
      <c r="A439" s="9"/>
      <c r="B439" s="8"/>
    </row>
    <row r="440" spans="1:2" x14ac:dyDescent="0.25">
      <c r="A440" s="9"/>
      <c r="B440" s="8"/>
    </row>
    <row r="441" spans="1:2" x14ac:dyDescent="0.25">
      <c r="A441" s="9"/>
      <c r="B441" s="8"/>
    </row>
    <row r="442" spans="1:2" x14ac:dyDescent="0.25">
      <c r="A442" s="9"/>
      <c r="B442" s="8"/>
    </row>
    <row r="443" spans="1:2" x14ac:dyDescent="0.25">
      <c r="A443" s="9"/>
      <c r="B443" s="8"/>
    </row>
    <row r="444" spans="1:2" x14ac:dyDescent="0.25">
      <c r="A444" s="9"/>
      <c r="B444" s="8"/>
    </row>
    <row r="445" spans="1:2" x14ac:dyDescent="0.25">
      <c r="A445" s="9"/>
      <c r="B445" s="8"/>
    </row>
    <row r="446" spans="1:2" x14ac:dyDescent="0.25">
      <c r="A446" s="9"/>
      <c r="B446" s="8"/>
    </row>
    <row r="447" spans="1:2" x14ac:dyDescent="0.25">
      <c r="A447" s="9"/>
      <c r="B447" s="8"/>
    </row>
    <row r="448" spans="1:2" x14ac:dyDescent="0.25">
      <c r="A448" s="9"/>
      <c r="B448" s="8"/>
    </row>
    <row r="449" spans="1:2" x14ac:dyDescent="0.25">
      <c r="A449" s="9"/>
      <c r="B449" s="8"/>
    </row>
    <row r="450" spans="1:2" x14ac:dyDescent="0.25">
      <c r="A450" s="9"/>
      <c r="B450" s="8"/>
    </row>
    <row r="451" spans="1:2" x14ac:dyDescent="0.25">
      <c r="A451" s="9"/>
      <c r="B451" s="8"/>
    </row>
    <row r="452" spans="1:2" x14ac:dyDescent="0.25">
      <c r="A452" s="9"/>
      <c r="B452" s="8"/>
    </row>
    <row r="453" spans="1:2" x14ac:dyDescent="0.25">
      <c r="A453" s="9"/>
      <c r="B453" s="8"/>
    </row>
    <row r="454" spans="1:2" x14ac:dyDescent="0.25">
      <c r="A454" s="9"/>
      <c r="B454" s="8"/>
    </row>
    <row r="455" spans="1:2" x14ac:dyDescent="0.25">
      <c r="A455" s="9"/>
      <c r="B455" s="8"/>
    </row>
    <row r="456" spans="1:2" x14ac:dyDescent="0.25">
      <c r="A456" s="9"/>
      <c r="B456" s="8"/>
    </row>
    <row r="457" spans="1:2" x14ac:dyDescent="0.25">
      <c r="A457" s="9"/>
      <c r="B457" s="8"/>
    </row>
    <row r="458" spans="1:2" x14ac:dyDescent="0.25">
      <c r="A458" s="9"/>
      <c r="B458" s="8"/>
    </row>
    <row r="459" spans="1:2" x14ac:dyDescent="0.25">
      <c r="A459" s="9"/>
      <c r="B459" s="8"/>
    </row>
    <row r="460" spans="1:2" x14ac:dyDescent="0.25">
      <c r="A460" s="9"/>
      <c r="B460" s="8"/>
    </row>
    <row r="461" spans="1:2" x14ac:dyDescent="0.25">
      <c r="A461" s="9"/>
      <c r="B461" s="8"/>
    </row>
    <row r="462" spans="1:2" x14ac:dyDescent="0.25">
      <c r="A462" s="9"/>
      <c r="B462" s="8"/>
    </row>
    <row r="463" spans="1:2" x14ac:dyDescent="0.25">
      <c r="A463" s="9"/>
      <c r="B463" s="8"/>
    </row>
    <row r="464" spans="1:2" x14ac:dyDescent="0.25">
      <c r="A464" s="9"/>
      <c r="B464" s="8"/>
    </row>
    <row r="465" spans="1:2" x14ac:dyDescent="0.25">
      <c r="A465" s="9"/>
      <c r="B465" s="8"/>
    </row>
    <row r="466" spans="1:2" x14ac:dyDescent="0.25">
      <c r="A466" s="9"/>
      <c r="B466" s="8"/>
    </row>
    <row r="467" spans="1:2" x14ac:dyDescent="0.25">
      <c r="A467" s="9"/>
      <c r="B467" s="8"/>
    </row>
    <row r="468" spans="1:2" x14ac:dyDescent="0.25">
      <c r="A468" s="9"/>
      <c r="B468" s="8"/>
    </row>
    <row r="469" spans="1:2" x14ac:dyDescent="0.25">
      <c r="A469" s="9"/>
      <c r="B469" s="8"/>
    </row>
    <row r="470" spans="1:2" x14ac:dyDescent="0.25">
      <c r="A470" s="9"/>
      <c r="B470" s="8"/>
    </row>
    <row r="471" spans="1:2" x14ac:dyDescent="0.25">
      <c r="A471" s="9"/>
      <c r="B471" s="8"/>
    </row>
    <row r="472" spans="1:2" x14ac:dyDescent="0.25">
      <c r="A472" s="9"/>
      <c r="B472" s="8"/>
    </row>
    <row r="473" spans="1:2" x14ac:dyDescent="0.25">
      <c r="A473" s="9"/>
      <c r="B473" s="8"/>
    </row>
    <row r="474" spans="1:2" x14ac:dyDescent="0.25">
      <c r="A474" s="9"/>
      <c r="B474" s="8"/>
    </row>
    <row r="475" spans="1:2" x14ac:dyDescent="0.25">
      <c r="A475" s="9"/>
      <c r="B475" s="8"/>
    </row>
    <row r="476" spans="1:2" x14ac:dyDescent="0.25">
      <c r="A476" s="9"/>
      <c r="B476" s="8"/>
    </row>
    <row r="477" spans="1:2" x14ac:dyDescent="0.25">
      <c r="A477" s="9"/>
      <c r="B477" s="8"/>
    </row>
    <row r="478" spans="1:2" x14ac:dyDescent="0.25">
      <c r="A478" s="9"/>
      <c r="B478" s="8"/>
    </row>
    <row r="479" spans="1:2" x14ac:dyDescent="0.25">
      <c r="A479" s="9"/>
      <c r="B479" s="8"/>
    </row>
    <row r="480" spans="1:2" x14ac:dyDescent="0.25">
      <c r="A480" s="9"/>
      <c r="B480" s="8"/>
    </row>
    <row r="481" spans="1:2" x14ac:dyDescent="0.25">
      <c r="A481" s="9"/>
      <c r="B481" s="8"/>
    </row>
    <row r="482" spans="1:2" x14ac:dyDescent="0.25">
      <c r="A482" s="9"/>
      <c r="B482" s="8"/>
    </row>
    <row r="483" spans="1:2" x14ac:dyDescent="0.25">
      <c r="A483" s="9"/>
      <c r="B483" s="8"/>
    </row>
    <row r="484" spans="1:2" x14ac:dyDescent="0.25">
      <c r="A484" s="9"/>
      <c r="B484" s="8"/>
    </row>
    <row r="485" spans="1:2" x14ac:dyDescent="0.25">
      <c r="A485" s="9"/>
      <c r="B485" s="8"/>
    </row>
    <row r="486" spans="1:2" x14ac:dyDescent="0.25">
      <c r="A486" s="9"/>
      <c r="B486" s="8"/>
    </row>
    <row r="487" spans="1:2" x14ac:dyDescent="0.25">
      <c r="A487" s="9"/>
      <c r="B487" s="8"/>
    </row>
    <row r="488" spans="1:2" x14ac:dyDescent="0.25">
      <c r="A488" s="9"/>
      <c r="B488" s="8"/>
    </row>
    <row r="489" spans="1:2" x14ac:dyDescent="0.25">
      <c r="A489" s="9"/>
      <c r="B489" s="8"/>
    </row>
    <row r="490" spans="1:2" x14ac:dyDescent="0.25">
      <c r="A490" s="9"/>
      <c r="B490" s="8"/>
    </row>
    <row r="491" spans="1:2" x14ac:dyDescent="0.25">
      <c r="A491" s="9"/>
      <c r="B491" s="8"/>
    </row>
    <row r="492" spans="1:2" x14ac:dyDescent="0.25">
      <c r="A492" s="9"/>
      <c r="B492" s="8"/>
    </row>
    <row r="493" spans="1:2" x14ac:dyDescent="0.25">
      <c r="A493" s="9"/>
      <c r="B493" s="8"/>
    </row>
    <row r="494" spans="1:2" x14ac:dyDescent="0.25">
      <c r="A494" s="9"/>
      <c r="B494" s="8"/>
    </row>
    <row r="495" spans="1:2" x14ac:dyDescent="0.25">
      <c r="A495" s="9"/>
      <c r="B495" s="8"/>
    </row>
    <row r="496" spans="1:2" x14ac:dyDescent="0.25">
      <c r="A496" s="9"/>
      <c r="B496" s="8"/>
    </row>
    <row r="497" spans="1:2" x14ac:dyDescent="0.25">
      <c r="A497" s="9"/>
      <c r="B497" s="8"/>
    </row>
    <row r="498" spans="1:2" x14ac:dyDescent="0.25">
      <c r="A498" s="9"/>
      <c r="B498" s="8"/>
    </row>
    <row r="499" spans="1:2" x14ac:dyDescent="0.25">
      <c r="A499" s="9"/>
      <c r="B499" s="8"/>
    </row>
    <row r="500" spans="1:2" x14ac:dyDescent="0.25">
      <c r="A500" s="9"/>
      <c r="B500" s="8"/>
    </row>
    <row r="501" spans="1:2" x14ac:dyDescent="0.25">
      <c r="A501" s="9"/>
      <c r="B501" s="8"/>
    </row>
    <row r="502" spans="1:2" x14ac:dyDescent="0.25">
      <c r="A502" s="9"/>
      <c r="B502" s="8"/>
    </row>
    <row r="503" spans="1:2" x14ac:dyDescent="0.25">
      <c r="A503" s="9"/>
      <c r="B503" s="8"/>
    </row>
    <row r="504" spans="1:2" x14ac:dyDescent="0.25">
      <c r="A504" s="9"/>
      <c r="B504" s="8"/>
    </row>
    <row r="505" spans="1:2" x14ac:dyDescent="0.25">
      <c r="A505" s="9"/>
      <c r="B505" s="8"/>
    </row>
    <row r="506" spans="1:2" x14ac:dyDescent="0.25">
      <c r="A506" s="9"/>
      <c r="B506" s="8"/>
    </row>
    <row r="507" spans="1:2" x14ac:dyDescent="0.25">
      <c r="A507" s="9"/>
      <c r="B507" s="8"/>
    </row>
    <row r="508" spans="1:2" x14ac:dyDescent="0.25">
      <c r="A508" s="9"/>
      <c r="B508" s="8"/>
    </row>
    <row r="509" spans="1:2" x14ac:dyDescent="0.25">
      <c r="A509" s="9"/>
      <c r="B509" s="8"/>
    </row>
    <row r="510" spans="1:2" x14ac:dyDescent="0.25">
      <c r="A510" s="9"/>
      <c r="B510" s="8"/>
    </row>
    <row r="511" spans="1:2" x14ac:dyDescent="0.25">
      <c r="A511" s="9"/>
      <c r="B511" s="8"/>
    </row>
    <row r="512" spans="1:2" x14ac:dyDescent="0.25">
      <c r="A512" s="9"/>
      <c r="B512" s="8"/>
    </row>
    <row r="513" spans="1:2" x14ac:dyDescent="0.25">
      <c r="A513" s="9"/>
      <c r="B513" s="8"/>
    </row>
    <row r="514" spans="1:2" x14ac:dyDescent="0.25">
      <c r="A514" s="9"/>
      <c r="B514" s="8"/>
    </row>
    <row r="515" spans="1:2" x14ac:dyDescent="0.25">
      <c r="A515" s="9"/>
      <c r="B515" s="8"/>
    </row>
    <row r="516" spans="1:2" x14ac:dyDescent="0.25">
      <c r="A516" s="9"/>
      <c r="B516" s="8"/>
    </row>
    <row r="517" spans="1:2" x14ac:dyDescent="0.25">
      <c r="A517" s="9"/>
      <c r="B517" s="8"/>
    </row>
    <row r="518" spans="1:2" x14ac:dyDescent="0.25">
      <c r="A518" s="9"/>
      <c r="B518" s="8"/>
    </row>
    <row r="519" spans="1:2" x14ac:dyDescent="0.25">
      <c r="A519" s="9"/>
      <c r="B519" s="8"/>
    </row>
    <row r="520" spans="1:2" x14ac:dyDescent="0.25">
      <c r="A520" s="9"/>
      <c r="B520" s="8"/>
    </row>
    <row r="521" spans="1:2" x14ac:dyDescent="0.25">
      <c r="A521" s="9"/>
      <c r="B521" s="8"/>
    </row>
    <row r="522" spans="1:2" x14ac:dyDescent="0.25">
      <c r="A522" s="9"/>
      <c r="B522" s="8"/>
    </row>
    <row r="523" spans="1:2" x14ac:dyDescent="0.25">
      <c r="A523" s="9"/>
      <c r="B523" s="8"/>
    </row>
    <row r="524" spans="1:2" x14ac:dyDescent="0.25">
      <c r="A524" s="9"/>
      <c r="B524" s="8"/>
    </row>
    <row r="525" spans="1:2" x14ac:dyDescent="0.25">
      <c r="A525" s="9"/>
      <c r="B525" s="8"/>
    </row>
    <row r="526" spans="1:2" x14ac:dyDescent="0.25">
      <c r="A526" s="9"/>
      <c r="B526" s="8"/>
    </row>
    <row r="527" spans="1:2" x14ac:dyDescent="0.25">
      <c r="A527" s="9"/>
      <c r="B527" s="8"/>
    </row>
    <row r="528" spans="1:2" x14ac:dyDescent="0.25">
      <c r="A528" s="9"/>
      <c r="B528" s="8"/>
    </row>
    <row r="529" spans="1:2" x14ac:dyDescent="0.25">
      <c r="A529" s="9"/>
      <c r="B529" s="8"/>
    </row>
    <row r="530" spans="1:2" x14ac:dyDescent="0.25">
      <c r="A530" s="9"/>
      <c r="B530" s="8"/>
    </row>
    <row r="531" spans="1:2" x14ac:dyDescent="0.25">
      <c r="A531" s="9"/>
      <c r="B531" s="8"/>
    </row>
    <row r="532" spans="1:2" x14ac:dyDescent="0.25">
      <c r="A532" s="9"/>
      <c r="B532" s="8"/>
    </row>
    <row r="533" spans="1:2" x14ac:dyDescent="0.25">
      <c r="A533" s="9"/>
      <c r="B533" s="8"/>
    </row>
    <row r="534" spans="1:2" x14ac:dyDescent="0.25">
      <c r="A534" s="9"/>
      <c r="B534" s="8"/>
    </row>
    <row r="535" spans="1:2" x14ac:dyDescent="0.25">
      <c r="A535" s="9"/>
      <c r="B535" s="8"/>
    </row>
    <row r="536" spans="1:2" x14ac:dyDescent="0.25">
      <c r="A536" s="9"/>
      <c r="B536" s="8"/>
    </row>
    <row r="537" spans="1:2" x14ac:dyDescent="0.25">
      <c r="A537" s="9"/>
      <c r="B537" s="8"/>
    </row>
    <row r="538" spans="1:2" x14ac:dyDescent="0.25">
      <c r="A538" s="9"/>
      <c r="B538" s="8"/>
    </row>
    <row r="539" spans="1:2" x14ac:dyDescent="0.25">
      <c r="A539" s="9"/>
      <c r="B539" s="8"/>
    </row>
    <row r="540" spans="1:2" x14ac:dyDescent="0.25">
      <c r="A540" s="9"/>
      <c r="B540" s="8"/>
    </row>
    <row r="541" spans="1:2" x14ac:dyDescent="0.25">
      <c r="A541" s="9"/>
      <c r="B541" s="8"/>
    </row>
    <row r="542" spans="1:2" x14ac:dyDescent="0.25">
      <c r="A542" s="9"/>
      <c r="B542" s="8"/>
    </row>
    <row r="543" spans="1:2" x14ac:dyDescent="0.25">
      <c r="A543" s="9"/>
      <c r="B543" s="8"/>
    </row>
    <row r="544" spans="1:2" x14ac:dyDescent="0.25">
      <c r="A544" s="9"/>
      <c r="B544" s="8"/>
    </row>
    <row r="545" spans="1:2" x14ac:dyDescent="0.25">
      <c r="A545" s="9"/>
      <c r="B545" s="8"/>
    </row>
    <row r="546" spans="1:2" x14ac:dyDescent="0.25">
      <c r="A546" s="9"/>
      <c r="B546" s="8"/>
    </row>
    <row r="547" spans="1:2" x14ac:dyDescent="0.25">
      <c r="A547" s="9"/>
      <c r="B547" s="8"/>
    </row>
    <row r="548" spans="1:2" x14ac:dyDescent="0.25">
      <c r="A548" s="9"/>
      <c r="B548" s="8"/>
    </row>
    <row r="549" spans="1:2" x14ac:dyDescent="0.25">
      <c r="A549" s="9"/>
      <c r="B549" s="8"/>
    </row>
    <row r="550" spans="1:2" x14ac:dyDescent="0.25">
      <c r="A550" s="9"/>
      <c r="B550" s="8"/>
    </row>
    <row r="551" spans="1:2" x14ac:dyDescent="0.25">
      <c r="A551" s="9"/>
      <c r="B551" s="8"/>
    </row>
    <row r="552" spans="1:2" x14ac:dyDescent="0.25">
      <c r="A552" s="9"/>
      <c r="B552" s="8"/>
    </row>
    <row r="553" spans="1:2" x14ac:dyDescent="0.25">
      <c r="A553" s="9"/>
      <c r="B553" s="8"/>
    </row>
    <row r="554" spans="1:2" x14ac:dyDescent="0.25">
      <c r="A554" s="9"/>
      <c r="B554" s="8"/>
    </row>
    <row r="555" spans="1:2" x14ac:dyDescent="0.25">
      <c r="A555" s="9"/>
      <c r="B555" s="8"/>
    </row>
    <row r="556" spans="1:2" x14ac:dyDescent="0.25">
      <c r="A556" s="9"/>
      <c r="B556" s="8"/>
    </row>
    <row r="557" spans="1:2" x14ac:dyDescent="0.25">
      <c r="A557" s="9"/>
      <c r="B557" s="8"/>
    </row>
    <row r="558" spans="1:2" x14ac:dyDescent="0.25">
      <c r="A558" s="9"/>
      <c r="B558" s="8"/>
    </row>
    <row r="559" spans="1:2" x14ac:dyDescent="0.25">
      <c r="A559" s="9"/>
      <c r="B559" s="8"/>
    </row>
    <row r="560" spans="1:2" x14ac:dyDescent="0.25">
      <c r="A560" s="9"/>
      <c r="B560" s="8"/>
    </row>
    <row r="561" spans="1:2" x14ac:dyDescent="0.25">
      <c r="A561" s="9"/>
      <c r="B561" s="8"/>
    </row>
    <row r="562" spans="1:2" x14ac:dyDescent="0.25">
      <c r="A562" s="9"/>
      <c r="B562" s="8"/>
    </row>
    <row r="563" spans="1:2" x14ac:dyDescent="0.25">
      <c r="A563" s="9"/>
      <c r="B563" s="8"/>
    </row>
    <row r="564" spans="1:2" x14ac:dyDescent="0.25">
      <c r="A564" s="9"/>
      <c r="B564" s="8"/>
    </row>
    <row r="565" spans="1:2" x14ac:dyDescent="0.25">
      <c r="A565" s="9"/>
      <c r="B565" s="8"/>
    </row>
    <row r="566" spans="1:2" x14ac:dyDescent="0.25">
      <c r="A566" s="9"/>
      <c r="B566" s="8"/>
    </row>
    <row r="567" spans="1:2" x14ac:dyDescent="0.25">
      <c r="A567" s="9"/>
      <c r="B567" s="8"/>
    </row>
    <row r="568" spans="1:2" x14ac:dyDescent="0.25">
      <c r="A568" s="9"/>
      <c r="B568" s="8"/>
    </row>
    <row r="569" spans="1:2" x14ac:dyDescent="0.25">
      <c r="A569" s="9"/>
      <c r="B569" s="8"/>
    </row>
    <row r="570" spans="1:2" x14ac:dyDescent="0.25">
      <c r="A570" s="9"/>
      <c r="B570" s="8"/>
    </row>
    <row r="571" spans="1:2" x14ac:dyDescent="0.25">
      <c r="A571" s="9"/>
      <c r="B571" s="8"/>
    </row>
    <row r="572" spans="1:2" x14ac:dyDescent="0.25">
      <c r="A572" s="9"/>
      <c r="B572" s="8"/>
    </row>
    <row r="573" spans="1:2" x14ac:dyDescent="0.25">
      <c r="A573" s="9"/>
      <c r="B573" s="8"/>
    </row>
    <row r="574" spans="1:2" x14ac:dyDescent="0.25">
      <c r="A574" s="9"/>
      <c r="B574" s="8"/>
    </row>
    <row r="575" spans="1:2" x14ac:dyDescent="0.25">
      <c r="A575" s="9"/>
      <c r="B575" s="8"/>
    </row>
    <row r="576" spans="1:2" x14ac:dyDescent="0.25">
      <c r="A576" s="9"/>
      <c r="B576" s="8"/>
    </row>
    <row r="577" spans="1:2" x14ac:dyDescent="0.25">
      <c r="A577" s="9"/>
      <c r="B577" s="8"/>
    </row>
    <row r="578" spans="1:2" x14ac:dyDescent="0.25">
      <c r="A578" s="9"/>
      <c r="B578" s="8"/>
    </row>
    <row r="579" spans="1:2" x14ac:dyDescent="0.25">
      <c r="A579" s="9"/>
      <c r="B579" s="8"/>
    </row>
    <row r="580" spans="1:2" x14ac:dyDescent="0.25">
      <c r="A580" s="9"/>
      <c r="B580" s="8"/>
    </row>
    <row r="581" spans="1:2" x14ac:dyDescent="0.25">
      <c r="A581" s="9"/>
      <c r="B581" s="8"/>
    </row>
    <row r="582" spans="1:2" x14ac:dyDescent="0.25">
      <c r="A582" s="9"/>
      <c r="B582" s="8"/>
    </row>
    <row r="583" spans="1:2" x14ac:dyDescent="0.25">
      <c r="A583" s="9"/>
      <c r="B583" s="8"/>
    </row>
    <row r="584" spans="1:2" x14ac:dyDescent="0.25">
      <c r="A584" s="9"/>
      <c r="B584" s="8"/>
    </row>
    <row r="585" spans="1:2" x14ac:dyDescent="0.25">
      <c r="A585" s="9"/>
      <c r="B585" s="8"/>
    </row>
    <row r="586" spans="1:2" x14ac:dyDescent="0.25">
      <c r="A586" s="9"/>
      <c r="B586" s="8"/>
    </row>
    <row r="587" spans="1:2" x14ac:dyDescent="0.25">
      <c r="A587" s="9"/>
      <c r="B587" s="8"/>
    </row>
    <row r="588" spans="1:2" x14ac:dyDescent="0.25">
      <c r="A588" s="9"/>
      <c r="B588" s="8"/>
    </row>
    <row r="589" spans="1:2" x14ac:dyDescent="0.25">
      <c r="A589" s="9"/>
      <c r="B589" s="8"/>
    </row>
    <row r="590" spans="1:2" x14ac:dyDescent="0.25">
      <c r="A590" s="9"/>
      <c r="B590" s="8"/>
    </row>
    <row r="591" spans="1:2" x14ac:dyDescent="0.25">
      <c r="A591" s="9"/>
      <c r="B591" s="8"/>
    </row>
    <row r="592" spans="1:2" x14ac:dyDescent="0.25">
      <c r="A592" s="9"/>
      <c r="B592" s="8"/>
    </row>
    <row r="593" spans="1:2" x14ac:dyDescent="0.25">
      <c r="A593" s="9"/>
      <c r="B593" s="8"/>
    </row>
    <row r="594" spans="1:2" x14ac:dyDescent="0.25">
      <c r="A594" s="9"/>
      <c r="B594" s="8"/>
    </row>
    <row r="595" spans="1:2" x14ac:dyDescent="0.25">
      <c r="A595" s="9"/>
      <c r="B595" s="8"/>
    </row>
    <row r="596" spans="1:2" x14ac:dyDescent="0.25">
      <c r="A596" s="9"/>
      <c r="B596" s="8"/>
    </row>
    <row r="597" spans="1:2" x14ac:dyDescent="0.25">
      <c r="A597" s="9"/>
      <c r="B597" s="8"/>
    </row>
    <row r="598" spans="1:2" x14ac:dyDescent="0.25">
      <c r="A598" s="9"/>
      <c r="B598" s="8"/>
    </row>
    <row r="599" spans="1:2" x14ac:dyDescent="0.25">
      <c r="A599" s="9"/>
      <c r="B599" s="8"/>
    </row>
    <row r="600" spans="1:2" x14ac:dyDescent="0.25">
      <c r="A600" s="9"/>
      <c r="B600" s="8"/>
    </row>
    <row r="601" spans="1:2" x14ac:dyDescent="0.25">
      <c r="A601" s="9"/>
      <c r="B601" s="8"/>
    </row>
    <row r="602" spans="1:2" x14ac:dyDescent="0.25">
      <c r="A602" s="9"/>
      <c r="B602" s="8"/>
    </row>
    <row r="603" spans="1:2" x14ac:dyDescent="0.25">
      <c r="A603" s="9"/>
      <c r="B603" s="8"/>
    </row>
    <row r="604" spans="1:2" x14ac:dyDescent="0.25">
      <c r="A604" s="9"/>
      <c r="B604" s="8"/>
    </row>
    <row r="605" spans="1:2" x14ac:dyDescent="0.25">
      <c r="A605" s="9"/>
      <c r="B605" s="8"/>
    </row>
    <row r="606" spans="1:2" x14ac:dyDescent="0.25">
      <c r="A606" s="9"/>
      <c r="B606" s="8"/>
    </row>
    <row r="607" spans="1:2" x14ac:dyDescent="0.25">
      <c r="A607" s="9"/>
      <c r="B607" s="8"/>
    </row>
    <row r="608" spans="1:2" x14ac:dyDescent="0.25">
      <c r="A608" s="9"/>
      <c r="B608" s="8"/>
    </row>
    <row r="609" spans="1:2" x14ac:dyDescent="0.25">
      <c r="A609" s="9"/>
      <c r="B609" s="8"/>
    </row>
    <row r="610" spans="1:2" x14ac:dyDescent="0.25">
      <c r="A610" s="9"/>
      <c r="B610" s="8"/>
    </row>
    <row r="611" spans="1:2" x14ac:dyDescent="0.25">
      <c r="A611" s="9"/>
      <c r="B611" s="8"/>
    </row>
    <row r="612" spans="1:2" x14ac:dyDescent="0.25">
      <c r="A612" s="9"/>
      <c r="B612" s="8"/>
    </row>
    <row r="613" spans="1:2" x14ac:dyDescent="0.25">
      <c r="A613" s="9"/>
      <c r="B613" s="8"/>
    </row>
    <row r="614" spans="1:2" x14ac:dyDescent="0.25">
      <c r="A614" s="9"/>
      <c r="B614" s="8"/>
    </row>
    <row r="615" spans="1:2" x14ac:dyDescent="0.25">
      <c r="A615" s="9"/>
      <c r="B615" s="8"/>
    </row>
    <row r="616" spans="1:2" x14ac:dyDescent="0.25">
      <c r="A616" s="9"/>
      <c r="B616" s="8"/>
    </row>
    <row r="617" spans="1:2" x14ac:dyDescent="0.25">
      <c r="A617" s="9"/>
      <c r="B617" s="8"/>
    </row>
    <row r="618" spans="1:2" x14ac:dyDescent="0.25">
      <c r="A618" s="9"/>
      <c r="B618" s="8"/>
    </row>
    <row r="619" spans="1:2" x14ac:dyDescent="0.25">
      <c r="A619" s="9"/>
      <c r="B619" s="8"/>
    </row>
    <row r="620" spans="1:2" x14ac:dyDescent="0.25">
      <c r="A620" s="9"/>
      <c r="B620" s="8"/>
    </row>
    <row r="621" spans="1:2" x14ac:dyDescent="0.25">
      <c r="A621" s="9"/>
      <c r="B621" s="8"/>
    </row>
    <row r="622" spans="1:2" x14ac:dyDescent="0.25">
      <c r="A622" s="9"/>
      <c r="B622" s="8"/>
    </row>
    <row r="623" spans="1:2" x14ac:dyDescent="0.25">
      <c r="A623" s="9"/>
      <c r="B623" s="8"/>
    </row>
    <row r="624" spans="1:2" x14ac:dyDescent="0.25">
      <c r="A624" s="9"/>
      <c r="B624" s="8"/>
    </row>
    <row r="625" spans="1:2" x14ac:dyDescent="0.25">
      <c r="A625" s="9"/>
      <c r="B625" s="8"/>
    </row>
    <row r="626" spans="1:2" x14ac:dyDescent="0.25">
      <c r="A626" s="9"/>
      <c r="B626" s="8"/>
    </row>
    <row r="627" spans="1:2" x14ac:dyDescent="0.25">
      <c r="A627" s="9"/>
      <c r="B627" s="8"/>
    </row>
    <row r="628" spans="1:2" x14ac:dyDescent="0.25">
      <c r="A628" s="9"/>
      <c r="B628" s="8"/>
    </row>
    <row r="629" spans="1:2" x14ac:dyDescent="0.25">
      <c r="A629" s="9"/>
      <c r="B629" s="8"/>
    </row>
    <row r="630" spans="1:2" x14ac:dyDescent="0.25">
      <c r="A630" s="9"/>
      <c r="B630" s="8"/>
    </row>
    <row r="631" spans="1:2" x14ac:dyDescent="0.25">
      <c r="A631" s="9"/>
      <c r="B631" s="8"/>
    </row>
    <row r="632" spans="1:2" x14ac:dyDescent="0.25">
      <c r="A632" s="9"/>
      <c r="B632" s="8"/>
    </row>
    <row r="633" spans="1:2" x14ac:dyDescent="0.25">
      <c r="A633" s="9"/>
      <c r="B633" s="8"/>
    </row>
    <row r="634" spans="1:2" x14ac:dyDescent="0.25">
      <c r="A634" s="9"/>
      <c r="B634" s="8"/>
    </row>
    <row r="635" spans="1:2" x14ac:dyDescent="0.25">
      <c r="A635" s="9"/>
      <c r="B635" s="8"/>
    </row>
    <row r="636" spans="1:2" x14ac:dyDescent="0.25">
      <c r="A636" s="9"/>
      <c r="B636" s="8"/>
    </row>
    <row r="637" spans="1:2" x14ac:dyDescent="0.25">
      <c r="A637" s="9"/>
      <c r="B637" s="8"/>
    </row>
    <row r="638" spans="1:2" x14ac:dyDescent="0.25">
      <c r="A638" s="9"/>
      <c r="B638" s="8"/>
    </row>
    <row r="639" spans="1:2" x14ac:dyDescent="0.25">
      <c r="A639" s="9"/>
      <c r="B639" s="8"/>
    </row>
    <row r="640" spans="1:2" x14ac:dyDescent="0.25">
      <c r="A640" s="9"/>
      <c r="B640" s="8"/>
    </row>
    <row r="641" spans="1:2" x14ac:dyDescent="0.25">
      <c r="A641" s="9"/>
      <c r="B641" s="8"/>
    </row>
    <row r="642" spans="1:2" x14ac:dyDescent="0.25">
      <c r="A642" s="9"/>
      <c r="B642" s="8"/>
    </row>
    <row r="643" spans="1:2" x14ac:dyDescent="0.25">
      <c r="A643" s="9"/>
      <c r="B643" s="8"/>
    </row>
    <row r="644" spans="1:2" x14ac:dyDescent="0.25">
      <c r="A644" s="9"/>
      <c r="B644" s="8"/>
    </row>
    <row r="645" spans="1:2" x14ac:dyDescent="0.25">
      <c r="A645" s="9"/>
      <c r="B645" s="8"/>
    </row>
    <row r="646" spans="1:2" x14ac:dyDescent="0.25">
      <c r="A646" s="9"/>
      <c r="B646" s="8"/>
    </row>
    <row r="647" spans="1:2" x14ac:dyDescent="0.25">
      <c r="A647" s="9"/>
      <c r="B647" s="8"/>
    </row>
    <row r="648" spans="1:2" x14ac:dyDescent="0.25">
      <c r="A648" s="9"/>
      <c r="B648" s="8"/>
    </row>
    <row r="649" spans="1:2" x14ac:dyDescent="0.25">
      <c r="A649" s="9"/>
      <c r="B649" s="8"/>
    </row>
    <row r="650" spans="1:2" x14ac:dyDescent="0.25">
      <c r="A650" s="9"/>
      <c r="B650" s="8"/>
    </row>
    <row r="651" spans="1:2" x14ac:dyDescent="0.25">
      <c r="A651" s="9"/>
      <c r="B651" s="8"/>
    </row>
    <row r="652" spans="1:2" x14ac:dyDescent="0.25">
      <c r="A652" s="9"/>
      <c r="B652" s="8"/>
    </row>
    <row r="653" spans="1:2" x14ac:dyDescent="0.25">
      <c r="A653" s="9"/>
      <c r="B653" s="8"/>
    </row>
    <row r="654" spans="1:2" x14ac:dyDescent="0.25">
      <c r="A654" s="9"/>
      <c r="B654" s="8"/>
    </row>
    <row r="655" spans="1:2" x14ac:dyDescent="0.25">
      <c r="A655" s="9"/>
      <c r="B655" s="8"/>
    </row>
    <row r="656" spans="1:2" x14ac:dyDescent="0.25">
      <c r="A656" s="9"/>
      <c r="B656" s="8"/>
    </row>
    <row r="657" spans="1:2" x14ac:dyDescent="0.25">
      <c r="A657" s="9"/>
      <c r="B657" s="8"/>
    </row>
    <row r="658" spans="1:2" x14ac:dyDescent="0.25">
      <c r="A658" s="9"/>
      <c r="B658" s="8"/>
    </row>
    <row r="659" spans="1:2" x14ac:dyDescent="0.25">
      <c r="A659" s="9"/>
      <c r="B659" s="8"/>
    </row>
    <row r="660" spans="1:2" x14ac:dyDescent="0.25">
      <c r="A660" s="9"/>
      <c r="B660" s="8"/>
    </row>
    <row r="661" spans="1:2" x14ac:dyDescent="0.25">
      <c r="A661" s="9"/>
      <c r="B661" s="8"/>
    </row>
    <row r="662" spans="1:2" x14ac:dyDescent="0.25">
      <c r="A662" s="9"/>
      <c r="B662" s="8"/>
    </row>
    <row r="663" spans="1:2" x14ac:dyDescent="0.25">
      <c r="A663" s="9"/>
      <c r="B663" s="8"/>
    </row>
    <row r="664" spans="1:2" x14ac:dyDescent="0.25">
      <c r="A664" s="9"/>
      <c r="B664" s="8"/>
    </row>
    <row r="665" spans="1:2" x14ac:dyDescent="0.25">
      <c r="A665" s="9"/>
      <c r="B665" s="8"/>
    </row>
    <row r="666" spans="1:2" x14ac:dyDescent="0.25">
      <c r="A666" s="9"/>
      <c r="B666" s="8"/>
    </row>
    <row r="667" spans="1:2" x14ac:dyDescent="0.25">
      <c r="A667" s="9"/>
      <c r="B667" s="8"/>
    </row>
    <row r="668" spans="1:2" x14ac:dyDescent="0.25">
      <c r="A668" s="9"/>
      <c r="B668" s="8"/>
    </row>
    <row r="669" spans="1:2" x14ac:dyDescent="0.25">
      <c r="A669" s="9"/>
      <c r="B669" s="8"/>
    </row>
    <row r="670" spans="1:2" x14ac:dyDescent="0.25">
      <c r="A670" s="9"/>
      <c r="B670" s="8"/>
    </row>
    <row r="671" spans="1:2" x14ac:dyDescent="0.25">
      <c r="A671" s="9"/>
      <c r="B671" s="8"/>
    </row>
    <row r="672" spans="1:2" x14ac:dyDescent="0.25">
      <c r="A672" s="9"/>
      <c r="B672" s="8"/>
    </row>
    <row r="673" spans="1:2" x14ac:dyDescent="0.25">
      <c r="A673" s="9"/>
      <c r="B673" s="8"/>
    </row>
    <row r="674" spans="1:2" x14ac:dyDescent="0.25">
      <c r="A674" s="9"/>
      <c r="B674" s="8"/>
    </row>
    <row r="675" spans="1:2" x14ac:dyDescent="0.25">
      <c r="A675" s="9"/>
      <c r="B675" s="8"/>
    </row>
    <row r="676" spans="1:2" x14ac:dyDescent="0.25">
      <c r="A676" s="9"/>
      <c r="B676" s="8"/>
    </row>
    <row r="677" spans="1:2" x14ac:dyDescent="0.25">
      <c r="A677" s="9"/>
      <c r="B677" s="8"/>
    </row>
    <row r="678" spans="1:2" x14ac:dyDescent="0.25">
      <c r="A678" s="9"/>
      <c r="B678" s="8"/>
    </row>
    <row r="679" spans="1:2" x14ac:dyDescent="0.25">
      <c r="A679" s="9"/>
      <c r="B679" s="8"/>
    </row>
    <row r="680" spans="1:2" x14ac:dyDescent="0.25">
      <c r="A680" s="9"/>
      <c r="B680" s="8"/>
    </row>
    <row r="681" spans="1:2" x14ac:dyDescent="0.25">
      <c r="A681" s="9"/>
      <c r="B681" s="8"/>
    </row>
    <row r="682" spans="1:2" x14ac:dyDescent="0.25">
      <c r="A682" s="9"/>
      <c r="B682" s="8"/>
    </row>
    <row r="683" spans="1:2" x14ac:dyDescent="0.25">
      <c r="A683" s="9"/>
      <c r="B683" s="8"/>
    </row>
    <row r="684" spans="1:2" x14ac:dyDescent="0.25">
      <c r="A684" s="9"/>
      <c r="B684" s="8"/>
    </row>
    <row r="685" spans="1:2" x14ac:dyDescent="0.25">
      <c r="A685" s="9"/>
      <c r="B685" s="8"/>
    </row>
    <row r="686" spans="1:2" x14ac:dyDescent="0.25">
      <c r="A686" s="9"/>
      <c r="B686" s="8"/>
    </row>
    <row r="687" spans="1:2" x14ac:dyDescent="0.25">
      <c r="A687" s="9"/>
      <c r="B687" s="8"/>
    </row>
    <row r="688" spans="1:2" x14ac:dyDescent="0.25">
      <c r="A688" s="9"/>
      <c r="B688" s="8"/>
    </row>
    <row r="689" spans="1:2" x14ac:dyDescent="0.25">
      <c r="A689" s="9"/>
      <c r="B689" s="8"/>
    </row>
    <row r="690" spans="1:2" x14ac:dyDescent="0.25">
      <c r="A690" s="9"/>
      <c r="B690" s="8"/>
    </row>
    <row r="691" spans="1:2" x14ac:dyDescent="0.25">
      <c r="A691" s="9"/>
      <c r="B691" s="8"/>
    </row>
    <row r="692" spans="1:2" x14ac:dyDescent="0.25">
      <c r="A692" s="9"/>
      <c r="B692" s="8"/>
    </row>
    <row r="693" spans="1:2" x14ac:dyDescent="0.25">
      <c r="A693" s="9"/>
      <c r="B693" s="8"/>
    </row>
    <row r="694" spans="1:2" x14ac:dyDescent="0.25">
      <c r="A694" s="9"/>
      <c r="B694" s="8"/>
    </row>
    <row r="695" spans="1:2" x14ac:dyDescent="0.25">
      <c r="A695" s="9"/>
      <c r="B695" s="8"/>
    </row>
    <row r="696" spans="1:2" x14ac:dyDescent="0.25">
      <c r="A696" s="9"/>
      <c r="B696" s="8"/>
    </row>
    <row r="697" spans="1:2" x14ac:dyDescent="0.25">
      <c r="A697" s="9"/>
      <c r="B697" s="8"/>
    </row>
    <row r="698" spans="1:2" x14ac:dyDescent="0.25">
      <c r="A698" s="9"/>
      <c r="B698" s="8"/>
    </row>
    <row r="699" spans="1:2" x14ac:dyDescent="0.25">
      <c r="A699" s="9"/>
      <c r="B699" s="8"/>
    </row>
    <row r="700" spans="1:2" x14ac:dyDescent="0.25">
      <c r="A700" s="9"/>
      <c r="B700" s="8"/>
    </row>
    <row r="701" spans="1:2" x14ac:dyDescent="0.25">
      <c r="A701" s="9"/>
      <c r="B701" s="8"/>
    </row>
    <row r="702" spans="1:2" x14ac:dyDescent="0.25">
      <c r="A702" s="9"/>
      <c r="B702" s="8"/>
    </row>
    <row r="703" spans="1:2" x14ac:dyDescent="0.25">
      <c r="A703" s="9"/>
      <c r="B703" s="8"/>
    </row>
    <row r="704" spans="1:2" x14ac:dyDescent="0.25">
      <c r="A704" s="9"/>
      <c r="B704" s="8"/>
    </row>
    <row r="705" spans="1:2" x14ac:dyDescent="0.25">
      <c r="A705" s="9"/>
      <c r="B705" s="8"/>
    </row>
    <row r="706" spans="1:2" x14ac:dyDescent="0.25">
      <c r="A706" s="9"/>
      <c r="B706" s="8"/>
    </row>
    <row r="707" spans="1:2" x14ac:dyDescent="0.25">
      <c r="A707" s="9"/>
      <c r="B707" s="8"/>
    </row>
    <row r="708" spans="1:2" x14ac:dyDescent="0.25">
      <c r="A708" s="9"/>
      <c r="B708" s="8"/>
    </row>
    <row r="709" spans="1:2" x14ac:dyDescent="0.25">
      <c r="A709" s="9"/>
      <c r="B709" s="8"/>
    </row>
    <row r="710" spans="1:2" x14ac:dyDescent="0.25">
      <c r="A710" s="9"/>
      <c r="B710" s="8"/>
    </row>
    <row r="711" spans="1:2" x14ac:dyDescent="0.25">
      <c r="A711" s="9"/>
      <c r="B711" s="8"/>
    </row>
    <row r="712" spans="1:2" x14ac:dyDescent="0.25">
      <c r="A712" s="9"/>
      <c r="B712" s="8"/>
    </row>
    <row r="713" spans="1:2" x14ac:dyDescent="0.25">
      <c r="A713" s="9"/>
      <c r="B713" s="8"/>
    </row>
    <row r="714" spans="1:2" x14ac:dyDescent="0.25">
      <c r="A714" s="9"/>
      <c r="B714" s="8"/>
    </row>
    <row r="715" spans="1:2" x14ac:dyDescent="0.25">
      <c r="A715" s="9"/>
      <c r="B715" s="8"/>
    </row>
    <row r="716" spans="1:2" x14ac:dyDescent="0.25">
      <c r="A716" s="9"/>
      <c r="B716" s="8"/>
    </row>
    <row r="717" spans="1:2" x14ac:dyDescent="0.25">
      <c r="A717" s="9"/>
      <c r="B717" s="8"/>
    </row>
    <row r="718" spans="1:2" x14ac:dyDescent="0.25">
      <c r="A718" s="9"/>
      <c r="B718" s="8"/>
    </row>
    <row r="719" spans="1:2" x14ac:dyDescent="0.25">
      <c r="A719" s="9"/>
      <c r="B719" s="8"/>
    </row>
    <row r="720" spans="1:2" x14ac:dyDescent="0.25">
      <c r="A720" s="9"/>
      <c r="B720" s="8"/>
    </row>
    <row r="721" spans="1:2" x14ac:dyDescent="0.25">
      <c r="A721" s="9"/>
      <c r="B721" s="8"/>
    </row>
    <row r="722" spans="1:2" x14ac:dyDescent="0.25">
      <c r="A722" s="9"/>
      <c r="B722" s="8"/>
    </row>
    <row r="723" spans="1:2" x14ac:dyDescent="0.25">
      <c r="A723" s="9"/>
      <c r="B723" s="8"/>
    </row>
    <row r="724" spans="1:2" x14ac:dyDescent="0.25">
      <c r="A724" s="9"/>
      <c r="B724" s="8"/>
    </row>
    <row r="725" spans="1:2" x14ac:dyDescent="0.25">
      <c r="A725" s="9"/>
      <c r="B725" s="8"/>
    </row>
    <row r="726" spans="1:2" x14ac:dyDescent="0.25">
      <c r="A726" s="9"/>
      <c r="B726" s="8"/>
    </row>
    <row r="727" spans="1:2" x14ac:dyDescent="0.25">
      <c r="A727" s="9"/>
      <c r="B727" s="8"/>
    </row>
    <row r="728" spans="1:2" x14ac:dyDescent="0.25">
      <c r="A728" s="9"/>
      <c r="B728" s="8"/>
    </row>
    <row r="729" spans="1:2" x14ac:dyDescent="0.25">
      <c r="A729" s="9"/>
      <c r="B729" s="8"/>
    </row>
    <row r="730" spans="1:2" x14ac:dyDescent="0.25">
      <c r="A730" s="9"/>
      <c r="B730" s="8"/>
    </row>
    <row r="731" spans="1:2" x14ac:dyDescent="0.25">
      <c r="A731" s="9"/>
      <c r="B731" s="8"/>
    </row>
    <row r="732" spans="1:2" x14ac:dyDescent="0.25">
      <c r="A732" s="9"/>
      <c r="B732" s="8"/>
    </row>
    <row r="733" spans="1:2" x14ac:dyDescent="0.25">
      <c r="A733" s="9"/>
      <c r="B733" s="8"/>
    </row>
    <row r="734" spans="1:2" x14ac:dyDescent="0.25">
      <c r="A734" s="9"/>
      <c r="B734" s="8"/>
    </row>
    <row r="735" spans="1:2" x14ac:dyDescent="0.25">
      <c r="A735" s="9"/>
      <c r="B735" s="8"/>
    </row>
    <row r="736" spans="1:2" x14ac:dyDescent="0.25">
      <c r="A736" s="9"/>
      <c r="B736" s="8"/>
    </row>
    <row r="737" spans="1:2" x14ac:dyDescent="0.25">
      <c r="A737" s="9"/>
      <c r="B737" s="8"/>
    </row>
    <row r="738" spans="1:2" x14ac:dyDescent="0.25">
      <c r="A738" s="9"/>
      <c r="B738" s="8"/>
    </row>
    <row r="739" spans="1:2" x14ac:dyDescent="0.25">
      <c r="A739" s="9"/>
      <c r="B739" s="8"/>
    </row>
    <row r="740" spans="1:2" x14ac:dyDescent="0.25">
      <c r="A740" s="9"/>
      <c r="B740" s="8"/>
    </row>
    <row r="741" spans="1:2" x14ac:dyDescent="0.25">
      <c r="A741" s="9"/>
      <c r="B741" s="8"/>
    </row>
    <row r="742" spans="1:2" x14ac:dyDescent="0.25">
      <c r="A742" s="9"/>
      <c r="B742" s="8"/>
    </row>
    <row r="743" spans="1:2" x14ac:dyDescent="0.25">
      <c r="A743" s="9"/>
      <c r="B743" s="8"/>
    </row>
    <row r="744" spans="1:2" x14ac:dyDescent="0.25">
      <c r="A744" s="9"/>
      <c r="B744" s="8"/>
    </row>
    <row r="745" spans="1:2" x14ac:dyDescent="0.25">
      <c r="A745" s="9"/>
      <c r="B745" s="8"/>
    </row>
    <row r="746" spans="1:2" x14ac:dyDescent="0.25">
      <c r="A746" s="9"/>
      <c r="B746" s="8"/>
    </row>
    <row r="747" spans="1:2" x14ac:dyDescent="0.25">
      <c r="A747" s="9"/>
      <c r="B747" s="8"/>
    </row>
    <row r="748" spans="1:2" x14ac:dyDescent="0.25">
      <c r="A748" s="9"/>
      <c r="B748" s="8"/>
    </row>
    <row r="749" spans="1:2" x14ac:dyDescent="0.25">
      <c r="A749" s="9"/>
      <c r="B749" s="8"/>
    </row>
    <row r="750" spans="1:2" x14ac:dyDescent="0.25">
      <c r="A750" s="9"/>
      <c r="B750" s="8"/>
    </row>
    <row r="751" spans="1:2" x14ac:dyDescent="0.25">
      <c r="A751" s="9"/>
      <c r="B751" s="8"/>
    </row>
    <row r="752" spans="1:2" x14ac:dyDescent="0.25">
      <c r="A752" s="9"/>
      <c r="B752" s="8"/>
    </row>
    <row r="753" spans="1:2" x14ac:dyDescent="0.25">
      <c r="A753" s="9"/>
      <c r="B753" s="8"/>
    </row>
    <row r="754" spans="1:2" x14ac:dyDescent="0.25">
      <c r="A754" s="9"/>
      <c r="B754" s="8"/>
    </row>
    <row r="755" spans="1:2" x14ac:dyDescent="0.25">
      <c r="A755" s="9"/>
      <c r="B755" s="8"/>
    </row>
    <row r="756" spans="1:2" x14ac:dyDescent="0.25">
      <c r="A756" s="9"/>
      <c r="B756" s="8"/>
    </row>
    <row r="757" spans="1:2" x14ac:dyDescent="0.25">
      <c r="A757" s="9"/>
      <c r="B757" s="8"/>
    </row>
    <row r="758" spans="1:2" x14ac:dyDescent="0.25">
      <c r="A758" s="9"/>
      <c r="B758" s="8"/>
    </row>
    <row r="759" spans="1:2" x14ac:dyDescent="0.25">
      <c r="A759" s="9"/>
      <c r="B759" s="8"/>
    </row>
    <row r="760" spans="1:2" x14ac:dyDescent="0.25">
      <c r="A760" s="9"/>
      <c r="B760" s="8"/>
    </row>
    <row r="761" spans="1:2" x14ac:dyDescent="0.25">
      <c r="A761" s="9"/>
      <c r="B761" s="8"/>
    </row>
    <row r="762" spans="1:2" x14ac:dyDescent="0.25">
      <c r="A762" s="9"/>
      <c r="B762" s="8"/>
    </row>
    <row r="763" spans="1:2" x14ac:dyDescent="0.25">
      <c r="A763" s="9"/>
      <c r="B763" s="8"/>
    </row>
    <row r="764" spans="1:2" x14ac:dyDescent="0.25">
      <c r="A764" s="9"/>
      <c r="B764" s="8"/>
    </row>
    <row r="765" spans="1:2" x14ac:dyDescent="0.25">
      <c r="A765" s="9"/>
      <c r="B765" s="8"/>
    </row>
    <row r="766" spans="1:2" x14ac:dyDescent="0.25">
      <c r="A766" s="9"/>
      <c r="B766" s="8"/>
    </row>
    <row r="767" spans="1:2" x14ac:dyDescent="0.25">
      <c r="A767" s="9"/>
      <c r="B767" s="8"/>
    </row>
    <row r="768" spans="1:2" x14ac:dyDescent="0.25">
      <c r="A768" s="9"/>
      <c r="B768" s="8"/>
    </row>
    <row r="769" spans="1:2" x14ac:dyDescent="0.25">
      <c r="A769" s="9"/>
      <c r="B769" s="8"/>
    </row>
    <row r="770" spans="1:2" x14ac:dyDescent="0.25">
      <c r="A770" s="9"/>
      <c r="B770" s="8"/>
    </row>
    <row r="771" spans="1:2" x14ac:dyDescent="0.25">
      <c r="A771" s="9"/>
      <c r="B771" s="8"/>
    </row>
    <row r="772" spans="1:2" x14ac:dyDescent="0.25">
      <c r="A772" s="9"/>
      <c r="B772" s="8"/>
    </row>
    <row r="773" spans="1:2" x14ac:dyDescent="0.25">
      <c r="A773" s="9"/>
      <c r="B773" s="8"/>
    </row>
    <row r="774" spans="1:2" x14ac:dyDescent="0.25">
      <c r="A774" s="9"/>
      <c r="B774" s="8"/>
    </row>
    <row r="775" spans="1:2" x14ac:dyDescent="0.25">
      <c r="A775" s="9"/>
      <c r="B775" s="8"/>
    </row>
    <row r="776" spans="1:2" x14ac:dyDescent="0.25">
      <c r="A776" s="9"/>
      <c r="B776" s="8"/>
    </row>
    <row r="777" spans="1:2" x14ac:dyDescent="0.25">
      <c r="A777" s="9"/>
      <c r="B777" s="8"/>
    </row>
    <row r="778" spans="1:2" x14ac:dyDescent="0.25">
      <c r="A778" s="9"/>
      <c r="B778" s="8"/>
    </row>
    <row r="779" spans="1:2" x14ac:dyDescent="0.25">
      <c r="A779" s="9"/>
      <c r="B779" s="8"/>
    </row>
    <row r="780" spans="1:2" x14ac:dyDescent="0.25">
      <c r="A780" s="9"/>
      <c r="B780" s="8"/>
    </row>
    <row r="781" spans="1:2" x14ac:dyDescent="0.25">
      <c r="A781" s="9"/>
      <c r="B781" s="8"/>
    </row>
    <row r="782" spans="1:2" x14ac:dyDescent="0.25">
      <c r="A782" s="9"/>
      <c r="B782" s="8"/>
    </row>
    <row r="783" spans="1:2" x14ac:dyDescent="0.25">
      <c r="A783" s="9"/>
      <c r="B783" s="8"/>
    </row>
    <row r="784" spans="1:2" x14ac:dyDescent="0.25">
      <c r="A784" s="9"/>
      <c r="B784" s="8"/>
    </row>
    <row r="785" spans="1:2" x14ac:dyDescent="0.25">
      <c r="A785" s="9"/>
      <c r="B785" s="8"/>
    </row>
    <row r="786" spans="1:2" x14ac:dyDescent="0.25">
      <c r="A786" s="9"/>
      <c r="B786" s="8"/>
    </row>
    <row r="787" spans="1:2" x14ac:dyDescent="0.25">
      <c r="A787" s="9"/>
      <c r="B787" s="8"/>
    </row>
    <row r="788" spans="1:2" x14ac:dyDescent="0.25">
      <c r="A788" s="9"/>
      <c r="B788" s="8"/>
    </row>
    <row r="789" spans="1:2" x14ac:dyDescent="0.25">
      <c r="A789" s="9"/>
      <c r="B789" s="8"/>
    </row>
    <row r="790" spans="1:2" x14ac:dyDescent="0.25">
      <c r="A790" s="9"/>
      <c r="B790" s="8"/>
    </row>
    <row r="791" spans="1:2" x14ac:dyDescent="0.25">
      <c r="A791" s="9"/>
      <c r="B791" s="8"/>
    </row>
    <row r="792" spans="1:2" x14ac:dyDescent="0.25">
      <c r="A792" s="9"/>
      <c r="B792" s="8"/>
    </row>
    <row r="793" spans="1:2" x14ac:dyDescent="0.25">
      <c r="A793" s="9"/>
      <c r="B793" s="8"/>
    </row>
    <row r="794" spans="1:2" x14ac:dyDescent="0.25">
      <c r="A794" s="9"/>
      <c r="B794" s="8"/>
    </row>
    <row r="795" spans="1:2" x14ac:dyDescent="0.25">
      <c r="A795" s="9"/>
      <c r="B795" s="8"/>
    </row>
    <row r="796" spans="1:2" x14ac:dyDescent="0.25">
      <c r="A796" s="9"/>
      <c r="B796" s="8"/>
    </row>
    <row r="797" spans="1:2" x14ac:dyDescent="0.25">
      <c r="A797" s="9"/>
      <c r="B797" s="8"/>
    </row>
    <row r="798" spans="1:2" x14ac:dyDescent="0.25">
      <c r="A798" s="9"/>
      <c r="B798" s="8"/>
    </row>
    <row r="799" spans="1:2" x14ac:dyDescent="0.25">
      <c r="A799" s="9"/>
      <c r="B799" s="8"/>
    </row>
    <row r="800" spans="1:2" x14ac:dyDescent="0.25">
      <c r="A800" s="9"/>
      <c r="B800" s="8"/>
    </row>
    <row r="801" spans="1:2" x14ac:dyDescent="0.25">
      <c r="A801" s="9"/>
      <c r="B801" s="8"/>
    </row>
    <row r="802" spans="1:2" x14ac:dyDescent="0.25">
      <c r="A802" s="9"/>
      <c r="B802" s="8"/>
    </row>
    <row r="803" spans="1:2" x14ac:dyDescent="0.25">
      <c r="A803" s="9"/>
      <c r="B803" s="8"/>
    </row>
    <row r="804" spans="1:2" x14ac:dyDescent="0.25">
      <c r="A804" s="9"/>
      <c r="B804" s="8"/>
    </row>
    <row r="805" spans="1:2" x14ac:dyDescent="0.25">
      <c r="A805" s="9"/>
      <c r="B805" s="8"/>
    </row>
    <row r="806" spans="1:2" x14ac:dyDescent="0.25">
      <c r="A806" s="9"/>
      <c r="B806" s="8"/>
    </row>
    <row r="807" spans="1:2" x14ac:dyDescent="0.25">
      <c r="A807" s="9"/>
      <c r="B807" s="8"/>
    </row>
    <row r="808" spans="1:2" x14ac:dyDescent="0.25">
      <c r="A808" s="9"/>
      <c r="B808" s="8"/>
    </row>
    <row r="809" spans="1:2" x14ac:dyDescent="0.25">
      <c r="A809" s="9"/>
      <c r="B809" s="8"/>
    </row>
    <row r="810" spans="1:2" x14ac:dyDescent="0.25">
      <c r="A810" s="9"/>
      <c r="B810" s="8"/>
    </row>
    <row r="811" spans="1:2" x14ac:dyDescent="0.25">
      <c r="A811" s="9"/>
      <c r="B811" s="8"/>
    </row>
    <row r="812" spans="1:2" x14ac:dyDescent="0.25">
      <c r="A812" s="9"/>
      <c r="B812" s="8"/>
    </row>
    <row r="813" spans="1:2" x14ac:dyDescent="0.25">
      <c r="A813" s="9"/>
      <c r="B813" s="8"/>
    </row>
    <row r="814" spans="1:2" x14ac:dyDescent="0.25">
      <c r="A814" s="9"/>
      <c r="B814" s="8"/>
    </row>
    <row r="815" spans="1:2" x14ac:dyDescent="0.25">
      <c r="A815" s="9"/>
      <c r="B815" s="8"/>
    </row>
    <row r="816" spans="1:2" x14ac:dyDescent="0.25">
      <c r="A816" s="9"/>
      <c r="B816" s="8"/>
    </row>
    <row r="817" spans="1:2" x14ac:dyDescent="0.25">
      <c r="A817" s="9"/>
      <c r="B817" s="8"/>
    </row>
    <row r="818" spans="1:2" x14ac:dyDescent="0.25">
      <c r="A818" s="9"/>
      <c r="B818" s="8"/>
    </row>
    <row r="819" spans="1:2" x14ac:dyDescent="0.25">
      <c r="A819" s="9"/>
      <c r="B819" s="8"/>
    </row>
    <row r="820" spans="1:2" x14ac:dyDescent="0.25">
      <c r="A820" s="9"/>
      <c r="B820" s="8"/>
    </row>
    <row r="821" spans="1:2" x14ac:dyDescent="0.25">
      <c r="A821" s="9"/>
      <c r="B821" s="8"/>
    </row>
    <row r="822" spans="1:2" x14ac:dyDescent="0.25">
      <c r="A822" s="9"/>
      <c r="B822" s="8"/>
    </row>
    <row r="823" spans="1:2" x14ac:dyDescent="0.25">
      <c r="A823" s="9"/>
      <c r="B823" s="8"/>
    </row>
    <row r="824" spans="1:2" x14ac:dyDescent="0.25">
      <c r="A824" s="9"/>
      <c r="B824" s="8"/>
    </row>
    <row r="825" spans="1:2" x14ac:dyDescent="0.25">
      <c r="A825" s="9"/>
      <c r="B825" s="8"/>
    </row>
    <row r="826" spans="1:2" x14ac:dyDescent="0.25">
      <c r="A826" s="9"/>
      <c r="B826" s="8"/>
    </row>
    <row r="827" spans="1:2" x14ac:dyDescent="0.25">
      <c r="A827" s="9"/>
      <c r="B827" s="8"/>
    </row>
    <row r="828" spans="1:2" x14ac:dyDescent="0.25">
      <c r="A828" s="9"/>
      <c r="B828" s="8"/>
    </row>
    <row r="829" spans="1:2" x14ac:dyDescent="0.25">
      <c r="A829" s="9"/>
      <c r="B829" s="8"/>
    </row>
    <row r="830" spans="1:2" x14ac:dyDescent="0.25">
      <c r="A830" s="9"/>
      <c r="B830" s="8"/>
    </row>
    <row r="831" spans="1:2" x14ac:dyDescent="0.25">
      <c r="A831" s="9"/>
      <c r="B831" s="8"/>
    </row>
    <row r="832" spans="1:2" x14ac:dyDescent="0.25">
      <c r="A832" s="9"/>
      <c r="B832" s="8"/>
    </row>
    <row r="833" spans="1:2" x14ac:dyDescent="0.25">
      <c r="A833" s="9"/>
      <c r="B833" s="8"/>
    </row>
    <row r="834" spans="1:2" x14ac:dyDescent="0.25">
      <c r="A834" s="9"/>
      <c r="B834" s="8"/>
    </row>
    <row r="835" spans="1:2" x14ac:dyDescent="0.25">
      <c r="A835" s="9"/>
      <c r="B835" s="8"/>
    </row>
    <row r="836" spans="1:2" x14ac:dyDescent="0.25">
      <c r="A836" s="9"/>
      <c r="B836" s="8"/>
    </row>
    <row r="837" spans="1:2" x14ac:dyDescent="0.25">
      <c r="A837" s="9"/>
      <c r="B837" s="8"/>
    </row>
    <row r="838" spans="1:2" x14ac:dyDescent="0.25">
      <c r="A838" s="9"/>
      <c r="B838" s="8"/>
    </row>
    <row r="839" spans="1:2" x14ac:dyDescent="0.25">
      <c r="A839" s="9"/>
      <c r="B839" s="8"/>
    </row>
    <row r="840" spans="1:2" x14ac:dyDescent="0.25">
      <c r="A840" s="9"/>
      <c r="B840" s="8"/>
    </row>
    <row r="841" spans="1:2" x14ac:dyDescent="0.25">
      <c r="A841" s="9"/>
      <c r="B841" s="8"/>
    </row>
    <row r="842" spans="1:2" x14ac:dyDescent="0.25">
      <c r="A842" s="9"/>
      <c r="B842" s="8"/>
    </row>
    <row r="843" spans="1:2" x14ac:dyDescent="0.25">
      <c r="A843" s="9"/>
      <c r="B843" s="8"/>
    </row>
    <row r="844" spans="1:2" x14ac:dyDescent="0.25">
      <c r="A844" s="9"/>
      <c r="B844" s="8"/>
    </row>
    <row r="845" spans="1:2" x14ac:dyDescent="0.25">
      <c r="A845" s="9"/>
      <c r="B845" s="8"/>
    </row>
    <row r="846" spans="1:2" x14ac:dyDescent="0.25">
      <c r="A846" s="9"/>
      <c r="B846" s="8"/>
    </row>
    <row r="847" spans="1:2" x14ac:dyDescent="0.25">
      <c r="A847" s="9"/>
      <c r="B847" s="8"/>
    </row>
    <row r="848" spans="1:2" x14ac:dyDescent="0.25">
      <c r="A848" s="9"/>
      <c r="B848" s="8"/>
    </row>
    <row r="849" spans="1:2" x14ac:dyDescent="0.25">
      <c r="A849" s="9"/>
      <c r="B849" s="8"/>
    </row>
    <row r="850" spans="1:2" x14ac:dyDescent="0.25">
      <c r="A850" s="9"/>
      <c r="B850" s="8"/>
    </row>
    <row r="851" spans="1:2" x14ac:dyDescent="0.25">
      <c r="A851" s="9"/>
      <c r="B851" s="8"/>
    </row>
    <row r="852" spans="1:2" x14ac:dyDescent="0.25">
      <c r="A852" s="9"/>
      <c r="B852" s="8"/>
    </row>
    <row r="853" spans="1:2" x14ac:dyDescent="0.25">
      <c r="A853" s="9"/>
      <c r="B853" s="8"/>
    </row>
    <row r="854" spans="1:2" x14ac:dyDescent="0.25">
      <c r="A854" s="9"/>
      <c r="B854" s="8"/>
    </row>
    <row r="855" spans="1:2" x14ac:dyDescent="0.25">
      <c r="A855" s="9"/>
      <c r="B855" s="8"/>
    </row>
    <row r="856" spans="1:2" x14ac:dyDescent="0.25">
      <c r="A856" s="9"/>
      <c r="B856" s="8"/>
    </row>
    <row r="857" spans="1:2" x14ac:dyDescent="0.25">
      <c r="A857" s="9"/>
      <c r="B857" s="8"/>
    </row>
    <row r="858" spans="1:2" x14ac:dyDescent="0.25">
      <c r="A858" s="9"/>
      <c r="B858" s="8"/>
    </row>
    <row r="859" spans="1:2" x14ac:dyDescent="0.25">
      <c r="A859" s="9"/>
      <c r="B859" s="8"/>
    </row>
    <row r="860" spans="1:2" x14ac:dyDescent="0.25">
      <c r="A860" s="9"/>
      <c r="B860" s="8"/>
    </row>
    <row r="861" spans="1:2" x14ac:dyDescent="0.25">
      <c r="A861" s="9"/>
      <c r="B861" s="8"/>
    </row>
    <row r="862" spans="1:2" x14ac:dyDescent="0.25">
      <c r="A862" s="9"/>
      <c r="B862" s="8"/>
    </row>
    <row r="863" spans="1:2" x14ac:dyDescent="0.25">
      <c r="A863" s="9"/>
      <c r="B863" s="8"/>
    </row>
    <row r="864" spans="1:2" x14ac:dyDescent="0.25">
      <c r="A864" s="9"/>
      <c r="B864" s="8"/>
    </row>
    <row r="865" spans="1:2" x14ac:dyDescent="0.25">
      <c r="A865" s="9"/>
      <c r="B865" s="8"/>
    </row>
    <row r="866" spans="1:2" x14ac:dyDescent="0.25">
      <c r="A866" s="9"/>
      <c r="B866" s="8"/>
    </row>
    <row r="867" spans="1:2" x14ac:dyDescent="0.25">
      <c r="A867" s="9"/>
      <c r="B867" s="8"/>
    </row>
    <row r="868" spans="1:2" x14ac:dyDescent="0.25">
      <c r="A868" s="9"/>
      <c r="B868" s="8"/>
    </row>
    <row r="869" spans="1:2" x14ac:dyDescent="0.25">
      <c r="A869" s="9"/>
      <c r="B869" s="8"/>
    </row>
    <row r="870" spans="1:2" x14ac:dyDescent="0.25">
      <c r="A870" s="9"/>
      <c r="B870" s="8"/>
    </row>
    <row r="871" spans="1:2" x14ac:dyDescent="0.25">
      <c r="A871" s="9"/>
      <c r="B871" s="8"/>
    </row>
    <row r="872" spans="1:2" x14ac:dyDescent="0.25">
      <c r="A872" s="9"/>
      <c r="B872" s="8"/>
    </row>
    <row r="873" spans="1:2" x14ac:dyDescent="0.25">
      <c r="A873" s="9"/>
      <c r="B873" s="8"/>
    </row>
    <row r="874" spans="1:2" x14ac:dyDescent="0.25">
      <c r="A874" s="9"/>
      <c r="B874" s="8"/>
    </row>
    <row r="875" spans="1:2" x14ac:dyDescent="0.25">
      <c r="A875" s="9"/>
      <c r="B875" s="8"/>
    </row>
    <row r="876" spans="1:2" x14ac:dyDescent="0.25">
      <c r="A876" s="9"/>
      <c r="B876" s="8"/>
    </row>
    <row r="877" spans="1:2" x14ac:dyDescent="0.25">
      <c r="A877" s="9"/>
      <c r="B877" s="8"/>
    </row>
    <row r="878" spans="1:2" x14ac:dyDescent="0.25">
      <c r="A878" s="9"/>
      <c r="B878" s="8"/>
    </row>
    <row r="879" spans="1:2" x14ac:dyDescent="0.25">
      <c r="A879" s="9"/>
      <c r="B879" s="8"/>
    </row>
    <row r="880" spans="1:2" x14ac:dyDescent="0.25">
      <c r="A880" s="9"/>
      <c r="B880" s="8"/>
    </row>
    <row r="881" spans="1:2" x14ac:dyDescent="0.25">
      <c r="A881" s="9"/>
      <c r="B881" s="8"/>
    </row>
    <row r="882" spans="1:2" x14ac:dyDescent="0.25">
      <c r="A882" s="9"/>
      <c r="B882" s="8"/>
    </row>
    <row r="883" spans="1:2" x14ac:dyDescent="0.25">
      <c r="A883" s="9"/>
      <c r="B883" s="8"/>
    </row>
    <row r="884" spans="1:2" x14ac:dyDescent="0.25">
      <c r="A884" s="9"/>
      <c r="B884" s="8"/>
    </row>
    <row r="885" spans="1:2" x14ac:dyDescent="0.25">
      <c r="A885" s="9"/>
      <c r="B885" s="8"/>
    </row>
    <row r="886" spans="1:2" x14ac:dyDescent="0.25">
      <c r="A886" s="9"/>
      <c r="B886" s="8"/>
    </row>
    <row r="887" spans="1:2" x14ac:dyDescent="0.25">
      <c r="A887" s="9"/>
      <c r="B887" s="8"/>
    </row>
    <row r="888" spans="1:2" x14ac:dyDescent="0.25">
      <c r="A888" s="9"/>
      <c r="B888" s="8"/>
    </row>
    <row r="889" spans="1:2" x14ac:dyDescent="0.25">
      <c r="A889" s="9"/>
      <c r="B889" s="8"/>
    </row>
    <row r="890" spans="1:2" x14ac:dyDescent="0.25">
      <c r="A890" s="9"/>
      <c r="B890" s="8"/>
    </row>
    <row r="891" spans="1:2" x14ac:dyDescent="0.25">
      <c r="A891" s="9"/>
      <c r="B891" s="8"/>
    </row>
    <row r="892" spans="1:2" x14ac:dyDescent="0.25">
      <c r="A892" s="9"/>
      <c r="B892" s="8"/>
    </row>
    <row r="893" spans="1:2" x14ac:dyDescent="0.25">
      <c r="A893" s="9"/>
      <c r="B893" s="8"/>
    </row>
    <row r="894" spans="1:2" x14ac:dyDescent="0.25">
      <c r="A894" s="9"/>
      <c r="B894" s="8"/>
    </row>
    <row r="895" spans="1:2" x14ac:dyDescent="0.25">
      <c r="A895" s="9"/>
      <c r="B895" s="8"/>
    </row>
    <row r="896" spans="1:2" x14ac:dyDescent="0.25">
      <c r="A896" s="9"/>
      <c r="B896" s="8"/>
    </row>
    <row r="897" spans="1:2" x14ac:dyDescent="0.25">
      <c r="A897" s="9"/>
      <c r="B897" s="8"/>
    </row>
    <row r="898" spans="1:2" x14ac:dyDescent="0.25">
      <c r="A898" s="9"/>
      <c r="B898" s="8"/>
    </row>
    <row r="899" spans="1:2" x14ac:dyDescent="0.25">
      <c r="A899" s="9"/>
      <c r="B899" s="8"/>
    </row>
    <row r="900" spans="1:2" x14ac:dyDescent="0.25">
      <c r="A900" s="9"/>
      <c r="B900" s="8"/>
    </row>
    <row r="901" spans="1:2" x14ac:dyDescent="0.25">
      <c r="A901" s="9"/>
      <c r="B901" s="8"/>
    </row>
    <row r="902" spans="1:2" x14ac:dyDescent="0.25">
      <c r="A902" s="9"/>
      <c r="B902" s="8"/>
    </row>
    <row r="903" spans="1:2" x14ac:dyDescent="0.25">
      <c r="A903" s="9"/>
      <c r="B903" s="8"/>
    </row>
    <row r="904" spans="1:2" x14ac:dyDescent="0.25">
      <c r="A904" s="9"/>
      <c r="B904" s="8"/>
    </row>
    <row r="905" spans="1:2" x14ac:dyDescent="0.25">
      <c r="A905" s="9"/>
      <c r="B905" s="8"/>
    </row>
    <row r="906" spans="1:2" x14ac:dyDescent="0.25">
      <c r="A906" s="9"/>
      <c r="B906" s="8"/>
    </row>
    <row r="907" spans="1:2" x14ac:dyDescent="0.25">
      <c r="A907" s="9"/>
      <c r="B907" s="8"/>
    </row>
    <row r="908" spans="1:2" x14ac:dyDescent="0.25">
      <c r="A908" s="9"/>
      <c r="B908" s="8"/>
    </row>
    <row r="909" spans="1:2" x14ac:dyDescent="0.25">
      <c r="A909" s="9"/>
      <c r="B909" s="8"/>
    </row>
    <row r="910" spans="1:2" x14ac:dyDescent="0.25">
      <c r="A910" s="9"/>
      <c r="B910" s="8"/>
    </row>
    <row r="911" spans="1:2" x14ac:dyDescent="0.25">
      <c r="A911" s="9"/>
      <c r="B911" s="8"/>
    </row>
    <row r="912" spans="1:2" x14ac:dyDescent="0.25">
      <c r="A912" s="9"/>
      <c r="B912" s="8"/>
    </row>
    <row r="913" spans="1:2" x14ac:dyDescent="0.25">
      <c r="A913" s="9"/>
      <c r="B913" s="8"/>
    </row>
    <row r="914" spans="1:2" x14ac:dyDescent="0.25">
      <c r="A914" s="9"/>
      <c r="B914" s="8"/>
    </row>
    <row r="915" spans="1:2" x14ac:dyDescent="0.25">
      <c r="A915" s="9"/>
      <c r="B915" s="8"/>
    </row>
    <row r="916" spans="1:2" x14ac:dyDescent="0.25">
      <c r="A916" s="9"/>
      <c r="B916" s="8"/>
    </row>
    <row r="917" spans="1:2" x14ac:dyDescent="0.25">
      <c r="A917" s="9"/>
      <c r="B917" s="8"/>
    </row>
    <row r="918" spans="1:2" x14ac:dyDescent="0.25">
      <c r="A918" s="9"/>
      <c r="B918" s="8"/>
    </row>
    <row r="919" spans="1:2" x14ac:dyDescent="0.25">
      <c r="A919" s="9"/>
      <c r="B919" s="8"/>
    </row>
    <row r="920" spans="1:2" x14ac:dyDescent="0.25">
      <c r="A920" s="9"/>
      <c r="B920" s="8"/>
    </row>
    <row r="921" spans="1:2" x14ac:dyDescent="0.25">
      <c r="A921" s="9"/>
      <c r="B921" s="8"/>
    </row>
    <row r="922" spans="1:2" x14ac:dyDescent="0.25">
      <c r="A922" s="9"/>
      <c r="B922" s="8"/>
    </row>
    <row r="923" spans="1:2" x14ac:dyDescent="0.25">
      <c r="A923" s="9"/>
      <c r="B923" s="8"/>
    </row>
    <row r="924" spans="1:2" x14ac:dyDescent="0.25">
      <c r="A924" s="9"/>
      <c r="B924" s="8"/>
    </row>
    <row r="925" spans="1:2" x14ac:dyDescent="0.25">
      <c r="A925" s="9"/>
      <c r="B925" s="8"/>
    </row>
    <row r="926" spans="1:2" x14ac:dyDescent="0.25">
      <c r="A926" s="9"/>
      <c r="B926" s="8"/>
    </row>
    <row r="927" spans="1:2" x14ac:dyDescent="0.25">
      <c r="A927" s="9"/>
      <c r="B927" s="8"/>
    </row>
    <row r="928" spans="1:2" x14ac:dyDescent="0.25">
      <c r="A928" s="9"/>
      <c r="B928" s="8"/>
    </row>
    <row r="929" spans="1:2" x14ac:dyDescent="0.25">
      <c r="A929" s="9"/>
      <c r="B929" s="8"/>
    </row>
    <row r="930" spans="1:2" x14ac:dyDescent="0.25">
      <c r="A930" s="9"/>
      <c r="B930" s="8"/>
    </row>
    <row r="931" spans="1:2" x14ac:dyDescent="0.25">
      <c r="A931" s="9"/>
      <c r="B931" s="8"/>
    </row>
    <row r="932" spans="1:2" x14ac:dyDescent="0.25">
      <c r="A932" s="9"/>
      <c r="B932" s="8"/>
    </row>
    <row r="933" spans="1:2" x14ac:dyDescent="0.25">
      <c r="A933" s="9"/>
      <c r="B933" s="8"/>
    </row>
    <row r="934" spans="1:2" x14ac:dyDescent="0.25">
      <c r="A934" s="9"/>
      <c r="B934" s="8"/>
    </row>
    <row r="935" spans="1:2" x14ac:dyDescent="0.25">
      <c r="A935" s="9"/>
      <c r="B935" s="8"/>
    </row>
    <row r="936" spans="1:2" x14ac:dyDescent="0.25">
      <c r="A936" s="9"/>
      <c r="B936" s="8"/>
    </row>
    <row r="937" spans="1:2" x14ac:dyDescent="0.25">
      <c r="A937" s="9"/>
      <c r="B937" s="8"/>
    </row>
    <row r="938" spans="1:2" x14ac:dyDescent="0.25">
      <c r="A938" s="9"/>
      <c r="B938" s="8"/>
    </row>
    <row r="939" spans="1:2" x14ac:dyDescent="0.25">
      <c r="A939" s="9"/>
      <c r="B939" s="8"/>
    </row>
    <row r="940" spans="1:2" x14ac:dyDescent="0.25">
      <c r="A940" s="9"/>
      <c r="B940" s="8"/>
    </row>
    <row r="941" spans="1:2" x14ac:dyDescent="0.25">
      <c r="A941" s="9"/>
      <c r="B941" s="8"/>
    </row>
    <row r="942" spans="1:2" x14ac:dyDescent="0.25">
      <c r="A942" s="9"/>
      <c r="B942" s="8"/>
    </row>
    <row r="943" spans="1:2" x14ac:dyDescent="0.25">
      <c r="A943" s="9"/>
      <c r="B943" s="8"/>
    </row>
    <row r="944" spans="1:2" x14ac:dyDescent="0.25">
      <c r="A944" s="9"/>
      <c r="B944" s="8"/>
    </row>
    <row r="945" spans="1:2" x14ac:dyDescent="0.25">
      <c r="A945" s="9"/>
      <c r="B945" s="8"/>
    </row>
    <row r="946" spans="1:2" x14ac:dyDescent="0.25">
      <c r="A946" s="9"/>
      <c r="B946" s="8"/>
    </row>
    <row r="947" spans="1:2" x14ac:dyDescent="0.25">
      <c r="A947" s="9"/>
      <c r="B947" s="8"/>
    </row>
    <row r="948" spans="1:2" x14ac:dyDescent="0.25">
      <c r="A948" s="9"/>
      <c r="B948" s="8"/>
    </row>
    <row r="949" spans="1:2" x14ac:dyDescent="0.25">
      <c r="A949" s="9"/>
      <c r="B949" s="8"/>
    </row>
    <row r="950" spans="1:2" x14ac:dyDescent="0.25">
      <c r="A950" s="9"/>
      <c r="B950" s="8"/>
    </row>
    <row r="951" spans="1:2" x14ac:dyDescent="0.25">
      <c r="A951" s="9"/>
      <c r="B951" s="8"/>
    </row>
    <row r="952" spans="1:2" x14ac:dyDescent="0.25">
      <c r="A952" s="9"/>
      <c r="B952" s="8"/>
    </row>
    <row r="953" spans="1:2" x14ac:dyDescent="0.25">
      <c r="A953" s="9"/>
      <c r="B953" s="8"/>
    </row>
    <row r="954" spans="1:2" x14ac:dyDescent="0.25">
      <c r="A954" s="9"/>
      <c r="B954" s="8"/>
    </row>
    <row r="955" spans="1:2" x14ac:dyDescent="0.25">
      <c r="A955" s="9"/>
      <c r="B955" s="8"/>
    </row>
    <row r="956" spans="1:2" x14ac:dyDescent="0.25">
      <c r="A956" s="9"/>
      <c r="B956" s="8"/>
    </row>
    <row r="957" spans="1:2" x14ac:dyDescent="0.25">
      <c r="A957" s="9"/>
      <c r="B957" s="8"/>
    </row>
    <row r="958" spans="1:2" x14ac:dyDescent="0.25">
      <c r="A958" s="9"/>
      <c r="B958" s="8"/>
    </row>
    <row r="959" spans="1:2" x14ac:dyDescent="0.25">
      <c r="A959" s="9"/>
      <c r="B959" s="8"/>
    </row>
    <row r="960" spans="1:2" x14ac:dyDescent="0.25">
      <c r="A960" s="9"/>
      <c r="B960" s="8"/>
    </row>
    <row r="961" spans="1:2" x14ac:dyDescent="0.25">
      <c r="A961" s="9"/>
      <c r="B961" s="8"/>
    </row>
    <row r="962" spans="1:2" x14ac:dyDescent="0.25">
      <c r="A962" s="9"/>
      <c r="B962" s="8"/>
    </row>
    <row r="963" spans="1:2" x14ac:dyDescent="0.25">
      <c r="A963" s="9"/>
      <c r="B963" s="8"/>
    </row>
    <row r="964" spans="1:2" x14ac:dyDescent="0.25">
      <c r="A964" s="9"/>
      <c r="B964" s="8"/>
    </row>
    <row r="965" spans="1:2" x14ac:dyDescent="0.25">
      <c r="A965" s="9"/>
      <c r="B965" s="8"/>
    </row>
    <row r="966" spans="1:2" x14ac:dyDescent="0.25">
      <c r="A966" s="9"/>
      <c r="B966" s="8"/>
    </row>
    <row r="967" spans="1:2" x14ac:dyDescent="0.25">
      <c r="A967" s="9"/>
      <c r="B967" s="8"/>
    </row>
    <row r="968" spans="1:2" x14ac:dyDescent="0.25">
      <c r="A968" s="9"/>
      <c r="B968" s="8"/>
    </row>
    <row r="969" spans="1:2" x14ac:dyDescent="0.25">
      <c r="A969" s="9"/>
      <c r="B969" s="8"/>
    </row>
    <row r="970" spans="1:2" x14ac:dyDescent="0.25">
      <c r="A970" s="9"/>
      <c r="B970" s="8"/>
    </row>
    <row r="971" spans="1:2" x14ac:dyDescent="0.25">
      <c r="A971" s="9"/>
      <c r="B971" s="8"/>
    </row>
    <row r="972" spans="1:2" x14ac:dyDescent="0.25">
      <c r="A972" s="9"/>
      <c r="B972" s="8"/>
    </row>
    <row r="973" spans="1:2" x14ac:dyDescent="0.25">
      <c r="A973" s="9"/>
      <c r="B973" s="8"/>
    </row>
    <row r="974" spans="1:2" x14ac:dyDescent="0.25">
      <c r="A974" s="9"/>
      <c r="B974" s="8"/>
    </row>
    <row r="975" spans="1:2" x14ac:dyDescent="0.25">
      <c r="A975" s="9"/>
      <c r="B975" s="8"/>
    </row>
    <row r="976" spans="1:2" x14ac:dyDescent="0.25">
      <c r="A976" s="9"/>
      <c r="B976" s="8"/>
    </row>
    <row r="977" spans="1:2" x14ac:dyDescent="0.25">
      <c r="A977" s="9"/>
      <c r="B977" s="8"/>
    </row>
    <row r="978" spans="1:2" x14ac:dyDescent="0.25">
      <c r="A978" s="9"/>
      <c r="B978" s="8"/>
    </row>
    <row r="979" spans="1:2" x14ac:dyDescent="0.25">
      <c r="A979" s="9"/>
      <c r="B979" s="8"/>
    </row>
    <row r="980" spans="1:2" x14ac:dyDescent="0.25">
      <c r="A980" s="9"/>
      <c r="B980" s="8"/>
    </row>
    <row r="981" spans="1:2" x14ac:dyDescent="0.25">
      <c r="A981" s="9"/>
      <c r="B981" s="8"/>
    </row>
    <row r="982" spans="1:2" x14ac:dyDescent="0.25">
      <c r="A982" s="9"/>
      <c r="B982" s="8"/>
    </row>
    <row r="983" spans="1:2" x14ac:dyDescent="0.25">
      <c r="A983" s="9"/>
      <c r="B983" s="8"/>
    </row>
    <row r="984" spans="1:2" x14ac:dyDescent="0.25">
      <c r="A984" s="9"/>
      <c r="B984" s="8"/>
    </row>
    <row r="985" spans="1:2" x14ac:dyDescent="0.25">
      <c r="A985" s="9"/>
      <c r="B985" s="8"/>
    </row>
    <row r="986" spans="1:2" x14ac:dyDescent="0.25">
      <c r="A986" s="9"/>
      <c r="B986" s="8"/>
    </row>
    <row r="987" spans="1:2" x14ac:dyDescent="0.25">
      <c r="A987" s="9"/>
      <c r="B987" s="8"/>
    </row>
    <row r="988" spans="1:2" x14ac:dyDescent="0.25">
      <c r="A988" s="9"/>
      <c r="B988" s="8"/>
    </row>
    <row r="989" spans="1:2" x14ac:dyDescent="0.25">
      <c r="A989" s="9"/>
      <c r="B989" s="8"/>
    </row>
    <row r="990" spans="1:2" x14ac:dyDescent="0.25">
      <c r="A990" s="9"/>
      <c r="B990" s="8"/>
    </row>
    <row r="991" spans="1:2" x14ac:dyDescent="0.25">
      <c r="A991" s="9"/>
      <c r="B991" s="8"/>
    </row>
    <row r="992" spans="1:2" x14ac:dyDescent="0.25">
      <c r="A992" s="9"/>
      <c r="B992" s="8"/>
    </row>
    <row r="993" spans="1:2" x14ac:dyDescent="0.25">
      <c r="A993" s="9"/>
      <c r="B993" s="8"/>
    </row>
    <row r="994" spans="1:2" x14ac:dyDescent="0.25">
      <c r="A994" s="9"/>
      <c r="B994" s="8"/>
    </row>
    <row r="995" spans="1:2" x14ac:dyDescent="0.25">
      <c r="A995" s="9"/>
      <c r="B995" s="8"/>
    </row>
    <row r="996" spans="1:2" x14ac:dyDescent="0.25">
      <c r="A996" s="9"/>
      <c r="B996" s="8"/>
    </row>
    <row r="997" spans="1:2" x14ac:dyDescent="0.25">
      <c r="A997" s="9"/>
      <c r="B997" s="8"/>
    </row>
    <row r="998" spans="1:2" x14ac:dyDescent="0.25">
      <c r="A998" s="9"/>
      <c r="B998" s="8"/>
    </row>
    <row r="999" spans="1:2" x14ac:dyDescent="0.25">
      <c r="A999" s="9"/>
      <c r="B999" s="8"/>
    </row>
    <row r="1000" spans="1:2" x14ac:dyDescent="0.25">
      <c r="A1000" s="9"/>
      <c r="B1000" s="8"/>
    </row>
    <row r="1001" spans="1:2" x14ac:dyDescent="0.25">
      <c r="A1001" s="9"/>
      <c r="B1001" s="8"/>
    </row>
    <row r="1002" spans="1:2" x14ac:dyDescent="0.25">
      <c r="A1002" s="9"/>
      <c r="B1002" s="8"/>
    </row>
    <row r="1003" spans="1:2" x14ac:dyDescent="0.25">
      <c r="A1003" s="9"/>
      <c r="B1003" s="8"/>
    </row>
    <row r="1004" spans="1:2" x14ac:dyDescent="0.25">
      <c r="A1004" s="9"/>
      <c r="B1004" s="8"/>
    </row>
    <row r="1005" spans="1:2" x14ac:dyDescent="0.25">
      <c r="A1005" s="9"/>
      <c r="B1005" s="8"/>
    </row>
    <row r="1006" spans="1:2" x14ac:dyDescent="0.25">
      <c r="A1006" s="9"/>
      <c r="B1006" s="8"/>
    </row>
    <row r="1007" spans="1:2" x14ac:dyDescent="0.25">
      <c r="A1007" s="9"/>
      <c r="B1007" s="8"/>
    </row>
    <row r="1008" spans="1:2" x14ac:dyDescent="0.25">
      <c r="A1008" s="9"/>
      <c r="B1008" s="8"/>
    </row>
    <row r="1009" spans="1:2" x14ac:dyDescent="0.25">
      <c r="A1009" s="9"/>
      <c r="B1009" s="8"/>
    </row>
    <row r="1010" spans="1:2" x14ac:dyDescent="0.25">
      <c r="A1010" s="9"/>
      <c r="B1010" s="8"/>
    </row>
    <row r="1011" spans="1:2" x14ac:dyDescent="0.25">
      <c r="A1011" s="9"/>
      <c r="B1011" s="8"/>
    </row>
    <row r="1012" spans="1:2" x14ac:dyDescent="0.25">
      <c r="A1012" s="9"/>
      <c r="B1012" s="8"/>
    </row>
    <row r="1013" spans="1:2" x14ac:dyDescent="0.25">
      <c r="A1013" s="9"/>
      <c r="B1013" s="8"/>
    </row>
    <row r="1014" spans="1:2" x14ac:dyDescent="0.25">
      <c r="A1014" s="9"/>
      <c r="B1014" s="8"/>
    </row>
    <row r="1015" spans="1:2" x14ac:dyDescent="0.25">
      <c r="A1015" s="9"/>
      <c r="B1015" s="8"/>
    </row>
    <row r="1016" spans="1:2" x14ac:dyDescent="0.25">
      <c r="A1016" s="9"/>
      <c r="B1016" s="8"/>
    </row>
    <row r="1017" spans="1:2" x14ac:dyDescent="0.25">
      <c r="A1017" s="9"/>
      <c r="B1017" s="8"/>
    </row>
    <row r="1018" spans="1:2" x14ac:dyDescent="0.25">
      <c r="A1018" s="9"/>
      <c r="B1018" s="8"/>
    </row>
    <row r="1019" spans="1:2" x14ac:dyDescent="0.25">
      <c r="A1019" s="9"/>
      <c r="B1019" s="8"/>
    </row>
    <row r="1020" spans="1:2" x14ac:dyDescent="0.25">
      <c r="A1020" s="9"/>
      <c r="B1020" s="8"/>
    </row>
    <row r="1021" spans="1:2" x14ac:dyDescent="0.25">
      <c r="A1021" s="9"/>
      <c r="B1021" s="8"/>
    </row>
    <row r="1022" spans="1:2" x14ac:dyDescent="0.25">
      <c r="A1022" s="9"/>
      <c r="B1022" s="8"/>
    </row>
    <row r="1023" spans="1:2" x14ac:dyDescent="0.25">
      <c r="A1023" s="9"/>
      <c r="B1023" s="8"/>
    </row>
    <row r="1024" spans="1:2" x14ac:dyDescent="0.25">
      <c r="A1024" s="9"/>
      <c r="B1024" s="8"/>
    </row>
    <row r="1025" spans="1:2" x14ac:dyDescent="0.25">
      <c r="A1025" s="9"/>
      <c r="B1025" s="8"/>
    </row>
    <row r="1026" spans="1:2" x14ac:dyDescent="0.25">
      <c r="A1026" s="9"/>
      <c r="B1026" s="8"/>
    </row>
    <row r="1027" spans="1:2" x14ac:dyDescent="0.25">
      <c r="A1027" s="9"/>
      <c r="B1027" s="8"/>
    </row>
    <row r="1028" spans="1:2" x14ac:dyDescent="0.25">
      <c r="A1028" s="9"/>
      <c r="B1028" s="8"/>
    </row>
    <row r="1029" spans="1:2" x14ac:dyDescent="0.25">
      <c r="A1029" s="9"/>
      <c r="B1029" s="8"/>
    </row>
    <row r="1030" spans="1:2" x14ac:dyDescent="0.25">
      <c r="A1030" s="9"/>
      <c r="B1030" s="8"/>
    </row>
    <row r="1031" spans="1:2" x14ac:dyDescent="0.25">
      <c r="A1031" s="9"/>
      <c r="B1031" s="8"/>
    </row>
    <row r="1032" spans="1:2" x14ac:dyDescent="0.25">
      <c r="A1032" s="9"/>
      <c r="B1032" s="8"/>
    </row>
    <row r="1033" spans="1:2" x14ac:dyDescent="0.25">
      <c r="A1033" s="9"/>
      <c r="B1033" s="8"/>
    </row>
    <row r="1034" spans="1:2" x14ac:dyDescent="0.25">
      <c r="A1034" s="9"/>
      <c r="B1034" s="8"/>
    </row>
    <row r="1035" spans="1:2" x14ac:dyDescent="0.25">
      <c r="A1035" s="9"/>
      <c r="B1035" s="8"/>
    </row>
    <row r="1036" spans="1:2" x14ac:dyDescent="0.25">
      <c r="A1036" s="9"/>
      <c r="B1036" s="8"/>
    </row>
    <row r="1037" spans="1:2" x14ac:dyDescent="0.25">
      <c r="A1037" s="9"/>
      <c r="B1037" s="8"/>
    </row>
    <row r="1038" spans="1:2" x14ac:dyDescent="0.25">
      <c r="A1038" s="9"/>
      <c r="B1038" s="8"/>
    </row>
    <row r="1039" spans="1:2" x14ac:dyDescent="0.25">
      <c r="A1039" s="9"/>
      <c r="B1039" s="8"/>
    </row>
    <row r="1040" spans="1:2" x14ac:dyDescent="0.25">
      <c r="A1040" s="9"/>
      <c r="B1040" s="8"/>
    </row>
    <row r="1041" spans="1:2" x14ac:dyDescent="0.25">
      <c r="A1041" s="9"/>
      <c r="B1041" s="8"/>
    </row>
    <row r="1042" spans="1:2" x14ac:dyDescent="0.25">
      <c r="A1042" s="9"/>
      <c r="B1042" s="8"/>
    </row>
    <row r="1043" spans="1:2" x14ac:dyDescent="0.25">
      <c r="A1043" s="9"/>
      <c r="B1043" s="8"/>
    </row>
    <row r="1044" spans="1:2" x14ac:dyDescent="0.25">
      <c r="A1044" s="9"/>
      <c r="B1044" s="8"/>
    </row>
    <row r="1045" spans="1:2" x14ac:dyDescent="0.25">
      <c r="A1045" s="9"/>
      <c r="B1045" s="8"/>
    </row>
    <row r="1046" spans="1:2" x14ac:dyDescent="0.25">
      <c r="A1046" s="9"/>
      <c r="B1046" s="8"/>
    </row>
    <row r="1047" spans="1:2" x14ac:dyDescent="0.25">
      <c r="A1047" s="9"/>
      <c r="B1047" s="8"/>
    </row>
    <row r="1048" spans="1:2" x14ac:dyDescent="0.25">
      <c r="A1048" s="9"/>
      <c r="B1048" s="8"/>
    </row>
    <row r="1049" spans="1:2" x14ac:dyDescent="0.25">
      <c r="A1049" s="9"/>
      <c r="B1049" s="8"/>
    </row>
    <row r="1050" spans="1:2" x14ac:dyDescent="0.25">
      <c r="A1050" s="9"/>
      <c r="B1050" s="8"/>
    </row>
    <row r="1051" spans="1:2" x14ac:dyDescent="0.25">
      <c r="A1051" s="9"/>
      <c r="B1051" s="8"/>
    </row>
    <row r="1052" spans="1:2" x14ac:dyDescent="0.25">
      <c r="A1052" s="9"/>
      <c r="B1052" s="8"/>
    </row>
    <row r="1053" spans="1:2" x14ac:dyDescent="0.25">
      <c r="A1053" s="9"/>
      <c r="B1053" s="8"/>
    </row>
    <row r="1054" spans="1:2" x14ac:dyDescent="0.25">
      <c r="A1054" s="9"/>
      <c r="B1054" s="8"/>
    </row>
    <row r="1055" spans="1:2" x14ac:dyDescent="0.25">
      <c r="A1055" s="9"/>
      <c r="B1055" s="8"/>
    </row>
    <row r="1056" spans="1:2" x14ac:dyDescent="0.25">
      <c r="A1056" s="9"/>
      <c r="B1056" s="8"/>
    </row>
    <row r="1057" spans="1:2" x14ac:dyDescent="0.25">
      <c r="A1057" s="9"/>
      <c r="B1057" s="8"/>
    </row>
    <row r="1058" spans="1:2" x14ac:dyDescent="0.25">
      <c r="A1058" s="9"/>
      <c r="B1058" s="8"/>
    </row>
    <row r="1059" spans="1:2" x14ac:dyDescent="0.25">
      <c r="A1059" s="9"/>
      <c r="B1059" s="8"/>
    </row>
    <row r="1060" spans="1:2" x14ac:dyDescent="0.25">
      <c r="A1060" s="9"/>
      <c r="B1060" s="8"/>
    </row>
    <row r="1061" spans="1:2" x14ac:dyDescent="0.25">
      <c r="A1061" s="9"/>
      <c r="B1061" s="8"/>
    </row>
    <row r="1062" spans="1:2" x14ac:dyDescent="0.25">
      <c r="A1062" s="9"/>
      <c r="B1062" s="8"/>
    </row>
    <row r="1063" spans="1:2" x14ac:dyDescent="0.25">
      <c r="A1063" s="9"/>
      <c r="B1063" s="8"/>
    </row>
    <row r="1064" spans="1:2" x14ac:dyDescent="0.25">
      <c r="A1064" s="9"/>
      <c r="B1064" s="8"/>
    </row>
    <row r="1065" spans="1:2" x14ac:dyDescent="0.25">
      <c r="A1065" s="9"/>
      <c r="B1065" s="8"/>
    </row>
    <row r="1066" spans="1:2" x14ac:dyDescent="0.25">
      <c r="A1066" s="9"/>
      <c r="B1066" s="8"/>
    </row>
    <row r="1067" spans="1:2" x14ac:dyDescent="0.25">
      <c r="A1067" s="9"/>
      <c r="B1067" s="8"/>
    </row>
    <row r="1068" spans="1:2" x14ac:dyDescent="0.25">
      <c r="A1068" s="9"/>
      <c r="B1068" s="8"/>
    </row>
    <row r="1069" spans="1:2" x14ac:dyDescent="0.25">
      <c r="A1069" s="9"/>
      <c r="B1069" s="8"/>
    </row>
    <row r="1070" spans="1:2" x14ac:dyDescent="0.25">
      <c r="A1070" s="9"/>
      <c r="B1070" s="8"/>
    </row>
    <row r="1071" spans="1:2" x14ac:dyDescent="0.25">
      <c r="A1071" s="9"/>
      <c r="B1071" s="8"/>
    </row>
    <row r="1072" spans="1:2" x14ac:dyDescent="0.25">
      <c r="A1072" s="9"/>
      <c r="B1072" s="8"/>
    </row>
    <row r="1073" spans="1:2" x14ac:dyDescent="0.25">
      <c r="A1073" s="9"/>
      <c r="B1073" s="8"/>
    </row>
    <row r="1074" spans="1:2" x14ac:dyDescent="0.25">
      <c r="A1074" s="9"/>
      <c r="B1074" s="8"/>
    </row>
    <row r="1075" spans="1:2" x14ac:dyDescent="0.25">
      <c r="A1075" s="9"/>
      <c r="B1075" s="8"/>
    </row>
    <row r="1076" spans="1:2" x14ac:dyDescent="0.25">
      <c r="A1076" s="9"/>
      <c r="B1076" s="8"/>
    </row>
    <row r="1077" spans="1:2" x14ac:dyDescent="0.25">
      <c r="A1077" s="9"/>
      <c r="B1077" s="8"/>
    </row>
    <row r="1078" spans="1:2" x14ac:dyDescent="0.25">
      <c r="A1078" s="9"/>
      <c r="B1078" s="8"/>
    </row>
    <row r="1079" spans="1:2" x14ac:dyDescent="0.25">
      <c r="A1079" s="9" t="str">
        <f t="array" ref="A1079">IF(ISERROR(INDEX(List,MATCH(0,COUNTIF(List,"&lt;"&amp;List)-SUM(COUNTIF(List,$A$268:A1078)),0))),"",INDEX(List,MATCH(0,COUNTIF(List,"&lt;"&amp;List)-SUM(COUNTIF(List,$A$268:A1078),0))))</f>
        <v>[Account (Name)]</v>
      </c>
      <c r="B1079" s="8">
        <f>IF(A1079="","",MAX(B$268:B1078)+1)</f>
        <v>1</v>
      </c>
    </row>
    <row r="1080" spans="1:2" x14ac:dyDescent="0.25">
      <c r="A1080" s="9" t="str">
        <f t="array" ref="A1080">IF(ISERROR(INDEX(List,MATCH(0,COUNTIF(List,"&lt;"&amp;List)-SUM(COUNTIF(List,$A$268:A1079)),0))),"",INDEX(List,MATCH(0,COUNTIF(List,"&lt;"&amp;List)-SUM(COUNTIF(List,$A$268:A1079),0))))</f>
        <v>[Account (Name)]</v>
      </c>
      <c r="B1080" s="8">
        <f>IF(A1080="","",MAX(B$268:B1079)+1)</f>
        <v>2</v>
      </c>
    </row>
    <row r="1081" spans="1:2" x14ac:dyDescent="0.25">
      <c r="A1081" s="9" t="str">
        <f t="array" ref="A1081">IF(ISERROR(INDEX(List,MATCH(0,COUNTIF(List,"&lt;"&amp;List)-SUM(COUNTIF(List,$A$268:A1080)),0))),"",INDEX(List,MATCH(0,COUNTIF(List,"&lt;"&amp;List)-SUM(COUNTIF(List,$A$268:A1080),0))))</f>
        <v>Alliance Nationale Contre Le Sida en Cote D'Ivoire</v>
      </c>
      <c r="B1081" s="8">
        <f>IF(A1081="","",MAX(B$268:B1080)+1)</f>
        <v>3</v>
      </c>
    </row>
    <row r="1082" spans="1:2" x14ac:dyDescent="0.25">
      <c r="A1082" s="9" t="str">
        <f t="array" ref="A1082">IF(ISERROR(INDEX(List,MATCH(0,COUNTIF(List,"&lt;"&amp;List)-SUM(COUNTIF(List,$A$268:A1081)),0))),"",INDEX(List,MATCH(0,COUNTIF(List,"&lt;"&amp;List)-SUM(COUNTIF(List,$A$268:A1081),0))))</f>
        <v>Alliance Nationale Contre Le Sida en Cote D'Ivoire</v>
      </c>
      <c r="B1082" s="8">
        <f>IF(A1082="","",MAX(B$268:B1081)+1)</f>
        <v>4</v>
      </c>
    </row>
  </sheetData>
  <sheetProtection selectLockedCells="1" selectUnlockedCells="1"/>
  <mergeCells count="2">
    <mergeCell ref="A1:D1"/>
    <mergeCell ref="A34:D34"/>
  </mergeCells>
  <dataValidations count="1">
    <dataValidation type="custom" allowBlank="1" showInputMessage="1" showErrorMessage="1" errorTitle="X-Author for Excel" error="Id and Lookup fields are not editable." promptTitle="X-Author for Excel" sqref="D36:D265 D3:E27" xr:uid="{00000000-0002-0000-1400-000000000000}">
      <formula1>""</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2F53-A135-47CE-8389-127BFEBDB14D}">
  <sheetPr codeName="Sheet3">
    <pageSetUpPr fitToPage="1"/>
  </sheetPr>
  <dimension ref="A6:BC432"/>
  <sheetViews>
    <sheetView showGridLines="0" view="pageLayout" topLeftCell="A94" zoomScale="90" zoomScaleNormal="100" zoomScalePageLayoutView="90" workbookViewId="0">
      <selection activeCell="A108" sqref="A108:B108"/>
    </sheetView>
  </sheetViews>
  <sheetFormatPr defaultColWidth="8.69921875" defaultRowHeight="15.6" x14ac:dyDescent="0.3"/>
  <cols>
    <col min="1" max="1" width="21.19921875" style="232" customWidth="1"/>
    <col min="2" max="2" width="146" style="232" customWidth="1"/>
    <col min="3" max="16384" width="8.69921875" style="232"/>
  </cols>
  <sheetData>
    <row r="6" spans="1:2" x14ac:dyDescent="0.3">
      <c r="A6" s="519" t="s">
        <v>761</v>
      </c>
      <c r="B6" s="519"/>
    </row>
    <row r="7" spans="1:2" ht="16.2" thickBot="1" x14ac:dyDescent="0.35">
      <c r="A7" s="283"/>
      <c r="B7" s="283"/>
    </row>
    <row r="8" spans="1:2" ht="16.2" thickBot="1" x14ac:dyDescent="0.35">
      <c r="A8" s="520" t="s">
        <v>305</v>
      </c>
      <c r="B8" s="521"/>
    </row>
    <row r="9" spans="1:2" ht="56.25" customHeight="1" thickBot="1" x14ac:dyDescent="0.35">
      <c r="A9" s="522" t="s">
        <v>892</v>
      </c>
      <c r="B9" s="514"/>
    </row>
    <row r="10" spans="1:2" ht="42.75" customHeight="1" thickBot="1" x14ac:dyDescent="0.35">
      <c r="A10" s="522" t="s">
        <v>893</v>
      </c>
      <c r="B10" s="514"/>
    </row>
    <row r="11" spans="1:2" ht="63" customHeight="1" thickBot="1" x14ac:dyDescent="0.35">
      <c r="A11" s="523" t="s">
        <v>894</v>
      </c>
      <c r="B11" s="518"/>
    </row>
    <row r="12" spans="1:2" ht="16.2" thickBot="1" x14ac:dyDescent="0.35">
      <c r="A12" s="283"/>
      <c r="B12" s="284"/>
    </row>
    <row r="13" spans="1:2" ht="16.2" thickBot="1" x14ac:dyDescent="0.35">
      <c r="A13" s="520" t="s">
        <v>760</v>
      </c>
      <c r="B13" s="521"/>
    </row>
    <row r="14" spans="1:2" ht="41.55" customHeight="1" thickBot="1" x14ac:dyDescent="0.35">
      <c r="A14" s="513" t="s">
        <v>759</v>
      </c>
      <c r="B14" s="514"/>
    </row>
    <row r="15" spans="1:2" ht="61.5" customHeight="1" thickBot="1" x14ac:dyDescent="0.35">
      <c r="A15" s="513" t="s">
        <v>758</v>
      </c>
      <c r="B15" s="514"/>
    </row>
    <row r="16" spans="1:2" ht="37.049999999999997" customHeight="1" thickBot="1" x14ac:dyDescent="0.35">
      <c r="A16" s="513" t="s">
        <v>895</v>
      </c>
      <c r="B16" s="514"/>
    </row>
    <row r="17" spans="1:2" ht="16.2" thickBot="1" x14ac:dyDescent="0.35">
      <c r="A17" s="515" t="s">
        <v>757</v>
      </c>
      <c r="B17" s="516"/>
    </row>
    <row r="18" spans="1:2" ht="60" customHeight="1" thickBot="1" x14ac:dyDescent="0.35">
      <c r="A18" s="517" t="s">
        <v>896</v>
      </c>
      <c r="B18" s="518"/>
    </row>
    <row r="19" spans="1:2" ht="66.45" customHeight="1" thickBot="1" x14ac:dyDescent="0.35">
      <c r="A19" s="513" t="s">
        <v>897</v>
      </c>
      <c r="B19" s="514"/>
    </row>
    <row r="20" spans="1:2" ht="15.6" customHeight="1" x14ac:dyDescent="0.3">
      <c r="A20" s="529" t="s">
        <v>756</v>
      </c>
      <c r="B20" s="530"/>
    </row>
    <row r="21" spans="1:2" x14ac:dyDescent="0.3">
      <c r="A21" s="531" t="s">
        <v>898</v>
      </c>
      <c r="B21" s="532"/>
    </row>
    <row r="22" spans="1:2" x14ac:dyDescent="0.3">
      <c r="A22" s="531" t="s">
        <v>755</v>
      </c>
      <c r="B22" s="532"/>
    </row>
    <row r="23" spans="1:2" x14ac:dyDescent="0.3">
      <c r="A23" s="531" t="s">
        <v>754</v>
      </c>
      <c r="B23" s="532"/>
    </row>
    <row r="24" spans="1:2" x14ac:dyDescent="0.3">
      <c r="A24" s="531" t="s">
        <v>753</v>
      </c>
      <c r="B24" s="532"/>
    </row>
    <row r="25" spans="1:2" ht="15.6" customHeight="1" x14ac:dyDescent="0.3">
      <c r="A25" s="531" t="s">
        <v>752</v>
      </c>
      <c r="B25" s="532"/>
    </row>
    <row r="26" spans="1:2" ht="16.350000000000001" customHeight="1" thickBot="1" x14ac:dyDescent="0.35">
      <c r="A26" s="524" t="s">
        <v>899</v>
      </c>
      <c r="B26" s="525"/>
    </row>
    <row r="27" spans="1:2" ht="49.05" customHeight="1" thickBot="1" x14ac:dyDescent="0.35">
      <c r="A27" s="526" t="s">
        <v>751</v>
      </c>
      <c r="B27" s="516"/>
    </row>
    <row r="28" spans="1:2" ht="16.350000000000001" customHeight="1" thickBot="1" x14ac:dyDescent="0.35">
      <c r="A28" s="526" t="s">
        <v>750</v>
      </c>
      <c r="B28" s="516"/>
    </row>
    <row r="29" spans="1:2" ht="16.2" thickBot="1" x14ac:dyDescent="0.35">
      <c r="A29" s="283"/>
      <c r="B29" s="284"/>
    </row>
    <row r="30" spans="1:2" ht="16.2" thickBot="1" x14ac:dyDescent="0.35">
      <c r="A30" s="520" t="s">
        <v>306</v>
      </c>
      <c r="B30" s="521"/>
    </row>
    <row r="31" spans="1:2" ht="16.350000000000001" customHeight="1" thickBot="1" x14ac:dyDescent="0.35">
      <c r="A31" s="526" t="s">
        <v>749</v>
      </c>
      <c r="B31" s="516"/>
    </row>
    <row r="32" spans="1:2" ht="16.2" thickBot="1" x14ac:dyDescent="0.35">
      <c r="A32" s="283"/>
      <c r="B32" s="285"/>
    </row>
    <row r="33" spans="1:2" ht="16.2" thickBot="1" x14ac:dyDescent="0.35">
      <c r="A33" s="527" t="s">
        <v>900</v>
      </c>
      <c r="B33" s="528"/>
    </row>
    <row r="34" spans="1:2" ht="16.2" thickBot="1" x14ac:dyDescent="0.35">
      <c r="A34" s="353" t="s">
        <v>748</v>
      </c>
      <c r="B34" s="287" t="s">
        <v>747</v>
      </c>
    </row>
    <row r="35" spans="1:2" x14ac:dyDescent="0.3">
      <c r="A35" s="535" t="s">
        <v>746</v>
      </c>
      <c r="B35" s="288" t="s">
        <v>745</v>
      </c>
    </row>
    <row r="36" spans="1:2" x14ac:dyDescent="0.3">
      <c r="A36" s="537"/>
      <c r="B36" s="289" t="s">
        <v>737</v>
      </c>
    </row>
    <row r="37" spans="1:2" x14ac:dyDescent="0.3">
      <c r="A37" s="537"/>
      <c r="B37" s="288" t="s">
        <v>744</v>
      </c>
    </row>
    <row r="38" spans="1:2" x14ac:dyDescent="0.3">
      <c r="A38" s="537"/>
      <c r="B38" s="289" t="s">
        <v>735</v>
      </c>
    </row>
    <row r="39" spans="1:2" ht="28.2" customHeight="1" thickBot="1" x14ac:dyDescent="0.35">
      <c r="A39" s="536"/>
      <c r="B39" s="290" t="s">
        <v>901</v>
      </c>
    </row>
    <row r="40" spans="1:2" ht="43.2" x14ac:dyDescent="0.3">
      <c r="A40" s="535" t="s">
        <v>743</v>
      </c>
      <c r="B40" s="291" t="s">
        <v>742</v>
      </c>
    </row>
    <row r="41" spans="1:2" ht="28.8" x14ac:dyDescent="0.3">
      <c r="A41" s="537"/>
      <c r="B41" s="291" t="s">
        <v>902</v>
      </c>
    </row>
    <row r="42" spans="1:2" x14ac:dyDescent="0.3">
      <c r="A42" s="537"/>
      <c r="B42" s="291" t="s">
        <v>741</v>
      </c>
    </row>
    <row r="43" spans="1:2" ht="16.2" thickBot="1" x14ac:dyDescent="0.35">
      <c r="A43" s="536"/>
      <c r="B43" s="290" t="s">
        <v>903</v>
      </c>
    </row>
    <row r="44" spans="1:2" ht="15.6" customHeight="1" x14ac:dyDescent="0.3">
      <c r="A44" s="538" t="s">
        <v>740</v>
      </c>
      <c r="B44" s="291" t="s">
        <v>904</v>
      </c>
    </row>
    <row r="45" spans="1:2" ht="28.8" x14ac:dyDescent="0.3">
      <c r="A45" s="539"/>
      <c r="B45" s="291" t="s">
        <v>739</v>
      </c>
    </row>
    <row r="46" spans="1:2" ht="28.8" x14ac:dyDescent="0.3">
      <c r="A46" s="539"/>
      <c r="B46" s="291" t="s">
        <v>905</v>
      </c>
    </row>
    <row r="47" spans="1:2" x14ac:dyDescent="0.3">
      <c r="A47" s="539"/>
      <c r="B47" s="291" t="s">
        <v>906</v>
      </c>
    </row>
    <row r="48" spans="1:2" ht="16.2" thickBot="1" x14ac:dyDescent="0.35">
      <c r="A48" s="540"/>
      <c r="B48" s="290" t="s">
        <v>907</v>
      </c>
    </row>
    <row r="49" spans="1:2" ht="28.8" x14ac:dyDescent="0.3">
      <c r="A49" s="535" t="s">
        <v>869</v>
      </c>
      <c r="B49" s="288" t="s">
        <v>738</v>
      </c>
    </row>
    <row r="50" spans="1:2" x14ac:dyDescent="0.3">
      <c r="A50" s="537"/>
      <c r="B50" s="289" t="s">
        <v>737</v>
      </c>
    </row>
    <row r="51" spans="1:2" ht="28.8" x14ac:dyDescent="0.3">
      <c r="A51" s="537"/>
      <c r="B51" s="288" t="s">
        <v>736</v>
      </c>
    </row>
    <row r="52" spans="1:2" x14ac:dyDescent="0.3">
      <c r="A52" s="537"/>
      <c r="B52" s="289" t="s">
        <v>735</v>
      </c>
    </row>
    <row r="53" spans="1:2" ht="49.5" customHeight="1" thickBot="1" x14ac:dyDescent="0.35">
      <c r="A53" s="536"/>
      <c r="B53" s="290" t="s">
        <v>734</v>
      </c>
    </row>
    <row r="54" spans="1:2" ht="31.8" customHeight="1" x14ac:dyDescent="0.3">
      <c r="A54" s="538" t="s">
        <v>733</v>
      </c>
      <c r="B54" s="292" t="s">
        <v>732</v>
      </c>
    </row>
    <row r="55" spans="1:2" ht="31.5" customHeight="1" thickBot="1" x14ac:dyDescent="0.35">
      <c r="A55" s="540"/>
      <c r="B55" s="290" t="s">
        <v>731</v>
      </c>
    </row>
    <row r="56" spans="1:2" ht="22.95" customHeight="1" x14ac:dyDescent="0.3">
      <c r="A56" s="538" t="s">
        <v>730</v>
      </c>
      <c r="B56" s="291" t="s">
        <v>729</v>
      </c>
    </row>
    <row r="57" spans="1:2" ht="39" customHeight="1" thickBot="1" x14ac:dyDescent="0.35">
      <c r="A57" s="540"/>
      <c r="B57" s="290" t="s">
        <v>728</v>
      </c>
    </row>
    <row r="58" spans="1:2" ht="16.2" thickBot="1" x14ac:dyDescent="0.35">
      <c r="A58" s="533"/>
      <c r="B58" s="534"/>
    </row>
    <row r="59" spans="1:2" ht="34.049999999999997" customHeight="1" thickBot="1" x14ac:dyDescent="0.35">
      <c r="A59" s="353" t="s">
        <v>602</v>
      </c>
      <c r="B59" s="287" t="s">
        <v>727</v>
      </c>
    </row>
    <row r="60" spans="1:2" ht="16.2" thickBot="1" x14ac:dyDescent="0.35">
      <c r="A60" s="533"/>
      <c r="B60" s="534"/>
    </row>
    <row r="61" spans="1:2" ht="28.8" x14ac:dyDescent="0.3">
      <c r="A61" s="535" t="s">
        <v>726</v>
      </c>
      <c r="B61" s="288" t="s">
        <v>908</v>
      </c>
    </row>
    <row r="62" spans="1:2" ht="29.55" customHeight="1" thickBot="1" x14ac:dyDescent="0.35">
      <c r="A62" s="536"/>
      <c r="B62" s="287" t="s">
        <v>909</v>
      </c>
    </row>
    <row r="63" spans="1:2" ht="16.2" thickBot="1" x14ac:dyDescent="0.35">
      <c r="A63" s="533"/>
      <c r="B63" s="534"/>
    </row>
    <row r="64" spans="1:2" x14ac:dyDescent="0.3">
      <c r="A64" s="535" t="s">
        <v>725</v>
      </c>
      <c r="B64" s="293" t="s">
        <v>567</v>
      </c>
    </row>
    <row r="65" spans="1:2" x14ac:dyDescent="0.3">
      <c r="A65" s="537"/>
      <c r="B65" s="288" t="s">
        <v>724</v>
      </c>
    </row>
    <row r="66" spans="1:2" ht="31.05" customHeight="1" x14ac:dyDescent="0.3">
      <c r="A66" s="537"/>
      <c r="B66" s="288" t="s">
        <v>723</v>
      </c>
    </row>
    <row r="67" spans="1:2" ht="29.4" thickBot="1" x14ac:dyDescent="0.35">
      <c r="A67" s="536"/>
      <c r="B67" s="287" t="s">
        <v>722</v>
      </c>
    </row>
    <row r="68" spans="1:2" ht="16.2" thickBot="1" x14ac:dyDescent="0.35">
      <c r="A68" s="533"/>
      <c r="B68" s="534"/>
    </row>
    <row r="69" spans="1:2" x14ac:dyDescent="0.3">
      <c r="A69" s="535" t="s">
        <v>721</v>
      </c>
      <c r="B69" s="288" t="s">
        <v>720</v>
      </c>
    </row>
    <row r="70" spans="1:2" ht="28.8" x14ac:dyDescent="0.3">
      <c r="A70" s="537"/>
      <c r="B70" s="288" t="s">
        <v>719</v>
      </c>
    </row>
    <row r="71" spans="1:2" ht="72" x14ac:dyDescent="0.3">
      <c r="A71" s="537"/>
      <c r="B71" s="288" t="s">
        <v>718</v>
      </c>
    </row>
    <row r="72" spans="1:2" ht="43.8" thickBot="1" x14ac:dyDescent="0.35">
      <c r="A72" s="537"/>
      <c r="B72" s="294" t="s">
        <v>717</v>
      </c>
    </row>
    <row r="73" spans="1:2" x14ac:dyDescent="0.3">
      <c r="A73" s="535" t="s">
        <v>716</v>
      </c>
      <c r="B73" s="295"/>
    </row>
    <row r="74" spans="1:2" ht="28.8" x14ac:dyDescent="0.3">
      <c r="A74" s="537"/>
      <c r="B74" s="296" t="s">
        <v>715</v>
      </c>
    </row>
    <row r="75" spans="1:2" ht="16.2" thickBot="1" x14ac:dyDescent="0.35">
      <c r="A75" s="536"/>
      <c r="B75" s="287"/>
    </row>
    <row r="76" spans="1:2" x14ac:dyDescent="0.3">
      <c r="A76" s="535" t="s">
        <v>714</v>
      </c>
      <c r="B76" s="295"/>
    </row>
    <row r="77" spans="1:2" ht="28.8" x14ac:dyDescent="0.3">
      <c r="A77" s="537"/>
      <c r="B77" s="296" t="s">
        <v>713</v>
      </c>
    </row>
    <row r="78" spans="1:2" ht="16.2" thickBot="1" x14ac:dyDescent="0.35">
      <c r="A78" s="536"/>
      <c r="B78" s="287"/>
    </row>
    <row r="79" spans="1:2" x14ac:dyDescent="0.3">
      <c r="A79" s="535" t="s">
        <v>712</v>
      </c>
      <c r="B79" s="297" t="s">
        <v>492</v>
      </c>
    </row>
    <row r="80" spans="1:2" ht="28.8" x14ac:dyDescent="0.3">
      <c r="A80" s="537"/>
      <c r="B80" s="296" t="s">
        <v>711</v>
      </c>
    </row>
    <row r="81" spans="1:2" ht="16.2" thickBot="1" x14ac:dyDescent="0.35">
      <c r="A81" s="536"/>
      <c r="B81" s="287"/>
    </row>
    <row r="82" spans="1:2" x14ac:dyDescent="0.3">
      <c r="A82" s="535" t="s">
        <v>611</v>
      </c>
      <c r="B82" s="297" t="s">
        <v>492</v>
      </c>
    </row>
    <row r="83" spans="1:2" ht="28.8" x14ac:dyDescent="0.3">
      <c r="A83" s="537"/>
      <c r="B83" s="296" t="s">
        <v>710</v>
      </c>
    </row>
    <row r="84" spans="1:2" ht="16.2" thickBot="1" x14ac:dyDescent="0.35">
      <c r="A84" s="536"/>
      <c r="B84" s="296" t="s">
        <v>709</v>
      </c>
    </row>
    <row r="85" spans="1:2" ht="16.2" thickBot="1" x14ac:dyDescent="0.35">
      <c r="A85" s="533"/>
      <c r="B85" s="534"/>
    </row>
    <row r="86" spans="1:2" x14ac:dyDescent="0.3">
      <c r="A86" s="535" t="s">
        <v>708</v>
      </c>
      <c r="B86" s="295"/>
    </row>
    <row r="87" spans="1:2" ht="28.8" x14ac:dyDescent="0.3">
      <c r="A87" s="537"/>
      <c r="B87" s="296" t="s">
        <v>707</v>
      </c>
    </row>
    <row r="88" spans="1:2" ht="16.2" thickBot="1" x14ac:dyDescent="0.35">
      <c r="A88" s="536"/>
      <c r="B88" s="287"/>
    </row>
    <row r="89" spans="1:2" ht="16.2" thickBot="1" x14ac:dyDescent="0.35">
      <c r="A89" s="541"/>
      <c r="B89" s="542"/>
    </row>
    <row r="90" spans="1:2" x14ac:dyDescent="0.3">
      <c r="A90" s="535" t="s">
        <v>706</v>
      </c>
      <c r="B90" s="295"/>
    </row>
    <row r="91" spans="1:2" ht="28.8" x14ac:dyDescent="0.3">
      <c r="A91" s="537"/>
      <c r="B91" s="296" t="s">
        <v>705</v>
      </c>
    </row>
    <row r="92" spans="1:2" ht="16.2" thickBot="1" x14ac:dyDescent="0.35">
      <c r="A92" s="536"/>
      <c r="B92" s="298"/>
    </row>
    <row r="93" spans="1:2" ht="86.4" x14ac:dyDescent="0.3">
      <c r="A93" s="535" t="s">
        <v>704</v>
      </c>
      <c r="B93" s="296" t="s">
        <v>910</v>
      </c>
    </row>
    <row r="94" spans="1:2" x14ac:dyDescent="0.3">
      <c r="A94" s="537"/>
      <c r="B94" s="296" t="s">
        <v>911</v>
      </c>
    </row>
    <row r="95" spans="1:2" ht="28.8" x14ac:dyDescent="0.3">
      <c r="A95" s="537"/>
      <c r="B95" s="296" t="s">
        <v>703</v>
      </c>
    </row>
    <row r="96" spans="1:2" ht="16.2" thickBot="1" x14ac:dyDescent="0.35">
      <c r="A96" s="536"/>
      <c r="B96" s="296" t="s">
        <v>702</v>
      </c>
    </row>
    <row r="97" spans="1:2" ht="16.2" thickBot="1" x14ac:dyDescent="0.35">
      <c r="A97" s="541"/>
      <c r="B97" s="542"/>
    </row>
    <row r="98" spans="1:2" x14ac:dyDescent="0.3">
      <c r="A98" s="535" t="s">
        <v>307</v>
      </c>
      <c r="B98" s="295"/>
    </row>
    <row r="99" spans="1:2" ht="28.8" x14ac:dyDescent="0.3">
      <c r="A99" s="537"/>
      <c r="B99" s="296" t="s">
        <v>701</v>
      </c>
    </row>
    <row r="100" spans="1:2" ht="16.2" thickBot="1" x14ac:dyDescent="0.35">
      <c r="A100" s="536"/>
      <c r="B100" s="298"/>
    </row>
    <row r="101" spans="1:2" ht="31.95" customHeight="1" x14ac:dyDescent="0.3">
      <c r="A101" s="535" t="s">
        <v>700</v>
      </c>
      <c r="B101" s="296" t="s">
        <v>699</v>
      </c>
    </row>
    <row r="102" spans="1:2" ht="43.2" x14ac:dyDescent="0.3">
      <c r="A102" s="537"/>
      <c r="B102" s="296" t="s">
        <v>698</v>
      </c>
    </row>
    <row r="103" spans="1:2" ht="31.95" customHeight="1" thickBot="1" x14ac:dyDescent="0.35">
      <c r="A103" s="536"/>
      <c r="B103" s="299" t="s">
        <v>697</v>
      </c>
    </row>
    <row r="104" spans="1:2" ht="43.2" x14ac:dyDescent="0.3">
      <c r="A104" s="535" t="s">
        <v>279</v>
      </c>
      <c r="B104" s="296" t="s">
        <v>696</v>
      </c>
    </row>
    <row r="105" spans="1:2" ht="28.8" x14ac:dyDescent="0.3">
      <c r="A105" s="537"/>
      <c r="B105" s="296" t="s">
        <v>695</v>
      </c>
    </row>
    <row r="106" spans="1:2" ht="55.05" customHeight="1" thickBot="1" x14ac:dyDescent="0.35">
      <c r="A106" s="536"/>
      <c r="B106" s="299" t="s">
        <v>694</v>
      </c>
    </row>
    <row r="107" spans="1:2" ht="16.2" thickBot="1" x14ac:dyDescent="0.35">
      <c r="A107" s="283"/>
      <c r="B107" s="283"/>
    </row>
    <row r="108" spans="1:2" ht="16.2" thickBot="1" x14ac:dyDescent="0.35">
      <c r="A108" s="527" t="s">
        <v>693</v>
      </c>
      <c r="B108" s="528"/>
    </row>
    <row r="109" spans="1:2" x14ac:dyDescent="0.3">
      <c r="A109" s="538" t="s">
        <v>602</v>
      </c>
      <c r="B109" s="296" t="s">
        <v>692</v>
      </c>
    </row>
    <row r="110" spans="1:2" ht="49.5" customHeight="1" thickBot="1" x14ac:dyDescent="0.35">
      <c r="A110" s="540"/>
      <c r="B110" s="299" t="s">
        <v>691</v>
      </c>
    </row>
    <row r="111" spans="1:2" x14ac:dyDescent="0.3">
      <c r="A111" s="538" t="s">
        <v>595</v>
      </c>
      <c r="B111" s="296"/>
    </row>
    <row r="112" spans="1:2" x14ac:dyDescent="0.3">
      <c r="A112" s="539"/>
      <c r="B112" s="296" t="s">
        <v>690</v>
      </c>
    </row>
    <row r="113" spans="1:2" ht="28.8" x14ac:dyDescent="0.3">
      <c r="A113" s="539"/>
      <c r="B113" s="296" t="s">
        <v>689</v>
      </c>
    </row>
    <row r="114" spans="1:2" ht="43.2" x14ac:dyDescent="0.3">
      <c r="A114" s="539"/>
      <c r="B114" s="296" t="s">
        <v>688</v>
      </c>
    </row>
    <row r="115" spans="1:2" ht="28.8" x14ac:dyDescent="0.3">
      <c r="A115" s="539"/>
      <c r="B115" s="296" t="s">
        <v>687</v>
      </c>
    </row>
    <row r="116" spans="1:2" ht="16.2" thickBot="1" x14ac:dyDescent="0.35">
      <c r="A116" s="540"/>
      <c r="B116" s="300"/>
    </row>
    <row r="117" spans="1:2" x14ac:dyDescent="0.3">
      <c r="A117" s="535" t="s">
        <v>634</v>
      </c>
      <c r="B117" s="295"/>
    </row>
    <row r="118" spans="1:2" x14ac:dyDescent="0.3">
      <c r="A118" s="537"/>
      <c r="B118" s="296" t="s">
        <v>686</v>
      </c>
    </row>
    <row r="119" spans="1:2" ht="28.8" x14ac:dyDescent="0.3">
      <c r="A119" s="537"/>
      <c r="B119" s="296" t="s">
        <v>685</v>
      </c>
    </row>
    <row r="120" spans="1:2" x14ac:dyDescent="0.3">
      <c r="A120" s="537"/>
      <c r="B120" s="296"/>
    </row>
    <row r="121" spans="1:2" x14ac:dyDescent="0.3">
      <c r="A121" s="537"/>
      <c r="B121" s="289" t="s">
        <v>492</v>
      </c>
    </row>
    <row r="122" spans="1:2" x14ac:dyDescent="0.3">
      <c r="A122" s="537"/>
      <c r="B122" s="296" t="s">
        <v>684</v>
      </c>
    </row>
    <row r="123" spans="1:2" ht="16.2" thickBot="1" x14ac:dyDescent="0.35">
      <c r="A123" s="536"/>
      <c r="B123" s="300"/>
    </row>
    <row r="124" spans="1:2" x14ac:dyDescent="0.3">
      <c r="A124" s="535" t="s">
        <v>586</v>
      </c>
      <c r="B124" s="295"/>
    </row>
    <row r="125" spans="1:2" ht="43.2" x14ac:dyDescent="0.3">
      <c r="A125" s="537"/>
      <c r="B125" s="296" t="s">
        <v>683</v>
      </c>
    </row>
    <row r="126" spans="1:2" x14ac:dyDescent="0.3">
      <c r="A126" s="537"/>
      <c r="B126" s="296" t="s">
        <v>682</v>
      </c>
    </row>
    <row r="127" spans="1:2" ht="28.8" x14ac:dyDescent="0.3">
      <c r="A127" s="537"/>
      <c r="B127" s="296" t="s">
        <v>681</v>
      </c>
    </row>
    <row r="128" spans="1:2" ht="16.2" thickBot="1" x14ac:dyDescent="0.35">
      <c r="A128" s="536"/>
      <c r="B128" s="300"/>
    </row>
    <row r="129" spans="1:2" x14ac:dyDescent="0.3">
      <c r="A129" s="538" t="s">
        <v>524</v>
      </c>
      <c r="B129" s="296" t="s">
        <v>680</v>
      </c>
    </row>
    <row r="130" spans="1:2" ht="16.2" thickBot="1" x14ac:dyDescent="0.35">
      <c r="A130" s="539"/>
      <c r="B130" s="299" t="s">
        <v>679</v>
      </c>
    </row>
    <row r="131" spans="1:2" x14ac:dyDescent="0.3">
      <c r="A131" s="535" t="s">
        <v>678</v>
      </c>
      <c r="B131" s="295"/>
    </row>
    <row r="132" spans="1:2" x14ac:dyDescent="0.3">
      <c r="A132" s="537"/>
      <c r="B132" s="301" t="s">
        <v>677</v>
      </c>
    </row>
    <row r="133" spans="1:2" ht="16.2" thickBot="1" x14ac:dyDescent="0.35">
      <c r="A133" s="536"/>
      <c r="B133" s="300"/>
    </row>
    <row r="134" spans="1:2" x14ac:dyDescent="0.3">
      <c r="A134" s="535" t="s">
        <v>676</v>
      </c>
      <c r="B134" s="295"/>
    </row>
    <row r="135" spans="1:2" x14ac:dyDescent="0.3">
      <c r="A135" s="537"/>
      <c r="B135" s="301" t="s">
        <v>675</v>
      </c>
    </row>
    <row r="136" spans="1:2" ht="28.8" x14ac:dyDescent="0.3">
      <c r="A136" s="537"/>
      <c r="B136" s="301" t="s">
        <v>674</v>
      </c>
    </row>
    <row r="137" spans="1:2" ht="28.8" x14ac:dyDescent="0.3">
      <c r="A137" s="537"/>
      <c r="B137" s="301" t="s">
        <v>673</v>
      </c>
    </row>
    <row r="138" spans="1:2" ht="16.2" thickBot="1" x14ac:dyDescent="0.35">
      <c r="A138" s="536"/>
      <c r="B138" s="300"/>
    </row>
    <row r="139" spans="1:2" x14ac:dyDescent="0.3">
      <c r="A139" s="538" t="s">
        <v>912</v>
      </c>
      <c r="B139" s="295"/>
    </row>
    <row r="140" spans="1:2" ht="28.8" x14ac:dyDescent="0.3">
      <c r="A140" s="539"/>
      <c r="B140" s="301" t="s">
        <v>672</v>
      </c>
    </row>
    <row r="141" spans="1:2" ht="28.8" x14ac:dyDescent="0.3">
      <c r="A141" s="539"/>
      <c r="B141" s="301" t="s">
        <v>671</v>
      </c>
    </row>
    <row r="142" spans="1:2" ht="31.95" customHeight="1" x14ac:dyDescent="0.3">
      <c r="A142" s="539"/>
      <c r="B142" s="301" t="s">
        <v>670</v>
      </c>
    </row>
    <row r="143" spans="1:2" ht="28.8" x14ac:dyDescent="0.3">
      <c r="A143" s="539"/>
      <c r="B143" s="301" t="s">
        <v>669</v>
      </c>
    </row>
    <row r="144" spans="1:2" x14ac:dyDescent="0.3">
      <c r="A144" s="539"/>
      <c r="B144" s="301" t="s">
        <v>668</v>
      </c>
    </row>
    <row r="145" spans="1:2" ht="28.8" x14ac:dyDescent="0.3">
      <c r="A145" s="539"/>
      <c r="B145" s="301" t="s">
        <v>667</v>
      </c>
    </row>
    <row r="146" spans="1:2" ht="16.2" thickBot="1" x14ac:dyDescent="0.35">
      <c r="A146" s="540"/>
      <c r="B146" s="300"/>
    </row>
    <row r="147" spans="1:2" ht="15.6" customHeight="1" x14ac:dyDescent="0.3">
      <c r="A147" s="535" t="s">
        <v>666</v>
      </c>
      <c r="B147" s="289" t="s">
        <v>567</v>
      </c>
    </row>
    <row r="148" spans="1:2" ht="28.8" x14ac:dyDescent="0.3">
      <c r="A148" s="537"/>
      <c r="B148" s="301" t="s">
        <v>665</v>
      </c>
    </row>
    <row r="149" spans="1:2" x14ac:dyDescent="0.3">
      <c r="A149" s="537"/>
      <c r="B149" s="289" t="s">
        <v>492</v>
      </c>
    </row>
    <row r="150" spans="1:2" ht="28.8" x14ac:dyDescent="0.3">
      <c r="A150" s="537"/>
      <c r="B150" s="301" t="s">
        <v>664</v>
      </c>
    </row>
    <row r="151" spans="1:2" ht="16.2" thickBot="1" x14ac:dyDescent="0.35">
      <c r="A151" s="536"/>
      <c r="B151" s="299" t="s">
        <v>663</v>
      </c>
    </row>
    <row r="152" spans="1:2" x14ac:dyDescent="0.3">
      <c r="A152" s="537" t="s">
        <v>410</v>
      </c>
      <c r="B152" s="302" t="s">
        <v>662</v>
      </c>
    </row>
    <row r="153" spans="1:2" x14ac:dyDescent="0.3">
      <c r="A153" s="537"/>
      <c r="B153" s="301" t="s">
        <v>661</v>
      </c>
    </row>
    <row r="154" spans="1:2" ht="29.4" thickBot="1" x14ac:dyDescent="0.35">
      <c r="A154" s="536"/>
      <c r="B154" s="299" t="s">
        <v>660</v>
      </c>
    </row>
    <row r="155" spans="1:2" ht="16.2" thickBot="1" x14ac:dyDescent="0.35">
      <c r="A155" s="549"/>
      <c r="B155" s="550"/>
    </row>
    <row r="156" spans="1:2" x14ac:dyDescent="0.3">
      <c r="A156" s="535" t="s">
        <v>618</v>
      </c>
      <c r="B156" s="265" t="s">
        <v>659</v>
      </c>
    </row>
    <row r="157" spans="1:2" ht="16.2" thickBot="1" x14ac:dyDescent="0.35">
      <c r="A157" s="537"/>
      <c r="B157" s="303" t="s">
        <v>658</v>
      </c>
    </row>
    <row r="158" spans="1:2" x14ac:dyDescent="0.3">
      <c r="A158" s="535" t="s">
        <v>550</v>
      </c>
      <c r="B158" s="295"/>
    </row>
    <row r="159" spans="1:2" ht="14.4" customHeight="1" x14ac:dyDescent="0.3">
      <c r="A159" s="537"/>
      <c r="B159" s="251" t="s">
        <v>657</v>
      </c>
    </row>
    <row r="160" spans="1:2" x14ac:dyDescent="0.3">
      <c r="A160" s="537"/>
      <c r="B160" s="296"/>
    </row>
    <row r="161" spans="1:2" ht="40.799999999999997" customHeight="1" x14ac:dyDescent="0.3">
      <c r="A161" s="537"/>
      <c r="B161" s="263" t="s">
        <v>656</v>
      </c>
    </row>
    <row r="162" spans="1:2" ht="16.2" thickBot="1" x14ac:dyDescent="0.35">
      <c r="A162" s="536"/>
      <c r="B162" s="300"/>
    </row>
    <row r="163" spans="1:2" x14ac:dyDescent="0.3">
      <c r="A163" s="535" t="s">
        <v>655</v>
      </c>
      <c r="B163" s="304" t="s">
        <v>654</v>
      </c>
    </row>
    <row r="164" spans="1:2" ht="16.2" thickBot="1" x14ac:dyDescent="0.35">
      <c r="A164" s="537"/>
      <c r="B164" s="299" t="s">
        <v>653</v>
      </c>
    </row>
    <row r="165" spans="1:2" x14ac:dyDescent="0.3">
      <c r="A165" s="535" t="s">
        <v>611</v>
      </c>
      <c r="B165" s="295"/>
    </row>
    <row r="166" spans="1:2" ht="28.8" x14ac:dyDescent="0.3">
      <c r="A166" s="537"/>
      <c r="B166" s="301" t="s">
        <v>652</v>
      </c>
    </row>
    <row r="167" spans="1:2" ht="16.2" thickBot="1" x14ac:dyDescent="0.35">
      <c r="A167" s="536"/>
      <c r="B167" s="300"/>
    </row>
    <row r="168" spans="1:2" x14ac:dyDescent="0.3">
      <c r="A168" s="535" t="s">
        <v>540</v>
      </c>
      <c r="B168" s="295"/>
    </row>
    <row r="169" spans="1:2" ht="40.799999999999997" customHeight="1" x14ac:dyDescent="0.3">
      <c r="A169" s="537"/>
      <c r="B169" s="296" t="s">
        <v>651</v>
      </c>
    </row>
    <row r="170" spans="1:2" ht="16.2" thickBot="1" x14ac:dyDescent="0.35">
      <c r="A170" s="536"/>
      <c r="B170" s="300"/>
    </row>
    <row r="171" spans="1:2" x14ac:dyDescent="0.3">
      <c r="A171" s="535" t="s">
        <v>498</v>
      </c>
      <c r="B171" s="295"/>
    </row>
    <row r="172" spans="1:2" x14ac:dyDescent="0.3">
      <c r="A172" s="537"/>
      <c r="B172" s="296" t="s">
        <v>650</v>
      </c>
    </row>
    <row r="173" spans="1:2" x14ac:dyDescent="0.3">
      <c r="A173" s="537"/>
      <c r="B173" s="296"/>
    </row>
    <row r="174" spans="1:2" x14ac:dyDescent="0.3">
      <c r="A174" s="537"/>
      <c r="B174" s="251" t="s">
        <v>649</v>
      </c>
    </row>
    <row r="175" spans="1:2" x14ac:dyDescent="0.3">
      <c r="A175" s="537"/>
      <c r="B175" s="251" t="s">
        <v>648</v>
      </c>
    </row>
    <row r="176" spans="1:2" x14ac:dyDescent="0.3">
      <c r="A176" s="537"/>
      <c r="B176" s="251" t="s">
        <v>647</v>
      </c>
    </row>
    <row r="177" spans="1:2" x14ac:dyDescent="0.3">
      <c r="A177" s="537"/>
      <c r="B177" s="263" t="s">
        <v>646</v>
      </c>
    </row>
    <row r="178" spans="1:2" x14ac:dyDescent="0.3">
      <c r="A178" s="537"/>
      <c r="B178" s="251" t="s">
        <v>645</v>
      </c>
    </row>
    <row r="179" spans="1:2" x14ac:dyDescent="0.3">
      <c r="A179" s="537"/>
      <c r="B179" s="251" t="s">
        <v>644</v>
      </c>
    </row>
    <row r="180" spans="1:2" x14ac:dyDescent="0.3">
      <c r="A180" s="537"/>
      <c r="B180" s="251" t="s">
        <v>643</v>
      </c>
    </row>
    <row r="181" spans="1:2" x14ac:dyDescent="0.3">
      <c r="A181" s="537"/>
      <c r="B181" s="260" t="s">
        <v>642</v>
      </c>
    </row>
    <row r="182" spans="1:2" ht="16.2" thickBot="1" x14ac:dyDescent="0.35">
      <c r="A182" s="536"/>
      <c r="B182" s="300"/>
    </row>
    <row r="183" spans="1:2" ht="16.2" thickBot="1" x14ac:dyDescent="0.35">
      <c r="A183" s="527" t="s">
        <v>641</v>
      </c>
      <c r="B183" s="528"/>
    </row>
    <row r="184" spans="1:2" ht="71.400000000000006" customHeight="1" thickBot="1" x14ac:dyDescent="0.35">
      <c r="A184" s="305" t="s">
        <v>602</v>
      </c>
      <c r="B184" s="306" t="s">
        <v>640</v>
      </c>
    </row>
    <row r="185" spans="1:2" x14ac:dyDescent="0.3">
      <c r="A185" s="535" t="s">
        <v>639</v>
      </c>
      <c r="B185" s="307"/>
    </row>
    <row r="186" spans="1:2" x14ac:dyDescent="0.3">
      <c r="A186" s="537"/>
      <c r="B186" s="301" t="s">
        <v>638</v>
      </c>
    </row>
    <row r="187" spans="1:2" ht="28.8" x14ac:dyDescent="0.3">
      <c r="A187" s="537"/>
      <c r="B187" s="301" t="s">
        <v>637</v>
      </c>
    </row>
    <row r="188" spans="1:2" ht="43.2" x14ac:dyDescent="0.3">
      <c r="A188" s="537"/>
      <c r="B188" s="301" t="s">
        <v>636</v>
      </c>
    </row>
    <row r="189" spans="1:2" ht="49.8" customHeight="1" thickBot="1" x14ac:dyDescent="0.35">
      <c r="A189" s="537"/>
      <c r="B189" s="299" t="s">
        <v>635</v>
      </c>
    </row>
    <row r="190" spans="1:2" x14ac:dyDescent="0.3">
      <c r="A190" s="535" t="s">
        <v>634</v>
      </c>
      <c r="B190" s="295"/>
    </row>
    <row r="191" spans="1:2" x14ac:dyDescent="0.3">
      <c r="A191" s="537"/>
      <c r="B191" s="296" t="s">
        <v>633</v>
      </c>
    </row>
    <row r="192" spans="1:2" x14ac:dyDescent="0.3">
      <c r="A192" s="537"/>
      <c r="B192" s="296"/>
    </row>
    <row r="193" spans="1:2" ht="28.8" x14ac:dyDescent="0.3">
      <c r="A193" s="537"/>
      <c r="B193" s="296" t="s">
        <v>632</v>
      </c>
    </row>
    <row r="194" spans="1:2" x14ac:dyDescent="0.3">
      <c r="A194" s="537"/>
      <c r="B194" s="296"/>
    </row>
    <row r="195" spans="1:2" x14ac:dyDescent="0.3">
      <c r="A195" s="537"/>
      <c r="B195" s="289" t="s">
        <v>492</v>
      </c>
    </row>
    <row r="196" spans="1:2" x14ac:dyDescent="0.3">
      <c r="A196" s="537"/>
      <c r="B196" s="296" t="s">
        <v>587</v>
      </c>
    </row>
    <row r="197" spans="1:2" ht="16.2" thickBot="1" x14ac:dyDescent="0.35">
      <c r="A197" s="536"/>
      <c r="B197" s="300"/>
    </row>
    <row r="198" spans="1:2" x14ac:dyDescent="0.3">
      <c r="A198" s="535" t="s">
        <v>586</v>
      </c>
      <c r="B198" s="295"/>
    </row>
    <row r="199" spans="1:2" ht="43.2" x14ac:dyDescent="0.3">
      <c r="A199" s="537"/>
      <c r="B199" s="296" t="s">
        <v>631</v>
      </c>
    </row>
    <row r="200" spans="1:2" x14ac:dyDescent="0.3">
      <c r="A200" s="537"/>
      <c r="B200" s="296" t="s">
        <v>630</v>
      </c>
    </row>
    <row r="201" spans="1:2" ht="28.8" x14ac:dyDescent="0.3">
      <c r="A201" s="537"/>
      <c r="B201" s="296" t="s">
        <v>629</v>
      </c>
    </row>
    <row r="202" spans="1:2" ht="16.2" thickBot="1" x14ac:dyDescent="0.35">
      <c r="A202" s="536"/>
      <c r="B202" s="300"/>
    </row>
    <row r="203" spans="1:2" x14ac:dyDescent="0.3">
      <c r="A203" s="538" t="s">
        <v>524</v>
      </c>
      <c r="B203" s="347" t="s">
        <v>628</v>
      </c>
    </row>
    <row r="204" spans="1:2" ht="16.2" thickBot="1" x14ac:dyDescent="0.35">
      <c r="A204" s="540"/>
      <c r="B204" s="348" t="s">
        <v>627</v>
      </c>
    </row>
    <row r="205" spans="1:2" x14ac:dyDescent="0.3">
      <c r="A205" s="538" t="s">
        <v>626</v>
      </c>
      <c r="B205" s="295"/>
    </row>
    <row r="206" spans="1:2" x14ac:dyDescent="0.3">
      <c r="A206" s="539"/>
      <c r="B206" s="296" t="s">
        <v>625</v>
      </c>
    </row>
    <row r="207" spans="1:2" ht="16.2" thickBot="1" x14ac:dyDescent="0.35">
      <c r="A207" s="540"/>
      <c r="B207" s="300"/>
    </row>
    <row r="208" spans="1:2" x14ac:dyDescent="0.3">
      <c r="A208" s="535" t="s">
        <v>520</v>
      </c>
      <c r="B208" s="295"/>
    </row>
    <row r="209" spans="1:2" ht="40.5" customHeight="1" x14ac:dyDescent="0.3">
      <c r="A209" s="537"/>
      <c r="B209" s="296" t="s">
        <v>624</v>
      </c>
    </row>
    <row r="210" spans="1:2" ht="34.5" customHeight="1" x14ac:dyDescent="0.3">
      <c r="A210" s="537"/>
      <c r="B210" s="296" t="s">
        <v>578</v>
      </c>
    </row>
    <row r="211" spans="1:2" ht="32.549999999999997" customHeight="1" x14ac:dyDescent="0.3">
      <c r="A211" s="537"/>
      <c r="B211" s="296" t="s">
        <v>577</v>
      </c>
    </row>
    <row r="212" spans="1:2" ht="16.2" thickBot="1" x14ac:dyDescent="0.35">
      <c r="A212" s="536"/>
      <c r="B212" s="298"/>
    </row>
    <row r="213" spans="1:2" x14ac:dyDescent="0.3">
      <c r="A213" s="535" t="s">
        <v>912</v>
      </c>
      <c r="B213" s="295"/>
    </row>
    <row r="214" spans="1:2" ht="28.8" x14ac:dyDescent="0.3">
      <c r="A214" s="537"/>
      <c r="B214" s="296" t="s">
        <v>576</v>
      </c>
    </row>
    <row r="215" spans="1:2" ht="28.8" x14ac:dyDescent="0.3">
      <c r="A215" s="537"/>
      <c r="B215" s="296" t="s">
        <v>575</v>
      </c>
    </row>
    <row r="216" spans="1:2" ht="28.8" customHeight="1" x14ac:dyDescent="0.3">
      <c r="A216" s="537"/>
      <c r="B216" s="296" t="s">
        <v>574</v>
      </c>
    </row>
    <row r="217" spans="1:2" ht="24.6" customHeight="1" x14ac:dyDescent="0.3">
      <c r="A217" s="537"/>
      <c r="B217" s="296" t="s">
        <v>573</v>
      </c>
    </row>
    <row r="218" spans="1:2" ht="24.6" customHeight="1" x14ac:dyDescent="0.3">
      <c r="A218" s="537"/>
      <c r="B218" s="296" t="s">
        <v>525</v>
      </c>
    </row>
    <row r="219" spans="1:2" ht="36.450000000000003" customHeight="1" thickBot="1" x14ac:dyDescent="0.35">
      <c r="A219" s="536"/>
      <c r="B219" s="299" t="s">
        <v>572</v>
      </c>
    </row>
    <row r="220" spans="1:2" ht="15.6" customHeight="1" x14ac:dyDescent="0.3">
      <c r="A220" s="535" t="s">
        <v>623</v>
      </c>
      <c r="B220" s="289" t="s">
        <v>567</v>
      </c>
    </row>
    <row r="221" spans="1:2" ht="42" customHeight="1" x14ac:dyDescent="0.3">
      <c r="A221" s="537"/>
      <c r="B221" s="301" t="s">
        <v>913</v>
      </c>
    </row>
    <row r="222" spans="1:2" x14ac:dyDescent="0.3">
      <c r="A222" s="537"/>
      <c r="B222" s="289" t="s">
        <v>492</v>
      </c>
    </row>
    <row r="223" spans="1:2" ht="28.8" x14ac:dyDescent="0.3">
      <c r="A223" s="537"/>
      <c r="B223" s="301" t="s">
        <v>622</v>
      </c>
    </row>
    <row r="224" spans="1:2" ht="16.2" thickBot="1" x14ac:dyDescent="0.35">
      <c r="A224" s="536"/>
      <c r="B224" s="299" t="s">
        <v>621</v>
      </c>
    </row>
    <row r="225" spans="1:2" x14ac:dyDescent="0.3">
      <c r="A225" s="535" t="s">
        <v>410</v>
      </c>
      <c r="B225" s="295"/>
    </row>
    <row r="226" spans="1:2" x14ac:dyDescent="0.3">
      <c r="A226" s="537"/>
      <c r="B226" s="296" t="s">
        <v>497</v>
      </c>
    </row>
    <row r="227" spans="1:2" x14ac:dyDescent="0.3">
      <c r="A227" s="537"/>
      <c r="B227" s="296" t="s">
        <v>620</v>
      </c>
    </row>
    <row r="228" spans="1:2" ht="28.8" x14ac:dyDescent="0.3">
      <c r="A228" s="537"/>
      <c r="B228" s="296" t="s">
        <v>619</v>
      </c>
    </row>
    <row r="229" spans="1:2" ht="16.2" thickBot="1" x14ac:dyDescent="0.35">
      <c r="A229" s="536"/>
      <c r="B229" s="298"/>
    </row>
    <row r="230" spans="1:2" x14ac:dyDescent="0.3">
      <c r="A230" s="535" t="s">
        <v>618</v>
      </c>
      <c r="B230" s="304" t="s">
        <v>617</v>
      </c>
    </row>
    <row r="231" spans="1:2" ht="29.4" customHeight="1" thickBot="1" x14ac:dyDescent="0.35">
      <c r="A231" s="537"/>
      <c r="B231" s="299" t="s">
        <v>616</v>
      </c>
    </row>
    <row r="232" spans="1:2" x14ac:dyDescent="0.3">
      <c r="A232" s="535" t="s">
        <v>550</v>
      </c>
      <c r="B232" s="295"/>
    </row>
    <row r="233" spans="1:2" x14ac:dyDescent="0.3">
      <c r="A233" s="537"/>
      <c r="B233" s="296" t="s">
        <v>615</v>
      </c>
    </row>
    <row r="234" spans="1:2" x14ac:dyDescent="0.3">
      <c r="A234" s="537"/>
      <c r="B234" s="296"/>
    </row>
    <row r="235" spans="1:2" ht="28.8" x14ac:dyDescent="0.3">
      <c r="A235" s="537"/>
      <c r="B235" s="296" t="s">
        <v>614</v>
      </c>
    </row>
    <row r="236" spans="1:2" ht="16.2" thickBot="1" x14ac:dyDescent="0.35">
      <c r="A236" s="536"/>
      <c r="B236" s="298"/>
    </row>
    <row r="237" spans="1:2" x14ac:dyDescent="0.3">
      <c r="A237" s="535" t="s">
        <v>544</v>
      </c>
      <c r="B237" s="304" t="s">
        <v>613</v>
      </c>
    </row>
    <row r="238" spans="1:2" ht="16.2" thickBot="1" x14ac:dyDescent="0.35">
      <c r="A238" s="536"/>
      <c r="B238" s="310" t="s">
        <v>612</v>
      </c>
    </row>
    <row r="239" spans="1:2" x14ac:dyDescent="0.3">
      <c r="A239" s="535" t="s">
        <v>611</v>
      </c>
      <c r="B239" s="295"/>
    </row>
    <row r="240" spans="1:2" ht="28.8" x14ac:dyDescent="0.3">
      <c r="A240" s="537"/>
      <c r="B240" s="296" t="s">
        <v>610</v>
      </c>
    </row>
    <row r="241" spans="1:2" ht="16.2" thickBot="1" x14ac:dyDescent="0.35">
      <c r="A241" s="536"/>
      <c r="B241" s="298"/>
    </row>
    <row r="242" spans="1:2" x14ac:dyDescent="0.3">
      <c r="A242" s="535" t="s">
        <v>540</v>
      </c>
      <c r="B242" s="295"/>
    </row>
    <row r="243" spans="1:2" ht="28.8" x14ac:dyDescent="0.3">
      <c r="A243" s="537"/>
      <c r="B243" s="296" t="s">
        <v>609</v>
      </c>
    </row>
    <row r="244" spans="1:2" ht="16.2" thickBot="1" x14ac:dyDescent="0.35">
      <c r="A244" s="536"/>
      <c r="B244" s="300"/>
    </row>
    <row r="245" spans="1:2" x14ac:dyDescent="0.3">
      <c r="A245" s="551" t="s">
        <v>411</v>
      </c>
      <c r="B245" s="261" t="s">
        <v>608</v>
      </c>
    </row>
    <row r="246" spans="1:2" x14ac:dyDescent="0.3">
      <c r="A246" s="552"/>
      <c r="B246" s="251"/>
    </row>
    <row r="247" spans="1:2" x14ac:dyDescent="0.3">
      <c r="A247" s="552"/>
      <c r="B247" s="251" t="s">
        <v>537</v>
      </c>
    </row>
    <row r="248" spans="1:2" x14ac:dyDescent="0.3">
      <c r="A248" s="552"/>
      <c r="B248" s="251" t="s">
        <v>607</v>
      </c>
    </row>
    <row r="249" spans="1:2" x14ac:dyDescent="0.3">
      <c r="A249" s="552"/>
      <c r="B249" s="251" t="s">
        <v>535</v>
      </c>
    </row>
    <row r="250" spans="1:2" x14ac:dyDescent="0.3">
      <c r="A250" s="552"/>
      <c r="B250" s="263" t="s">
        <v>534</v>
      </c>
    </row>
    <row r="251" spans="1:2" x14ac:dyDescent="0.3">
      <c r="A251" s="552"/>
      <c r="B251" s="251" t="s">
        <v>606</v>
      </c>
    </row>
    <row r="252" spans="1:2" x14ac:dyDescent="0.3">
      <c r="A252" s="552"/>
      <c r="B252" s="251" t="s">
        <v>605</v>
      </c>
    </row>
    <row r="253" spans="1:2" x14ac:dyDescent="0.3">
      <c r="A253" s="552"/>
      <c r="B253" s="251" t="s">
        <v>604</v>
      </c>
    </row>
    <row r="254" spans="1:2" x14ac:dyDescent="0.3">
      <c r="A254" s="552"/>
      <c r="B254" s="260" t="s">
        <v>603</v>
      </c>
    </row>
    <row r="255" spans="1:2" x14ac:dyDescent="0.3">
      <c r="A255" s="552"/>
      <c r="B255" s="354"/>
    </row>
    <row r="256" spans="1:2" ht="16.2" thickBot="1" x14ac:dyDescent="0.35">
      <c r="A256" s="553"/>
      <c r="B256" s="353"/>
    </row>
    <row r="257" spans="1:2" ht="16.2" thickBot="1" x14ac:dyDescent="0.35">
      <c r="A257" s="312"/>
      <c r="B257" s="283"/>
    </row>
    <row r="258" spans="1:2" ht="16.2" thickBot="1" x14ac:dyDescent="0.35">
      <c r="A258" s="527" t="s">
        <v>308</v>
      </c>
      <c r="B258" s="528"/>
    </row>
    <row r="259" spans="1:2" x14ac:dyDescent="0.3">
      <c r="A259" s="535" t="s">
        <v>602</v>
      </c>
      <c r="B259" s="295"/>
    </row>
    <row r="260" spans="1:2" x14ac:dyDescent="0.3">
      <c r="A260" s="537"/>
      <c r="B260" s="296" t="s">
        <v>601</v>
      </c>
    </row>
    <row r="261" spans="1:2" ht="16.2" thickBot="1" x14ac:dyDescent="0.35">
      <c r="A261" s="536"/>
      <c r="B261" s="300"/>
    </row>
    <row r="262" spans="1:2" x14ac:dyDescent="0.3">
      <c r="A262" s="535" t="s">
        <v>511</v>
      </c>
      <c r="B262" s="295"/>
    </row>
    <row r="263" spans="1:2" x14ac:dyDescent="0.3">
      <c r="A263" s="537"/>
      <c r="B263" s="296" t="s">
        <v>600</v>
      </c>
    </row>
    <row r="264" spans="1:2" ht="16.2" thickBot="1" x14ac:dyDescent="0.35">
      <c r="A264" s="536"/>
      <c r="B264" s="300"/>
    </row>
    <row r="265" spans="1:2" x14ac:dyDescent="0.3">
      <c r="A265" s="538" t="s">
        <v>279</v>
      </c>
      <c r="B265" s="347" t="s">
        <v>599</v>
      </c>
    </row>
    <row r="266" spans="1:2" ht="28.8" x14ac:dyDescent="0.3">
      <c r="A266" s="539"/>
      <c r="B266" s="347" t="s">
        <v>598</v>
      </c>
    </row>
    <row r="267" spans="1:2" ht="28.8" x14ac:dyDescent="0.3">
      <c r="A267" s="539"/>
      <c r="B267" s="347" t="s">
        <v>597</v>
      </c>
    </row>
    <row r="268" spans="1:2" ht="48.45" customHeight="1" thickBot="1" x14ac:dyDescent="0.35">
      <c r="A268" s="540"/>
      <c r="B268" s="348" t="s">
        <v>596</v>
      </c>
    </row>
    <row r="269" spans="1:2" x14ac:dyDescent="0.3">
      <c r="A269" s="538" t="s">
        <v>595</v>
      </c>
      <c r="B269" s="295"/>
    </row>
    <row r="270" spans="1:2" ht="28.8" x14ac:dyDescent="0.3">
      <c r="A270" s="539"/>
      <c r="B270" s="296" t="s">
        <v>594</v>
      </c>
    </row>
    <row r="271" spans="1:2" x14ac:dyDescent="0.3">
      <c r="A271" s="539"/>
      <c r="B271" s="296"/>
    </row>
    <row r="272" spans="1:2" ht="43.2" x14ac:dyDescent="0.3">
      <c r="A272" s="539"/>
      <c r="B272" s="296" t="s">
        <v>593</v>
      </c>
    </row>
    <row r="273" spans="1:2" x14ac:dyDescent="0.3">
      <c r="A273" s="539"/>
      <c r="B273" s="296"/>
    </row>
    <row r="274" spans="1:2" ht="28.8" x14ac:dyDescent="0.3">
      <c r="A274" s="539"/>
      <c r="B274" s="296" t="s">
        <v>592</v>
      </c>
    </row>
    <row r="275" spans="1:2" ht="16.2" thickBot="1" x14ac:dyDescent="0.35">
      <c r="A275" s="540"/>
      <c r="B275" s="300"/>
    </row>
    <row r="276" spans="1:2" x14ac:dyDescent="0.3">
      <c r="A276" s="535" t="s">
        <v>591</v>
      </c>
      <c r="B276" s="296" t="s">
        <v>590</v>
      </c>
    </row>
    <row r="277" spans="1:2" x14ac:dyDescent="0.3">
      <c r="A277" s="537"/>
      <c r="B277" s="296" t="s">
        <v>589</v>
      </c>
    </row>
    <row r="278" spans="1:2" ht="42" customHeight="1" x14ac:dyDescent="0.3">
      <c r="A278" s="537"/>
      <c r="B278" s="313" t="s">
        <v>588</v>
      </c>
    </row>
    <row r="279" spans="1:2" ht="15.6" customHeight="1" x14ac:dyDescent="0.3">
      <c r="A279" s="537"/>
      <c r="B279" s="289" t="s">
        <v>492</v>
      </c>
    </row>
    <row r="280" spans="1:2" ht="25.2" customHeight="1" thickBot="1" x14ac:dyDescent="0.35">
      <c r="A280" s="537"/>
      <c r="B280" s="299" t="s">
        <v>587</v>
      </c>
    </row>
    <row r="281" spans="1:2" ht="28.8" x14ac:dyDescent="0.3">
      <c r="A281" s="535" t="s">
        <v>586</v>
      </c>
      <c r="B281" s="296" t="s">
        <v>585</v>
      </c>
    </row>
    <row r="282" spans="1:2" ht="29.4" thickBot="1" x14ac:dyDescent="0.35">
      <c r="A282" s="537"/>
      <c r="B282" s="299" t="s">
        <v>584</v>
      </c>
    </row>
    <row r="283" spans="1:2" x14ac:dyDescent="0.3">
      <c r="A283" s="535" t="s">
        <v>583</v>
      </c>
      <c r="B283" s="295"/>
    </row>
    <row r="284" spans="1:2" x14ac:dyDescent="0.3">
      <c r="A284" s="537"/>
      <c r="B284" s="296" t="s">
        <v>523</v>
      </c>
    </row>
    <row r="285" spans="1:2" ht="16.2" thickBot="1" x14ac:dyDescent="0.35">
      <c r="A285" s="536"/>
      <c r="B285" s="300"/>
    </row>
    <row r="286" spans="1:2" x14ac:dyDescent="0.3">
      <c r="A286" s="535" t="s">
        <v>582</v>
      </c>
      <c r="B286" s="295"/>
    </row>
    <row r="287" spans="1:2" x14ac:dyDescent="0.3">
      <c r="A287" s="537"/>
      <c r="B287" s="296" t="s">
        <v>581</v>
      </c>
    </row>
    <row r="288" spans="1:2" ht="16.2" thickBot="1" x14ac:dyDescent="0.35">
      <c r="A288" s="536"/>
      <c r="B288" s="300"/>
    </row>
    <row r="289" spans="1:2" x14ac:dyDescent="0.3">
      <c r="A289" s="535" t="s">
        <v>580</v>
      </c>
      <c r="B289" s="295"/>
    </row>
    <row r="290" spans="1:2" x14ac:dyDescent="0.3">
      <c r="A290" s="537"/>
      <c r="B290" s="296" t="s">
        <v>579</v>
      </c>
    </row>
    <row r="291" spans="1:2" ht="28.8" x14ac:dyDescent="0.3">
      <c r="A291" s="537"/>
      <c r="B291" s="296" t="s">
        <v>578</v>
      </c>
    </row>
    <row r="292" spans="1:2" ht="28.8" x14ac:dyDescent="0.3">
      <c r="A292" s="537"/>
      <c r="B292" s="296" t="s">
        <v>577</v>
      </c>
    </row>
    <row r="293" spans="1:2" ht="16.2" thickBot="1" x14ac:dyDescent="0.35">
      <c r="A293" s="536"/>
      <c r="B293" s="300"/>
    </row>
    <row r="294" spans="1:2" x14ac:dyDescent="0.3">
      <c r="A294" s="535" t="s">
        <v>914</v>
      </c>
      <c r="B294" s="295"/>
    </row>
    <row r="295" spans="1:2" ht="28.8" x14ac:dyDescent="0.3">
      <c r="A295" s="537"/>
      <c r="B295" s="296" t="s">
        <v>576</v>
      </c>
    </row>
    <row r="296" spans="1:2" ht="28.8" x14ac:dyDescent="0.3">
      <c r="A296" s="537"/>
      <c r="B296" s="296" t="s">
        <v>575</v>
      </c>
    </row>
    <row r="297" spans="1:2" ht="34.5" customHeight="1" x14ac:dyDescent="0.3">
      <c r="A297" s="537"/>
      <c r="B297" s="296" t="s">
        <v>574</v>
      </c>
    </row>
    <row r="298" spans="1:2" ht="28.8" customHeight="1" x14ac:dyDescent="0.3">
      <c r="A298" s="537"/>
      <c r="B298" s="296" t="s">
        <v>525</v>
      </c>
    </row>
    <row r="299" spans="1:2" x14ac:dyDescent="0.3">
      <c r="A299" s="537"/>
      <c r="B299" s="296" t="s">
        <v>573</v>
      </c>
    </row>
    <row r="300" spans="1:2" ht="28.8" x14ac:dyDescent="0.3">
      <c r="A300" s="537"/>
      <c r="B300" s="296" t="s">
        <v>572</v>
      </c>
    </row>
    <row r="301" spans="1:2" x14ac:dyDescent="0.3">
      <c r="A301" s="537"/>
      <c r="B301" s="296"/>
    </row>
    <row r="302" spans="1:2" ht="16.2" thickBot="1" x14ac:dyDescent="0.35">
      <c r="A302" s="536"/>
      <c r="B302" s="300"/>
    </row>
    <row r="303" spans="1:2" ht="15.6" customHeight="1" x14ac:dyDescent="0.3">
      <c r="A303" s="546" t="s">
        <v>571</v>
      </c>
      <c r="B303" s="295"/>
    </row>
    <row r="304" spans="1:2" x14ac:dyDescent="0.3">
      <c r="A304" s="547"/>
      <c r="B304" s="289" t="s">
        <v>492</v>
      </c>
    </row>
    <row r="305" spans="1:2" x14ac:dyDescent="0.3">
      <c r="A305" s="547"/>
      <c r="B305" s="296" t="s">
        <v>570</v>
      </c>
    </row>
    <row r="306" spans="1:2" ht="28.8" x14ac:dyDescent="0.3">
      <c r="A306" s="547"/>
      <c r="B306" s="296" t="s">
        <v>569</v>
      </c>
    </row>
    <row r="307" spans="1:2" ht="16.2" thickBot="1" x14ac:dyDescent="0.35">
      <c r="A307" s="548"/>
      <c r="B307" s="300"/>
    </row>
    <row r="308" spans="1:2" x14ac:dyDescent="0.3">
      <c r="A308" s="535" t="s">
        <v>568</v>
      </c>
      <c r="B308" s="289" t="s">
        <v>567</v>
      </c>
    </row>
    <row r="309" spans="1:2" ht="28.8" x14ac:dyDescent="0.3">
      <c r="A309" s="537"/>
      <c r="B309" s="296" t="s">
        <v>566</v>
      </c>
    </row>
    <row r="310" spans="1:2" x14ac:dyDescent="0.3">
      <c r="A310" s="537"/>
      <c r="B310" s="296"/>
    </row>
    <row r="311" spans="1:2" x14ac:dyDescent="0.3">
      <c r="A311" s="537"/>
      <c r="B311" s="289" t="s">
        <v>492</v>
      </c>
    </row>
    <row r="312" spans="1:2" ht="28.8" x14ac:dyDescent="0.3">
      <c r="A312" s="537"/>
      <c r="B312" s="296" t="s">
        <v>565</v>
      </c>
    </row>
    <row r="313" spans="1:2" ht="16.2" thickBot="1" x14ac:dyDescent="0.35">
      <c r="A313" s="536"/>
      <c r="B313" s="310" t="s">
        <v>564</v>
      </c>
    </row>
    <row r="314" spans="1:2" ht="15.6" customHeight="1" x14ac:dyDescent="0.3">
      <c r="A314" s="538" t="s">
        <v>563</v>
      </c>
      <c r="B314" s="295"/>
    </row>
    <row r="315" spans="1:2" ht="15.6" customHeight="1" x14ac:dyDescent="0.3">
      <c r="A315" s="539"/>
      <c r="B315" s="253" t="s">
        <v>497</v>
      </c>
    </row>
    <row r="316" spans="1:2" ht="28.95" customHeight="1" x14ac:dyDescent="0.3">
      <c r="A316" s="539"/>
      <c r="B316" s="314" t="s">
        <v>562</v>
      </c>
    </row>
    <row r="317" spans="1:2" ht="28.8" x14ac:dyDescent="0.3">
      <c r="A317" s="539"/>
      <c r="B317" s="259" t="s">
        <v>561</v>
      </c>
    </row>
    <row r="318" spans="1:2" ht="31.95" customHeight="1" x14ac:dyDescent="0.3">
      <c r="A318" s="539"/>
      <c r="B318" s="314" t="s">
        <v>560</v>
      </c>
    </row>
    <row r="319" spans="1:2" ht="15.6" customHeight="1" x14ac:dyDescent="0.3">
      <c r="A319" s="539"/>
      <c r="B319" s="258" t="s">
        <v>559</v>
      </c>
    </row>
    <row r="320" spans="1:2" ht="28.8" x14ac:dyDescent="0.3">
      <c r="A320" s="539"/>
      <c r="B320" s="257" t="s">
        <v>558</v>
      </c>
    </row>
    <row r="321" spans="1:2" ht="43.2" x14ac:dyDescent="0.3">
      <c r="A321" s="539"/>
      <c r="B321" s="256" t="s">
        <v>557</v>
      </c>
    </row>
    <row r="322" spans="1:2" x14ac:dyDescent="0.3">
      <c r="A322" s="539"/>
      <c r="B322" s="296" t="s">
        <v>556</v>
      </c>
    </row>
    <row r="323" spans="1:2" ht="16.2" thickBot="1" x14ac:dyDescent="0.35">
      <c r="A323" s="540"/>
      <c r="B323" s="298"/>
    </row>
    <row r="324" spans="1:2" ht="52.2" customHeight="1" x14ac:dyDescent="0.3">
      <c r="A324" s="535" t="s">
        <v>555</v>
      </c>
      <c r="B324" s="304" t="s">
        <v>554</v>
      </c>
    </row>
    <row r="325" spans="1:2" ht="43.2" x14ac:dyDescent="0.3">
      <c r="A325" s="537"/>
      <c r="B325" s="296" t="s">
        <v>553</v>
      </c>
    </row>
    <row r="326" spans="1:2" ht="43.2" x14ac:dyDescent="0.3">
      <c r="A326" s="537"/>
      <c r="B326" s="296" t="s">
        <v>552</v>
      </c>
    </row>
    <row r="327" spans="1:2" ht="51" customHeight="1" x14ac:dyDescent="0.3">
      <c r="A327" s="537"/>
      <c r="B327" s="296" t="s">
        <v>551</v>
      </c>
    </row>
    <row r="328" spans="1:2" x14ac:dyDescent="0.3">
      <c r="A328" s="537"/>
      <c r="B328" s="304"/>
    </row>
    <row r="329" spans="1:2" ht="16.2" thickBot="1" x14ac:dyDescent="0.35">
      <c r="A329" s="536"/>
      <c r="B329" s="298"/>
    </row>
    <row r="330" spans="1:2" x14ac:dyDescent="0.3">
      <c r="A330" s="538" t="s">
        <v>550</v>
      </c>
      <c r="B330" s="304" t="s">
        <v>549</v>
      </c>
    </row>
    <row r="331" spans="1:2" ht="28.8" x14ac:dyDescent="0.3">
      <c r="A331" s="539"/>
      <c r="B331" s="314" t="s">
        <v>548</v>
      </c>
    </row>
    <row r="332" spans="1:2" x14ac:dyDescent="0.3">
      <c r="A332" s="539"/>
      <c r="B332" s="253" t="s">
        <v>547</v>
      </c>
    </row>
    <row r="333" spans="1:2" x14ac:dyDescent="0.3">
      <c r="A333" s="539"/>
      <c r="B333" s="253" t="s">
        <v>546</v>
      </c>
    </row>
    <row r="334" spans="1:2" ht="29.4" thickBot="1" x14ac:dyDescent="0.35">
      <c r="A334" s="540"/>
      <c r="B334" s="255" t="s">
        <v>545</v>
      </c>
    </row>
    <row r="335" spans="1:2" x14ac:dyDescent="0.3">
      <c r="A335" s="538" t="s">
        <v>544</v>
      </c>
      <c r="B335" s="254" t="s">
        <v>543</v>
      </c>
    </row>
    <row r="336" spans="1:2" x14ac:dyDescent="0.3">
      <c r="A336" s="539"/>
      <c r="B336" s="253" t="s">
        <v>542</v>
      </c>
    </row>
    <row r="337" spans="1:2" ht="16.2" thickBot="1" x14ac:dyDescent="0.35">
      <c r="A337" s="540"/>
      <c r="B337" s="252" t="s">
        <v>541</v>
      </c>
    </row>
    <row r="338" spans="1:2" ht="55.05" customHeight="1" thickBot="1" x14ac:dyDescent="0.35">
      <c r="A338" s="354" t="s">
        <v>540</v>
      </c>
      <c r="B338" s="315" t="s">
        <v>539</v>
      </c>
    </row>
    <row r="339" spans="1:2" x14ac:dyDescent="0.3">
      <c r="A339" s="538" t="s">
        <v>498</v>
      </c>
      <c r="B339" s="295"/>
    </row>
    <row r="340" spans="1:2" x14ac:dyDescent="0.3">
      <c r="A340" s="539"/>
      <c r="B340" s="296" t="s">
        <v>538</v>
      </c>
    </row>
    <row r="341" spans="1:2" x14ac:dyDescent="0.3">
      <c r="A341" s="539"/>
      <c r="B341" s="251" t="s">
        <v>537</v>
      </c>
    </row>
    <row r="342" spans="1:2" x14ac:dyDescent="0.3">
      <c r="A342" s="539"/>
      <c r="B342" s="251" t="s">
        <v>536</v>
      </c>
    </row>
    <row r="343" spans="1:2" x14ac:dyDescent="0.3">
      <c r="A343" s="539"/>
      <c r="B343" s="251" t="s">
        <v>535</v>
      </c>
    </row>
    <row r="344" spans="1:2" x14ac:dyDescent="0.3">
      <c r="A344" s="539"/>
      <c r="B344" s="263" t="s">
        <v>534</v>
      </c>
    </row>
    <row r="345" spans="1:2" x14ac:dyDescent="0.3">
      <c r="A345" s="539"/>
      <c r="B345" s="251" t="s">
        <v>533</v>
      </c>
    </row>
    <row r="346" spans="1:2" ht="28.8" x14ac:dyDescent="0.3">
      <c r="A346" s="539"/>
      <c r="B346" s="250" t="s">
        <v>532</v>
      </c>
    </row>
    <row r="347" spans="1:2" ht="16.2" thickBot="1" x14ac:dyDescent="0.35">
      <c r="A347" s="540"/>
      <c r="B347" s="298"/>
    </row>
    <row r="348" spans="1:2" ht="16.2" thickBot="1" x14ac:dyDescent="0.35">
      <c r="A348" s="541"/>
      <c r="B348" s="542"/>
    </row>
    <row r="349" spans="1:2" ht="16.2" thickBot="1" x14ac:dyDescent="0.35">
      <c r="A349" s="283"/>
      <c r="B349" s="283"/>
    </row>
    <row r="350" spans="1:2" ht="16.350000000000001" customHeight="1" thickBot="1" x14ac:dyDescent="0.35">
      <c r="A350" s="527" t="s">
        <v>531</v>
      </c>
      <c r="B350" s="528"/>
    </row>
    <row r="351" spans="1:2" ht="16.350000000000001" customHeight="1" x14ac:dyDescent="0.3">
      <c r="A351" s="538" t="s">
        <v>512</v>
      </c>
      <c r="B351" s="349" t="s">
        <v>530</v>
      </c>
    </row>
    <row r="352" spans="1:2" ht="16.350000000000001" customHeight="1" thickBot="1" x14ac:dyDescent="0.35">
      <c r="A352" s="540"/>
      <c r="B352" s="348" t="s">
        <v>529</v>
      </c>
    </row>
    <row r="353" spans="1:55" s="352" customFormat="1" ht="15.6" customHeight="1" x14ac:dyDescent="0.3">
      <c r="A353" s="538" t="s">
        <v>915</v>
      </c>
      <c r="C353" s="355"/>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56"/>
      <c r="AE353" s="356"/>
      <c r="AF353" s="356"/>
      <c r="AG353" s="356"/>
      <c r="AH353" s="356"/>
      <c r="AI353" s="356"/>
      <c r="AJ353" s="356"/>
      <c r="AK353" s="356"/>
      <c r="AL353" s="356"/>
      <c r="AM353" s="356"/>
      <c r="AN353" s="356"/>
      <c r="AO353" s="356"/>
      <c r="AP353" s="356"/>
      <c r="AQ353" s="356"/>
      <c r="AR353" s="356"/>
      <c r="AS353" s="356"/>
      <c r="AT353" s="356"/>
      <c r="AU353" s="356"/>
      <c r="AV353" s="356"/>
      <c r="AW353" s="356"/>
      <c r="AX353" s="356"/>
      <c r="AY353" s="356"/>
      <c r="AZ353" s="356"/>
      <c r="BA353" s="356"/>
      <c r="BB353" s="356"/>
      <c r="BC353" s="356"/>
    </row>
    <row r="354" spans="1:55" ht="28.8" x14ac:dyDescent="0.3">
      <c r="A354" s="539"/>
      <c r="B354" s="296" t="s">
        <v>528</v>
      </c>
    </row>
    <row r="355" spans="1:55" ht="16.2" thickBot="1" x14ac:dyDescent="0.35">
      <c r="A355" s="540"/>
      <c r="B355" s="300"/>
    </row>
    <row r="356" spans="1:55" x14ac:dyDescent="0.3">
      <c r="A356" s="535" t="s">
        <v>527</v>
      </c>
      <c r="B356" s="295"/>
    </row>
    <row r="357" spans="1:55" x14ac:dyDescent="0.3">
      <c r="A357" s="537"/>
      <c r="B357" s="296" t="s">
        <v>526</v>
      </c>
    </row>
    <row r="358" spans="1:55" ht="28.8" x14ac:dyDescent="0.3">
      <c r="A358" s="537"/>
      <c r="B358" s="296" t="s">
        <v>525</v>
      </c>
    </row>
    <row r="359" spans="1:55" ht="16.2" thickBot="1" x14ac:dyDescent="0.35">
      <c r="A359" s="536"/>
      <c r="B359" s="300"/>
    </row>
    <row r="360" spans="1:55" ht="34.950000000000003" customHeight="1" thickBot="1" x14ac:dyDescent="0.35">
      <c r="A360" s="354" t="s">
        <v>524</v>
      </c>
      <c r="B360" s="350" t="s">
        <v>523</v>
      </c>
    </row>
    <row r="361" spans="1:55" x14ac:dyDescent="0.3">
      <c r="A361" s="538" t="s">
        <v>522</v>
      </c>
      <c r="B361" s="295"/>
    </row>
    <row r="362" spans="1:55" x14ac:dyDescent="0.3">
      <c r="A362" s="539"/>
      <c r="B362" s="296" t="s">
        <v>521</v>
      </c>
    </row>
    <row r="363" spans="1:55" ht="16.2" thickBot="1" x14ac:dyDescent="0.35">
      <c r="A363" s="540"/>
      <c r="B363" s="300"/>
    </row>
    <row r="364" spans="1:55" x14ac:dyDescent="0.3">
      <c r="A364" s="535" t="s">
        <v>520</v>
      </c>
      <c r="B364" s="295"/>
    </row>
    <row r="365" spans="1:55" x14ac:dyDescent="0.3">
      <c r="A365" s="537"/>
      <c r="B365" s="296" t="s">
        <v>519</v>
      </c>
    </row>
    <row r="366" spans="1:55" ht="16.2" thickBot="1" x14ac:dyDescent="0.35">
      <c r="A366" s="536"/>
      <c r="B366" s="300"/>
    </row>
    <row r="367" spans="1:55" x14ac:dyDescent="0.3">
      <c r="A367" s="551" t="s">
        <v>498</v>
      </c>
      <c r="B367" s="295"/>
    </row>
    <row r="368" spans="1:55" x14ac:dyDescent="0.3">
      <c r="A368" s="552"/>
      <c r="B368" s="301" t="s">
        <v>518</v>
      </c>
    </row>
    <row r="369" spans="1:2" x14ac:dyDescent="0.3">
      <c r="A369" s="552"/>
      <c r="B369" s="351" t="s">
        <v>517</v>
      </c>
    </row>
    <row r="370" spans="1:2" x14ac:dyDescent="0.3">
      <c r="A370" s="552"/>
      <c r="B370" s="351" t="s">
        <v>516</v>
      </c>
    </row>
    <row r="371" spans="1:2" x14ac:dyDescent="0.3">
      <c r="A371" s="552"/>
      <c r="B371" s="351" t="s">
        <v>515</v>
      </c>
    </row>
    <row r="372" spans="1:2" ht="16.2" thickBot="1" x14ac:dyDescent="0.35">
      <c r="A372" s="553"/>
      <c r="B372" s="353"/>
    </row>
    <row r="373" spans="1:2" ht="16.2" thickBot="1" x14ac:dyDescent="0.35">
      <c r="A373" s="283"/>
      <c r="B373" s="283"/>
    </row>
    <row r="374" spans="1:2" ht="15.6" customHeight="1" thickBot="1" x14ac:dyDescent="0.35">
      <c r="A374" s="527" t="s">
        <v>514</v>
      </c>
      <c r="B374" s="528"/>
    </row>
    <row r="375" spans="1:2" x14ac:dyDescent="0.3">
      <c r="A375" s="535" t="s">
        <v>916</v>
      </c>
      <c r="B375" s="295"/>
    </row>
    <row r="376" spans="1:2" ht="28.8" x14ac:dyDescent="0.3">
      <c r="A376" s="537"/>
      <c r="B376" s="304" t="s">
        <v>917</v>
      </c>
    </row>
    <row r="377" spans="1:2" ht="28.8" x14ac:dyDescent="0.3">
      <c r="A377" s="537"/>
      <c r="B377" s="296" t="s">
        <v>513</v>
      </c>
    </row>
    <row r="378" spans="1:2" ht="16.2" thickBot="1" x14ac:dyDescent="0.35">
      <c r="A378" s="536"/>
      <c r="B378" s="300"/>
    </row>
    <row r="379" spans="1:2" x14ac:dyDescent="0.3">
      <c r="A379" s="535" t="s">
        <v>512</v>
      </c>
      <c r="B379" s="295"/>
    </row>
    <row r="380" spans="1:2" x14ac:dyDescent="0.3">
      <c r="A380" s="537"/>
      <c r="B380" s="296" t="s">
        <v>918</v>
      </c>
    </row>
    <row r="381" spans="1:2" ht="16.2" thickBot="1" x14ac:dyDescent="0.35">
      <c r="A381" s="536"/>
      <c r="B381" s="300"/>
    </row>
    <row r="382" spans="1:2" ht="16.2" thickBot="1" x14ac:dyDescent="0.35">
      <c r="A382" s="554"/>
      <c r="B382" s="555"/>
    </row>
    <row r="383" spans="1:2" x14ac:dyDescent="0.3">
      <c r="A383" s="538" t="s">
        <v>511</v>
      </c>
      <c r="B383" s="295"/>
    </row>
    <row r="384" spans="1:2" x14ac:dyDescent="0.3">
      <c r="A384" s="539"/>
      <c r="B384" s="296" t="s">
        <v>510</v>
      </c>
    </row>
    <row r="385" spans="1:2" ht="16.2" thickBot="1" x14ac:dyDescent="0.35">
      <c r="A385" s="540"/>
      <c r="B385" s="296"/>
    </row>
    <row r="386" spans="1:2" x14ac:dyDescent="0.3">
      <c r="A386" s="538" t="s">
        <v>279</v>
      </c>
      <c r="B386" s="302" t="s">
        <v>919</v>
      </c>
    </row>
    <row r="387" spans="1:2" ht="28.8" x14ac:dyDescent="0.3">
      <c r="A387" s="539"/>
      <c r="B387" s="347" t="s">
        <v>509</v>
      </c>
    </row>
    <row r="388" spans="1:2" ht="28.8" x14ac:dyDescent="0.3">
      <c r="A388" s="539"/>
      <c r="B388" s="351" t="s">
        <v>508</v>
      </c>
    </row>
    <row r="389" spans="1:2" ht="43.95" customHeight="1" thickBot="1" x14ac:dyDescent="0.35">
      <c r="A389" s="540"/>
      <c r="B389" s="348" t="s">
        <v>507</v>
      </c>
    </row>
    <row r="390" spans="1:2" x14ac:dyDescent="0.3">
      <c r="A390" s="538" t="s">
        <v>67</v>
      </c>
      <c r="B390" s="347"/>
    </row>
    <row r="391" spans="1:2" ht="31.95" customHeight="1" x14ac:dyDescent="0.3">
      <c r="A391" s="539"/>
      <c r="B391" s="347" t="s">
        <v>506</v>
      </c>
    </row>
    <row r="392" spans="1:2" ht="16.2" thickBot="1" x14ac:dyDescent="0.35">
      <c r="A392" s="540"/>
      <c r="B392" s="348"/>
    </row>
    <row r="393" spans="1:2" x14ac:dyDescent="0.3">
      <c r="A393" s="538" t="s">
        <v>505</v>
      </c>
      <c r="B393" s="295"/>
    </row>
    <row r="394" spans="1:2" x14ac:dyDescent="0.3">
      <c r="A394" s="539"/>
      <c r="B394" s="296" t="s">
        <v>504</v>
      </c>
    </row>
    <row r="395" spans="1:2" ht="16.2" thickBot="1" x14ac:dyDescent="0.35">
      <c r="A395" s="540"/>
      <c r="B395" s="300"/>
    </row>
    <row r="396" spans="1:2" x14ac:dyDescent="0.3">
      <c r="A396" s="538" t="s">
        <v>503</v>
      </c>
      <c r="B396" s="297"/>
    </row>
    <row r="397" spans="1:2" x14ac:dyDescent="0.3">
      <c r="A397" s="539"/>
      <c r="B397" s="297" t="s">
        <v>502</v>
      </c>
    </row>
    <row r="398" spans="1:2" ht="28.8" x14ac:dyDescent="0.3">
      <c r="A398" s="539"/>
      <c r="B398" s="304" t="s">
        <v>501</v>
      </c>
    </row>
    <row r="399" spans="1:2" x14ac:dyDescent="0.3">
      <c r="A399" s="539"/>
      <c r="B399" s="297"/>
    </row>
    <row r="400" spans="1:2" x14ac:dyDescent="0.3">
      <c r="A400" s="539"/>
      <c r="B400" s="297" t="s">
        <v>500</v>
      </c>
    </row>
    <row r="401" spans="1:2" ht="28.8" x14ac:dyDescent="0.3">
      <c r="A401" s="539"/>
      <c r="B401" s="304" t="s">
        <v>499</v>
      </c>
    </row>
    <row r="402" spans="1:2" ht="16.2" thickBot="1" x14ac:dyDescent="0.35">
      <c r="A402" s="540"/>
      <c r="B402" s="300"/>
    </row>
    <row r="403" spans="1:2" x14ac:dyDescent="0.3">
      <c r="A403" s="538" t="s">
        <v>498</v>
      </c>
      <c r="B403" s="295"/>
    </row>
    <row r="404" spans="1:2" x14ac:dyDescent="0.3">
      <c r="A404" s="539"/>
      <c r="B404" s="304" t="s">
        <v>497</v>
      </c>
    </row>
    <row r="405" spans="1:2" ht="35.549999999999997" customHeight="1" x14ac:dyDescent="0.3">
      <c r="A405" s="539"/>
      <c r="B405" s="304" t="s">
        <v>496</v>
      </c>
    </row>
    <row r="406" spans="1:2" ht="28.8" x14ac:dyDescent="0.3">
      <c r="A406" s="539"/>
      <c r="B406" s="296" t="s">
        <v>495</v>
      </c>
    </row>
    <row r="407" spans="1:2" ht="16.2" thickBot="1" x14ac:dyDescent="0.35">
      <c r="A407" s="540"/>
      <c r="B407" s="300"/>
    </row>
    <row r="408" spans="1:2" ht="16.2" thickBot="1" x14ac:dyDescent="0.35">
      <c r="A408" s="549"/>
      <c r="B408" s="550"/>
    </row>
    <row r="409" spans="1:2" x14ac:dyDescent="0.3">
      <c r="A409" s="535" t="s">
        <v>494</v>
      </c>
      <c r="B409" s="295"/>
    </row>
    <row r="410" spans="1:2" x14ac:dyDescent="0.3">
      <c r="A410" s="537"/>
      <c r="B410" s="296" t="s">
        <v>920</v>
      </c>
    </row>
    <row r="411" spans="1:2" x14ac:dyDescent="0.3">
      <c r="A411" s="537"/>
      <c r="B411" s="296"/>
    </row>
    <row r="412" spans="1:2" ht="28.8" x14ac:dyDescent="0.3">
      <c r="A412" s="537"/>
      <c r="B412" s="296" t="s">
        <v>921</v>
      </c>
    </row>
    <row r="413" spans="1:2" x14ac:dyDescent="0.3">
      <c r="A413" s="537"/>
      <c r="B413" s="296"/>
    </row>
    <row r="414" spans="1:2" ht="28.8" x14ac:dyDescent="0.3">
      <c r="A414" s="537"/>
      <c r="B414" s="296" t="s">
        <v>922</v>
      </c>
    </row>
    <row r="415" spans="1:2" x14ac:dyDescent="0.3">
      <c r="A415" s="537"/>
      <c r="B415" s="296"/>
    </row>
    <row r="416" spans="1:2" x14ac:dyDescent="0.3">
      <c r="A416" s="537"/>
      <c r="B416" s="296" t="s">
        <v>923</v>
      </c>
    </row>
    <row r="417" spans="1:2" x14ac:dyDescent="0.3">
      <c r="A417" s="537"/>
      <c r="B417" s="296"/>
    </row>
    <row r="418" spans="1:2" x14ac:dyDescent="0.3">
      <c r="A418" s="537"/>
      <c r="B418" s="296" t="s">
        <v>493</v>
      </c>
    </row>
    <row r="419" spans="1:2" ht="16.2" thickBot="1" x14ac:dyDescent="0.35">
      <c r="A419" s="536"/>
      <c r="B419" s="300"/>
    </row>
    <row r="420" spans="1:2" ht="15.6" customHeight="1" x14ac:dyDescent="0.3">
      <c r="A420" s="538" t="s">
        <v>430</v>
      </c>
      <c r="B420" s="295"/>
    </row>
    <row r="421" spans="1:2" x14ac:dyDescent="0.3">
      <c r="A421" s="539"/>
      <c r="B421" s="289" t="s">
        <v>492</v>
      </c>
    </row>
    <row r="422" spans="1:2" ht="28.8" x14ac:dyDescent="0.3">
      <c r="A422" s="539"/>
      <c r="B422" s="296" t="s">
        <v>924</v>
      </c>
    </row>
    <row r="423" spans="1:2" x14ac:dyDescent="0.3">
      <c r="A423" s="539"/>
      <c r="B423" s="296"/>
    </row>
    <row r="424" spans="1:2" ht="28.8" x14ac:dyDescent="0.3">
      <c r="A424" s="539"/>
      <c r="B424" s="296" t="s">
        <v>925</v>
      </c>
    </row>
    <row r="425" spans="1:2" x14ac:dyDescent="0.3">
      <c r="A425" s="539"/>
      <c r="B425" s="296" t="s">
        <v>926</v>
      </c>
    </row>
    <row r="426" spans="1:2" x14ac:dyDescent="0.3">
      <c r="A426" s="539"/>
      <c r="B426" s="296" t="s">
        <v>491</v>
      </c>
    </row>
    <row r="427" spans="1:2" x14ac:dyDescent="0.3">
      <c r="A427" s="539"/>
      <c r="B427" s="296" t="s">
        <v>490</v>
      </c>
    </row>
    <row r="428" spans="1:2" x14ac:dyDescent="0.3">
      <c r="A428" s="539"/>
      <c r="B428" s="301" t="s">
        <v>489</v>
      </c>
    </row>
    <row r="429" spans="1:2" ht="16.2" thickBot="1" x14ac:dyDescent="0.35">
      <c r="A429" s="540"/>
      <c r="B429" s="320"/>
    </row>
    <row r="430" spans="1:2" x14ac:dyDescent="0.3">
      <c r="A430" s="535" t="s">
        <v>411</v>
      </c>
      <c r="B430" s="295"/>
    </row>
    <row r="431" spans="1:2" x14ac:dyDescent="0.3">
      <c r="A431" s="537"/>
      <c r="B431" s="296" t="s">
        <v>927</v>
      </c>
    </row>
    <row r="432" spans="1:2" ht="16.2" thickBot="1" x14ac:dyDescent="0.35">
      <c r="A432" s="536"/>
      <c r="B432" s="298"/>
    </row>
  </sheetData>
  <sheetProtection password="FB8C" sheet="1" objects="1" scenarios="1"/>
  <mergeCells count="124">
    <mergeCell ref="A6:B6"/>
    <mergeCell ref="A8:B8"/>
    <mergeCell ref="A9:B9"/>
    <mergeCell ref="A10:B10"/>
    <mergeCell ref="A11:B11"/>
    <mergeCell ref="A13:B13"/>
    <mergeCell ref="A20:B20"/>
    <mergeCell ref="A21:B21"/>
    <mergeCell ref="A22:B22"/>
    <mergeCell ref="A23:B23"/>
    <mergeCell ref="A24:B24"/>
    <mergeCell ref="A25:B25"/>
    <mergeCell ref="A14:B14"/>
    <mergeCell ref="A15:B15"/>
    <mergeCell ref="A16:B16"/>
    <mergeCell ref="A17:B17"/>
    <mergeCell ref="A18:B18"/>
    <mergeCell ref="A19:B19"/>
    <mergeCell ref="A35:A39"/>
    <mergeCell ref="A40:A43"/>
    <mergeCell ref="A44:A48"/>
    <mergeCell ref="A49:A53"/>
    <mergeCell ref="A54:A55"/>
    <mergeCell ref="A56:A57"/>
    <mergeCell ref="A26:B26"/>
    <mergeCell ref="A27:B27"/>
    <mergeCell ref="A28:B28"/>
    <mergeCell ref="A30:B30"/>
    <mergeCell ref="A31:B31"/>
    <mergeCell ref="A33:B33"/>
    <mergeCell ref="A69:A72"/>
    <mergeCell ref="A73:A75"/>
    <mergeCell ref="A76:A78"/>
    <mergeCell ref="A79:A81"/>
    <mergeCell ref="A82:A84"/>
    <mergeCell ref="A85:B85"/>
    <mergeCell ref="A58:B58"/>
    <mergeCell ref="A60:B60"/>
    <mergeCell ref="A61:A62"/>
    <mergeCell ref="A63:B63"/>
    <mergeCell ref="A64:A67"/>
    <mergeCell ref="A68:B68"/>
    <mergeCell ref="A101:A103"/>
    <mergeCell ref="A104:A106"/>
    <mergeCell ref="A108:B108"/>
    <mergeCell ref="A109:A110"/>
    <mergeCell ref="A111:A116"/>
    <mergeCell ref="A117:A123"/>
    <mergeCell ref="A86:A88"/>
    <mergeCell ref="A89:B89"/>
    <mergeCell ref="A90:A92"/>
    <mergeCell ref="A93:A96"/>
    <mergeCell ref="A97:B97"/>
    <mergeCell ref="A98:A100"/>
    <mergeCell ref="A152:A154"/>
    <mergeCell ref="A155:B155"/>
    <mergeCell ref="A156:A157"/>
    <mergeCell ref="A158:A162"/>
    <mergeCell ref="A163:A164"/>
    <mergeCell ref="A165:A167"/>
    <mergeCell ref="A124:A128"/>
    <mergeCell ref="A129:A130"/>
    <mergeCell ref="A131:A133"/>
    <mergeCell ref="A134:A138"/>
    <mergeCell ref="A139:A146"/>
    <mergeCell ref="A147:A151"/>
    <mergeCell ref="A203:A204"/>
    <mergeCell ref="A205:A207"/>
    <mergeCell ref="A208:A212"/>
    <mergeCell ref="A213:A219"/>
    <mergeCell ref="A220:A224"/>
    <mergeCell ref="A225:A229"/>
    <mergeCell ref="A168:A170"/>
    <mergeCell ref="A171:A182"/>
    <mergeCell ref="A183:B183"/>
    <mergeCell ref="A185:A189"/>
    <mergeCell ref="A190:A197"/>
    <mergeCell ref="A198:A202"/>
    <mergeCell ref="A258:B258"/>
    <mergeCell ref="A259:A261"/>
    <mergeCell ref="A262:A264"/>
    <mergeCell ref="A265:A268"/>
    <mergeCell ref="A269:A275"/>
    <mergeCell ref="A276:A280"/>
    <mergeCell ref="A230:A231"/>
    <mergeCell ref="A232:A236"/>
    <mergeCell ref="A237:A238"/>
    <mergeCell ref="A239:A241"/>
    <mergeCell ref="A242:A244"/>
    <mergeCell ref="A245:A256"/>
    <mergeCell ref="A308:A313"/>
    <mergeCell ref="A314:A323"/>
    <mergeCell ref="A324:A329"/>
    <mergeCell ref="A330:A334"/>
    <mergeCell ref="A335:A337"/>
    <mergeCell ref="A339:A347"/>
    <mergeCell ref="A281:A282"/>
    <mergeCell ref="A283:A285"/>
    <mergeCell ref="A286:A288"/>
    <mergeCell ref="A289:A293"/>
    <mergeCell ref="A294:A302"/>
    <mergeCell ref="A303:A307"/>
    <mergeCell ref="A364:A366"/>
    <mergeCell ref="A367:A372"/>
    <mergeCell ref="A374:B374"/>
    <mergeCell ref="A375:A378"/>
    <mergeCell ref="A379:A381"/>
    <mergeCell ref="A382:B382"/>
    <mergeCell ref="A348:B348"/>
    <mergeCell ref="A350:B350"/>
    <mergeCell ref="A351:A352"/>
    <mergeCell ref="A353:A355"/>
    <mergeCell ref="A356:A359"/>
    <mergeCell ref="A361:A363"/>
    <mergeCell ref="A408:B408"/>
    <mergeCell ref="A409:A419"/>
    <mergeCell ref="A420:A429"/>
    <mergeCell ref="A430:A432"/>
    <mergeCell ref="A383:A385"/>
    <mergeCell ref="A386:A389"/>
    <mergeCell ref="A390:A392"/>
    <mergeCell ref="A393:A395"/>
    <mergeCell ref="A396:A402"/>
    <mergeCell ref="A403:A407"/>
  </mergeCells>
  <hyperlinks>
    <hyperlink ref="A33:B33" location="SectionATab" display="Overview- Section A " xr:uid="{8FEA817C-C53C-4953-BCBB-D480CEBCE07B}"/>
    <hyperlink ref="A108:B108" location="SectionBTab" display="Impact Indicators – Section B" xr:uid="{D1E88CC8-942A-4C87-9F17-41FA23E98912}"/>
    <hyperlink ref="A183:B183" location="SectionCTab" display="Outcome Indicators- Section C " xr:uid="{806FCDE8-5A71-4C7B-A7E2-0C9BC7179932}"/>
    <hyperlink ref="A258:B258" location="SectionDTab" display="Coverage Indicators - Section D " xr:uid="{A1BDE620-6AAA-43FC-AF7C-87ED0B47CC55}"/>
    <hyperlink ref="A350:B350" location="SectionETab" display="Disaggregation (Impact, Outcome and Coverage indicators) - Section E " xr:uid="{296E1ED9-8E64-482D-A796-1EA399DA0E2C}"/>
    <hyperlink ref="A374:B374" location="SectionFTab" display="Work Plan Tracking Measures - Section F " xr:uid="{8EB0C926-24EC-493A-A3B8-8ED1D4EDE3CC}"/>
    <hyperlink ref="A11:B11" r:id="rId1" display="3._x0009_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 to select from. These are derived from technical partner guidance to ensure consistent and harmonized reporting. Refer to the Modular Framework Handbook-October 2019 for full list of indicators for reporting to the Global Fund." xr:uid="{7A0444C7-CBBA-44BA-83C8-A6CCDF14B5B0}"/>
    <hyperlink ref="A18:B18" r:id="rId2" display="8.      At the funding request stage: The applicants should request the Country Team for a Performance Framework template. In their request the applicants should specify the component(s) to be covered in their funding application(s). For details on the joint submissions please refer to the  Funding Request Instructions. The Global Fund Country Teams will generate and share a Performance Framework template, specific for each applicant. The applicants will use one Performance Framework template to cover the full funding request for all nominated Principal Recipients." xr:uid="{982F2549-A955-446B-830D-E13838DC9AAE}"/>
  </hyperlinks>
  <pageMargins left="0.27037878787878789" right="0.7" top="0.75" bottom="0.75" header="0.3" footer="0.3"/>
  <pageSetup paperSize="9" scale="48" fitToHeight="0" orientation="portrait" r:id="rId3"/>
  <headerFooter>
    <oddFooter>Page &amp;P</oddFooter>
  </headerFooter>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BF25"/>
  <sheetViews>
    <sheetView workbookViewId="0"/>
  </sheetViews>
  <sheetFormatPr defaultRowHeight="15.6" x14ac:dyDescent="0.3"/>
  <sheetData>
    <row r="1" spans="1:58" x14ac:dyDescent="0.3">
      <c r="A1" s="117" t="s">
        <v>1267</v>
      </c>
      <c r="B1" t="s">
        <v>255</v>
      </c>
      <c r="Y1" t="s">
        <v>265</v>
      </c>
      <c r="Z1" t="s">
        <v>266</v>
      </c>
      <c r="AA1" t="s">
        <v>1293</v>
      </c>
      <c r="AB1" t="s">
        <v>1295</v>
      </c>
      <c r="AC1" t="s">
        <v>1298</v>
      </c>
      <c r="AD1" t="s">
        <v>1303</v>
      </c>
      <c r="AE1" t="s">
        <v>1328</v>
      </c>
      <c r="AF1" t="s">
        <v>1329</v>
      </c>
      <c r="AG1" t="s">
        <v>1330</v>
      </c>
      <c r="AH1" t="s">
        <v>1331</v>
      </c>
      <c r="AI1" t="s">
        <v>1332</v>
      </c>
      <c r="AJ1" t="s">
        <v>1333</v>
      </c>
      <c r="AK1" t="s">
        <v>1334</v>
      </c>
      <c r="AL1" t="s">
        <v>1335</v>
      </c>
      <c r="AM1" t="s">
        <v>1336</v>
      </c>
      <c r="AN1" t="s">
        <v>1337</v>
      </c>
      <c r="AO1" t="s">
        <v>1338</v>
      </c>
      <c r="AP1" t="s">
        <v>1339</v>
      </c>
      <c r="AQ1" t="s">
        <v>1340</v>
      </c>
      <c r="AR1" t="s">
        <v>256</v>
      </c>
      <c r="AS1" t="s">
        <v>1345</v>
      </c>
      <c r="AT1" t="s">
        <v>262</v>
      </c>
      <c r="AU1" t="s">
        <v>264</v>
      </c>
      <c r="AV1" t="s">
        <v>261</v>
      </c>
      <c r="AW1" t="s">
        <v>263</v>
      </c>
      <c r="AX1" t="s">
        <v>1346</v>
      </c>
      <c r="AY1" t="s">
        <v>1347</v>
      </c>
      <c r="AZ1" t="s">
        <v>1348</v>
      </c>
      <c r="BA1" t="s">
        <v>1349</v>
      </c>
      <c r="BB1" t="s">
        <v>1350</v>
      </c>
      <c r="BC1" t="s">
        <v>1351</v>
      </c>
      <c r="BD1" t="s">
        <v>1352</v>
      </c>
      <c r="BE1" t="s">
        <v>1353</v>
      </c>
      <c r="BF1" t="s">
        <v>1354</v>
      </c>
    </row>
    <row r="2" spans="1:58" x14ac:dyDescent="0.3">
      <c r="Y2" s="132" t="s">
        <v>270</v>
      </c>
      <c r="Z2" s="132" t="s">
        <v>271</v>
      </c>
      <c r="AA2" s="132" t="s">
        <v>1294</v>
      </c>
      <c r="AB2" s="132" t="s">
        <v>1296</v>
      </c>
      <c r="AC2" s="132" t="s">
        <v>1299</v>
      </c>
      <c r="AD2" s="132" t="s">
        <v>1304</v>
      </c>
      <c r="AE2" s="132" t="s">
        <v>444</v>
      </c>
      <c r="AF2" s="132" t="s">
        <v>254</v>
      </c>
      <c r="AG2" s="132" t="s">
        <v>1304</v>
      </c>
      <c r="AH2" s="132" t="s">
        <v>1304</v>
      </c>
      <c r="AI2" s="132" t="s">
        <v>1304</v>
      </c>
      <c r="AJ2" s="132" t="s">
        <v>254</v>
      </c>
      <c r="AK2" s="132" t="s">
        <v>1304</v>
      </c>
      <c r="AL2" s="132" t="s">
        <v>1304</v>
      </c>
      <c r="AM2" s="132" t="s">
        <v>1304</v>
      </c>
      <c r="AN2" s="132" t="s">
        <v>444</v>
      </c>
      <c r="AO2" s="132" t="s">
        <v>1304</v>
      </c>
      <c r="AP2" s="132" t="s">
        <v>254</v>
      </c>
      <c r="AQ2" s="132" t="s">
        <v>1341</v>
      </c>
      <c r="AR2" s="132" t="s">
        <v>257</v>
      </c>
      <c r="AS2" s="132" t="s">
        <v>257</v>
      </c>
      <c r="AT2" s="132" t="s">
        <v>257</v>
      </c>
      <c r="AU2" s="132" t="s">
        <v>257</v>
      </c>
      <c r="AV2" s="132" t="s">
        <v>257</v>
      </c>
      <c r="AW2" s="132" t="s">
        <v>257</v>
      </c>
      <c r="AX2" s="132" t="s">
        <v>257</v>
      </c>
      <c r="AY2" s="132" t="s">
        <v>257</v>
      </c>
      <c r="AZ2" s="132" t="s">
        <v>888</v>
      </c>
      <c r="BA2" s="132" t="s">
        <v>888</v>
      </c>
      <c r="BB2" s="132" t="s">
        <v>888</v>
      </c>
      <c r="BC2" s="132" t="s">
        <v>888</v>
      </c>
      <c r="BD2" s="132" t="s">
        <v>888</v>
      </c>
      <c r="BE2" s="132" t="s">
        <v>888</v>
      </c>
      <c r="BF2" s="132" t="s">
        <v>888</v>
      </c>
    </row>
    <row r="3" spans="1:58" x14ac:dyDescent="0.3">
      <c r="Y3" s="132" t="s">
        <v>272</v>
      </c>
      <c r="Z3" s="132" t="s">
        <v>273</v>
      </c>
      <c r="AB3" s="132" t="s">
        <v>1297</v>
      </c>
      <c r="AC3" s="132" t="s">
        <v>1300</v>
      </c>
      <c r="AD3" s="132" t="s">
        <v>1305</v>
      </c>
      <c r="AE3" s="132" t="s">
        <v>281</v>
      </c>
      <c r="AG3" s="132" t="s">
        <v>1305</v>
      </c>
      <c r="AH3" s="132" t="s">
        <v>1305</v>
      </c>
      <c r="AI3" s="132" t="s">
        <v>1305</v>
      </c>
      <c r="AK3" s="132" t="s">
        <v>1305</v>
      </c>
      <c r="AL3" s="132" t="s">
        <v>1305</v>
      </c>
      <c r="AM3" s="132" t="s">
        <v>1305</v>
      </c>
      <c r="AN3" s="132" t="s">
        <v>281</v>
      </c>
      <c r="AO3" s="132" t="s">
        <v>1305</v>
      </c>
      <c r="AQ3" s="132" t="s">
        <v>1342</v>
      </c>
      <c r="AR3" s="132" t="s">
        <v>258</v>
      </c>
      <c r="AS3" s="132" t="s">
        <v>258</v>
      </c>
      <c r="AT3" s="132" t="s">
        <v>258</v>
      </c>
      <c r="AU3" s="132" t="s">
        <v>258</v>
      </c>
      <c r="AV3" s="132" t="s">
        <v>258</v>
      </c>
      <c r="AW3" s="132" t="s">
        <v>258</v>
      </c>
      <c r="AX3" s="132" t="s">
        <v>258</v>
      </c>
      <c r="AY3" s="132" t="s">
        <v>258</v>
      </c>
      <c r="AZ3" s="132" t="s">
        <v>889</v>
      </c>
      <c r="BA3" s="132" t="s">
        <v>889</v>
      </c>
      <c r="BB3" s="132" t="s">
        <v>889</v>
      </c>
      <c r="BC3" s="132" t="s">
        <v>889</v>
      </c>
      <c r="BD3" s="132" t="s">
        <v>889</v>
      </c>
      <c r="BE3" s="132" t="s">
        <v>889</v>
      </c>
      <c r="BF3" s="132" t="s">
        <v>889</v>
      </c>
    </row>
    <row r="4" spans="1:58" x14ac:dyDescent="0.3">
      <c r="Y4" s="132" t="s">
        <v>30</v>
      </c>
      <c r="Z4" s="132" t="s">
        <v>30</v>
      </c>
      <c r="AB4" s="132" t="s">
        <v>317</v>
      </c>
      <c r="AC4" s="132" t="s">
        <v>1301</v>
      </c>
      <c r="AD4" s="132" t="s">
        <v>1306</v>
      </c>
      <c r="AE4" s="132" t="s">
        <v>254</v>
      </c>
      <c r="AG4" s="132" t="s">
        <v>1306</v>
      </c>
      <c r="AH4" s="132" t="s">
        <v>1306</v>
      </c>
      <c r="AI4" s="132" t="s">
        <v>1306</v>
      </c>
      <c r="AK4" s="132" t="s">
        <v>1306</v>
      </c>
      <c r="AL4" s="132" t="s">
        <v>1306</v>
      </c>
      <c r="AM4" s="132" t="s">
        <v>1306</v>
      </c>
      <c r="AN4" s="132" t="s">
        <v>254</v>
      </c>
      <c r="AO4" s="132" t="s">
        <v>1306</v>
      </c>
      <c r="AQ4" s="132" t="s">
        <v>1343</v>
      </c>
      <c r="AR4" s="132" t="s">
        <v>259</v>
      </c>
      <c r="AS4" s="132" t="s">
        <v>259</v>
      </c>
      <c r="AT4" s="132" t="s">
        <v>259</v>
      </c>
      <c r="AU4" s="132" t="s">
        <v>259</v>
      </c>
      <c r="AV4" s="132" t="s">
        <v>259</v>
      </c>
      <c r="AW4" s="132" t="s">
        <v>259</v>
      </c>
      <c r="AX4" s="132" t="s">
        <v>259</v>
      </c>
      <c r="AY4" s="132" t="s">
        <v>259</v>
      </c>
      <c r="AZ4" s="132" t="s">
        <v>890</v>
      </c>
      <c r="BA4" s="132" t="s">
        <v>890</v>
      </c>
      <c r="BB4" s="132" t="s">
        <v>890</v>
      </c>
      <c r="BC4" s="132" t="s">
        <v>890</v>
      </c>
      <c r="BD4" s="132" t="s">
        <v>890</v>
      </c>
      <c r="BE4" s="132" t="s">
        <v>890</v>
      </c>
      <c r="BF4" s="132" t="s">
        <v>890</v>
      </c>
    </row>
    <row r="5" spans="1:58" x14ac:dyDescent="0.3">
      <c r="Y5" s="132" t="s">
        <v>67</v>
      </c>
      <c r="Z5" s="132" t="s">
        <v>67</v>
      </c>
      <c r="AB5" s="132" t="s">
        <v>319</v>
      </c>
      <c r="AC5" s="132" t="s">
        <v>889</v>
      </c>
      <c r="AD5" s="132" t="s">
        <v>1307</v>
      </c>
      <c r="AG5" s="132" t="s">
        <v>1307</v>
      </c>
      <c r="AH5" s="132" t="s">
        <v>1307</v>
      </c>
      <c r="AI5" s="132" t="s">
        <v>1307</v>
      </c>
      <c r="AK5" s="132" t="s">
        <v>1307</v>
      </c>
      <c r="AL5" s="132" t="s">
        <v>1307</v>
      </c>
      <c r="AM5" s="132" t="s">
        <v>1307</v>
      </c>
      <c r="AO5" s="132" t="s">
        <v>1307</v>
      </c>
      <c r="AQ5" s="132" t="s">
        <v>1344</v>
      </c>
      <c r="AS5" s="132" t="s">
        <v>260</v>
      </c>
      <c r="AT5" s="132" t="s">
        <v>260</v>
      </c>
      <c r="AU5" s="132" t="s">
        <v>260</v>
      </c>
      <c r="AV5" s="132" t="s">
        <v>260</v>
      </c>
      <c r="AW5" s="132" t="s">
        <v>260</v>
      </c>
      <c r="AX5" s="132" t="s">
        <v>260</v>
      </c>
      <c r="AY5" s="132" t="s">
        <v>260</v>
      </c>
      <c r="AZ5" s="132" t="s">
        <v>260</v>
      </c>
      <c r="BA5" s="132" t="s">
        <v>260</v>
      </c>
      <c r="BB5" s="132" t="s">
        <v>260</v>
      </c>
    </row>
    <row r="6" spans="1:58" x14ac:dyDescent="0.3">
      <c r="Y6" s="132" t="s">
        <v>1</v>
      </c>
      <c r="Z6" s="132" t="s">
        <v>1</v>
      </c>
      <c r="AB6" s="132" t="s">
        <v>318</v>
      </c>
      <c r="AC6" s="132" t="s">
        <v>890</v>
      </c>
      <c r="AD6" s="132" t="s">
        <v>1308</v>
      </c>
      <c r="AG6" s="132" t="s">
        <v>1308</v>
      </c>
      <c r="AH6" s="132" t="s">
        <v>1308</v>
      </c>
      <c r="AI6" s="132" t="s">
        <v>1308</v>
      </c>
      <c r="AK6" s="132" t="s">
        <v>1308</v>
      </c>
      <c r="AL6" s="132" t="s">
        <v>1308</v>
      </c>
      <c r="AM6" s="132" t="s">
        <v>1308</v>
      </c>
      <c r="AO6" s="132" t="s">
        <v>1308</v>
      </c>
    </row>
    <row r="7" spans="1:58" x14ac:dyDescent="0.3">
      <c r="Y7" s="132" t="s">
        <v>269</v>
      </c>
      <c r="Z7" s="132" t="s">
        <v>269</v>
      </c>
      <c r="AC7" s="132" t="s">
        <v>888</v>
      </c>
      <c r="AD7" s="132" t="s">
        <v>1309</v>
      </c>
      <c r="AG7" s="132" t="s">
        <v>1309</v>
      </c>
      <c r="AH7" s="132" t="s">
        <v>1309</v>
      </c>
      <c r="AI7" s="132" t="s">
        <v>1309</v>
      </c>
      <c r="AK7" s="132" t="s">
        <v>1309</v>
      </c>
      <c r="AL7" s="132" t="s">
        <v>1309</v>
      </c>
      <c r="AM7" s="132" t="s">
        <v>1309</v>
      </c>
      <c r="AO7" s="132" t="s">
        <v>1309</v>
      </c>
    </row>
    <row r="8" spans="1:58" x14ac:dyDescent="0.3">
      <c r="Y8" s="132" t="s">
        <v>270</v>
      </c>
      <c r="Z8" s="132" t="s">
        <v>271</v>
      </c>
      <c r="AC8" s="132" t="s">
        <v>1355</v>
      </c>
      <c r="AD8" s="132" t="s">
        <v>1310</v>
      </c>
      <c r="AG8" s="132" t="s">
        <v>1310</v>
      </c>
      <c r="AH8" s="132" t="s">
        <v>1310</v>
      </c>
      <c r="AI8" s="132" t="s">
        <v>1310</v>
      </c>
      <c r="AK8" s="132" t="s">
        <v>1310</v>
      </c>
      <c r="AL8" s="132" t="s">
        <v>1310</v>
      </c>
      <c r="AM8" s="132" t="s">
        <v>1310</v>
      </c>
      <c r="AO8" s="132" t="s">
        <v>1310</v>
      </c>
    </row>
    <row r="9" spans="1:58" x14ac:dyDescent="0.3">
      <c r="Y9" s="132" t="s">
        <v>272</v>
      </c>
      <c r="Z9" s="132" t="s">
        <v>273</v>
      </c>
      <c r="AC9" s="132" t="s">
        <v>889</v>
      </c>
      <c r="AD9" s="132" t="s">
        <v>1311</v>
      </c>
      <c r="AG9" s="132" t="s">
        <v>1311</v>
      </c>
      <c r="AH9" s="132" t="s">
        <v>1311</v>
      </c>
      <c r="AI9" s="132" t="s">
        <v>1311</v>
      </c>
      <c r="AK9" s="132" t="s">
        <v>1311</v>
      </c>
      <c r="AL9" s="132" t="s">
        <v>1311</v>
      </c>
      <c r="AM9" s="132" t="s">
        <v>1311</v>
      </c>
      <c r="AO9" s="132" t="s">
        <v>1311</v>
      </c>
    </row>
    <row r="10" spans="1:58" x14ac:dyDescent="0.3">
      <c r="Y10" s="132" t="s">
        <v>30</v>
      </c>
      <c r="Z10" s="132" t="s">
        <v>30</v>
      </c>
      <c r="AC10" s="132" t="s">
        <v>890</v>
      </c>
      <c r="AD10" s="132" t="s">
        <v>1312</v>
      </c>
      <c r="AG10" s="132" t="s">
        <v>1312</v>
      </c>
      <c r="AH10" s="132" t="s">
        <v>1312</v>
      </c>
      <c r="AI10" s="132" t="s">
        <v>1312</v>
      </c>
      <c r="AK10" s="132" t="s">
        <v>1312</v>
      </c>
      <c r="AL10" s="132" t="s">
        <v>1312</v>
      </c>
      <c r="AM10" s="132" t="s">
        <v>1312</v>
      </c>
      <c r="AO10" s="132" t="s">
        <v>1312</v>
      </c>
    </row>
    <row r="11" spans="1:58" x14ac:dyDescent="0.3">
      <c r="Y11" s="132" t="s">
        <v>67</v>
      </c>
      <c r="Z11" s="132" t="s">
        <v>67</v>
      </c>
      <c r="AC11" s="132" t="s">
        <v>888</v>
      </c>
      <c r="AD11" s="132" t="s">
        <v>1313</v>
      </c>
      <c r="AG11" s="132" t="s">
        <v>1313</v>
      </c>
      <c r="AH11" s="132" t="s">
        <v>1313</v>
      </c>
      <c r="AI11" s="132" t="s">
        <v>1313</v>
      </c>
      <c r="AK11" s="132" t="s">
        <v>1313</v>
      </c>
      <c r="AL11" s="132" t="s">
        <v>1313</v>
      </c>
      <c r="AM11" s="132" t="s">
        <v>1313</v>
      </c>
      <c r="AO11" s="132" t="s">
        <v>1313</v>
      </c>
    </row>
    <row r="12" spans="1:58" x14ac:dyDescent="0.3">
      <c r="Y12" s="132" t="s">
        <v>1</v>
      </c>
      <c r="Z12" s="132" t="s">
        <v>1</v>
      </c>
      <c r="AC12" s="132" t="s">
        <v>1302</v>
      </c>
      <c r="AD12" s="132" t="s">
        <v>1314</v>
      </c>
      <c r="AG12" s="132" t="s">
        <v>1314</v>
      </c>
      <c r="AH12" s="132" t="s">
        <v>1314</v>
      </c>
      <c r="AI12" s="132" t="s">
        <v>1314</v>
      </c>
      <c r="AK12" s="132" t="s">
        <v>1314</v>
      </c>
      <c r="AL12" s="132" t="s">
        <v>1314</v>
      </c>
      <c r="AM12" s="132" t="s">
        <v>1314</v>
      </c>
      <c r="AO12" s="132" t="s">
        <v>1314</v>
      </c>
    </row>
    <row r="13" spans="1:58" x14ac:dyDescent="0.3">
      <c r="Y13" s="132" t="s">
        <v>269</v>
      </c>
      <c r="Z13" s="132" t="s">
        <v>269</v>
      </c>
      <c r="AD13" s="132" t="s">
        <v>1315</v>
      </c>
      <c r="AG13" s="132" t="s">
        <v>1315</v>
      </c>
      <c r="AH13" s="132" t="s">
        <v>1315</v>
      </c>
      <c r="AI13" s="132" t="s">
        <v>1315</v>
      </c>
      <c r="AK13" s="132" t="s">
        <v>1315</v>
      </c>
      <c r="AL13" s="132" t="s">
        <v>1315</v>
      </c>
      <c r="AM13" s="132" t="s">
        <v>1315</v>
      </c>
      <c r="AO13" s="132" t="s">
        <v>1315</v>
      </c>
    </row>
    <row r="14" spans="1:58" x14ac:dyDescent="0.3">
      <c r="AD14" s="132" t="s">
        <v>1316</v>
      </c>
      <c r="AG14" s="132" t="s">
        <v>1316</v>
      </c>
      <c r="AH14" s="132" t="s">
        <v>1316</v>
      </c>
      <c r="AI14" s="132" t="s">
        <v>1316</v>
      </c>
      <c r="AK14" s="132" t="s">
        <v>1316</v>
      </c>
      <c r="AL14" s="132" t="s">
        <v>1316</v>
      </c>
      <c r="AM14" s="132" t="s">
        <v>1316</v>
      </c>
      <c r="AO14" s="132" t="s">
        <v>1316</v>
      </c>
    </row>
    <row r="15" spans="1:58" x14ac:dyDescent="0.3">
      <c r="AD15" s="132" t="s">
        <v>1317</v>
      </c>
      <c r="AG15" s="132" t="s">
        <v>1317</v>
      </c>
      <c r="AH15" s="132" t="s">
        <v>1317</v>
      </c>
      <c r="AI15" s="132" t="s">
        <v>1317</v>
      </c>
      <c r="AK15" s="132" t="s">
        <v>1317</v>
      </c>
      <c r="AL15" s="132" t="s">
        <v>1317</v>
      </c>
      <c r="AM15" s="132" t="s">
        <v>1317</v>
      </c>
      <c r="AO15" s="132" t="s">
        <v>1317</v>
      </c>
    </row>
    <row r="16" spans="1:58" x14ac:dyDescent="0.3">
      <c r="AD16" s="132" t="s">
        <v>1318</v>
      </c>
      <c r="AG16" s="132" t="s">
        <v>1318</v>
      </c>
      <c r="AH16" s="132" t="s">
        <v>1318</v>
      </c>
      <c r="AI16" s="132" t="s">
        <v>1318</v>
      </c>
      <c r="AK16" s="132" t="s">
        <v>1318</v>
      </c>
      <c r="AL16" s="132" t="s">
        <v>1318</v>
      </c>
      <c r="AM16" s="132" t="s">
        <v>1318</v>
      </c>
      <c r="AO16" s="132" t="s">
        <v>1318</v>
      </c>
    </row>
    <row r="17" spans="30:41" x14ac:dyDescent="0.3">
      <c r="AD17" s="132" t="s">
        <v>1319</v>
      </c>
      <c r="AG17" s="132" t="s">
        <v>1319</v>
      </c>
      <c r="AH17" s="132" t="s">
        <v>1319</v>
      </c>
      <c r="AI17" s="132" t="s">
        <v>1319</v>
      </c>
      <c r="AK17" s="132" t="s">
        <v>1319</v>
      </c>
      <c r="AL17" s="132" t="s">
        <v>1319</v>
      </c>
      <c r="AM17" s="132" t="s">
        <v>1319</v>
      </c>
      <c r="AO17" s="132" t="s">
        <v>1319</v>
      </c>
    </row>
    <row r="18" spans="30:41" x14ac:dyDescent="0.3">
      <c r="AD18" s="132" t="s">
        <v>1320</v>
      </c>
      <c r="AG18" s="132" t="s">
        <v>1320</v>
      </c>
      <c r="AH18" s="132" t="s">
        <v>1320</v>
      </c>
      <c r="AI18" s="132" t="s">
        <v>1320</v>
      </c>
      <c r="AK18" s="132" t="s">
        <v>1320</v>
      </c>
      <c r="AL18" s="132" t="s">
        <v>1320</v>
      </c>
      <c r="AM18" s="132" t="s">
        <v>1320</v>
      </c>
      <c r="AO18" s="132" t="s">
        <v>1320</v>
      </c>
    </row>
    <row r="19" spans="30:41" x14ac:dyDescent="0.3">
      <c r="AD19" s="132" t="s">
        <v>1321</v>
      </c>
      <c r="AG19" s="132" t="s">
        <v>1321</v>
      </c>
      <c r="AH19" s="132" t="s">
        <v>1321</v>
      </c>
      <c r="AI19" s="132" t="s">
        <v>1321</v>
      </c>
      <c r="AK19" s="132" t="s">
        <v>1321</v>
      </c>
      <c r="AL19" s="132" t="s">
        <v>1321</v>
      </c>
      <c r="AM19" s="132" t="s">
        <v>1321</v>
      </c>
      <c r="AO19" s="132" t="s">
        <v>1321</v>
      </c>
    </row>
    <row r="20" spans="30:41" x14ac:dyDescent="0.3">
      <c r="AD20" s="132" t="s">
        <v>1322</v>
      </c>
      <c r="AG20" s="132" t="s">
        <v>1322</v>
      </c>
      <c r="AH20" s="132" t="s">
        <v>1322</v>
      </c>
      <c r="AI20" s="132" t="s">
        <v>1322</v>
      </c>
      <c r="AK20" s="132" t="s">
        <v>1322</v>
      </c>
      <c r="AL20" s="132" t="s">
        <v>1322</v>
      </c>
      <c r="AM20" s="132" t="s">
        <v>1322</v>
      </c>
      <c r="AO20" s="132" t="s">
        <v>1322</v>
      </c>
    </row>
    <row r="21" spans="30:41" x14ac:dyDescent="0.3">
      <c r="AD21" s="132" t="s">
        <v>1323</v>
      </c>
      <c r="AG21" s="132" t="s">
        <v>1323</v>
      </c>
      <c r="AH21" s="132" t="s">
        <v>1323</v>
      </c>
      <c r="AI21" s="132" t="s">
        <v>1323</v>
      </c>
      <c r="AK21" s="132" t="s">
        <v>1323</v>
      </c>
      <c r="AL21" s="132" t="s">
        <v>1323</v>
      </c>
      <c r="AM21" s="132" t="s">
        <v>1323</v>
      </c>
      <c r="AO21" s="132" t="s">
        <v>1323</v>
      </c>
    </row>
    <row r="22" spans="30:41" x14ac:dyDescent="0.3">
      <c r="AD22" s="132" t="s">
        <v>1324</v>
      </c>
      <c r="AG22" s="132" t="s">
        <v>1324</v>
      </c>
      <c r="AH22" s="132" t="s">
        <v>1324</v>
      </c>
      <c r="AI22" s="132" t="s">
        <v>1324</v>
      </c>
      <c r="AK22" s="132" t="s">
        <v>1324</v>
      </c>
      <c r="AL22" s="132" t="s">
        <v>1324</v>
      </c>
      <c r="AM22" s="132" t="s">
        <v>1324</v>
      </c>
      <c r="AO22" s="132" t="s">
        <v>1324</v>
      </c>
    </row>
    <row r="23" spans="30:41" x14ac:dyDescent="0.3">
      <c r="AD23" s="132" t="s">
        <v>1325</v>
      </c>
      <c r="AG23" s="132" t="s">
        <v>1325</v>
      </c>
      <c r="AH23" s="132" t="s">
        <v>1325</v>
      </c>
      <c r="AI23" s="132" t="s">
        <v>1325</v>
      </c>
      <c r="AK23" s="132" t="s">
        <v>1325</v>
      </c>
      <c r="AL23" s="132" t="s">
        <v>1325</v>
      </c>
      <c r="AM23" s="132" t="s">
        <v>1325</v>
      </c>
      <c r="AO23" s="132" t="s">
        <v>1325</v>
      </c>
    </row>
    <row r="24" spans="30:41" x14ac:dyDescent="0.3">
      <c r="AD24" s="132" t="s">
        <v>1326</v>
      </c>
      <c r="AG24" s="132" t="s">
        <v>1326</v>
      </c>
      <c r="AH24" s="132" t="s">
        <v>1326</v>
      </c>
      <c r="AI24" s="132" t="s">
        <v>1326</v>
      </c>
      <c r="AK24" s="132" t="s">
        <v>1326</v>
      </c>
      <c r="AL24" s="132" t="s">
        <v>1326</v>
      </c>
      <c r="AM24" s="132" t="s">
        <v>1326</v>
      </c>
      <c r="AO24" s="132" t="s">
        <v>1326</v>
      </c>
    </row>
    <row r="25" spans="30:41" x14ac:dyDescent="0.3">
      <c r="AD25" s="132" t="s">
        <v>1327</v>
      </c>
      <c r="AG25" s="132" t="s">
        <v>1327</v>
      </c>
      <c r="AH25" s="132" t="s">
        <v>1327</v>
      </c>
      <c r="AI25" s="132" t="s">
        <v>1327</v>
      </c>
      <c r="AK25" s="132" t="s">
        <v>1327</v>
      </c>
      <c r="AL25" s="132" t="s">
        <v>1327</v>
      </c>
      <c r="AM25" s="132" t="s">
        <v>1327</v>
      </c>
      <c r="AO25" s="132" t="s">
        <v>1327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5121" r:id="rId4">
          <objectPr defaultSize="0" r:id="rId5">
            <anchor moveWithCells="1">
              <from>
                <xdr:col>0</xdr:col>
                <xdr:colOff>0</xdr:colOff>
                <xdr:row>0</xdr:row>
                <xdr:rowOff>0</xdr:rowOff>
              </from>
              <to>
                <xdr:col>7</xdr:col>
                <xdr:colOff>609600</xdr:colOff>
                <xdr:row>2</xdr:row>
                <xdr:rowOff>114300</xdr:rowOff>
              </to>
            </anchor>
          </objectPr>
        </oleObject>
      </mc:Choice>
      <mc:Fallback>
        <oleObject progId="Packager Shell Object" dvAspect="DVASPECT_ICON" shapeId="5121" r:id="rId4"/>
      </mc:Fallback>
    </mc:AlternateContent>
    <mc:AlternateContent xmlns:mc="http://schemas.openxmlformats.org/markup-compatibility/2006">
      <mc:Choice Requires="x14">
        <oleObject progId="Packager Shell Object" dvAspect="DVASPECT_ICON" shapeId="5161" r:id="rId6">
          <objectPr defaultSize="0" r:id="rId7">
            <anchor moveWithCells="1">
              <from>
                <xdr:col>0</xdr:col>
                <xdr:colOff>0</xdr:colOff>
                <xdr:row>0</xdr:row>
                <xdr:rowOff>0</xdr:rowOff>
              </from>
              <to>
                <xdr:col>0</xdr:col>
                <xdr:colOff>579120</xdr:colOff>
                <xdr:row>2</xdr:row>
                <xdr:rowOff>114300</xdr:rowOff>
              </to>
            </anchor>
          </objectPr>
        </oleObject>
      </mc:Choice>
      <mc:Fallback>
        <oleObject progId="Packager Shell Object" dvAspect="DVASPECT_ICON" shapeId="5161" r:id="rId6"/>
      </mc:Fallback>
    </mc:AlternateContent>
    <mc:AlternateContent xmlns:mc="http://schemas.openxmlformats.org/markup-compatibility/2006">
      <mc:Choice Requires="x14">
        <oleObject progId="Packager Shell Object" dvAspect="DVASPECT_ICON" shapeId="5162" r:id="rId8">
          <objectPr defaultSize="0" r:id="rId9">
            <anchor moveWithCells="1">
              <from>
                <xdr:col>0</xdr:col>
                <xdr:colOff>0</xdr:colOff>
                <xdr:row>0</xdr:row>
                <xdr:rowOff>0</xdr:rowOff>
              </from>
              <to>
                <xdr:col>1</xdr:col>
                <xdr:colOff>365760</xdr:colOff>
                <xdr:row>2</xdr:row>
                <xdr:rowOff>114300</xdr:rowOff>
              </to>
            </anchor>
          </objectPr>
        </oleObject>
      </mc:Choice>
      <mc:Fallback>
        <oleObject progId="Packager Shell Object" dvAspect="DVASPECT_ICON" shapeId="5162" r:id="rId8"/>
      </mc:Fallback>
    </mc:AlternateContent>
    <mc:AlternateContent xmlns:mc="http://schemas.openxmlformats.org/markup-compatibility/2006">
      <mc:Choice Requires="x14">
        <oleObject progId="Packager Shell Object" dvAspect="DVASPECT_ICON" shapeId="5163" r:id="rId10">
          <objectPr defaultSize="0" r:id="rId11">
            <anchor moveWithCells="1">
              <from>
                <xdr:col>0</xdr:col>
                <xdr:colOff>0</xdr:colOff>
                <xdr:row>0</xdr:row>
                <xdr:rowOff>0</xdr:rowOff>
              </from>
              <to>
                <xdr:col>1</xdr:col>
                <xdr:colOff>297180</xdr:colOff>
                <xdr:row>2</xdr:row>
                <xdr:rowOff>114300</xdr:rowOff>
              </to>
            </anchor>
          </objectPr>
        </oleObject>
      </mc:Choice>
      <mc:Fallback>
        <oleObject progId="Packager Shell Object" dvAspect="DVASPECT_ICON" shapeId="5163"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1"/>
  <sheetViews>
    <sheetView showGridLines="0" view="pageBreakPreview" topLeftCell="A66" zoomScale="81" zoomScaleNormal="80" zoomScaleSheetLayoutView="81" workbookViewId="0">
      <selection activeCell="K64" sqref="K64"/>
    </sheetView>
  </sheetViews>
  <sheetFormatPr defaultColWidth="11" defaultRowHeight="15.6" x14ac:dyDescent="0.3"/>
  <cols>
    <col min="1" max="1" width="35.19921875" style="5" customWidth="1"/>
    <col min="2" max="2" width="22.59765625" style="5" hidden="1" customWidth="1"/>
    <col min="3" max="3" width="15.59765625" style="5" hidden="1" customWidth="1"/>
    <col min="4" max="4" width="21.19921875" style="5" hidden="1" customWidth="1"/>
    <col min="5" max="5" width="55" style="5" customWidth="1"/>
    <col min="6" max="6" width="22.3984375" style="5" hidden="1" customWidth="1"/>
    <col min="7" max="7" width="24.59765625" style="5" hidden="1" customWidth="1"/>
    <col min="8" max="8" width="27" style="5" hidden="1" customWidth="1"/>
    <col min="9" max="9" width="1.19921875" style="5" hidden="1" customWidth="1"/>
    <col min="10" max="10" width="12.19921875" style="5" hidden="1" customWidth="1"/>
    <col min="11" max="11" width="29.5" style="5" customWidth="1"/>
    <col min="12" max="12" width="16.19921875" style="5" hidden="1" customWidth="1"/>
    <col min="13" max="13" width="19.59765625" style="5" hidden="1" customWidth="1"/>
    <col min="14" max="14" width="20.3984375" style="5" hidden="1" customWidth="1"/>
    <col min="15" max="15" width="23.8984375" style="5" hidden="1" customWidth="1"/>
    <col min="16" max="16" width="23.19921875" style="5" hidden="1" customWidth="1"/>
    <col min="17" max="18" width="25.19921875" style="5" hidden="1" customWidth="1"/>
    <col min="19" max="19" width="9.8984375" style="5" hidden="1" customWidth="1"/>
    <col min="20" max="20" width="35.09765625" style="5" customWidth="1"/>
    <col min="21" max="21" width="16.8984375" style="5" hidden="1" customWidth="1"/>
    <col min="22" max="22" width="30" style="28" customWidth="1"/>
    <col min="23" max="23" width="29.09765625" style="28" hidden="1" customWidth="1"/>
    <col min="24" max="24" width="39.69921875" style="28" hidden="1" customWidth="1"/>
    <col min="25" max="25" width="27.69921875" style="28" hidden="1" customWidth="1"/>
    <col min="26" max="26" width="20" style="28" hidden="1" customWidth="1"/>
    <col min="27" max="27" width="17.8984375" style="5" hidden="1" customWidth="1"/>
    <col min="28" max="28" width="23.8984375" style="5" hidden="1" customWidth="1"/>
    <col min="29" max="29" width="23" style="5" hidden="1" customWidth="1"/>
    <col min="30" max="30" width="27.3984375" style="5" hidden="1" customWidth="1"/>
    <col min="31" max="31" width="22.3984375" style="5" hidden="1" customWidth="1"/>
    <col min="32" max="32" width="22.59765625" style="5" hidden="1" customWidth="1"/>
    <col min="33" max="33" width="12.3984375" style="5" hidden="1" customWidth="1"/>
    <col min="34" max="34" width="20" style="5" hidden="1" customWidth="1"/>
    <col min="35" max="38" width="11" style="5" hidden="1" customWidth="1"/>
    <col min="39" max="39" width="16.59765625" style="5" hidden="1" customWidth="1"/>
    <col min="40" max="40" width="3.5" style="5" hidden="1" customWidth="1"/>
    <col min="41" max="41" width="3.5" style="7" hidden="1" customWidth="1"/>
    <col min="42" max="42" width="16.09765625" style="7" hidden="1" customWidth="1"/>
    <col min="43" max="45" width="11" style="7" hidden="1" customWidth="1"/>
    <col min="46" max="46" width="11" style="7" customWidth="1"/>
    <col min="47" max="50" width="11" style="7"/>
    <col min="51" max="16384" width="11" style="5"/>
  </cols>
  <sheetData>
    <row r="1" spans="1:50" x14ac:dyDescent="0.3">
      <c r="A1" s="561" t="str">
        <f ca="1">Translations!A4</f>
        <v>Cadre de performance  - Orientation générale  - Section A</v>
      </c>
      <c r="B1" s="562"/>
      <c r="C1" s="562"/>
      <c r="D1" s="562"/>
      <c r="E1" s="562"/>
      <c r="F1" s="562"/>
      <c r="G1" s="562"/>
      <c r="H1" s="562"/>
      <c r="I1" s="562"/>
      <c r="J1" s="562"/>
      <c r="K1" s="562"/>
      <c r="L1" s="562"/>
      <c r="M1" s="562"/>
      <c r="N1" s="562"/>
      <c r="O1" s="562"/>
      <c r="P1" s="562"/>
      <c r="Q1" s="562"/>
      <c r="R1" s="562"/>
      <c r="S1" s="562"/>
      <c r="T1" s="563"/>
    </row>
    <row r="2" spans="1:50" s="10" customFormat="1" ht="27" customHeight="1" thickBot="1" x14ac:dyDescent="0.35">
      <c r="A2" s="564"/>
      <c r="B2" s="565"/>
      <c r="C2" s="565"/>
      <c r="D2" s="565"/>
      <c r="E2" s="565"/>
      <c r="F2" s="565"/>
      <c r="G2" s="565"/>
      <c r="H2" s="565"/>
      <c r="I2" s="565"/>
      <c r="J2" s="565"/>
      <c r="K2" s="565"/>
      <c r="L2" s="565"/>
      <c r="M2" s="565"/>
      <c r="N2" s="565"/>
      <c r="O2" s="565"/>
      <c r="P2" s="565"/>
      <c r="Q2" s="565"/>
      <c r="R2" s="565"/>
      <c r="S2" s="565"/>
      <c r="T2" s="566"/>
      <c r="V2" s="11"/>
      <c r="W2" s="11"/>
      <c r="X2" s="11"/>
      <c r="Y2" s="11"/>
      <c r="Z2" s="11"/>
      <c r="AO2" s="12"/>
      <c r="AP2" s="12"/>
      <c r="AQ2" s="12"/>
      <c r="AR2" s="12"/>
      <c r="AS2" s="12"/>
      <c r="AT2" s="12"/>
      <c r="AU2" s="12"/>
      <c r="AV2" s="12"/>
      <c r="AW2" s="12"/>
      <c r="AX2" s="12"/>
    </row>
    <row r="3" spans="1:50" ht="17.399999999999999" x14ac:dyDescent="0.3">
      <c r="A3" s="105" t="s">
        <v>1284</v>
      </c>
      <c r="B3" s="106"/>
      <c r="C3" s="106"/>
      <c r="D3" s="106"/>
      <c r="K3" s="244" t="str">
        <f ca="1">Translations!$A$3</f>
        <v>Langue :</v>
      </c>
      <c r="L3" s="215"/>
      <c r="M3" s="215"/>
      <c r="N3" s="215"/>
      <c r="O3" s="215"/>
      <c r="P3" s="215"/>
      <c r="Q3" s="215"/>
      <c r="R3" s="215"/>
      <c r="S3" s="215"/>
      <c r="T3" s="344" t="s">
        <v>389</v>
      </c>
    </row>
    <row r="4" spans="1:50" ht="19.5" customHeight="1" thickBot="1" x14ac:dyDescent="0.35">
      <c r="F4" s="28"/>
      <c r="G4" s="28"/>
      <c r="H4" s="28"/>
      <c r="I4" s="28"/>
      <c r="J4" s="28"/>
      <c r="K4" s="28"/>
      <c r="L4" s="30"/>
      <c r="M4" s="30"/>
      <c r="N4" s="30"/>
      <c r="O4" s="30"/>
      <c r="P4" s="30"/>
      <c r="Q4" s="30"/>
      <c r="R4" s="30"/>
      <c r="S4" s="30"/>
      <c r="T4" s="30"/>
      <c r="W4" s="221"/>
    </row>
    <row r="5" spans="1:50" ht="29.1" customHeight="1" thickBot="1" x14ac:dyDescent="0.35">
      <c r="A5" s="31" t="str">
        <f ca="1">Translations!A5</f>
        <v>Pays / Candidat</v>
      </c>
      <c r="B5" s="32"/>
      <c r="C5" s="32"/>
      <c r="D5" s="113"/>
      <c r="E5" s="108" t="str">
        <f>IFERROR(IF($AN$5="Funding Request",IF('Reference Records'!$B$259&lt;&gt;"",'Reference Records'!$B$259,'Reference Records'!$B$260),IF(OR($AN$5="Grant Making", $AN$5="Grant Revision"),'Reference Records'!B264,"")),"")</f>
        <v>Côte d'Ivoire</v>
      </c>
      <c r="F5" s="33"/>
      <c r="G5" s="33"/>
      <c r="H5" s="33"/>
      <c r="I5" s="33"/>
      <c r="J5" s="33"/>
      <c r="K5" s="33"/>
      <c r="L5" s="30"/>
      <c r="M5" s="30"/>
      <c r="N5" s="30"/>
      <c r="O5" s="30"/>
      <c r="P5" s="30"/>
      <c r="Q5" s="30"/>
      <c r="R5" s="30"/>
      <c r="S5" s="30"/>
      <c r="T5" s="30"/>
      <c r="V5" s="221"/>
      <c r="W5" s="221"/>
      <c r="AL5" s="7"/>
      <c r="AM5" s="96" t="s">
        <v>192</v>
      </c>
      <c r="AN5" s="165" t="s">
        <v>177</v>
      </c>
      <c r="AO5" s="96"/>
      <c r="AP5" s="96"/>
    </row>
    <row r="6" spans="1:50" ht="28.35" customHeight="1" thickBot="1" x14ac:dyDescent="0.35">
      <c r="A6" s="231" t="str">
        <f ca="1">Translations!A6</f>
        <v>Nom de la subvention / Nom de la demande de financement</v>
      </c>
      <c r="B6" s="32"/>
      <c r="C6" s="32"/>
      <c r="D6" s="113"/>
      <c r="E6" s="107" t="str">
        <f>IF($AN$5="Funding Request",'Reference Records'!$B$258,IF(OR($AN$5="Grant Making", $AN$5="Grant Revision"),'Reference Records'!$B$263,""))</f>
        <v>FR941-CIV-H</v>
      </c>
      <c r="F6" s="33"/>
      <c r="G6" s="33"/>
      <c r="H6" s="33"/>
      <c r="I6" s="33"/>
      <c r="J6" s="33"/>
      <c r="K6" s="33"/>
      <c r="L6" s="30"/>
      <c r="M6" s="30"/>
      <c r="N6" s="30"/>
      <c r="O6" s="30"/>
      <c r="P6" s="30"/>
      <c r="Q6" s="30"/>
      <c r="R6" s="30"/>
      <c r="S6" s="30"/>
      <c r="T6" s="30"/>
      <c r="V6" s="34"/>
      <c r="W6" s="34"/>
    </row>
    <row r="7" spans="1:50" ht="31.5" customHeight="1" thickBot="1" x14ac:dyDescent="0.35">
      <c r="A7" s="231" t="str">
        <f ca="1">Translations!A7</f>
        <v>Date de début du programme</v>
      </c>
      <c r="B7" s="32"/>
      <c r="C7" s="32"/>
      <c r="D7" s="113"/>
      <c r="E7" s="212">
        <v>44197</v>
      </c>
      <c r="F7" s="35"/>
      <c r="G7" s="35"/>
      <c r="H7" s="35"/>
      <c r="I7" s="35"/>
      <c r="J7" s="35"/>
      <c r="K7" s="35"/>
      <c r="L7" s="30"/>
      <c r="M7" s="30"/>
      <c r="N7" s="30"/>
      <c r="O7" s="30"/>
      <c r="P7" s="30"/>
      <c r="Q7" s="30"/>
      <c r="R7" s="30"/>
      <c r="S7" s="30"/>
      <c r="T7" s="30"/>
      <c r="V7" s="34" t="s">
        <v>37</v>
      </c>
      <c r="W7" s="34"/>
    </row>
    <row r="8" spans="1:50" ht="31.5" customHeight="1" thickBot="1" x14ac:dyDescent="0.35">
      <c r="A8" s="231" t="str">
        <f ca="1">Translations!A8</f>
        <v>Date de fin du programme</v>
      </c>
      <c r="B8" s="98"/>
      <c r="C8" s="98"/>
      <c r="D8" s="114" t="s">
        <v>196</v>
      </c>
      <c r="E8" s="212">
        <v>45291</v>
      </c>
      <c r="F8" s="35"/>
      <c r="G8" s="35"/>
      <c r="H8" s="35"/>
      <c r="I8" s="35"/>
      <c r="J8" s="35"/>
      <c r="K8" s="71"/>
      <c r="L8" s="30"/>
      <c r="M8" s="30"/>
      <c r="N8" s="30"/>
      <c r="O8" s="30"/>
      <c r="P8" s="30"/>
      <c r="Q8" s="30"/>
      <c r="R8" s="30"/>
      <c r="S8" s="30"/>
      <c r="T8" s="30"/>
      <c r="V8" s="34"/>
      <c r="W8" s="34"/>
      <c r="AL8" s="96"/>
      <c r="AM8" s="96"/>
      <c r="AN8" s="96"/>
      <c r="AO8" s="96"/>
    </row>
    <row r="9" spans="1:50" ht="32.25" customHeight="1" thickBot="1" x14ac:dyDescent="0.35">
      <c r="A9" s="231" t="str">
        <f ca="1">Translations!A9</f>
        <v>Fréquence du rapportage programmatique</v>
      </c>
      <c r="B9" s="4" t="s">
        <v>122</v>
      </c>
      <c r="C9" s="432">
        <v>12</v>
      </c>
      <c r="D9" s="115" t="s">
        <v>122</v>
      </c>
      <c r="E9" s="431">
        <v>6</v>
      </c>
      <c r="F9" s="33"/>
      <c r="G9" s="33"/>
      <c r="H9" s="33"/>
      <c r="I9" s="33"/>
      <c r="J9" s="33"/>
      <c r="K9" s="33"/>
      <c r="L9" s="30"/>
      <c r="M9" s="30"/>
      <c r="N9" s="30"/>
      <c r="O9" s="30"/>
      <c r="P9" s="30"/>
      <c r="Q9" s="30"/>
      <c r="R9" s="30"/>
      <c r="S9" s="30"/>
      <c r="T9" s="30"/>
      <c r="W9" s="34"/>
      <c r="AL9" s="96"/>
      <c r="AM9" s="96" t="s">
        <v>198</v>
      </c>
      <c r="AN9" s="96">
        <f>'Reference Records'!$B$324</f>
        <v>0</v>
      </c>
      <c r="AO9" s="96"/>
    </row>
    <row r="10" spans="1:50" ht="32.25" customHeight="1" thickBot="1" x14ac:dyDescent="0.35">
      <c r="A10" s="328" t="str">
        <f ca="1">Translations!A10</f>
        <v>Date de début de la période d'utilisation des allocations</v>
      </c>
      <c r="B10" s="28"/>
      <c r="C10" s="28"/>
      <c r="D10" s="116" t="s">
        <v>217</v>
      </c>
      <c r="E10" s="111">
        <v>44197</v>
      </c>
      <c r="F10" s="33"/>
      <c r="G10" s="33"/>
      <c r="H10" s="33"/>
      <c r="I10" s="33"/>
      <c r="J10" s="33"/>
      <c r="K10" s="567" t="str">
        <f>IF(E8&gt;E11,"Please note, the Implementation Period End Date is longer than the Allocation Utilisation Period End Date"," ")</f>
        <v xml:space="preserve"> </v>
      </c>
      <c r="L10" s="30"/>
      <c r="M10" s="30"/>
      <c r="N10" s="30"/>
      <c r="O10" s="30"/>
      <c r="P10" s="30"/>
      <c r="Q10" s="30"/>
      <c r="R10" s="30"/>
      <c r="S10" s="30"/>
      <c r="T10" s="30"/>
      <c r="AM10" s="96" t="s">
        <v>201</v>
      </c>
      <c r="AN10" s="96" t="s">
        <v>1356</v>
      </c>
    </row>
    <row r="11" spans="1:50" ht="27" customHeight="1" thickBot="1" x14ac:dyDescent="0.35">
      <c r="A11" s="328" t="str">
        <f ca="1">Translations!A11</f>
        <v>Date de fin de la période d'utilisation des allocations</v>
      </c>
      <c r="B11" s="101"/>
      <c r="C11" s="101"/>
      <c r="D11" s="100" t="s">
        <v>218</v>
      </c>
      <c r="E11" s="112">
        <v>45291</v>
      </c>
      <c r="F11" s="36"/>
      <c r="G11" s="36"/>
      <c r="H11" s="36"/>
      <c r="I11" s="36"/>
      <c r="J11" s="36"/>
      <c r="K11" s="567"/>
      <c r="L11" s="30"/>
      <c r="M11" s="30"/>
      <c r="N11" s="30"/>
      <c r="O11" s="30"/>
      <c r="P11" s="30"/>
      <c r="Q11" s="30"/>
      <c r="R11" s="30"/>
      <c r="S11" s="30"/>
      <c r="T11" s="37"/>
      <c r="W11" s="34"/>
      <c r="AM11" s="96" t="s">
        <v>235</v>
      </c>
      <c r="AN11" s="96" t="str">
        <f ca="1">CONCATENATE(E6&amp;"_PF_"&amp;AN5&amp;"_Imported_",TEXT(TODAY(),"dd-mmm-yy"))</f>
        <v>FR941-CIV-H_PF_Funding Request_Imported_18-Jun-20</v>
      </c>
    </row>
    <row r="12" spans="1:50" s="18" customFormat="1" ht="27.75" customHeight="1" thickBot="1" x14ac:dyDescent="0.35">
      <c r="A12" s="36"/>
      <c r="B12" s="36"/>
      <c r="C12" s="36"/>
      <c r="D12" s="36"/>
      <c r="E12" s="36"/>
      <c r="F12" s="36"/>
      <c r="G12" s="36"/>
      <c r="H12" s="36"/>
      <c r="I12" s="36"/>
      <c r="J12" s="36"/>
      <c r="K12" s="36"/>
      <c r="L12" s="37"/>
      <c r="M12" s="37"/>
      <c r="N12" s="37"/>
      <c r="O12" s="37"/>
      <c r="P12" s="37"/>
      <c r="Q12" s="37"/>
      <c r="R12" s="37"/>
      <c r="S12" s="37"/>
      <c r="T12" s="16"/>
      <c r="V12" s="28"/>
      <c r="W12" s="34"/>
      <c r="X12" s="28"/>
      <c r="Y12" s="28"/>
      <c r="Z12" s="28"/>
      <c r="AN12" s="128" t="str">
        <f ca="1">CONCATENATE(E6&amp;"_PF_"&amp;AN5&amp;"_Extracted_",TEXT(TODAY(),"dd-mmm-yy"))</f>
        <v>FR941-CIV-H_PF_Funding Request_Extracted_18-Jun-20</v>
      </c>
      <c r="AO12" s="3"/>
      <c r="AP12" s="3"/>
      <c r="AQ12" s="3"/>
      <c r="AR12" s="3"/>
      <c r="AS12" s="3"/>
      <c r="AT12" s="3"/>
      <c r="AU12" s="3"/>
      <c r="AV12" s="3"/>
      <c r="AW12" s="3"/>
      <c r="AX12" s="3"/>
    </row>
    <row r="13" spans="1:50" s="18" customFormat="1" ht="35.25" customHeight="1" thickBot="1" x14ac:dyDescent="0.35">
      <c r="A13" s="570" t="str">
        <f ca="1">Translations!A12</f>
        <v>Navigation de page</v>
      </c>
      <c r="B13" s="38"/>
      <c r="C13" s="39"/>
      <c r="D13" s="39"/>
      <c r="E13" s="177" t="str">
        <f ca="1">Translations!A45</f>
        <v xml:space="preserve">Récipiendaires principaux </v>
      </c>
      <c r="F13" s="14"/>
      <c r="G13" s="14"/>
      <c r="H13" s="14"/>
      <c r="I13" s="14"/>
      <c r="J13" s="14"/>
      <c r="K13" s="177" t="str">
        <f ca="1">Translations!A47</f>
        <v>Périodes de rapportage</v>
      </c>
      <c r="L13" s="15"/>
      <c r="M13" s="14"/>
      <c r="N13" s="14"/>
      <c r="O13" s="14"/>
      <c r="P13" s="14"/>
      <c r="Q13" s="14"/>
      <c r="R13" s="14"/>
      <c r="S13" s="14"/>
      <c r="T13" s="177" t="str">
        <f ca="1">Translations!A22</f>
        <v>Buts</v>
      </c>
      <c r="V13" s="177" t="str">
        <f ca="1">Translations!A48</f>
        <v>Instructions</v>
      </c>
      <c r="W13" s="34"/>
      <c r="X13" s="28"/>
      <c r="Y13" s="28"/>
      <c r="Z13" s="28"/>
      <c r="AO13" s="3"/>
      <c r="AP13" s="3"/>
      <c r="AQ13" s="3"/>
      <c r="AR13" s="3"/>
      <c r="AS13" s="3"/>
      <c r="AT13" s="3"/>
      <c r="AU13" s="3"/>
      <c r="AV13" s="3"/>
      <c r="AW13" s="3"/>
      <c r="AX13" s="3"/>
    </row>
    <row r="14" spans="1:50" s="18" customFormat="1" ht="40.5" customHeight="1" thickBot="1" x14ac:dyDescent="0.35">
      <c r="A14" s="570"/>
      <c r="B14" s="40"/>
      <c r="C14" s="41"/>
      <c r="D14" s="41"/>
      <c r="E14" s="177" t="str">
        <f ca="1">Translations!A25</f>
        <v>Objectifs</v>
      </c>
      <c r="F14" s="14"/>
      <c r="G14" s="14"/>
      <c r="H14" s="14"/>
      <c r="I14" s="14"/>
      <c r="J14" s="14"/>
      <c r="K14" s="87" t="str">
        <f ca="1">Translations!A28</f>
        <v>Modules</v>
      </c>
      <c r="L14" s="15"/>
      <c r="M14" s="14"/>
      <c r="N14" s="14"/>
      <c r="O14" s="14"/>
      <c r="P14" s="14"/>
      <c r="Q14" s="14"/>
      <c r="R14" s="14"/>
      <c r="S14" s="14"/>
      <c r="T14" s="13" t="str">
        <f ca="1">Translations!A46</f>
        <v>Interventions</v>
      </c>
      <c r="V14" s="28"/>
      <c r="W14" s="34"/>
      <c r="X14" s="28"/>
      <c r="Y14" s="28"/>
      <c r="Z14" s="28"/>
      <c r="AO14" s="3"/>
      <c r="AP14" s="3"/>
      <c r="AQ14" s="3"/>
      <c r="AR14" s="3"/>
      <c r="AS14" s="3"/>
      <c r="AT14" s="3"/>
      <c r="AU14" s="3"/>
      <c r="AV14" s="3"/>
      <c r="AW14" s="3"/>
      <c r="AX14" s="3"/>
    </row>
    <row r="15" spans="1:50" s="18" customFormat="1" ht="28.5" customHeight="1" x14ac:dyDescent="0.3">
      <c r="A15" s="36"/>
      <c r="B15" s="36"/>
      <c r="C15" s="36"/>
      <c r="D15" s="36"/>
      <c r="E15" s="36"/>
      <c r="F15" s="36"/>
      <c r="G15" s="36"/>
      <c r="H15" s="36"/>
      <c r="I15" s="36"/>
      <c r="J15" s="36"/>
      <c r="K15" s="36"/>
      <c r="L15" s="37"/>
      <c r="M15" s="37"/>
      <c r="N15" s="37"/>
      <c r="O15" s="37"/>
      <c r="P15" s="37"/>
      <c r="Q15" s="37"/>
      <c r="R15" s="37"/>
      <c r="S15" s="37"/>
      <c r="T15" s="16"/>
      <c r="V15" s="28"/>
      <c r="W15" s="34"/>
      <c r="X15" s="28"/>
      <c r="Y15" s="28"/>
      <c r="Z15" s="28"/>
      <c r="AO15" s="3"/>
      <c r="AP15" s="3"/>
      <c r="AQ15" s="3"/>
      <c r="AR15" s="3"/>
      <c r="AS15" s="3"/>
      <c r="AT15" s="3"/>
      <c r="AU15" s="3"/>
      <c r="AV15" s="3"/>
      <c r="AW15" s="3"/>
      <c r="AX15" s="3"/>
    </row>
    <row r="16" spans="1:50" ht="37.5" customHeight="1" thickBot="1" x14ac:dyDescent="0.35">
      <c r="A16" s="30"/>
      <c r="B16" s="30"/>
      <c r="C16" s="30"/>
      <c r="D16" s="30"/>
      <c r="E16" s="22"/>
      <c r="T16" s="22"/>
      <c r="W16" s="34"/>
      <c r="X16" s="34"/>
    </row>
    <row r="17" spans="1:26" ht="0.75" customHeight="1" x14ac:dyDescent="0.3">
      <c r="A17" s="42"/>
      <c r="B17" s="43"/>
      <c r="C17" s="43"/>
      <c r="D17" s="44"/>
      <c r="E17" s="30"/>
      <c r="F17" s="30"/>
      <c r="G17" s="30"/>
      <c r="H17" s="30"/>
      <c r="I17" s="30"/>
      <c r="J17" s="30"/>
      <c r="K17" s="30"/>
      <c r="L17" s="30"/>
      <c r="M17" s="30"/>
      <c r="N17" s="30"/>
      <c r="O17" s="30"/>
      <c r="P17" s="30"/>
      <c r="Q17" s="30"/>
      <c r="R17" s="30"/>
      <c r="S17" s="30"/>
      <c r="T17" s="22"/>
      <c r="W17" s="34"/>
      <c r="X17" s="34"/>
    </row>
    <row r="18" spans="1:26" ht="36.75" customHeight="1" x14ac:dyDescent="0.3">
      <c r="A18" s="134" t="str">
        <f ca="1">Translations!A13</f>
        <v>Composante</v>
      </c>
      <c r="B18" s="134"/>
      <c r="C18" s="134" t="s">
        <v>91</v>
      </c>
      <c r="D18" s="45"/>
      <c r="E18" s="30"/>
      <c r="F18" s="30"/>
      <c r="G18" s="30"/>
      <c r="H18" s="30"/>
      <c r="I18" s="30"/>
      <c r="J18" s="30"/>
      <c r="K18" s="30"/>
      <c r="L18" s="30"/>
      <c r="M18" s="30"/>
      <c r="N18" s="30"/>
      <c r="O18" s="30"/>
      <c r="P18" s="30"/>
      <c r="Q18" s="30"/>
      <c r="R18" s="30"/>
      <c r="S18" s="30"/>
      <c r="T18" s="22"/>
      <c r="W18" s="34"/>
      <c r="X18" s="34"/>
    </row>
    <row r="19" spans="1:26" ht="47.1" hidden="1" customHeight="1" x14ac:dyDescent="0.3">
      <c r="A19" s="135" t="s">
        <v>120</v>
      </c>
      <c r="B19" s="135"/>
      <c r="C19" s="135" t="s">
        <v>90</v>
      </c>
      <c r="D19" s="30"/>
      <c r="E19" s="30"/>
      <c r="F19" s="30"/>
      <c r="G19" s="30"/>
      <c r="H19" s="30"/>
      <c r="I19" s="30"/>
      <c r="J19" s="30"/>
      <c r="K19" s="30"/>
      <c r="L19" s="30"/>
      <c r="M19" s="30"/>
      <c r="N19" s="30"/>
      <c r="O19" s="30"/>
      <c r="P19" s="30"/>
      <c r="Q19" s="30"/>
      <c r="R19" s="30"/>
      <c r="S19" s="30"/>
      <c r="T19" s="22"/>
      <c r="W19" s="34"/>
      <c r="X19" s="34"/>
    </row>
    <row r="20" spans="1:26" ht="47.1" customHeight="1" x14ac:dyDescent="0.3">
      <c r="A20" s="135" t="s">
        <v>1514</v>
      </c>
      <c r="B20" s="135"/>
      <c r="C20" s="135" t="s">
        <v>1514</v>
      </c>
      <c r="D20" s="30"/>
      <c r="E20" s="30"/>
      <c r="F20" s="30"/>
      <c r="G20" s="30"/>
      <c r="H20" s="30"/>
      <c r="I20" s="30"/>
      <c r="J20" s="30"/>
      <c r="K20" s="30"/>
      <c r="L20" s="30"/>
      <c r="M20" s="30"/>
      <c r="N20" s="30"/>
      <c r="O20" s="30"/>
      <c r="P20" s="30"/>
      <c r="Q20" s="30"/>
      <c r="R20" s="30"/>
      <c r="S20" s="30"/>
      <c r="T20" s="22"/>
      <c r="W20" s="221"/>
      <c r="X20" s="221"/>
    </row>
    <row r="21" spans="1:26" ht="46.95" customHeight="1" x14ac:dyDescent="0.3">
      <c r="A21" s="170"/>
      <c r="B21" s="169"/>
      <c r="C21" s="135" t="s">
        <v>274</v>
      </c>
      <c r="D21" s="30"/>
      <c r="E21" s="30"/>
      <c r="F21" s="30"/>
      <c r="G21" s="30"/>
      <c r="H21" s="30"/>
      <c r="I21" s="30"/>
      <c r="J21" s="30"/>
      <c r="K21" s="30"/>
      <c r="L21" s="30"/>
      <c r="M21" s="30"/>
      <c r="N21" s="30"/>
      <c r="O21" s="30"/>
      <c r="P21" s="30"/>
      <c r="Q21" s="30"/>
      <c r="R21" s="30"/>
      <c r="S21" s="30"/>
      <c r="T21" s="22"/>
      <c r="W21" s="133"/>
      <c r="X21" s="133"/>
    </row>
    <row r="22" spans="1:26" s="30" customFormat="1" ht="19.95" customHeight="1" x14ac:dyDescent="0.3">
      <c r="A22" s="170"/>
      <c r="B22" s="169"/>
      <c r="C22" s="135"/>
      <c r="V22" s="29"/>
      <c r="W22" s="29"/>
      <c r="X22" s="29"/>
      <c r="Y22" s="29"/>
      <c r="Z22" s="29"/>
    </row>
    <row r="23" spans="1:26" ht="16.2" customHeight="1" thickBot="1" x14ac:dyDescent="0.35">
      <c r="A23" s="22"/>
      <c r="E23" s="22"/>
      <c r="J23" s="22"/>
      <c r="T23" s="22"/>
      <c r="W23" s="34"/>
      <c r="X23" s="34"/>
    </row>
    <row r="24" spans="1:26" ht="0.75" customHeight="1" x14ac:dyDescent="0.3">
      <c r="A24" s="22"/>
      <c r="B24" s="19"/>
      <c r="C24" s="19"/>
      <c r="D24" s="19"/>
      <c r="E24" s="22"/>
      <c r="F24" s="19"/>
      <c r="G24" s="19"/>
      <c r="H24" s="19"/>
      <c r="I24" s="19"/>
      <c r="J24" s="21"/>
      <c r="K24" s="22"/>
      <c r="L24" s="22"/>
      <c r="M24" s="22"/>
      <c r="N24" s="22"/>
      <c r="O24" s="22"/>
      <c r="P24" s="22"/>
      <c r="Q24" s="22"/>
      <c r="R24" s="22"/>
      <c r="T24" s="22"/>
      <c r="W24" s="34"/>
      <c r="X24" s="34"/>
    </row>
    <row r="25" spans="1:26" ht="21" customHeight="1" x14ac:dyDescent="0.3">
      <c r="A25" s="180" t="str">
        <f ca="1">Translations!A14</f>
        <v>Numéro du Récipiendaire Principal</v>
      </c>
      <c r="B25" s="181"/>
      <c r="C25" s="181"/>
      <c r="D25" s="181"/>
      <c r="E25" s="182" t="str">
        <f ca="1">Translations!A15</f>
        <v>Récipiendaire Principal</v>
      </c>
      <c r="F25" s="79"/>
      <c r="G25" s="79"/>
      <c r="H25" s="79"/>
      <c r="I25" s="67" t="s">
        <v>48</v>
      </c>
      <c r="J25" s="80" t="s">
        <v>51</v>
      </c>
      <c r="K25" s="79"/>
      <c r="L25" s="73"/>
      <c r="M25" s="74"/>
      <c r="N25" s="74"/>
      <c r="O25" s="75"/>
      <c r="P25" s="75"/>
      <c r="Q25" s="74"/>
      <c r="R25" s="72"/>
      <c r="S25" s="22" t="s">
        <v>1261</v>
      </c>
      <c r="T25" s="22"/>
      <c r="W25" s="34"/>
      <c r="X25" s="34"/>
    </row>
    <row r="26" spans="1:26" ht="19.2" hidden="1" customHeight="1" x14ac:dyDescent="0.3">
      <c r="A26" s="183" t="str">
        <f>IF(E26&lt;&gt;"[Account (Name)]",1,"")</f>
        <v/>
      </c>
      <c r="B26" s="184"/>
      <c r="C26" s="184"/>
      <c r="D26" s="184"/>
      <c r="E26" s="185" t="s">
        <v>119</v>
      </c>
      <c r="F26" s="81"/>
      <c r="G26" s="81"/>
      <c r="H26" s="81"/>
      <c r="I26" s="97" t="s">
        <v>47</v>
      </c>
      <c r="J26" s="340" t="s">
        <v>50</v>
      </c>
      <c r="L26" s="345" t="str">
        <f>E26</f>
        <v>[Account (Name)]</v>
      </c>
      <c r="M26" s="346" t="str">
        <f>E26</f>
        <v>[Account (Name)]</v>
      </c>
      <c r="N26" s="76"/>
      <c r="O26" s="77"/>
      <c r="P26" s="77" t="str">
        <f>I26</f>
        <v>[Record ID]</v>
      </c>
      <c r="Q26" s="77"/>
      <c r="R26" s="78"/>
      <c r="S26" s="22" t="s">
        <v>1260</v>
      </c>
      <c r="T26" s="22"/>
      <c r="W26" s="34"/>
      <c r="X26" s="34"/>
    </row>
    <row r="27" spans="1:26" ht="18.600000000000001" customHeight="1" thickBot="1" x14ac:dyDescent="0.35">
      <c r="A27" s="92"/>
      <c r="B27" s="22"/>
      <c r="C27" s="22"/>
      <c r="D27" s="22"/>
      <c r="E27" s="22"/>
      <c r="F27" s="22"/>
      <c r="G27" s="22"/>
      <c r="H27" s="22"/>
      <c r="I27" s="22"/>
      <c r="J27" s="22"/>
      <c r="K27" s="22"/>
      <c r="L27" s="22"/>
      <c r="M27" s="22"/>
      <c r="N27" s="22"/>
      <c r="O27" s="22"/>
      <c r="P27" s="22">
        <f>I27</f>
        <v>0</v>
      </c>
      <c r="Q27" s="22"/>
      <c r="R27" s="22"/>
      <c r="S27" s="22"/>
      <c r="W27" s="34"/>
      <c r="X27" s="34"/>
    </row>
    <row r="28" spans="1:26" ht="12.6" customHeight="1" x14ac:dyDescent="0.3">
      <c r="A28" s="186"/>
      <c r="B28" s="19"/>
      <c r="C28" s="19"/>
      <c r="D28" s="19"/>
      <c r="E28" s="186"/>
      <c r="F28" s="19"/>
      <c r="G28" s="19"/>
      <c r="H28" s="19"/>
      <c r="I28" s="19"/>
      <c r="J28" s="22"/>
      <c r="K28" s="186"/>
      <c r="L28" s="19"/>
      <c r="M28" s="19"/>
      <c r="N28" s="19"/>
      <c r="O28" s="19"/>
      <c r="P28" s="19"/>
      <c r="Q28" s="19"/>
      <c r="R28" s="63"/>
      <c r="S28" s="20"/>
      <c r="W28" s="34"/>
    </row>
    <row r="29" spans="1:26" ht="75" customHeight="1" x14ac:dyDescent="0.3">
      <c r="A29" s="134" t="str">
        <f ca="1">Translations!A14</f>
        <v>Numéro du Récipiendaire Principal</v>
      </c>
      <c r="B29" s="137"/>
      <c r="C29" s="137"/>
      <c r="D29" s="137"/>
      <c r="E29" s="474" t="str">
        <f ca="1">Translations!A16</f>
        <v>Nom du Récipiendaire Principal (Sélectionnez les PR ayant déjà bénéficié de subventions avec le Fonds mondial)</v>
      </c>
      <c r="F29" s="137"/>
      <c r="G29" s="137"/>
      <c r="H29" s="137"/>
      <c r="I29" s="137"/>
      <c r="J29" s="137"/>
      <c r="K29" s="475" t="str">
        <f ca="1">Translations!A49</f>
        <v>Nouveau Récipiendaire principal  (à utiliser si l'entité n'a jamais été un RP du Fonds mondial ou n'apparaît pas dans la liste déroulante de la colonne précédente)</v>
      </c>
      <c r="L29" s="138" t="s">
        <v>46</v>
      </c>
      <c r="M29" s="476" t="s">
        <v>110</v>
      </c>
      <c r="N29" s="476" t="s">
        <v>176</v>
      </c>
      <c r="O29" s="476" t="s">
        <v>175</v>
      </c>
      <c r="P29" s="138" t="s">
        <v>48</v>
      </c>
      <c r="Q29" s="138" t="s">
        <v>49</v>
      </c>
      <c r="R29" s="137" t="s">
        <v>51</v>
      </c>
      <c r="S29" s="21"/>
      <c r="W29" s="34"/>
    </row>
    <row r="30" spans="1:26" ht="40.5" hidden="1" customHeight="1" x14ac:dyDescent="0.3">
      <c r="A30" s="135" t="s">
        <v>62</v>
      </c>
      <c r="B30" s="477"/>
      <c r="C30" s="477"/>
      <c r="D30" s="477" t="str">
        <f>IF(E30&lt;&gt;"",E30,K30)</f>
        <v>[Account (Name)]</v>
      </c>
      <c r="E30" s="478" t="str">
        <f>IFERROR(IF(Q30="Funding Request Place Holder","",Q30),"")</f>
        <v>[Account (Name)]</v>
      </c>
      <c r="F30" s="479"/>
      <c r="G30" s="479"/>
      <c r="H30" s="479"/>
      <c r="I30" s="479"/>
      <c r="J30" s="480" t="str">
        <f>R30</f>
        <v>[Account Role ID]</v>
      </c>
      <c r="K30" s="478" t="s">
        <v>174</v>
      </c>
      <c r="L30" s="481" t="b">
        <f>IFERROR(IF(AND($AN$5="Funding Request",OR(E30&lt;&gt;"",K30&lt;&gt;"")),TRUE,FALSE),FALSE)</f>
        <v>1</v>
      </c>
      <c r="M30" s="481" t="str">
        <f>E30&amp;K30</f>
        <v>[Account (Name)][Alternative Account]</v>
      </c>
      <c r="N30" s="482" t="str">
        <f>IFERROR(IF(E30&lt;&gt;"",IF('Reference Records'!$C$259&lt;&gt;"",VLOOKUP(E30,'Account Role'!$B$3:$D$28,3,FALSE),VLOOKUP(E30,'Account Role'!$B$36:$D$266,3,FALSE)),O30),"")</f>
        <v>[Account]</v>
      </c>
      <c r="O30" s="481" t="s">
        <v>81</v>
      </c>
      <c r="P30" s="483" t="s">
        <v>47</v>
      </c>
      <c r="Q30" s="484" t="s">
        <v>119</v>
      </c>
      <c r="R30" s="479" t="s">
        <v>50</v>
      </c>
      <c r="S30" s="21"/>
      <c r="W30" s="34"/>
    </row>
    <row r="31" spans="1:26" ht="40.5" customHeight="1" x14ac:dyDescent="0.3">
      <c r="A31" s="135">
        <v>1</v>
      </c>
      <c r="B31" s="477"/>
      <c r="C31" s="477"/>
      <c r="D31" s="477" t="str">
        <f t="shared" ref="D31:D39" si="0">IF(E31&lt;&gt;"",E31,K31)</f>
        <v>Programme National de Lutte contre le SIDA de la République de Côte d'Ivoire</v>
      </c>
      <c r="E31" s="478" t="s">
        <v>3808</v>
      </c>
      <c r="F31" s="479"/>
      <c r="G31" s="479"/>
      <c r="H31" s="479"/>
      <c r="I31" s="479"/>
      <c r="J31" s="480" t="str">
        <f t="shared" ref="J31:J39" si="1">R31</f>
        <v>AR-08332</v>
      </c>
      <c r="K31" s="478"/>
      <c r="L31" s="481" t="b">
        <f t="shared" ref="L31:L39" si="2">IFERROR(IF(AND($AN$5="Funding Request",OR(E31&lt;&gt;"",K31&lt;&gt;"")),TRUE,FALSE),FALSE)</f>
        <v>1</v>
      </c>
      <c r="M31" s="481" t="str">
        <f t="shared" ref="M31:M39" si="3">E31&amp;K31</f>
        <v>Programme National de Lutte contre le SIDA de la République de Côte d'Ivoire</v>
      </c>
      <c r="N31" s="482" t="str">
        <f>IFERROR(IF(E31&lt;&gt;"",IF('Reference Records'!$C$259&lt;&gt;"",VLOOKUP(E31,'Account Role'!$B$3:$D$28,3,FALSE),VLOOKUP(E31,'Account Role'!$B$36:$D$266,3,FALSE)),O31),"")</f>
        <v>0013600000xoEGpAAM</v>
      </c>
      <c r="O31" s="481" t="s">
        <v>6108</v>
      </c>
      <c r="P31" s="483" t="s">
        <v>6109</v>
      </c>
      <c r="Q31" s="484" t="s">
        <v>6110</v>
      </c>
      <c r="R31" s="479" t="s">
        <v>6111</v>
      </c>
      <c r="S31" s="21"/>
      <c r="W31" s="221"/>
    </row>
    <row r="32" spans="1:26" ht="40.5" customHeight="1" x14ac:dyDescent="0.3">
      <c r="A32" s="135">
        <v>2</v>
      </c>
      <c r="B32" s="477"/>
      <c r="C32" s="477"/>
      <c r="D32" s="477" t="str">
        <f t="shared" si="0"/>
        <v>Alliance Nationale Contre Le Sida en Cote D'Ivoire</v>
      </c>
      <c r="E32" s="478" t="s">
        <v>3804</v>
      </c>
      <c r="F32" s="479"/>
      <c r="G32" s="479"/>
      <c r="H32" s="479"/>
      <c r="I32" s="479"/>
      <c r="J32" s="480" t="str">
        <f t="shared" si="1"/>
        <v>AR-08333</v>
      </c>
      <c r="K32" s="478"/>
      <c r="L32" s="481" t="b">
        <f t="shared" si="2"/>
        <v>1</v>
      </c>
      <c r="M32" s="481" t="str">
        <f t="shared" si="3"/>
        <v>Alliance Nationale Contre Le Sida en Cote D'Ivoire</v>
      </c>
      <c r="N32" s="482" t="str">
        <f>IFERROR(IF(E32&lt;&gt;"",IF('Reference Records'!$C$259&lt;&gt;"",VLOOKUP(E32,'Account Role'!$B$3:$D$28,3,FALSE),VLOOKUP(E32,'Account Role'!$B$36:$D$266,3,FALSE)),O32),"")</f>
        <v>0013600000xoEFVAA2</v>
      </c>
      <c r="O32" s="481" t="s">
        <v>6108</v>
      </c>
      <c r="P32" s="483" t="s">
        <v>6112</v>
      </c>
      <c r="Q32" s="484" t="s">
        <v>6110</v>
      </c>
      <c r="R32" s="479" t="s">
        <v>6113</v>
      </c>
      <c r="S32" s="21"/>
      <c r="W32" s="221"/>
    </row>
    <row r="33" spans="1:50" ht="40.5" customHeight="1" x14ac:dyDescent="0.3">
      <c r="A33" s="135">
        <v>3</v>
      </c>
      <c r="B33" s="477"/>
      <c r="C33" s="477"/>
      <c r="D33" s="477">
        <f t="shared" si="0"/>
        <v>0</v>
      </c>
      <c r="E33" s="478" t="str">
        <f t="shared" ref="E33:E39" si="4">IFERROR(IF(Q33="Funding Request Place Holder","",Q33),"")</f>
        <v/>
      </c>
      <c r="F33" s="479"/>
      <c r="G33" s="479"/>
      <c r="H33" s="479"/>
      <c r="I33" s="479"/>
      <c r="J33" s="480" t="str">
        <f t="shared" si="1"/>
        <v>AR-08334</v>
      </c>
      <c r="K33" s="478"/>
      <c r="L33" s="481" t="b">
        <f t="shared" si="2"/>
        <v>0</v>
      </c>
      <c r="M33" s="481" t="str">
        <f t="shared" si="3"/>
        <v/>
      </c>
      <c r="N33" s="482" t="str">
        <f>IFERROR(IF(E33&lt;&gt;"",IF('Reference Records'!$C$259&lt;&gt;"",VLOOKUP(E33,'Account Role'!$B$3:$D$28,3,FALSE),VLOOKUP(E33,'Account Role'!$B$36:$D$266,3,FALSE)),O33),"")</f>
        <v>0013600000zN6z8AAC</v>
      </c>
      <c r="O33" s="481" t="s">
        <v>6108</v>
      </c>
      <c r="P33" s="483" t="s">
        <v>6114</v>
      </c>
      <c r="Q33" s="484" t="s">
        <v>6110</v>
      </c>
      <c r="R33" s="479" t="s">
        <v>6115</v>
      </c>
      <c r="S33" s="21"/>
      <c r="W33" s="221"/>
    </row>
    <row r="34" spans="1:50" ht="40.5" customHeight="1" x14ac:dyDescent="0.3">
      <c r="A34" s="135">
        <v>4</v>
      </c>
      <c r="B34" s="477"/>
      <c r="C34" s="477"/>
      <c r="D34" s="477">
        <f t="shared" si="0"/>
        <v>0</v>
      </c>
      <c r="E34" s="478" t="str">
        <f t="shared" si="4"/>
        <v/>
      </c>
      <c r="F34" s="479"/>
      <c r="G34" s="479"/>
      <c r="H34" s="479"/>
      <c r="I34" s="479"/>
      <c r="J34" s="480" t="str">
        <f t="shared" si="1"/>
        <v>AR-08335</v>
      </c>
      <c r="K34" s="478"/>
      <c r="L34" s="481" t="b">
        <f t="shared" si="2"/>
        <v>0</v>
      </c>
      <c r="M34" s="481" t="str">
        <f t="shared" si="3"/>
        <v/>
      </c>
      <c r="N34" s="482" t="str">
        <f>IFERROR(IF(E34&lt;&gt;"",IF('Reference Records'!$C$259&lt;&gt;"",VLOOKUP(E34,'Account Role'!$B$3:$D$28,3,FALSE),VLOOKUP(E34,'Account Role'!$B$36:$D$266,3,FALSE)),O34),"")</f>
        <v>0013600000zN6z8AAC</v>
      </c>
      <c r="O34" s="481" t="s">
        <v>6108</v>
      </c>
      <c r="P34" s="483" t="s">
        <v>6116</v>
      </c>
      <c r="Q34" s="484" t="s">
        <v>6110</v>
      </c>
      <c r="R34" s="479" t="s">
        <v>6117</v>
      </c>
      <c r="S34" s="21"/>
      <c r="W34" s="221"/>
    </row>
    <row r="35" spans="1:50" ht="40.5" customHeight="1" x14ac:dyDescent="0.3">
      <c r="A35" s="135">
        <v>5</v>
      </c>
      <c r="B35" s="477"/>
      <c r="C35" s="477"/>
      <c r="D35" s="477">
        <f t="shared" si="0"/>
        <v>0</v>
      </c>
      <c r="E35" s="478" t="str">
        <f t="shared" si="4"/>
        <v/>
      </c>
      <c r="F35" s="479"/>
      <c r="G35" s="479"/>
      <c r="H35" s="479"/>
      <c r="I35" s="479"/>
      <c r="J35" s="480" t="str">
        <f t="shared" si="1"/>
        <v>AR-08336</v>
      </c>
      <c r="K35" s="478"/>
      <c r="L35" s="481" t="b">
        <f t="shared" si="2"/>
        <v>0</v>
      </c>
      <c r="M35" s="481" t="str">
        <f t="shared" si="3"/>
        <v/>
      </c>
      <c r="N35" s="482" t="str">
        <f>IFERROR(IF(E35&lt;&gt;"",IF('Reference Records'!$C$259&lt;&gt;"",VLOOKUP(E35,'Account Role'!$B$3:$D$28,3,FALSE),VLOOKUP(E35,'Account Role'!$B$36:$D$266,3,FALSE)),O35),"")</f>
        <v>0013600000zN6z8AAC</v>
      </c>
      <c r="O35" s="481" t="s">
        <v>6108</v>
      </c>
      <c r="P35" s="483" t="s">
        <v>6118</v>
      </c>
      <c r="Q35" s="484" t="s">
        <v>6110</v>
      </c>
      <c r="R35" s="479" t="s">
        <v>6119</v>
      </c>
      <c r="S35" s="21"/>
      <c r="W35" s="221"/>
    </row>
    <row r="36" spans="1:50" ht="40.5" customHeight="1" x14ac:dyDescent="0.3">
      <c r="A36" s="135">
        <v>6</v>
      </c>
      <c r="B36" s="477"/>
      <c r="C36" s="477"/>
      <c r="D36" s="477">
        <f t="shared" si="0"/>
        <v>0</v>
      </c>
      <c r="E36" s="478" t="str">
        <f t="shared" si="4"/>
        <v/>
      </c>
      <c r="F36" s="479"/>
      <c r="G36" s="479"/>
      <c r="H36" s="479"/>
      <c r="I36" s="479"/>
      <c r="J36" s="480" t="str">
        <f t="shared" si="1"/>
        <v>AR-08337</v>
      </c>
      <c r="K36" s="478"/>
      <c r="L36" s="481" t="b">
        <f t="shared" si="2"/>
        <v>0</v>
      </c>
      <c r="M36" s="481" t="str">
        <f t="shared" si="3"/>
        <v/>
      </c>
      <c r="N36" s="482" t="str">
        <f>IFERROR(IF(E36&lt;&gt;"",IF('Reference Records'!$C$259&lt;&gt;"",VLOOKUP(E36,'Account Role'!$B$3:$D$28,3,FALSE),VLOOKUP(E36,'Account Role'!$B$36:$D$266,3,FALSE)),O36),"")</f>
        <v>0013600000zN6z8AAC</v>
      </c>
      <c r="O36" s="481" t="s">
        <v>6108</v>
      </c>
      <c r="P36" s="483" t="s">
        <v>6120</v>
      </c>
      <c r="Q36" s="484" t="s">
        <v>6110</v>
      </c>
      <c r="R36" s="479" t="s">
        <v>6121</v>
      </c>
      <c r="S36" s="21"/>
      <c r="W36" s="221"/>
    </row>
    <row r="37" spans="1:50" ht="40.5" customHeight="1" x14ac:dyDescent="0.3">
      <c r="A37" s="135">
        <v>7</v>
      </c>
      <c r="B37" s="477"/>
      <c r="C37" s="477"/>
      <c r="D37" s="477">
        <f t="shared" si="0"/>
        <v>0</v>
      </c>
      <c r="E37" s="478" t="str">
        <f t="shared" si="4"/>
        <v/>
      </c>
      <c r="F37" s="479"/>
      <c r="G37" s="479"/>
      <c r="H37" s="479"/>
      <c r="I37" s="479"/>
      <c r="J37" s="480" t="str">
        <f t="shared" si="1"/>
        <v>AR-08338</v>
      </c>
      <c r="K37" s="478"/>
      <c r="L37" s="481" t="b">
        <f t="shared" si="2"/>
        <v>0</v>
      </c>
      <c r="M37" s="481" t="str">
        <f t="shared" si="3"/>
        <v/>
      </c>
      <c r="N37" s="482" t="str">
        <f>IFERROR(IF(E37&lt;&gt;"",IF('Reference Records'!$C$259&lt;&gt;"",VLOOKUP(E37,'Account Role'!$B$3:$D$28,3,FALSE),VLOOKUP(E37,'Account Role'!$B$36:$D$266,3,FALSE)),O37),"")</f>
        <v>0013600000zN6z8AAC</v>
      </c>
      <c r="O37" s="481" t="s">
        <v>6108</v>
      </c>
      <c r="P37" s="483" t="s">
        <v>6122</v>
      </c>
      <c r="Q37" s="484" t="s">
        <v>6110</v>
      </c>
      <c r="R37" s="479" t="s">
        <v>6123</v>
      </c>
      <c r="S37" s="21"/>
      <c r="W37" s="221"/>
    </row>
    <row r="38" spans="1:50" ht="40.5" customHeight="1" x14ac:dyDescent="0.3">
      <c r="A38" s="135">
        <v>8</v>
      </c>
      <c r="B38" s="477"/>
      <c r="C38" s="477"/>
      <c r="D38" s="477">
        <f t="shared" si="0"/>
        <v>0</v>
      </c>
      <c r="E38" s="478" t="str">
        <f t="shared" si="4"/>
        <v/>
      </c>
      <c r="F38" s="479"/>
      <c r="G38" s="479"/>
      <c r="H38" s="479"/>
      <c r="I38" s="479"/>
      <c r="J38" s="480" t="str">
        <f t="shared" si="1"/>
        <v>AR-08339</v>
      </c>
      <c r="K38" s="478"/>
      <c r="L38" s="481" t="b">
        <f t="shared" si="2"/>
        <v>0</v>
      </c>
      <c r="M38" s="481" t="str">
        <f t="shared" si="3"/>
        <v/>
      </c>
      <c r="N38" s="482" t="str">
        <f>IFERROR(IF(E38&lt;&gt;"",IF('Reference Records'!$C$259&lt;&gt;"",VLOOKUP(E38,'Account Role'!$B$3:$D$28,3,FALSE),VLOOKUP(E38,'Account Role'!$B$36:$D$266,3,FALSE)),O38),"")</f>
        <v>0013600000zN6z8AAC</v>
      </c>
      <c r="O38" s="481" t="s">
        <v>6108</v>
      </c>
      <c r="P38" s="483" t="s">
        <v>6124</v>
      </c>
      <c r="Q38" s="484" t="s">
        <v>6110</v>
      </c>
      <c r="R38" s="479" t="s">
        <v>6125</v>
      </c>
      <c r="S38" s="21"/>
      <c r="W38" s="221"/>
    </row>
    <row r="39" spans="1:50" ht="40.5" customHeight="1" x14ac:dyDescent="0.3">
      <c r="A39" s="135">
        <v>9</v>
      </c>
      <c r="B39" s="477"/>
      <c r="C39" s="477"/>
      <c r="D39" s="477">
        <f t="shared" si="0"/>
        <v>0</v>
      </c>
      <c r="E39" s="478" t="str">
        <f t="shared" si="4"/>
        <v/>
      </c>
      <c r="F39" s="479"/>
      <c r="G39" s="479"/>
      <c r="H39" s="479"/>
      <c r="I39" s="479"/>
      <c r="J39" s="480" t="str">
        <f t="shared" si="1"/>
        <v>AR-08340</v>
      </c>
      <c r="K39" s="478"/>
      <c r="L39" s="481" t="b">
        <f t="shared" si="2"/>
        <v>0</v>
      </c>
      <c r="M39" s="481" t="str">
        <f t="shared" si="3"/>
        <v/>
      </c>
      <c r="N39" s="482" t="str">
        <f>IFERROR(IF(E39&lt;&gt;"",IF('Reference Records'!$C$259&lt;&gt;"",VLOOKUP(E39,'Account Role'!$B$3:$D$28,3,FALSE),VLOOKUP(E39,'Account Role'!$B$36:$D$266,3,FALSE)),O39),"")</f>
        <v>0013600000zN6z8AAC</v>
      </c>
      <c r="O39" s="481" t="s">
        <v>6108</v>
      </c>
      <c r="P39" s="483" t="s">
        <v>6126</v>
      </c>
      <c r="Q39" s="484" t="s">
        <v>6110</v>
      </c>
      <c r="R39" s="479" t="s">
        <v>6127</v>
      </c>
      <c r="S39" s="21"/>
      <c r="W39" s="221"/>
    </row>
    <row r="40" spans="1:50" ht="24" customHeight="1" thickBot="1" x14ac:dyDescent="0.35">
      <c r="A40" s="26"/>
      <c r="B40" s="26"/>
      <c r="C40" s="26"/>
      <c r="D40" s="26"/>
      <c r="E40" s="94"/>
      <c r="F40" s="94"/>
      <c r="G40" s="94"/>
      <c r="H40" s="94"/>
      <c r="I40" s="94"/>
      <c r="J40" s="94"/>
      <c r="K40" s="94"/>
      <c r="L40" s="94"/>
      <c r="M40" s="94"/>
      <c r="N40" s="94"/>
      <c r="O40" s="94"/>
      <c r="P40" s="94"/>
      <c r="Q40" s="94"/>
      <c r="R40" s="226"/>
      <c r="S40" s="23"/>
      <c r="T40" s="22"/>
      <c r="W40" s="34"/>
    </row>
    <row r="41" spans="1:50" ht="30" customHeight="1" x14ac:dyDescent="0.3">
      <c r="A41" s="92"/>
      <c r="B41" s="22"/>
      <c r="C41" s="22"/>
      <c r="D41" s="22"/>
      <c r="E41" s="91"/>
      <c r="F41" s="91"/>
      <c r="G41" s="91"/>
      <c r="H41" s="91"/>
      <c r="I41" s="91"/>
      <c r="J41" s="91"/>
      <c r="K41" s="91"/>
      <c r="L41" s="91"/>
      <c r="M41" s="91"/>
      <c r="N41" s="91"/>
      <c r="O41" s="91"/>
      <c r="P41" s="93"/>
      <c r="Q41" s="24"/>
      <c r="R41" s="46"/>
      <c r="S41" s="22"/>
      <c r="W41" s="34"/>
    </row>
    <row r="42" spans="1:50" s="58" customFormat="1" ht="29.25" customHeight="1" x14ac:dyDescent="0.3">
      <c r="A42" s="571"/>
      <c r="B42" s="571"/>
      <c r="C42" s="571"/>
      <c r="D42" s="571"/>
      <c r="E42" s="571"/>
      <c r="F42" s="571"/>
      <c r="G42" s="571"/>
      <c r="H42" s="571"/>
      <c r="I42" s="571"/>
      <c r="J42" s="571"/>
      <c r="K42" s="571"/>
      <c r="L42" s="571"/>
      <c r="M42" s="49"/>
      <c r="N42" s="49"/>
      <c r="O42" s="49"/>
      <c r="P42" s="49"/>
      <c r="Q42" s="49"/>
      <c r="R42" s="49"/>
      <c r="W42" s="89"/>
      <c r="AO42" s="90"/>
      <c r="AP42" s="90"/>
      <c r="AQ42" s="90"/>
      <c r="AR42" s="90"/>
      <c r="AS42" s="90"/>
      <c r="AT42" s="90"/>
      <c r="AU42" s="90"/>
      <c r="AV42" s="90"/>
      <c r="AW42" s="90"/>
      <c r="AX42" s="90"/>
    </row>
    <row r="43" spans="1:50" ht="30.75" customHeight="1" thickBot="1" x14ac:dyDescent="0.35">
      <c r="R43" s="46"/>
      <c r="S43" s="22"/>
      <c r="T43" s="22"/>
      <c r="W43" s="34"/>
    </row>
    <row r="44" spans="1:50" ht="29.25" customHeight="1" thickBot="1" x14ac:dyDescent="0.35">
      <c r="A44" s="557" t="str">
        <f ca="1">Translations!A17</f>
        <v>Périodes de rapportage</v>
      </c>
      <c r="B44" s="558"/>
      <c r="C44" s="558"/>
      <c r="D44" s="558"/>
      <c r="E44" s="558"/>
      <c r="F44" s="558"/>
      <c r="G44" s="558"/>
      <c r="H44" s="558"/>
      <c r="I44" s="558"/>
      <c r="J44" s="558"/>
      <c r="K44" s="558"/>
      <c r="L44" s="558"/>
      <c r="M44" s="558"/>
      <c r="N44" s="558"/>
      <c r="O44" s="558"/>
      <c r="P44" s="558"/>
      <c r="Q44" s="558"/>
      <c r="R44" s="558"/>
      <c r="S44" s="558"/>
      <c r="T44" s="558"/>
      <c r="U44" s="19"/>
      <c r="V44" s="58"/>
      <c r="W44" s="34"/>
    </row>
    <row r="45" spans="1:50" ht="32.1" customHeight="1" x14ac:dyDescent="0.3">
      <c r="A45" s="86" t="str">
        <f ca="1">Translations!A18</f>
        <v>Date de début de la période</v>
      </c>
      <c r="B45" s="88">
        <v>0</v>
      </c>
      <c r="C45" s="86"/>
      <c r="D45" s="86"/>
      <c r="E45" s="86" t="str">
        <f ca="1">Translations!A19</f>
        <v xml:space="preserve">Date de fin de la période </v>
      </c>
      <c r="F45" s="86"/>
      <c r="G45" s="86"/>
      <c r="H45" s="86"/>
      <c r="I45" s="86"/>
      <c r="J45" s="86"/>
      <c r="K45" s="86" t="str">
        <f ca="1">Translations!A20</f>
        <v xml:space="preserve">Date d'échéance du PUDR </v>
      </c>
      <c r="L45" s="136" t="s">
        <v>208</v>
      </c>
      <c r="M45" s="136" t="s">
        <v>212</v>
      </c>
      <c r="N45" s="136" t="s">
        <v>46</v>
      </c>
      <c r="O45" s="136" t="s">
        <v>200</v>
      </c>
      <c r="P45" s="136" t="s">
        <v>0</v>
      </c>
      <c r="Q45" s="136" t="s">
        <v>201</v>
      </c>
      <c r="R45" s="136"/>
      <c r="S45" s="137"/>
      <c r="T45" s="86" t="str">
        <f ca="1">Translations!A21</f>
        <v>Date de Remise du Rapport</v>
      </c>
      <c r="U45" s="138" t="s">
        <v>48</v>
      </c>
      <c r="V45" s="58"/>
      <c r="W45" s="34"/>
    </row>
    <row r="46" spans="1:50" ht="34.5" hidden="1" customHeight="1" x14ac:dyDescent="0.3">
      <c r="A46" s="139" t="str">
        <f ca="1">IF(P46="",IF(B46=2,$E$7,IF(B46=1,"",E45+1)),IF(P46&lt;TODAY(),O46,IF(B46=2,$E$7,IF(B46=1,"",E45+1))))</f>
        <v/>
      </c>
      <c r="B46" s="140">
        <f>B45+1</f>
        <v>1</v>
      </c>
      <c r="C46" s="137"/>
      <c r="D46" s="137"/>
      <c r="E46" s="141" t="str">
        <f ca="1">IF(P46="",IFERROR(EOMONTH($A46,$E$9-1),""),IF(P46&lt;TODAY(),P46,IFERROR(EOMONTH($A46,$E$9-1),"")))</f>
        <v/>
      </c>
      <c r="F46" s="141"/>
      <c r="G46" s="141"/>
      <c r="H46" s="141"/>
      <c r="I46" s="141"/>
      <c r="J46" s="141"/>
      <c r="K46" s="142" t="str">
        <f ca="1">IF(M46=TRUE,Translations!$A$101,Translations!$A$102)</f>
        <v>Non</v>
      </c>
      <c r="L46" s="138" t="b">
        <f ca="1">IF(K46=Translations!$A$101,TRUE,FALSE)</f>
        <v>0</v>
      </c>
      <c r="M46" s="138" t="s">
        <v>213</v>
      </c>
      <c r="N46" s="138" t="b">
        <f ca="1">IFERROR(IF(E46&lt;=$E$8,TRUE,FALSE),"")</f>
        <v>0</v>
      </c>
      <c r="O46" s="143" t="s">
        <v>199</v>
      </c>
      <c r="P46" s="143" t="s">
        <v>38</v>
      </c>
      <c r="Q46" s="144" t="s">
        <v>47</v>
      </c>
      <c r="R46" s="136"/>
      <c r="S46" s="138"/>
      <c r="T46" s="139" t="e">
        <f ca="1">TEXT(IF(K46="","",IF(K46=Translations!$A$102,E46+45,IF(K46=Translations!$A$101,E46+60,""))),Setup!$A$33)</f>
        <v>#VALUE!</v>
      </c>
      <c r="U46" s="138" t="s">
        <v>47</v>
      </c>
      <c r="V46" s="58"/>
      <c r="W46" s="34"/>
    </row>
    <row r="47" spans="1:50" ht="34.5" customHeight="1" x14ac:dyDescent="0.3">
      <c r="A47" s="139">
        <f t="shared" ref="A47:A52" ca="1" si="5">IF(P47="",IF(B47=2,$E$7,IF(B47=1,"",E46+1)),IF(P47&lt;TODAY(),O47,IF(B47=2,$E$7,IF(B47=1,"",E46+1))))</f>
        <v>44197</v>
      </c>
      <c r="B47" s="140">
        <f t="shared" ref="B47:B52" si="6">B46+1</f>
        <v>2</v>
      </c>
      <c r="C47" s="137"/>
      <c r="D47" s="137"/>
      <c r="E47" s="141">
        <f t="shared" ref="E47:E52" ca="1" si="7">IF(P47="",IFERROR(EOMONTH($A47,$E$9-1),""),IF(P47&lt;TODAY(),P47,IFERROR(EOMONTH($A47,$E$9-1),"")))</f>
        <v>44377</v>
      </c>
      <c r="F47" s="141"/>
      <c r="G47" s="141"/>
      <c r="H47" s="141"/>
      <c r="I47" s="141"/>
      <c r="J47" s="141"/>
      <c r="K47" s="142" t="str">
        <f ca="1">IF(M47=TRUE,Translations!$A$101,Translations!$A$102)</f>
        <v>Non</v>
      </c>
      <c r="L47" s="138" t="b">
        <f ca="1">IF(K47=Translations!$A$101,TRUE,FALSE)</f>
        <v>0</v>
      </c>
      <c r="M47" s="138" t="b">
        <v>0</v>
      </c>
      <c r="N47" s="138" t="b">
        <f t="shared" ref="N47:N52" ca="1" si="8">IFERROR(IF(E47&lt;=$E$8,TRUE,FALSE),"")</f>
        <v>1</v>
      </c>
      <c r="O47" s="143"/>
      <c r="P47" s="143"/>
      <c r="Q47" s="144" t="s">
        <v>1356</v>
      </c>
      <c r="R47" s="136"/>
      <c r="S47" s="138"/>
      <c r="T47" s="139" t="str">
        <f ca="1">TEXT(IF(K47="","",IF(K47=Translations!$A$102,E47+45,IF(K47=Translations!$A$101,E47+60,""))),Setup!$A$33)</f>
        <v>14-Aug-21</v>
      </c>
      <c r="U47" s="138" t="s">
        <v>1515</v>
      </c>
      <c r="V47" s="58"/>
      <c r="W47" s="221"/>
    </row>
    <row r="48" spans="1:50" ht="34.5" customHeight="1" x14ac:dyDescent="0.3">
      <c r="A48" s="139">
        <f t="shared" ca="1" si="5"/>
        <v>44378</v>
      </c>
      <c r="B48" s="140">
        <f t="shared" si="6"/>
        <v>3</v>
      </c>
      <c r="C48" s="137"/>
      <c r="D48" s="137"/>
      <c r="E48" s="141">
        <f t="shared" ca="1" si="7"/>
        <v>44561</v>
      </c>
      <c r="F48" s="141"/>
      <c r="G48" s="141"/>
      <c r="H48" s="141"/>
      <c r="I48" s="141"/>
      <c r="J48" s="141"/>
      <c r="K48" s="142" t="s">
        <v>445</v>
      </c>
      <c r="L48" s="138" t="b">
        <f ca="1">IF(K48=Translations!$A$101,TRUE,FALSE)</f>
        <v>1</v>
      </c>
      <c r="M48" s="138" t="b">
        <v>0</v>
      </c>
      <c r="N48" s="138" t="b">
        <f t="shared" ca="1" si="8"/>
        <v>1</v>
      </c>
      <c r="O48" s="143"/>
      <c r="P48" s="143"/>
      <c r="Q48" s="144" t="s">
        <v>1356</v>
      </c>
      <c r="R48" s="136"/>
      <c r="S48" s="138"/>
      <c r="T48" s="139" t="str">
        <f ca="1">TEXT(IF(K48="","",IF(K48=Translations!$A$102,E48+45,IF(K48=Translations!$A$101,E48+60,""))),Setup!$A$33)</f>
        <v>1-Mar-22</v>
      </c>
      <c r="U48" s="138" t="s">
        <v>1516</v>
      </c>
      <c r="V48" s="58"/>
      <c r="W48" s="221"/>
    </row>
    <row r="49" spans="1:25" ht="34.5" customHeight="1" x14ac:dyDescent="0.3">
      <c r="A49" s="139">
        <f t="shared" ca="1" si="5"/>
        <v>44562</v>
      </c>
      <c r="B49" s="140">
        <f t="shared" si="6"/>
        <v>4</v>
      </c>
      <c r="C49" s="137"/>
      <c r="D49" s="137"/>
      <c r="E49" s="141">
        <f t="shared" ca="1" si="7"/>
        <v>44742</v>
      </c>
      <c r="F49" s="141"/>
      <c r="G49" s="141"/>
      <c r="H49" s="141"/>
      <c r="I49" s="141"/>
      <c r="J49" s="141"/>
      <c r="K49" s="142" t="str">
        <f ca="1">IF(M49=TRUE,Translations!$A$101,Translations!$A$102)</f>
        <v>Non</v>
      </c>
      <c r="L49" s="138" t="b">
        <f ca="1">IF(K49=Translations!$A$101,TRUE,FALSE)</f>
        <v>0</v>
      </c>
      <c r="M49" s="138" t="b">
        <v>0</v>
      </c>
      <c r="N49" s="138" t="b">
        <f t="shared" ca="1" si="8"/>
        <v>1</v>
      </c>
      <c r="O49" s="143"/>
      <c r="P49" s="143"/>
      <c r="Q49" s="144" t="s">
        <v>1356</v>
      </c>
      <c r="R49" s="136"/>
      <c r="S49" s="138"/>
      <c r="T49" s="139" t="str">
        <f ca="1">TEXT(IF(K49="","",IF(K49=Translations!$A$102,E49+45,IF(K49=Translations!$A$101,E49+60,""))),Setup!$A$33)</f>
        <v>14-Aug-22</v>
      </c>
      <c r="U49" s="138" t="s">
        <v>1517</v>
      </c>
      <c r="V49" s="58"/>
      <c r="W49" s="221"/>
    </row>
    <row r="50" spans="1:25" ht="34.5" customHeight="1" x14ac:dyDescent="0.3">
      <c r="A50" s="139">
        <f t="shared" ca="1" si="5"/>
        <v>44743</v>
      </c>
      <c r="B50" s="140">
        <f t="shared" si="6"/>
        <v>5</v>
      </c>
      <c r="C50" s="137"/>
      <c r="D50" s="137"/>
      <c r="E50" s="141">
        <f t="shared" ca="1" si="7"/>
        <v>44926</v>
      </c>
      <c r="F50" s="141"/>
      <c r="G50" s="141"/>
      <c r="H50" s="141"/>
      <c r="I50" s="141"/>
      <c r="J50" s="141"/>
      <c r="K50" s="142" t="s">
        <v>445</v>
      </c>
      <c r="L50" s="138" t="b">
        <f ca="1">IF(K50=Translations!$A$101,TRUE,FALSE)</f>
        <v>1</v>
      </c>
      <c r="M50" s="138" t="b">
        <v>0</v>
      </c>
      <c r="N50" s="138" t="b">
        <f t="shared" ca="1" si="8"/>
        <v>1</v>
      </c>
      <c r="O50" s="143"/>
      <c r="P50" s="143"/>
      <c r="Q50" s="144" t="s">
        <v>1356</v>
      </c>
      <c r="R50" s="136"/>
      <c r="S50" s="138"/>
      <c r="T50" s="139" t="str">
        <f ca="1">TEXT(IF(K50="","",IF(K50=Translations!$A$102,E50+45,IF(K50=Translations!$A$101,E50+60,""))),Setup!$A$33)</f>
        <v>1-Mar-23</v>
      </c>
      <c r="U50" s="138" t="s">
        <v>1518</v>
      </c>
      <c r="V50" s="58"/>
      <c r="W50" s="221"/>
    </row>
    <row r="51" spans="1:25" ht="34.5" customHeight="1" x14ac:dyDescent="0.3">
      <c r="A51" s="139">
        <f t="shared" ca="1" si="5"/>
        <v>44927</v>
      </c>
      <c r="B51" s="140">
        <f t="shared" si="6"/>
        <v>6</v>
      </c>
      <c r="C51" s="137"/>
      <c r="D51" s="137"/>
      <c r="E51" s="141">
        <f t="shared" ca="1" si="7"/>
        <v>45107</v>
      </c>
      <c r="F51" s="141"/>
      <c r="G51" s="141"/>
      <c r="H51" s="141"/>
      <c r="I51" s="141"/>
      <c r="J51" s="141"/>
      <c r="K51" s="142" t="str">
        <f ca="1">IF(M51=TRUE,Translations!$A$101,Translations!$A$102)</f>
        <v>Non</v>
      </c>
      <c r="L51" s="138" t="b">
        <f ca="1">IF(K51=Translations!$A$101,TRUE,FALSE)</f>
        <v>0</v>
      </c>
      <c r="M51" s="138" t="b">
        <v>0</v>
      </c>
      <c r="N51" s="138" t="b">
        <f t="shared" ca="1" si="8"/>
        <v>1</v>
      </c>
      <c r="O51" s="143"/>
      <c r="P51" s="143"/>
      <c r="Q51" s="144" t="s">
        <v>1356</v>
      </c>
      <c r="R51" s="136"/>
      <c r="S51" s="138"/>
      <c r="T51" s="139" t="str">
        <f ca="1">TEXT(IF(K51="","",IF(K51=Translations!$A$102,E51+45,IF(K51=Translations!$A$101,E51+60,""))),Setup!$A$33)</f>
        <v>14-Aug-23</v>
      </c>
      <c r="U51" s="138" t="s">
        <v>1519</v>
      </c>
      <c r="V51" s="58"/>
      <c r="W51" s="221"/>
    </row>
    <row r="52" spans="1:25" ht="34.5" customHeight="1" x14ac:dyDescent="0.3">
      <c r="A52" s="139">
        <f t="shared" ca="1" si="5"/>
        <v>45108</v>
      </c>
      <c r="B52" s="140">
        <f t="shared" si="6"/>
        <v>7</v>
      </c>
      <c r="C52" s="137"/>
      <c r="D52" s="137"/>
      <c r="E52" s="141">
        <f t="shared" ca="1" si="7"/>
        <v>45291</v>
      </c>
      <c r="F52" s="141"/>
      <c r="G52" s="141"/>
      <c r="H52" s="141"/>
      <c r="I52" s="141"/>
      <c r="J52" s="141"/>
      <c r="K52" s="142" t="str">
        <f ca="1">IF(M52=TRUE,Translations!$A$101,Translations!$A$102)</f>
        <v>Non</v>
      </c>
      <c r="L52" s="138" t="b">
        <f ca="1">IF(K52=Translations!$A$101,TRUE,FALSE)</f>
        <v>0</v>
      </c>
      <c r="M52" s="138" t="b">
        <v>0</v>
      </c>
      <c r="N52" s="138" t="b">
        <f t="shared" ca="1" si="8"/>
        <v>1</v>
      </c>
      <c r="O52" s="143"/>
      <c r="P52" s="143"/>
      <c r="Q52" s="144" t="s">
        <v>1356</v>
      </c>
      <c r="R52" s="136"/>
      <c r="S52" s="138"/>
      <c r="T52" s="139" t="str">
        <f ca="1">TEXT(IF(K52="","",IF(K52=Translations!$A$102,E52+45,IF(K52=Translations!$A$101,E52+60,""))),Setup!$A$33)</f>
        <v>14-Feb-24</v>
      </c>
      <c r="U52" s="138" t="s">
        <v>1520</v>
      </c>
      <c r="V52" s="58"/>
      <c r="W52" s="221"/>
    </row>
    <row r="53" spans="1:25" ht="9.6" hidden="1" customHeight="1" thickBot="1" x14ac:dyDescent="0.35">
      <c r="A53" s="25"/>
      <c r="B53" s="26"/>
      <c r="C53" s="26"/>
      <c r="D53" s="26"/>
      <c r="E53" s="26"/>
      <c r="F53" s="26"/>
      <c r="G53" s="26"/>
      <c r="H53" s="26"/>
      <c r="I53" s="26"/>
      <c r="J53" s="26"/>
      <c r="K53" s="26"/>
      <c r="L53" s="26"/>
      <c r="M53" s="26"/>
      <c r="N53" s="26"/>
      <c r="O53" s="26"/>
      <c r="P53" s="26"/>
      <c r="Q53" s="26"/>
      <c r="R53" s="26"/>
      <c r="S53" s="26"/>
      <c r="T53" s="26"/>
      <c r="U53" s="26"/>
      <c r="V53" s="95"/>
      <c r="W53" s="34"/>
    </row>
    <row r="54" spans="1:25" ht="30" customHeight="1" x14ac:dyDescent="0.3">
      <c r="T54" s="22"/>
      <c r="W54" s="34"/>
    </row>
    <row r="55" spans="1:25" ht="30" customHeight="1" x14ac:dyDescent="0.3">
      <c r="L55" s="99"/>
      <c r="T55" s="22"/>
      <c r="W55" s="34"/>
    </row>
    <row r="56" spans="1:25" ht="25.5" customHeight="1" thickBot="1" x14ac:dyDescent="0.35">
      <c r="A56" s="48"/>
      <c r="B56" s="36"/>
      <c r="C56" s="36"/>
      <c r="D56" s="36"/>
      <c r="E56" s="36"/>
      <c r="F56" s="36"/>
      <c r="G56" s="36"/>
      <c r="H56" s="36"/>
      <c r="I56" s="36"/>
      <c r="J56" s="36"/>
      <c r="K56" s="36"/>
      <c r="L56" s="37"/>
      <c r="M56" s="37"/>
      <c r="N56" s="37"/>
      <c r="O56" s="37"/>
      <c r="P56" s="37"/>
      <c r="Q56" s="37"/>
      <c r="R56" s="37"/>
      <c r="S56" s="37"/>
      <c r="T56" s="16"/>
      <c r="U56" s="16"/>
      <c r="V56" s="33"/>
      <c r="W56" s="34"/>
    </row>
    <row r="57" spans="1:25" ht="25.5" customHeight="1" thickBot="1" x14ac:dyDescent="0.35">
      <c r="A57" s="557" t="str">
        <f ca="1">Translations!A22</f>
        <v>Buts</v>
      </c>
      <c r="B57" s="558"/>
      <c r="C57" s="558"/>
      <c r="D57" s="558"/>
      <c r="E57" s="558"/>
      <c r="F57" s="68"/>
      <c r="G57" s="68"/>
      <c r="H57" s="68"/>
      <c r="I57" s="68"/>
      <c r="J57" s="69"/>
      <c r="K57" s="82"/>
      <c r="L57" s="46"/>
      <c r="M57" s="46"/>
      <c r="N57" s="46"/>
      <c r="O57" s="46"/>
      <c r="P57" s="46"/>
      <c r="Q57" s="46"/>
      <c r="R57" s="46"/>
      <c r="S57" s="46"/>
      <c r="T57" s="46"/>
      <c r="U57" s="46"/>
      <c r="V57" s="49"/>
      <c r="W57" s="34"/>
    </row>
    <row r="58" spans="1:25" ht="32.25" customHeight="1" x14ac:dyDescent="0.3">
      <c r="A58" s="433" t="str">
        <f ca="1">Translations!A23</f>
        <v>Numéro du but</v>
      </c>
      <c r="B58" s="433"/>
      <c r="C58" s="433"/>
      <c r="D58" s="433"/>
      <c r="E58" s="434" t="str">
        <f ca="1">Translations!A24</f>
        <v>Description du but</v>
      </c>
      <c r="F58" s="435" t="s">
        <v>201</v>
      </c>
      <c r="G58" s="435" t="s">
        <v>46</v>
      </c>
      <c r="H58" s="435" t="s">
        <v>48</v>
      </c>
      <c r="I58" s="83"/>
      <c r="J58" s="50"/>
      <c r="K58" s="83"/>
      <c r="L58" s="47"/>
      <c r="M58" s="47"/>
      <c r="N58" s="47"/>
      <c r="O58" s="47"/>
      <c r="P58" s="47"/>
      <c r="Q58" s="47"/>
      <c r="R58" s="47"/>
      <c r="S58" s="47"/>
      <c r="T58" s="47"/>
      <c r="U58" s="47"/>
      <c r="V58" s="51"/>
      <c r="W58" s="34"/>
      <c r="Y58" s="556"/>
    </row>
    <row r="59" spans="1:25" ht="47.1" hidden="1" customHeight="1" x14ac:dyDescent="0.3">
      <c r="A59" s="135" t="s">
        <v>63</v>
      </c>
      <c r="B59" s="135"/>
      <c r="C59" s="135"/>
      <c r="D59" s="135"/>
      <c r="E59" s="436" t="s">
        <v>53</v>
      </c>
      <c r="F59" s="437" t="s">
        <v>47</v>
      </c>
      <c r="G59" s="437" t="b">
        <f>IFERROR(IF(E59&lt;&gt;"",TRUE,FALSE),FALSE)</f>
        <v>1</v>
      </c>
      <c r="H59" s="437" t="s">
        <v>47</v>
      </c>
      <c r="I59" s="84"/>
      <c r="J59" s="85"/>
      <c r="K59" s="84"/>
      <c r="L59" s="46"/>
      <c r="M59" s="46"/>
      <c r="N59" s="46"/>
      <c r="O59" s="46"/>
      <c r="P59" s="46"/>
      <c r="Q59" s="46"/>
      <c r="R59" s="46"/>
      <c r="S59" s="46"/>
      <c r="T59" s="46"/>
      <c r="U59" s="46"/>
      <c r="V59" s="49"/>
      <c r="Y59" s="556"/>
    </row>
    <row r="60" spans="1:25" ht="47.1" customHeight="1" x14ac:dyDescent="0.3">
      <c r="A60" s="135">
        <v>1</v>
      </c>
      <c r="B60" s="135"/>
      <c r="C60" s="135"/>
      <c r="D60" s="135"/>
      <c r="E60" s="436" t="s">
        <v>8015</v>
      </c>
      <c r="F60" s="437" t="s">
        <v>1356</v>
      </c>
      <c r="G60" s="437" t="b">
        <f t="shared" ref="G60:G71" si="9">IFERROR(IF(E60&lt;&gt;"",TRUE,FALSE),FALSE)</f>
        <v>1</v>
      </c>
      <c r="H60" s="437" t="s">
        <v>1360</v>
      </c>
      <c r="I60" s="84"/>
      <c r="J60" s="85"/>
      <c r="K60" s="84"/>
      <c r="L60" s="46"/>
      <c r="M60" s="46"/>
      <c r="N60" s="46"/>
      <c r="O60" s="46"/>
      <c r="P60" s="46"/>
      <c r="Q60" s="46"/>
      <c r="R60" s="46"/>
      <c r="S60" s="46"/>
      <c r="T60" s="46"/>
      <c r="U60" s="46"/>
      <c r="V60" s="49"/>
      <c r="Y60" s="430"/>
    </row>
    <row r="61" spans="1:25" ht="47.1" customHeight="1" x14ac:dyDescent="0.3">
      <c r="A61" s="135">
        <v>2</v>
      </c>
      <c r="B61" s="135"/>
      <c r="C61" s="135"/>
      <c r="D61" s="135"/>
      <c r="E61" s="436"/>
      <c r="F61" s="437" t="s">
        <v>1356</v>
      </c>
      <c r="G61" s="437" t="b">
        <f t="shared" si="9"/>
        <v>0</v>
      </c>
      <c r="H61" s="437" t="s">
        <v>1361</v>
      </c>
      <c r="I61" s="84"/>
      <c r="J61" s="85"/>
      <c r="K61" s="84"/>
      <c r="L61" s="46"/>
      <c r="M61" s="46"/>
      <c r="N61" s="46"/>
      <c r="O61" s="46"/>
      <c r="P61" s="46"/>
      <c r="Q61" s="46"/>
      <c r="R61" s="46"/>
      <c r="S61" s="46"/>
      <c r="T61" s="46"/>
      <c r="U61" s="46"/>
      <c r="V61" s="49"/>
      <c r="Y61" s="430"/>
    </row>
    <row r="62" spans="1:25" ht="47.1" customHeight="1" x14ac:dyDescent="0.3">
      <c r="A62" s="135">
        <v>3</v>
      </c>
      <c r="B62" s="135"/>
      <c r="C62" s="135"/>
      <c r="D62" s="135"/>
      <c r="E62" s="436"/>
      <c r="F62" s="437" t="s">
        <v>1356</v>
      </c>
      <c r="G62" s="437" t="b">
        <f t="shared" si="9"/>
        <v>0</v>
      </c>
      <c r="H62" s="437" t="s">
        <v>1362</v>
      </c>
      <c r="I62" s="84"/>
      <c r="J62" s="85"/>
      <c r="K62" s="84"/>
      <c r="L62" s="46"/>
      <c r="M62" s="46"/>
      <c r="N62" s="46"/>
      <c r="O62" s="46"/>
      <c r="P62" s="46"/>
      <c r="Q62" s="46"/>
      <c r="R62" s="46"/>
      <c r="S62" s="46"/>
      <c r="T62" s="46"/>
      <c r="U62" s="46"/>
      <c r="V62" s="49"/>
      <c r="Y62" s="430"/>
    </row>
    <row r="63" spans="1:25" ht="47.1" customHeight="1" x14ac:dyDescent="0.3">
      <c r="A63" s="135">
        <v>4</v>
      </c>
      <c r="B63" s="135"/>
      <c r="C63" s="135"/>
      <c r="D63" s="135"/>
      <c r="E63" s="436"/>
      <c r="F63" s="437" t="s">
        <v>1356</v>
      </c>
      <c r="G63" s="437" t="b">
        <f t="shared" si="9"/>
        <v>0</v>
      </c>
      <c r="H63" s="437" t="s">
        <v>1363</v>
      </c>
      <c r="I63" s="84"/>
      <c r="J63" s="85"/>
      <c r="K63" s="84"/>
      <c r="L63" s="46"/>
      <c r="M63" s="46"/>
      <c r="N63" s="46"/>
      <c r="O63" s="46"/>
      <c r="P63" s="46"/>
      <c r="Q63" s="46"/>
      <c r="R63" s="46"/>
      <c r="S63" s="46"/>
      <c r="T63" s="46"/>
      <c r="U63" s="46"/>
      <c r="V63" s="49"/>
      <c r="Y63" s="430"/>
    </row>
    <row r="64" spans="1:25" ht="47.1" customHeight="1" x14ac:dyDescent="0.3">
      <c r="A64" s="135">
        <v>5</v>
      </c>
      <c r="B64" s="135"/>
      <c r="C64" s="135"/>
      <c r="D64" s="135"/>
      <c r="E64" s="436"/>
      <c r="F64" s="437" t="s">
        <v>1356</v>
      </c>
      <c r="G64" s="437" t="b">
        <f t="shared" si="9"/>
        <v>0</v>
      </c>
      <c r="H64" s="437" t="s">
        <v>1364</v>
      </c>
      <c r="I64" s="84"/>
      <c r="J64" s="85"/>
      <c r="K64" s="84"/>
      <c r="L64" s="46"/>
      <c r="M64" s="46"/>
      <c r="N64" s="46"/>
      <c r="O64" s="46"/>
      <c r="P64" s="46"/>
      <c r="Q64" s="46"/>
      <c r="R64" s="46"/>
      <c r="S64" s="46"/>
      <c r="T64" s="46"/>
      <c r="U64" s="46"/>
      <c r="V64" s="49"/>
      <c r="Y64" s="430"/>
    </row>
    <row r="65" spans="1:50" ht="47.1" customHeight="1" x14ac:dyDescent="0.3">
      <c r="A65" s="135">
        <v>6</v>
      </c>
      <c r="B65" s="135"/>
      <c r="C65" s="135"/>
      <c r="D65" s="135"/>
      <c r="E65" s="436"/>
      <c r="F65" s="437" t="s">
        <v>1356</v>
      </c>
      <c r="G65" s="437" t="b">
        <f t="shared" si="9"/>
        <v>0</v>
      </c>
      <c r="H65" s="437" t="s">
        <v>1365</v>
      </c>
      <c r="I65" s="84"/>
      <c r="J65" s="85"/>
      <c r="K65" s="84"/>
      <c r="L65" s="46"/>
      <c r="M65" s="46"/>
      <c r="N65" s="46"/>
      <c r="O65" s="46"/>
      <c r="P65" s="46"/>
      <c r="Q65" s="46"/>
      <c r="R65" s="46"/>
      <c r="S65" s="46"/>
      <c r="T65" s="46"/>
      <c r="U65" s="46"/>
      <c r="V65" s="49"/>
      <c r="Y65" s="430"/>
    </row>
    <row r="66" spans="1:50" ht="47.1" customHeight="1" x14ac:dyDescent="0.3">
      <c r="A66" s="135">
        <v>7</v>
      </c>
      <c r="B66" s="135"/>
      <c r="C66" s="135"/>
      <c r="D66" s="135"/>
      <c r="E66" s="436"/>
      <c r="F66" s="437" t="s">
        <v>1356</v>
      </c>
      <c r="G66" s="437" t="b">
        <f t="shared" si="9"/>
        <v>0</v>
      </c>
      <c r="H66" s="437" t="s">
        <v>1366</v>
      </c>
      <c r="I66" s="84"/>
      <c r="J66" s="85"/>
      <c r="K66" s="84"/>
      <c r="L66" s="46"/>
      <c r="M66" s="46"/>
      <c r="N66" s="46"/>
      <c r="O66" s="46"/>
      <c r="P66" s="46"/>
      <c r="Q66" s="46"/>
      <c r="R66" s="46"/>
      <c r="S66" s="46"/>
      <c r="T66" s="46"/>
      <c r="U66" s="46"/>
      <c r="V66" s="49"/>
      <c r="Y66" s="430"/>
    </row>
    <row r="67" spans="1:50" ht="47.1" customHeight="1" x14ac:dyDescent="0.3">
      <c r="A67" s="135">
        <v>8</v>
      </c>
      <c r="B67" s="135"/>
      <c r="C67" s="135"/>
      <c r="D67" s="135"/>
      <c r="E67" s="436"/>
      <c r="F67" s="437" t="s">
        <v>1356</v>
      </c>
      <c r="G67" s="437" t="b">
        <f t="shared" si="9"/>
        <v>0</v>
      </c>
      <c r="H67" s="437" t="s">
        <v>1367</v>
      </c>
      <c r="I67" s="84"/>
      <c r="J67" s="85"/>
      <c r="K67" s="84"/>
      <c r="L67" s="46"/>
      <c r="M67" s="46"/>
      <c r="N67" s="46"/>
      <c r="O67" s="46"/>
      <c r="P67" s="46"/>
      <c r="Q67" s="46"/>
      <c r="R67" s="46"/>
      <c r="S67" s="46"/>
      <c r="T67" s="46"/>
      <c r="U67" s="46"/>
      <c r="V67" s="49"/>
      <c r="Y67" s="430"/>
    </row>
    <row r="68" spans="1:50" ht="47.1" customHeight="1" x14ac:dyDescent="0.3">
      <c r="A68" s="135">
        <v>9</v>
      </c>
      <c r="B68" s="135"/>
      <c r="C68" s="135"/>
      <c r="D68" s="135"/>
      <c r="E68" s="436"/>
      <c r="F68" s="437" t="s">
        <v>1356</v>
      </c>
      <c r="G68" s="437" t="b">
        <f t="shared" si="9"/>
        <v>0</v>
      </c>
      <c r="H68" s="437" t="s">
        <v>1368</v>
      </c>
      <c r="I68" s="84"/>
      <c r="J68" s="85"/>
      <c r="K68" s="84"/>
      <c r="L68" s="46"/>
      <c r="M68" s="46"/>
      <c r="N68" s="46"/>
      <c r="O68" s="46"/>
      <c r="P68" s="46"/>
      <c r="Q68" s="46"/>
      <c r="R68" s="46"/>
      <c r="S68" s="46"/>
      <c r="T68" s="46"/>
      <c r="U68" s="46"/>
      <c r="V68" s="49"/>
      <c r="Y68" s="430"/>
    </row>
    <row r="69" spans="1:50" ht="47.1" customHeight="1" x14ac:dyDescent="0.3">
      <c r="A69" s="135">
        <v>10</v>
      </c>
      <c r="B69" s="135"/>
      <c r="C69" s="135"/>
      <c r="D69" s="135"/>
      <c r="E69" s="436"/>
      <c r="F69" s="437" t="s">
        <v>1356</v>
      </c>
      <c r="G69" s="437" t="b">
        <f t="shared" si="9"/>
        <v>0</v>
      </c>
      <c r="H69" s="437" t="s">
        <v>1369</v>
      </c>
      <c r="I69" s="84"/>
      <c r="J69" s="85"/>
      <c r="K69" s="84"/>
      <c r="L69" s="46"/>
      <c r="M69" s="46"/>
      <c r="N69" s="46"/>
      <c r="O69" s="46"/>
      <c r="P69" s="46"/>
      <c r="Q69" s="46"/>
      <c r="R69" s="46"/>
      <c r="S69" s="46"/>
      <c r="T69" s="46"/>
      <c r="U69" s="46"/>
      <c r="V69" s="49"/>
      <c r="Y69" s="430"/>
    </row>
    <row r="70" spans="1:50" ht="47.1" customHeight="1" x14ac:dyDescent="0.3">
      <c r="A70" s="135">
        <v>11</v>
      </c>
      <c r="B70" s="135"/>
      <c r="C70" s="135"/>
      <c r="D70" s="135"/>
      <c r="E70" s="436"/>
      <c r="F70" s="437" t="s">
        <v>1356</v>
      </c>
      <c r="G70" s="437" t="b">
        <f t="shared" si="9"/>
        <v>0</v>
      </c>
      <c r="H70" s="437" t="s">
        <v>1370</v>
      </c>
      <c r="I70" s="84"/>
      <c r="J70" s="85"/>
      <c r="K70" s="84"/>
      <c r="L70" s="46"/>
      <c r="M70" s="46"/>
      <c r="N70" s="46"/>
      <c r="O70" s="46"/>
      <c r="P70" s="46"/>
      <c r="Q70" s="46"/>
      <c r="R70" s="46"/>
      <c r="S70" s="46"/>
      <c r="T70" s="46"/>
      <c r="U70" s="46"/>
      <c r="V70" s="49"/>
      <c r="Y70" s="430"/>
    </row>
    <row r="71" spans="1:50" ht="47.1" customHeight="1" x14ac:dyDescent="0.3">
      <c r="A71" s="135">
        <v>12</v>
      </c>
      <c r="B71" s="135"/>
      <c r="C71" s="135"/>
      <c r="D71" s="135"/>
      <c r="E71" s="436"/>
      <c r="F71" s="437" t="s">
        <v>1356</v>
      </c>
      <c r="G71" s="437" t="b">
        <f t="shared" si="9"/>
        <v>0</v>
      </c>
      <c r="H71" s="437" t="s">
        <v>1371</v>
      </c>
      <c r="I71" s="84"/>
      <c r="J71" s="85"/>
      <c r="K71" s="84"/>
      <c r="L71" s="46"/>
      <c r="M71" s="46"/>
      <c r="N71" s="46"/>
      <c r="O71" s="46"/>
      <c r="P71" s="46"/>
      <c r="Q71" s="46"/>
      <c r="R71" s="46"/>
      <c r="S71" s="46"/>
      <c r="T71" s="46"/>
      <c r="U71" s="46"/>
      <c r="V71" s="49"/>
      <c r="Y71" s="430"/>
    </row>
    <row r="72" spans="1:50" ht="2.85" customHeight="1" thickBot="1" x14ac:dyDescent="0.35">
      <c r="A72" s="52"/>
      <c r="B72" s="53"/>
      <c r="C72" s="53"/>
      <c r="D72" s="53"/>
      <c r="E72" s="53"/>
      <c r="F72" s="53"/>
      <c r="G72" s="53"/>
      <c r="H72" s="53"/>
      <c r="I72" s="53"/>
      <c r="J72" s="54"/>
      <c r="K72" s="56"/>
      <c r="L72" s="46"/>
      <c r="M72" s="46"/>
      <c r="N72" s="46"/>
      <c r="O72" s="46"/>
      <c r="P72" s="46"/>
      <c r="Q72" s="46"/>
      <c r="R72" s="46"/>
      <c r="S72" s="46"/>
      <c r="T72" s="46"/>
      <c r="U72" s="46"/>
      <c r="V72" s="49"/>
      <c r="Y72" s="55"/>
    </row>
    <row r="73" spans="1:50" ht="29.25" customHeight="1" x14ac:dyDescent="0.3">
      <c r="A73" s="56"/>
      <c r="B73" s="56"/>
      <c r="C73" s="56"/>
      <c r="D73" s="56"/>
      <c r="E73" s="56"/>
      <c r="F73" s="56"/>
      <c r="G73" s="56"/>
      <c r="H73" s="56"/>
      <c r="I73" s="56"/>
      <c r="J73" s="56"/>
      <c r="K73" s="56"/>
      <c r="L73" s="46"/>
      <c r="M73" s="46"/>
      <c r="N73" s="46"/>
      <c r="O73" s="46"/>
      <c r="P73" s="46"/>
      <c r="Q73" s="46"/>
      <c r="R73" s="46"/>
      <c r="S73" s="46"/>
      <c r="T73" s="46"/>
      <c r="U73" s="46"/>
      <c r="V73" s="49"/>
      <c r="Y73" s="55"/>
    </row>
    <row r="74" spans="1:50" s="18" customFormat="1" ht="30.75" customHeight="1" thickBot="1" x14ac:dyDescent="0.35">
      <c r="A74" s="57"/>
      <c r="B74" s="57"/>
      <c r="C74" s="57"/>
      <c r="D74" s="57"/>
      <c r="E74" s="57"/>
      <c r="F74" s="57"/>
      <c r="G74" s="57"/>
      <c r="H74" s="57"/>
      <c r="I74" s="57"/>
      <c r="J74" s="57"/>
      <c r="K74" s="57"/>
      <c r="L74" s="57"/>
      <c r="M74" s="57"/>
      <c r="N74" s="57"/>
      <c r="O74" s="57"/>
      <c r="P74" s="57"/>
      <c r="Q74" s="57"/>
      <c r="R74" s="57"/>
      <c r="S74" s="57"/>
      <c r="T74" s="57"/>
      <c r="U74" s="57"/>
      <c r="V74" s="28"/>
      <c r="W74" s="28"/>
      <c r="X74" s="28"/>
      <c r="Y74" s="28"/>
      <c r="Z74" s="28"/>
      <c r="AO74" s="3"/>
      <c r="AP74" s="3"/>
      <c r="AQ74" s="3"/>
      <c r="AR74" s="3"/>
      <c r="AS74" s="3"/>
      <c r="AT74" s="3"/>
      <c r="AU74" s="3"/>
      <c r="AV74" s="3"/>
      <c r="AW74" s="3"/>
      <c r="AX74" s="3"/>
    </row>
    <row r="75" spans="1:50" ht="30.75" customHeight="1" thickBot="1" x14ac:dyDescent="0.35">
      <c r="A75" s="559" t="str">
        <f ca="1">Translations!A25</f>
        <v>Objectifs</v>
      </c>
      <c r="B75" s="558"/>
      <c r="C75" s="558"/>
      <c r="D75" s="558"/>
      <c r="E75" s="560"/>
      <c r="F75" s="68"/>
      <c r="G75" s="68"/>
      <c r="H75" s="68"/>
      <c r="I75" s="68"/>
      <c r="J75" s="69"/>
      <c r="K75" s="82"/>
      <c r="L75" s="46"/>
      <c r="M75" s="46"/>
      <c r="N75" s="46"/>
      <c r="O75" s="46"/>
      <c r="P75" s="46"/>
      <c r="Q75" s="46"/>
      <c r="R75" s="46"/>
      <c r="S75" s="46"/>
      <c r="T75" s="46"/>
      <c r="U75" s="46"/>
      <c r="V75" s="49"/>
      <c r="W75" s="34"/>
    </row>
    <row r="76" spans="1:50" ht="30.75" customHeight="1" x14ac:dyDescent="0.3">
      <c r="A76" s="433" t="str">
        <f ca="1">Translations!A26</f>
        <v xml:space="preserve">Numéro de l'objectif </v>
      </c>
      <c r="B76" s="433"/>
      <c r="C76" s="433"/>
      <c r="D76" s="433"/>
      <c r="E76" s="434" t="str">
        <f ca="1">Translations!A27</f>
        <v>Description de l'objectif</v>
      </c>
      <c r="F76" s="435" t="s">
        <v>201</v>
      </c>
      <c r="G76" s="435" t="s">
        <v>46</v>
      </c>
      <c r="H76" s="435" t="s">
        <v>48</v>
      </c>
      <c r="I76" s="83"/>
      <c r="J76" s="50"/>
      <c r="K76" s="83"/>
      <c r="L76" s="47"/>
      <c r="M76" s="47"/>
      <c r="N76" s="47"/>
      <c r="O76" s="47"/>
      <c r="P76" s="47"/>
      <c r="Q76" s="47"/>
      <c r="R76" s="47"/>
      <c r="S76" s="47"/>
      <c r="T76" s="47"/>
      <c r="U76" s="47"/>
      <c r="V76" s="51"/>
      <c r="W76" s="34"/>
      <c r="Y76" s="556"/>
    </row>
    <row r="77" spans="1:50" ht="47.1" hidden="1" customHeight="1" x14ac:dyDescent="0.3">
      <c r="A77" s="135" t="s">
        <v>64</v>
      </c>
      <c r="B77" s="135"/>
      <c r="C77" s="135"/>
      <c r="D77" s="135"/>
      <c r="E77" s="436" t="s">
        <v>54</v>
      </c>
      <c r="F77" s="437" t="s">
        <v>47</v>
      </c>
      <c r="G77" s="437" t="b">
        <f>IFERROR(IF(E77&lt;&gt;"",TRUE,FALSE),FALSE)</f>
        <v>1</v>
      </c>
      <c r="H77" s="437" t="s">
        <v>47</v>
      </c>
      <c r="I77" s="84"/>
      <c r="J77" s="85"/>
      <c r="K77" s="84"/>
      <c r="L77" s="17"/>
      <c r="M77" s="17"/>
      <c r="N77" s="17"/>
      <c r="O77" s="17"/>
      <c r="P77" s="17"/>
      <c r="Q77" s="17"/>
      <c r="R77" s="17"/>
      <c r="S77" s="17"/>
      <c r="T77" s="17"/>
      <c r="U77" s="17"/>
      <c r="V77" s="58"/>
      <c r="Y77" s="556"/>
    </row>
    <row r="78" spans="1:50" ht="47.1" customHeight="1" x14ac:dyDescent="0.3">
      <c r="A78" s="135">
        <v>1</v>
      </c>
      <c r="B78" s="135"/>
      <c r="C78" s="135"/>
      <c r="D78" s="135"/>
      <c r="E78" s="511" t="s">
        <v>8016</v>
      </c>
      <c r="F78" s="437" t="s">
        <v>1356</v>
      </c>
      <c r="G78" s="437" t="b">
        <f t="shared" ref="G78:G89" si="10">IFERROR(IF(E78&lt;&gt;"",TRUE,FALSE),FALSE)</f>
        <v>1</v>
      </c>
      <c r="H78" s="437" t="s">
        <v>1372</v>
      </c>
      <c r="I78" s="84"/>
      <c r="J78" s="85"/>
      <c r="K78" s="84"/>
      <c r="L78" s="17"/>
      <c r="M78" s="17"/>
      <c r="N78" s="17"/>
      <c r="O78" s="17"/>
      <c r="P78" s="17"/>
      <c r="Q78" s="17"/>
      <c r="R78" s="17"/>
      <c r="S78" s="17"/>
      <c r="T78" s="17"/>
      <c r="U78" s="17"/>
      <c r="V78" s="58"/>
      <c r="Y78" s="556"/>
    </row>
    <row r="79" spans="1:50" ht="47.1" customHeight="1" x14ac:dyDescent="0.3">
      <c r="A79" s="135">
        <v>2</v>
      </c>
      <c r="B79" s="135"/>
      <c r="C79" s="135"/>
      <c r="D79" s="135"/>
      <c r="E79" s="511" t="s">
        <v>8017</v>
      </c>
      <c r="F79" s="437" t="s">
        <v>1356</v>
      </c>
      <c r="G79" s="437" t="b">
        <f t="shared" si="10"/>
        <v>1</v>
      </c>
      <c r="H79" s="437" t="s">
        <v>1373</v>
      </c>
      <c r="I79" s="84"/>
      <c r="J79" s="85"/>
      <c r="K79" s="84"/>
      <c r="L79" s="17"/>
      <c r="M79" s="17"/>
      <c r="N79" s="17"/>
      <c r="O79" s="17"/>
      <c r="P79" s="17"/>
      <c r="Q79" s="17"/>
      <c r="R79" s="17"/>
      <c r="S79" s="17"/>
      <c r="T79" s="17"/>
      <c r="U79" s="17"/>
      <c r="V79" s="58"/>
      <c r="Y79" s="556"/>
    </row>
    <row r="80" spans="1:50" ht="47.1" customHeight="1" x14ac:dyDescent="0.3">
      <c r="A80" s="135">
        <v>3</v>
      </c>
      <c r="B80" s="135"/>
      <c r="C80" s="135"/>
      <c r="D80" s="135"/>
      <c r="E80" s="511" t="s">
        <v>8018</v>
      </c>
      <c r="F80" s="437" t="s">
        <v>1356</v>
      </c>
      <c r="G80" s="437" t="b">
        <f t="shared" si="10"/>
        <v>1</v>
      </c>
      <c r="H80" s="437" t="s">
        <v>1374</v>
      </c>
      <c r="I80" s="84"/>
      <c r="J80" s="85"/>
      <c r="K80" s="84"/>
      <c r="L80" s="17"/>
      <c r="M80" s="17"/>
      <c r="N80" s="17"/>
      <c r="O80" s="17"/>
      <c r="P80" s="17"/>
      <c r="Q80" s="17"/>
      <c r="R80" s="17"/>
      <c r="S80" s="17"/>
      <c r="T80" s="17"/>
      <c r="U80" s="17"/>
      <c r="V80" s="58"/>
      <c r="Y80" s="556"/>
    </row>
    <row r="81" spans="1:25" ht="47.1" customHeight="1" x14ac:dyDescent="0.3">
      <c r="A81" s="135">
        <v>4</v>
      </c>
      <c r="B81" s="135"/>
      <c r="C81" s="135"/>
      <c r="D81" s="135"/>
      <c r="E81" s="511" t="s">
        <v>8019</v>
      </c>
      <c r="F81" s="437" t="s">
        <v>1356</v>
      </c>
      <c r="G81" s="437" t="b">
        <f t="shared" si="10"/>
        <v>1</v>
      </c>
      <c r="H81" s="437" t="s">
        <v>1375</v>
      </c>
      <c r="I81" s="84"/>
      <c r="J81" s="85"/>
      <c r="K81" s="84"/>
      <c r="L81" s="17"/>
      <c r="M81" s="17"/>
      <c r="N81" s="17"/>
      <c r="O81" s="17"/>
      <c r="P81" s="17"/>
      <c r="Q81" s="17"/>
      <c r="R81" s="17"/>
      <c r="S81" s="17"/>
      <c r="T81" s="17"/>
      <c r="U81" s="17"/>
      <c r="V81" s="58"/>
      <c r="Y81" s="556"/>
    </row>
    <row r="82" spans="1:25" ht="47.1" customHeight="1" x14ac:dyDescent="0.3">
      <c r="A82" s="135">
        <v>5</v>
      </c>
      <c r="B82" s="135"/>
      <c r="C82" s="135"/>
      <c r="D82" s="135"/>
      <c r="E82" s="436"/>
      <c r="F82" s="437" t="s">
        <v>1356</v>
      </c>
      <c r="G82" s="437" t="b">
        <f t="shared" si="10"/>
        <v>0</v>
      </c>
      <c r="H82" s="437" t="s">
        <v>1376</v>
      </c>
      <c r="I82" s="84"/>
      <c r="J82" s="85"/>
      <c r="K82" s="84"/>
      <c r="L82" s="17"/>
      <c r="M82" s="17"/>
      <c r="N82" s="17"/>
      <c r="O82" s="17"/>
      <c r="P82" s="17"/>
      <c r="Q82" s="17"/>
      <c r="R82" s="17"/>
      <c r="S82" s="17"/>
      <c r="T82" s="17"/>
      <c r="U82" s="17"/>
      <c r="V82" s="58"/>
      <c r="Y82" s="556"/>
    </row>
    <row r="83" spans="1:25" ht="47.1" customHeight="1" x14ac:dyDescent="0.3">
      <c r="A83" s="135">
        <v>6</v>
      </c>
      <c r="B83" s="135"/>
      <c r="C83" s="135"/>
      <c r="D83" s="135"/>
      <c r="E83" s="436"/>
      <c r="F83" s="437" t="s">
        <v>1356</v>
      </c>
      <c r="G83" s="437" t="b">
        <f t="shared" si="10"/>
        <v>0</v>
      </c>
      <c r="H83" s="437" t="s">
        <v>1377</v>
      </c>
      <c r="I83" s="84"/>
      <c r="J83" s="85"/>
      <c r="K83" s="84"/>
      <c r="L83" s="17"/>
      <c r="M83" s="17"/>
      <c r="N83" s="17"/>
      <c r="O83" s="17"/>
      <c r="P83" s="17"/>
      <c r="Q83" s="17"/>
      <c r="R83" s="17"/>
      <c r="S83" s="17"/>
      <c r="T83" s="17"/>
      <c r="U83" s="17"/>
      <c r="V83" s="58"/>
      <c r="Y83" s="556"/>
    </row>
    <row r="84" spans="1:25" ht="47.1" customHeight="1" x14ac:dyDescent="0.3">
      <c r="A84" s="135">
        <v>7</v>
      </c>
      <c r="B84" s="135"/>
      <c r="C84" s="135"/>
      <c r="D84" s="135"/>
      <c r="E84" s="436"/>
      <c r="F84" s="437" t="s">
        <v>1356</v>
      </c>
      <c r="G84" s="437" t="b">
        <f t="shared" si="10"/>
        <v>0</v>
      </c>
      <c r="H84" s="437" t="s">
        <v>1378</v>
      </c>
      <c r="I84" s="84"/>
      <c r="J84" s="85"/>
      <c r="K84" s="84"/>
      <c r="L84" s="17"/>
      <c r="M84" s="17"/>
      <c r="N84" s="17"/>
      <c r="O84" s="17"/>
      <c r="P84" s="17"/>
      <c r="Q84" s="17"/>
      <c r="R84" s="17"/>
      <c r="S84" s="17"/>
      <c r="T84" s="17"/>
      <c r="U84" s="17"/>
      <c r="V84" s="58"/>
      <c r="Y84" s="556"/>
    </row>
    <row r="85" spans="1:25" ht="47.1" customHeight="1" x14ac:dyDescent="0.3">
      <c r="A85" s="135">
        <v>8</v>
      </c>
      <c r="B85" s="135"/>
      <c r="C85" s="135"/>
      <c r="D85" s="135"/>
      <c r="E85" s="436"/>
      <c r="F85" s="437" t="s">
        <v>1356</v>
      </c>
      <c r="G85" s="437" t="b">
        <f t="shared" si="10"/>
        <v>0</v>
      </c>
      <c r="H85" s="437" t="s">
        <v>1379</v>
      </c>
      <c r="I85" s="84"/>
      <c r="J85" s="85"/>
      <c r="K85" s="84"/>
      <c r="L85" s="17"/>
      <c r="M85" s="17"/>
      <c r="N85" s="17"/>
      <c r="O85" s="17"/>
      <c r="P85" s="17"/>
      <c r="Q85" s="17"/>
      <c r="R85" s="17"/>
      <c r="S85" s="17"/>
      <c r="T85" s="17"/>
      <c r="U85" s="17"/>
      <c r="V85" s="58"/>
      <c r="Y85" s="556"/>
    </row>
    <row r="86" spans="1:25" ht="47.1" customHeight="1" x14ac:dyDescent="0.3">
      <c r="A86" s="135">
        <v>9</v>
      </c>
      <c r="B86" s="135"/>
      <c r="C86" s="135"/>
      <c r="D86" s="135"/>
      <c r="E86" s="436"/>
      <c r="F86" s="437" t="s">
        <v>1356</v>
      </c>
      <c r="G86" s="437" t="b">
        <f t="shared" si="10"/>
        <v>0</v>
      </c>
      <c r="H86" s="437" t="s">
        <v>1380</v>
      </c>
      <c r="I86" s="84"/>
      <c r="J86" s="85"/>
      <c r="K86" s="84"/>
      <c r="L86" s="17"/>
      <c r="M86" s="17"/>
      <c r="N86" s="17"/>
      <c r="O86" s="17"/>
      <c r="P86" s="17"/>
      <c r="Q86" s="17"/>
      <c r="R86" s="17"/>
      <c r="S86" s="17"/>
      <c r="T86" s="17"/>
      <c r="U86" s="17"/>
      <c r="V86" s="58"/>
      <c r="Y86" s="556"/>
    </row>
    <row r="87" spans="1:25" ht="47.1" customHeight="1" x14ac:dyDescent="0.3">
      <c r="A87" s="135">
        <v>10</v>
      </c>
      <c r="B87" s="135"/>
      <c r="C87" s="135"/>
      <c r="D87" s="135"/>
      <c r="E87" s="436"/>
      <c r="F87" s="437" t="s">
        <v>1356</v>
      </c>
      <c r="G87" s="437" t="b">
        <f t="shared" si="10"/>
        <v>0</v>
      </c>
      <c r="H87" s="437" t="s">
        <v>1381</v>
      </c>
      <c r="I87" s="84"/>
      <c r="J87" s="85"/>
      <c r="K87" s="84"/>
      <c r="L87" s="17"/>
      <c r="M87" s="17"/>
      <c r="N87" s="17"/>
      <c r="O87" s="17"/>
      <c r="P87" s="17"/>
      <c r="Q87" s="17"/>
      <c r="R87" s="17"/>
      <c r="S87" s="17"/>
      <c r="T87" s="17"/>
      <c r="U87" s="17"/>
      <c r="V87" s="58"/>
      <c r="Y87" s="556"/>
    </row>
    <row r="88" spans="1:25" ht="47.1" customHeight="1" x14ac:dyDescent="0.3">
      <c r="A88" s="135">
        <v>11</v>
      </c>
      <c r="B88" s="135"/>
      <c r="C88" s="135"/>
      <c r="D88" s="135"/>
      <c r="E88" s="436"/>
      <c r="F88" s="437" t="s">
        <v>1356</v>
      </c>
      <c r="G88" s="437" t="b">
        <f t="shared" si="10"/>
        <v>0</v>
      </c>
      <c r="H88" s="437" t="s">
        <v>1382</v>
      </c>
      <c r="I88" s="84"/>
      <c r="J88" s="85"/>
      <c r="K88" s="84"/>
      <c r="L88" s="17"/>
      <c r="M88" s="17"/>
      <c r="N88" s="17"/>
      <c r="O88" s="17"/>
      <c r="P88" s="17"/>
      <c r="Q88" s="17"/>
      <c r="R88" s="17"/>
      <c r="S88" s="17"/>
      <c r="T88" s="17"/>
      <c r="U88" s="17"/>
      <c r="V88" s="58"/>
      <c r="Y88" s="556"/>
    </row>
    <row r="89" spans="1:25" ht="47.1" customHeight="1" x14ac:dyDescent="0.3">
      <c r="A89" s="135">
        <v>12</v>
      </c>
      <c r="B89" s="135"/>
      <c r="C89" s="135"/>
      <c r="D89" s="135"/>
      <c r="E89" s="436"/>
      <c r="F89" s="437" t="s">
        <v>1356</v>
      </c>
      <c r="G89" s="437" t="b">
        <f t="shared" si="10"/>
        <v>0</v>
      </c>
      <c r="H89" s="437" t="s">
        <v>1383</v>
      </c>
      <c r="I89" s="84"/>
      <c r="J89" s="85"/>
      <c r="K89" s="84"/>
      <c r="L89" s="17"/>
      <c r="M89" s="17"/>
      <c r="N89" s="17"/>
      <c r="O89" s="17"/>
      <c r="P89" s="17"/>
      <c r="Q89" s="17"/>
      <c r="R89" s="17"/>
      <c r="S89" s="17"/>
      <c r="T89" s="17"/>
      <c r="U89" s="17"/>
      <c r="V89" s="58"/>
      <c r="Y89" s="556"/>
    </row>
    <row r="90" spans="1:25" ht="2.85" customHeight="1" thickBot="1" x14ac:dyDescent="0.35">
      <c r="A90" s="25"/>
      <c r="B90" s="26"/>
      <c r="C90" s="26"/>
      <c r="D90" s="26"/>
      <c r="E90" s="26"/>
      <c r="F90" s="26"/>
      <c r="G90" s="26"/>
      <c r="H90" s="26"/>
      <c r="I90" s="26"/>
      <c r="J90" s="23"/>
      <c r="K90" s="22"/>
      <c r="L90" s="17"/>
      <c r="M90" s="17"/>
      <c r="N90" s="17"/>
      <c r="O90" s="17"/>
      <c r="P90" s="17"/>
      <c r="Q90" s="17"/>
      <c r="R90" s="17"/>
      <c r="S90" s="17"/>
      <c r="T90" s="17"/>
      <c r="U90" s="17"/>
      <c r="V90" s="58"/>
      <c r="Y90" s="556"/>
    </row>
    <row r="91" spans="1:25" ht="35.25" customHeight="1" x14ac:dyDescent="0.3">
      <c r="L91" s="17"/>
      <c r="M91" s="17"/>
      <c r="N91" s="17"/>
      <c r="O91" s="17"/>
      <c r="P91" s="17"/>
      <c r="Q91" s="17"/>
      <c r="R91" s="17"/>
      <c r="S91" s="17"/>
      <c r="T91" s="17"/>
      <c r="U91" s="17"/>
      <c r="V91" s="58"/>
      <c r="Y91" s="556"/>
    </row>
    <row r="92" spans="1:25" ht="35.25" hidden="1" customHeight="1" x14ac:dyDescent="0.3">
      <c r="L92" s="17"/>
      <c r="M92" s="17"/>
      <c r="N92" s="17"/>
      <c r="O92" s="17"/>
      <c r="P92" s="17"/>
      <c r="Q92" s="17"/>
      <c r="R92" s="17"/>
      <c r="S92" s="17"/>
      <c r="T92" s="17"/>
      <c r="U92" s="17"/>
      <c r="V92" s="58"/>
    </row>
    <row r="93" spans="1:25" ht="35.25" hidden="1" customHeight="1" x14ac:dyDescent="0.3">
      <c r="L93" s="17"/>
      <c r="M93" s="17"/>
      <c r="N93" s="17"/>
      <c r="O93" s="17"/>
      <c r="P93" s="17"/>
      <c r="Q93" s="17"/>
      <c r="R93" s="17"/>
      <c r="S93" s="17"/>
      <c r="T93" s="17"/>
      <c r="U93" s="17"/>
      <c r="V93" s="58"/>
    </row>
    <row r="94" spans="1:25" ht="35.25" hidden="1" customHeight="1" x14ac:dyDescent="0.3">
      <c r="L94" s="17"/>
      <c r="M94" s="17"/>
      <c r="N94" s="17"/>
      <c r="O94" s="17"/>
      <c r="P94" s="17"/>
      <c r="Q94" s="17"/>
      <c r="R94" s="17"/>
      <c r="S94" s="17"/>
      <c r="T94" s="17"/>
      <c r="U94" s="17"/>
      <c r="V94" s="58"/>
    </row>
    <row r="95" spans="1:25" ht="35.25" hidden="1" customHeight="1" x14ac:dyDescent="0.3">
      <c r="L95" s="17"/>
      <c r="M95" s="17"/>
      <c r="N95" s="17"/>
      <c r="O95" s="17"/>
      <c r="P95" s="17"/>
      <c r="Q95" s="17"/>
      <c r="R95" s="17"/>
      <c r="S95" s="17"/>
      <c r="T95" s="17"/>
      <c r="U95" s="17"/>
      <c r="V95" s="58"/>
    </row>
    <row r="96" spans="1:25" ht="17.25" hidden="1" customHeight="1" x14ac:dyDescent="0.3">
      <c r="L96" s="17"/>
      <c r="M96" s="17"/>
      <c r="N96" s="17"/>
      <c r="O96" s="17"/>
      <c r="P96" s="17"/>
      <c r="Q96" s="17"/>
      <c r="R96" s="17"/>
      <c r="S96" s="17"/>
      <c r="T96" s="17"/>
      <c r="U96" s="17"/>
      <c r="V96" s="58"/>
    </row>
    <row r="97" spans="1:45" ht="21.75" hidden="1" customHeight="1" x14ac:dyDescent="0.3">
      <c r="L97" s="17"/>
      <c r="M97" s="17"/>
      <c r="N97" s="17"/>
      <c r="O97" s="17"/>
      <c r="P97" s="17"/>
      <c r="Q97" s="17"/>
      <c r="R97" s="17"/>
      <c r="S97" s="17"/>
      <c r="T97" s="17"/>
      <c r="U97" s="17"/>
      <c r="V97" s="58"/>
    </row>
    <row r="98" spans="1:45" ht="29.25" customHeight="1" thickBot="1" x14ac:dyDescent="0.35">
      <c r="L98" s="17"/>
      <c r="M98" s="17"/>
      <c r="N98" s="17"/>
      <c r="O98" s="17"/>
      <c r="P98" s="17"/>
      <c r="Q98" s="17"/>
      <c r="R98" s="17"/>
      <c r="S98" s="17"/>
      <c r="T98" s="17"/>
      <c r="U98" s="17"/>
      <c r="V98" s="58"/>
    </row>
    <row r="99" spans="1:45" ht="29.25" customHeight="1" thickBot="1" x14ac:dyDescent="0.35">
      <c r="A99" s="559" t="str">
        <f ca="1">Translations!A28</f>
        <v>Modules</v>
      </c>
      <c r="B99" s="558"/>
      <c r="C99" s="558"/>
      <c r="D99" s="558"/>
      <c r="E99" s="560"/>
      <c r="F99" s="102"/>
      <c r="G99" s="102"/>
      <c r="H99" s="102"/>
      <c r="I99" s="102"/>
      <c r="J99" s="103"/>
      <c r="K99" s="82"/>
      <c r="L99" s="46"/>
      <c r="M99" s="46"/>
      <c r="N99" s="46"/>
      <c r="O99" s="46"/>
      <c r="P99" s="46"/>
      <c r="Q99" s="46"/>
      <c r="R99" s="46"/>
      <c r="S99" s="46"/>
      <c r="T99" s="46"/>
      <c r="U99" s="46"/>
      <c r="V99" s="49"/>
    </row>
    <row r="100" spans="1:45" ht="26.25" customHeight="1" x14ac:dyDescent="0.3">
      <c r="A100" s="433" t="str">
        <f ca="1">Translations!A29</f>
        <v>Numéro du module</v>
      </c>
      <c r="B100" s="433"/>
      <c r="C100" s="438" t="s">
        <v>407</v>
      </c>
      <c r="D100" s="439" t="s">
        <v>70</v>
      </c>
      <c r="E100" s="433" t="str">
        <f ca="1">Translations!A30</f>
        <v>Nom du module</v>
      </c>
      <c r="F100" s="440" t="s">
        <v>140</v>
      </c>
      <c r="G100" s="440" t="s">
        <v>46</v>
      </c>
      <c r="H100" s="440" t="s">
        <v>48</v>
      </c>
      <c r="I100" s="441" t="s">
        <v>78</v>
      </c>
      <c r="J100" s="441" t="s">
        <v>201</v>
      </c>
      <c r="L100" s="47"/>
      <c r="M100" s="47"/>
      <c r="N100" s="47"/>
      <c r="O100" s="47"/>
      <c r="P100" s="47"/>
      <c r="Q100" s="47"/>
      <c r="R100" s="47"/>
      <c r="S100" s="47"/>
      <c r="T100" s="47"/>
      <c r="U100" s="47"/>
      <c r="V100" s="51"/>
    </row>
    <row r="101" spans="1:45" ht="47.1" hidden="1" customHeight="1" x14ac:dyDescent="0.3">
      <c r="A101" s="135" t="s">
        <v>65</v>
      </c>
      <c r="B101" s="135"/>
      <c r="C101" s="438" t="str">
        <f>IF(ISNUMBER(A101),IF(E101="","--select--",E101),"")</f>
        <v/>
      </c>
      <c r="D101" s="442" t="s">
        <v>406</v>
      </c>
      <c r="E101" s="443" t="str">
        <f>IFERROR(IF(F101="[Module Reference (Name)]","--Select--",VLOOKUP(F101,'Reference records(soft deleted)'!$B$87:$D$154,3,FALSE)),"")</f>
        <v>--Select--</v>
      </c>
      <c r="F101" s="444" t="s">
        <v>139</v>
      </c>
      <c r="G101" s="444" t="b">
        <f>IFERROR(IF(E101&lt;&gt;"",TRUE,FALSE),FALSE)</f>
        <v>1</v>
      </c>
      <c r="H101" s="445" t="s">
        <v>47</v>
      </c>
      <c r="I101" s="445" t="str">
        <f>IFERROR(VLOOKUP(E101,'Reference records(soft deleted)'!D$87:F$154,3,FALSE),"")</f>
        <v/>
      </c>
      <c r="J101" s="444" t="s">
        <v>47</v>
      </c>
      <c r="L101" s="17"/>
      <c r="M101" s="17"/>
      <c r="N101" s="17"/>
      <c r="O101" s="17"/>
      <c r="P101" s="17"/>
      <c r="Q101" s="17"/>
      <c r="R101" s="17"/>
      <c r="S101" s="17"/>
      <c r="T101" s="17"/>
      <c r="U101" s="17"/>
      <c r="V101" s="58"/>
      <c r="Y101" s="55"/>
      <c r="AS101" s="5"/>
    </row>
    <row r="102" spans="1:45" ht="47.1" customHeight="1" x14ac:dyDescent="0.3">
      <c r="A102" s="135">
        <v>1</v>
      </c>
      <c r="B102" s="135"/>
      <c r="C102" s="438" t="str">
        <f t="shared" ref="C102:C116" si="11">IF(ISNUMBER(A102),IF(E102="","--select--",E102),"")</f>
        <v>Prévention</v>
      </c>
      <c r="D102" s="442" t="s">
        <v>1384</v>
      </c>
      <c r="E102" s="443" t="s">
        <v>3050</v>
      </c>
      <c r="F102" s="444"/>
      <c r="G102" s="444" t="b">
        <f t="shared" ref="G102:G116" si="12">IFERROR(IF(E102&lt;&gt;"",TRUE,FALSE),FALSE)</f>
        <v>1</v>
      </c>
      <c r="H102" s="445" t="s">
        <v>1385</v>
      </c>
      <c r="I102" s="445" t="str">
        <f>IFERROR(VLOOKUP(E102,'Reference records(soft deleted)'!D$87:F$154,3,FALSE),"")</f>
        <v>a1O1R000006c5MZUAY</v>
      </c>
      <c r="J102" s="444" t="s">
        <v>1356</v>
      </c>
      <c r="L102" s="17"/>
      <c r="M102" s="17"/>
      <c r="N102" s="17"/>
      <c r="O102" s="17"/>
      <c r="P102" s="17"/>
      <c r="Q102" s="17"/>
      <c r="R102" s="17"/>
      <c r="S102" s="17"/>
      <c r="T102" s="17"/>
      <c r="U102" s="17"/>
      <c r="V102" s="58"/>
      <c r="Y102" s="430"/>
      <c r="AS102" s="5"/>
    </row>
    <row r="103" spans="1:45" ht="47.1" customHeight="1" x14ac:dyDescent="0.3">
      <c r="A103" s="135">
        <v>2</v>
      </c>
      <c r="B103" s="135"/>
      <c r="C103" s="438" t="str">
        <f t="shared" si="11"/>
        <v>Réduction des obstacles liés aux droits humains qui entravent l’accès aux services de lutte contre le VIH/la tuberculose</v>
      </c>
      <c r="D103" s="442" t="s">
        <v>1386</v>
      </c>
      <c r="E103" s="443" t="s">
        <v>3066</v>
      </c>
      <c r="F103" s="444"/>
      <c r="G103" s="444" t="b">
        <f t="shared" si="12"/>
        <v>1</v>
      </c>
      <c r="H103" s="445" t="s">
        <v>1387</v>
      </c>
      <c r="I103" s="445" t="str">
        <f>IFERROR(VLOOKUP(E103,'Reference records(soft deleted)'!D$87:F$154,3,FALSE),"")</f>
        <v>a1O1R000006c5MdUAI</v>
      </c>
      <c r="J103" s="444" t="s">
        <v>1356</v>
      </c>
      <c r="L103" s="17"/>
      <c r="M103" s="17"/>
      <c r="N103" s="17"/>
      <c r="O103" s="17"/>
      <c r="P103" s="17"/>
      <c r="Q103" s="17"/>
      <c r="R103" s="17"/>
      <c r="S103" s="17"/>
      <c r="T103" s="17"/>
      <c r="U103" s="17"/>
      <c r="V103" s="58"/>
      <c r="Y103" s="430"/>
      <c r="AS103" s="5"/>
    </row>
    <row r="104" spans="1:45" ht="47.1" customHeight="1" x14ac:dyDescent="0.3">
      <c r="A104" s="135">
        <v>3</v>
      </c>
      <c r="B104" s="135"/>
      <c r="C104" s="438" t="str">
        <f t="shared" si="11"/>
        <v>PTME</v>
      </c>
      <c r="D104" s="442" t="s">
        <v>1388</v>
      </c>
      <c r="E104" s="443" t="s">
        <v>3043</v>
      </c>
      <c r="F104" s="444"/>
      <c r="G104" s="444" t="b">
        <f t="shared" si="12"/>
        <v>1</v>
      </c>
      <c r="H104" s="445" t="s">
        <v>1389</v>
      </c>
      <c r="I104" s="445" t="str">
        <f>IFERROR(VLOOKUP(E104,'Reference records(soft deleted)'!D$87:F$154,3,FALSE),"")</f>
        <v>a1O1R000006c5MaUAI</v>
      </c>
      <c r="J104" s="444" t="s">
        <v>1356</v>
      </c>
      <c r="L104" s="17"/>
      <c r="M104" s="17"/>
      <c r="N104" s="17"/>
      <c r="O104" s="17"/>
      <c r="P104" s="17"/>
      <c r="Q104" s="17"/>
      <c r="R104" s="17"/>
      <c r="S104" s="17"/>
      <c r="T104" s="17"/>
      <c r="U104" s="17"/>
      <c r="V104" s="58"/>
      <c r="Y104" s="430"/>
      <c r="AS104" s="5"/>
    </row>
    <row r="105" spans="1:45" ht="47.1" customHeight="1" x14ac:dyDescent="0.3">
      <c r="A105" s="135">
        <v>4</v>
      </c>
      <c r="B105" s="135"/>
      <c r="C105" s="438" t="str">
        <f t="shared" si="11"/>
        <v>Traitement, prise en charge et soutien</v>
      </c>
      <c r="D105" s="442" t="s">
        <v>1390</v>
      </c>
      <c r="E105" s="443" t="s">
        <v>3152</v>
      </c>
      <c r="F105" s="444"/>
      <c r="G105" s="444" t="b">
        <f t="shared" si="12"/>
        <v>1</v>
      </c>
      <c r="H105" s="445" t="s">
        <v>1391</v>
      </c>
      <c r="I105" s="445" t="str">
        <f>IFERROR(VLOOKUP(E105,'Reference records(soft deleted)'!D$87:F$154,3,FALSE),"")</f>
        <v>a1O1R000006c5McUAI</v>
      </c>
      <c r="J105" s="444" t="s">
        <v>1356</v>
      </c>
      <c r="L105" s="17"/>
      <c r="M105" s="17"/>
      <c r="N105" s="17"/>
      <c r="O105" s="17"/>
      <c r="P105" s="17"/>
      <c r="Q105" s="17"/>
      <c r="R105" s="17"/>
      <c r="S105" s="17"/>
      <c r="T105" s="17"/>
      <c r="U105" s="17"/>
      <c r="V105" s="58"/>
      <c r="Y105" s="430"/>
      <c r="AS105" s="5"/>
    </row>
    <row r="106" spans="1:45" ht="47.1" customHeight="1" x14ac:dyDescent="0.3">
      <c r="A106" s="135">
        <v>5</v>
      </c>
      <c r="B106" s="135"/>
      <c r="C106" s="438" t="str">
        <f t="shared" si="11"/>
        <v>Gestion de programme</v>
      </c>
      <c r="D106" s="442" t="s">
        <v>1392</v>
      </c>
      <c r="E106" s="443" t="s">
        <v>3057</v>
      </c>
      <c r="F106" s="444"/>
      <c r="G106" s="444" t="b">
        <f t="shared" si="12"/>
        <v>1</v>
      </c>
      <c r="H106" s="445" t="s">
        <v>1393</v>
      </c>
      <c r="I106" s="445" t="str">
        <f>IFERROR(VLOOKUP(E106,'Reference records(soft deleted)'!D$87:F$154,3,FALSE),"")</f>
        <v>a1O1R000006c5MlUAI</v>
      </c>
      <c r="J106" s="444" t="s">
        <v>1356</v>
      </c>
      <c r="L106" s="17"/>
      <c r="M106" s="17"/>
      <c r="N106" s="17"/>
      <c r="O106" s="17"/>
      <c r="P106" s="17"/>
      <c r="Q106" s="17"/>
      <c r="R106" s="17"/>
      <c r="S106" s="17"/>
      <c r="T106" s="17"/>
      <c r="U106" s="17"/>
      <c r="V106" s="58"/>
      <c r="Y106" s="430"/>
      <c r="AS106" s="5"/>
    </row>
    <row r="107" spans="1:45" ht="47.1" customHeight="1" x14ac:dyDescent="0.3">
      <c r="A107" s="135">
        <v>6</v>
      </c>
      <c r="B107" s="135"/>
      <c r="C107" s="438" t="str">
        <f t="shared" si="11"/>
        <v>Services de dépistage différencié du VIH</v>
      </c>
      <c r="D107" s="442" t="s">
        <v>1394</v>
      </c>
      <c r="E107" s="443" t="s">
        <v>3027</v>
      </c>
      <c r="F107" s="444"/>
      <c r="G107" s="444" t="b">
        <f t="shared" si="12"/>
        <v>1</v>
      </c>
      <c r="H107" s="445" t="s">
        <v>1395</v>
      </c>
      <c r="I107" s="445" t="str">
        <f>IFERROR(VLOOKUP(E107,'Reference records(soft deleted)'!D$87:F$154,3,FALSE),"")</f>
        <v>a1O1R000006c5MbUAI</v>
      </c>
      <c r="J107" s="444" t="s">
        <v>1356</v>
      </c>
      <c r="L107" s="17"/>
      <c r="M107" s="17"/>
      <c r="N107" s="17"/>
      <c r="O107" s="17"/>
      <c r="P107" s="17"/>
      <c r="Q107" s="17"/>
      <c r="R107" s="17"/>
      <c r="S107" s="17"/>
      <c r="T107" s="17"/>
      <c r="U107" s="17"/>
      <c r="V107" s="58"/>
      <c r="Y107" s="430"/>
      <c r="AS107" s="5"/>
    </row>
    <row r="108" spans="1:45" ht="47.1" customHeight="1" x14ac:dyDescent="0.3">
      <c r="A108" s="135">
        <v>7</v>
      </c>
      <c r="B108" s="135"/>
      <c r="C108" s="438" t="str">
        <f t="shared" si="11"/>
        <v>Tuberculose/VIH</v>
      </c>
      <c r="D108" s="442" t="s">
        <v>1396</v>
      </c>
      <c r="E108" s="443" t="s">
        <v>3145</v>
      </c>
      <c r="F108" s="444"/>
      <c r="G108" s="444" t="b">
        <f t="shared" si="12"/>
        <v>1</v>
      </c>
      <c r="H108" s="445" t="s">
        <v>1397</v>
      </c>
      <c r="I108" s="445" t="str">
        <f>IFERROR(VLOOKUP(E108,'Reference records(soft deleted)'!D$87:F$154,3,FALSE),"")</f>
        <v>a1O1R000006c5MhUAI</v>
      </c>
      <c r="J108" s="444" t="s">
        <v>1356</v>
      </c>
      <c r="L108" s="17"/>
      <c r="M108" s="17"/>
      <c r="N108" s="17"/>
      <c r="O108" s="17"/>
      <c r="P108" s="17"/>
      <c r="Q108" s="17"/>
      <c r="R108" s="17"/>
      <c r="S108" s="17"/>
      <c r="T108" s="17"/>
      <c r="U108" s="17"/>
      <c r="V108" s="58"/>
      <c r="Y108" s="430"/>
      <c r="AS108" s="5"/>
    </row>
    <row r="109" spans="1:45" ht="47.1" customHeight="1" x14ac:dyDescent="0.3">
      <c r="A109" s="135">
        <v>8</v>
      </c>
      <c r="B109" s="135"/>
      <c r="C109" s="438" t="str">
        <f t="shared" si="11"/>
        <v>SRPS : Système de gestion de l’information sanitaire et suivi et évaluation</v>
      </c>
      <c r="D109" s="442" t="s">
        <v>1398</v>
      </c>
      <c r="E109" s="443" t="s">
        <v>3091</v>
      </c>
      <c r="F109" s="444"/>
      <c r="G109" s="444" t="b">
        <f t="shared" si="12"/>
        <v>1</v>
      </c>
      <c r="H109" s="445" t="s">
        <v>1399</v>
      </c>
      <c r="I109" s="445" t="str">
        <f>IFERROR(VLOOKUP(E109,'Reference records(soft deleted)'!D$87:F$154,3,FALSE),"")</f>
        <v>a1O1R000006c5MnUAI</v>
      </c>
      <c r="J109" s="444" t="s">
        <v>1356</v>
      </c>
      <c r="L109" s="17"/>
      <c r="M109" s="17"/>
      <c r="N109" s="17"/>
      <c r="O109" s="17"/>
      <c r="P109" s="17"/>
      <c r="Q109" s="17"/>
      <c r="R109" s="17"/>
      <c r="S109" s="17"/>
      <c r="T109" s="17"/>
      <c r="U109" s="17"/>
      <c r="V109" s="58"/>
      <c r="Y109" s="430"/>
      <c r="AS109" s="5"/>
    </row>
    <row r="110" spans="1:45" ht="47.1" customHeight="1" x14ac:dyDescent="0.3">
      <c r="A110" s="135">
        <v>9</v>
      </c>
      <c r="B110" s="135"/>
      <c r="C110" s="438" t="str">
        <f t="shared" si="11"/>
        <v>SRPS : Renforcement des systèmes communautaires</v>
      </c>
      <c r="D110" s="442" t="s">
        <v>1400</v>
      </c>
      <c r="E110" s="443" t="s">
        <v>3073</v>
      </c>
      <c r="F110" s="444"/>
      <c r="G110" s="444" t="b">
        <f t="shared" si="12"/>
        <v>1</v>
      </c>
      <c r="H110" s="445" t="s">
        <v>1401</v>
      </c>
      <c r="I110" s="445" t="str">
        <f>IFERROR(VLOOKUP(E110,'Reference records(soft deleted)'!D$87:F$154,3,FALSE),"")</f>
        <v>a1O1R000006c5MsUAI</v>
      </c>
      <c r="J110" s="444" t="s">
        <v>1356</v>
      </c>
      <c r="L110" s="17"/>
      <c r="M110" s="17"/>
      <c r="N110" s="17"/>
      <c r="O110" s="17"/>
      <c r="P110" s="17"/>
      <c r="Q110" s="17"/>
      <c r="R110" s="17"/>
      <c r="S110" s="17"/>
      <c r="T110" s="17"/>
      <c r="U110" s="17"/>
      <c r="V110" s="58"/>
      <c r="Y110" s="430"/>
      <c r="AS110" s="5"/>
    </row>
    <row r="111" spans="1:45" ht="47.1" customHeight="1" x14ac:dyDescent="0.3">
      <c r="A111" s="135">
        <v>10</v>
      </c>
      <c r="B111" s="135"/>
      <c r="C111" s="438" t="str">
        <f t="shared" si="11"/>
        <v>--select--</v>
      </c>
      <c r="D111" s="442" t="s">
        <v>1402</v>
      </c>
      <c r="E111" s="443" t="str">
        <f>IFERROR(IF(F111="[Module Reference (Name)]","--Select--",VLOOKUP(F111,'Reference records(soft deleted)'!$B$87:$D$154,3,FALSE)),"")</f>
        <v/>
      </c>
      <c r="F111" s="444"/>
      <c r="G111" s="444" t="b">
        <f t="shared" si="12"/>
        <v>0</v>
      </c>
      <c r="H111" s="445" t="s">
        <v>1403</v>
      </c>
      <c r="I111" s="445" t="str">
        <f>IFERROR(VLOOKUP(E111,'Reference records(soft deleted)'!D$87:F$154,3,FALSE),"")</f>
        <v/>
      </c>
      <c r="J111" s="444" t="s">
        <v>1356</v>
      </c>
      <c r="L111" s="17"/>
      <c r="M111" s="17"/>
      <c r="N111" s="17"/>
      <c r="O111" s="17"/>
      <c r="P111" s="17"/>
      <c r="Q111" s="17"/>
      <c r="R111" s="17"/>
      <c r="S111" s="17"/>
      <c r="T111" s="17"/>
      <c r="U111" s="17"/>
      <c r="V111" s="58"/>
      <c r="Y111" s="430"/>
      <c r="AS111" s="5"/>
    </row>
    <row r="112" spans="1:45" ht="47.1" customHeight="1" x14ac:dyDescent="0.3">
      <c r="A112" s="135">
        <v>11</v>
      </c>
      <c r="B112" s="135"/>
      <c r="C112" s="438" t="str">
        <f t="shared" si="11"/>
        <v>--select--</v>
      </c>
      <c r="D112" s="442" t="s">
        <v>1404</v>
      </c>
      <c r="E112" s="443" t="str">
        <f>IFERROR(IF(F112="[Module Reference (Name)]","--Select--",VLOOKUP(F112,'Reference records(soft deleted)'!$B$87:$D$154,3,FALSE)),"")</f>
        <v/>
      </c>
      <c r="F112" s="444"/>
      <c r="G112" s="444" t="b">
        <f t="shared" si="12"/>
        <v>0</v>
      </c>
      <c r="H112" s="445" t="s">
        <v>1405</v>
      </c>
      <c r="I112" s="445" t="str">
        <f>IFERROR(VLOOKUP(E112,'Reference records(soft deleted)'!D$87:F$154,3,FALSE),"")</f>
        <v/>
      </c>
      <c r="J112" s="444" t="s">
        <v>1356</v>
      </c>
      <c r="L112" s="17"/>
      <c r="M112" s="17"/>
      <c r="N112" s="17"/>
      <c r="O112" s="17"/>
      <c r="P112" s="17"/>
      <c r="Q112" s="17"/>
      <c r="R112" s="17"/>
      <c r="S112" s="17"/>
      <c r="T112" s="17"/>
      <c r="U112" s="17"/>
      <c r="V112" s="58"/>
      <c r="Y112" s="430"/>
      <c r="AS112" s="5"/>
    </row>
    <row r="113" spans="1:45" ht="47.1" customHeight="1" x14ac:dyDescent="0.3">
      <c r="A113" s="135">
        <v>12</v>
      </c>
      <c r="B113" s="135"/>
      <c r="C113" s="438" t="str">
        <f t="shared" si="11"/>
        <v>--select--</v>
      </c>
      <c r="D113" s="442" t="s">
        <v>1406</v>
      </c>
      <c r="E113" s="443" t="str">
        <f>IFERROR(IF(F113="[Module Reference (Name)]","--Select--",VLOOKUP(F113,'Reference records(soft deleted)'!$B$87:$D$154,3,FALSE)),"")</f>
        <v/>
      </c>
      <c r="F113" s="444"/>
      <c r="G113" s="444" t="b">
        <f t="shared" si="12"/>
        <v>0</v>
      </c>
      <c r="H113" s="445" t="s">
        <v>1407</v>
      </c>
      <c r="I113" s="445" t="str">
        <f>IFERROR(VLOOKUP(E113,'Reference records(soft deleted)'!D$87:F$154,3,FALSE),"")</f>
        <v/>
      </c>
      <c r="J113" s="444" t="s">
        <v>1356</v>
      </c>
      <c r="L113" s="17"/>
      <c r="M113" s="17"/>
      <c r="N113" s="17"/>
      <c r="O113" s="17"/>
      <c r="P113" s="17"/>
      <c r="Q113" s="17"/>
      <c r="R113" s="17"/>
      <c r="S113" s="17"/>
      <c r="T113" s="17"/>
      <c r="U113" s="17"/>
      <c r="V113" s="58"/>
      <c r="Y113" s="430"/>
      <c r="AS113" s="5"/>
    </row>
    <row r="114" spans="1:45" ht="47.1" customHeight="1" x14ac:dyDescent="0.3">
      <c r="A114" s="135">
        <v>13</v>
      </c>
      <c r="B114" s="135"/>
      <c r="C114" s="438" t="str">
        <f t="shared" si="11"/>
        <v>--select--</v>
      </c>
      <c r="D114" s="442" t="s">
        <v>1408</v>
      </c>
      <c r="E114" s="443" t="str">
        <f>IFERROR(IF(F114="[Module Reference (Name)]","--Select--",VLOOKUP(F114,'Reference records(soft deleted)'!$B$87:$D$154,3,FALSE)),"")</f>
        <v/>
      </c>
      <c r="F114" s="444"/>
      <c r="G114" s="444" t="b">
        <f t="shared" si="12"/>
        <v>0</v>
      </c>
      <c r="H114" s="445" t="s">
        <v>1409</v>
      </c>
      <c r="I114" s="445" t="str">
        <f>IFERROR(VLOOKUP(E114,'Reference records(soft deleted)'!D$87:F$154,3,FALSE),"")</f>
        <v/>
      </c>
      <c r="J114" s="444" t="s">
        <v>1356</v>
      </c>
      <c r="L114" s="17"/>
      <c r="M114" s="17"/>
      <c r="N114" s="17"/>
      <c r="O114" s="17"/>
      <c r="P114" s="17"/>
      <c r="Q114" s="17"/>
      <c r="R114" s="17"/>
      <c r="S114" s="17"/>
      <c r="T114" s="17"/>
      <c r="U114" s="17"/>
      <c r="V114" s="58"/>
      <c r="Y114" s="430"/>
      <c r="AS114" s="5"/>
    </row>
    <row r="115" spans="1:45" ht="47.1" customHeight="1" x14ac:dyDescent="0.3">
      <c r="A115" s="135">
        <v>14</v>
      </c>
      <c r="B115" s="135"/>
      <c r="C115" s="438" t="str">
        <f t="shared" si="11"/>
        <v>--select--</v>
      </c>
      <c r="D115" s="442" t="s">
        <v>1410</v>
      </c>
      <c r="E115" s="443" t="str">
        <f>IFERROR(IF(F115="[Module Reference (Name)]","--Select--",VLOOKUP(F115,'Reference records(soft deleted)'!$B$87:$D$154,3,FALSE)),"")</f>
        <v/>
      </c>
      <c r="F115" s="444"/>
      <c r="G115" s="444" t="b">
        <f t="shared" si="12"/>
        <v>0</v>
      </c>
      <c r="H115" s="445" t="s">
        <v>1411</v>
      </c>
      <c r="I115" s="445" t="str">
        <f>IFERROR(VLOOKUP(E115,'Reference records(soft deleted)'!D$87:F$154,3,FALSE),"")</f>
        <v/>
      </c>
      <c r="J115" s="444" t="s">
        <v>1356</v>
      </c>
      <c r="L115" s="17"/>
      <c r="M115" s="17"/>
      <c r="N115" s="17"/>
      <c r="O115" s="17"/>
      <c r="P115" s="17"/>
      <c r="Q115" s="17"/>
      <c r="R115" s="17"/>
      <c r="S115" s="17"/>
      <c r="T115" s="17"/>
      <c r="U115" s="17"/>
      <c r="V115" s="58"/>
      <c r="Y115" s="430"/>
      <c r="AS115" s="5"/>
    </row>
    <row r="116" spans="1:45" ht="47.1" customHeight="1" x14ac:dyDescent="0.3">
      <c r="A116" s="135">
        <v>15</v>
      </c>
      <c r="B116" s="135"/>
      <c r="C116" s="438" t="str">
        <f t="shared" si="11"/>
        <v>--select--</v>
      </c>
      <c r="D116" s="442" t="s">
        <v>1412</v>
      </c>
      <c r="E116" s="443" t="str">
        <f>IFERROR(IF(F116="[Module Reference (Name)]","--Select--",VLOOKUP(F116,'Reference records(soft deleted)'!$B$87:$D$154,3,FALSE)),"")</f>
        <v/>
      </c>
      <c r="F116" s="444"/>
      <c r="G116" s="444" t="b">
        <f t="shared" si="12"/>
        <v>0</v>
      </c>
      <c r="H116" s="445" t="s">
        <v>1413</v>
      </c>
      <c r="I116" s="445" t="str">
        <f>IFERROR(VLOOKUP(E116,'Reference records(soft deleted)'!D$87:F$154,3,FALSE),"")</f>
        <v/>
      </c>
      <c r="J116" s="444" t="s">
        <v>1356</v>
      </c>
      <c r="L116" s="17"/>
      <c r="M116" s="17"/>
      <c r="N116" s="17"/>
      <c r="O116" s="17"/>
      <c r="P116" s="17"/>
      <c r="Q116" s="17"/>
      <c r="R116" s="17"/>
      <c r="S116" s="17"/>
      <c r="T116" s="17"/>
      <c r="U116" s="17"/>
      <c r="V116" s="58"/>
      <c r="Y116" s="430"/>
      <c r="AS116" s="5"/>
    </row>
    <row r="117" spans="1:45" ht="21" hidden="1" customHeight="1" thickBot="1" x14ac:dyDescent="0.35">
      <c r="A117" s="25"/>
      <c r="B117" s="26"/>
      <c r="C117" s="26"/>
      <c r="D117" s="26"/>
      <c r="E117" s="26"/>
      <c r="F117" s="26"/>
      <c r="G117" s="26"/>
      <c r="H117" s="26"/>
      <c r="I117" s="26"/>
      <c r="J117" s="23"/>
      <c r="K117" s="22"/>
      <c r="L117" s="17"/>
      <c r="M117" s="17"/>
      <c r="N117" s="17"/>
      <c r="O117" s="17"/>
      <c r="P117" s="17"/>
      <c r="Q117" s="17"/>
      <c r="R117" s="17"/>
      <c r="S117" s="17"/>
      <c r="T117" s="17"/>
      <c r="U117" s="17"/>
      <c r="V117" s="58"/>
    </row>
    <row r="118" spans="1:45" ht="35.25" customHeight="1" x14ac:dyDescent="0.3">
      <c r="L118" s="17"/>
      <c r="M118" s="17"/>
      <c r="N118" s="17"/>
      <c r="O118" s="17"/>
      <c r="P118" s="17"/>
      <c r="Q118" s="17"/>
      <c r="R118" s="17"/>
      <c r="S118" s="17"/>
      <c r="T118" s="17"/>
      <c r="U118" s="17"/>
      <c r="V118" s="58"/>
    </row>
    <row r="119" spans="1:45" ht="27.75" customHeight="1" thickBot="1" x14ac:dyDescent="0.35">
      <c r="A119" s="59"/>
      <c r="B119" s="16"/>
      <c r="C119" s="16"/>
      <c r="D119" s="16"/>
      <c r="E119" s="17"/>
      <c r="F119" s="17"/>
      <c r="G119" s="17"/>
      <c r="H119" s="17"/>
      <c r="I119" s="17"/>
      <c r="J119" s="17"/>
      <c r="K119" s="17"/>
      <c r="L119" s="17"/>
      <c r="M119" s="17"/>
      <c r="N119" s="17"/>
      <c r="O119" s="17"/>
      <c r="P119" s="17"/>
      <c r="Q119" s="17"/>
      <c r="R119" s="17"/>
      <c r="S119" s="17"/>
      <c r="T119" s="17"/>
      <c r="U119" s="17"/>
      <c r="V119" s="58"/>
    </row>
    <row r="120" spans="1:45" ht="16.5" customHeight="1" thickBot="1" x14ac:dyDescent="0.35">
      <c r="A120" s="568" t="str">
        <f ca="1">Translations!A50</f>
        <v>Requis uniquement si vous avez des mesures de suivi du plan de travail</v>
      </c>
      <c r="B120" s="569"/>
      <c r="C120" s="569"/>
      <c r="D120" s="569"/>
      <c r="E120" s="569"/>
      <c r="F120" s="569"/>
      <c r="G120" s="569"/>
      <c r="H120" s="569"/>
      <c r="I120" s="569"/>
      <c r="J120" s="569"/>
      <c r="K120" s="569"/>
      <c r="L120" s="569"/>
      <c r="M120" s="569"/>
      <c r="N120" s="569"/>
      <c r="O120" s="569"/>
      <c r="P120" s="569"/>
      <c r="Q120" s="569"/>
      <c r="R120" s="569"/>
      <c r="S120" s="569"/>
      <c r="T120" s="569"/>
      <c r="U120" s="569"/>
      <c r="V120" s="569"/>
      <c r="W120" s="60"/>
      <c r="X120" s="60"/>
      <c r="Y120" s="60"/>
      <c r="Z120" s="60"/>
      <c r="AA120" s="61"/>
      <c r="AB120" s="61"/>
      <c r="AC120" s="62"/>
    </row>
    <row r="121" spans="1:45" ht="30" customHeight="1" x14ac:dyDescent="0.3">
      <c r="A121" s="561" t="s">
        <v>32</v>
      </c>
      <c r="B121" s="562"/>
      <c r="C121" s="562"/>
      <c r="D121" s="562"/>
      <c r="E121" s="562"/>
      <c r="F121" s="562"/>
      <c r="G121" s="562"/>
      <c r="H121" s="562"/>
      <c r="I121" s="562"/>
      <c r="J121" s="562"/>
      <c r="K121" s="562"/>
      <c r="L121" s="562"/>
      <c r="M121" s="562"/>
      <c r="N121" s="562"/>
      <c r="O121" s="562"/>
      <c r="P121" s="562"/>
      <c r="Q121" s="562"/>
      <c r="R121" s="562"/>
      <c r="S121" s="562"/>
      <c r="T121" s="562"/>
      <c r="U121" s="562"/>
      <c r="V121" s="562"/>
      <c r="W121" s="118"/>
      <c r="X121" s="118"/>
      <c r="Y121" s="118"/>
      <c r="Z121" s="119"/>
      <c r="AA121" s="120"/>
      <c r="AB121" s="120"/>
      <c r="AC121" s="121"/>
    </row>
    <row r="122" spans="1:45" ht="46.5" customHeight="1" x14ac:dyDescent="0.3">
      <c r="A122" s="433" t="str">
        <f ca="1">Translations!A32</f>
        <v>Numéro de l'intervention</v>
      </c>
      <c r="B122" s="433"/>
      <c r="C122" s="433"/>
      <c r="D122" s="433" t="s">
        <v>1263</v>
      </c>
      <c r="E122" s="446" t="str">
        <f ca="1">Translations!A28</f>
        <v>Modules</v>
      </c>
      <c r="F122" s="446" t="s">
        <v>1280</v>
      </c>
      <c r="G122" s="446" t="s">
        <v>1282</v>
      </c>
      <c r="H122" s="446" t="s">
        <v>114</v>
      </c>
      <c r="I122" s="446" t="s">
        <v>115</v>
      </c>
      <c r="J122" s="446" t="s">
        <v>125</v>
      </c>
      <c r="K122" s="446" t="str">
        <f ca="1">Translations!A33</f>
        <v>Intervention standard</v>
      </c>
      <c r="L122" s="446" t="s">
        <v>313</v>
      </c>
      <c r="M122" s="447" t="s">
        <v>314</v>
      </c>
      <c r="N122" s="447" t="s">
        <v>315</v>
      </c>
      <c r="O122" s="447" t="s">
        <v>126</v>
      </c>
      <c r="P122" s="447" t="s">
        <v>127</v>
      </c>
      <c r="Q122" s="447" t="s">
        <v>140</v>
      </c>
      <c r="R122" s="447" t="s">
        <v>190</v>
      </c>
      <c r="S122" s="446" t="s">
        <v>189</v>
      </c>
      <c r="T122" s="448" t="str">
        <f ca="1">Translations!A34</f>
        <v>Intervention personnalisée (uniquement si "Autre" intervention est choisie)</v>
      </c>
      <c r="U122" s="449" t="s">
        <v>60</v>
      </c>
      <c r="V122" s="448" t="s">
        <v>279</v>
      </c>
      <c r="W122" s="450" t="s">
        <v>110</v>
      </c>
      <c r="X122" s="451" t="s">
        <v>70</v>
      </c>
      <c r="Y122" s="451" t="s">
        <v>46</v>
      </c>
      <c r="Z122" s="451" t="s">
        <v>71</v>
      </c>
      <c r="AA122" s="451" t="s">
        <v>72</v>
      </c>
      <c r="AB122" s="451" t="s">
        <v>48</v>
      </c>
      <c r="AC122" s="452"/>
      <c r="AD122" s="452" t="s">
        <v>233</v>
      </c>
      <c r="AE122" s="451" t="s">
        <v>234</v>
      </c>
      <c r="AF122" s="452" t="s">
        <v>385</v>
      </c>
      <c r="AG122" s="452" t="s">
        <v>72</v>
      </c>
      <c r="AH122" s="453" t="s">
        <v>482</v>
      </c>
      <c r="AI122" s="452" t="s">
        <v>483</v>
      </c>
      <c r="AJ122" s="452" t="s">
        <v>484</v>
      </c>
      <c r="AK122" s="452" t="s">
        <v>485</v>
      </c>
      <c r="AL122" s="452" t="s">
        <v>486</v>
      </c>
      <c r="AM122" s="452" t="s">
        <v>487</v>
      </c>
      <c r="AN122" s="452" t="s">
        <v>488</v>
      </c>
      <c r="AO122" s="452"/>
      <c r="AP122" s="452"/>
      <c r="AQ122" s="452" t="s">
        <v>232</v>
      </c>
      <c r="AR122" s="104"/>
    </row>
    <row r="123" spans="1:45" ht="47.1" hidden="1" customHeight="1" x14ac:dyDescent="0.3">
      <c r="A123" s="135"/>
      <c r="B123" s="454"/>
      <c r="C123" s="454"/>
      <c r="D123" s="137"/>
      <c r="E123" s="455" t="str">
        <f>IFERROR(IF(AND(K123="",T123=""),"",(VLOOKUP(Q123,'Reference records(soft deleted)'!$B$87:$D$154,3,FALSE))),"")</f>
        <v/>
      </c>
      <c r="F123" s="456" t="s">
        <v>1279</v>
      </c>
      <c r="G123" s="456" t="s">
        <v>1281</v>
      </c>
      <c r="H123" s="457" t="str">
        <f>IF(R123="",IFERROR(VLOOKUP(AC123,'Reference Records'!G$330:J331,4,0),""),IFERROR(VLOOKUP(AC123,'Reference Records'!H$330:J331,3,0),""))</f>
        <v/>
      </c>
      <c r="I123" s="457"/>
      <c r="J123" s="458" t="s">
        <v>1262</v>
      </c>
      <c r="K123" s="455" t="str">
        <f>IFERROR(VLOOKUP(INDEX('Reference Records'!E$329:E506,MATCH(R123,'Reference Records'!F$329:F506,0),1),'Reference Records'!B$158:C160,2,0),"")</f>
        <v/>
      </c>
      <c r="L123" s="457" t="e">
        <f>VLOOKUP(U123&amp;K123,'Reference Records'!H$159:I251,2,0)</f>
        <v>#N/A</v>
      </c>
      <c r="M123" s="457" t="e">
        <f>MATCH($L123,'Reference Records'!$E$330:$E$506,0)+ROW(Population_by_intervention) -1</f>
        <v>#N/A</v>
      </c>
      <c r="N123" s="457" t="e">
        <f>MATCH($L123,'Reference Records'!$E$330:$E$506,1)+ROW(Population_by_intervention) -1</f>
        <v>#N/A</v>
      </c>
      <c r="O123" s="457" t="e">
        <f>INDEX('Reference Records'!K$159:K251,MATCH(L123,'Reference Records'!B$159:B251,0))</f>
        <v>#N/A</v>
      </c>
      <c r="P123" s="457"/>
      <c r="Q123" s="459" t="s">
        <v>139</v>
      </c>
      <c r="R123" s="460" t="s">
        <v>141</v>
      </c>
      <c r="S123" s="457" t="str">
        <f>IFERROR(VLOOKUP(INDEX('Reference Records'!J$329:J506,MATCH(R123,'Reference Records'!F$329:F506),1),'Reference Records'!B$158:C160,2,0),"")</f>
        <v/>
      </c>
      <c r="T123" s="458"/>
      <c r="U123" s="461" t="str">
        <f>IFERROR(IF(VLOOKUP(E123,'Reference Records'!$F$123:$N$157,9,FALSE)=0,"",VLOOKUP(E123,'Reference Records'!$F$123:$N$157,9,FALSE)),"")</f>
        <v/>
      </c>
      <c r="V123" s="455" t="str">
        <f>IF(IF(Language="French",G123,F123)=0,"",IF(Language="French",G123,F123))</f>
        <v>[Intervention FR]</v>
      </c>
      <c r="W123" s="462" t="str">
        <f>K123&amp;T123</f>
        <v/>
      </c>
      <c r="X123" s="463" t="str">
        <f>IFERROR(VLOOKUP(E123,$E$101:$H$118,4,FALSE),"")</f>
        <v>a1P3p000006KmxbEAC</v>
      </c>
      <c r="Y123" s="463" t="b">
        <f>IFERROR(IF(OR(K123&lt;&gt;"",T123&lt;&gt;""),TRUE,FALSE),FALSE)</f>
        <v>0</v>
      </c>
      <c r="Z123" s="463" t="b">
        <f>IFERROR(TRUE,FALSE)</f>
        <v>1</v>
      </c>
      <c r="AA123" s="463" t="str">
        <f>IF(R123="",IFERROR(VLOOKUP(AC123,'Reference Records'!G$330:J331,3,0),""),IFERROR(VLOOKUP(AC123,'Reference Records'!H$330:J331,2,0),""))</f>
        <v/>
      </c>
      <c r="AB123" s="463" t="s">
        <v>47</v>
      </c>
      <c r="AC123" s="452" t="e">
        <f>IF(R123="",L123&amp;"|"&amp;V123,L123&amp;"|"&amp;R123)</f>
        <v>#N/A</v>
      </c>
      <c r="AD123" s="452" t="str">
        <f>E123</f>
        <v/>
      </c>
      <c r="AE123" s="452" t="str">
        <f t="array" ref="AE123">IFERROR(IF(INDEX($W$123:$W$174, MATCH(0, IF(AD123=$E$123:$E$174, COUNTIF($AE$122:$AE122, $W$123:$W$174), ""), 0))=0,"",INDEX($W$123:$W$174, MATCH(0, IF(AD123=$E$123:$E$174, COUNTIF($AE$122:$AE122, $W$123:$W$174), ""), 0))),"")</f>
        <v/>
      </c>
      <c r="AF123" s="452" t="str">
        <f>IF(AND(E123&amp;J123="",AQ123&lt;&gt;""),"|empty|",E123&amp;V123&amp;K123&amp;T123)</f>
        <v>[Intervention FR]</v>
      </c>
      <c r="AG123" s="452" t="str">
        <f>AQ123</f>
        <v>[Intervention ID]</v>
      </c>
      <c r="AH123" s="452" t="e">
        <f>X123&amp;AC123</f>
        <v>#N/A</v>
      </c>
      <c r="AI123" s="452">
        <f>IF(COUNTIF($AH$123:AH174,"&lt;="&amp;AH123)=0,"",COUNTIF($AH$123:AH174,"&lt;="&amp;AH123))</f>
        <v>51</v>
      </c>
      <c r="AJ123" s="452">
        <f>RANK(AI123,AI$123:AI174,1)</f>
        <v>1</v>
      </c>
      <c r="AK123" s="452" t="str">
        <f>INDEX(E$123:E174,MATCH(ROWS(AJ$123:AJ123),AJ$123:AJ174,0))</f>
        <v/>
      </c>
      <c r="AL123" s="452" t="str">
        <f>INDEX(K$123:K174,MATCH(ROWS(AJ$123:AJ123),AJ$123:AJ174,0))</f>
        <v/>
      </c>
      <c r="AM123" s="452" t="str">
        <f>INDEX(V$123:V174,MATCH(ROWS(AJ$123:AJ123),AJ$123:AJ174,0))</f>
        <v>[Intervention FR]</v>
      </c>
      <c r="AN123" s="452" t="str">
        <f>AK123&amp;AL123</f>
        <v/>
      </c>
      <c r="AO123" s="452" t="e">
        <f>L123</f>
        <v>#N/A</v>
      </c>
      <c r="AP123" s="452"/>
      <c r="AQ123" s="464" t="s">
        <v>231</v>
      </c>
      <c r="AR123" s="104"/>
    </row>
    <row r="124" spans="1:45" ht="47.1" customHeight="1" x14ac:dyDescent="0.3">
      <c r="A124" s="135">
        <v>1</v>
      </c>
      <c r="B124" s="454"/>
      <c r="C124" s="454"/>
      <c r="D124" s="137"/>
      <c r="E124" s="455" t="str">
        <f>IFERROR(IF(AND(K124="",T124=""),"",(VLOOKUP(Q124,'Reference records(soft deleted)'!$B$87:$D$154,3,FALSE))),"")</f>
        <v/>
      </c>
      <c r="F124" s="456"/>
      <c r="G124" s="456"/>
      <c r="H124" s="457" t="str">
        <f>IF(R124="",IFERROR(VLOOKUP(AC124,'Reference Records'!G$330:J506,4,0),""),IFERROR(VLOOKUP(AC124,'Reference Records'!H$330:J506,3,0),""))</f>
        <v/>
      </c>
      <c r="I124" s="457"/>
      <c r="J124" s="458"/>
      <c r="K124" s="455" t="str">
        <f>IFERROR(VLOOKUP(INDEX('Reference Records'!E$329:E507,MATCH(R124,'Reference Records'!F$329:F507,0),1),'Reference Records'!B$158:C251,2,0),"")</f>
        <v/>
      </c>
      <c r="L124" s="457" t="e">
        <f>VLOOKUP(U124&amp;K124,'Reference Records'!H$159:I252,2,0)</f>
        <v>#N/A</v>
      </c>
      <c r="M124" s="457" t="e">
        <f>MATCH($L124,'Reference Records'!$E$330:$E$506,0)+ROW(Population_by_intervention) -1</f>
        <v>#N/A</v>
      </c>
      <c r="N124" s="457" t="e">
        <f>MATCH($L124,'Reference Records'!$E$330:$E$506,1)+ROW(Population_by_intervention) -1</f>
        <v>#N/A</v>
      </c>
      <c r="O124" s="457" t="e">
        <f>INDEX('Reference Records'!K$159:K252,MATCH(L124,'Reference Records'!B$159:B252,0))</f>
        <v>#N/A</v>
      </c>
      <c r="P124" s="457"/>
      <c r="Q124" s="459"/>
      <c r="R124" s="460"/>
      <c r="S124" s="457" t="str">
        <f>IFERROR(VLOOKUP(INDEX('Reference Records'!J$329:J507,MATCH(R124,'Reference Records'!F$329:F507),1),'Reference Records'!B$158:C251,2,0),"")</f>
        <v/>
      </c>
      <c r="T124" s="458"/>
      <c r="U124" s="461" t="str">
        <f>IFERROR(IF(VLOOKUP(E124,'Reference Records'!$F$123:$N$157,9,FALSE)=0,"",VLOOKUP(E124,'Reference Records'!$F$123:$N$157,9,FALSE)),"")</f>
        <v/>
      </c>
      <c r="V124" s="455" t="str">
        <f>IF(IF(Language="French",G124,F124)=0,"",IF(Language="French",G124,F124))</f>
        <v/>
      </c>
      <c r="W124" s="462" t="str">
        <f t="shared" ref="W124:W173" si="13">K124&amp;T124</f>
        <v/>
      </c>
      <c r="X124" s="463" t="str">
        <f t="shared" ref="X124:X173" si="14">IFERROR(VLOOKUP(E124,$E$101:$H$118,4,FALSE),"")</f>
        <v>a1P3p000006KmxbEAC</v>
      </c>
      <c r="Y124" s="463" t="b">
        <f t="shared" ref="Y124:Y173" si="15">IFERROR(IF(OR(K124&lt;&gt;"",T124&lt;&gt;""),TRUE,FALSE),FALSE)</f>
        <v>0</v>
      </c>
      <c r="Z124" s="463" t="b">
        <f t="shared" ref="Z124:Z173" si="16">IFERROR(TRUE,FALSE)</f>
        <v>1</v>
      </c>
      <c r="AA124" s="463" t="str">
        <f>IF(R124="",IFERROR(VLOOKUP(AC124,'Reference Records'!G$330:J506,3,0),""),IFERROR(VLOOKUP(AC124,'Reference Records'!H$330:J506,2,0),""))</f>
        <v/>
      </c>
      <c r="AB124" s="463" t="s">
        <v>1414</v>
      </c>
      <c r="AC124" s="452" t="e">
        <f t="shared" ref="AC124:AC173" si="17">IF(R124="",L124&amp;"|"&amp;V124,L124&amp;"|"&amp;R124)</f>
        <v>#N/A</v>
      </c>
      <c r="AD124" s="452" t="str">
        <f t="shared" ref="AD124:AD173" si="18">E124</f>
        <v/>
      </c>
      <c r="AE124" s="452" t="str">
        <f t="array" ref="AE124">IFERROR(IF(INDEX($W$123:$W$174, MATCH(0, IF(AD124=$E$123:$E$174, COUNTIF($AE$122:$AE123, $W$123:$W$174), ""), 0))=0,"",INDEX($W$123:$W$174, MATCH(0, IF(AD124=$E$123:$E$174, COUNTIF($AE$122:$AE123, $W$123:$W$174), ""), 0))),"")</f>
        <v/>
      </c>
      <c r="AF124" s="452" t="str">
        <f t="shared" ref="AF124:AF173" si="19">IF(AND(E124&amp;J124="",AQ124&lt;&gt;""),"|empty|",E124&amp;V124&amp;K124&amp;T124)</f>
        <v>|empty|</v>
      </c>
      <c r="AG124" s="452" t="str">
        <f t="shared" ref="AG124:AG173" si="20">AQ124</f>
        <v>INT-130914</v>
      </c>
      <c r="AH124" s="452" t="e">
        <f t="shared" ref="AH124:AH173" si="21">X124&amp;AC124</f>
        <v>#N/A</v>
      </c>
      <c r="AI124" s="452">
        <f>IF(COUNTIF($AH$123:AH175,"&lt;="&amp;AH124)=0,"",COUNTIF($AH$123:AH175,"&lt;="&amp;AH124))</f>
        <v>51</v>
      </c>
      <c r="AJ124" s="452">
        <f>RANK(AI124,AI$123:AI175,1)</f>
        <v>1</v>
      </c>
      <c r="AK124" s="452" t="e">
        <f>INDEX(E$123:E175,MATCH(ROWS(AJ$123:AJ124),AJ$123:AJ175,0))</f>
        <v>#N/A</v>
      </c>
      <c r="AL124" s="452" t="e">
        <f>INDEX(K$123:K175,MATCH(ROWS(AJ$123:AJ124),AJ$123:AJ175,0))</f>
        <v>#N/A</v>
      </c>
      <c r="AM124" s="452" t="e">
        <f>INDEX(V$123:V175,MATCH(ROWS(AJ$123:AJ124),AJ$123:AJ175,0))</f>
        <v>#N/A</v>
      </c>
      <c r="AN124" s="452" t="e">
        <f t="shared" ref="AN124:AN173" si="22">AK124&amp;AL124</f>
        <v>#N/A</v>
      </c>
      <c r="AO124" s="452" t="e">
        <f t="shared" ref="AO124:AO173" si="23">L124</f>
        <v>#N/A</v>
      </c>
      <c r="AP124" s="452"/>
      <c r="AQ124" s="464" t="s">
        <v>1415</v>
      </c>
      <c r="AR124" s="104"/>
    </row>
    <row r="125" spans="1:45" ht="47.1" customHeight="1" x14ac:dyDescent="0.3">
      <c r="A125" s="135">
        <v>2</v>
      </c>
      <c r="B125" s="454"/>
      <c r="C125" s="454"/>
      <c r="D125" s="137"/>
      <c r="E125" s="455" t="str">
        <f>IFERROR(IF(AND(K125="",T125=""),"",(VLOOKUP(Q125,'Reference records(soft deleted)'!$B$87:$D$154,3,FALSE))),"")</f>
        <v/>
      </c>
      <c r="F125" s="456"/>
      <c r="G125" s="456"/>
      <c r="H125" s="457" t="str">
        <f>IF(R125="",IFERROR(VLOOKUP(AC125,'Reference Records'!G$330:J507,4,0),""),IFERROR(VLOOKUP(AC125,'Reference Records'!H$330:J507,3,0),""))</f>
        <v/>
      </c>
      <c r="I125" s="457"/>
      <c r="J125" s="458"/>
      <c r="K125" s="455" t="str">
        <f>IFERROR(VLOOKUP(INDEX('Reference Records'!E$329:E508,MATCH(R125,'Reference Records'!F$329:F508,0),1),'Reference Records'!B$158:C252,2,0),"")</f>
        <v/>
      </c>
      <c r="L125" s="457" t="e">
        <f>VLOOKUP(U125&amp;K125,'Reference Records'!H$159:I253,2,0)</f>
        <v>#N/A</v>
      </c>
      <c r="M125" s="457" t="e">
        <f>MATCH($L125,'Reference Records'!$E$330:$E$506,0)+ROW(Population_by_intervention) -1</f>
        <v>#N/A</v>
      </c>
      <c r="N125" s="457" t="e">
        <f>MATCH($L125,'Reference Records'!$E$330:$E$506,1)+ROW(Population_by_intervention) -1</f>
        <v>#N/A</v>
      </c>
      <c r="O125" s="457" t="e">
        <f>INDEX('Reference Records'!K$159:K253,MATCH(L125,'Reference Records'!B$159:B253,0))</f>
        <v>#N/A</v>
      </c>
      <c r="P125" s="457"/>
      <c r="Q125" s="459"/>
      <c r="R125" s="460"/>
      <c r="S125" s="457" t="str">
        <f>IFERROR(VLOOKUP(INDEX('Reference Records'!J$329:J508,MATCH(R125,'Reference Records'!F$329:F508),1),'Reference Records'!B$158:C252,2,0),"")</f>
        <v/>
      </c>
      <c r="T125" s="458"/>
      <c r="U125" s="461" t="str">
        <f>IFERROR(IF(VLOOKUP(E125,'Reference Records'!$F$123:$N$157,9,FALSE)=0,"",VLOOKUP(E125,'Reference Records'!$F$123:$N$157,9,FALSE)),"")</f>
        <v/>
      </c>
      <c r="V125" s="455" t="str">
        <f>IF(IF(Language="French",G125,F125)=0,"",IF(Language="French",G125,F125))</f>
        <v/>
      </c>
      <c r="W125" s="462" t="str">
        <f t="shared" si="13"/>
        <v/>
      </c>
      <c r="X125" s="463" t="str">
        <f t="shared" si="14"/>
        <v>a1P3p000006KmxbEAC</v>
      </c>
      <c r="Y125" s="463" t="b">
        <f t="shared" si="15"/>
        <v>0</v>
      </c>
      <c r="Z125" s="463" t="b">
        <f t="shared" si="16"/>
        <v>1</v>
      </c>
      <c r="AA125" s="463" t="str">
        <f>IF(R125="",IFERROR(VLOOKUP(AC125,'Reference Records'!G$330:J507,3,0),""),IFERROR(VLOOKUP(AC125,'Reference Records'!H$330:J507,2,0),""))</f>
        <v/>
      </c>
      <c r="AB125" s="463" t="s">
        <v>1416</v>
      </c>
      <c r="AC125" s="452" t="e">
        <f t="shared" si="17"/>
        <v>#N/A</v>
      </c>
      <c r="AD125" s="452" t="str">
        <f t="shared" si="18"/>
        <v/>
      </c>
      <c r="AE125" s="452" t="str">
        <f t="array" ref="AE125">IFERROR(IF(INDEX($W$123:$W$174, MATCH(0, IF(AD125=$E$123:$E$174, COUNTIF($AE$122:$AE124, $W$123:$W$174), ""), 0))=0,"",INDEX($W$123:$W$174, MATCH(0, IF(AD125=$E$123:$E$174, COUNTIF($AE$122:$AE124, $W$123:$W$174), ""), 0))),"")</f>
        <v/>
      </c>
      <c r="AF125" s="452" t="str">
        <f t="shared" si="19"/>
        <v>|empty|</v>
      </c>
      <c r="AG125" s="452" t="str">
        <f t="shared" si="20"/>
        <v>INT-130915</v>
      </c>
      <c r="AH125" s="452" t="e">
        <f t="shared" si="21"/>
        <v>#N/A</v>
      </c>
      <c r="AI125" s="452">
        <f>IF(COUNTIF($AH$123:AH176,"&lt;="&amp;AH125)=0,"",COUNTIF($AH$123:AH176,"&lt;="&amp;AH125))</f>
        <v>51</v>
      </c>
      <c r="AJ125" s="452">
        <f>RANK(AI125,AI$123:AI176,1)</f>
        <v>1</v>
      </c>
      <c r="AK125" s="452" t="e">
        <f>INDEX(E$123:E176,MATCH(ROWS(AJ$123:AJ125),AJ$123:AJ176,0))</f>
        <v>#N/A</v>
      </c>
      <c r="AL125" s="452" t="e">
        <f>INDEX(K$123:K176,MATCH(ROWS(AJ$123:AJ125),AJ$123:AJ176,0))</f>
        <v>#N/A</v>
      </c>
      <c r="AM125" s="452" t="e">
        <f>INDEX(V$123:V176,MATCH(ROWS(AJ$123:AJ125),AJ$123:AJ176,0))</f>
        <v>#N/A</v>
      </c>
      <c r="AN125" s="452" t="e">
        <f t="shared" si="22"/>
        <v>#N/A</v>
      </c>
      <c r="AO125" s="452" t="e">
        <f t="shared" si="23"/>
        <v>#N/A</v>
      </c>
      <c r="AP125" s="452"/>
      <c r="AQ125" s="464" t="s">
        <v>1417</v>
      </c>
      <c r="AR125" s="104"/>
    </row>
    <row r="126" spans="1:45" ht="47.1" customHeight="1" x14ac:dyDescent="0.3">
      <c r="A126" s="135">
        <v>3</v>
      </c>
      <c r="B126" s="454"/>
      <c r="C126" s="454"/>
      <c r="D126" s="137"/>
      <c r="E126" s="455" t="str">
        <f>IFERROR(IF(AND(K126="",T126=""),"",(VLOOKUP(Q126,'Reference records(soft deleted)'!$B$87:$D$154,3,FALSE))),"")</f>
        <v/>
      </c>
      <c r="F126" s="456"/>
      <c r="G126" s="456"/>
      <c r="H126" s="457" t="str">
        <f>IF(R126="",IFERROR(VLOOKUP(AC126,'Reference Records'!G$330:J508,4,0),""),IFERROR(VLOOKUP(AC126,'Reference Records'!H$330:J508,3,0),""))</f>
        <v/>
      </c>
      <c r="I126" s="457"/>
      <c r="J126" s="458"/>
      <c r="K126" s="455" t="str">
        <f>IFERROR(VLOOKUP(INDEX('Reference Records'!E$329:E509,MATCH(R126,'Reference Records'!F$329:F509,0),1),'Reference Records'!B$158:C253,2,0),"")</f>
        <v/>
      </c>
      <c r="L126" s="457" t="e">
        <f>VLOOKUP(U126&amp;K126,'Reference Records'!H$159:I254,2,0)</f>
        <v>#N/A</v>
      </c>
      <c r="M126" s="457" t="e">
        <f>MATCH($L126,'Reference Records'!$E$330:$E$506,0)+ROW(Population_by_intervention) -1</f>
        <v>#N/A</v>
      </c>
      <c r="N126" s="457" t="e">
        <f>MATCH($L126,'Reference Records'!$E$330:$E$506,1)+ROW(Population_by_intervention) -1</f>
        <v>#N/A</v>
      </c>
      <c r="O126" s="457" t="e">
        <f>INDEX('Reference Records'!K$159:K254,MATCH(L126,'Reference Records'!B$159:B254,0))</f>
        <v>#N/A</v>
      </c>
      <c r="P126" s="457"/>
      <c r="Q126" s="459"/>
      <c r="R126" s="460"/>
      <c r="S126" s="457" t="str">
        <f>IFERROR(VLOOKUP(INDEX('Reference Records'!J$329:J509,MATCH(R126,'Reference Records'!F$329:F509),1),'Reference Records'!B$158:C253,2,0),"")</f>
        <v/>
      </c>
      <c r="T126" s="458"/>
      <c r="U126" s="461" t="str">
        <f>IFERROR(IF(VLOOKUP(E126,'Reference Records'!$F$123:$N$157,9,FALSE)=0,"",VLOOKUP(E126,'Reference Records'!$F$123:$N$157,9,FALSE)),"")</f>
        <v/>
      </c>
      <c r="V126" s="455" t="str">
        <f>IF(IF(Language="French",G126,F126)=0,"",IF(Language="French",G126,F126))</f>
        <v/>
      </c>
      <c r="W126" s="462" t="str">
        <f t="shared" si="13"/>
        <v/>
      </c>
      <c r="X126" s="463" t="str">
        <f t="shared" si="14"/>
        <v>a1P3p000006KmxbEAC</v>
      </c>
      <c r="Y126" s="463" t="b">
        <f t="shared" si="15"/>
        <v>0</v>
      </c>
      <c r="Z126" s="463" t="b">
        <f t="shared" si="16"/>
        <v>1</v>
      </c>
      <c r="AA126" s="463" t="str">
        <f>IF(R126="",IFERROR(VLOOKUP(AC126,'Reference Records'!G$330:J508,3,0),""),IFERROR(VLOOKUP(AC126,'Reference Records'!H$330:J508,2,0),""))</f>
        <v/>
      </c>
      <c r="AB126" s="463" t="s">
        <v>1418</v>
      </c>
      <c r="AC126" s="452" t="e">
        <f t="shared" si="17"/>
        <v>#N/A</v>
      </c>
      <c r="AD126" s="452" t="str">
        <f t="shared" si="18"/>
        <v/>
      </c>
      <c r="AE126" s="452" t="str">
        <f t="array" ref="AE126">IFERROR(IF(INDEX($W$123:$W$174, MATCH(0, IF(AD126=$E$123:$E$174, COUNTIF($AE$122:$AE125, $W$123:$W$174), ""), 0))=0,"",INDEX($W$123:$W$174, MATCH(0, IF(AD126=$E$123:$E$174, COUNTIF($AE$122:$AE125, $W$123:$W$174), ""), 0))),"")</f>
        <v/>
      </c>
      <c r="AF126" s="452" t="str">
        <f t="shared" si="19"/>
        <v>|empty|</v>
      </c>
      <c r="AG126" s="452" t="str">
        <f t="shared" si="20"/>
        <v>INT-130916</v>
      </c>
      <c r="AH126" s="452" t="e">
        <f t="shared" si="21"/>
        <v>#N/A</v>
      </c>
      <c r="AI126" s="452">
        <f>IF(COUNTIF($AH$123:AH177,"&lt;="&amp;AH126)=0,"",COUNTIF($AH$123:AH177,"&lt;="&amp;AH126))</f>
        <v>51</v>
      </c>
      <c r="AJ126" s="452">
        <f>RANK(AI126,AI$123:AI177,1)</f>
        <v>1</v>
      </c>
      <c r="AK126" s="452" t="e">
        <f>INDEX(E$123:E177,MATCH(ROWS(AJ$123:AJ126),AJ$123:AJ177,0))</f>
        <v>#N/A</v>
      </c>
      <c r="AL126" s="452" t="e">
        <f>INDEX(K$123:K177,MATCH(ROWS(AJ$123:AJ126),AJ$123:AJ177,0))</f>
        <v>#N/A</v>
      </c>
      <c r="AM126" s="452" t="e">
        <f>INDEX(V$123:V177,MATCH(ROWS(AJ$123:AJ126),AJ$123:AJ177,0))</f>
        <v>#N/A</v>
      </c>
      <c r="AN126" s="452" t="e">
        <f t="shared" si="22"/>
        <v>#N/A</v>
      </c>
      <c r="AO126" s="452" t="e">
        <f t="shared" si="23"/>
        <v>#N/A</v>
      </c>
      <c r="AP126" s="452"/>
      <c r="AQ126" s="464" t="s">
        <v>1419</v>
      </c>
      <c r="AR126" s="104"/>
    </row>
    <row r="127" spans="1:45" ht="47.1" customHeight="1" x14ac:dyDescent="0.3">
      <c r="A127" s="135">
        <v>4</v>
      </c>
      <c r="B127" s="454"/>
      <c r="C127" s="454"/>
      <c r="D127" s="137"/>
      <c r="E127" s="455" t="str">
        <f>IFERROR(IF(AND(K127="",T127=""),"",(VLOOKUP(Q127,'Reference records(soft deleted)'!$B$87:$D$154,3,FALSE))),"")</f>
        <v/>
      </c>
      <c r="F127" s="456"/>
      <c r="G127" s="456"/>
      <c r="H127" s="457" t="str">
        <f>IF(R127="",IFERROR(VLOOKUP(AC127,'Reference Records'!G$330:J509,4,0),""),IFERROR(VLOOKUP(AC127,'Reference Records'!H$330:J509,3,0),""))</f>
        <v/>
      </c>
      <c r="I127" s="457"/>
      <c r="J127" s="458"/>
      <c r="K127" s="455" t="str">
        <f>IFERROR(VLOOKUP(INDEX('Reference Records'!E$329:E510,MATCH(R127,'Reference Records'!F$329:F510,0),1),'Reference Records'!B$158:C254,2,0),"")</f>
        <v/>
      </c>
      <c r="L127" s="457" t="e">
        <f>VLOOKUP(U127&amp;K127,'Reference Records'!H$159:I255,2,0)</f>
        <v>#N/A</v>
      </c>
      <c r="M127" s="457" t="e">
        <f>MATCH($L127,'Reference Records'!$E$330:$E$506,0)+ROW(Population_by_intervention) -1</f>
        <v>#N/A</v>
      </c>
      <c r="N127" s="457" t="e">
        <f>MATCH($L127,'Reference Records'!$E$330:$E$506,1)+ROW(Population_by_intervention) -1</f>
        <v>#N/A</v>
      </c>
      <c r="O127" s="457" t="e">
        <f>INDEX('Reference Records'!K$159:K255,MATCH(L127,'Reference Records'!B$159:B255,0))</f>
        <v>#N/A</v>
      </c>
      <c r="P127" s="457"/>
      <c r="Q127" s="459"/>
      <c r="R127" s="460"/>
      <c r="S127" s="457" t="str">
        <f>IFERROR(VLOOKUP(INDEX('Reference Records'!J$329:J510,MATCH(R127,'Reference Records'!F$329:F510),1),'Reference Records'!B$158:C254,2,0),"")</f>
        <v/>
      </c>
      <c r="T127" s="458"/>
      <c r="U127" s="461" t="str">
        <f>IFERROR(IF(VLOOKUP(E127,'Reference Records'!$F$123:$N$157,9,FALSE)=0,"",VLOOKUP(E127,'Reference Records'!$F$123:$N$157,9,FALSE)),"")</f>
        <v/>
      </c>
      <c r="V127" s="455" t="str">
        <f>IF(IF(Language="French",G127,F127)=0,"",IF(Language="French",G127,F127))</f>
        <v/>
      </c>
      <c r="W127" s="462" t="str">
        <f t="shared" si="13"/>
        <v/>
      </c>
      <c r="X127" s="463" t="str">
        <f t="shared" si="14"/>
        <v>a1P3p000006KmxbEAC</v>
      </c>
      <c r="Y127" s="463" t="b">
        <f t="shared" si="15"/>
        <v>0</v>
      </c>
      <c r="Z127" s="463" t="b">
        <f t="shared" si="16"/>
        <v>1</v>
      </c>
      <c r="AA127" s="463" t="str">
        <f>IF(R127="",IFERROR(VLOOKUP(AC127,'Reference Records'!G$330:J509,3,0),""),IFERROR(VLOOKUP(AC127,'Reference Records'!H$330:J509,2,0),""))</f>
        <v/>
      </c>
      <c r="AB127" s="463" t="s">
        <v>1420</v>
      </c>
      <c r="AC127" s="452" t="e">
        <f t="shared" si="17"/>
        <v>#N/A</v>
      </c>
      <c r="AD127" s="452" t="str">
        <f t="shared" si="18"/>
        <v/>
      </c>
      <c r="AE127" s="452" t="str">
        <f t="array" ref="AE127">IFERROR(IF(INDEX($W$123:$W$174, MATCH(0, IF(AD127=$E$123:$E$174, COUNTIF($AE$122:$AE126, $W$123:$W$174), ""), 0))=0,"",INDEX($W$123:$W$174, MATCH(0, IF(AD127=$E$123:$E$174, COUNTIF($AE$122:$AE126, $W$123:$W$174), ""), 0))),"")</f>
        <v/>
      </c>
      <c r="AF127" s="452" t="str">
        <f t="shared" si="19"/>
        <v>|empty|</v>
      </c>
      <c r="AG127" s="452" t="str">
        <f t="shared" si="20"/>
        <v>INT-130917</v>
      </c>
      <c r="AH127" s="452" t="e">
        <f t="shared" si="21"/>
        <v>#N/A</v>
      </c>
      <c r="AI127" s="452">
        <f>IF(COUNTIF($AH$123:AH178,"&lt;="&amp;AH127)=0,"",COUNTIF($AH$123:AH178,"&lt;="&amp;AH127))</f>
        <v>51</v>
      </c>
      <c r="AJ127" s="452">
        <f>RANK(AI127,AI$123:AI178,1)</f>
        <v>1</v>
      </c>
      <c r="AK127" s="452" t="e">
        <f>INDEX(E$123:E178,MATCH(ROWS(AJ$123:AJ127),AJ$123:AJ178,0))</f>
        <v>#N/A</v>
      </c>
      <c r="AL127" s="452" t="e">
        <f>INDEX(K$123:K178,MATCH(ROWS(AJ$123:AJ127),AJ$123:AJ178,0))</f>
        <v>#N/A</v>
      </c>
      <c r="AM127" s="452" t="e">
        <f>INDEX(V$123:V178,MATCH(ROWS(AJ$123:AJ127),AJ$123:AJ178,0))</f>
        <v>#N/A</v>
      </c>
      <c r="AN127" s="452" t="e">
        <f t="shared" si="22"/>
        <v>#N/A</v>
      </c>
      <c r="AO127" s="452" t="e">
        <f t="shared" si="23"/>
        <v>#N/A</v>
      </c>
      <c r="AP127" s="452"/>
      <c r="AQ127" s="464" t="s">
        <v>1421</v>
      </c>
      <c r="AR127" s="104"/>
    </row>
    <row r="128" spans="1:45" ht="47.1" customHeight="1" x14ac:dyDescent="0.3">
      <c r="A128" s="135">
        <v>5</v>
      </c>
      <c r="B128" s="454"/>
      <c r="C128" s="454"/>
      <c r="D128" s="137"/>
      <c r="E128" s="455" t="str">
        <f>IFERROR(IF(AND(K128="",T128=""),"",(VLOOKUP(Q128,'Reference records(soft deleted)'!$B$87:$D$154,3,FALSE))),"")</f>
        <v/>
      </c>
      <c r="F128" s="456"/>
      <c r="G128" s="456"/>
      <c r="H128" s="457" t="str">
        <f>IF(R128="",IFERROR(VLOOKUP(AC128,'Reference Records'!G$330:J510,4,0),""),IFERROR(VLOOKUP(AC128,'Reference Records'!H$330:J510,3,0),""))</f>
        <v/>
      </c>
      <c r="I128" s="457"/>
      <c r="J128" s="458"/>
      <c r="K128" s="455" t="str">
        <f>IFERROR(VLOOKUP(INDEX('Reference Records'!E$329:E569,MATCH(R128,'Reference Records'!F$329:F569,0),1),'Reference Records'!B$158:C255,2,0),"")</f>
        <v/>
      </c>
      <c r="L128" s="457" t="e">
        <f>VLOOKUP(U128&amp;K128,'Reference Records'!H$159:I256,2,0)</f>
        <v>#N/A</v>
      </c>
      <c r="M128" s="457" t="e">
        <f>MATCH($L128,'Reference Records'!$E$330:$E$506,0)+ROW(Population_by_intervention) -1</f>
        <v>#N/A</v>
      </c>
      <c r="N128" s="457" t="e">
        <f>MATCH($L128,'Reference Records'!$E$330:$E$506,1)+ROW(Population_by_intervention) -1</f>
        <v>#N/A</v>
      </c>
      <c r="O128" s="457" t="e">
        <f>INDEX('Reference Records'!K$159:K256,MATCH(L128,'Reference Records'!B$159:B256,0))</f>
        <v>#N/A</v>
      </c>
      <c r="P128" s="457"/>
      <c r="Q128" s="459"/>
      <c r="R128" s="460"/>
      <c r="S128" s="457" t="str">
        <f>IFERROR(VLOOKUP(INDEX('Reference Records'!J$329:J569,MATCH(R128,'Reference Records'!F$329:F569),1),'Reference Records'!B$158:C255,2,0),"")</f>
        <v/>
      </c>
      <c r="T128" s="458"/>
      <c r="U128" s="461" t="str">
        <f>IFERROR(IF(VLOOKUP(E128,'Reference Records'!$F$123:$N$157,9,FALSE)=0,"",VLOOKUP(E128,'Reference Records'!$F$123:$N$157,9,FALSE)),"")</f>
        <v/>
      </c>
      <c r="V128" s="455" t="str">
        <f>IF(IF(Language="French",G128,F128)=0,"",IF(Language="French",G128,F128))</f>
        <v/>
      </c>
      <c r="W128" s="462" t="str">
        <f t="shared" si="13"/>
        <v/>
      </c>
      <c r="X128" s="463" t="str">
        <f t="shared" si="14"/>
        <v>a1P3p000006KmxbEAC</v>
      </c>
      <c r="Y128" s="463" t="b">
        <f t="shared" si="15"/>
        <v>0</v>
      </c>
      <c r="Z128" s="463" t="b">
        <f t="shared" si="16"/>
        <v>1</v>
      </c>
      <c r="AA128" s="463" t="str">
        <f>IF(R128="",IFERROR(VLOOKUP(AC128,'Reference Records'!G$330:J510,3,0),""),IFERROR(VLOOKUP(AC128,'Reference Records'!H$330:J510,2,0),""))</f>
        <v/>
      </c>
      <c r="AB128" s="463" t="s">
        <v>1422</v>
      </c>
      <c r="AC128" s="452" t="e">
        <f t="shared" si="17"/>
        <v>#N/A</v>
      </c>
      <c r="AD128" s="452" t="str">
        <f t="shared" si="18"/>
        <v/>
      </c>
      <c r="AE128" s="452" t="str">
        <f t="array" ref="AE128">IFERROR(IF(INDEX($W$123:$W$174, MATCH(0, IF(AD128=$E$123:$E$174, COUNTIF($AE$122:$AE127, $W$123:$W$174), ""), 0))=0,"",INDEX($W$123:$W$174, MATCH(0, IF(AD128=$E$123:$E$174, COUNTIF($AE$122:$AE127, $W$123:$W$174), ""), 0))),"")</f>
        <v/>
      </c>
      <c r="AF128" s="452" t="str">
        <f t="shared" si="19"/>
        <v>|empty|</v>
      </c>
      <c r="AG128" s="452" t="str">
        <f t="shared" si="20"/>
        <v>INT-130918</v>
      </c>
      <c r="AH128" s="452" t="e">
        <f t="shared" si="21"/>
        <v>#N/A</v>
      </c>
      <c r="AI128" s="452">
        <f>IF(COUNTIF($AH$123:AH179,"&lt;="&amp;AH128)=0,"",COUNTIF($AH$123:AH179,"&lt;="&amp;AH128))</f>
        <v>51</v>
      </c>
      <c r="AJ128" s="452">
        <f>RANK(AI128,AI$123:AI179,1)</f>
        <v>1</v>
      </c>
      <c r="AK128" s="452" t="e">
        <f>INDEX(E$123:E179,MATCH(ROWS(AJ$123:AJ128),AJ$123:AJ179,0))</f>
        <v>#N/A</v>
      </c>
      <c r="AL128" s="452" t="e">
        <f>INDEX(K$123:K179,MATCH(ROWS(AJ$123:AJ128),AJ$123:AJ179,0))</f>
        <v>#N/A</v>
      </c>
      <c r="AM128" s="452" t="e">
        <f>INDEX(V$123:V179,MATCH(ROWS(AJ$123:AJ128),AJ$123:AJ179,0))</f>
        <v>#N/A</v>
      </c>
      <c r="AN128" s="452" t="e">
        <f t="shared" si="22"/>
        <v>#N/A</v>
      </c>
      <c r="AO128" s="452" t="e">
        <f t="shared" si="23"/>
        <v>#N/A</v>
      </c>
      <c r="AP128" s="452"/>
      <c r="AQ128" s="464" t="s">
        <v>1423</v>
      </c>
      <c r="AR128" s="104"/>
    </row>
    <row r="129" spans="1:44" ht="47.1" customHeight="1" x14ac:dyDescent="0.3">
      <c r="A129" s="135">
        <v>6</v>
      </c>
      <c r="B129" s="454"/>
      <c r="C129" s="454"/>
      <c r="D129" s="137"/>
      <c r="E129" s="455" t="str">
        <f>IFERROR(IF(AND(K129="",T129=""),"",(VLOOKUP(Q129,'Reference records(soft deleted)'!$B$87:$D$154,3,FALSE))),"")</f>
        <v/>
      </c>
      <c r="F129" s="456"/>
      <c r="G129" s="456"/>
      <c r="H129" s="457" t="str">
        <f>IF(R129="",IFERROR(VLOOKUP(AC129,'Reference Records'!G$330:J569,4,0),""),IFERROR(VLOOKUP(AC129,'Reference Records'!H$330:J569,3,0),""))</f>
        <v/>
      </c>
      <c r="I129" s="457"/>
      <c r="J129" s="458"/>
      <c r="K129" s="455" t="str">
        <f>IFERROR(VLOOKUP(INDEX('Reference Records'!E$329:E570,MATCH(R129,'Reference Records'!F$329:F570,0),1),'Reference Records'!B$158:C256,2,0),"")</f>
        <v/>
      </c>
      <c r="L129" s="457" t="e">
        <f>VLOOKUP(U129&amp;K129,'Reference Records'!H$159:I257,2,0)</f>
        <v>#N/A</v>
      </c>
      <c r="M129" s="457" t="e">
        <f>MATCH($L129,'Reference Records'!$E$330:$E$506,0)+ROW(Population_by_intervention) -1</f>
        <v>#N/A</v>
      </c>
      <c r="N129" s="457" t="e">
        <f>MATCH($L129,'Reference Records'!$E$330:$E$506,1)+ROW(Population_by_intervention) -1</f>
        <v>#N/A</v>
      </c>
      <c r="O129" s="457" t="e">
        <f>INDEX('Reference Records'!K$159:K257,MATCH(L129,'Reference Records'!B$159:B257,0))</f>
        <v>#N/A</v>
      </c>
      <c r="P129" s="457"/>
      <c r="Q129" s="459"/>
      <c r="R129" s="460"/>
      <c r="S129" s="457" t="str">
        <f>IFERROR(VLOOKUP(INDEX('Reference Records'!J$329:J570,MATCH(R129,'Reference Records'!F$329:F570),1),'Reference Records'!B$158:C256,2,0),"")</f>
        <v/>
      </c>
      <c r="T129" s="458"/>
      <c r="U129" s="461" t="str">
        <f>IFERROR(IF(VLOOKUP(E129,'Reference Records'!$F$123:$N$157,9,FALSE)=0,"",VLOOKUP(E129,'Reference Records'!$F$123:$N$157,9,FALSE)),"")</f>
        <v/>
      </c>
      <c r="V129" s="455" t="str">
        <f>IF(IF(Language="French",G129,F129)=0,"",IF(Language="French",G129,F129))</f>
        <v/>
      </c>
      <c r="W129" s="462" t="str">
        <f t="shared" si="13"/>
        <v/>
      </c>
      <c r="X129" s="463" t="str">
        <f t="shared" si="14"/>
        <v>a1P3p000006KmxbEAC</v>
      </c>
      <c r="Y129" s="463" t="b">
        <f t="shared" si="15"/>
        <v>0</v>
      </c>
      <c r="Z129" s="463" t="b">
        <f t="shared" si="16"/>
        <v>1</v>
      </c>
      <c r="AA129" s="463" t="str">
        <f>IF(R129="",IFERROR(VLOOKUP(AC129,'Reference Records'!G$330:J569,3,0),""),IFERROR(VLOOKUP(AC129,'Reference Records'!H$330:J569,2,0),""))</f>
        <v/>
      </c>
      <c r="AB129" s="463" t="s">
        <v>1424</v>
      </c>
      <c r="AC129" s="452" t="e">
        <f t="shared" si="17"/>
        <v>#N/A</v>
      </c>
      <c r="AD129" s="452" t="str">
        <f t="shared" si="18"/>
        <v/>
      </c>
      <c r="AE129" s="452" t="str">
        <f t="array" ref="AE129">IFERROR(IF(INDEX($W$123:$W$174, MATCH(0, IF(AD129=$E$123:$E$174, COUNTIF($AE$122:$AE128, $W$123:$W$174), ""), 0))=0,"",INDEX($W$123:$W$174, MATCH(0, IF(AD129=$E$123:$E$174, COUNTIF($AE$122:$AE128, $W$123:$W$174), ""), 0))),"")</f>
        <v/>
      </c>
      <c r="AF129" s="452" t="str">
        <f t="shared" si="19"/>
        <v>|empty|</v>
      </c>
      <c r="AG129" s="452" t="str">
        <f t="shared" si="20"/>
        <v>INT-130919</v>
      </c>
      <c r="AH129" s="452" t="e">
        <f t="shared" si="21"/>
        <v>#N/A</v>
      </c>
      <c r="AI129" s="452">
        <f>IF(COUNTIF($AH$123:AH180,"&lt;="&amp;AH129)=0,"",COUNTIF($AH$123:AH180,"&lt;="&amp;AH129))</f>
        <v>51</v>
      </c>
      <c r="AJ129" s="452">
        <f>RANK(AI129,AI$123:AI180,1)</f>
        <v>1</v>
      </c>
      <c r="AK129" s="452" t="e">
        <f>INDEX(E$123:E180,MATCH(ROWS(AJ$123:AJ129),AJ$123:AJ180,0))</f>
        <v>#N/A</v>
      </c>
      <c r="AL129" s="452" t="e">
        <f>INDEX(K$123:K180,MATCH(ROWS(AJ$123:AJ129),AJ$123:AJ180,0))</f>
        <v>#N/A</v>
      </c>
      <c r="AM129" s="452" t="e">
        <f>INDEX(V$123:V180,MATCH(ROWS(AJ$123:AJ129),AJ$123:AJ180,0))</f>
        <v>#N/A</v>
      </c>
      <c r="AN129" s="452" t="e">
        <f t="shared" si="22"/>
        <v>#N/A</v>
      </c>
      <c r="AO129" s="452" t="e">
        <f t="shared" si="23"/>
        <v>#N/A</v>
      </c>
      <c r="AP129" s="452"/>
      <c r="AQ129" s="464" t="s">
        <v>1425</v>
      </c>
      <c r="AR129" s="104"/>
    </row>
    <row r="130" spans="1:44" ht="47.1" customHeight="1" x14ac:dyDescent="0.3">
      <c r="A130" s="135">
        <v>7</v>
      </c>
      <c r="B130" s="454"/>
      <c r="C130" s="454"/>
      <c r="D130" s="137"/>
      <c r="E130" s="455" t="str">
        <f>IFERROR(IF(AND(K130="",T130=""),"",(VLOOKUP(Q130,'Reference records(soft deleted)'!$B$87:$D$154,3,FALSE))),"")</f>
        <v/>
      </c>
      <c r="F130" s="456"/>
      <c r="G130" s="456"/>
      <c r="H130" s="457" t="str">
        <f>IF(R130="",IFERROR(VLOOKUP(AC130,'Reference Records'!G$330:J570,4,0),""),IFERROR(VLOOKUP(AC130,'Reference Records'!H$330:J570,3,0),""))</f>
        <v/>
      </c>
      <c r="I130" s="457"/>
      <c r="J130" s="458"/>
      <c r="K130" s="455" t="str">
        <f>IFERROR(VLOOKUP(INDEX('Reference Records'!E$329:E571,MATCH(R130,'Reference Records'!F$329:F571,0),1),'Reference Records'!B$158:C257,2,0),"")</f>
        <v/>
      </c>
      <c r="L130" s="457" t="e">
        <f>VLOOKUP(U130&amp;K130,'Reference Records'!H$159:I258,2,0)</f>
        <v>#N/A</v>
      </c>
      <c r="M130" s="457" t="e">
        <f>MATCH($L130,'Reference Records'!$E$330:$E$506,0)+ROW(Population_by_intervention) -1</f>
        <v>#N/A</v>
      </c>
      <c r="N130" s="457" t="e">
        <f>MATCH($L130,'Reference Records'!$E$330:$E$506,1)+ROW(Population_by_intervention) -1</f>
        <v>#N/A</v>
      </c>
      <c r="O130" s="457" t="e">
        <f>INDEX('Reference Records'!K$159:K258,MATCH(L130,'Reference Records'!B$159:B258,0))</f>
        <v>#N/A</v>
      </c>
      <c r="P130" s="457"/>
      <c r="Q130" s="459"/>
      <c r="R130" s="460"/>
      <c r="S130" s="457" t="str">
        <f>IFERROR(VLOOKUP(INDEX('Reference Records'!J$329:J571,MATCH(R130,'Reference Records'!F$329:F571),1),'Reference Records'!B$158:C257,2,0),"")</f>
        <v/>
      </c>
      <c r="T130" s="458"/>
      <c r="U130" s="461" t="str">
        <f>IFERROR(IF(VLOOKUP(E130,'Reference Records'!$F$123:$N$157,9,FALSE)=0,"",VLOOKUP(E130,'Reference Records'!$F$123:$N$157,9,FALSE)),"")</f>
        <v/>
      </c>
      <c r="V130" s="455" t="str">
        <f>IF(IF(Language="French",G130,F130)=0,"",IF(Language="French",G130,F130))</f>
        <v/>
      </c>
      <c r="W130" s="462" t="str">
        <f t="shared" si="13"/>
        <v/>
      </c>
      <c r="X130" s="463" t="str">
        <f t="shared" si="14"/>
        <v>a1P3p000006KmxbEAC</v>
      </c>
      <c r="Y130" s="463" t="b">
        <f t="shared" si="15"/>
        <v>0</v>
      </c>
      <c r="Z130" s="463" t="b">
        <f t="shared" si="16"/>
        <v>1</v>
      </c>
      <c r="AA130" s="463" t="str">
        <f>IF(R130="",IFERROR(VLOOKUP(AC130,'Reference Records'!G$330:J570,3,0),""),IFERROR(VLOOKUP(AC130,'Reference Records'!H$330:J570,2,0),""))</f>
        <v/>
      </c>
      <c r="AB130" s="463" t="s">
        <v>1426</v>
      </c>
      <c r="AC130" s="452" t="e">
        <f t="shared" si="17"/>
        <v>#N/A</v>
      </c>
      <c r="AD130" s="452" t="str">
        <f t="shared" si="18"/>
        <v/>
      </c>
      <c r="AE130" s="452" t="str">
        <f t="array" ref="AE130">IFERROR(IF(INDEX($W$123:$W$174, MATCH(0, IF(AD130=$E$123:$E$174, COUNTIF($AE$122:$AE129, $W$123:$W$174), ""), 0))=0,"",INDEX($W$123:$W$174, MATCH(0, IF(AD130=$E$123:$E$174, COUNTIF($AE$122:$AE129, $W$123:$W$174), ""), 0))),"")</f>
        <v/>
      </c>
      <c r="AF130" s="452" t="str">
        <f t="shared" si="19"/>
        <v>|empty|</v>
      </c>
      <c r="AG130" s="452" t="str">
        <f t="shared" si="20"/>
        <v>INT-130920</v>
      </c>
      <c r="AH130" s="452" t="e">
        <f t="shared" si="21"/>
        <v>#N/A</v>
      </c>
      <c r="AI130" s="452">
        <f>IF(COUNTIF($AH$123:AH181,"&lt;="&amp;AH130)=0,"",COUNTIF($AH$123:AH181,"&lt;="&amp;AH130))</f>
        <v>51</v>
      </c>
      <c r="AJ130" s="452">
        <f>RANK(AI130,AI$123:AI181,1)</f>
        <v>1</v>
      </c>
      <c r="AK130" s="452" t="e">
        <f>INDEX(E$123:E181,MATCH(ROWS(AJ$123:AJ130),AJ$123:AJ181,0))</f>
        <v>#N/A</v>
      </c>
      <c r="AL130" s="452" t="e">
        <f>INDEX(K$123:K181,MATCH(ROWS(AJ$123:AJ130),AJ$123:AJ181,0))</f>
        <v>#N/A</v>
      </c>
      <c r="AM130" s="452" t="e">
        <f>INDEX(V$123:V181,MATCH(ROWS(AJ$123:AJ130),AJ$123:AJ181,0))</f>
        <v>#N/A</v>
      </c>
      <c r="AN130" s="452" t="e">
        <f t="shared" si="22"/>
        <v>#N/A</v>
      </c>
      <c r="AO130" s="452" t="e">
        <f t="shared" si="23"/>
        <v>#N/A</v>
      </c>
      <c r="AP130" s="452"/>
      <c r="AQ130" s="464" t="s">
        <v>1427</v>
      </c>
      <c r="AR130" s="104"/>
    </row>
    <row r="131" spans="1:44" ht="47.1" customHeight="1" x14ac:dyDescent="0.3">
      <c r="A131" s="135">
        <v>8</v>
      </c>
      <c r="B131" s="454"/>
      <c r="C131" s="454"/>
      <c r="D131" s="137"/>
      <c r="E131" s="455" t="str">
        <f>IFERROR(IF(AND(K131="",T131=""),"",(VLOOKUP(Q131,'Reference records(soft deleted)'!$B$87:$D$154,3,FALSE))),"")</f>
        <v/>
      </c>
      <c r="F131" s="456"/>
      <c r="G131" s="456"/>
      <c r="H131" s="457" t="str">
        <f>IF(R131="",IFERROR(VLOOKUP(AC131,'Reference Records'!G$330:J571,4,0),""),IFERROR(VLOOKUP(AC131,'Reference Records'!H$330:J571,3,0),""))</f>
        <v/>
      </c>
      <c r="I131" s="457"/>
      <c r="J131" s="458"/>
      <c r="K131" s="455" t="str">
        <f>IFERROR(VLOOKUP(INDEX('Reference Records'!E$329:E572,MATCH(R131,'Reference Records'!F$329:F572,0),1),'Reference Records'!B$158:C258,2,0),"")</f>
        <v/>
      </c>
      <c r="L131" s="457" t="e">
        <f>VLOOKUP(U131&amp;K131,'Reference Records'!H$159:I259,2,0)</f>
        <v>#N/A</v>
      </c>
      <c r="M131" s="457" t="e">
        <f>MATCH($L131,'Reference Records'!$E$330:$E$506,0)+ROW(Population_by_intervention) -1</f>
        <v>#N/A</v>
      </c>
      <c r="N131" s="457" t="e">
        <f>MATCH($L131,'Reference Records'!$E$330:$E$506,1)+ROW(Population_by_intervention) -1</f>
        <v>#N/A</v>
      </c>
      <c r="O131" s="457" t="e">
        <f>INDEX('Reference Records'!K$159:K259,MATCH(L131,'Reference Records'!B$159:B259,0))</f>
        <v>#N/A</v>
      </c>
      <c r="P131" s="457"/>
      <c r="Q131" s="459"/>
      <c r="R131" s="460"/>
      <c r="S131" s="457" t="str">
        <f>IFERROR(VLOOKUP(INDEX('Reference Records'!J$329:J572,MATCH(R131,'Reference Records'!F$329:F572),1),'Reference Records'!B$158:C258,2,0),"")</f>
        <v/>
      </c>
      <c r="T131" s="458"/>
      <c r="U131" s="461" t="str">
        <f>IFERROR(IF(VLOOKUP(E131,'Reference Records'!$F$123:$N$157,9,FALSE)=0,"",VLOOKUP(E131,'Reference Records'!$F$123:$N$157,9,FALSE)),"")</f>
        <v/>
      </c>
      <c r="V131" s="455" t="str">
        <f>IF(IF(Language="French",G131,F131)=0,"",IF(Language="French",G131,F131))</f>
        <v/>
      </c>
      <c r="W131" s="462" t="str">
        <f t="shared" si="13"/>
        <v/>
      </c>
      <c r="X131" s="463" t="str">
        <f t="shared" si="14"/>
        <v>a1P3p000006KmxbEAC</v>
      </c>
      <c r="Y131" s="463" t="b">
        <f t="shared" si="15"/>
        <v>0</v>
      </c>
      <c r="Z131" s="463" t="b">
        <f t="shared" si="16"/>
        <v>1</v>
      </c>
      <c r="AA131" s="463" t="str">
        <f>IF(R131="",IFERROR(VLOOKUP(AC131,'Reference Records'!G$330:J571,3,0),""),IFERROR(VLOOKUP(AC131,'Reference Records'!H$330:J571,2,0),""))</f>
        <v/>
      </c>
      <c r="AB131" s="463" t="s">
        <v>1428</v>
      </c>
      <c r="AC131" s="452" t="e">
        <f t="shared" si="17"/>
        <v>#N/A</v>
      </c>
      <c r="AD131" s="452" t="str">
        <f t="shared" si="18"/>
        <v/>
      </c>
      <c r="AE131" s="452" t="str">
        <f t="array" ref="AE131">IFERROR(IF(INDEX($W$123:$W$174, MATCH(0, IF(AD131=$E$123:$E$174, COUNTIF($AE$122:$AE130, $W$123:$W$174), ""), 0))=0,"",INDEX($W$123:$W$174, MATCH(0, IF(AD131=$E$123:$E$174, COUNTIF($AE$122:$AE130, $W$123:$W$174), ""), 0))),"")</f>
        <v/>
      </c>
      <c r="AF131" s="452" t="str">
        <f t="shared" si="19"/>
        <v>|empty|</v>
      </c>
      <c r="AG131" s="452" t="str">
        <f t="shared" si="20"/>
        <v>INT-130921</v>
      </c>
      <c r="AH131" s="452" t="e">
        <f t="shared" si="21"/>
        <v>#N/A</v>
      </c>
      <c r="AI131" s="452">
        <f>IF(COUNTIF($AH$123:AH182,"&lt;="&amp;AH131)=0,"",COUNTIF($AH$123:AH182,"&lt;="&amp;AH131))</f>
        <v>51</v>
      </c>
      <c r="AJ131" s="452">
        <f>RANK(AI131,AI$123:AI182,1)</f>
        <v>1</v>
      </c>
      <c r="AK131" s="452" t="e">
        <f>INDEX(E$123:E182,MATCH(ROWS(AJ$123:AJ131),AJ$123:AJ182,0))</f>
        <v>#N/A</v>
      </c>
      <c r="AL131" s="452" t="e">
        <f>INDEX(K$123:K182,MATCH(ROWS(AJ$123:AJ131),AJ$123:AJ182,0))</f>
        <v>#N/A</v>
      </c>
      <c r="AM131" s="452" t="e">
        <f>INDEX(V$123:V182,MATCH(ROWS(AJ$123:AJ131),AJ$123:AJ182,0))</f>
        <v>#N/A</v>
      </c>
      <c r="AN131" s="452" t="e">
        <f t="shared" si="22"/>
        <v>#N/A</v>
      </c>
      <c r="AO131" s="452" t="e">
        <f t="shared" si="23"/>
        <v>#N/A</v>
      </c>
      <c r="AP131" s="452"/>
      <c r="AQ131" s="464" t="s">
        <v>1429</v>
      </c>
      <c r="AR131" s="104"/>
    </row>
    <row r="132" spans="1:44" ht="47.1" customHeight="1" x14ac:dyDescent="0.3">
      <c r="A132" s="135">
        <v>9</v>
      </c>
      <c r="B132" s="454"/>
      <c r="C132" s="454"/>
      <c r="D132" s="137"/>
      <c r="E132" s="455" t="str">
        <f>IFERROR(IF(AND(K132="",T132=""),"",(VLOOKUP(Q132,'Reference records(soft deleted)'!$B$87:$D$154,3,FALSE))),"")</f>
        <v/>
      </c>
      <c r="F132" s="456"/>
      <c r="G132" s="456"/>
      <c r="H132" s="457" t="str">
        <f>IF(R132="",IFERROR(VLOOKUP(AC132,'Reference Records'!G$330:J572,4,0),""),IFERROR(VLOOKUP(AC132,'Reference Records'!H$330:J572,3,0),""))</f>
        <v/>
      </c>
      <c r="I132" s="457"/>
      <c r="J132" s="458"/>
      <c r="K132" s="455" t="str">
        <f>IFERROR(VLOOKUP(INDEX('Reference Records'!E$329:E573,MATCH(R132,'Reference Records'!F$329:F573,0),1),'Reference Records'!B$158:C259,2,0),"")</f>
        <v/>
      </c>
      <c r="L132" s="457" t="e">
        <f>VLOOKUP(U132&amp;K132,'Reference Records'!H$159:I260,2,0)</f>
        <v>#N/A</v>
      </c>
      <c r="M132" s="457" t="e">
        <f>MATCH($L132,'Reference Records'!$E$330:$E$506,0)+ROW(Population_by_intervention) -1</f>
        <v>#N/A</v>
      </c>
      <c r="N132" s="457" t="e">
        <f>MATCH($L132,'Reference Records'!$E$330:$E$506,1)+ROW(Population_by_intervention) -1</f>
        <v>#N/A</v>
      </c>
      <c r="O132" s="457" t="e">
        <f>INDEX('Reference Records'!K$159:K260,MATCH(L132,'Reference Records'!B$159:B260,0))</f>
        <v>#N/A</v>
      </c>
      <c r="P132" s="457"/>
      <c r="Q132" s="459"/>
      <c r="R132" s="460"/>
      <c r="S132" s="457" t="str">
        <f>IFERROR(VLOOKUP(INDEX('Reference Records'!J$329:J573,MATCH(R132,'Reference Records'!F$329:F573),1),'Reference Records'!B$158:C259,2,0),"")</f>
        <v/>
      </c>
      <c r="T132" s="458"/>
      <c r="U132" s="461" t="str">
        <f>IFERROR(IF(VLOOKUP(E132,'Reference Records'!$F$123:$N$157,9,FALSE)=0,"",VLOOKUP(E132,'Reference Records'!$F$123:$N$157,9,FALSE)),"")</f>
        <v/>
      </c>
      <c r="V132" s="455" t="str">
        <f>IF(IF(Language="French",G132,F132)=0,"",IF(Language="French",G132,F132))</f>
        <v/>
      </c>
      <c r="W132" s="462" t="str">
        <f t="shared" si="13"/>
        <v/>
      </c>
      <c r="X132" s="463" t="str">
        <f t="shared" si="14"/>
        <v>a1P3p000006KmxbEAC</v>
      </c>
      <c r="Y132" s="463" t="b">
        <f t="shared" si="15"/>
        <v>0</v>
      </c>
      <c r="Z132" s="463" t="b">
        <f t="shared" si="16"/>
        <v>1</v>
      </c>
      <c r="AA132" s="463" t="str">
        <f>IF(R132="",IFERROR(VLOOKUP(AC132,'Reference Records'!G$330:J572,3,0),""),IFERROR(VLOOKUP(AC132,'Reference Records'!H$330:J572,2,0),""))</f>
        <v/>
      </c>
      <c r="AB132" s="463" t="s">
        <v>1430</v>
      </c>
      <c r="AC132" s="452" t="e">
        <f t="shared" si="17"/>
        <v>#N/A</v>
      </c>
      <c r="AD132" s="452" t="str">
        <f t="shared" si="18"/>
        <v/>
      </c>
      <c r="AE132" s="452" t="str">
        <f t="array" ref="AE132">IFERROR(IF(INDEX($W$123:$W$174, MATCH(0, IF(AD132=$E$123:$E$174, COUNTIF($AE$122:$AE131, $W$123:$W$174), ""), 0))=0,"",INDEX($W$123:$W$174, MATCH(0, IF(AD132=$E$123:$E$174, COUNTIF($AE$122:$AE131, $W$123:$W$174), ""), 0))),"")</f>
        <v/>
      </c>
      <c r="AF132" s="452" t="str">
        <f t="shared" si="19"/>
        <v>|empty|</v>
      </c>
      <c r="AG132" s="452" t="str">
        <f t="shared" si="20"/>
        <v>INT-130922</v>
      </c>
      <c r="AH132" s="452" t="e">
        <f t="shared" si="21"/>
        <v>#N/A</v>
      </c>
      <c r="AI132" s="452">
        <f>IF(COUNTIF($AH$123:AH183,"&lt;="&amp;AH132)=0,"",COUNTIF($AH$123:AH183,"&lt;="&amp;AH132))</f>
        <v>51</v>
      </c>
      <c r="AJ132" s="452">
        <f>RANK(AI132,AI$123:AI183,1)</f>
        <v>1</v>
      </c>
      <c r="AK132" s="452" t="e">
        <f>INDEX(E$123:E183,MATCH(ROWS(AJ$123:AJ132),AJ$123:AJ183,0))</f>
        <v>#N/A</v>
      </c>
      <c r="AL132" s="452" t="e">
        <f>INDEX(K$123:K183,MATCH(ROWS(AJ$123:AJ132),AJ$123:AJ183,0))</f>
        <v>#N/A</v>
      </c>
      <c r="AM132" s="452" t="e">
        <f>INDEX(V$123:V183,MATCH(ROWS(AJ$123:AJ132),AJ$123:AJ183,0))</f>
        <v>#N/A</v>
      </c>
      <c r="AN132" s="452" t="e">
        <f t="shared" si="22"/>
        <v>#N/A</v>
      </c>
      <c r="AO132" s="452" t="e">
        <f t="shared" si="23"/>
        <v>#N/A</v>
      </c>
      <c r="AP132" s="452"/>
      <c r="AQ132" s="464" t="s">
        <v>1431</v>
      </c>
      <c r="AR132" s="104"/>
    </row>
    <row r="133" spans="1:44" ht="47.1" customHeight="1" x14ac:dyDescent="0.3">
      <c r="A133" s="135">
        <v>10</v>
      </c>
      <c r="B133" s="454"/>
      <c r="C133" s="454"/>
      <c r="D133" s="137"/>
      <c r="E133" s="455" t="str">
        <f>IFERROR(IF(AND(K133="",T133=""),"",(VLOOKUP(Q133,'Reference records(soft deleted)'!$B$87:$D$154,3,FALSE))),"")</f>
        <v/>
      </c>
      <c r="F133" s="456"/>
      <c r="G133" s="456"/>
      <c r="H133" s="457" t="str">
        <f>IF(R133="",IFERROR(VLOOKUP(AC133,'Reference Records'!G$330:J573,4,0),""),IFERROR(VLOOKUP(AC133,'Reference Records'!H$330:J573,3,0),""))</f>
        <v/>
      </c>
      <c r="I133" s="457"/>
      <c r="J133" s="458"/>
      <c r="K133" s="455" t="str">
        <f>IFERROR(VLOOKUP(INDEX('Reference Records'!E$329:E574,MATCH(R133,'Reference Records'!F$329:F574,0),1),'Reference Records'!B$158:C260,2,0),"")</f>
        <v/>
      </c>
      <c r="L133" s="457" t="e">
        <f>VLOOKUP(U133&amp;K133,'Reference Records'!H$159:I261,2,0)</f>
        <v>#N/A</v>
      </c>
      <c r="M133" s="457" t="e">
        <f>MATCH($L133,'Reference Records'!$E$330:$E$506,0)+ROW(Population_by_intervention) -1</f>
        <v>#N/A</v>
      </c>
      <c r="N133" s="457" t="e">
        <f>MATCH($L133,'Reference Records'!$E$330:$E$506,1)+ROW(Population_by_intervention) -1</f>
        <v>#N/A</v>
      </c>
      <c r="O133" s="457" t="e">
        <f>INDEX('Reference Records'!K$159:K261,MATCH(L133,'Reference Records'!B$159:B261,0))</f>
        <v>#N/A</v>
      </c>
      <c r="P133" s="457"/>
      <c r="Q133" s="459"/>
      <c r="R133" s="460"/>
      <c r="S133" s="457" t="str">
        <f>IFERROR(VLOOKUP(INDEX('Reference Records'!J$329:J574,MATCH(R133,'Reference Records'!F$329:F574),1),'Reference Records'!B$158:C260,2,0),"")</f>
        <v/>
      </c>
      <c r="T133" s="458"/>
      <c r="U133" s="461" t="str">
        <f>IFERROR(IF(VLOOKUP(E133,'Reference Records'!$F$123:$N$157,9,FALSE)=0,"",VLOOKUP(E133,'Reference Records'!$F$123:$N$157,9,FALSE)),"")</f>
        <v/>
      </c>
      <c r="V133" s="455" t="str">
        <f>IF(IF(Language="French",G133,F133)=0,"",IF(Language="French",G133,F133))</f>
        <v/>
      </c>
      <c r="W133" s="462" t="str">
        <f t="shared" si="13"/>
        <v/>
      </c>
      <c r="X133" s="463" t="str">
        <f t="shared" si="14"/>
        <v>a1P3p000006KmxbEAC</v>
      </c>
      <c r="Y133" s="463" t="b">
        <f t="shared" si="15"/>
        <v>0</v>
      </c>
      <c r="Z133" s="463" t="b">
        <f t="shared" si="16"/>
        <v>1</v>
      </c>
      <c r="AA133" s="463" t="str">
        <f>IF(R133="",IFERROR(VLOOKUP(AC133,'Reference Records'!G$330:J573,3,0),""),IFERROR(VLOOKUP(AC133,'Reference Records'!H$330:J573,2,0),""))</f>
        <v/>
      </c>
      <c r="AB133" s="463" t="s">
        <v>1432</v>
      </c>
      <c r="AC133" s="452" t="e">
        <f t="shared" si="17"/>
        <v>#N/A</v>
      </c>
      <c r="AD133" s="452" t="str">
        <f t="shared" si="18"/>
        <v/>
      </c>
      <c r="AE133" s="452" t="str">
        <f t="array" ref="AE133">IFERROR(IF(INDEX($W$123:$W$174, MATCH(0, IF(AD133=$E$123:$E$174, COUNTIF($AE$122:$AE132, $W$123:$W$174), ""), 0))=0,"",INDEX($W$123:$W$174, MATCH(0, IF(AD133=$E$123:$E$174, COUNTIF($AE$122:$AE132, $W$123:$W$174), ""), 0))),"")</f>
        <v/>
      </c>
      <c r="AF133" s="452" t="str">
        <f t="shared" si="19"/>
        <v>|empty|</v>
      </c>
      <c r="AG133" s="452" t="str">
        <f t="shared" si="20"/>
        <v>INT-130923</v>
      </c>
      <c r="AH133" s="452" t="e">
        <f t="shared" si="21"/>
        <v>#N/A</v>
      </c>
      <c r="AI133" s="452">
        <f>IF(COUNTIF($AH$123:AH184,"&lt;="&amp;AH133)=0,"",COUNTIF($AH$123:AH184,"&lt;="&amp;AH133))</f>
        <v>51</v>
      </c>
      <c r="AJ133" s="452">
        <f>RANK(AI133,AI$123:AI184,1)</f>
        <v>1</v>
      </c>
      <c r="AK133" s="452" t="e">
        <f>INDEX(E$123:E184,MATCH(ROWS(AJ$123:AJ133),AJ$123:AJ184,0))</f>
        <v>#N/A</v>
      </c>
      <c r="AL133" s="452" t="e">
        <f>INDEX(K$123:K184,MATCH(ROWS(AJ$123:AJ133),AJ$123:AJ184,0))</f>
        <v>#N/A</v>
      </c>
      <c r="AM133" s="452" t="e">
        <f>INDEX(V$123:V184,MATCH(ROWS(AJ$123:AJ133),AJ$123:AJ184,0))</f>
        <v>#N/A</v>
      </c>
      <c r="AN133" s="452" t="e">
        <f t="shared" si="22"/>
        <v>#N/A</v>
      </c>
      <c r="AO133" s="452" t="e">
        <f t="shared" si="23"/>
        <v>#N/A</v>
      </c>
      <c r="AP133" s="452"/>
      <c r="AQ133" s="464" t="s">
        <v>1433</v>
      </c>
      <c r="AR133" s="104"/>
    </row>
    <row r="134" spans="1:44" ht="47.1" customHeight="1" x14ac:dyDescent="0.3">
      <c r="A134" s="135">
        <v>11</v>
      </c>
      <c r="B134" s="454"/>
      <c r="C134" s="454"/>
      <c r="D134" s="137"/>
      <c r="E134" s="455" t="str">
        <f>IFERROR(IF(AND(K134="",T134=""),"",(VLOOKUP(Q134,'Reference records(soft deleted)'!$B$87:$D$154,3,FALSE))),"")</f>
        <v/>
      </c>
      <c r="F134" s="456"/>
      <c r="G134" s="456"/>
      <c r="H134" s="457" t="str">
        <f>IF(R134="",IFERROR(VLOOKUP(AC134,'Reference Records'!G$330:J574,4,0),""),IFERROR(VLOOKUP(AC134,'Reference Records'!H$330:J574,3,0),""))</f>
        <v/>
      </c>
      <c r="I134" s="457"/>
      <c r="J134" s="458"/>
      <c r="K134" s="455" t="str">
        <f>IFERROR(VLOOKUP(INDEX('Reference Records'!E$329:E575,MATCH(R134,'Reference Records'!F$329:F575,0),1),'Reference Records'!B$158:C261,2,0),"")</f>
        <v/>
      </c>
      <c r="L134" s="457" t="e">
        <f>VLOOKUP(U134&amp;K134,'Reference Records'!H$159:I262,2,0)</f>
        <v>#N/A</v>
      </c>
      <c r="M134" s="457" t="e">
        <f>MATCH($L134,'Reference Records'!$E$330:$E$506,0)+ROW(Population_by_intervention) -1</f>
        <v>#N/A</v>
      </c>
      <c r="N134" s="457" t="e">
        <f>MATCH($L134,'Reference Records'!$E$330:$E$506,1)+ROW(Population_by_intervention) -1</f>
        <v>#N/A</v>
      </c>
      <c r="O134" s="457" t="e">
        <f>INDEX('Reference Records'!K$159:K262,MATCH(L134,'Reference Records'!B$159:B262,0))</f>
        <v>#N/A</v>
      </c>
      <c r="P134" s="457"/>
      <c r="Q134" s="459"/>
      <c r="R134" s="460"/>
      <c r="S134" s="457" t="str">
        <f>IFERROR(VLOOKUP(INDEX('Reference Records'!J$329:J575,MATCH(R134,'Reference Records'!F$329:F575),1),'Reference Records'!B$158:C261,2,0),"")</f>
        <v/>
      </c>
      <c r="T134" s="458"/>
      <c r="U134" s="461" t="str">
        <f>IFERROR(IF(VLOOKUP(E134,'Reference Records'!$F$123:$N$157,9,FALSE)=0,"",VLOOKUP(E134,'Reference Records'!$F$123:$N$157,9,FALSE)),"")</f>
        <v/>
      </c>
      <c r="V134" s="455" t="str">
        <f>IF(IF(Language="French",G134,F134)=0,"",IF(Language="French",G134,F134))</f>
        <v/>
      </c>
      <c r="W134" s="462" t="str">
        <f t="shared" si="13"/>
        <v/>
      </c>
      <c r="X134" s="463" t="str">
        <f t="shared" si="14"/>
        <v>a1P3p000006KmxbEAC</v>
      </c>
      <c r="Y134" s="463" t="b">
        <f t="shared" si="15"/>
        <v>0</v>
      </c>
      <c r="Z134" s="463" t="b">
        <f t="shared" si="16"/>
        <v>1</v>
      </c>
      <c r="AA134" s="463" t="str">
        <f>IF(R134="",IFERROR(VLOOKUP(AC134,'Reference Records'!G$330:J574,3,0),""),IFERROR(VLOOKUP(AC134,'Reference Records'!H$330:J574,2,0),""))</f>
        <v/>
      </c>
      <c r="AB134" s="463" t="s">
        <v>1434</v>
      </c>
      <c r="AC134" s="452" t="e">
        <f t="shared" si="17"/>
        <v>#N/A</v>
      </c>
      <c r="AD134" s="452" t="str">
        <f t="shared" si="18"/>
        <v/>
      </c>
      <c r="AE134" s="452" t="str">
        <f t="array" ref="AE134">IFERROR(IF(INDEX($W$123:$W$174, MATCH(0, IF(AD134=$E$123:$E$174, COUNTIF($AE$122:$AE133, $W$123:$W$174), ""), 0))=0,"",INDEX($W$123:$W$174, MATCH(0, IF(AD134=$E$123:$E$174, COUNTIF($AE$122:$AE133, $W$123:$W$174), ""), 0))),"")</f>
        <v/>
      </c>
      <c r="AF134" s="452" t="str">
        <f t="shared" si="19"/>
        <v>|empty|</v>
      </c>
      <c r="AG134" s="452" t="str">
        <f t="shared" si="20"/>
        <v>INT-130924</v>
      </c>
      <c r="AH134" s="452" t="e">
        <f t="shared" si="21"/>
        <v>#N/A</v>
      </c>
      <c r="AI134" s="452">
        <f>IF(COUNTIF($AH$123:AH185,"&lt;="&amp;AH134)=0,"",COUNTIF($AH$123:AH185,"&lt;="&amp;AH134))</f>
        <v>51</v>
      </c>
      <c r="AJ134" s="452">
        <f>RANK(AI134,AI$123:AI185,1)</f>
        <v>1</v>
      </c>
      <c r="AK134" s="452" t="e">
        <f>INDEX(E$123:E185,MATCH(ROWS(AJ$123:AJ134),AJ$123:AJ185,0))</f>
        <v>#N/A</v>
      </c>
      <c r="AL134" s="452" t="e">
        <f>INDEX(K$123:K185,MATCH(ROWS(AJ$123:AJ134),AJ$123:AJ185,0))</f>
        <v>#N/A</v>
      </c>
      <c r="AM134" s="452" t="e">
        <f>INDEX(V$123:V185,MATCH(ROWS(AJ$123:AJ134),AJ$123:AJ185,0))</f>
        <v>#N/A</v>
      </c>
      <c r="AN134" s="452" t="e">
        <f t="shared" si="22"/>
        <v>#N/A</v>
      </c>
      <c r="AO134" s="452" t="e">
        <f t="shared" si="23"/>
        <v>#N/A</v>
      </c>
      <c r="AP134" s="452"/>
      <c r="AQ134" s="464" t="s">
        <v>1435</v>
      </c>
      <c r="AR134" s="104"/>
    </row>
    <row r="135" spans="1:44" ht="47.1" customHeight="1" x14ac:dyDescent="0.3">
      <c r="A135" s="135">
        <v>12</v>
      </c>
      <c r="B135" s="454"/>
      <c r="C135" s="454"/>
      <c r="D135" s="137"/>
      <c r="E135" s="455" t="str">
        <f>IFERROR(IF(AND(K135="",T135=""),"",(VLOOKUP(Q135,'Reference records(soft deleted)'!$B$87:$D$154,3,FALSE))),"")</f>
        <v/>
      </c>
      <c r="F135" s="456"/>
      <c r="G135" s="456"/>
      <c r="H135" s="457" t="str">
        <f>IF(R135="",IFERROR(VLOOKUP(AC135,'Reference Records'!G$330:J575,4,0),""),IFERROR(VLOOKUP(AC135,'Reference Records'!H$330:J575,3,0),""))</f>
        <v/>
      </c>
      <c r="I135" s="457"/>
      <c r="J135" s="458"/>
      <c r="K135" s="455" t="str">
        <f>IFERROR(VLOOKUP(INDEX('Reference Records'!E$329:E576,MATCH(R135,'Reference Records'!F$329:F576,0),1),'Reference Records'!B$158:C262,2,0),"")</f>
        <v/>
      </c>
      <c r="L135" s="457" t="e">
        <f>VLOOKUP(U135&amp;K135,'Reference Records'!H$159:I263,2,0)</f>
        <v>#N/A</v>
      </c>
      <c r="M135" s="457" t="e">
        <f>MATCH($L135,'Reference Records'!$E$330:$E$506,0)+ROW(Population_by_intervention) -1</f>
        <v>#N/A</v>
      </c>
      <c r="N135" s="457" t="e">
        <f>MATCH($L135,'Reference Records'!$E$330:$E$506,1)+ROW(Population_by_intervention) -1</f>
        <v>#N/A</v>
      </c>
      <c r="O135" s="457" t="e">
        <f>INDEX('Reference Records'!K$159:K263,MATCH(L135,'Reference Records'!B$159:B263,0))</f>
        <v>#N/A</v>
      </c>
      <c r="P135" s="457"/>
      <c r="Q135" s="459"/>
      <c r="R135" s="460"/>
      <c r="S135" s="457" t="str">
        <f>IFERROR(VLOOKUP(INDEX('Reference Records'!J$329:J576,MATCH(R135,'Reference Records'!F$329:F576),1),'Reference Records'!B$158:C262,2,0),"")</f>
        <v/>
      </c>
      <c r="T135" s="458"/>
      <c r="U135" s="461" t="str">
        <f>IFERROR(IF(VLOOKUP(E135,'Reference Records'!$F$123:$N$157,9,FALSE)=0,"",VLOOKUP(E135,'Reference Records'!$F$123:$N$157,9,FALSE)),"")</f>
        <v/>
      </c>
      <c r="V135" s="455" t="str">
        <f>IF(IF(Language="French",G135,F135)=0,"",IF(Language="French",G135,F135))</f>
        <v/>
      </c>
      <c r="W135" s="462" t="str">
        <f t="shared" si="13"/>
        <v/>
      </c>
      <c r="X135" s="463" t="str">
        <f t="shared" si="14"/>
        <v>a1P3p000006KmxbEAC</v>
      </c>
      <c r="Y135" s="463" t="b">
        <f t="shared" si="15"/>
        <v>0</v>
      </c>
      <c r="Z135" s="463" t="b">
        <f t="shared" si="16"/>
        <v>1</v>
      </c>
      <c r="AA135" s="463" t="str">
        <f>IF(R135="",IFERROR(VLOOKUP(AC135,'Reference Records'!G$330:J575,3,0),""),IFERROR(VLOOKUP(AC135,'Reference Records'!H$330:J575,2,0),""))</f>
        <v/>
      </c>
      <c r="AB135" s="463" t="s">
        <v>1436</v>
      </c>
      <c r="AC135" s="452" t="e">
        <f t="shared" si="17"/>
        <v>#N/A</v>
      </c>
      <c r="AD135" s="452" t="str">
        <f t="shared" si="18"/>
        <v/>
      </c>
      <c r="AE135" s="452" t="str">
        <f t="array" ref="AE135">IFERROR(IF(INDEX($W$123:$W$174, MATCH(0, IF(AD135=$E$123:$E$174, COUNTIF($AE$122:$AE134, $W$123:$W$174), ""), 0))=0,"",INDEX($W$123:$W$174, MATCH(0, IF(AD135=$E$123:$E$174, COUNTIF($AE$122:$AE134, $W$123:$W$174), ""), 0))),"")</f>
        <v/>
      </c>
      <c r="AF135" s="452" t="str">
        <f t="shared" si="19"/>
        <v>|empty|</v>
      </c>
      <c r="AG135" s="452" t="str">
        <f t="shared" si="20"/>
        <v>INT-130925</v>
      </c>
      <c r="AH135" s="452" t="e">
        <f t="shared" si="21"/>
        <v>#N/A</v>
      </c>
      <c r="AI135" s="452">
        <f>IF(COUNTIF($AH$123:AH186,"&lt;="&amp;AH135)=0,"",COUNTIF($AH$123:AH186,"&lt;="&amp;AH135))</f>
        <v>51</v>
      </c>
      <c r="AJ135" s="452">
        <f>RANK(AI135,AI$123:AI186,1)</f>
        <v>1</v>
      </c>
      <c r="AK135" s="452" t="e">
        <f>INDEX(E$123:E186,MATCH(ROWS(AJ$123:AJ135),AJ$123:AJ186,0))</f>
        <v>#N/A</v>
      </c>
      <c r="AL135" s="452" t="e">
        <f>INDEX(K$123:K186,MATCH(ROWS(AJ$123:AJ135),AJ$123:AJ186,0))</f>
        <v>#N/A</v>
      </c>
      <c r="AM135" s="452" t="e">
        <f>INDEX(V$123:V186,MATCH(ROWS(AJ$123:AJ135),AJ$123:AJ186,0))</f>
        <v>#N/A</v>
      </c>
      <c r="AN135" s="452" t="e">
        <f t="shared" si="22"/>
        <v>#N/A</v>
      </c>
      <c r="AO135" s="452" t="e">
        <f t="shared" si="23"/>
        <v>#N/A</v>
      </c>
      <c r="AP135" s="452"/>
      <c r="AQ135" s="464" t="s">
        <v>1437</v>
      </c>
      <c r="AR135" s="104"/>
    </row>
    <row r="136" spans="1:44" ht="47.1" customHeight="1" x14ac:dyDescent="0.3">
      <c r="A136" s="135">
        <v>13</v>
      </c>
      <c r="B136" s="454"/>
      <c r="C136" s="454"/>
      <c r="D136" s="137"/>
      <c r="E136" s="455" t="str">
        <f>IFERROR(IF(AND(K136="",T136=""),"",(VLOOKUP(Q136,'Reference records(soft deleted)'!$B$87:$D$154,3,FALSE))),"")</f>
        <v/>
      </c>
      <c r="F136" s="456"/>
      <c r="G136" s="456"/>
      <c r="H136" s="457" t="str">
        <f>IF(R136="",IFERROR(VLOOKUP(AC136,'Reference Records'!G$330:J576,4,0),""),IFERROR(VLOOKUP(AC136,'Reference Records'!H$330:J576,3,0),""))</f>
        <v/>
      </c>
      <c r="I136" s="457"/>
      <c r="J136" s="458"/>
      <c r="K136" s="455" t="str">
        <f>IFERROR(VLOOKUP(INDEX('Reference Records'!E$329:E577,MATCH(R136,'Reference Records'!F$329:F577,0),1),'Reference Records'!B$158:C263,2,0),"")</f>
        <v/>
      </c>
      <c r="L136" s="457" t="e">
        <f>VLOOKUP(U136&amp;K136,'Reference Records'!H$159:I264,2,0)</f>
        <v>#N/A</v>
      </c>
      <c r="M136" s="457" t="e">
        <f>MATCH($L136,'Reference Records'!$E$330:$E$506,0)+ROW(Population_by_intervention) -1</f>
        <v>#N/A</v>
      </c>
      <c r="N136" s="457" t="e">
        <f>MATCH($L136,'Reference Records'!$E$330:$E$506,1)+ROW(Population_by_intervention) -1</f>
        <v>#N/A</v>
      </c>
      <c r="O136" s="457" t="e">
        <f>INDEX('Reference Records'!K$159:K264,MATCH(L136,'Reference Records'!B$159:B264,0))</f>
        <v>#N/A</v>
      </c>
      <c r="P136" s="457"/>
      <c r="Q136" s="459"/>
      <c r="R136" s="460"/>
      <c r="S136" s="457" t="str">
        <f>IFERROR(VLOOKUP(INDEX('Reference Records'!J$329:J577,MATCH(R136,'Reference Records'!F$329:F577),1),'Reference Records'!B$158:C263,2,0),"")</f>
        <v/>
      </c>
      <c r="T136" s="458"/>
      <c r="U136" s="461" t="str">
        <f>IFERROR(IF(VLOOKUP(E136,'Reference Records'!$F$123:$N$157,9,FALSE)=0,"",VLOOKUP(E136,'Reference Records'!$F$123:$N$157,9,FALSE)),"")</f>
        <v/>
      </c>
      <c r="V136" s="455" t="str">
        <f>IF(IF(Language="French",G136,F136)=0,"",IF(Language="French",G136,F136))</f>
        <v/>
      </c>
      <c r="W136" s="462" t="str">
        <f t="shared" si="13"/>
        <v/>
      </c>
      <c r="X136" s="463" t="str">
        <f t="shared" si="14"/>
        <v>a1P3p000006KmxbEAC</v>
      </c>
      <c r="Y136" s="463" t="b">
        <f t="shared" si="15"/>
        <v>0</v>
      </c>
      <c r="Z136" s="463" t="b">
        <f t="shared" si="16"/>
        <v>1</v>
      </c>
      <c r="AA136" s="463" t="str">
        <f>IF(R136="",IFERROR(VLOOKUP(AC136,'Reference Records'!G$330:J576,3,0),""),IFERROR(VLOOKUP(AC136,'Reference Records'!H$330:J576,2,0),""))</f>
        <v/>
      </c>
      <c r="AB136" s="463" t="s">
        <v>1438</v>
      </c>
      <c r="AC136" s="452" t="e">
        <f t="shared" si="17"/>
        <v>#N/A</v>
      </c>
      <c r="AD136" s="452" t="str">
        <f t="shared" si="18"/>
        <v/>
      </c>
      <c r="AE136" s="452" t="str">
        <f t="array" ref="AE136">IFERROR(IF(INDEX($W$123:$W$174, MATCH(0, IF(AD136=$E$123:$E$174, COUNTIF($AE$122:$AE135, $W$123:$W$174), ""), 0))=0,"",INDEX($W$123:$W$174, MATCH(0, IF(AD136=$E$123:$E$174, COUNTIF($AE$122:$AE135, $W$123:$W$174), ""), 0))),"")</f>
        <v/>
      </c>
      <c r="AF136" s="452" t="str">
        <f t="shared" si="19"/>
        <v>|empty|</v>
      </c>
      <c r="AG136" s="452" t="str">
        <f t="shared" si="20"/>
        <v>INT-130926</v>
      </c>
      <c r="AH136" s="452" t="e">
        <f t="shared" si="21"/>
        <v>#N/A</v>
      </c>
      <c r="AI136" s="452">
        <f>IF(COUNTIF($AH$123:AH187,"&lt;="&amp;AH136)=0,"",COUNTIF($AH$123:AH187,"&lt;="&amp;AH136))</f>
        <v>51</v>
      </c>
      <c r="AJ136" s="452">
        <f>RANK(AI136,AI$123:AI187,1)</f>
        <v>1</v>
      </c>
      <c r="AK136" s="452" t="e">
        <f>INDEX(E$123:E187,MATCH(ROWS(AJ$123:AJ136),AJ$123:AJ187,0))</f>
        <v>#N/A</v>
      </c>
      <c r="AL136" s="452" t="e">
        <f>INDEX(K$123:K187,MATCH(ROWS(AJ$123:AJ136),AJ$123:AJ187,0))</f>
        <v>#N/A</v>
      </c>
      <c r="AM136" s="452" t="e">
        <f>INDEX(V$123:V187,MATCH(ROWS(AJ$123:AJ136),AJ$123:AJ187,0))</f>
        <v>#N/A</v>
      </c>
      <c r="AN136" s="452" t="e">
        <f t="shared" si="22"/>
        <v>#N/A</v>
      </c>
      <c r="AO136" s="452" t="e">
        <f t="shared" si="23"/>
        <v>#N/A</v>
      </c>
      <c r="AP136" s="452"/>
      <c r="AQ136" s="464" t="s">
        <v>1439</v>
      </c>
      <c r="AR136" s="104"/>
    </row>
    <row r="137" spans="1:44" ht="47.1" customHeight="1" x14ac:dyDescent="0.3">
      <c r="A137" s="135">
        <v>14</v>
      </c>
      <c r="B137" s="454"/>
      <c r="C137" s="454"/>
      <c r="D137" s="137"/>
      <c r="E137" s="455" t="str">
        <f>IFERROR(IF(AND(K137="",T137=""),"",(VLOOKUP(Q137,'Reference records(soft deleted)'!$B$87:$D$154,3,FALSE))),"")</f>
        <v/>
      </c>
      <c r="F137" s="456"/>
      <c r="G137" s="456"/>
      <c r="H137" s="457" t="str">
        <f>IF(R137="",IFERROR(VLOOKUP(AC137,'Reference Records'!G$330:J577,4,0),""),IFERROR(VLOOKUP(AC137,'Reference Records'!H$330:J577,3,0),""))</f>
        <v/>
      </c>
      <c r="I137" s="457"/>
      <c r="J137" s="458"/>
      <c r="K137" s="455" t="str">
        <f>IFERROR(VLOOKUP(INDEX('Reference Records'!E$329:E578,MATCH(R137,'Reference Records'!F$329:F578,0),1),'Reference Records'!B$158:C264,2,0),"")</f>
        <v/>
      </c>
      <c r="L137" s="457" t="e">
        <f>VLOOKUP(U137&amp;K137,'Reference Records'!H$159:I265,2,0)</f>
        <v>#N/A</v>
      </c>
      <c r="M137" s="457" t="e">
        <f>MATCH($L137,'Reference Records'!$E$330:$E$506,0)+ROW(Population_by_intervention) -1</f>
        <v>#N/A</v>
      </c>
      <c r="N137" s="457" t="e">
        <f>MATCH($L137,'Reference Records'!$E$330:$E$506,1)+ROW(Population_by_intervention) -1</f>
        <v>#N/A</v>
      </c>
      <c r="O137" s="457" t="e">
        <f>INDEX('Reference Records'!K$159:K265,MATCH(L137,'Reference Records'!B$159:B265,0))</f>
        <v>#N/A</v>
      </c>
      <c r="P137" s="457"/>
      <c r="Q137" s="459"/>
      <c r="R137" s="460"/>
      <c r="S137" s="457" t="str">
        <f>IFERROR(VLOOKUP(INDEX('Reference Records'!J$329:J578,MATCH(R137,'Reference Records'!F$329:F578),1),'Reference Records'!B$158:C264,2,0),"")</f>
        <v/>
      </c>
      <c r="T137" s="458"/>
      <c r="U137" s="461" t="str">
        <f>IFERROR(IF(VLOOKUP(E137,'Reference Records'!$F$123:$N$157,9,FALSE)=0,"",VLOOKUP(E137,'Reference Records'!$F$123:$N$157,9,FALSE)),"")</f>
        <v/>
      </c>
      <c r="V137" s="455" t="str">
        <f>IF(IF(Language="French",G137,F137)=0,"",IF(Language="French",G137,F137))</f>
        <v/>
      </c>
      <c r="W137" s="462" t="str">
        <f t="shared" si="13"/>
        <v/>
      </c>
      <c r="X137" s="463" t="str">
        <f t="shared" si="14"/>
        <v>a1P3p000006KmxbEAC</v>
      </c>
      <c r="Y137" s="463" t="b">
        <f t="shared" si="15"/>
        <v>0</v>
      </c>
      <c r="Z137" s="463" t="b">
        <f t="shared" si="16"/>
        <v>1</v>
      </c>
      <c r="AA137" s="463" t="str">
        <f>IF(R137="",IFERROR(VLOOKUP(AC137,'Reference Records'!G$330:J577,3,0),""),IFERROR(VLOOKUP(AC137,'Reference Records'!H$330:J577,2,0),""))</f>
        <v/>
      </c>
      <c r="AB137" s="463" t="s">
        <v>1440</v>
      </c>
      <c r="AC137" s="452" t="e">
        <f t="shared" si="17"/>
        <v>#N/A</v>
      </c>
      <c r="AD137" s="452" t="str">
        <f t="shared" si="18"/>
        <v/>
      </c>
      <c r="AE137" s="452" t="str">
        <f t="array" ref="AE137">IFERROR(IF(INDEX($W$123:$W$174, MATCH(0, IF(AD137=$E$123:$E$174, COUNTIF($AE$122:$AE136, $W$123:$W$174), ""), 0))=0,"",INDEX($W$123:$W$174, MATCH(0, IF(AD137=$E$123:$E$174, COUNTIF($AE$122:$AE136, $W$123:$W$174), ""), 0))),"")</f>
        <v/>
      </c>
      <c r="AF137" s="452" t="str">
        <f t="shared" si="19"/>
        <v>|empty|</v>
      </c>
      <c r="AG137" s="452" t="str">
        <f t="shared" si="20"/>
        <v>INT-130927</v>
      </c>
      <c r="AH137" s="452" t="e">
        <f t="shared" si="21"/>
        <v>#N/A</v>
      </c>
      <c r="AI137" s="452">
        <f>IF(COUNTIF($AH$123:AH188,"&lt;="&amp;AH137)=0,"",COUNTIF($AH$123:AH188,"&lt;="&amp;AH137))</f>
        <v>51</v>
      </c>
      <c r="AJ137" s="452">
        <f>RANK(AI137,AI$123:AI188,1)</f>
        <v>1</v>
      </c>
      <c r="AK137" s="452" t="e">
        <f>INDEX(E$123:E188,MATCH(ROWS(AJ$123:AJ137),AJ$123:AJ188,0))</f>
        <v>#N/A</v>
      </c>
      <c r="AL137" s="452" t="e">
        <f>INDEX(K$123:K188,MATCH(ROWS(AJ$123:AJ137),AJ$123:AJ188,0))</f>
        <v>#N/A</v>
      </c>
      <c r="AM137" s="452" t="e">
        <f>INDEX(V$123:V188,MATCH(ROWS(AJ$123:AJ137),AJ$123:AJ188,0))</f>
        <v>#N/A</v>
      </c>
      <c r="AN137" s="452" t="e">
        <f t="shared" si="22"/>
        <v>#N/A</v>
      </c>
      <c r="AO137" s="452" t="e">
        <f t="shared" si="23"/>
        <v>#N/A</v>
      </c>
      <c r="AP137" s="452"/>
      <c r="AQ137" s="464" t="s">
        <v>1441</v>
      </c>
      <c r="AR137" s="104"/>
    </row>
    <row r="138" spans="1:44" ht="47.1" customHeight="1" x14ac:dyDescent="0.3">
      <c r="A138" s="135">
        <v>15</v>
      </c>
      <c r="B138" s="454"/>
      <c r="C138" s="454"/>
      <c r="D138" s="137"/>
      <c r="E138" s="455" t="str">
        <f>IFERROR(IF(AND(K138="",T138=""),"",(VLOOKUP(Q138,'Reference records(soft deleted)'!$B$87:$D$154,3,FALSE))),"")</f>
        <v/>
      </c>
      <c r="F138" s="456"/>
      <c r="G138" s="456"/>
      <c r="H138" s="457" t="str">
        <f>IF(R138="",IFERROR(VLOOKUP(AC138,'Reference Records'!G$330:J578,4,0),""),IFERROR(VLOOKUP(AC138,'Reference Records'!H$330:J578,3,0),""))</f>
        <v/>
      </c>
      <c r="I138" s="457"/>
      <c r="J138" s="458"/>
      <c r="K138" s="455" t="str">
        <f>IFERROR(VLOOKUP(INDEX('Reference Records'!E$329:E579,MATCH(R138,'Reference Records'!F$329:F579,0),1),'Reference Records'!B$158:C265,2,0),"")</f>
        <v/>
      </c>
      <c r="L138" s="457" t="e">
        <f>VLOOKUP(U138&amp;K138,'Reference Records'!H$159:I266,2,0)</f>
        <v>#N/A</v>
      </c>
      <c r="M138" s="457" t="e">
        <f>MATCH($L138,'Reference Records'!$E$330:$E$506,0)+ROW(Population_by_intervention) -1</f>
        <v>#N/A</v>
      </c>
      <c r="N138" s="457" t="e">
        <f>MATCH($L138,'Reference Records'!$E$330:$E$506,1)+ROW(Population_by_intervention) -1</f>
        <v>#N/A</v>
      </c>
      <c r="O138" s="457" t="e">
        <f>INDEX('Reference Records'!K$159:K266,MATCH(L138,'Reference Records'!B$159:B266,0))</f>
        <v>#N/A</v>
      </c>
      <c r="P138" s="457"/>
      <c r="Q138" s="459"/>
      <c r="R138" s="460"/>
      <c r="S138" s="457" t="str">
        <f>IFERROR(VLOOKUP(INDEX('Reference Records'!J$329:J579,MATCH(R138,'Reference Records'!F$329:F579),1),'Reference Records'!B$158:C265,2,0),"")</f>
        <v/>
      </c>
      <c r="T138" s="458"/>
      <c r="U138" s="461" t="str">
        <f>IFERROR(IF(VLOOKUP(E138,'Reference Records'!$F$123:$N$157,9,FALSE)=0,"",VLOOKUP(E138,'Reference Records'!$F$123:$N$157,9,FALSE)),"")</f>
        <v/>
      </c>
      <c r="V138" s="455" t="str">
        <f>IF(IF(Language="French",G138,F138)=0,"",IF(Language="French",G138,F138))</f>
        <v/>
      </c>
      <c r="W138" s="462" t="str">
        <f t="shared" si="13"/>
        <v/>
      </c>
      <c r="X138" s="463" t="str">
        <f t="shared" si="14"/>
        <v>a1P3p000006KmxbEAC</v>
      </c>
      <c r="Y138" s="463" t="b">
        <f t="shared" si="15"/>
        <v>0</v>
      </c>
      <c r="Z138" s="463" t="b">
        <f t="shared" si="16"/>
        <v>1</v>
      </c>
      <c r="AA138" s="463" t="str">
        <f>IF(R138="",IFERROR(VLOOKUP(AC138,'Reference Records'!G$330:J578,3,0),""),IFERROR(VLOOKUP(AC138,'Reference Records'!H$330:J578,2,0),""))</f>
        <v/>
      </c>
      <c r="AB138" s="463" t="s">
        <v>1442</v>
      </c>
      <c r="AC138" s="452" t="e">
        <f t="shared" si="17"/>
        <v>#N/A</v>
      </c>
      <c r="AD138" s="452" t="str">
        <f t="shared" si="18"/>
        <v/>
      </c>
      <c r="AE138" s="452" t="str">
        <f t="array" ref="AE138">IFERROR(IF(INDEX($W$123:$W$174, MATCH(0, IF(AD138=$E$123:$E$174, COUNTIF($AE$122:$AE137, $W$123:$W$174), ""), 0))=0,"",INDEX($W$123:$W$174, MATCH(0, IF(AD138=$E$123:$E$174, COUNTIF($AE$122:$AE137, $W$123:$W$174), ""), 0))),"")</f>
        <v/>
      </c>
      <c r="AF138" s="452" t="str">
        <f t="shared" si="19"/>
        <v>|empty|</v>
      </c>
      <c r="AG138" s="452" t="str">
        <f t="shared" si="20"/>
        <v>INT-130928</v>
      </c>
      <c r="AH138" s="452" t="e">
        <f t="shared" si="21"/>
        <v>#N/A</v>
      </c>
      <c r="AI138" s="452">
        <f>IF(COUNTIF($AH$123:AH189,"&lt;="&amp;AH138)=0,"",COUNTIF($AH$123:AH189,"&lt;="&amp;AH138))</f>
        <v>51</v>
      </c>
      <c r="AJ138" s="452">
        <f>RANK(AI138,AI$123:AI189,1)</f>
        <v>1</v>
      </c>
      <c r="AK138" s="452" t="e">
        <f>INDEX(E$123:E189,MATCH(ROWS(AJ$123:AJ138),AJ$123:AJ189,0))</f>
        <v>#N/A</v>
      </c>
      <c r="AL138" s="452" t="e">
        <f>INDEX(K$123:K189,MATCH(ROWS(AJ$123:AJ138),AJ$123:AJ189,0))</f>
        <v>#N/A</v>
      </c>
      <c r="AM138" s="452" t="e">
        <f>INDEX(V$123:V189,MATCH(ROWS(AJ$123:AJ138),AJ$123:AJ189,0))</f>
        <v>#N/A</v>
      </c>
      <c r="AN138" s="452" t="e">
        <f t="shared" si="22"/>
        <v>#N/A</v>
      </c>
      <c r="AO138" s="452" t="e">
        <f t="shared" si="23"/>
        <v>#N/A</v>
      </c>
      <c r="AP138" s="452"/>
      <c r="AQ138" s="464" t="s">
        <v>1443</v>
      </c>
      <c r="AR138" s="104"/>
    </row>
    <row r="139" spans="1:44" ht="47.1" customHeight="1" x14ac:dyDescent="0.3">
      <c r="A139" s="135">
        <v>16</v>
      </c>
      <c r="B139" s="454"/>
      <c r="C139" s="454"/>
      <c r="D139" s="137"/>
      <c r="E139" s="455" t="str">
        <f>IFERROR(IF(AND(K139="",T139=""),"",(VLOOKUP(Q139,'Reference records(soft deleted)'!$B$87:$D$154,3,FALSE))),"")</f>
        <v/>
      </c>
      <c r="F139" s="456"/>
      <c r="G139" s="456"/>
      <c r="H139" s="457" t="str">
        <f>IF(R139="",IFERROR(VLOOKUP(AC139,'Reference Records'!G$330:J579,4,0),""),IFERROR(VLOOKUP(AC139,'Reference Records'!H$330:J579,3,0),""))</f>
        <v/>
      </c>
      <c r="I139" s="457"/>
      <c r="J139" s="458"/>
      <c r="K139" s="455" t="str">
        <f>IFERROR(VLOOKUP(INDEX('Reference Records'!E$329:E580,MATCH(R139,'Reference Records'!F$329:F580,0),1),'Reference Records'!B$158:C266,2,0),"")</f>
        <v/>
      </c>
      <c r="L139" s="457" t="e">
        <f>VLOOKUP(U139&amp;K139,'Reference Records'!H$159:I267,2,0)</f>
        <v>#N/A</v>
      </c>
      <c r="M139" s="457" t="e">
        <f>MATCH($L139,'Reference Records'!$E$330:$E$506,0)+ROW(Population_by_intervention) -1</f>
        <v>#N/A</v>
      </c>
      <c r="N139" s="457" t="e">
        <f>MATCH($L139,'Reference Records'!$E$330:$E$506,1)+ROW(Population_by_intervention) -1</f>
        <v>#N/A</v>
      </c>
      <c r="O139" s="457" t="e">
        <f>INDEX('Reference Records'!K$159:K267,MATCH(L139,'Reference Records'!B$159:B267,0))</f>
        <v>#N/A</v>
      </c>
      <c r="P139" s="457"/>
      <c r="Q139" s="459"/>
      <c r="R139" s="460"/>
      <c r="S139" s="457" t="str">
        <f>IFERROR(VLOOKUP(INDEX('Reference Records'!J$329:J580,MATCH(R139,'Reference Records'!F$329:F580),1),'Reference Records'!B$158:C266,2,0),"")</f>
        <v/>
      </c>
      <c r="T139" s="458"/>
      <c r="U139" s="461" t="str">
        <f>IFERROR(IF(VLOOKUP(E139,'Reference Records'!$F$123:$N$157,9,FALSE)=0,"",VLOOKUP(E139,'Reference Records'!$F$123:$N$157,9,FALSE)),"")</f>
        <v/>
      </c>
      <c r="V139" s="455" t="str">
        <f>IF(IF(Language="French",G139,F139)=0,"",IF(Language="French",G139,F139))</f>
        <v/>
      </c>
      <c r="W139" s="462" t="str">
        <f t="shared" si="13"/>
        <v/>
      </c>
      <c r="X139" s="463" t="str">
        <f t="shared" si="14"/>
        <v>a1P3p000006KmxbEAC</v>
      </c>
      <c r="Y139" s="463" t="b">
        <f t="shared" si="15"/>
        <v>0</v>
      </c>
      <c r="Z139" s="463" t="b">
        <f t="shared" si="16"/>
        <v>1</v>
      </c>
      <c r="AA139" s="463" t="str">
        <f>IF(R139="",IFERROR(VLOOKUP(AC139,'Reference Records'!G$330:J579,3,0),""),IFERROR(VLOOKUP(AC139,'Reference Records'!H$330:J579,2,0),""))</f>
        <v/>
      </c>
      <c r="AB139" s="463" t="s">
        <v>1444</v>
      </c>
      <c r="AC139" s="452" t="e">
        <f t="shared" si="17"/>
        <v>#N/A</v>
      </c>
      <c r="AD139" s="452" t="str">
        <f t="shared" si="18"/>
        <v/>
      </c>
      <c r="AE139" s="452" t="str">
        <f t="array" ref="AE139">IFERROR(IF(INDEX($W$123:$W$174, MATCH(0, IF(AD139=$E$123:$E$174, COUNTIF($AE$122:$AE138, $W$123:$W$174), ""), 0))=0,"",INDEX($W$123:$W$174, MATCH(0, IF(AD139=$E$123:$E$174, COUNTIF($AE$122:$AE138, $W$123:$W$174), ""), 0))),"")</f>
        <v/>
      </c>
      <c r="AF139" s="452" t="str">
        <f t="shared" si="19"/>
        <v>|empty|</v>
      </c>
      <c r="AG139" s="452" t="str">
        <f t="shared" si="20"/>
        <v>INT-130929</v>
      </c>
      <c r="AH139" s="452" t="e">
        <f t="shared" si="21"/>
        <v>#N/A</v>
      </c>
      <c r="AI139" s="452">
        <f>IF(COUNTIF($AH$123:AH190,"&lt;="&amp;AH139)=0,"",COUNTIF($AH$123:AH190,"&lt;="&amp;AH139))</f>
        <v>51</v>
      </c>
      <c r="AJ139" s="452">
        <f>RANK(AI139,AI$123:AI190,1)</f>
        <v>1</v>
      </c>
      <c r="AK139" s="452" t="e">
        <f>INDEX(E$123:E190,MATCH(ROWS(AJ$123:AJ139),AJ$123:AJ190,0))</f>
        <v>#N/A</v>
      </c>
      <c r="AL139" s="452" t="e">
        <f>INDEX(K$123:K190,MATCH(ROWS(AJ$123:AJ139),AJ$123:AJ190,0))</f>
        <v>#N/A</v>
      </c>
      <c r="AM139" s="452" t="e">
        <f>INDEX(V$123:V190,MATCH(ROWS(AJ$123:AJ139),AJ$123:AJ190,0))</f>
        <v>#N/A</v>
      </c>
      <c r="AN139" s="452" t="e">
        <f t="shared" si="22"/>
        <v>#N/A</v>
      </c>
      <c r="AO139" s="452" t="e">
        <f t="shared" si="23"/>
        <v>#N/A</v>
      </c>
      <c r="AP139" s="452"/>
      <c r="AQ139" s="464" t="s">
        <v>1445</v>
      </c>
      <c r="AR139" s="104"/>
    </row>
    <row r="140" spans="1:44" ht="47.1" customHeight="1" x14ac:dyDescent="0.3">
      <c r="A140" s="135">
        <v>17</v>
      </c>
      <c r="B140" s="454"/>
      <c r="C140" s="454"/>
      <c r="D140" s="137"/>
      <c r="E140" s="455" t="str">
        <f>IFERROR(IF(AND(K140="",T140=""),"",(VLOOKUP(Q140,'Reference records(soft deleted)'!$B$87:$D$154,3,FALSE))),"")</f>
        <v/>
      </c>
      <c r="F140" s="456"/>
      <c r="G140" s="456"/>
      <c r="H140" s="457" t="str">
        <f>IF(R140="",IFERROR(VLOOKUP(AC140,'Reference Records'!G$330:J580,4,0),""),IFERROR(VLOOKUP(AC140,'Reference Records'!H$330:J580,3,0),""))</f>
        <v/>
      </c>
      <c r="I140" s="457"/>
      <c r="J140" s="458"/>
      <c r="K140" s="455" t="str">
        <f>IFERROR(VLOOKUP(INDEX('Reference Records'!E$329:E581,MATCH(R140,'Reference Records'!F$329:F581,0),1),'Reference Records'!B$158:C267,2,0),"")</f>
        <v/>
      </c>
      <c r="L140" s="457" t="e">
        <f>VLOOKUP(U140&amp;K140,'Reference Records'!H$159:I268,2,0)</f>
        <v>#N/A</v>
      </c>
      <c r="M140" s="457" t="e">
        <f>MATCH($L140,'Reference Records'!$E$330:$E$506,0)+ROW(Population_by_intervention) -1</f>
        <v>#N/A</v>
      </c>
      <c r="N140" s="457" t="e">
        <f>MATCH($L140,'Reference Records'!$E$330:$E$506,1)+ROW(Population_by_intervention) -1</f>
        <v>#N/A</v>
      </c>
      <c r="O140" s="457" t="e">
        <f>INDEX('Reference Records'!K$159:K268,MATCH(L140,'Reference Records'!B$159:B268,0))</f>
        <v>#N/A</v>
      </c>
      <c r="P140" s="457"/>
      <c r="Q140" s="459"/>
      <c r="R140" s="460"/>
      <c r="S140" s="457" t="str">
        <f>IFERROR(VLOOKUP(INDEX('Reference Records'!J$329:J581,MATCH(R140,'Reference Records'!F$329:F581),1),'Reference Records'!B$158:C267,2,0),"")</f>
        <v/>
      </c>
      <c r="T140" s="458"/>
      <c r="U140" s="461" t="str">
        <f>IFERROR(IF(VLOOKUP(E140,'Reference Records'!$F$123:$N$157,9,FALSE)=0,"",VLOOKUP(E140,'Reference Records'!$F$123:$N$157,9,FALSE)),"")</f>
        <v/>
      </c>
      <c r="V140" s="455" t="str">
        <f>IF(IF(Language="French",G140,F140)=0,"",IF(Language="French",G140,F140))</f>
        <v/>
      </c>
      <c r="W140" s="462" t="str">
        <f t="shared" si="13"/>
        <v/>
      </c>
      <c r="X140" s="463" t="str">
        <f t="shared" si="14"/>
        <v>a1P3p000006KmxbEAC</v>
      </c>
      <c r="Y140" s="463" t="b">
        <f t="shared" si="15"/>
        <v>0</v>
      </c>
      <c r="Z140" s="463" t="b">
        <f t="shared" si="16"/>
        <v>1</v>
      </c>
      <c r="AA140" s="463" t="str">
        <f>IF(R140="",IFERROR(VLOOKUP(AC140,'Reference Records'!G$330:J580,3,0),""),IFERROR(VLOOKUP(AC140,'Reference Records'!H$330:J580,2,0),""))</f>
        <v/>
      </c>
      <c r="AB140" s="463" t="s">
        <v>1446</v>
      </c>
      <c r="AC140" s="452" t="e">
        <f t="shared" si="17"/>
        <v>#N/A</v>
      </c>
      <c r="AD140" s="452" t="str">
        <f t="shared" si="18"/>
        <v/>
      </c>
      <c r="AE140" s="452" t="str">
        <f t="array" ref="AE140">IFERROR(IF(INDEX($W$123:$W$174, MATCH(0, IF(AD140=$E$123:$E$174, COUNTIF($AE$122:$AE139, $W$123:$W$174), ""), 0))=0,"",INDEX($W$123:$W$174, MATCH(0, IF(AD140=$E$123:$E$174, COUNTIF($AE$122:$AE139, $W$123:$W$174), ""), 0))),"")</f>
        <v/>
      </c>
      <c r="AF140" s="452" t="str">
        <f t="shared" si="19"/>
        <v>|empty|</v>
      </c>
      <c r="AG140" s="452" t="str">
        <f t="shared" si="20"/>
        <v>INT-130930</v>
      </c>
      <c r="AH140" s="452" t="e">
        <f t="shared" si="21"/>
        <v>#N/A</v>
      </c>
      <c r="AI140" s="452">
        <f>IF(COUNTIF($AH$123:AH191,"&lt;="&amp;AH140)=0,"",COUNTIF($AH$123:AH191,"&lt;="&amp;AH140))</f>
        <v>51</v>
      </c>
      <c r="AJ140" s="452">
        <f>RANK(AI140,AI$123:AI191,1)</f>
        <v>1</v>
      </c>
      <c r="AK140" s="452" t="e">
        <f>INDEX(E$123:E191,MATCH(ROWS(AJ$123:AJ140),AJ$123:AJ191,0))</f>
        <v>#N/A</v>
      </c>
      <c r="AL140" s="452" t="e">
        <f>INDEX(K$123:K191,MATCH(ROWS(AJ$123:AJ140),AJ$123:AJ191,0))</f>
        <v>#N/A</v>
      </c>
      <c r="AM140" s="452" t="e">
        <f>INDEX(V$123:V191,MATCH(ROWS(AJ$123:AJ140),AJ$123:AJ191,0))</f>
        <v>#N/A</v>
      </c>
      <c r="AN140" s="452" t="e">
        <f t="shared" si="22"/>
        <v>#N/A</v>
      </c>
      <c r="AO140" s="452" t="e">
        <f t="shared" si="23"/>
        <v>#N/A</v>
      </c>
      <c r="AP140" s="452"/>
      <c r="AQ140" s="464" t="s">
        <v>1447</v>
      </c>
      <c r="AR140" s="104"/>
    </row>
    <row r="141" spans="1:44" ht="47.1" customHeight="1" x14ac:dyDescent="0.3">
      <c r="A141" s="135">
        <v>18</v>
      </c>
      <c r="B141" s="454"/>
      <c r="C141" s="454"/>
      <c r="D141" s="137"/>
      <c r="E141" s="455" t="str">
        <f>IFERROR(IF(AND(K141="",T141=""),"",(VLOOKUP(Q141,'Reference records(soft deleted)'!$B$87:$D$154,3,FALSE))),"")</f>
        <v/>
      </c>
      <c r="F141" s="456"/>
      <c r="G141" s="456"/>
      <c r="H141" s="457" t="str">
        <f>IF(R141="",IFERROR(VLOOKUP(AC141,'Reference Records'!G$330:J581,4,0),""),IFERROR(VLOOKUP(AC141,'Reference Records'!H$330:J581,3,0),""))</f>
        <v/>
      </c>
      <c r="I141" s="457"/>
      <c r="J141" s="458"/>
      <c r="K141" s="455" t="str">
        <f>IFERROR(VLOOKUP(INDEX('Reference Records'!E$329:E582,MATCH(R141,'Reference Records'!F$329:F582,0),1),'Reference Records'!B$158:C268,2,0),"")</f>
        <v/>
      </c>
      <c r="L141" s="457" t="e">
        <f>VLOOKUP(U141&amp;K141,'Reference Records'!H$159:I269,2,0)</f>
        <v>#N/A</v>
      </c>
      <c r="M141" s="457" t="e">
        <f>MATCH($L141,'Reference Records'!$E$330:$E$506,0)+ROW(Population_by_intervention) -1</f>
        <v>#N/A</v>
      </c>
      <c r="N141" s="457" t="e">
        <f>MATCH($L141,'Reference Records'!$E$330:$E$506,1)+ROW(Population_by_intervention) -1</f>
        <v>#N/A</v>
      </c>
      <c r="O141" s="457" t="e">
        <f>INDEX('Reference Records'!K$159:K269,MATCH(L141,'Reference Records'!B$159:B269,0))</f>
        <v>#N/A</v>
      </c>
      <c r="P141" s="457"/>
      <c r="Q141" s="459"/>
      <c r="R141" s="460"/>
      <c r="S141" s="457" t="str">
        <f>IFERROR(VLOOKUP(INDEX('Reference Records'!J$329:J582,MATCH(R141,'Reference Records'!F$329:F582),1),'Reference Records'!B$158:C268,2,0),"")</f>
        <v/>
      </c>
      <c r="T141" s="458"/>
      <c r="U141" s="461" t="str">
        <f>IFERROR(IF(VLOOKUP(E141,'Reference Records'!$F$123:$N$157,9,FALSE)=0,"",VLOOKUP(E141,'Reference Records'!$F$123:$N$157,9,FALSE)),"")</f>
        <v/>
      </c>
      <c r="V141" s="455" t="str">
        <f>IF(IF(Language="French",G141,F141)=0,"",IF(Language="French",G141,F141))</f>
        <v/>
      </c>
      <c r="W141" s="462" t="str">
        <f t="shared" si="13"/>
        <v/>
      </c>
      <c r="X141" s="463" t="str">
        <f t="shared" si="14"/>
        <v>a1P3p000006KmxbEAC</v>
      </c>
      <c r="Y141" s="463" t="b">
        <f t="shared" si="15"/>
        <v>0</v>
      </c>
      <c r="Z141" s="463" t="b">
        <f t="shared" si="16"/>
        <v>1</v>
      </c>
      <c r="AA141" s="463" t="str">
        <f>IF(R141="",IFERROR(VLOOKUP(AC141,'Reference Records'!G$330:J581,3,0),""),IFERROR(VLOOKUP(AC141,'Reference Records'!H$330:J581,2,0),""))</f>
        <v/>
      </c>
      <c r="AB141" s="463" t="s">
        <v>1448</v>
      </c>
      <c r="AC141" s="452" t="e">
        <f t="shared" si="17"/>
        <v>#N/A</v>
      </c>
      <c r="AD141" s="452" t="str">
        <f t="shared" si="18"/>
        <v/>
      </c>
      <c r="AE141" s="452" t="str">
        <f t="array" ref="AE141">IFERROR(IF(INDEX($W$123:$W$174, MATCH(0, IF(AD141=$E$123:$E$174, COUNTIF($AE$122:$AE140, $W$123:$W$174), ""), 0))=0,"",INDEX($W$123:$W$174, MATCH(0, IF(AD141=$E$123:$E$174, COUNTIF($AE$122:$AE140, $W$123:$W$174), ""), 0))),"")</f>
        <v/>
      </c>
      <c r="AF141" s="452" t="str">
        <f t="shared" si="19"/>
        <v>|empty|</v>
      </c>
      <c r="AG141" s="452" t="str">
        <f t="shared" si="20"/>
        <v>INT-130931</v>
      </c>
      <c r="AH141" s="452" t="e">
        <f t="shared" si="21"/>
        <v>#N/A</v>
      </c>
      <c r="AI141" s="452">
        <f>IF(COUNTIF($AH$123:AH192,"&lt;="&amp;AH141)=0,"",COUNTIF($AH$123:AH192,"&lt;="&amp;AH141))</f>
        <v>51</v>
      </c>
      <c r="AJ141" s="452">
        <f>RANK(AI141,AI$123:AI192,1)</f>
        <v>1</v>
      </c>
      <c r="AK141" s="452" t="e">
        <f>INDEX(E$123:E192,MATCH(ROWS(AJ$123:AJ141),AJ$123:AJ192,0))</f>
        <v>#N/A</v>
      </c>
      <c r="AL141" s="452" t="e">
        <f>INDEX(K$123:K192,MATCH(ROWS(AJ$123:AJ141),AJ$123:AJ192,0))</f>
        <v>#N/A</v>
      </c>
      <c r="AM141" s="452" t="e">
        <f>INDEX(V$123:V192,MATCH(ROWS(AJ$123:AJ141),AJ$123:AJ192,0))</f>
        <v>#N/A</v>
      </c>
      <c r="AN141" s="452" t="e">
        <f t="shared" si="22"/>
        <v>#N/A</v>
      </c>
      <c r="AO141" s="452" t="e">
        <f t="shared" si="23"/>
        <v>#N/A</v>
      </c>
      <c r="AP141" s="452"/>
      <c r="AQ141" s="464" t="s">
        <v>1449</v>
      </c>
      <c r="AR141" s="104"/>
    </row>
    <row r="142" spans="1:44" ht="47.1" customHeight="1" x14ac:dyDescent="0.3">
      <c r="A142" s="135">
        <v>19</v>
      </c>
      <c r="B142" s="454"/>
      <c r="C142" s="454"/>
      <c r="D142" s="137"/>
      <c r="E142" s="455" t="str">
        <f>IFERROR(IF(AND(K142="",T142=""),"",(VLOOKUP(Q142,'Reference records(soft deleted)'!$B$87:$D$154,3,FALSE))),"")</f>
        <v/>
      </c>
      <c r="F142" s="456"/>
      <c r="G142" s="456"/>
      <c r="H142" s="457" t="str">
        <f>IF(R142="",IFERROR(VLOOKUP(AC142,'Reference Records'!G$330:J582,4,0),""),IFERROR(VLOOKUP(AC142,'Reference Records'!H$330:J582,3,0),""))</f>
        <v/>
      </c>
      <c r="I142" s="457"/>
      <c r="J142" s="458"/>
      <c r="K142" s="455" t="str">
        <f>IFERROR(VLOOKUP(INDEX('Reference Records'!E$329:E583,MATCH(R142,'Reference Records'!F$329:F583,0),1),'Reference Records'!B$158:C269,2,0),"")</f>
        <v/>
      </c>
      <c r="L142" s="457" t="e">
        <f>VLOOKUP(U142&amp;K142,'Reference Records'!H$159:I270,2,0)</f>
        <v>#N/A</v>
      </c>
      <c r="M142" s="457" t="e">
        <f>MATCH($L142,'Reference Records'!$E$330:$E$506,0)+ROW(Population_by_intervention) -1</f>
        <v>#N/A</v>
      </c>
      <c r="N142" s="457" t="e">
        <f>MATCH($L142,'Reference Records'!$E$330:$E$506,1)+ROW(Population_by_intervention) -1</f>
        <v>#N/A</v>
      </c>
      <c r="O142" s="457" t="e">
        <f>INDEX('Reference Records'!K$159:K270,MATCH(L142,'Reference Records'!B$159:B270,0))</f>
        <v>#N/A</v>
      </c>
      <c r="P142" s="457"/>
      <c r="Q142" s="459"/>
      <c r="R142" s="460"/>
      <c r="S142" s="457" t="str">
        <f>IFERROR(VLOOKUP(INDEX('Reference Records'!J$329:J583,MATCH(R142,'Reference Records'!F$329:F583),1),'Reference Records'!B$158:C269,2,0),"")</f>
        <v/>
      </c>
      <c r="T142" s="458"/>
      <c r="U142" s="461" t="str">
        <f>IFERROR(IF(VLOOKUP(E142,'Reference Records'!$F$123:$N$157,9,FALSE)=0,"",VLOOKUP(E142,'Reference Records'!$F$123:$N$157,9,FALSE)),"")</f>
        <v/>
      </c>
      <c r="V142" s="455" t="str">
        <f>IF(IF(Language="French",G142,F142)=0,"",IF(Language="French",G142,F142))</f>
        <v/>
      </c>
      <c r="W142" s="462" t="str">
        <f t="shared" si="13"/>
        <v/>
      </c>
      <c r="X142" s="463" t="str">
        <f t="shared" si="14"/>
        <v>a1P3p000006KmxbEAC</v>
      </c>
      <c r="Y142" s="463" t="b">
        <f t="shared" si="15"/>
        <v>0</v>
      </c>
      <c r="Z142" s="463" t="b">
        <f t="shared" si="16"/>
        <v>1</v>
      </c>
      <c r="AA142" s="463" t="str">
        <f>IF(R142="",IFERROR(VLOOKUP(AC142,'Reference Records'!G$330:J582,3,0),""),IFERROR(VLOOKUP(AC142,'Reference Records'!H$330:J582,2,0),""))</f>
        <v/>
      </c>
      <c r="AB142" s="463" t="s">
        <v>1450</v>
      </c>
      <c r="AC142" s="452" t="e">
        <f t="shared" si="17"/>
        <v>#N/A</v>
      </c>
      <c r="AD142" s="452" t="str">
        <f t="shared" si="18"/>
        <v/>
      </c>
      <c r="AE142" s="452" t="str">
        <f t="array" ref="AE142">IFERROR(IF(INDEX($W$123:$W$174, MATCH(0, IF(AD142=$E$123:$E$174, COUNTIF($AE$122:$AE141, $W$123:$W$174), ""), 0))=0,"",INDEX($W$123:$W$174, MATCH(0, IF(AD142=$E$123:$E$174, COUNTIF($AE$122:$AE141, $W$123:$W$174), ""), 0))),"")</f>
        <v/>
      </c>
      <c r="AF142" s="452" t="str">
        <f t="shared" si="19"/>
        <v>|empty|</v>
      </c>
      <c r="AG142" s="452" t="str">
        <f t="shared" si="20"/>
        <v>INT-130932</v>
      </c>
      <c r="AH142" s="452" t="e">
        <f t="shared" si="21"/>
        <v>#N/A</v>
      </c>
      <c r="AI142" s="452">
        <f>IF(COUNTIF($AH$123:AH193,"&lt;="&amp;AH142)=0,"",COUNTIF($AH$123:AH193,"&lt;="&amp;AH142))</f>
        <v>51</v>
      </c>
      <c r="AJ142" s="452">
        <f>RANK(AI142,AI$123:AI193,1)</f>
        <v>1</v>
      </c>
      <c r="AK142" s="452" t="e">
        <f>INDEX(E$123:E193,MATCH(ROWS(AJ$123:AJ142),AJ$123:AJ193,0))</f>
        <v>#N/A</v>
      </c>
      <c r="AL142" s="452" t="e">
        <f>INDEX(K$123:K193,MATCH(ROWS(AJ$123:AJ142),AJ$123:AJ193,0))</f>
        <v>#N/A</v>
      </c>
      <c r="AM142" s="452" t="e">
        <f>INDEX(V$123:V193,MATCH(ROWS(AJ$123:AJ142),AJ$123:AJ193,0))</f>
        <v>#N/A</v>
      </c>
      <c r="AN142" s="452" t="e">
        <f t="shared" si="22"/>
        <v>#N/A</v>
      </c>
      <c r="AO142" s="452" t="e">
        <f t="shared" si="23"/>
        <v>#N/A</v>
      </c>
      <c r="AP142" s="452"/>
      <c r="AQ142" s="464" t="s">
        <v>1451</v>
      </c>
      <c r="AR142" s="104"/>
    </row>
    <row r="143" spans="1:44" ht="47.1" customHeight="1" x14ac:dyDescent="0.3">
      <c r="A143" s="135">
        <v>20</v>
      </c>
      <c r="B143" s="454"/>
      <c r="C143" s="454"/>
      <c r="D143" s="137"/>
      <c r="E143" s="455" t="str">
        <f>IFERROR(IF(AND(K143="",T143=""),"",(VLOOKUP(Q143,'Reference records(soft deleted)'!$B$87:$D$154,3,FALSE))),"")</f>
        <v/>
      </c>
      <c r="F143" s="456"/>
      <c r="G143" s="456"/>
      <c r="H143" s="457" t="str">
        <f>IF(R143="",IFERROR(VLOOKUP(AC143,'Reference Records'!G$330:J583,4,0),""),IFERROR(VLOOKUP(AC143,'Reference Records'!H$330:J583,3,0),""))</f>
        <v/>
      </c>
      <c r="I143" s="457"/>
      <c r="J143" s="458"/>
      <c r="K143" s="455" t="str">
        <f>IFERROR(VLOOKUP(INDEX('Reference Records'!E$329:E584,MATCH(R143,'Reference Records'!F$329:F584,0),1),'Reference Records'!B$158:C270,2,0),"")</f>
        <v/>
      </c>
      <c r="L143" s="457" t="e">
        <f>VLOOKUP(U143&amp;K143,'Reference Records'!H$159:I271,2,0)</f>
        <v>#N/A</v>
      </c>
      <c r="M143" s="457" t="e">
        <f>MATCH($L143,'Reference Records'!$E$330:$E$506,0)+ROW(Population_by_intervention) -1</f>
        <v>#N/A</v>
      </c>
      <c r="N143" s="457" t="e">
        <f>MATCH($L143,'Reference Records'!$E$330:$E$506,1)+ROW(Population_by_intervention) -1</f>
        <v>#N/A</v>
      </c>
      <c r="O143" s="457" t="e">
        <f>INDEX('Reference Records'!K$159:K271,MATCH(L143,'Reference Records'!B$159:B271,0))</f>
        <v>#N/A</v>
      </c>
      <c r="P143" s="457"/>
      <c r="Q143" s="459"/>
      <c r="R143" s="460"/>
      <c r="S143" s="457" t="str">
        <f>IFERROR(VLOOKUP(INDEX('Reference Records'!J$329:J584,MATCH(R143,'Reference Records'!F$329:F584),1),'Reference Records'!B$158:C270,2,0),"")</f>
        <v/>
      </c>
      <c r="T143" s="458"/>
      <c r="U143" s="461" t="str">
        <f>IFERROR(IF(VLOOKUP(E143,'Reference Records'!$F$123:$N$157,9,FALSE)=0,"",VLOOKUP(E143,'Reference Records'!$F$123:$N$157,9,FALSE)),"")</f>
        <v/>
      </c>
      <c r="V143" s="455" t="str">
        <f>IF(IF(Language="French",G143,F143)=0,"",IF(Language="French",G143,F143))</f>
        <v/>
      </c>
      <c r="W143" s="462" t="str">
        <f t="shared" si="13"/>
        <v/>
      </c>
      <c r="X143" s="463" t="str">
        <f t="shared" si="14"/>
        <v>a1P3p000006KmxbEAC</v>
      </c>
      <c r="Y143" s="463" t="b">
        <f t="shared" si="15"/>
        <v>0</v>
      </c>
      <c r="Z143" s="463" t="b">
        <f t="shared" si="16"/>
        <v>1</v>
      </c>
      <c r="AA143" s="463" t="str">
        <f>IF(R143="",IFERROR(VLOOKUP(AC143,'Reference Records'!G$330:J583,3,0),""),IFERROR(VLOOKUP(AC143,'Reference Records'!H$330:J583,2,0),""))</f>
        <v/>
      </c>
      <c r="AB143" s="463" t="s">
        <v>1452</v>
      </c>
      <c r="AC143" s="452" t="e">
        <f t="shared" si="17"/>
        <v>#N/A</v>
      </c>
      <c r="AD143" s="452" t="str">
        <f t="shared" si="18"/>
        <v/>
      </c>
      <c r="AE143" s="452" t="str">
        <f t="array" ref="AE143">IFERROR(IF(INDEX($W$123:$W$174, MATCH(0, IF(AD143=$E$123:$E$174, COUNTIF($AE$122:$AE142, $W$123:$W$174), ""), 0))=0,"",INDEX($W$123:$W$174, MATCH(0, IF(AD143=$E$123:$E$174, COUNTIF($AE$122:$AE142, $W$123:$W$174), ""), 0))),"")</f>
        <v/>
      </c>
      <c r="AF143" s="452" t="str">
        <f t="shared" si="19"/>
        <v>|empty|</v>
      </c>
      <c r="AG143" s="452" t="str">
        <f t="shared" si="20"/>
        <v>INT-130933</v>
      </c>
      <c r="AH143" s="452" t="e">
        <f t="shared" si="21"/>
        <v>#N/A</v>
      </c>
      <c r="AI143" s="452">
        <f>IF(COUNTIF($AH$123:AH194,"&lt;="&amp;AH143)=0,"",COUNTIF($AH$123:AH194,"&lt;="&amp;AH143))</f>
        <v>51</v>
      </c>
      <c r="AJ143" s="452">
        <f>RANK(AI143,AI$123:AI194,1)</f>
        <v>1</v>
      </c>
      <c r="AK143" s="452" t="e">
        <f>INDEX(E$123:E194,MATCH(ROWS(AJ$123:AJ143),AJ$123:AJ194,0))</f>
        <v>#N/A</v>
      </c>
      <c r="AL143" s="452" t="e">
        <f>INDEX(K$123:K194,MATCH(ROWS(AJ$123:AJ143),AJ$123:AJ194,0))</f>
        <v>#N/A</v>
      </c>
      <c r="AM143" s="452" t="e">
        <f>INDEX(V$123:V194,MATCH(ROWS(AJ$123:AJ143),AJ$123:AJ194,0))</f>
        <v>#N/A</v>
      </c>
      <c r="AN143" s="452" t="e">
        <f t="shared" si="22"/>
        <v>#N/A</v>
      </c>
      <c r="AO143" s="452" t="e">
        <f t="shared" si="23"/>
        <v>#N/A</v>
      </c>
      <c r="AP143" s="452"/>
      <c r="AQ143" s="464" t="s">
        <v>1453</v>
      </c>
      <c r="AR143" s="104"/>
    </row>
    <row r="144" spans="1:44" ht="47.1" customHeight="1" x14ac:dyDescent="0.3">
      <c r="A144" s="135">
        <v>21</v>
      </c>
      <c r="B144" s="454"/>
      <c r="C144" s="454"/>
      <c r="D144" s="137"/>
      <c r="E144" s="455" t="str">
        <f>IFERROR(IF(AND(K144="",T144=""),"",(VLOOKUP(Q144,'Reference records(soft deleted)'!$B$87:$D$154,3,FALSE))),"")</f>
        <v/>
      </c>
      <c r="F144" s="456"/>
      <c r="G144" s="456"/>
      <c r="H144" s="457" t="str">
        <f>IF(R144="",IFERROR(VLOOKUP(AC144,'Reference Records'!G$330:J584,4,0),""),IFERROR(VLOOKUP(AC144,'Reference Records'!H$330:J584,3,0),""))</f>
        <v/>
      </c>
      <c r="I144" s="457"/>
      <c r="J144" s="458"/>
      <c r="K144" s="455" t="str">
        <f>IFERROR(VLOOKUP(INDEX('Reference Records'!E$329:E585,MATCH(R144,'Reference Records'!F$329:F585,0),1),'Reference Records'!B$158:C271,2,0),"")</f>
        <v/>
      </c>
      <c r="L144" s="457" t="e">
        <f>VLOOKUP(U144&amp;K144,'Reference Records'!H$159:I272,2,0)</f>
        <v>#N/A</v>
      </c>
      <c r="M144" s="457" t="e">
        <f>MATCH($L144,'Reference Records'!$E$330:$E$506,0)+ROW(Population_by_intervention) -1</f>
        <v>#N/A</v>
      </c>
      <c r="N144" s="457" t="e">
        <f>MATCH($L144,'Reference Records'!$E$330:$E$506,1)+ROW(Population_by_intervention) -1</f>
        <v>#N/A</v>
      </c>
      <c r="O144" s="457" t="e">
        <f>INDEX('Reference Records'!K$159:K272,MATCH(L144,'Reference Records'!B$159:B272,0))</f>
        <v>#N/A</v>
      </c>
      <c r="P144" s="457"/>
      <c r="Q144" s="459"/>
      <c r="R144" s="460"/>
      <c r="S144" s="457" t="str">
        <f>IFERROR(VLOOKUP(INDEX('Reference Records'!J$329:J585,MATCH(R144,'Reference Records'!F$329:F585),1),'Reference Records'!B$158:C271,2,0),"")</f>
        <v/>
      </c>
      <c r="T144" s="458"/>
      <c r="U144" s="461" t="str">
        <f>IFERROR(IF(VLOOKUP(E144,'Reference Records'!$F$123:$N$157,9,FALSE)=0,"",VLOOKUP(E144,'Reference Records'!$F$123:$N$157,9,FALSE)),"")</f>
        <v/>
      </c>
      <c r="V144" s="455" t="str">
        <f>IF(IF(Language="French",G144,F144)=0,"",IF(Language="French",G144,F144))</f>
        <v/>
      </c>
      <c r="W144" s="462" t="str">
        <f t="shared" si="13"/>
        <v/>
      </c>
      <c r="X144" s="463" t="str">
        <f t="shared" si="14"/>
        <v>a1P3p000006KmxbEAC</v>
      </c>
      <c r="Y144" s="463" t="b">
        <f t="shared" si="15"/>
        <v>0</v>
      </c>
      <c r="Z144" s="463" t="b">
        <f t="shared" si="16"/>
        <v>1</v>
      </c>
      <c r="AA144" s="463" t="str">
        <f>IF(R144="",IFERROR(VLOOKUP(AC144,'Reference Records'!G$330:J584,3,0),""),IFERROR(VLOOKUP(AC144,'Reference Records'!H$330:J584,2,0),""))</f>
        <v/>
      </c>
      <c r="AB144" s="463" t="s">
        <v>1454</v>
      </c>
      <c r="AC144" s="452" t="e">
        <f t="shared" si="17"/>
        <v>#N/A</v>
      </c>
      <c r="AD144" s="452" t="str">
        <f t="shared" si="18"/>
        <v/>
      </c>
      <c r="AE144" s="452" t="str">
        <f t="array" ref="AE144">IFERROR(IF(INDEX($W$123:$W$174, MATCH(0, IF(AD144=$E$123:$E$174, COUNTIF($AE$122:$AE143, $W$123:$W$174), ""), 0))=0,"",INDEX($W$123:$W$174, MATCH(0, IF(AD144=$E$123:$E$174, COUNTIF($AE$122:$AE143, $W$123:$W$174), ""), 0))),"")</f>
        <v/>
      </c>
      <c r="AF144" s="452" t="str">
        <f t="shared" si="19"/>
        <v>|empty|</v>
      </c>
      <c r="AG144" s="452" t="str">
        <f t="shared" si="20"/>
        <v>INT-130934</v>
      </c>
      <c r="AH144" s="452" t="e">
        <f t="shared" si="21"/>
        <v>#N/A</v>
      </c>
      <c r="AI144" s="452">
        <f>IF(COUNTIF($AH$123:AH195,"&lt;="&amp;AH144)=0,"",COUNTIF($AH$123:AH195,"&lt;="&amp;AH144))</f>
        <v>51</v>
      </c>
      <c r="AJ144" s="452">
        <f>RANK(AI144,AI$123:AI195,1)</f>
        <v>1</v>
      </c>
      <c r="AK144" s="452" t="e">
        <f>INDEX(E$123:E195,MATCH(ROWS(AJ$123:AJ144),AJ$123:AJ195,0))</f>
        <v>#N/A</v>
      </c>
      <c r="AL144" s="452" t="e">
        <f>INDEX(K$123:K195,MATCH(ROWS(AJ$123:AJ144),AJ$123:AJ195,0))</f>
        <v>#N/A</v>
      </c>
      <c r="AM144" s="452" t="e">
        <f>INDEX(V$123:V195,MATCH(ROWS(AJ$123:AJ144),AJ$123:AJ195,0))</f>
        <v>#N/A</v>
      </c>
      <c r="AN144" s="452" t="e">
        <f t="shared" si="22"/>
        <v>#N/A</v>
      </c>
      <c r="AO144" s="452" t="e">
        <f t="shared" si="23"/>
        <v>#N/A</v>
      </c>
      <c r="AP144" s="452"/>
      <c r="AQ144" s="464" t="s">
        <v>1455</v>
      </c>
      <c r="AR144" s="104"/>
    </row>
    <row r="145" spans="1:44" ht="47.1" customHeight="1" x14ac:dyDescent="0.3">
      <c r="A145" s="135">
        <v>22</v>
      </c>
      <c r="B145" s="454"/>
      <c r="C145" s="454"/>
      <c r="D145" s="137"/>
      <c r="E145" s="455" t="str">
        <f>IFERROR(IF(AND(K145="",T145=""),"",(VLOOKUP(Q145,'Reference records(soft deleted)'!$B$87:$D$154,3,FALSE))),"")</f>
        <v/>
      </c>
      <c r="F145" s="456"/>
      <c r="G145" s="456"/>
      <c r="H145" s="457" t="str">
        <f>IF(R145="",IFERROR(VLOOKUP(AC145,'Reference Records'!G$330:J585,4,0),""),IFERROR(VLOOKUP(AC145,'Reference Records'!H$330:J585,3,0),""))</f>
        <v/>
      </c>
      <c r="I145" s="457"/>
      <c r="J145" s="458"/>
      <c r="K145" s="455" t="str">
        <f>IFERROR(VLOOKUP(INDEX('Reference Records'!E$329:E586,MATCH(R145,'Reference Records'!F$329:F586,0),1),'Reference Records'!B$158:C272,2,0),"")</f>
        <v/>
      </c>
      <c r="L145" s="457" t="e">
        <f>VLOOKUP(U145&amp;K145,'Reference Records'!H$159:I318,2,0)</f>
        <v>#N/A</v>
      </c>
      <c r="M145" s="457" t="e">
        <f>MATCH($L145,'Reference Records'!$E$330:$E$506,0)+ROW(Population_by_intervention) -1</f>
        <v>#N/A</v>
      </c>
      <c r="N145" s="457" t="e">
        <f>MATCH($L145,'Reference Records'!$E$330:$E$506,1)+ROW(Population_by_intervention) -1</f>
        <v>#N/A</v>
      </c>
      <c r="O145" s="457" t="e">
        <f>INDEX('Reference Records'!K$159:K318,MATCH(L145,'Reference Records'!B$159:B318,0))</f>
        <v>#N/A</v>
      </c>
      <c r="P145" s="457"/>
      <c r="Q145" s="459"/>
      <c r="R145" s="460"/>
      <c r="S145" s="457" t="str">
        <f>IFERROR(VLOOKUP(INDEX('Reference Records'!J$329:J586,MATCH(R145,'Reference Records'!F$329:F586),1),'Reference Records'!B$158:C272,2,0),"")</f>
        <v/>
      </c>
      <c r="T145" s="458"/>
      <c r="U145" s="461" t="str">
        <f>IFERROR(IF(VLOOKUP(E145,'Reference Records'!$F$123:$N$157,9,FALSE)=0,"",VLOOKUP(E145,'Reference Records'!$F$123:$N$157,9,FALSE)),"")</f>
        <v/>
      </c>
      <c r="V145" s="455" t="str">
        <f>IF(IF(Language="French",G145,F145)=0,"",IF(Language="French",G145,F145))</f>
        <v/>
      </c>
      <c r="W145" s="462" t="str">
        <f t="shared" si="13"/>
        <v/>
      </c>
      <c r="X145" s="463" t="str">
        <f t="shared" si="14"/>
        <v>a1P3p000006KmxbEAC</v>
      </c>
      <c r="Y145" s="463" t="b">
        <f t="shared" si="15"/>
        <v>0</v>
      </c>
      <c r="Z145" s="463" t="b">
        <f t="shared" si="16"/>
        <v>1</v>
      </c>
      <c r="AA145" s="463" t="str">
        <f>IF(R145="",IFERROR(VLOOKUP(AC145,'Reference Records'!G$330:J585,3,0),""),IFERROR(VLOOKUP(AC145,'Reference Records'!H$330:J585,2,0),""))</f>
        <v/>
      </c>
      <c r="AB145" s="463" t="s">
        <v>1456</v>
      </c>
      <c r="AC145" s="452" t="e">
        <f t="shared" si="17"/>
        <v>#N/A</v>
      </c>
      <c r="AD145" s="452" t="str">
        <f t="shared" si="18"/>
        <v/>
      </c>
      <c r="AE145" s="452" t="str">
        <f t="array" ref="AE145">IFERROR(IF(INDEX($W$123:$W$174, MATCH(0, IF(AD145=$E$123:$E$174, COUNTIF($AE$122:$AE144, $W$123:$W$174), ""), 0))=0,"",INDEX($W$123:$W$174, MATCH(0, IF(AD145=$E$123:$E$174, COUNTIF($AE$122:$AE144, $W$123:$W$174), ""), 0))),"")</f>
        <v/>
      </c>
      <c r="AF145" s="452" t="str">
        <f t="shared" si="19"/>
        <v>|empty|</v>
      </c>
      <c r="AG145" s="452" t="str">
        <f t="shared" si="20"/>
        <v>INT-130935</v>
      </c>
      <c r="AH145" s="452" t="e">
        <f t="shared" si="21"/>
        <v>#N/A</v>
      </c>
      <c r="AI145" s="452">
        <f>IF(COUNTIF($AH$123:AH196,"&lt;="&amp;AH145)=0,"",COUNTIF($AH$123:AH196,"&lt;="&amp;AH145))</f>
        <v>51</v>
      </c>
      <c r="AJ145" s="452">
        <f>RANK(AI145,AI$123:AI196,1)</f>
        <v>1</v>
      </c>
      <c r="AK145" s="452" t="e">
        <f>INDEX(E$123:E196,MATCH(ROWS(AJ$123:AJ145),AJ$123:AJ196,0))</f>
        <v>#N/A</v>
      </c>
      <c r="AL145" s="452" t="e">
        <f>INDEX(K$123:K196,MATCH(ROWS(AJ$123:AJ145),AJ$123:AJ196,0))</f>
        <v>#N/A</v>
      </c>
      <c r="AM145" s="452" t="e">
        <f>INDEX(V$123:V196,MATCH(ROWS(AJ$123:AJ145),AJ$123:AJ196,0))</f>
        <v>#N/A</v>
      </c>
      <c r="AN145" s="452" t="e">
        <f t="shared" si="22"/>
        <v>#N/A</v>
      </c>
      <c r="AO145" s="452" t="e">
        <f t="shared" si="23"/>
        <v>#N/A</v>
      </c>
      <c r="AP145" s="452"/>
      <c r="AQ145" s="464" t="s">
        <v>1457</v>
      </c>
      <c r="AR145" s="104"/>
    </row>
    <row r="146" spans="1:44" ht="47.1" customHeight="1" x14ac:dyDescent="0.3">
      <c r="A146" s="135">
        <v>23</v>
      </c>
      <c r="B146" s="454"/>
      <c r="C146" s="454"/>
      <c r="D146" s="137"/>
      <c r="E146" s="455" t="str">
        <f>IFERROR(IF(AND(K146="",T146=""),"",(VLOOKUP(Q146,'Reference records(soft deleted)'!$B$87:$D$154,3,FALSE))),"")</f>
        <v/>
      </c>
      <c r="F146" s="456"/>
      <c r="G146" s="456"/>
      <c r="H146" s="457" t="str">
        <f>IF(R146="",IFERROR(VLOOKUP(AC146,'Reference Records'!G$330:J586,4,0),""),IFERROR(VLOOKUP(AC146,'Reference Records'!H$330:J586,3,0),""))</f>
        <v/>
      </c>
      <c r="I146" s="457"/>
      <c r="J146" s="458"/>
      <c r="K146" s="455" t="str">
        <f>IFERROR(VLOOKUP(INDEX('Reference Records'!E$329:E587,MATCH(R146,'Reference Records'!F$329:F587,0),1),'Reference Records'!B$158:C318,2,0),"")</f>
        <v/>
      </c>
      <c r="L146" s="457" t="e">
        <f>VLOOKUP(U146&amp;K146,'Reference Records'!H$159:I319,2,0)</f>
        <v>#N/A</v>
      </c>
      <c r="M146" s="457" t="e">
        <f>MATCH($L146,'Reference Records'!$E$330:$E$506,0)+ROW(Population_by_intervention) -1</f>
        <v>#N/A</v>
      </c>
      <c r="N146" s="457" t="e">
        <f>MATCH($L146,'Reference Records'!$E$330:$E$506,1)+ROW(Population_by_intervention) -1</f>
        <v>#N/A</v>
      </c>
      <c r="O146" s="457" t="e">
        <f>INDEX('Reference Records'!K$159:K319,MATCH(L146,'Reference Records'!B$159:B319,0))</f>
        <v>#N/A</v>
      </c>
      <c r="P146" s="457"/>
      <c r="Q146" s="459"/>
      <c r="R146" s="460"/>
      <c r="S146" s="457" t="str">
        <f>IFERROR(VLOOKUP(INDEX('Reference Records'!J$329:J587,MATCH(R146,'Reference Records'!F$329:F587),1),'Reference Records'!B$158:C318,2,0),"")</f>
        <v/>
      </c>
      <c r="T146" s="458"/>
      <c r="U146" s="461" t="str">
        <f>IFERROR(IF(VLOOKUP(E146,'Reference Records'!$F$123:$N$157,9,FALSE)=0,"",VLOOKUP(E146,'Reference Records'!$F$123:$N$157,9,FALSE)),"")</f>
        <v/>
      </c>
      <c r="V146" s="455" t="str">
        <f>IF(IF(Language="French",G146,F146)=0,"",IF(Language="French",G146,F146))</f>
        <v/>
      </c>
      <c r="W146" s="462" t="str">
        <f t="shared" si="13"/>
        <v/>
      </c>
      <c r="X146" s="463" t="str">
        <f t="shared" si="14"/>
        <v>a1P3p000006KmxbEAC</v>
      </c>
      <c r="Y146" s="463" t="b">
        <f t="shared" si="15"/>
        <v>0</v>
      </c>
      <c r="Z146" s="463" t="b">
        <f t="shared" si="16"/>
        <v>1</v>
      </c>
      <c r="AA146" s="463" t="str">
        <f>IF(R146="",IFERROR(VLOOKUP(AC146,'Reference Records'!G$330:J586,3,0),""),IFERROR(VLOOKUP(AC146,'Reference Records'!H$330:J586,2,0),""))</f>
        <v/>
      </c>
      <c r="AB146" s="463" t="s">
        <v>1458</v>
      </c>
      <c r="AC146" s="452" t="e">
        <f t="shared" si="17"/>
        <v>#N/A</v>
      </c>
      <c r="AD146" s="452" t="str">
        <f t="shared" si="18"/>
        <v/>
      </c>
      <c r="AE146" s="452" t="str">
        <f t="array" ref="AE146">IFERROR(IF(INDEX($W$123:$W$174, MATCH(0, IF(AD146=$E$123:$E$174, COUNTIF($AE$122:$AE145, $W$123:$W$174), ""), 0))=0,"",INDEX($W$123:$W$174, MATCH(0, IF(AD146=$E$123:$E$174, COUNTIF($AE$122:$AE145, $W$123:$W$174), ""), 0))),"")</f>
        <v/>
      </c>
      <c r="AF146" s="452" t="str">
        <f t="shared" si="19"/>
        <v>|empty|</v>
      </c>
      <c r="AG146" s="452" t="str">
        <f t="shared" si="20"/>
        <v>INT-130936</v>
      </c>
      <c r="AH146" s="452" t="e">
        <f t="shared" si="21"/>
        <v>#N/A</v>
      </c>
      <c r="AI146" s="452">
        <f>IF(COUNTIF($AH$123:AH197,"&lt;="&amp;AH146)=0,"",COUNTIF($AH$123:AH197,"&lt;="&amp;AH146))</f>
        <v>51</v>
      </c>
      <c r="AJ146" s="452">
        <f>RANK(AI146,AI$123:AI197,1)</f>
        <v>1</v>
      </c>
      <c r="AK146" s="452" t="e">
        <f>INDEX(E$123:E197,MATCH(ROWS(AJ$123:AJ146),AJ$123:AJ197,0))</f>
        <v>#N/A</v>
      </c>
      <c r="AL146" s="452" t="e">
        <f>INDEX(K$123:K197,MATCH(ROWS(AJ$123:AJ146),AJ$123:AJ197,0))</f>
        <v>#N/A</v>
      </c>
      <c r="AM146" s="452" t="e">
        <f>INDEX(V$123:V197,MATCH(ROWS(AJ$123:AJ146),AJ$123:AJ197,0))</f>
        <v>#N/A</v>
      </c>
      <c r="AN146" s="452" t="e">
        <f t="shared" si="22"/>
        <v>#N/A</v>
      </c>
      <c r="AO146" s="452" t="e">
        <f t="shared" si="23"/>
        <v>#N/A</v>
      </c>
      <c r="AP146" s="452"/>
      <c r="AQ146" s="464" t="s">
        <v>1459</v>
      </c>
      <c r="AR146" s="104"/>
    </row>
    <row r="147" spans="1:44" ht="47.1" customHeight="1" x14ac:dyDescent="0.3">
      <c r="A147" s="135">
        <v>24</v>
      </c>
      <c r="B147" s="454"/>
      <c r="C147" s="454"/>
      <c r="D147" s="137"/>
      <c r="E147" s="455" t="str">
        <f>IFERROR(IF(AND(K147="",T147=""),"",(VLOOKUP(Q147,'Reference records(soft deleted)'!$B$87:$D$154,3,FALSE))),"")</f>
        <v/>
      </c>
      <c r="F147" s="456"/>
      <c r="G147" s="456"/>
      <c r="H147" s="457" t="str">
        <f>IF(R147="",IFERROR(VLOOKUP(AC147,'Reference Records'!G$330:J587,4,0),""),IFERROR(VLOOKUP(AC147,'Reference Records'!H$330:J587,3,0),""))</f>
        <v/>
      </c>
      <c r="I147" s="457"/>
      <c r="J147" s="458"/>
      <c r="K147" s="455" t="str">
        <f>IFERROR(VLOOKUP(INDEX('Reference Records'!E$329:E588,MATCH(R147,'Reference Records'!F$329:F588,0),1),'Reference Records'!B$158:C319,2,0),"")</f>
        <v/>
      </c>
      <c r="L147" s="457" t="e">
        <f>VLOOKUP(U147&amp;K147,'Reference Records'!H$159:I320,2,0)</f>
        <v>#N/A</v>
      </c>
      <c r="M147" s="457" t="e">
        <f>MATCH($L147,'Reference Records'!$E$330:$E$506,0)+ROW(Population_by_intervention) -1</f>
        <v>#N/A</v>
      </c>
      <c r="N147" s="457" t="e">
        <f>MATCH($L147,'Reference Records'!$E$330:$E$506,1)+ROW(Population_by_intervention) -1</f>
        <v>#N/A</v>
      </c>
      <c r="O147" s="457" t="e">
        <f>INDEX('Reference Records'!K$159:K320,MATCH(L147,'Reference Records'!B$159:B320,0))</f>
        <v>#N/A</v>
      </c>
      <c r="P147" s="457"/>
      <c r="Q147" s="459"/>
      <c r="R147" s="460"/>
      <c r="S147" s="457" t="str">
        <f>IFERROR(VLOOKUP(INDEX('Reference Records'!J$329:J588,MATCH(R147,'Reference Records'!F$329:F588),1),'Reference Records'!B$158:C319,2,0),"")</f>
        <v/>
      </c>
      <c r="T147" s="458"/>
      <c r="U147" s="461" t="str">
        <f>IFERROR(IF(VLOOKUP(E147,'Reference Records'!$F$123:$N$157,9,FALSE)=0,"",VLOOKUP(E147,'Reference Records'!$F$123:$N$157,9,FALSE)),"")</f>
        <v/>
      </c>
      <c r="V147" s="455" t="str">
        <f>IF(IF(Language="French",G147,F147)=0,"",IF(Language="French",G147,F147))</f>
        <v/>
      </c>
      <c r="W147" s="462" t="str">
        <f t="shared" si="13"/>
        <v/>
      </c>
      <c r="X147" s="463" t="str">
        <f t="shared" si="14"/>
        <v>a1P3p000006KmxbEAC</v>
      </c>
      <c r="Y147" s="463" t="b">
        <f t="shared" si="15"/>
        <v>0</v>
      </c>
      <c r="Z147" s="463" t="b">
        <f t="shared" si="16"/>
        <v>1</v>
      </c>
      <c r="AA147" s="463" t="str">
        <f>IF(R147="",IFERROR(VLOOKUP(AC147,'Reference Records'!G$330:J587,3,0),""),IFERROR(VLOOKUP(AC147,'Reference Records'!H$330:J587,2,0),""))</f>
        <v/>
      </c>
      <c r="AB147" s="463" t="s">
        <v>1460</v>
      </c>
      <c r="AC147" s="452" t="e">
        <f t="shared" si="17"/>
        <v>#N/A</v>
      </c>
      <c r="AD147" s="452" t="str">
        <f t="shared" si="18"/>
        <v/>
      </c>
      <c r="AE147" s="452" t="str">
        <f t="array" ref="AE147">IFERROR(IF(INDEX($W$123:$W$174, MATCH(0, IF(AD147=$E$123:$E$174, COUNTIF($AE$122:$AE146, $W$123:$W$174), ""), 0))=0,"",INDEX($W$123:$W$174, MATCH(0, IF(AD147=$E$123:$E$174, COUNTIF($AE$122:$AE146, $W$123:$W$174), ""), 0))),"")</f>
        <v/>
      </c>
      <c r="AF147" s="452" t="str">
        <f t="shared" si="19"/>
        <v>|empty|</v>
      </c>
      <c r="AG147" s="452" t="str">
        <f t="shared" si="20"/>
        <v>INT-130937</v>
      </c>
      <c r="AH147" s="452" t="e">
        <f t="shared" si="21"/>
        <v>#N/A</v>
      </c>
      <c r="AI147" s="452">
        <f>IF(COUNTIF($AH$123:AH198,"&lt;="&amp;AH147)=0,"",COUNTIF($AH$123:AH198,"&lt;="&amp;AH147))</f>
        <v>51</v>
      </c>
      <c r="AJ147" s="452">
        <f>RANK(AI147,AI$123:AI198,1)</f>
        <v>1</v>
      </c>
      <c r="AK147" s="452" t="e">
        <f>INDEX(E$123:E198,MATCH(ROWS(AJ$123:AJ147),AJ$123:AJ198,0))</f>
        <v>#N/A</v>
      </c>
      <c r="AL147" s="452" t="e">
        <f>INDEX(K$123:K198,MATCH(ROWS(AJ$123:AJ147),AJ$123:AJ198,0))</f>
        <v>#N/A</v>
      </c>
      <c r="AM147" s="452" t="e">
        <f>INDEX(V$123:V198,MATCH(ROWS(AJ$123:AJ147),AJ$123:AJ198,0))</f>
        <v>#N/A</v>
      </c>
      <c r="AN147" s="452" t="e">
        <f t="shared" si="22"/>
        <v>#N/A</v>
      </c>
      <c r="AO147" s="452" t="e">
        <f t="shared" si="23"/>
        <v>#N/A</v>
      </c>
      <c r="AP147" s="452"/>
      <c r="AQ147" s="464" t="s">
        <v>1461</v>
      </c>
      <c r="AR147" s="104"/>
    </row>
    <row r="148" spans="1:44" ht="47.1" customHeight="1" x14ac:dyDescent="0.3">
      <c r="A148" s="135">
        <v>25</v>
      </c>
      <c r="B148" s="454"/>
      <c r="C148" s="454"/>
      <c r="D148" s="137"/>
      <c r="E148" s="455" t="str">
        <f>IFERROR(IF(AND(K148="",T148=""),"",(VLOOKUP(Q148,'Reference records(soft deleted)'!$B$87:$D$154,3,FALSE))),"")</f>
        <v/>
      </c>
      <c r="F148" s="456"/>
      <c r="G148" s="456"/>
      <c r="H148" s="457" t="str">
        <f>IF(R148="",IFERROR(VLOOKUP(AC148,'Reference Records'!G$330:J588,4,0),""),IFERROR(VLOOKUP(AC148,'Reference Records'!H$330:J588,3,0),""))</f>
        <v/>
      </c>
      <c r="I148" s="457"/>
      <c r="J148" s="458"/>
      <c r="K148" s="455" t="str">
        <f>IFERROR(VLOOKUP(INDEX('Reference Records'!E$329:E589,MATCH(R148,'Reference Records'!F$329:F589,0),1),'Reference Records'!B$158:C320,2,0),"")</f>
        <v/>
      </c>
      <c r="L148" s="457" t="e">
        <f>VLOOKUP(U148&amp;K148,'Reference Records'!H$159:I321,2,0)</f>
        <v>#N/A</v>
      </c>
      <c r="M148" s="457" t="e">
        <f>MATCH($L148,'Reference Records'!$E$330:$E$506,0)+ROW(Population_by_intervention) -1</f>
        <v>#N/A</v>
      </c>
      <c r="N148" s="457" t="e">
        <f>MATCH($L148,'Reference Records'!$E$330:$E$506,1)+ROW(Population_by_intervention) -1</f>
        <v>#N/A</v>
      </c>
      <c r="O148" s="457" t="e">
        <f>INDEX('Reference Records'!K$159:K321,MATCH(L148,'Reference Records'!B$159:B321,0))</f>
        <v>#N/A</v>
      </c>
      <c r="P148" s="457"/>
      <c r="Q148" s="459"/>
      <c r="R148" s="460"/>
      <c r="S148" s="457" t="str">
        <f>IFERROR(VLOOKUP(INDEX('Reference Records'!J$329:J589,MATCH(R148,'Reference Records'!F$329:F589),1),'Reference Records'!B$158:C320,2,0),"")</f>
        <v/>
      </c>
      <c r="T148" s="458"/>
      <c r="U148" s="461" t="str">
        <f>IFERROR(IF(VLOOKUP(E148,'Reference Records'!$F$123:$N$157,9,FALSE)=0,"",VLOOKUP(E148,'Reference Records'!$F$123:$N$157,9,FALSE)),"")</f>
        <v/>
      </c>
      <c r="V148" s="455" t="str">
        <f>IF(IF(Language="French",G148,F148)=0,"",IF(Language="French",G148,F148))</f>
        <v/>
      </c>
      <c r="W148" s="462" t="str">
        <f t="shared" si="13"/>
        <v/>
      </c>
      <c r="X148" s="463" t="str">
        <f t="shared" si="14"/>
        <v>a1P3p000006KmxbEAC</v>
      </c>
      <c r="Y148" s="463" t="b">
        <f t="shared" si="15"/>
        <v>0</v>
      </c>
      <c r="Z148" s="463" t="b">
        <f t="shared" si="16"/>
        <v>1</v>
      </c>
      <c r="AA148" s="463" t="str">
        <f>IF(R148="",IFERROR(VLOOKUP(AC148,'Reference Records'!G$330:J588,3,0),""),IFERROR(VLOOKUP(AC148,'Reference Records'!H$330:J588,2,0),""))</f>
        <v/>
      </c>
      <c r="AB148" s="463" t="s">
        <v>1462</v>
      </c>
      <c r="AC148" s="452" t="e">
        <f t="shared" si="17"/>
        <v>#N/A</v>
      </c>
      <c r="AD148" s="452" t="str">
        <f t="shared" si="18"/>
        <v/>
      </c>
      <c r="AE148" s="452" t="str">
        <f t="array" ref="AE148">IFERROR(IF(INDEX($W$123:$W$174, MATCH(0, IF(AD148=$E$123:$E$174, COUNTIF($AE$122:$AE147, $W$123:$W$174), ""), 0))=0,"",INDEX($W$123:$W$174, MATCH(0, IF(AD148=$E$123:$E$174, COUNTIF($AE$122:$AE147, $W$123:$W$174), ""), 0))),"")</f>
        <v/>
      </c>
      <c r="AF148" s="452" t="str">
        <f t="shared" si="19"/>
        <v>|empty|</v>
      </c>
      <c r="AG148" s="452" t="str">
        <f t="shared" si="20"/>
        <v>INT-130938</v>
      </c>
      <c r="AH148" s="452" t="e">
        <f t="shared" si="21"/>
        <v>#N/A</v>
      </c>
      <c r="AI148" s="452">
        <f>IF(COUNTIF($AH$123:AH199,"&lt;="&amp;AH148)=0,"",COUNTIF($AH$123:AH199,"&lt;="&amp;AH148))</f>
        <v>51</v>
      </c>
      <c r="AJ148" s="452">
        <f>RANK(AI148,AI$123:AI199,1)</f>
        <v>1</v>
      </c>
      <c r="AK148" s="452" t="e">
        <f>INDEX(E$123:E199,MATCH(ROWS(AJ$123:AJ148),AJ$123:AJ199,0))</f>
        <v>#N/A</v>
      </c>
      <c r="AL148" s="452" t="e">
        <f>INDEX(K$123:K199,MATCH(ROWS(AJ$123:AJ148),AJ$123:AJ199,0))</f>
        <v>#N/A</v>
      </c>
      <c r="AM148" s="452" t="e">
        <f>INDEX(V$123:V199,MATCH(ROWS(AJ$123:AJ148),AJ$123:AJ199,0))</f>
        <v>#N/A</v>
      </c>
      <c r="AN148" s="452" t="e">
        <f t="shared" si="22"/>
        <v>#N/A</v>
      </c>
      <c r="AO148" s="452" t="e">
        <f t="shared" si="23"/>
        <v>#N/A</v>
      </c>
      <c r="AP148" s="452"/>
      <c r="AQ148" s="464" t="s">
        <v>1463</v>
      </c>
      <c r="AR148" s="104"/>
    </row>
    <row r="149" spans="1:44" ht="47.1" customHeight="1" x14ac:dyDescent="0.3">
      <c r="A149" s="135">
        <v>26</v>
      </c>
      <c r="B149" s="454"/>
      <c r="C149" s="454"/>
      <c r="D149" s="137"/>
      <c r="E149" s="455" t="str">
        <f>IFERROR(IF(AND(K149="",T149=""),"",(VLOOKUP(Q149,'Reference records(soft deleted)'!$B$87:$D$154,3,FALSE))),"")</f>
        <v/>
      </c>
      <c r="F149" s="456"/>
      <c r="G149" s="456"/>
      <c r="H149" s="457" t="str">
        <f>IF(R149="",IFERROR(VLOOKUP(AC149,'Reference Records'!G$330:J589,4,0),""),IFERROR(VLOOKUP(AC149,'Reference Records'!H$330:J589,3,0),""))</f>
        <v/>
      </c>
      <c r="I149" s="457"/>
      <c r="J149" s="458"/>
      <c r="K149" s="455" t="str">
        <f>IFERROR(VLOOKUP(INDEX('Reference Records'!E$329:E590,MATCH(R149,'Reference Records'!F$329:F590,0),1),'Reference Records'!B$158:C321,2,0),"")</f>
        <v/>
      </c>
      <c r="L149" s="457" t="e">
        <f>VLOOKUP(U149&amp;K149,'Reference Records'!H$159:I322,2,0)</f>
        <v>#N/A</v>
      </c>
      <c r="M149" s="457" t="e">
        <f>MATCH($L149,'Reference Records'!$E$330:$E$506,0)+ROW(Population_by_intervention) -1</f>
        <v>#N/A</v>
      </c>
      <c r="N149" s="457" t="e">
        <f>MATCH($L149,'Reference Records'!$E$330:$E$506,1)+ROW(Population_by_intervention) -1</f>
        <v>#N/A</v>
      </c>
      <c r="O149" s="457" t="e">
        <f>INDEX('Reference Records'!K$159:K322,MATCH(L149,'Reference Records'!B$159:B322,0))</f>
        <v>#N/A</v>
      </c>
      <c r="P149" s="457"/>
      <c r="Q149" s="459"/>
      <c r="R149" s="460"/>
      <c r="S149" s="457" t="str">
        <f>IFERROR(VLOOKUP(INDEX('Reference Records'!J$329:J590,MATCH(R149,'Reference Records'!F$329:F590),1),'Reference Records'!B$158:C321,2,0),"")</f>
        <v/>
      </c>
      <c r="T149" s="458"/>
      <c r="U149" s="461" t="str">
        <f>IFERROR(IF(VLOOKUP(E149,'Reference Records'!$F$123:$N$157,9,FALSE)=0,"",VLOOKUP(E149,'Reference Records'!$F$123:$N$157,9,FALSE)),"")</f>
        <v/>
      </c>
      <c r="V149" s="455" t="str">
        <f>IF(IF(Language="French",G149,F149)=0,"",IF(Language="French",G149,F149))</f>
        <v/>
      </c>
      <c r="W149" s="462" t="str">
        <f t="shared" si="13"/>
        <v/>
      </c>
      <c r="X149" s="463" t="str">
        <f t="shared" si="14"/>
        <v>a1P3p000006KmxbEAC</v>
      </c>
      <c r="Y149" s="463" t="b">
        <f t="shared" si="15"/>
        <v>0</v>
      </c>
      <c r="Z149" s="463" t="b">
        <f t="shared" si="16"/>
        <v>1</v>
      </c>
      <c r="AA149" s="463" t="str">
        <f>IF(R149="",IFERROR(VLOOKUP(AC149,'Reference Records'!G$330:J589,3,0),""),IFERROR(VLOOKUP(AC149,'Reference Records'!H$330:J589,2,0),""))</f>
        <v/>
      </c>
      <c r="AB149" s="463" t="s">
        <v>1464</v>
      </c>
      <c r="AC149" s="452" t="e">
        <f t="shared" si="17"/>
        <v>#N/A</v>
      </c>
      <c r="AD149" s="452" t="str">
        <f t="shared" si="18"/>
        <v/>
      </c>
      <c r="AE149" s="452" t="str">
        <f t="array" ref="AE149">IFERROR(IF(INDEX($W$123:$W$174, MATCH(0, IF(AD149=$E$123:$E$174, COUNTIF($AE$122:$AE148, $W$123:$W$174), ""), 0))=0,"",INDEX($W$123:$W$174, MATCH(0, IF(AD149=$E$123:$E$174, COUNTIF($AE$122:$AE148, $W$123:$W$174), ""), 0))),"")</f>
        <v/>
      </c>
      <c r="AF149" s="452" t="str">
        <f t="shared" si="19"/>
        <v>|empty|</v>
      </c>
      <c r="AG149" s="452" t="str">
        <f t="shared" si="20"/>
        <v>INT-130939</v>
      </c>
      <c r="AH149" s="452" t="e">
        <f t="shared" si="21"/>
        <v>#N/A</v>
      </c>
      <c r="AI149" s="452">
        <f>IF(COUNTIF($AH$123:AH200,"&lt;="&amp;AH149)=0,"",COUNTIF($AH$123:AH200,"&lt;="&amp;AH149))</f>
        <v>51</v>
      </c>
      <c r="AJ149" s="452">
        <f>RANK(AI149,AI$123:AI200,1)</f>
        <v>1</v>
      </c>
      <c r="AK149" s="452" t="e">
        <f>INDEX(E$123:E200,MATCH(ROWS(AJ$123:AJ149),AJ$123:AJ200,0))</f>
        <v>#N/A</v>
      </c>
      <c r="AL149" s="452" t="e">
        <f>INDEX(K$123:K200,MATCH(ROWS(AJ$123:AJ149),AJ$123:AJ200,0))</f>
        <v>#N/A</v>
      </c>
      <c r="AM149" s="452" t="e">
        <f>INDEX(V$123:V200,MATCH(ROWS(AJ$123:AJ149),AJ$123:AJ200,0))</f>
        <v>#N/A</v>
      </c>
      <c r="AN149" s="452" t="e">
        <f t="shared" si="22"/>
        <v>#N/A</v>
      </c>
      <c r="AO149" s="452" t="e">
        <f t="shared" si="23"/>
        <v>#N/A</v>
      </c>
      <c r="AP149" s="452"/>
      <c r="AQ149" s="464" t="s">
        <v>1465</v>
      </c>
      <c r="AR149" s="104"/>
    </row>
    <row r="150" spans="1:44" ht="47.1" customHeight="1" x14ac:dyDescent="0.3">
      <c r="A150" s="135">
        <v>27</v>
      </c>
      <c r="B150" s="454"/>
      <c r="C150" s="454"/>
      <c r="D150" s="137"/>
      <c r="E150" s="455" t="str">
        <f>IFERROR(IF(AND(K150="",T150=""),"",(VLOOKUP(Q150,'Reference records(soft deleted)'!$B$87:$D$154,3,FALSE))),"")</f>
        <v/>
      </c>
      <c r="F150" s="456"/>
      <c r="G150" s="456"/>
      <c r="H150" s="457" t="str">
        <f>IF(R150="",IFERROR(VLOOKUP(AC150,'Reference Records'!G$330:J590,4,0),""),IFERROR(VLOOKUP(AC150,'Reference Records'!H$330:J590,3,0),""))</f>
        <v/>
      </c>
      <c r="I150" s="457"/>
      <c r="J150" s="458"/>
      <c r="K150" s="455" t="str">
        <f>IFERROR(VLOOKUP(INDEX('Reference Records'!E$329:E591,MATCH(R150,'Reference Records'!F$329:F591,0),1),'Reference Records'!B$158:C322,2,0),"")</f>
        <v/>
      </c>
      <c r="L150" s="457" t="e">
        <f>VLOOKUP(U150&amp;K150,'Reference Records'!H$159:I323,2,0)</f>
        <v>#N/A</v>
      </c>
      <c r="M150" s="457" t="e">
        <f>MATCH($L150,'Reference Records'!$E$330:$E$506,0)+ROW(Population_by_intervention) -1</f>
        <v>#N/A</v>
      </c>
      <c r="N150" s="457" t="e">
        <f>MATCH($L150,'Reference Records'!$E$330:$E$506,1)+ROW(Population_by_intervention) -1</f>
        <v>#N/A</v>
      </c>
      <c r="O150" s="457" t="e">
        <f>INDEX('Reference Records'!K$159:K323,MATCH(L150,'Reference Records'!B$159:B323,0))</f>
        <v>#N/A</v>
      </c>
      <c r="P150" s="457"/>
      <c r="Q150" s="459"/>
      <c r="R150" s="460"/>
      <c r="S150" s="457" t="str">
        <f>IFERROR(VLOOKUP(INDEX('Reference Records'!J$329:J591,MATCH(R150,'Reference Records'!F$329:F591),1),'Reference Records'!B$158:C322,2,0),"")</f>
        <v/>
      </c>
      <c r="T150" s="458"/>
      <c r="U150" s="461" t="str">
        <f>IFERROR(IF(VLOOKUP(E150,'Reference Records'!$F$123:$N$157,9,FALSE)=0,"",VLOOKUP(E150,'Reference Records'!$F$123:$N$157,9,FALSE)),"")</f>
        <v/>
      </c>
      <c r="V150" s="455" t="str">
        <f>IF(IF(Language="French",G150,F150)=0,"",IF(Language="French",G150,F150))</f>
        <v/>
      </c>
      <c r="W150" s="462" t="str">
        <f t="shared" si="13"/>
        <v/>
      </c>
      <c r="X150" s="463" t="str">
        <f t="shared" si="14"/>
        <v>a1P3p000006KmxbEAC</v>
      </c>
      <c r="Y150" s="463" t="b">
        <f t="shared" si="15"/>
        <v>0</v>
      </c>
      <c r="Z150" s="463" t="b">
        <f t="shared" si="16"/>
        <v>1</v>
      </c>
      <c r="AA150" s="463" t="str">
        <f>IF(R150="",IFERROR(VLOOKUP(AC150,'Reference Records'!G$330:J590,3,0),""),IFERROR(VLOOKUP(AC150,'Reference Records'!H$330:J590,2,0),""))</f>
        <v/>
      </c>
      <c r="AB150" s="463" t="s">
        <v>1466</v>
      </c>
      <c r="AC150" s="452" t="e">
        <f t="shared" si="17"/>
        <v>#N/A</v>
      </c>
      <c r="AD150" s="452" t="str">
        <f t="shared" si="18"/>
        <v/>
      </c>
      <c r="AE150" s="452" t="str">
        <f t="array" ref="AE150">IFERROR(IF(INDEX($W$123:$W$174, MATCH(0, IF(AD150=$E$123:$E$174, COUNTIF($AE$122:$AE149, $W$123:$W$174), ""), 0))=0,"",INDEX($W$123:$W$174, MATCH(0, IF(AD150=$E$123:$E$174, COUNTIF($AE$122:$AE149, $W$123:$W$174), ""), 0))),"")</f>
        <v/>
      </c>
      <c r="AF150" s="452" t="str">
        <f t="shared" si="19"/>
        <v>|empty|</v>
      </c>
      <c r="AG150" s="452" t="str">
        <f t="shared" si="20"/>
        <v>INT-130940</v>
      </c>
      <c r="AH150" s="452" t="e">
        <f t="shared" si="21"/>
        <v>#N/A</v>
      </c>
      <c r="AI150" s="452">
        <f>IF(COUNTIF($AH$123:AH201,"&lt;="&amp;AH150)=0,"",COUNTIF($AH$123:AH201,"&lt;="&amp;AH150))</f>
        <v>51</v>
      </c>
      <c r="AJ150" s="452">
        <f>RANK(AI150,AI$123:AI201,1)</f>
        <v>1</v>
      </c>
      <c r="AK150" s="452" t="e">
        <f>INDEX(E$123:E201,MATCH(ROWS(AJ$123:AJ150),AJ$123:AJ201,0))</f>
        <v>#N/A</v>
      </c>
      <c r="AL150" s="452" t="e">
        <f>INDEX(K$123:K201,MATCH(ROWS(AJ$123:AJ150),AJ$123:AJ201,0))</f>
        <v>#N/A</v>
      </c>
      <c r="AM150" s="452" t="e">
        <f>INDEX(V$123:V201,MATCH(ROWS(AJ$123:AJ150),AJ$123:AJ201,0))</f>
        <v>#N/A</v>
      </c>
      <c r="AN150" s="452" t="e">
        <f t="shared" si="22"/>
        <v>#N/A</v>
      </c>
      <c r="AO150" s="452" t="e">
        <f t="shared" si="23"/>
        <v>#N/A</v>
      </c>
      <c r="AP150" s="452"/>
      <c r="AQ150" s="464" t="s">
        <v>1467</v>
      </c>
      <c r="AR150" s="104"/>
    </row>
    <row r="151" spans="1:44" ht="47.1" customHeight="1" x14ac:dyDescent="0.3">
      <c r="A151" s="135">
        <v>28</v>
      </c>
      <c r="B151" s="454"/>
      <c r="C151" s="454"/>
      <c r="D151" s="137"/>
      <c r="E151" s="455" t="str">
        <f>IFERROR(IF(AND(K151="",T151=""),"",(VLOOKUP(Q151,'Reference records(soft deleted)'!$B$87:$D$154,3,FALSE))),"")</f>
        <v/>
      </c>
      <c r="F151" s="456"/>
      <c r="G151" s="456"/>
      <c r="H151" s="457" t="str">
        <f>IF(R151="",IFERROR(VLOOKUP(AC151,'Reference Records'!G$330:J591,4,0),""),IFERROR(VLOOKUP(AC151,'Reference Records'!H$330:J591,3,0),""))</f>
        <v/>
      </c>
      <c r="I151" s="457"/>
      <c r="J151" s="458"/>
      <c r="K151" s="455" t="str">
        <f>IFERROR(VLOOKUP(INDEX('Reference Records'!E$329:E592,MATCH(R151,'Reference Records'!F$329:F592,0),1),'Reference Records'!B$158:C323,2,0),"")</f>
        <v/>
      </c>
      <c r="L151" s="457" t="e">
        <f>VLOOKUP(U151&amp;K151,'Reference Records'!H$159:I324,2,0)</f>
        <v>#N/A</v>
      </c>
      <c r="M151" s="457" t="e">
        <f>MATCH($L151,'Reference Records'!$E$330:$E$506,0)+ROW(Population_by_intervention) -1</f>
        <v>#N/A</v>
      </c>
      <c r="N151" s="457" t="e">
        <f>MATCH($L151,'Reference Records'!$E$330:$E$506,1)+ROW(Population_by_intervention) -1</f>
        <v>#N/A</v>
      </c>
      <c r="O151" s="457" t="e">
        <f>INDEX('Reference Records'!K$159:K324,MATCH(L151,'Reference Records'!B$159:B324,0))</f>
        <v>#N/A</v>
      </c>
      <c r="P151" s="457"/>
      <c r="Q151" s="459"/>
      <c r="R151" s="460"/>
      <c r="S151" s="457" t="str">
        <f>IFERROR(VLOOKUP(INDEX('Reference Records'!J$329:J592,MATCH(R151,'Reference Records'!F$329:F592),1),'Reference Records'!B$158:C323,2,0),"")</f>
        <v/>
      </c>
      <c r="T151" s="458"/>
      <c r="U151" s="461" t="str">
        <f>IFERROR(IF(VLOOKUP(E151,'Reference Records'!$F$123:$N$157,9,FALSE)=0,"",VLOOKUP(E151,'Reference Records'!$F$123:$N$157,9,FALSE)),"")</f>
        <v/>
      </c>
      <c r="V151" s="455" t="str">
        <f>IF(IF(Language="French",G151,F151)=0,"",IF(Language="French",G151,F151))</f>
        <v/>
      </c>
      <c r="W151" s="462" t="str">
        <f t="shared" si="13"/>
        <v/>
      </c>
      <c r="X151" s="463" t="str">
        <f t="shared" si="14"/>
        <v>a1P3p000006KmxbEAC</v>
      </c>
      <c r="Y151" s="463" t="b">
        <f t="shared" si="15"/>
        <v>0</v>
      </c>
      <c r="Z151" s="463" t="b">
        <f t="shared" si="16"/>
        <v>1</v>
      </c>
      <c r="AA151" s="463" t="str">
        <f>IF(R151="",IFERROR(VLOOKUP(AC151,'Reference Records'!G$330:J591,3,0),""),IFERROR(VLOOKUP(AC151,'Reference Records'!H$330:J591,2,0),""))</f>
        <v/>
      </c>
      <c r="AB151" s="463" t="s">
        <v>1468</v>
      </c>
      <c r="AC151" s="452" t="e">
        <f t="shared" si="17"/>
        <v>#N/A</v>
      </c>
      <c r="AD151" s="452" t="str">
        <f t="shared" si="18"/>
        <v/>
      </c>
      <c r="AE151" s="452" t="str">
        <f t="array" ref="AE151">IFERROR(IF(INDEX($W$123:$W$174, MATCH(0, IF(AD151=$E$123:$E$174, COUNTIF($AE$122:$AE150, $W$123:$W$174), ""), 0))=0,"",INDEX($W$123:$W$174, MATCH(0, IF(AD151=$E$123:$E$174, COUNTIF($AE$122:$AE150, $W$123:$W$174), ""), 0))),"")</f>
        <v/>
      </c>
      <c r="AF151" s="452" t="str">
        <f t="shared" si="19"/>
        <v>|empty|</v>
      </c>
      <c r="AG151" s="452" t="str">
        <f t="shared" si="20"/>
        <v>INT-130941</v>
      </c>
      <c r="AH151" s="452" t="e">
        <f t="shared" si="21"/>
        <v>#N/A</v>
      </c>
      <c r="AI151" s="452">
        <f>IF(COUNTIF($AH$123:AH202,"&lt;="&amp;AH151)=0,"",COUNTIF($AH$123:AH202,"&lt;="&amp;AH151))</f>
        <v>51</v>
      </c>
      <c r="AJ151" s="452">
        <f>RANK(AI151,AI$123:AI202,1)</f>
        <v>1</v>
      </c>
      <c r="AK151" s="452" t="e">
        <f>INDEX(E$123:E202,MATCH(ROWS(AJ$123:AJ151),AJ$123:AJ202,0))</f>
        <v>#N/A</v>
      </c>
      <c r="AL151" s="452" t="e">
        <f>INDEX(K$123:K202,MATCH(ROWS(AJ$123:AJ151),AJ$123:AJ202,0))</f>
        <v>#N/A</v>
      </c>
      <c r="AM151" s="452" t="e">
        <f>INDEX(V$123:V202,MATCH(ROWS(AJ$123:AJ151),AJ$123:AJ202,0))</f>
        <v>#N/A</v>
      </c>
      <c r="AN151" s="452" t="e">
        <f t="shared" si="22"/>
        <v>#N/A</v>
      </c>
      <c r="AO151" s="452" t="e">
        <f t="shared" si="23"/>
        <v>#N/A</v>
      </c>
      <c r="AP151" s="452"/>
      <c r="AQ151" s="464" t="s">
        <v>1469</v>
      </c>
      <c r="AR151" s="104"/>
    </row>
    <row r="152" spans="1:44" ht="47.1" customHeight="1" x14ac:dyDescent="0.3">
      <c r="A152" s="135">
        <v>29</v>
      </c>
      <c r="B152" s="454"/>
      <c r="C152" s="454"/>
      <c r="D152" s="137"/>
      <c r="E152" s="455" t="str">
        <f>IFERROR(IF(AND(K152="",T152=""),"",(VLOOKUP(Q152,'Reference records(soft deleted)'!$B$87:$D$154,3,FALSE))),"")</f>
        <v/>
      </c>
      <c r="F152" s="456"/>
      <c r="G152" s="456"/>
      <c r="H152" s="457" t="str">
        <f>IF(R152="",IFERROR(VLOOKUP(AC152,'Reference Records'!G$330:J592,4,0),""),IFERROR(VLOOKUP(AC152,'Reference Records'!H$330:J592,3,0),""))</f>
        <v/>
      </c>
      <c r="I152" s="457"/>
      <c r="J152" s="458"/>
      <c r="K152" s="455" t="str">
        <f>IFERROR(VLOOKUP(INDEX('Reference Records'!E$329:E593,MATCH(R152,'Reference Records'!F$329:F593,0),1),'Reference Records'!B$158:C324,2,0),"")</f>
        <v/>
      </c>
      <c r="L152" s="457" t="e">
        <f>VLOOKUP(U152&amp;K152,'Reference Records'!H$159:I325,2,0)</f>
        <v>#N/A</v>
      </c>
      <c r="M152" s="457" t="e">
        <f>MATCH($L152,'Reference Records'!$E$330:$E$506,0)+ROW(Population_by_intervention) -1</f>
        <v>#N/A</v>
      </c>
      <c r="N152" s="457" t="e">
        <f>MATCH($L152,'Reference Records'!$E$330:$E$506,1)+ROW(Population_by_intervention) -1</f>
        <v>#N/A</v>
      </c>
      <c r="O152" s="457" t="e">
        <f>INDEX('Reference Records'!K$159:K325,MATCH(L152,'Reference Records'!B$159:B325,0))</f>
        <v>#N/A</v>
      </c>
      <c r="P152" s="457"/>
      <c r="Q152" s="459"/>
      <c r="R152" s="460"/>
      <c r="S152" s="457" t="str">
        <f>IFERROR(VLOOKUP(INDEX('Reference Records'!J$329:J593,MATCH(R152,'Reference Records'!F$329:F593),1),'Reference Records'!B$158:C324,2,0),"")</f>
        <v/>
      </c>
      <c r="T152" s="458"/>
      <c r="U152" s="461" t="str">
        <f>IFERROR(IF(VLOOKUP(E152,'Reference Records'!$F$123:$N$157,9,FALSE)=0,"",VLOOKUP(E152,'Reference Records'!$F$123:$N$157,9,FALSE)),"")</f>
        <v/>
      </c>
      <c r="V152" s="455" t="str">
        <f>IF(IF(Language="French",G152,F152)=0,"",IF(Language="French",G152,F152))</f>
        <v/>
      </c>
      <c r="W152" s="462" t="str">
        <f t="shared" si="13"/>
        <v/>
      </c>
      <c r="X152" s="463" t="str">
        <f t="shared" si="14"/>
        <v>a1P3p000006KmxbEAC</v>
      </c>
      <c r="Y152" s="463" t="b">
        <f t="shared" si="15"/>
        <v>0</v>
      </c>
      <c r="Z152" s="463" t="b">
        <f t="shared" si="16"/>
        <v>1</v>
      </c>
      <c r="AA152" s="463" t="str">
        <f>IF(R152="",IFERROR(VLOOKUP(AC152,'Reference Records'!G$330:J592,3,0),""),IFERROR(VLOOKUP(AC152,'Reference Records'!H$330:J592,2,0),""))</f>
        <v/>
      </c>
      <c r="AB152" s="463" t="s">
        <v>1470</v>
      </c>
      <c r="AC152" s="452" t="e">
        <f t="shared" si="17"/>
        <v>#N/A</v>
      </c>
      <c r="AD152" s="452" t="str">
        <f t="shared" si="18"/>
        <v/>
      </c>
      <c r="AE152" s="452" t="str">
        <f t="array" ref="AE152">IFERROR(IF(INDEX($W$123:$W$174, MATCH(0, IF(AD152=$E$123:$E$174, COUNTIF($AE$122:$AE151, $W$123:$W$174), ""), 0))=0,"",INDEX($W$123:$W$174, MATCH(0, IF(AD152=$E$123:$E$174, COUNTIF($AE$122:$AE151, $W$123:$W$174), ""), 0))),"")</f>
        <v/>
      </c>
      <c r="AF152" s="452" t="str">
        <f t="shared" si="19"/>
        <v>|empty|</v>
      </c>
      <c r="AG152" s="452" t="str">
        <f t="shared" si="20"/>
        <v>INT-130942</v>
      </c>
      <c r="AH152" s="452" t="e">
        <f t="shared" si="21"/>
        <v>#N/A</v>
      </c>
      <c r="AI152" s="452">
        <f>IF(COUNTIF($AH$123:AH203,"&lt;="&amp;AH152)=0,"",COUNTIF($AH$123:AH203,"&lt;="&amp;AH152))</f>
        <v>51</v>
      </c>
      <c r="AJ152" s="452">
        <f>RANK(AI152,AI$123:AI203,1)</f>
        <v>1</v>
      </c>
      <c r="AK152" s="452" t="e">
        <f>INDEX(E$123:E203,MATCH(ROWS(AJ$123:AJ152),AJ$123:AJ203,0))</f>
        <v>#N/A</v>
      </c>
      <c r="AL152" s="452" t="e">
        <f>INDEX(K$123:K203,MATCH(ROWS(AJ$123:AJ152),AJ$123:AJ203,0))</f>
        <v>#N/A</v>
      </c>
      <c r="AM152" s="452" t="e">
        <f>INDEX(V$123:V203,MATCH(ROWS(AJ$123:AJ152),AJ$123:AJ203,0))</f>
        <v>#N/A</v>
      </c>
      <c r="AN152" s="452" t="e">
        <f t="shared" si="22"/>
        <v>#N/A</v>
      </c>
      <c r="AO152" s="452" t="e">
        <f t="shared" si="23"/>
        <v>#N/A</v>
      </c>
      <c r="AP152" s="452"/>
      <c r="AQ152" s="464" t="s">
        <v>1471</v>
      </c>
      <c r="AR152" s="104"/>
    </row>
    <row r="153" spans="1:44" ht="47.1" customHeight="1" x14ac:dyDescent="0.3">
      <c r="A153" s="135">
        <v>30</v>
      </c>
      <c r="B153" s="454"/>
      <c r="C153" s="454"/>
      <c r="D153" s="137"/>
      <c r="E153" s="455" t="str">
        <f>IFERROR(IF(AND(K153="",T153=""),"",(VLOOKUP(Q153,'Reference records(soft deleted)'!$B$87:$D$154,3,FALSE))),"")</f>
        <v/>
      </c>
      <c r="F153" s="456"/>
      <c r="G153" s="456"/>
      <c r="H153" s="457" t="str">
        <f>IF(R153="",IFERROR(VLOOKUP(AC153,'Reference Records'!G$330:J593,4,0),""),IFERROR(VLOOKUP(AC153,'Reference Records'!H$330:J593,3,0),""))</f>
        <v/>
      </c>
      <c r="I153" s="457"/>
      <c r="J153" s="458"/>
      <c r="K153" s="455" t="str">
        <f>IFERROR(VLOOKUP(INDEX('Reference Records'!E$329:E594,MATCH(R153,'Reference Records'!F$329:F594,0),1),'Reference Records'!B$158:C325,2,0),"")</f>
        <v/>
      </c>
      <c r="L153" s="457" t="e">
        <f>VLOOKUP(U153&amp;K153,'Reference Records'!H$159:I326,2,0)</f>
        <v>#N/A</v>
      </c>
      <c r="M153" s="457" t="e">
        <f>MATCH($L153,'Reference Records'!$E$330:$E$506,0)+ROW(Population_by_intervention) -1</f>
        <v>#N/A</v>
      </c>
      <c r="N153" s="457" t="e">
        <f>MATCH($L153,'Reference Records'!$E$330:$E$506,1)+ROW(Population_by_intervention) -1</f>
        <v>#N/A</v>
      </c>
      <c r="O153" s="457" t="e">
        <f>INDEX('Reference Records'!K$159:K326,MATCH(L153,'Reference Records'!B$159:B326,0))</f>
        <v>#N/A</v>
      </c>
      <c r="P153" s="457"/>
      <c r="Q153" s="459"/>
      <c r="R153" s="460"/>
      <c r="S153" s="457" t="str">
        <f>IFERROR(VLOOKUP(INDEX('Reference Records'!J$329:J594,MATCH(R153,'Reference Records'!F$329:F594),1),'Reference Records'!B$158:C325,2,0),"")</f>
        <v/>
      </c>
      <c r="T153" s="458"/>
      <c r="U153" s="461" t="str">
        <f>IFERROR(IF(VLOOKUP(E153,'Reference Records'!$F$123:$N$157,9,FALSE)=0,"",VLOOKUP(E153,'Reference Records'!$F$123:$N$157,9,FALSE)),"")</f>
        <v/>
      </c>
      <c r="V153" s="455" t="str">
        <f>IF(IF(Language="French",G153,F153)=0,"",IF(Language="French",G153,F153))</f>
        <v/>
      </c>
      <c r="W153" s="462" t="str">
        <f t="shared" si="13"/>
        <v/>
      </c>
      <c r="X153" s="463" t="str">
        <f t="shared" si="14"/>
        <v>a1P3p000006KmxbEAC</v>
      </c>
      <c r="Y153" s="463" t="b">
        <f t="shared" si="15"/>
        <v>0</v>
      </c>
      <c r="Z153" s="463" t="b">
        <f t="shared" si="16"/>
        <v>1</v>
      </c>
      <c r="AA153" s="463" t="str">
        <f>IF(R153="",IFERROR(VLOOKUP(AC153,'Reference Records'!G$330:J593,3,0),""),IFERROR(VLOOKUP(AC153,'Reference Records'!H$330:J593,2,0),""))</f>
        <v/>
      </c>
      <c r="AB153" s="463" t="s">
        <v>1472</v>
      </c>
      <c r="AC153" s="452" t="e">
        <f t="shared" si="17"/>
        <v>#N/A</v>
      </c>
      <c r="AD153" s="452" t="str">
        <f t="shared" si="18"/>
        <v/>
      </c>
      <c r="AE153" s="452" t="str">
        <f t="array" ref="AE153">IFERROR(IF(INDEX($W$123:$W$174, MATCH(0, IF(AD153=$E$123:$E$174, COUNTIF($AE$122:$AE152, $W$123:$W$174), ""), 0))=0,"",INDEX($W$123:$W$174, MATCH(0, IF(AD153=$E$123:$E$174, COUNTIF($AE$122:$AE152, $W$123:$W$174), ""), 0))),"")</f>
        <v/>
      </c>
      <c r="AF153" s="452" t="str">
        <f t="shared" si="19"/>
        <v>|empty|</v>
      </c>
      <c r="AG153" s="452" t="str">
        <f t="shared" si="20"/>
        <v>INT-130943</v>
      </c>
      <c r="AH153" s="452" t="e">
        <f t="shared" si="21"/>
        <v>#N/A</v>
      </c>
      <c r="AI153" s="452">
        <f>IF(COUNTIF($AH$123:AH204,"&lt;="&amp;AH153)=0,"",COUNTIF($AH$123:AH204,"&lt;="&amp;AH153))</f>
        <v>51</v>
      </c>
      <c r="AJ153" s="452">
        <f>RANK(AI153,AI$123:AI204,1)</f>
        <v>1</v>
      </c>
      <c r="AK153" s="452" t="e">
        <f>INDEX(E$123:E204,MATCH(ROWS(AJ$123:AJ153),AJ$123:AJ204,0))</f>
        <v>#N/A</v>
      </c>
      <c r="AL153" s="452" t="e">
        <f>INDEX(K$123:K204,MATCH(ROWS(AJ$123:AJ153),AJ$123:AJ204,0))</f>
        <v>#N/A</v>
      </c>
      <c r="AM153" s="452" t="e">
        <f>INDEX(V$123:V204,MATCH(ROWS(AJ$123:AJ153),AJ$123:AJ204,0))</f>
        <v>#N/A</v>
      </c>
      <c r="AN153" s="452" t="e">
        <f t="shared" si="22"/>
        <v>#N/A</v>
      </c>
      <c r="AO153" s="452" t="e">
        <f t="shared" si="23"/>
        <v>#N/A</v>
      </c>
      <c r="AP153" s="452"/>
      <c r="AQ153" s="464" t="s">
        <v>1473</v>
      </c>
      <c r="AR153" s="104"/>
    </row>
    <row r="154" spans="1:44" ht="47.1" customHeight="1" x14ac:dyDescent="0.3">
      <c r="A154" s="135">
        <v>31</v>
      </c>
      <c r="B154" s="454"/>
      <c r="C154" s="454"/>
      <c r="D154" s="137"/>
      <c r="E154" s="455" t="str">
        <f>IFERROR(IF(AND(K154="",T154=""),"",(VLOOKUP(Q154,'Reference records(soft deleted)'!$B$87:$D$154,3,FALSE))),"")</f>
        <v/>
      </c>
      <c r="F154" s="456"/>
      <c r="G154" s="456"/>
      <c r="H154" s="457" t="str">
        <f>IF(R154="",IFERROR(VLOOKUP(AC154,'Reference Records'!G$330:J594,4,0),""),IFERROR(VLOOKUP(AC154,'Reference Records'!H$330:J594,3,0),""))</f>
        <v/>
      </c>
      <c r="I154" s="457"/>
      <c r="J154" s="458"/>
      <c r="K154" s="455" t="str">
        <f>IFERROR(VLOOKUP(INDEX('Reference Records'!E$329:E595,MATCH(R154,'Reference Records'!F$329:F595,0),1),'Reference Records'!B$158:C326,2,0),"")</f>
        <v/>
      </c>
      <c r="L154" s="457" t="e">
        <f>VLOOKUP(U154&amp;K154,'Reference Records'!H$159:I327,2,0)</f>
        <v>#N/A</v>
      </c>
      <c r="M154" s="457" t="e">
        <f>MATCH($L154,'Reference Records'!$E$330:$E$506,0)+ROW(Population_by_intervention) -1</f>
        <v>#N/A</v>
      </c>
      <c r="N154" s="457" t="e">
        <f>MATCH($L154,'Reference Records'!$E$330:$E$506,1)+ROW(Population_by_intervention) -1</f>
        <v>#N/A</v>
      </c>
      <c r="O154" s="457" t="e">
        <f>INDEX('Reference Records'!K$159:K327,MATCH(L154,'Reference Records'!B$159:B327,0))</f>
        <v>#N/A</v>
      </c>
      <c r="P154" s="457"/>
      <c r="Q154" s="459"/>
      <c r="R154" s="460"/>
      <c r="S154" s="457" t="str">
        <f>IFERROR(VLOOKUP(INDEX('Reference Records'!J$329:J595,MATCH(R154,'Reference Records'!F$329:F595),1),'Reference Records'!B$158:C326,2,0),"")</f>
        <v/>
      </c>
      <c r="T154" s="458"/>
      <c r="U154" s="461" t="str">
        <f>IFERROR(IF(VLOOKUP(E154,'Reference Records'!$F$123:$N$157,9,FALSE)=0,"",VLOOKUP(E154,'Reference Records'!$F$123:$N$157,9,FALSE)),"")</f>
        <v/>
      </c>
      <c r="V154" s="455" t="str">
        <f>IF(IF(Language="French",G154,F154)=0,"",IF(Language="French",G154,F154))</f>
        <v/>
      </c>
      <c r="W154" s="462" t="str">
        <f t="shared" si="13"/>
        <v/>
      </c>
      <c r="X154" s="463" t="str">
        <f t="shared" si="14"/>
        <v>a1P3p000006KmxbEAC</v>
      </c>
      <c r="Y154" s="463" t="b">
        <f t="shared" si="15"/>
        <v>0</v>
      </c>
      <c r="Z154" s="463" t="b">
        <f t="shared" si="16"/>
        <v>1</v>
      </c>
      <c r="AA154" s="463" t="str">
        <f>IF(R154="",IFERROR(VLOOKUP(AC154,'Reference Records'!G$330:J594,3,0),""),IFERROR(VLOOKUP(AC154,'Reference Records'!H$330:J594,2,0),""))</f>
        <v/>
      </c>
      <c r="AB154" s="463" t="s">
        <v>1474</v>
      </c>
      <c r="AC154" s="452" t="e">
        <f t="shared" si="17"/>
        <v>#N/A</v>
      </c>
      <c r="AD154" s="452" t="str">
        <f t="shared" si="18"/>
        <v/>
      </c>
      <c r="AE154" s="452" t="str">
        <f t="array" ref="AE154">IFERROR(IF(INDEX($W$123:$W$174, MATCH(0, IF(AD154=$E$123:$E$174, COUNTIF($AE$122:$AE153, $W$123:$W$174), ""), 0))=0,"",INDEX($W$123:$W$174, MATCH(0, IF(AD154=$E$123:$E$174, COUNTIF($AE$122:$AE153, $W$123:$W$174), ""), 0))),"")</f>
        <v/>
      </c>
      <c r="AF154" s="452" t="str">
        <f t="shared" si="19"/>
        <v>|empty|</v>
      </c>
      <c r="AG154" s="452" t="str">
        <f t="shared" si="20"/>
        <v>INT-130944</v>
      </c>
      <c r="AH154" s="452" t="e">
        <f t="shared" si="21"/>
        <v>#N/A</v>
      </c>
      <c r="AI154" s="452">
        <f>IF(COUNTIF($AH$123:AH205,"&lt;="&amp;AH154)=0,"",COUNTIF($AH$123:AH205,"&lt;="&amp;AH154))</f>
        <v>51</v>
      </c>
      <c r="AJ154" s="452">
        <f>RANK(AI154,AI$123:AI205,1)</f>
        <v>1</v>
      </c>
      <c r="AK154" s="452" t="e">
        <f>INDEX(E$123:E205,MATCH(ROWS(AJ$123:AJ154),AJ$123:AJ205,0))</f>
        <v>#N/A</v>
      </c>
      <c r="AL154" s="452" t="e">
        <f>INDEX(K$123:K205,MATCH(ROWS(AJ$123:AJ154),AJ$123:AJ205,0))</f>
        <v>#N/A</v>
      </c>
      <c r="AM154" s="452" t="e">
        <f>INDEX(V$123:V205,MATCH(ROWS(AJ$123:AJ154),AJ$123:AJ205,0))</f>
        <v>#N/A</v>
      </c>
      <c r="AN154" s="452" t="e">
        <f t="shared" si="22"/>
        <v>#N/A</v>
      </c>
      <c r="AO154" s="452" t="e">
        <f t="shared" si="23"/>
        <v>#N/A</v>
      </c>
      <c r="AP154" s="452"/>
      <c r="AQ154" s="464" t="s">
        <v>1475</v>
      </c>
      <c r="AR154" s="104"/>
    </row>
    <row r="155" spans="1:44" ht="47.1" customHeight="1" x14ac:dyDescent="0.3">
      <c r="A155" s="135">
        <v>32</v>
      </c>
      <c r="B155" s="454"/>
      <c r="C155" s="454"/>
      <c r="D155" s="137"/>
      <c r="E155" s="455" t="str">
        <f>IFERROR(IF(AND(K155="",T155=""),"",(VLOOKUP(Q155,'Reference records(soft deleted)'!$B$87:$D$154,3,FALSE))),"")</f>
        <v/>
      </c>
      <c r="F155" s="456"/>
      <c r="G155" s="456"/>
      <c r="H155" s="457" t="str">
        <f>IF(R155="",IFERROR(VLOOKUP(AC155,'Reference Records'!G$330:J595,4,0),""),IFERROR(VLOOKUP(AC155,'Reference Records'!H$330:J595,3,0),""))</f>
        <v/>
      </c>
      <c r="I155" s="457"/>
      <c r="J155" s="458"/>
      <c r="K155" s="455" t="str">
        <f>IFERROR(VLOOKUP(INDEX('Reference Records'!E$329:E596,MATCH(R155,'Reference Records'!F$329:F596,0),1),'Reference Records'!B$158:C327,2,0),"")</f>
        <v/>
      </c>
      <c r="L155" s="457" t="e">
        <f>VLOOKUP(U155&amp;K155,'Reference Records'!H$159:I328,2,0)</f>
        <v>#N/A</v>
      </c>
      <c r="M155" s="457" t="e">
        <f>MATCH($L155,'Reference Records'!$E$330:$E$506,0)+ROW(Population_by_intervention) -1</f>
        <v>#N/A</v>
      </c>
      <c r="N155" s="457" t="e">
        <f>MATCH($L155,'Reference Records'!$E$330:$E$506,1)+ROW(Population_by_intervention) -1</f>
        <v>#N/A</v>
      </c>
      <c r="O155" s="457" t="e">
        <f>INDEX('Reference Records'!K$159:K328,MATCH(L155,'Reference Records'!B$159:B328,0))</f>
        <v>#N/A</v>
      </c>
      <c r="P155" s="457"/>
      <c r="Q155" s="459"/>
      <c r="R155" s="460"/>
      <c r="S155" s="457" t="str">
        <f>IFERROR(VLOOKUP(INDEX('Reference Records'!J$329:J596,MATCH(R155,'Reference Records'!F$329:F596),1),'Reference Records'!B$158:C327,2,0),"")</f>
        <v/>
      </c>
      <c r="T155" s="458"/>
      <c r="U155" s="461" t="str">
        <f>IFERROR(IF(VLOOKUP(E155,'Reference Records'!$F$123:$N$157,9,FALSE)=0,"",VLOOKUP(E155,'Reference Records'!$F$123:$N$157,9,FALSE)),"")</f>
        <v/>
      </c>
      <c r="V155" s="455" t="str">
        <f>IF(IF(Language="French",G155,F155)=0,"",IF(Language="French",G155,F155))</f>
        <v/>
      </c>
      <c r="W155" s="462" t="str">
        <f t="shared" si="13"/>
        <v/>
      </c>
      <c r="X155" s="463" t="str">
        <f t="shared" si="14"/>
        <v>a1P3p000006KmxbEAC</v>
      </c>
      <c r="Y155" s="463" t="b">
        <f t="shared" si="15"/>
        <v>0</v>
      </c>
      <c r="Z155" s="463" t="b">
        <f t="shared" si="16"/>
        <v>1</v>
      </c>
      <c r="AA155" s="463" t="str">
        <f>IF(R155="",IFERROR(VLOOKUP(AC155,'Reference Records'!G$330:J595,3,0),""),IFERROR(VLOOKUP(AC155,'Reference Records'!H$330:J595,2,0),""))</f>
        <v/>
      </c>
      <c r="AB155" s="463" t="s">
        <v>1476</v>
      </c>
      <c r="AC155" s="452" t="e">
        <f t="shared" si="17"/>
        <v>#N/A</v>
      </c>
      <c r="AD155" s="452" t="str">
        <f t="shared" si="18"/>
        <v/>
      </c>
      <c r="AE155" s="452" t="str">
        <f t="array" ref="AE155">IFERROR(IF(INDEX($W$123:$W$174, MATCH(0, IF(AD155=$E$123:$E$174, COUNTIF($AE$122:$AE154, $W$123:$W$174), ""), 0))=0,"",INDEX($W$123:$W$174, MATCH(0, IF(AD155=$E$123:$E$174, COUNTIF($AE$122:$AE154, $W$123:$W$174), ""), 0))),"")</f>
        <v/>
      </c>
      <c r="AF155" s="452" t="str">
        <f t="shared" si="19"/>
        <v>|empty|</v>
      </c>
      <c r="AG155" s="452" t="str">
        <f t="shared" si="20"/>
        <v>INT-130945</v>
      </c>
      <c r="AH155" s="452" t="e">
        <f t="shared" si="21"/>
        <v>#N/A</v>
      </c>
      <c r="AI155" s="452">
        <f>IF(COUNTIF($AH$123:AH206,"&lt;="&amp;AH155)=0,"",COUNTIF($AH$123:AH206,"&lt;="&amp;AH155))</f>
        <v>51</v>
      </c>
      <c r="AJ155" s="452">
        <f>RANK(AI155,AI$123:AI206,1)</f>
        <v>1</v>
      </c>
      <c r="AK155" s="452" t="e">
        <f>INDEX(E$123:E206,MATCH(ROWS(AJ$123:AJ155),AJ$123:AJ206,0))</f>
        <v>#N/A</v>
      </c>
      <c r="AL155" s="452" t="e">
        <f>INDEX(K$123:K206,MATCH(ROWS(AJ$123:AJ155),AJ$123:AJ206,0))</f>
        <v>#N/A</v>
      </c>
      <c r="AM155" s="452" t="e">
        <f>INDEX(V$123:V206,MATCH(ROWS(AJ$123:AJ155),AJ$123:AJ206,0))</f>
        <v>#N/A</v>
      </c>
      <c r="AN155" s="452" t="e">
        <f t="shared" si="22"/>
        <v>#N/A</v>
      </c>
      <c r="AO155" s="452" t="e">
        <f t="shared" si="23"/>
        <v>#N/A</v>
      </c>
      <c r="AP155" s="452"/>
      <c r="AQ155" s="464" t="s">
        <v>1477</v>
      </c>
      <c r="AR155" s="104"/>
    </row>
    <row r="156" spans="1:44" ht="47.1" customHeight="1" x14ac:dyDescent="0.3">
      <c r="A156" s="135">
        <v>33</v>
      </c>
      <c r="B156" s="454"/>
      <c r="C156" s="454"/>
      <c r="D156" s="137"/>
      <c r="E156" s="455" t="str">
        <f>IFERROR(IF(AND(K156="",T156=""),"",(VLOOKUP(Q156,'Reference records(soft deleted)'!$B$87:$D$154,3,FALSE))),"")</f>
        <v/>
      </c>
      <c r="F156" s="456"/>
      <c r="G156" s="456"/>
      <c r="H156" s="457" t="str">
        <f>IF(R156="",IFERROR(VLOOKUP(AC156,'Reference Records'!G$330:J596,4,0),""),IFERROR(VLOOKUP(AC156,'Reference Records'!H$330:J596,3,0),""))</f>
        <v/>
      </c>
      <c r="I156" s="457"/>
      <c r="J156" s="458"/>
      <c r="K156" s="455" t="str">
        <f>IFERROR(VLOOKUP(INDEX('Reference Records'!E$329:E597,MATCH(R156,'Reference Records'!F$329:F597,0),1),'Reference Records'!B$158:C328,2,0),"")</f>
        <v/>
      </c>
      <c r="L156" s="457" t="e">
        <f>VLOOKUP(U156&amp;K156,'Reference Records'!H$159:I329,2,0)</f>
        <v>#N/A</v>
      </c>
      <c r="M156" s="457" t="e">
        <f>MATCH($L156,'Reference Records'!$E$330:$E$506,0)+ROW(Population_by_intervention) -1</f>
        <v>#N/A</v>
      </c>
      <c r="N156" s="457" t="e">
        <f>MATCH($L156,'Reference Records'!$E$330:$E$506,1)+ROW(Population_by_intervention) -1</f>
        <v>#N/A</v>
      </c>
      <c r="O156" s="457" t="e">
        <f>INDEX('Reference Records'!K$159:K329,MATCH(L156,'Reference Records'!B$159:B329,0))</f>
        <v>#N/A</v>
      </c>
      <c r="P156" s="457"/>
      <c r="Q156" s="459"/>
      <c r="R156" s="460"/>
      <c r="S156" s="457" t="str">
        <f>IFERROR(VLOOKUP(INDEX('Reference Records'!J$329:J597,MATCH(R156,'Reference Records'!F$329:F597),1),'Reference Records'!B$158:C328,2,0),"")</f>
        <v/>
      </c>
      <c r="T156" s="458"/>
      <c r="U156" s="461" t="str">
        <f>IFERROR(IF(VLOOKUP(E156,'Reference Records'!$F$123:$N$157,9,FALSE)=0,"",VLOOKUP(E156,'Reference Records'!$F$123:$N$157,9,FALSE)),"")</f>
        <v/>
      </c>
      <c r="V156" s="455" t="str">
        <f>IF(IF(Language="French",G156,F156)=0,"",IF(Language="French",G156,F156))</f>
        <v/>
      </c>
      <c r="W156" s="462" t="str">
        <f t="shared" si="13"/>
        <v/>
      </c>
      <c r="X156" s="463" t="str">
        <f t="shared" si="14"/>
        <v>a1P3p000006KmxbEAC</v>
      </c>
      <c r="Y156" s="463" t="b">
        <f t="shared" si="15"/>
        <v>0</v>
      </c>
      <c r="Z156" s="463" t="b">
        <f t="shared" si="16"/>
        <v>1</v>
      </c>
      <c r="AA156" s="463" t="str">
        <f>IF(R156="",IFERROR(VLOOKUP(AC156,'Reference Records'!G$330:J596,3,0),""),IFERROR(VLOOKUP(AC156,'Reference Records'!H$330:J596,2,0),""))</f>
        <v/>
      </c>
      <c r="AB156" s="463" t="s">
        <v>1478</v>
      </c>
      <c r="AC156" s="452" t="e">
        <f t="shared" si="17"/>
        <v>#N/A</v>
      </c>
      <c r="AD156" s="452" t="str">
        <f t="shared" si="18"/>
        <v/>
      </c>
      <c r="AE156" s="452" t="str">
        <f t="array" ref="AE156">IFERROR(IF(INDEX($W$123:$W$174, MATCH(0, IF(AD156=$E$123:$E$174, COUNTIF($AE$122:$AE155, $W$123:$W$174), ""), 0))=0,"",INDEX($W$123:$W$174, MATCH(0, IF(AD156=$E$123:$E$174, COUNTIF($AE$122:$AE155, $W$123:$W$174), ""), 0))),"")</f>
        <v/>
      </c>
      <c r="AF156" s="452" t="str">
        <f t="shared" si="19"/>
        <v>|empty|</v>
      </c>
      <c r="AG156" s="452" t="str">
        <f t="shared" si="20"/>
        <v>INT-130946</v>
      </c>
      <c r="AH156" s="452" t="e">
        <f t="shared" si="21"/>
        <v>#N/A</v>
      </c>
      <c r="AI156" s="452">
        <f>IF(COUNTIF($AH$123:AH207,"&lt;="&amp;AH156)=0,"",COUNTIF($AH$123:AH207,"&lt;="&amp;AH156))</f>
        <v>51</v>
      </c>
      <c r="AJ156" s="452">
        <f>RANK(AI156,AI$123:AI207,1)</f>
        <v>1</v>
      </c>
      <c r="AK156" s="452" t="e">
        <f>INDEX(E$123:E207,MATCH(ROWS(AJ$123:AJ156),AJ$123:AJ207,0))</f>
        <v>#N/A</v>
      </c>
      <c r="AL156" s="452" t="e">
        <f>INDEX(K$123:K207,MATCH(ROWS(AJ$123:AJ156),AJ$123:AJ207,0))</f>
        <v>#N/A</v>
      </c>
      <c r="AM156" s="452" t="e">
        <f>INDEX(V$123:V207,MATCH(ROWS(AJ$123:AJ156),AJ$123:AJ207,0))</f>
        <v>#N/A</v>
      </c>
      <c r="AN156" s="452" t="e">
        <f t="shared" si="22"/>
        <v>#N/A</v>
      </c>
      <c r="AO156" s="452" t="e">
        <f t="shared" si="23"/>
        <v>#N/A</v>
      </c>
      <c r="AP156" s="452"/>
      <c r="AQ156" s="464" t="s">
        <v>1479</v>
      </c>
      <c r="AR156" s="104"/>
    </row>
    <row r="157" spans="1:44" ht="47.1" customHeight="1" x14ac:dyDescent="0.3">
      <c r="A157" s="135">
        <v>34</v>
      </c>
      <c r="B157" s="454"/>
      <c r="C157" s="454"/>
      <c r="D157" s="137"/>
      <c r="E157" s="455" t="str">
        <f>IFERROR(IF(AND(K157="",T157=""),"",(VLOOKUP(Q157,'Reference records(soft deleted)'!$B$87:$D$154,3,FALSE))),"")</f>
        <v/>
      </c>
      <c r="F157" s="456"/>
      <c r="G157" s="456"/>
      <c r="H157" s="457" t="str">
        <f>IF(R157="",IFERROR(VLOOKUP(AC157,'Reference Records'!G$330:J597,4,0),""),IFERROR(VLOOKUP(AC157,'Reference Records'!H$330:J597,3,0),""))</f>
        <v/>
      </c>
      <c r="I157" s="457"/>
      <c r="J157" s="458"/>
      <c r="K157" s="455" t="str">
        <f>IFERROR(VLOOKUP(INDEX('Reference Records'!E$329:E598,MATCH(R157,'Reference Records'!F$329:F598,0),1),'Reference Records'!B$158:C329,2,0),"")</f>
        <v/>
      </c>
      <c r="L157" s="457" t="e">
        <f>VLOOKUP(U157&amp;K157,'Reference Records'!H$159:I330,2,0)</f>
        <v>#N/A</v>
      </c>
      <c r="M157" s="457" t="e">
        <f>MATCH($L157,'Reference Records'!$E$330:$E$506,0)+ROW(Population_by_intervention) -1</f>
        <v>#N/A</v>
      </c>
      <c r="N157" s="457" t="e">
        <f>MATCH($L157,'Reference Records'!$E$330:$E$506,1)+ROW(Population_by_intervention) -1</f>
        <v>#N/A</v>
      </c>
      <c r="O157" s="457" t="e">
        <f>INDEX('Reference Records'!K$159:K330,MATCH(L157,'Reference Records'!B$159:B330,0))</f>
        <v>#N/A</v>
      </c>
      <c r="P157" s="457"/>
      <c r="Q157" s="459"/>
      <c r="R157" s="460"/>
      <c r="S157" s="457" t="str">
        <f>IFERROR(VLOOKUP(INDEX('Reference Records'!J$329:J598,MATCH(R157,'Reference Records'!F$329:F598),1),'Reference Records'!B$158:C329,2,0),"")</f>
        <v/>
      </c>
      <c r="T157" s="458"/>
      <c r="U157" s="461" t="str">
        <f>IFERROR(IF(VLOOKUP(E157,'Reference Records'!$F$123:$N$157,9,FALSE)=0,"",VLOOKUP(E157,'Reference Records'!$F$123:$N$157,9,FALSE)),"")</f>
        <v/>
      </c>
      <c r="V157" s="455" t="str">
        <f>IF(IF(Language="French",G157,F157)=0,"",IF(Language="French",G157,F157))</f>
        <v/>
      </c>
      <c r="W157" s="462" t="str">
        <f t="shared" si="13"/>
        <v/>
      </c>
      <c r="X157" s="463" t="str">
        <f t="shared" si="14"/>
        <v>a1P3p000006KmxbEAC</v>
      </c>
      <c r="Y157" s="463" t="b">
        <f t="shared" si="15"/>
        <v>0</v>
      </c>
      <c r="Z157" s="463" t="b">
        <f t="shared" si="16"/>
        <v>1</v>
      </c>
      <c r="AA157" s="463" t="str">
        <f>IF(R157="",IFERROR(VLOOKUP(AC157,'Reference Records'!G$330:J597,3,0),""),IFERROR(VLOOKUP(AC157,'Reference Records'!H$330:J597,2,0),""))</f>
        <v/>
      </c>
      <c r="AB157" s="463" t="s">
        <v>1480</v>
      </c>
      <c r="AC157" s="452" t="e">
        <f t="shared" si="17"/>
        <v>#N/A</v>
      </c>
      <c r="AD157" s="452" t="str">
        <f t="shared" si="18"/>
        <v/>
      </c>
      <c r="AE157" s="452" t="str">
        <f t="array" ref="AE157">IFERROR(IF(INDEX($W$123:$W$174, MATCH(0, IF(AD157=$E$123:$E$174, COUNTIF($AE$122:$AE156, $W$123:$W$174), ""), 0))=0,"",INDEX($W$123:$W$174, MATCH(0, IF(AD157=$E$123:$E$174, COUNTIF($AE$122:$AE156, $W$123:$W$174), ""), 0))),"")</f>
        <v/>
      </c>
      <c r="AF157" s="452" t="str">
        <f t="shared" si="19"/>
        <v>|empty|</v>
      </c>
      <c r="AG157" s="452" t="str">
        <f t="shared" si="20"/>
        <v>INT-130947</v>
      </c>
      <c r="AH157" s="452" t="e">
        <f t="shared" si="21"/>
        <v>#N/A</v>
      </c>
      <c r="AI157" s="452">
        <f>IF(COUNTIF($AH$123:AH208,"&lt;="&amp;AH157)=0,"",COUNTIF($AH$123:AH208,"&lt;="&amp;AH157))</f>
        <v>51</v>
      </c>
      <c r="AJ157" s="452">
        <f>RANK(AI157,AI$123:AI208,1)</f>
        <v>1</v>
      </c>
      <c r="AK157" s="452" t="e">
        <f>INDEX(E$123:E208,MATCH(ROWS(AJ$123:AJ157),AJ$123:AJ208,0))</f>
        <v>#N/A</v>
      </c>
      <c r="AL157" s="452" t="e">
        <f>INDEX(K$123:K208,MATCH(ROWS(AJ$123:AJ157),AJ$123:AJ208,0))</f>
        <v>#N/A</v>
      </c>
      <c r="AM157" s="452" t="e">
        <f>INDEX(V$123:V208,MATCH(ROWS(AJ$123:AJ157),AJ$123:AJ208,0))</f>
        <v>#N/A</v>
      </c>
      <c r="AN157" s="452" t="e">
        <f t="shared" si="22"/>
        <v>#N/A</v>
      </c>
      <c r="AO157" s="452" t="e">
        <f t="shared" si="23"/>
        <v>#N/A</v>
      </c>
      <c r="AP157" s="452"/>
      <c r="AQ157" s="464" t="s">
        <v>1481</v>
      </c>
      <c r="AR157" s="104"/>
    </row>
    <row r="158" spans="1:44" ht="47.1" customHeight="1" x14ac:dyDescent="0.3">
      <c r="A158" s="135">
        <v>35</v>
      </c>
      <c r="B158" s="454"/>
      <c r="C158" s="454"/>
      <c r="D158" s="137"/>
      <c r="E158" s="455" t="str">
        <f>IFERROR(IF(AND(K158="",T158=""),"",(VLOOKUP(Q158,'Reference records(soft deleted)'!$B$87:$D$154,3,FALSE))),"")</f>
        <v/>
      </c>
      <c r="F158" s="456"/>
      <c r="G158" s="456"/>
      <c r="H158" s="457" t="str">
        <f>IF(R158="",IFERROR(VLOOKUP(AC158,'Reference Records'!G$330:J598,4,0),""),IFERROR(VLOOKUP(AC158,'Reference Records'!H$330:J598,3,0),""))</f>
        <v/>
      </c>
      <c r="I158" s="457"/>
      <c r="J158" s="458"/>
      <c r="K158" s="455" t="str">
        <f>IFERROR(VLOOKUP(INDEX('Reference Records'!E$329:E599,MATCH(R158,'Reference Records'!F$329:F599,0),1),'Reference Records'!B$158:C330,2,0),"")</f>
        <v/>
      </c>
      <c r="L158" s="457" t="e">
        <f>VLOOKUP(U158&amp;K158,'Reference Records'!H$159:I331,2,0)</f>
        <v>#N/A</v>
      </c>
      <c r="M158" s="457" t="e">
        <f>MATCH($L158,'Reference Records'!$E$330:$E$506,0)+ROW(Population_by_intervention) -1</f>
        <v>#N/A</v>
      </c>
      <c r="N158" s="457" t="e">
        <f>MATCH($L158,'Reference Records'!$E$330:$E$506,1)+ROW(Population_by_intervention) -1</f>
        <v>#N/A</v>
      </c>
      <c r="O158" s="457" t="e">
        <f>INDEX('Reference Records'!K$159:K331,MATCH(L158,'Reference Records'!B$159:B331,0))</f>
        <v>#N/A</v>
      </c>
      <c r="P158" s="457"/>
      <c r="Q158" s="459"/>
      <c r="R158" s="460"/>
      <c r="S158" s="457" t="str">
        <f>IFERROR(VLOOKUP(INDEX('Reference Records'!J$329:J599,MATCH(R158,'Reference Records'!F$329:F599),1),'Reference Records'!B$158:C330,2,0),"")</f>
        <v/>
      </c>
      <c r="T158" s="458"/>
      <c r="U158" s="461" t="str">
        <f>IFERROR(IF(VLOOKUP(E158,'Reference Records'!$F$123:$N$157,9,FALSE)=0,"",VLOOKUP(E158,'Reference Records'!$F$123:$N$157,9,FALSE)),"")</f>
        <v/>
      </c>
      <c r="V158" s="455" t="str">
        <f>IF(IF(Language="French",G158,F158)=0,"",IF(Language="French",G158,F158))</f>
        <v/>
      </c>
      <c r="W158" s="462" t="str">
        <f t="shared" si="13"/>
        <v/>
      </c>
      <c r="X158" s="463" t="str">
        <f t="shared" si="14"/>
        <v>a1P3p000006KmxbEAC</v>
      </c>
      <c r="Y158" s="463" t="b">
        <f t="shared" si="15"/>
        <v>0</v>
      </c>
      <c r="Z158" s="463" t="b">
        <f t="shared" si="16"/>
        <v>1</v>
      </c>
      <c r="AA158" s="463" t="str">
        <f>IF(R158="",IFERROR(VLOOKUP(AC158,'Reference Records'!G$330:J598,3,0),""),IFERROR(VLOOKUP(AC158,'Reference Records'!H$330:J598,2,0),""))</f>
        <v/>
      </c>
      <c r="AB158" s="463" t="s">
        <v>1482</v>
      </c>
      <c r="AC158" s="452" t="e">
        <f t="shared" si="17"/>
        <v>#N/A</v>
      </c>
      <c r="AD158" s="452" t="str">
        <f t="shared" si="18"/>
        <v/>
      </c>
      <c r="AE158" s="452" t="str">
        <f t="array" ref="AE158">IFERROR(IF(INDEX($W$123:$W$174, MATCH(0, IF(AD158=$E$123:$E$174, COUNTIF($AE$122:$AE157, $W$123:$W$174), ""), 0))=0,"",INDEX($W$123:$W$174, MATCH(0, IF(AD158=$E$123:$E$174, COUNTIF($AE$122:$AE157, $W$123:$W$174), ""), 0))),"")</f>
        <v/>
      </c>
      <c r="AF158" s="452" t="str">
        <f t="shared" si="19"/>
        <v>|empty|</v>
      </c>
      <c r="AG158" s="452" t="str">
        <f t="shared" si="20"/>
        <v>INT-130948</v>
      </c>
      <c r="AH158" s="452" t="e">
        <f t="shared" si="21"/>
        <v>#N/A</v>
      </c>
      <c r="AI158" s="452">
        <f>IF(COUNTIF($AH$123:AH209,"&lt;="&amp;AH158)=0,"",COUNTIF($AH$123:AH209,"&lt;="&amp;AH158))</f>
        <v>51</v>
      </c>
      <c r="AJ158" s="452">
        <f>RANK(AI158,AI$123:AI209,1)</f>
        <v>1</v>
      </c>
      <c r="AK158" s="452" t="e">
        <f>INDEX(E$123:E209,MATCH(ROWS(AJ$123:AJ158),AJ$123:AJ209,0))</f>
        <v>#N/A</v>
      </c>
      <c r="AL158" s="452" t="e">
        <f>INDEX(K$123:K209,MATCH(ROWS(AJ$123:AJ158),AJ$123:AJ209,0))</f>
        <v>#N/A</v>
      </c>
      <c r="AM158" s="452" t="e">
        <f>INDEX(V$123:V209,MATCH(ROWS(AJ$123:AJ158),AJ$123:AJ209,0))</f>
        <v>#N/A</v>
      </c>
      <c r="AN158" s="452" t="e">
        <f t="shared" si="22"/>
        <v>#N/A</v>
      </c>
      <c r="AO158" s="452" t="e">
        <f t="shared" si="23"/>
        <v>#N/A</v>
      </c>
      <c r="AP158" s="452"/>
      <c r="AQ158" s="464" t="s">
        <v>1483</v>
      </c>
      <c r="AR158" s="104"/>
    </row>
    <row r="159" spans="1:44" ht="47.1" customHeight="1" x14ac:dyDescent="0.3">
      <c r="A159" s="135">
        <v>36</v>
      </c>
      <c r="B159" s="454"/>
      <c r="C159" s="454"/>
      <c r="D159" s="137"/>
      <c r="E159" s="455" t="str">
        <f>IFERROR(IF(AND(K159="",T159=""),"",(VLOOKUP(Q159,'Reference records(soft deleted)'!$B$87:$D$154,3,FALSE))),"")</f>
        <v/>
      </c>
      <c r="F159" s="456"/>
      <c r="G159" s="456"/>
      <c r="H159" s="457" t="str">
        <f>IF(R159="",IFERROR(VLOOKUP(AC159,'Reference Records'!G$330:J599,4,0),""),IFERROR(VLOOKUP(AC159,'Reference Records'!H$330:J599,3,0),""))</f>
        <v/>
      </c>
      <c r="I159" s="457"/>
      <c r="J159" s="458"/>
      <c r="K159" s="455" t="str">
        <f>IFERROR(VLOOKUP(INDEX('Reference Records'!E$329:E600,MATCH(R159,'Reference Records'!F$329:F600,0),1),'Reference Records'!B$158:C331,2,0),"")</f>
        <v/>
      </c>
      <c r="L159" s="457" t="e">
        <f>VLOOKUP(U159&amp;K159,'Reference Records'!H$159:I506,2,0)</f>
        <v>#N/A</v>
      </c>
      <c r="M159" s="457" t="e">
        <f>MATCH($L159,'Reference Records'!$E$330:$E$506,0)+ROW(Population_by_intervention) -1</f>
        <v>#N/A</v>
      </c>
      <c r="N159" s="457" t="e">
        <f>MATCH($L159,'Reference Records'!$E$330:$E$506,1)+ROW(Population_by_intervention) -1</f>
        <v>#N/A</v>
      </c>
      <c r="O159" s="457" t="e">
        <f>INDEX('Reference Records'!K$159:K506,MATCH(L159,'Reference Records'!B$159:B506,0))</f>
        <v>#N/A</v>
      </c>
      <c r="P159" s="457"/>
      <c r="Q159" s="459"/>
      <c r="R159" s="460"/>
      <c r="S159" s="457" t="str">
        <f>IFERROR(VLOOKUP(INDEX('Reference Records'!J$329:J600,MATCH(R159,'Reference Records'!F$329:F600),1),'Reference Records'!B$158:C331,2,0),"")</f>
        <v/>
      </c>
      <c r="T159" s="458"/>
      <c r="U159" s="461" t="str">
        <f>IFERROR(IF(VLOOKUP(E159,'Reference Records'!$F$123:$N$157,9,FALSE)=0,"",VLOOKUP(E159,'Reference Records'!$F$123:$N$157,9,FALSE)),"")</f>
        <v/>
      </c>
      <c r="V159" s="455" t="str">
        <f>IF(IF(Language="French",G159,F159)=0,"",IF(Language="French",G159,F159))</f>
        <v/>
      </c>
      <c r="W159" s="462" t="str">
        <f t="shared" si="13"/>
        <v/>
      </c>
      <c r="X159" s="463" t="str">
        <f t="shared" si="14"/>
        <v>a1P3p000006KmxbEAC</v>
      </c>
      <c r="Y159" s="463" t="b">
        <f t="shared" si="15"/>
        <v>0</v>
      </c>
      <c r="Z159" s="463" t="b">
        <f t="shared" si="16"/>
        <v>1</v>
      </c>
      <c r="AA159" s="463" t="str">
        <f>IF(R159="",IFERROR(VLOOKUP(AC159,'Reference Records'!G$330:J599,3,0),""),IFERROR(VLOOKUP(AC159,'Reference Records'!H$330:J599,2,0),""))</f>
        <v/>
      </c>
      <c r="AB159" s="463" t="s">
        <v>1484</v>
      </c>
      <c r="AC159" s="452" t="e">
        <f t="shared" si="17"/>
        <v>#N/A</v>
      </c>
      <c r="AD159" s="452" t="str">
        <f t="shared" si="18"/>
        <v/>
      </c>
      <c r="AE159" s="452" t="str">
        <f t="array" ref="AE159">IFERROR(IF(INDEX($W$123:$W$174, MATCH(0, IF(AD159=$E$123:$E$174, COUNTIF($AE$122:$AE158, $W$123:$W$174), ""), 0))=0,"",INDEX($W$123:$W$174, MATCH(0, IF(AD159=$E$123:$E$174, COUNTIF($AE$122:$AE158, $W$123:$W$174), ""), 0))),"")</f>
        <v/>
      </c>
      <c r="AF159" s="452" t="str">
        <f t="shared" si="19"/>
        <v>|empty|</v>
      </c>
      <c r="AG159" s="452" t="str">
        <f t="shared" si="20"/>
        <v>INT-130949</v>
      </c>
      <c r="AH159" s="452" t="e">
        <f t="shared" si="21"/>
        <v>#N/A</v>
      </c>
      <c r="AI159" s="452">
        <f>IF(COUNTIF($AH$123:AH210,"&lt;="&amp;AH159)=0,"",COUNTIF($AH$123:AH210,"&lt;="&amp;AH159))</f>
        <v>51</v>
      </c>
      <c r="AJ159" s="452">
        <f>RANK(AI159,AI$123:AI210,1)</f>
        <v>1</v>
      </c>
      <c r="AK159" s="452" t="e">
        <f>INDEX(E$123:E210,MATCH(ROWS(AJ$123:AJ159),AJ$123:AJ210,0))</f>
        <v>#N/A</v>
      </c>
      <c r="AL159" s="452" t="e">
        <f>INDEX(K$123:K210,MATCH(ROWS(AJ$123:AJ159),AJ$123:AJ210,0))</f>
        <v>#N/A</v>
      </c>
      <c r="AM159" s="452" t="e">
        <f>INDEX(V$123:V210,MATCH(ROWS(AJ$123:AJ159),AJ$123:AJ210,0))</f>
        <v>#N/A</v>
      </c>
      <c r="AN159" s="452" t="e">
        <f t="shared" si="22"/>
        <v>#N/A</v>
      </c>
      <c r="AO159" s="452" t="e">
        <f t="shared" si="23"/>
        <v>#N/A</v>
      </c>
      <c r="AP159" s="452"/>
      <c r="AQ159" s="464" t="s">
        <v>1485</v>
      </c>
      <c r="AR159" s="104"/>
    </row>
    <row r="160" spans="1:44" ht="47.1" customHeight="1" x14ac:dyDescent="0.3">
      <c r="A160" s="135">
        <v>37</v>
      </c>
      <c r="B160" s="454"/>
      <c r="C160" s="454"/>
      <c r="D160" s="137"/>
      <c r="E160" s="455" t="str">
        <f>IFERROR(IF(AND(K160="",T160=""),"",(VLOOKUP(Q160,'Reference records(soft deleted)'!$B$87:$D$154,3,FALSE))),"")</f>
        <v/>
      </c>
      <c r="F160" s="456"/>
      <c r="G160" s="456"/>
      <c r="H160" s="457" t="str">
        <f>IF(R160="",IFERROR(VLOOKUP(AC160,'Reference Records'!G$330:J600,4,0),""),IFERROR(VLOOKUP(AC160,'Reference Records'!H$330:J600,3,0),""))</f>
        <v/>
      </c>
      <c r="I160" s="457"/>
      <c r="J160" s="458"/>
      <c r="K160" s="455" t="str">
        <f>IFERROR(VLOOKUP(INDEX('Reference Records'!E$329:E601,MATCH(R160,'Reference Records'!F$329:F601,0),1),'Reference Records'!B$158:C506,2,0),"")</f>
        <v/>
      </c>
      <c r="L160" s="457" t="e">
        <f>VLOOKUP(U160&amp;K160,'Reference Records'!H$159:I507,2,0)</f>
        <v>#N/A</v>
      </c>
      <c r="M160" s="457" t="e">
        <f>MATCH($L160,'Reference Records'!$E$330:$E$506,0)+ROW(Population_by_intervention) -1</f>
        <v>#N/A</v>
      </c>
      <c r="N160" s="457" t="e">
        <f>MATCH($L160,'Reference Records'!$E$330:$E$506,1)+ROW(Population_by_intervention) -1</f>
        <v>#N/A</v>
      </c>
      <c r="O160" s="457" t="e">
        <f>INDEX('Reference Records'!K$159:K507,MATCH(L160,'Reference Records'!B$159:B507,0))</f>
        <v>#N/A</v>
      </c>
      <c r="P160" s="457"/>
      <c r="Q160" s="459"/>
      <c r="R160" s="460"/>
      <c r="S160" s="457" t="str">
        <f>IFERROR(VLOOKUP(INDEX('Reference Records'!J$329:J601,MATCH(R160,'Reference Records'!F$329:F601),1),'Reference Records'!B$158:C506,2,0),"")</f>
        <v/>
      </c>
      <c r="T160" s="458"/>
      <c r="U160" s="461" t="str">
        <f>IFERROR(IF(VLOOKUP(E160,'Reference Records'!$F$123:$N$157,9,FALSE)=0,"",VLOOKUP(E160,'Reference Records'!$F$123:$N$157,9,FALSE)),"")</f>
        <v/>
      </c>
      <c r="V160" s="455" t="str">
        <f>IF(IF(Language="French",G160,F160)=0,"",IF(Language="French",G160,F160))</f>
        <v/>
      </c>
      <c r="W160" s="462" t="str">
        <f t="shared" si="13"/>
        <v/>
      </c>
      <c r="X160" s="463" t="str">
        <f t="shared" si="14"/>
        <v>a1P3p000006KmxbEAC</v>
      </c>
      <c r="Y160" s="463" t="b">
        <f t="shared" si="15"/>
        <v>0</v>
      </c>
      <c r="Z160" s="463" t="b">
        <f t="shared" si="16"/>
        <v>1</v>
      </c>
      <c r="AA160" s="463" t="str">
        <f>IF(R160="",IFERROR(VLOOKUP(AC160,'Reference Records'!G$330:J600,3,0),""),IFERROR(VLOOKUP(AC160,'Reference Records'!H$330:J600,2,0),""))</f>
        <v/>
      </c>
      <c r="AB160" s="463" t="s">
        <v>1486</v>
      </c>
      <c r="AC160" s="452" t="e">
        <f t="shared" si="17"/>
        <v>#N/A</v>
      </c>
      <c r="AD160" s="452" t="str">
        <f t="shared" si="18"/>
        <v/>
      </c>
      <c r="AE160" s="452" t="str">
        <f t="array" ref="AE160">IFERROR(IF(INDEX($W$123:$W$174, MATCH(0, IF(AD160=$E$123:$E$174, COUNTIF($AE$122:$AE159, $W$123:$W$174), ""), 0))=0,"",INDEX($W$123:$W$174, MATCH(0, IF(AD160=$E$123:$E$174, COUNTIF($AE$122:$AE159, $W$123:$W$174), ""), 0))),"")</f>
        <v/>
      </c>
      <c r="AF160" s="452" t="str">
        <f t="shared" si="19"/>
        <v>|empty|</v>
      </c>
      <c r="AG160" s="452" t="str">
        <f t="shared" si="20"/>
        <v>INT-130950</v>
      </c>
      <c r="AH160" s="452" t="e">
        <f t="shared" si="21"/>
        <v>#N/A</v>
      </c>
      <c r="AI160" s="452">
        <f>IF(COUNTIF($AH$123:AH211,"&lt;="&amp;AH160)=0,"",COUNTIF($AH$123:AH211,"&lt;="&amp;AH160))</f>
        <v>51</v>
      </c>
      <c r="AJ160" s="452">
        <f>RANK(AI160,AI$123:AI211,1)</f>
        <v>1</v>
      </c>
      <c r="AK160" s="452" t="e">
        <f>INDEX(E$123:E211,MATCH(ROWS(AJ$123:AJ160),AJ$123:AJ211,0))</f>
        <v>#N/A</v>
      </c>
      <c r="AL160" s="452" t="e">
        <f>INDEX(K$123:K211,MATCH(ROWS(AJ$123:AJ160),AJ$123:AJ211,0))</f>
        <v>#N/A</v>
      </c>
      <c r="AM160" s="452" t="e">
        <f>INDEX(V$123:V211,MATCH(ROWS(AJ$123:AJ160),AJ$123:AJ211,0))</f>
        <v>#N/A</v>
      </c>
      <c r="AN160" s="452" t="e">
        <f t="shared" si="22"/>
        <v>#N/A</v>
      </c>
      <c r="AO160" s="452" t="e">
        <f t="shared" si="23"/>
        <v>#N/A</v>
      </c>
      <c r="AP160" s="452"/>
      <c r="AQ160" s="464" t="s">
        <v>1487</v>
      </c>
      <c r="AR160" s="104"/>
    </row>
    <row r="161" spans="1:44" ht="47.1" customHeight="1" x14ac:dyDescent="0.3">
      <c r="A161" s="135">
        <v>38</v>
      </c>
      <c r="B161" s="454"/>
      <c r="C161" s="454"/>
      <c r="D161" s="137"/>
      <c r="E161" s="455" t="str">
        <f>IFERROR(IF(AND(K161="",T161=""),"",(VLOOKUP(Q161,'Reference records(soft deleted)'!$B$87:$D$154,3,FALSE))),"")</f>
        <v/>
      </c>
      <c r="F161" s="456"/>
      <c r="G161" s="456"/>
      <c r="H161" s="457" t="str">
        <f>IF(R161="",IFERROR(VLOOKUP(AC161,'Reference Records'!G$330:J601,4,0),""),IFERROR(VLOOKUP(AC161,'Reference Records'!H$330:J601,3,0),""))</f>
        <v/>
      </c>
      <c r="I161" s="457"/>
      <c r="J161" s="458"/>
      <c r="K161" s="455" t="str">
        <f>IFERROR(VLOOKUP(INDEX('Reference Records'!E$329:E602,MATCH(R161,'Reference Records'!F$329:F602,0),1),'Reference Records'!B$158:C507,2,0),"")</f>
        <v/>
      </c>
      <c r="L161" s="457" t="e">
        <f>VLOOKUP(U161&amp;K161,'Reference Records'!H$159:I508,2,0)</f>
        <v>#N/A</v>
      </c>
      <c r="M161" s="457" t="e">
        <f>MATCH($L161,'Reference Records'!$E$330:$E$506,0)+ROW(Population_by_intervention) -1</f>
        <v>#N/A</v>
      </c>
      <c r="N161" s="457" t="e">
        <f>MATCH($L161,'Reference Records'!$E$330:$E$506,1)+ROW(Population_by_intervention) -1</f>
        <v>#N/A</v>
      </c>
      <c r="O161" s="457" t="e">
        <f>INDEX('Reference Records'!K$159:K508,MATCH(L161,'Reference Records'!B$159:B508,0))</f>
        <v>#N/A</v>
      </c>
      <c r="P161" s="457"/>
      <c r="Q161" s="459"/>
      <c r="R161" s="460"/>
      <c r="S161" s="457" t="str">
        <f>IFERROR(VLOOKUP(INDEX('Reference Records'!J$329:J602,MATCH(R161,'Reference Records'!F$329:F602),1),'Reference Records'!B$158:C507,2,0),"")</f>
        <v/>
      </c>
      <c r="T161" s="458"/>
      <c r="U161" s="461" t="str">
        <f>IFERROR(IF(VLOOKUP(E161,'Reference Records'!$F$123:$N$157,9,FALSE)=0,"",VLOOKUP(E161,'Reference Records'!$F$123:$N$157,9,FALSE)),"")</f>
        <v/>
      </c>
      <c r="V161" s="455" t="str">
        <f>IF(IF(Language="French",G161,F161)=0,"",IF(Language="French",G161,F161))</f>
        <v/>
      </c>
      <c r="W161" s="462" t="str">
        <f t="shared" si="13"/>
        <v/>
      </c>
      <c r="X161" s="463" t="str">
        <f t="shared" si="14"/>
        <v>a1P3p000006KmxbEAC</v>
      </c>
      <c r="Y161" s="463" t="b">
        <f t="shared" si="15"/>
        <v>0</v>
      </c>
      <c r="Z161" s="463" t="b">
        <f t="shared" si="16"/>
        <v>1</v>
      </c>
      <c r="AA161" s="463" t="str">
        <f>IF(R161="",IFERROR(VLOOKUP(AC161,'Reference Records'!G$330:J601,3,0),""),IFERROR(VLOOKUP(AC161,'Reference Records'!H$330:J601,2,0),""))</f>
        <v/>
      </c>
      <c r="AB161" s="463" t="s">
        <v>1488</v>
      </c>
      <c r="AC161" s="452" t="e">
        <f t="shared" si="17"/>
        <v>#N/A</v>
      </c>
      <c r="AD161" s="452" t="str">
        <f t="shared" si="18"/>
        <v/>
      </c>
      <c r="AE161" s="452" t="str">
        <f t="array" ref="AE161">IFERROR(IF(INDEX($W$123:$W$174, MATCH(0, IF(AD161=$E$123:$E$174, COUNTIF($AE$122:$AE160, $W$123:$W$174), ""), 0))=0,"",INDEX($W$123:$W$174, MATCH(0, IF(AD161=$E$123:$E$174, COUNTIF($AE$122:$AE160, $W$123:$W$174), ""), 0))),"")</f>
        <v/>
      </c>
      <c r="AF161" s="452" t="str">
        <f t="shared" si="19"/>
        <v>|empty|</v>
      </c>
      <c r="AG161" s="452" t="str">
        <f t="shared" si="20"/>
        <v>INT-130951</v>
      </c>
      <c r="AH161" s="452" t="e">
        <f t="shared" si="21"/>
        <v>#N/A</v>
      </c>
      <c r="AI161" s="452">
        <f>IF(COUNTIF($AH$123:AH212,"&lt;="&amp;AH161)=0,"",COUNTIF($AH$123:AH212,"&lt;="&amp;AH161))</f>
        <v>51</v>
      </c>
      <c r="AJ161" s="452">
        <f>RANK(AI161,AI$123:AI212,1)</f>
        <v>1</v>
      </c>
      <c r="AK161" s="452" t="e">
        <f>INDEX(E$123:E212,MATCH(ROWS(AJ$123:AJ161),AJ$123:AJ212,0))</f>
        <v>#N/A</v>
      </c>
      <c r="AL161" s="452" t="e">
        <f>INDEX(K$123:K212,MATCH(ROWS(AJ$123:AJ161),AJ$123:AJ212,0))</f>
        <v>#N/A</v>
      </c>
      <c r="AM161" s="452" t="e">
        <f>INDEX(V$123:V212,MATCH(ROWS(AJ$123:AJ161),AJ$123:AJ212,0))</f>
        <v>#N/A</v>
      </c>
      <c r="AN161" s="452" t="e">
        <f t="shared" si="22"/>
        <v>#N/A</v>
      </c>
      <c r="AO161" s="452" t="e">
        <f t="shared" si="23"/>
        <v>#N/A</v>
      </c>
      <c r="AP161" s="452"/>
      <c r="AQ161" s="464" t="s">
        <v>1489</v>
      </c>
      <c r="AR161" s="104"/>
    </row>
    <row r="162" spans="1:44" ht="47.1" customHeight="1" x14ac:dyDescent="0.3">
      <c r="A162" s="135">
        <v>39</v>
      </c>
      <c r="B162" s="454"/>
      <c r="C162" s="454"/>
      <c r="D162" s="137"/>
      <c r="E162" s="455" t="str">
        <f>IFERROR(IF(AND(K162="",T162=""),"",(VLOOKUP(Q162,'Reference records(soft deleted)'!$B$87:$D$154,3,FALSE))),"")</f>
        <v/>
      </c>
      <c r="F162" s="456"/>
      <c r="G162" s="456"/>
      <c r="H162" s="457" t="str">
        <f>IF(R162="",IFERROR(VLOOKUP(AC162,'Reference Records'!G$330:J602,4,0),""),IFERROR(VLOOKUP(AC162,'Reference Records'!H$330:J602,3,0),""))</f>
        <v/>
      </c>
      <c r="I162" s="457"/>
      <c r="J162" s="458"/>
      <c r="K162" s="455" t="str">
        <f>IFERROR(VLOOKUP(INDEX('Reference Records'!E$329:E603,MATCH(R162,'Reference Records'!F$329:F603,0),1),'Reference Records'!B$158:C508,2,0),"")</f>
        <v/>
      </c>
      <c r="L162" s="457" t="e">
        <f>VLOOKUP(U162&amp;K162,'Reference Records'!H$159:I509,2,0)</f>
        <v>#N/A</v>
      </c>
      <c r="M162" s="457" t="e">
        <f>MATCH($L162,'Reference Records'!$E$330:$E$506,0)+ROW(Population_by_intervention) -1</f>
        <v>#N/A</v>
      </c>
      <c r="N162" s="457" t="e">
        <f>MATCH($L162,'Reference Records'!$E$330:$E$506,1)+ROW(Population_by_intervention) -1</f>
        <v>#N/A</v>
      </c>
      <c r="O162" s="457" t="e">
        <f>INDEX('Reference Records'!K$159:K509,MATCH(L162,'Reference Records'!B$159:B509,0))</f>
        <v>#N/A</v>
      </c>
      <c r="P162" s="457"/>
      <c r="Q162" s="459"/>
      <c r="R162" s="460"/>
      <c r="S162" s="457" t="str">
        <f>IFERROR(VLOOKUP(INDEX('Reference Records'!J$329:J603,MATCH(R162,'Reference Records'!F$329:F603),1),'Reference Records'!B$158:C508,2,0),"")</f>
        <v/>
      </c>
      <c r="T162" s="458"/>
      <c r="U162" s="461" t="str">
        <f>IFERROR(IF(VLOOKUP(E162,'Reference Records'!$F$123:$N$157,9,FALSE)=0,"",VLOOKUP(E162,'Reference Records'!$F$123:$N$157,9,FALSE)),"")</f>
        <v/>
      </c>
      <c r="V162" s="455" t="str">
        <f>IF(IF(Language="French",G162,F162)=0,"",IF(Language="French",G162,F162))</f>
        <v/>
      </c>
      <c r="W162" s="462" t="str">
        <f t="shared" si="13"/>
        <v/>
      </c>
      <c r="X162" s="463" t="str">
        <f t="shared" si="14"/>
        <v>a1P3p000006KmxbEAC</v>
      </c>
      <c r="Y162" s="463" t="b">
        <f t="shared" si="15"/>
        <v>0</v>
      </c>
      <c r="Z162" s="463" t="b">
        <f t="shared" si="16"/>
        <v>1</v>
      </c>
      <c r="AA162" s="463" t="str">
        <f>IF(R162="",IFERROR(VLOOKUP(AC162,'Reference Records'!G$330:J602,3,0),""),IFERROR(VLOOKUP(AC162,'Reference Records'!H$330:J602,2,0),""))</f>
        <v/>
      </c>
      <c r="AB162" s="463" t="s">
        <v>1490</v>
      </c>
      <c r="AC162" s="452" t="e">
        <f t="shared" si="17"/>
        <v>#N/A</v>
      </c>
      <c r="AD162" s="452" t="str">
        <f t="shared" si="18"/>
        <v/>
      </c>
      <c r="AE162" s="452" t="str">
        <f t="array" ref="AE162">IFERROR(IF(INDEX($W$123:$W$174, MATCH(0, IF(AD162=$E$123:$E$174, COUNTIF($AE$122:$AE161, $W$123:$W$174), ""), 0))=0,"",INDEX($W$123:$W$174, MATCH(0, IF(AD162=$E$123:$E$174, COUNTIF($AE$122:$AE161, $W$123:$W$174), ""), 0))),"")</f>
        <v/>
      </c>
      <c r="AF162" s="452" t="str">
        <f t="shared" si="19"/>
        <v>|empty|</v>
      </c>
      <c r="AG162" s="452" t="str">
        <f t="shared" si="20"/>
        <v>INT-130952</v>
      </c>
      <c r="AH162" s="452" t="e">
        <f t="shared" si="21"/>
        <v>#N/A</v>
      </c>
      <c r="AI162" s="452">
        <f>IF(COUNTIF($AH$123:AH213,"&lt;="&amp;AH162)=0,"",COUNTIF($AH$123:AH213,"&lt;="&amp;AH162))</f>
        <v>51</v>
      </c>
      <c r="AJ162" s="452">
        <f>RANK(AI162,AI$123:AI213,1)</f>
        <v>1</v>
      </c>
      <c r="AK162" s="452" t="e">
        <f>INDEX(E$123:E213,MATCH(ROWS(AJ$123:AJ162),AJ$123:AJ213,0))</f>
        <v>#N/A</v>
      </c>
      <c r="AL162" s="452" t="e">
        <f>INDEX(K$123:K213,MATCH(ROWS(AJ$123:AJ162),AJ$123:AJ213,0))</f>
        <v>#N/A</v>
      </c>
      <c r="AM162" s="452" t="e">
        <f>INDEX(V$123:V213,MATCH(ROWS(AJ$123:AJ162),AJ$123:AJ213,0))</f>
        <v>#N/A</v>
      </c>
      <c r="AN162" s="452" t="e">
        <f t="shared" si="22"/>
        <v>#N/A</v>
      </c>
      <c r="AO162" s="452" t="e">
        <f t="shared" si="23"/>
        <v>#N/A</v>
      </c>
      <c r="AP162" s="452"/>
      <c r="AQ162" s="464" t="s">
        <v>1491</v>
      </c>
      <c r="AR162" s="104"/>
    </row>
    <row r="163" spans="1:44" ht="47.1" customHeight="1" x14ac:dyDescent="0.3">
      <c r="A163" s="135">
        <v>40</v>
      </c>
      <c r="B163" s="454"/>
      <c r="C163" s="454"/>
      <c r="D163" s="137"/>
      <c r="E163" s="455" t="str">
        <f>IFERROR(IF(AND(K163="",T163=""),"",(VLOOKUP(Q163,'Reference records(soft deleted)'!$B$87:$D$154,3,FALSE))),"")</f>
        <v/>
      </c>
      <c r="F163" s="456"/>
      <c r="G163" s="456"/>
      <c r="H163" s="457" t="str">
        <f>IF(R163="",IFERROR(VLOOKUP(AC163,'Reference Records'!G$330:J603,4,0),""),IFERROR(VLOOKUP(AC163,'Reference Records'!H$330:J603,3,0),""))</f>
        <v/>
      </c>
      <c r="I163" s="457"/>
      <c r="J163" s="458"/>
      <c r="K163" s="455" t="str">
        <f>IFERROR(VLOOKUP(INDEX('Reference Records'!E$329:E604,MATCH(R163,'Reference Records'!F$329:F604,0),1),'Reference Records'!B$158:C509,2,0),"")</f>
        <v/>
      </c>
      <c r="L163" s="457" t="e">
        <f>VLOOKUP(U163&amp;K163,'Reference Records'!H$159:I510,2,0)</f>
        <v>#N/A</v>
      </c>
      <c r="M163" s="457" t="e">
        <f>MATCH($L163,'Reference Records'!$E$330:$E$506,0)+ROW(Population_by_intervention) -1</f>
        <v>#N/A</v>
      </c>
      <c r="N163" s="457" t="e">
        <f>MATCH($L163,'Reference Records'!$E$330:$E$506,1)+ROW(Population_by_intervention) -1</f>
        <v>#N/A</v>
      </c>
      <c r="O163" s="457" t="e">
        <f>INDEX('Reference Records'!K$159:K510,MATCH(L163,'Reference Records'!B$159:B510,0))</f>
        <v>#N/A</v>
      </c>
      <c r="P163" s="457"/>
      <c r="Q163" s="459"/>
      <c r="R163" s="460"/>
      <c r="S163" s="457" t="str">
        <f>IFERROR(VLOOKUP(INDEX('Reference Records'!J$329:J604,MATCH(R163,'Reference Records'!F$329:F604),1),'Reference Records'!B$158:C509,2,0),"")</f>
        <v/>
      </c>
      <c r="T163" s="458"/>
      <c r="U163" s="461" t="str">
        <f>IFERROR(IF(VLOOKUP(E163,'Reference Records'!$F$123:$N$157,9,FALSE)=0,"",VLOOKUP(E163,'Reference Records'!$F$123:$N$157,9,FALSE)),"")</f>
        <v/>
      </c>
      <c r="V163" s="455" t="str">
        <f>IF(IF(Language="French",G163,F163)=0,"",IF(Language="French",G163,F163))</f>
        <v/>
      </c>
      <c r="W163" s="462" t="str">
        <f t="shared" si="13"/>
        <v/>
      </c>
      <c r="X163" s="463" t="str">
        <f t="shared" si="14"/>
        <v>a1P3p000006KmxbEAC</v>
      </c>
      <c r="Y163" s="463" t="b">
        <f t="shared" si="15"/>
        <v>0</v>
      </c>
      <c r="Z163" s="463" t="b">
        <f t="shared" si="16"/>
        <v>1</v>
      </c>
      <c r="AA163" s="463" t="str">
        <f>IF(R163="",IFERROR(VLOOKUP(AC163,'Reference Records'!G$330:J603,3,0),""),IFERROR(VLOOKUP(AC163,'Reference Records'!H$330:J603,2,0),""))</f>
        <v/>
      </c>
      <c r="AB163" s="463" t="s">
        <v>1492</v>
      </c>
      <c r="AC163" s="452" t="e">
        <f t="shared" si="17"/>
        <v>#N/A</v>
      </c>
      <c r="AD163" s="452" t="str">
        <f t="shared" si="18"/>
        <v/>
      </c>
      <c r="AE163" s="452" t="str">
        <f t="array" ref="AE163">IFERROR(IF(INDEX($W$123:$W$174, MATCH(0, IF(AD163=$E$123:$E$174, COUNTIF($AE$122:$AE162, $W$123:$W$174), ""), 0))=0,"",INDEX($W$123:$W$174, MATCH(0, IF(AD163=$E$123:$E$174, COUNTIF($AE$122:$AE162, $W$123:$W$174), ""), 0))),"")</f>
        <v/>
      </c>
      <c r="AF163" s="452" t="str">
        <f t="shared" si="19"/>
        <v>|empty|</v>
      </c>
      <c r="AG163" s="452" t="str">
        <f t="shared" si="20"/>
        <v>INT-130953</v>
      </c>
      <c r="AH163" s="452" t="e">
        <f t="shared" si="21"/>
        <v>#N/A</v>
      </c>
      <c r="AI163" s="452">
        <f>IF(COUNTIF($AH$123:AH214,"&lt;="&amp;AH163)=0,"",COUNTIF($AH$123:AH214,"&lt;="&amp;AH163))</f>
        <v>51</v>
      </c>
      <c r="AJ163" s="452">
        <f>RANK(AI163,AI$123:AI214,1)</f>
        <v>1</v>
      </c>
      <c r="AK163" s="452" t="e">
        <f>INDEX(E$123:E214,MATCH(ROWS(AJ$123:AJ163),AJ$123:AJ214,0))</f>
        <v>#N/A</v>
      </c>
      <c r="AL163" s="452" t="e">
        <f>INDEX(K$123:K214,MATCH(ROWS(AJ$123:AJ163),AJ$123:AJ214,0))</f>
        <v>#N/A</v>
      </c>
      <c r="AM163" s="452" t="e">
        <f>INDEX(V$123:V214,MATCH(ROWS(AJ$123:AJ163),AJ$123:AJ214,0))</f>
        <v>#N/A</v>
      </c>
      <c r="AN163" s="452" t="e">
        <f t="shared" si="22"/>
        <v>#N/A</v>
      </c>
      <c r="AO163" s="452" t="e">
        <f t="shared" si="23"/>
        <v>#N/A</v>
      </c>
      <c r="AP163" s="452"/>
      <c r="AQ163" s="464" t="s">
        <v>1493</v>
      </c>
      <c r="AR163" s="104"/>
    </row>
    <row r="164" spans="1:44" ht="47.1" customHeight="1" x14ac:dyDescent="0.3">
      <c r="A164" s="135">
        <v>41</v>
      </c>
      <c r="B164" s="454"/>
      <c r="C164" s="454"/>
      <c r="D164" s="137"/>
      <c r="E164" s="455" t="str">
        <f>IFERROR(IF(AND(K164="",T164=""),"",(VLOOKUP(Q164,'Reference records(soft deleted)'!$B$87:$D$154,3,FALSE))),"")</f>
        <v/>
      </c>
      <c r="F164" s="456"/>
      <c r="G164" s="456"/>
      <c r="H164" s="457" t="str">
        <f>IF(R164="",IFERROR(VLOOKUP(AC164,'Reference Records'!G$330:J604,4,0),""),IFERROR(VLOOKUP(AC164,'Reference Records'!H$330:J604,3,0),""))</f>
        <v/>
      </c>
      <c r="I164" s="457"/>
      <c r="J164" s="458"/>
      <c r="K164" s="455" t="str">
        <f>IFERROR(VLOOKUP(INDEX('Reference Records'!E$329:E605,MATCH(R164,'Reference Records'!F$329:F605,0),1),'Reference Records'!B$158:C510,2,0),"")</f>
        <v/>
      </c>
      <c r="L164" s="457" t="e">
        <f>VLOOKUP(U164&amp;K164,'Reference Records'!H$159:I569,2,0)</f>
        <v>#N/A</v>
      </c>
      <c r="M164" s="457" t="e">
        <f>MATCH($L164,'Reference Records'!$E$330:$E$506,0)+ROW(Population_by_intervention) -1</f>
        <v>#N/A</v>
      </c>
      <c r="N164" s="457" t="e">
        <f>MATCH($L164,'Reference Records'!$E$330:$E$506,1)+ROW(Population_by_intervention) -1</f>
        <v>#N/A</v>
      </c>
      <c r="O164" s="457" t="e">
        <f>INDEX('Reference Records'!K$159:K569,MATCH(L164,'Reference Records'!B$159:B569,0))</f>
        <v>#N/A</v>
      </c>
      <c r="P164" s="457"/>
      <c r="Q164" s="459"/>
      <c r="R164" s="460"/>
      <c r="S164" s="457" t="str">
        <f>IFERROR(VLOOKUP(INDEX('Reference Records'!J$329:J605,MATCH(R164,'Reference Records'!F$329:F605),1),'Reference Records'!B$158:C510,2,0),"")</f>
        <v/>
      </c>
      <c r="T164" s="458"/>
      <c r="U164" s="461" t="str">
        <f>IFERROR(IF(VLOOKUP(E164,'Reference Records'!$F$123:$N$157,9,FALSE)=0,"",VLOOKUP(E164,'Reference Records'!$F$123:$N$157,9,FALSE)),"")</f>
        <v/>
      </c>
      <c r="V164" s="455" t="str">
        <f>IF(IF(Language="French",G164,F164)=0,"",IF(Language="French",G164,F164))</f>
        <v/>
      </c>
      <c r="W164" s="462" t="str">
        <f t="shared" si="13"/>
        <v/>
      </c>
      <c r="X164" s="463" t="str">
        <f t="shared" si="14"/>
        <v>a1P3p000006KmxbEAC</v>
      </c>
      <c r="Y164" s="463" t="b">
        <f t="shared" si="15"/>
        <v>0</v>
      </c>
      <c r="Z164" s="463" t="b">
        <f t="shared" si="16"/>
        <v>1</v>
      </c>
      <c r="AA164" s="463" t="str">
        <f>IF(R164="",IFERROR(VLOOKUP(AC164,'Reference Records'!G$330:J604,3,0),""),IFERROR(VLOOKUP(AC164,'Reference Records'!H$330:J604,2,0),""))</f>
        <v/>
      </c>
      <c r="AB164" s="463" t="s">
        <v>1494</v>
      </c>
      <c r="AC164" s="452" t="e">
        <f t="shared" si="17"/>
        <v>#N/A</v>
      </c>
      <c r="AD164" s="452" t="str">
        <f t="shared" si="18"/>
        <v/>
      </c>
      <c r="AE164" s="452" t="str">
        <f t="array" ref="AE164">IFERROR(IF(INDEX($W$123:$W$174, MATCH(0, IF(AD164=$E$123:$E$174, COUNTIF($AE$122:$AE163, $W$123:$W$174), ""), 0))=0,"",INDEX($W$123:$W$174, MATCH(0, IF(AD164=$E$123:$E$174, COUNTIF($AE$122:$AE163, $W$123:$W$174), ""), 0))),"")</f>
        <v/>
      </c>
      <c r="AF164" s="452" t="str">
        <f t="shared" si="19"/>
        <v>|empty|</v>
      </c>
      <c r="AG164" s="452" t="str">
        <f t="shared" si="20"/>
        <v>INT-130954</v>
      </c>
      <c r="AH164" s="452" t="e">
        <f t="shared" si="21"/>
        <v>#N/A</v>
      </c>
      <c r="AI164" s="452">
        <f>IF(COUNTIF($AH$123:AH215,"&lt;="&amp;AH164)=0,"",COUNTIF($AH$123:AH215,"&lt;="&amp;AH164))</f>
        <v>51</v>
      </c>
      <c r="AJ164" s="452">
        <f>RANK(AI164,AI$123:AI215,1)</f>
        <v>1</v>
      </c>
      <c r="AK164" s="452" t="e">
        <f>INDEX(E$123:E215,MATCH(ROWS(AJ$123:AJ164),AJ$123:AJ215,0))</f>
        <v>#N/A</v>
      </c>
      <c r="AL164" s="452" t="e">
        <f>INDEX(K$123:K215,MATCH(ROWS(AJ$123:AJ164),AJ$123:AJ215,0))</f>
        <v>#N/A</v>
      </c>
      <c r="AM164" s="452" t="e">
        <f>INDEX(V$123:V215,MATCH(ROWS(AJ$123:AJ164),AJ$123:AJ215,0))</f>
        <v>#N/A</v>
      </c>
      <c r="AN164" s="452" t="e">
        <f t="shared" si="22"/>
        <v>#N/A</v>
      </c>
      <c r="AO164" s="452" t="e">
        <f t="shared" si="23"/>
        <v>#N/A</v>
      </c>
      <c r="AP164" s="452"/>
      <c r="AQ164" s="464" t="s">
        <v>1495</v>
      </c>
      <c r="AR164" s="104"/>
    </row>
    <row r="165" spans="1:44" ht="47.1" customHeight="1" x14ac:dyDescent="0.3">
      <c r="A165" s="135">
        <v>42</v>
      </c>
      <c r="B165" s="454"/>
      <c r="C165" s="454"/>
      <c r="D165" s="137"/>
      <c r="E165" s="455" t="str">
        <f>IFERROR(IF(AND(K165="",T165=""),"",(VLOOKUP(Q165,'Reference records(soft deleted)'!$B$87:$D$154,3,FALSE))),"")</f>
        <v/>
      </c>
      <c r="F165" s="456"/>
      <c r="G165" s="456"/>
      <c r="H165" s="457" t="str">
        <f>IF(R165="",IFERROR(VLOOKUP(AC165,'Reference Records'!G$330:J605,4,0),""),IFERROR(VLOOKUP(AC165,'Reference Records'!H$330:J605,3,0),""))</f>
        <v/>
      </c>
      <c r="I165" s="457"/>
      <c r="J165" s="458"/>
      <c r="K165" s="455" t="str">
        <f>IFERROR(VLOOKUP(INDEX('Reference Records'!E$329:E606,MATCH(R165,'Reference Records'!F$329:F606,0),1),'Reference Records'!B$158:C569,2,0),"")</f>
        <v/>
      </c>
      <c r="L165" s="457" t="e">
        <f>VLOOKUP(U165&amp;K165,'Reference Records'!H$159:I570,2,0)</f>
        <v>#N/A</v>
      </c>
      <c r="M165" s="457" t="e">
        <f>MATCH($L165,'Reference Records'!$E$330:$E$506,0)+ROW(Population_by_intervention) -1</f>
        <v>#N/A</v>
      </c>
      <c r="N165" s="457" t="e">
        <f>MATCH($L165,'Reference Records'!$E$330:$E$506,1)+ROW(Population_by_intervention) -1</f>
        <v>#N/A</v>
      </c>
      <c r="O165" s="457" t="e">
        <f>INDEX('Reference Records'!K$159:K570,MATCH(L165,'Reference Records'!B$159:B570,0))</f>
        <v>#N/A</v>
      </c>
      <c r="P165" s="457"/>
      <c r="Q165" s="459"/>
      <c r="R165" s="460"/>
      <c r="S165" s="457" t="str">
        <f>IFERROR(VLOOKUP(INDEX('Reference Records'!J$329:J606,MATCH(R165,'Reference Records'!F$329:F606),1),'Reference Records'!B$158:C569,2,0),"")</f>
        <v/>
      </c>
      <c r="T165" s="458"/>
      <c r="U165" s="461" t="str">
        <f>IFERROR(IF(VLOOKUP(E165,'Reference Records'!$F$123:$N$157,9,FALSE)=0,"",VLOOKUP(E165,'Reference Records'!$F$123:$N$157,9,FALSE)),"")</f>
        <v/>
      </c>
      <c r="V165" s="455" t="str">
        <f>IF(IF(Language="French",G165,F165)=0,"",IF(Language="French",G165,F165))</f>
        <v/>
      </c>
      <c r="W165" s="462" t="str">
        <f t="shared" si="13"/>
        <v/>
      </c>
      <c r="X165" s="463" t="str">
        <f t="shared" si="14"/>
        <v>a1P3p000006KmxbEAC</v>
      </c>
      <c r="Y165" s="463" t="b">
        <f t="shared" si="15"/>
        <v>0</v>
      </c>
      <c r="Z165" s="463" t="b">
        <f t="shared" si="16"/>
        <v>1</v>
      </c>
      <c r="AA165" s="463" t="str">
        <f>IF(R165="",IFERROR(VLOOKUP(AC165,'Reference Records'!G$330:J605,3,0),""),IFERROR(VLOOKUP(AC165,'Reference Records'!H$330:J605,2,0),""))</f>
        <v/>
      </c>
      <c r="AB165" s="463" t="s">
        <v>1496</v>
      </c>
      <c r="AC165" s="452" t="e">
        <f t="shared" si="17"/>
        <v>#N/A</v>
      </c>
      <c r="AD165" s="452" t="str">
        <f t="shared" si="18"/>
        <v/>
      </c>
      <c r="AE165" s="452" t="str">
        <f t="array" ref="AE165">IFERROR(IF(INDEX($W$123:$W$174, MATCH(0, IF(AD165=$E$123:$E$174, COUNTIF($AE$122:$AE164, $W$123:$W$174), ""), 0))=0,"",INDEX($W$123:$W$174, MATCH(0, IF(AD165=$E$123:$E$174, COUNTIF($AE$122:$AE164, $W$123:$W$174), ""), 0))),"")</f>
        <v/>
      </c>
      <c r="AF165" s="452" t="str">
        <f t="shared" si="19"/>
        <v>|empty|</v>
      </c>
      <c r="AG165" s="452" t="str">
        <f t="shared" si="20"/>
        <v>INT-130955</v>
      </c>
      <c r="AH165" s="452" t="e">
        <f t="shared" si="21"/>
        <v>#N/A</v>
      </c>
      <c r="AI165" s="452">
        <f>IF(COUNTIF($AH$123:AH216,"&lt;="&amp;AH165)=0,"",COUNTIF($AH$123:AH216,"&lt;="&amp;AH165))</f>
        <v>51</v>
      </c>
      <c r="AJ165" s="452">
        <f>RANK(AI165,AI$123:AI216,1)</f>
        <v>1</v>
      </c>
      <c r="AK165" s="452" t="e">
        <f>INDEX(E$123:E216,MATCH(ROWS(AJ$123:AJ165),AJ$123:AJ216,0))</f>
        <v>#N/A</v>
      </c>
      <c r="AL165" s="452" t="e">
        <f>INDEX(K$123:K216,MATCH(ROWS(AJ$123:AJ165),AJ$123:AJ216,0))</f>
        <v>#N/A</v>
      </c>
      <c r="AM165" s="452" t="e">
        <f>INDEX(V$123:V216,MATCH(ROWS(AJ$123:AJ165),AJ$123:AJ216,0))</f>
        <v>#N/A</v>
      </c>
      <c r="AN165" s="452" t="e">
        <f t="shared" si="22"/>
        <v>#N/A</v>
      </c>
      <c r="AO165" s="452" t="e">
        <f t="shared" si="23"/>
        <v>#N/A</v>
      </c>
      <c r="AP165" s="452"/>
      <c r="AQ165" s="464" t="s">
        <v>1497</v>
      </c>
      <c r="AR165" s="104"/>
    </row>
    <row r="166" spans="1:44" ht="47.1" customHeight="1" x14ac:dyDescent="0.3">
      <c r="A166" s="135">
        <v>43</v>
      </c>
      <c r="B166" s="454"/>
      <c r="C166" s="454"/>
      <c r="D166" s="137"/>
      <c r="E166" s="455" t="str">
        <f>IFERROR(IF(AND(K166="",T166=""),"",(VLOOKUP(Q166,'Reference records(soft deleted)'!$B$87:$D$154,3,FALSE))),"")</f>
        <v/>
      </c>
      <c r="F166" s="456"/>
      <c r="G166" s="456"/>
      <c r="H166" s="457" t="str">
        <f>IF(R166="",IFERROR(VLOOKUP(AC166,'Reference Records'!G$330:J606,4,0),""),IFERROR(VLOOKUP(AC166,'Reference Records'!H$330:J606,3,0),""))</f>
        <v/>
      </c>
      <c r="I166" s="457"/>
      <c r="J166" s="458"/>
      <c r="K166" s="455" t="str">
        <f>IFERROR(VLOOKUP(INDEX('Reference Records'!E$329:E607,MATCH(R166,'Reference Records'!F$329:F607,0),1),'Reference Records'!B$158:C570,2,0),"")</f>
        <v/>
      </c>
      <c r="L166" s="457" t="e">
        <f>VLOOKUP(U166&amp;K166,'Reference Records'!H$159:I571,2,0)</f>
        <v>#N/A</v>
      </c>
      <c r="M166" s="457" t="e">
        <f>MATCH($L166,'Reference Records'!$E$330:$E$506,0)+ROW(Population_by_intervention) -1</f>
        <v>#N/A</v>
      </c>
      <c r="N166" s="457" t="e">
        <f>MATCH($L166,'Reference Records'!$E$330:$E$506,1)+ROW(Population_by_intervention) -1</f>
        <v>#N/A</v>
      </c>
      <c r="O166" s="457" t="e">
        <f>INDEX('Reference Records'!K$159:K571,MATCH(L166,'Reference Records'!B$159:B571,0))</f>
        <v>#N/A</v>
      </c>
      <c r="P166" s="457"/>
      <c r="Q166" s="459"/>
      <c r="R166" s="460"/>
      <c r="S166" s="457" t="str">
        <f>IFERROR(VLOOKUP(INDEX('Reference Records'!J$329:J607,MATCH(R166,'Reference Records'!F$329:F607),1),'Reference Records'!B$158:C570,2,0),"")</f>
        <v/>
      </c>
      <c r="T166" s="458"/>
      <c r="U166" s="461" t="str">
        <f>IFERROR(IF(VLOOKUP(E166,'Reference Records'!$F$123:$N$157,9,FALSE)=0,"",VLOOKUP(E166,'Reference Records'!$F$123:$N$157,9,FALSE)),"")</f>
        <v/>
      </c>
      <c r="V166" s="455" t="str">
        <f>IF(IF(Language="French",G166,F166)=0,"",IF(Language="French",G166,F166))</f>
        <v/>
      </c>
      <c r="W166" s="462" t="str">
        <f t="shared" si="13"/>
        <v/>
      </c>
      <c r="X166" s="463" t="str">
        <f t="shared" si="14"/>
        <v>a1P3p000006KmxbEAC</v>
      </c>
      <c r="Y166" s="463" t="b">
        <f t="shared" si="15"/>
        <v>0</v>
      </c>
      <c r="Z166" s="463" t="b">
        <f t="shared" si="16"/>
        <v>1</v>
      </c>
      <c r="AA166" s="463" t="str">
        <f>IF(R166="",IFERROR(VLOOKUP(AC166,'Reference Records'!G$330:J606,3,0),""),IFERROR(VLOOKUP(AC166,'Reference Records'!H$330:J606,2,0),""))</f>
        <v/>
      </c>
      <c r="AB166" s="463" t="s">
        <v>1498</v>
      </c>
      <c r="AC166" s="452" t="e">
        <f t="shared" si="17"/>
        <v>#N/A</v>
      </c>
      <c r="AD166" s="452" t="str">
        <f t="shared" si="18"/>
        <v/>
      </c>
      <c r="AE166" s="452" t="str">
        <f t="array" ref="AE166">IFERROR(IF(INDEX($W$123:$W$174, MATCH(0, IF(AD166=$E$123:$E$174, COUNTIF($AE$122:$AE165, $W$123:$W$174), ""), 0))=0,"",INDEX($W$123:$W$174, MATCH(0, IF(AD166=$E$123:$E$174, COUNTIF($AE$122:$AE165, $W$123:$W$174), ""), 0))),"")</f>
        <v/>
      </c>
      <c r="AF166" s="452" t="str">
        <f t="shared" si="19"/>
        <v>|empty|</v>
      </c>
      <c r="AG166" s="452" t="str">
        <f t="shared" si="20"/>
        <v>INT-130956</v>
      </c>
      <c r="AH166" s="452" t="e">
        <f t="shared" si="21"/>
        <v>#N/A</v>
      </c>
      <c r="AI166" s="452">
        <f>IF(COUNTIF($AH$123:AH217,"&lt;="&amp;AH166)=0,"",COUNTIF($AH$123:AH217,"&lt;="&amp;AH166))</f>
        <v>51</v>
      </c>
      <c r="AJ166" s="452">
        <f>RANK(AI166,AI$123:AI217,1)</f>
        <v>1</v>
      </c>
      <c r="AK166" s="452" t="e">
        <f>INDEX(E$123:E217,MATCH(ROWS(AJ$123:AJ166),AJ$123:AJ217,0))</f>
        <v>#N/A</v>
      </c>
      <c r="AL166" s="452" t="e">
        <f>INDEX(K$123:K217,MATCH(ROWS(AJ$123:AJ166),AJ$123:AJ217,0))</f>
        <v>#N/A</v>
      </c>
      <c r="AM166" s="452" t="e">
        <f>INDEX(V$123:V217,MATCH(ROWS(AJ$123:AJ166),AJ$123:AJ217,0))</f>
        <v>#N/A</v>
      </c>
      <c r="AN166" s="452" t="e">
        <f t="shared" si="22"/>
        <v>#N/A</v>
      </c>
      <c r="AO166" s="452" t="e">
        <f t="shared" si="23"/>
        <v>#N/A</v>
      </c>
      <c r="AP166" s="452"/>
      <c r="AQ166" s="464" t="s">
        <v>1499</v>
      </c>
      <c r="AR166" s="104"/>
    </row>
    <row r="167" spans="1:44" ht="47.1" customHeight="1" x14ac:dyDescent="0.3">
      <c r="A167" s="135">
        <v>44</v>
      </c>
      <c r="B167" s="454"/>
      <c r="C167" s="454"/>
      <c r="D167" s="137"/>
      <c r="E167" s="455" t="str">
        <f>IFERROR(IF(AND(K167="",T167=""),"",(VLOOKUP(Q167,'Reference records(soft deleted)'!$B$87:$D$154,3,FALSE))),"")</f>
        <v/>
      </c>
      <c r="F167" s="456"/>
      <c r="G167" s="456"/>
      <c r="H167" s="457" t="str">
        <f>IF(R167="",IFERROR(VLOOKUP(AC167,'Reference Records'!G$330:J607,4,0),""),IFERROR(VLOOKUP(AC167,'Reference Records'!H$330:J607,3,0),""))</f>
        <v/>
      </c>
      <c r="I167" s="457"/>
      <c r="J167" s="458"/>
      <c r="K167" s="455" t="str">
        <f>IFERROR(VLOOKUP(INDEX('Reference Records'!E$329:E608,MATCH(R167,'Reference Records'!F$329:F608,0),1),'Reference Records'!B$158:C571,2,0),"")</f>
        <v/>
      </c>
      <c r="L167" s="457" t="e">
        <f>VLOOKUP(U167&amp;K167,'Reference Records'!H$159:I572,2,0)</f>
        <v>#N/A</v>
      </c>
      <c r="M167" s="457" t="e">
        <f>MATCH($L167,'Reference Records'!$E$330:$E$506,0)+ROW(Population_by_intervention) -1</f>
        <v>#N/A</v>
      </c>
      <c r="N167" s="457" t="e">
        <f>MATCH($L167,'Reference Records'!$E$330:$E$506,1)+ROW(Population_by_intervention) -1</f>
        <v>#N/A</v>
      </c>
      <c r="O167" s="457" t="e">
        <f>INDEX('Reference Records'!K$159:K572,MATCH(L167,'Reference Records'!B$159:B572,0))</f>
        <v>#N/A</v>
      </c>
      <c r="P167" s="457"/>
      <c r="Q167" s="459"/>
      <c r="R167" s="460"/>
      <c r="S167" s="457" t="str">
        <f>IFERROR(VLOOKUP(INDEX('Reference Records'!J$329:J608,MATCH(R167,'Reference Records'!F$329:F608),1),'Reference Records'!B$158:C571,2,0),"")</f>
        <v/>
      </c>
      <c r="T167" s="458"/>
      <c r="U167" s="461" t="str">
        <f>IFERROR(IF(VLOOKUP(E167,'Reference Records'!$F$123:$N$157,9,FALSE)=0,"",VLOOKUP(E167,'Reference Records'!$F$123:$N$157,9,FALSE)),"")</f>
        <v/>
      </c>
      <c r="V167" s="455" t="str">
        <f>IF(IF(Language="French",G167,F167)=0,"",IF(Language="French",G167,F167))</f>
        <v/>
      </c>
      <c r="W167" s="462" t="str">
        <f t="shared" si="13"/>
        <v/>
      </c>
      <c r="X167" s="463" t="str">
        <f t="shared" si="14"/>
        <v>a1P3p000006KmxbEAC</v>
      </c>
      <c r="Y167" s="463" t="b">
        <f t="shared" si="15"/>
        <v>0</v>
      </c>
      <c r="Z167" s="463" t="b">
        <f t="shared" si="16"/>
        <v>1</v>
      </c>
      <c r="AA167" s="463" t="str">
        <f>IF(R167="",IFERROR(VLOOKUP(AC167,'Reference Records'!G$330:J607,3,0),""),IFERROR(VLOOKUP(AC167,'Reference Records'!H$330:J607,2,0),""))</f>
        <v/>
      </c>
      <c r="AB167" s="463" t="s">
        <v>1500</v>
      </c>
      <c r="AC167" s="452" t="e">
        <f t="shared" si="17"/>
        <v>#N/A</v>
      </c>
      <c r="AD167" s="452" t="str">
        <f t="shared" si="18"/>
        <v/>
      </c>
      <c r="AE167" s="452" t="str">
        <f t="array" ref="AE167">IFERROR(IF(INDEX($W$123:$W$174, MATCH(0, IF(AD167=$E$123:$E$174, COUNTIF($AE$122:$AE166, $W$123:$W$174), ""), 0))=0,"",INDEX($W$123:$W$174, MATCH(0, IF(AD167=$E$123:$E$174, COUNTIF($AE$122:$AE166, $W$123:$W$174), ""), 0))),"")</f>
        <v/>
      </c>
      <c r="AF167" s="452" t="str">
        <f t="shared" si="19"/>
        <v>|empty|</v>
      </c>
      <c r="AG167" s="452" t="str">
        <f t="shared" si="20"/>
        <v>INT-130957</v>
      </c>
      <c r="AH167" s="452" t="e">
        <f t="shared" si="21"/>
        <v>#N/A</v>
      </c>
      <c r="AI167" s="452">
        <f>IF(COUNTIF($AH$123:AH218,"&lt;="&amp;AH167)=0,"",COUNTIF($AH$123:AH218,"&lt;="&amp;AH167))</f>
        <v>51</v>
      </c>
      <c r="AJ167" s="452">
        <f>RANK(AI167,AI$123:AI218,1)</f>
        <v>1</v>
      </c>
      <c r="AK167" s="452" t="e">
        <f>INDEX(E$123:E218,MATCH(ROWS(AJ$123:AJ167),AJ$123:AJ218,0))</f>
        <v>#N/A</v>
      </c>
      <c r="AL167" s="452" t="e">
        <f>INDEX(K$123:K218,MATCH(ROWS(AJ$123:AJ167),AJ$123:AJ218,0))</f>
        <v>#N/A</v>
      </c>
      <c r="AM167" s="452" t="e">
        <f>INDEX(V$123:V218,MATCH(ROWS(AJ$123:AJ167),AJ$123:AJ218,0))</f>
        <v>#N/A</v>
      </c>
      <c r="AN167" s="452" t="e">
        <f t="shared" si="22"/>
        <v>#N/A</v>
      </c>
      <c r="AO167" s="452" t="e">
        <f t="shared" si="23"/>
        <v>#N/A</v>
      </c>
      <c r="AP167" s="452"/>
      <c r="AQ167" s="464" t="s">
        <v>1501</v>
      </c>
      <c r="AR167" s="104"/>
    </row>
    <row r="168" spans="1:44" ht="47.1" customHeight="1" x14ac:dyDescent="0.3">
      <c r="A168" s="135">
        <v>45</v>
      </c>
      <c r="B168" s="454"/>
      <c r="C168" s="454"/>
      <c r="D168" s="137"/>
      <c r="E168" s="455" t="str">
        <f>IFERROR(IF(AND(K168="",T168=""),"",(VLOOKUP(Q168,'Reference records(soft deleted)'!$B$87:$D$154,3,FALSE))),"")</f>
        <v/>
      </c>
      <c r="F168" s="456"/>
      <c r="G168" s="456"/>
      <c r="H168" s="457" t="str">
        <f>IF(R168="",IFERROR(VLOOKUP(AC168,'Reference Records'!G$330:J608,4,0),""),IFERROR(VLOOKUP(AC168,'Reference Records'!H$330:J608,3,0),""))</f>
        <v/>
      </c>
      <c r="I168" s="457"/>
      <c r="J168" s="458"/>
      <c r="K168" s="455" t="str">
        <f>IFERROR(VLOOKUP(INDEX('Reference Records'!E$329:E609,MATCH(R168,'Reference Records'!F$329:F609,0),1),'Reference Records'!B$158:C572,2,0),"")</f>
        <v/>
      </c>
      <c r="L168" s="457" t="e">
        <f>VLOOKUP(U168&amp;K168,'Reference Records'!H$159:I573,2,0)</f>
        <v>#N/A</v>
      </c>
      <c r="M168" s="457" t="e">
        <f>MATCH($L168,'Reference Records'!$E$330:$E$506,0)+ROW(Population_by_intervention) -1</f>
        <v>#N/A</v>
      </c>
      <c r="N168" s="457" t="e">
        <f>MATCH($L168,'Reference Records'!$E$330:$E$506,1)+ROW(Population_by_intervention) -1</f>
        <v>#N/A</v>
      </c>
      <c r="O168" s="457" t="e">
        <f>INDEX('Reference Records'!K$159:K573,MATCH(L168,'Reference Records'!B$159:B573,0))</f>
        <v>#N/A</v>
      </c>
      <c r="P168" s="457"/>
      <c r="Q168" s="459"/>
      <c r="R168" s="460"/>
      <c r="S168" s="457" t="str">
        <f>IFERROR(VLOOKUP(INDEX('Reference Records'!J$329:J609,MATCH(R168,'Reference Records'!F$329:F609),1),'Reference Records'!B$158:C572,2,0),"")</f>
        <v/>
      </c>
      <c r="T168" s="458"/>
      <c r="U168" s="461" t="str">
        <f>IFERROR(IF(VLOOKUP(E168,'Reference Records'!$F$123:$N$157,9,FALSE)=0,"",VLOOKUP(E168,'Reference Records'!$F$123:$N$157,9,FALSE)),"")</f>
        <v/>
      </c>
      <c r="V168" s="455" t="str">
        <f>IF(IF(Language="French",G168,F168)=0,"",IF(Language="French",G168,F168))</f>
        <v/>
      </c>
      <c r="W168" s="462" t="str">
        <f t="shared" si="13"/>
        <v/>
      </c>
      <c r="X168" s="463" t="str">
        <f t="shared" si="14"/>
        <v>a1P3p000006KmxbEAC</v>
      </c>
      <c r="Y168" s="463" t="b">
        <f t="shared" si="15"/>
        <v>0</v>
      </c>
      <c r="Z168" s="463" t="b">
        <f t="shared" si="16"/>
        <v>1</v>
      </c>
      <c r="AA168" s="463" t="str">
        <f>IF(R168="",IFERROR(VLOOKUP(AC168,'Reference Records'!G$330:J608,3,0),""),IFERROR(VLOOKUP(AC168,'Reference Records'!H$330:J608,2,0),""))</f>
        <v/>
      </c>
      <c r="AB168" s="463" t="s">
        <v>1502</v>
      </c>
      <c r="AC168" s="452" t="e">
        <f t="shared" si="17"/>
        <v>#N/A</v>
      </c>
      <c r="AD168" s="452" t="str">
        <f t="shared" si="18"/>
        <v/>
      </c>
      <c r="AE168" s="452" t="str">
        <f t="array" ref="AE168">IFERROR(IF(INDEX($W$123:$W$174, MATCH(0, IF(AD168=$E$123:$E$174, COUNTIF($AE$122:$AE167, $W$123:$W$174), ""), 0))=0,"",INDEX($W$123:$W$174, MATCH(0, IF(AD168=$E$123:$E$174, COUNTIF($AE$122:$AE167, $W$123:$W$174), ""), 0))),"")</f>
        <v/>
      </c>
      <c r="AF168" s="452" t="str">
        <f t="shared" si="19"/>
        <v>|empty|</v>
      </c>
      <c r="AG168" s="452" t="str">
        <f t="shared" si="20"/>
        <v>INT-130958</v>
      </c>
      <c r="AH168" s="452" t="e">
        <f t="shared" si="21"/>
        <v>#N/A</v>
      </c>
      <c r="AI168" s="452">
        <f>IF(COUNTIF($AH$123:AH219,"&lt;="&amp;AH168)=0,"",COUNTIF($AH$123:AH219,"&lt;="&amp;AH168))</f>
        <v>51</v>
      </c>
      <c r="AJ168" s="452">
        <f>RANK(AI168,AI$123:AI219,1)</f>
        <v>1</v>
      </c>
      <c r="AK168" s="452" t="e">
        <f>INDEX(E$123:E219,MATCH(ROWS(AJ$123:AJ168),AJ$123:AJ219,0))</f>
        <v>#N/A</v>
      </c>
      <c r="AL168" s="452" t="e">
        <f>INDEX(K$123:K219,MATCH(ROWS(AJ$123:AJ168),AJ$123:AJ219,0))</f>
        <v>#N/A</v>
      </c>
      <c r="AM168" s="452" t="e">
        <f>INDEX(V$123:V219,MATCH(ROWS(AJ$123:AJ168),AJ$123:AJ219,0))</f>
        <v>#N/A</v>
      </c>
      <c r="AN168" s="452" t="e">
        <f t="shared" si="22"/>
        <v>#N/A</v>
      </c>
      <c r="AO168" s="452" t="e">
        <f t="shared" si="23"/>
        <v>#N/A</v>
      </c>
      <c r="AP168" s="452"/>
      <c r="AQ168" s="464" t="s">
        <v>1503</v>
      </c>
      <c r="AR168" s="104"/>
    </row>
    <row r="169" spans="1:44" ht="47.1" customHeight="1" x14ac:dyDescent="0.3">
      <c r="A169" s="135">
        <v>46</v>
      </c>
      <c r="B169" s="454"/>
      <c r="C169" s="454"/>
      <c r="D169" s="137"/>
      <c r="E169" s="455" t="str">
        <f>IFERROR(IF(AND(K169="",T169=""),"",(VLOOKUP(Q169,'Reference records(soft deleted)'!$B$87:$D$154,3,FALSE))),"")</f>
        <v/>
      </c>
      <c r="F169" s="456"/>
      <c r="G169" s="456"/>
      <c r="H169" s="457" t="str">
        <f>IF(R169="",IFERROR(VLOOKUP(AC169,'Reference Records'!G$330:J609,4,0),""),IFERROR(VLOOKUP(AC169,'Reference Records'!H$330:J609,3,0),""))</f>
        <v/>
      </c>
      <c r="I169" s="457"/>
      <c r="J169" s="458"/>
      <c r="K169" s="455" t="str">
        <f>IFERROR(VLOOKUP(INDEX('Reference Records'!E$329:E610,MATCH(R169,'Reference Records'!F$329:F610,0),1),'Reference Records'!B$158:C573,2,0),"")</f>
        <v/>
      </c>
      <c r="L169" s="457" t="e">
        <f>VLOOKUP(U169&amp;K169,'Reference Records'!H$159:I574,2,0)</f>
        <v>#N/A</v>
      </c>
      <c r="M169" s="457" t="e">
        <f>MATCH($L169,'Reference Records'!$E$330:$E$506,0)+ROW(Population_by_intervention) -1</f>
        <v>#N/A</v>
      </c>
      <c r="N169" s="457" t="e">
        <f>MATCH($L169,'Reference Records'!$E$330:$E$506,1)+ROW(Population_by_intervention) -1</f>
        <v>#N/A</v>
      </c>
      <c r="O169" s="457" t="e">
        <f>INDEX('Reference Records'!K$159:K574,MATCH(L169,'Reference Records'!B$159:B574,0))</f>
        <v>#N/A</v>
      </c>
      <c r="P169" s="457"/>
      <c r="Q169" s="459"/>
      <c r="R169" s="460"/>
      <c r="S169" s="457" t="str">
        <f>IFERROR(VLOOKUP(INDEX('Reference Records'!J$329:J610,MATCH(R169,'Reference Records'!F$329:F610),1),'Reference Records'!B$158:C573,2,0),"")</f>
        <v/>
      </c>
      <c r="T169" s="458"/>
      <c r="U169" s="461" t="str">
        <f>IFERROR(IF(VLOOKUP(E169,'Reference Records'!$F$123:$N$157,9,FALSE)=0,"",VLOOKUP(E169,'Reference Records'!$F$123:$N$157,9,FALSE)),"")</f>
        <v/>
      </c>
      <c r="V169" s="455" t="str">
        <f>IF(IF(Language="French",G169,F169)=0,"",IF(Language="French",G169,F169))</f>
        <v/>
      </c>
      <c r="W169" s="462" t="str">
        <f t="shared" si="13"/>
        <v/>
      </c>
      <c r="X169" s="463" t="str">
        <f t="shared" si="14"/>
        <v>a1P3p000006KmxbEAC</v>
      </c>
      <c r="Y169" s="463" t="b">
        <f t="shared" si="15"/>
        <v>0</v>
      </c>
      <c r="Z169" s="463" t="b">
        <f t="shared" si="16"/>
        <v>1</v>
      </c>
      <c r="AA169" s="463" t="str">
        <f>IF(R169="",IFERROR(VLOOKUP(AC169,'Reference Records'!G$330:J609,3,0),""),IFERROR(VLOOKUP(AC169,'Reference Records'!H$330:J609,2,0),""))</f>
        <v/>
      </c>
      <c r="AB169" s="463" t="s">
        <v>1504</v>
      </c>
      <c r="AC169" s="452" t="e">
        <f t="shared" si="17"/>
        <v>#N/A</v>
      </c>
      <c r="AD169" s="452" t="str">
        <f t="shared" si="18"/>
        <v/>
      </c>
      <c r="AE169" s="452" t="str">
        <f t="array" ref="AE169">IFERROR(IF(INDEX($W$123:$W$174, MATCH(0, IF(AD169=$E$123:$E$174, COUNTIF($AE$122:$AE168, $W$123:$W$174), ""), 0))=0,"",INDEX($W$123:$W$174, MATCH(0, IF(AD169=$E$123:$E$174, COUNTIF($AE$122:$AE168, $W$123:$W$174), ""), 0))),"")</f>
        <v/>
      </c>
      <c r="AF169" s="452" t="str">
        <f t="shared" si="19"/>
        <v>|empty|</v>
      </c>
      <c r="AG169" s="452" t="str">
        <f t="shared" si="20"/>
        <v>INT-130959</v>
      </c>
      <c r="AH169" s="452" t="e">
        <f t="shared" si="21"/>
        <v>#N/A</v>
      </c>
      <c r="AI169" s="452">
        <f>IF(COUNTIF($AH$123:AH220,"&lt;="&amp;AH169)=0,"",COUNTIF($AH$123:AH220,"&lt;="&amp;AH169))</f>
        <v>51</v>
      </c>
      <c r="AJ169" s="452">
        <f>RANK(AI169,AI$123:AI220,1)</f>
        <v>1</v>
      </c>
      <c r="AK169" s="452" t="e">
        <f>INDEX(E$123:E220,MATCH(ROWS(AJ$123:AJ169),AJ$123:AJ220,0))</f>
        <v>#N/A</v>
      </c>
      <c r="AL169" s="452" t="e">
        <f>INDEX(K$123:K220,MATCH(ROWS(AJ$123:AJ169),AJ$123:AJ220,0))</f>
        <v>#N/A</v>
      </c>
      <c r="AM169" s="452" t="e">
        <f>INDEX(V$123:V220,MATCH(ROWS(AJ$123:AJ169),AJ$123:AJ220,0))</f>
        <v>#N/A</v>
      </c>
      <c r="AN169" s="452" t="e">
        <f t="shared" si="22"/>
        <v>#N/A</v>
      </c>
      <c r="AO169" s="452" t="e">
        <f t="shared" si="23"/>
        <v>#N/A</v>
      </c>
      <c r="AP169" s="452"/>
      <c r="AQ169" s="464" t="s">
        <v>1505</v>
      </c>
      <c r="AR169" s="104"/>
    </row>
    <row r="170" spans="1:44" ht="47.1" customHeight="1" x14ac:dyDescent="0.3">
      <c r="A170" s="135">
        <v>47</v>
      </c>
      <c r="B170" s="454"/>
      <c r="C170" s="454"/>
      <c r="D170" s="137"/>
      <c r="E170" s="455" t="str">
        <f>IFERROR(IF(AND(K170="",T170=""),"",(VLOOKUP(Q170,'Reference records(soft deleted)'!$B$87:$D$154,3,FALSE))),"")</f>
        <v/>
      </c>
      <c r="F170" s="456"/>
      <c r="G170" s="456"/>
      <c r="H170" s="457" t="str">
        <f>IF(R170="",IFERROR(VLOOKUP(AC170,'Reference Records'!G$330:J610,4,0),""),IFERROR(VLOOKUP(AC170,'Reference Records'!H$330:J610,3,0),""))</f>
        <v/>
      </c>
      <c r="I170" s="457"/>
      <c r="J170" s="458"/>
      <c r="K170" s="455" t="str">
        <f>IFERROR(VLOOKUP(INDEX('Reference Records'!E$329:E611,MATCH(R170,'Reference Records'!F$329:F611,0),1),'Reference Records'!B$158:C574,2,0),"")</f>
        <v/>
      </c>
      <c r="L170" s="457" t="e">
        <f>VLOOKUP(U170&amp;K170,'Reference Records'!H$159:I575,2,0)</f>
        <v>#N/A</v>
      </c>
      <c r="M170" s="457" t="e">
        <f>MATCH($L170,'Reference Records'!$E$330:$E$506,0)+ROW(Population_by_intervention) -1</f>
        <v>#N/A</v>
      </c>
      <c r="N170" s="457" t="e">
        <f>MATCH($L170,'Reference Records'!$E$330:$E$506,1)+ROW(Population_by_intervention) -1</f>
        <v>#N/A</v>
      </c>
      <c r="O170" s="457" t="e">
        <f>INDEX('Reference Records'!K$159:K575,MATCH(L170,'Reference Records'!B$159:B575,0))</f>
        <v>#N/A</v>
      </c>
      <c r="P170" s="457"/>
      <c r="Q170" s="459"/>
      <c r="R170" s="460"/>
      <c r="S170" s="457" t="str">
        <f>IFERROR(VLOOKUP(INDEX('Reference Records'!J$329:J611,MATCH(R170,'Reference Records'!F$329:F611),1),'Reference Records'!B$158:C574,2,0),"")</f>
        <v/>
      </c>
      <c r="T170" s="458"/>
      <c r="U170" s="461" t="str">
        <f>IFERROR(IF(VLOOKUP(E170,'Reference Records'!$F$123:$N$157,9,FALSE)=0,"",VLOOKUP(E170,'Reference Records'!$F$123:$N$157,9,FALSE)),"")</f>
        <v/>
      </c>
      <c r="V170" s="455" t="str">
        <f>IF(IF(Language="French",G170,F170)=0,"",IF(Language="French",G170,F170))</f>
        <v/>
      </c>
      <c r="W170" s="462" t="str">
        <f t="shared" si="13"/>
        <v/>
      </c>
      <c r="X170" s="463" t="str">
        <f t="shared" si="14"/>
        <v>a1P3p000006KmxbEAC</v>
      </c>
      <c r="Y170" s="463" t="b">
        <f t="shared" si="15"/>
        <v>0</v>
      </c>
      <c r="Z170" s="463" t="b">
        <f t="shared" si="16"/>
        <v>1</v>
      </c>
      <c r="AA170" s="463" t="str">
        <f>IF(R170="",IFERROR(VLOOKUP(AC170,'Reference Records'!G$330:J610,3,0),""),IFERROR(VLOOKUP(AC170,'Reference Records'!H$330:J610,2,0),""))</f>
        <v/>
      </c>
      <c r="AB170" s="463" t="s">
        <v>1506</v>
      </c>
      <c r="AC170" s="452" t="e">
        <f t="shared" si="17"/>
        <v>#N/A</v>
      </c>
      <c r="AD170" s="452" t="str">
        <f t="shared" si="18"/>
        <v/>
      </c>
      <c r="AE170" s="452" t="str">
        <f t="array" ref="AE170">IFERROR(IF(INDEX($W$123:$W$174, MATCH(0, IF(AD170=$E$123:$E$174, COUNTIF($AE$122:$AE169, $W$123:$W$174), ""), 0))=0,"",INDEX($W$123:$W$174, MATCH(0, IF(AD170=$E$123:$E$174, COUNTIF($AE$122:$AE169, $W$123:$W$174), ""), 0))),"")</f>
        <v/>
      </c>
      <c r="AF170" s="452" t="str">
        <f t="shared" si="19"/>
        <v>|empty|</v>
      </c>
      <c r="AG170" s="452" t="str">
        <f t="shared" si="20"/>
        <v>INT-130960</v>
      </c>
      <c r="AH170" s="452" t="e">
        <f t="shared" si="21"/>
        <v>#N/A</v>
      </c>
      <c r="AI170" s="452">
        <f>IF(COUNTIF($AH$123:AH221,"&lt;="&amp;AH170)=0,"",COUNTIF($AH$123:AH221,"&lt;="&amp;AH170))</f>
        <v>51</v>
      </c>
      <c r="AJ170" s="452">
        <f>RANK(AI170,AI$123:AI221,1)</f>
        <v>1</v>
      </c>
      <c r="AK170" s="452" t="e">
        <f>INDEX(E$123:E221,MATCH(ROWS(AJ$123:AJ170),AJ$123:AJ221,0))</f>
        <v>#N/A</v>
      </c>
      <c r="AL170" s="452" t="e">
        <f>INDEX(K$123:K221,MATCH(ROWS(AJ$123:AJ170),AJ$123:AJ221,0))</f>
        <v>#N/A</v>
      </c>
      <c r="AM170" s="452" t="e">
        <f>INDEX(V$123:V221,MATCH(ROWS(AJ$123:AJ170),AJ$123:AJ221,0))</f>
        <v>#N/A</v>
      </c>
      <c r="AN170" s="452" t="e">
        <f t="shared" si="22"/>
        <v>#N/A</v>
      </c>
      <c r="AO170" s="452" t="e">
        <f t="shared" si="23"/>
        <v>#N/A</v>
      </c>
      <c r="AP170" s="452"/>
      <c r="AQ170" s="464" t="s">
        <v>1507</v>
      </c>
      <c r="AR170" s="104"/>
    </row>
    <row r="171" spans="1:44" ht="47.1" customHeight="1" x14ac:dyDescent="0.3">
      <c r="A171" s="135">
        <v>48</v>
      </c>
      <c r="B171" s="454"/>
      <c r="C171" s="454"/>
      <c r="D171" s="137"/>
      <c r="E171" s="455" t="str">
        <f>IFERROR(IF(AND(K171="",T171=""),"",(VLOOKUP(Q171,'Reference records(soft deleted)'!$B$87:$D$154,3,FALSE))),"")</f>
        <v/>
      </c>
      <c r="F171" s="456"/>
      <c r="G171" s="456"/>
      <c r="H171" s="457" t="str">
        <f>IF(R171="",IFERROR(VLOOKUP(AC171,'Reference Records'!G$330:J611,4,0),""),IFERROR(VLOOKUP(AC171,'Reference Records'!H$330:J611,3,0),""))</f>
        <v/>
      </c>
      <c r="I171" s="457"/>
      <c r="J171" s="458"/>
      <c r="K171" s="455" t="str">
        <f>IFERROR(VLOOKUP(INDEX('Reference Records'!E$329:E612,MATCH(R171,'Reference Records'!F$329:F612,0),1),'Reference Records'!B$158:C575,2,0),"")</f>
        <v/>
      </c>
      <c r="L171" s="457" t="e">
        <f>VLOOKUP(U171&amp;K171,'Reference Records'!H$159:I576,2,0)</f>
        <v>#N/A</v>
      </c>
      <c r="M171" s="457" t="e">
        <f>MATCH($L171,'Reference Records'!$E$330:$E$506,0)+ROW(Population_by_intervention) -1</f>
        <v>#N/A</v>
      </c>
      <c r="N171" s="457" t="e">
        <f>MATCH($L171,'Reference Records'!$E$330:$E$506,1)+ROW(Population_by_intervention) -1</f>
        <v>#N/A</v>
      </c>
      <c r="O171" s="457" t="e">
        <f>INDEX('Reference Records'!K$159:K576,MATCH(L171,'Reference Records'!B$159:B576,0))</f>
        <v>#N/A</v>
      </c>
      <c r="P171" s="457"/>
      <c r="Q171" s="459"/>
      <c r="R171" s="460"/>
      <c r="S171" s="457" t="str">
        <f>IFERROR(VLOOKUP(INDEX('Reference Records'!J$329:J612,MATCH(R171,'Reference Records'!F$329:F612),1),'Reference Records'!B$158:C575,2,0),"")</f>
        <v/>
      </c>
      <c r="T171" s="458"/>
      <c r="U171" s="461" t="str">
        <f>IFERROR(IF(VLOOKUP(E171,'Reference Records'!$F$123:$N$157,9,FALSE)=0,"",VLOOKUP(E171,'Reference Records'!$F$123:$N$157,9,FALSE)),"")</f>
        <v/>
      </c>
      <c r="V171" s="455" t="str">
        <f>IF(IF(Language="French",G171,F171)=0,"",IF(Language="French",G171,F171))</f>
        <v/>
      </c>
      <c r="W171" s="462" t="str">
        <f t="shared" si="13"/>
        <v/>
      </c>
      <c r="X171" s="463" t="str">
        <f t="shared" si="14"/>
        <v>a1P3p000006KmxbEAC</v>
      </c>
      <c r="Y171" s="463" t="b">
        <f t="shared" si="15"/>
        <v>0</v>
      </c>
      <c r="Z171" s="463" t="b">
        <f t="shared" si="16"/>
        <v>1</v>
      </c>
      <c r="AA171" s="463" t="str">
        <f>IF(R171="",IFERROR(VLOOKUP(AC171,'Reference Records'!G$330:J611,3,0),""),IFERROR(VLOOKUP(AC171,'Reference Records'!H$330:J611,2,0),""))</f>
        <v/>
      </c>
      <c r="AB171" s="463" t="s">
        <v>1508</v>
      </c>
      <c r="AC171" s="452" t="e">
        <f t="shared" si="17"/>
        <v>#N/A</v>
      </c>
      <c r="AD171" s="452" t="str">
        <f t="shared" si="18"/>
        <v/>
      </c>
      <c r="AE171" s="452" t="str">
        <f t="array" ref="AE171">IFERROR(IF(INDEX($W$123:$W$174, MATCH(0, IF(AD171=$E$123:$E$174, COUNTIF($AE$122:$AE170, $W$123:$W$174), ""), 0))=0,"",INDEX($W$123:$W$174, MATCH(0, IF(AD171=$E$123:$E$174, COUNTIF($AE$122:$AE170, $W$123:$W$174), ""), 0))),"")</f>
        <v/>
      </c>
      <c r="AF171" s="452" t="str">
        <f t="shared" si="19"/>
        <v>|empty|</v>
      </c>
      <c r="AG171" s="452" t="str">
        <f t="shared" si="20"/>
        <v>INT-130961</v>
      </c>
      <c r="AH171" s="452" t="e">
        <f t="shared" si="21"/>
        <v>#N/A</v>
      </c>
      <c r="AI171" s="452">
        <f>IF(COUNTIF($AH$123:AH222,"&lt;="&amp;AH171)=0,"",COUNTIF($AH$123:AH222,"&lt;="&amp;AH171))</f>
        <v>51</v>
      </c>
      <c r="AJ171" s="452">
        <f>RANK(AI171,AI$123:AI222,1)</f>
        <v>1</v>
      </c>
      <c r="AK171" s="452" t="e">
        <f>INDEX(E$123:E222,MATCH(ROWS(AJ$123:AJ171),AJ$123:AJ222,0))</f>
        <v>#N/A</v>
      </c>
      <c r="AL171" s="452" t="e">
        <f>INDEX(K$123:K222,MATCH(ROWS(AJ$123:AJ171),AJ$123:AJ222,0))</f>
        <v>#N/A</v>
      </c>
      <c r="AM171" s="452" t="e">
        <f>INDEX(V$123:V222,MATCH(ROWS(AJ$123:AJ171),AJ$123:AJ222,0))</f>
        <v>#N/A</v>
      </c>
      <c r="AN171" s="452" t="e">
        <f t="shared" si="22"/>
        <v>#N/A</v>
      </c>
      <c r="AO171" s="452" t="e">
        <f t="shared" si="23"/>
        <v>#N/A</v>
      </c>
      <c r="AP171" s="452"/>
      <c r="AQ171" s="464" t="s">
        <v>1509</v>
      </c>
      <c r="AR171" s="104"/>
    </row>
    <row r="172" spans="1:44" ht="47.1" customHeight="1" x14ac:dyDescent="0.3">
      <c r="A172" s="135">
        <v>49</v>
      </c>
      <c r="B172" s="454"/>
      <c r="C172" s="454"/>
      <c r="D172" s="137"/>
      <c r="E172" s="455" t="str">
        <f>IFERROR(IF(AND(K172="",T172=""),"",(VLOOKUP(Q172,'Reference records(soft deleted)'!$B$87:$D$154,3,FALSE))),"")</f>
        <v/>
      </c>
      <c r="F172" s="456"/>
      <c r="G172" s="456"/>
      <c r="H172" s="457" t="str">
        <f>IF(R172="",IFERROR(VLOOKUP(AC172,'Reference Records'!G$330:J612,4,0),""),IFERROR(VLOOKUP(AC172,'Reference Records'!H$330:J612,3,0),""))</f>
        <v/>
      </c>
      <c r="I172" s="457"/>
      <c r="J172" s="458"/>
      <c r="K172" s="455" t="str">
        <f>IFERROR(VLOOKUP(INDEX('Reference Records'!E$329:E613,MATCH(R172,'Reference Records'!F$329:F613,0),1),'Reference Records'!B$158:C576,2,0),"")</f>
        <v/>
      </c>
      <c r="L172" s="457" t="e">
        <f>VLOOKUP(U172&amp;K172,'Reference Records'!H$159:I577,2,0)</f>
        <v>#N/A</v>
      </c>
      <c r="M172" s="457" t="e">
        <f>MATCH($L172,'Reference Records'!$E$330:$E$506,0)+ROW(Population_by_intervention) -1</f>
        <v>#N/A</v>
      </c>
      <c r="N172" s="457" t="e">
        <f>MATCH($L172,'Reference Records'!$E$330:$E$506,1)+ROW(Population_by_intervention) -1</f>
        <v>#N/A</v>
      </c>
      <c r="O172" s="457" t="e">
        <f>INDEX('Reference Records'!K$159:K577,MATCH(L172,'Reference Records'!B$159:B577,0))</f>
        <v>#N/A</v>
      </c>
      <c r="P172" s="457"/>
      <c r="Q172" s="459"/>
      <c r="R172" s="460"/>
      <c r="S172" s="457" t="str">
        <f>IFERROR(VLOOKUP(INDEX('Reference Records'!J$329:J613,MATCH(R172,'Reference Records'!F$329:F613),1),'Reference Records'!B$158:C576,2,0),"")</f>
        <v/>
      </c>
      <c r="T172" s="458"/>
      <c r="U172" s="461" t="str">
        <f>IFERROR(IF(VLOOKUP(E172,'Reference Records'!$F$123:$N$157,9,FALSE)=0,"",VLOOKUP(E172,'Reference Records'!$F$123:$N$157,9,FALSE)),"")</f>
        <v/>
      </c>
      <c r="V172" s="455" t="str">
        <f>IF(IF(Language="French",G172,F172)=0,"",IF(Language="French",G172,F172))</f>
        <v/>
      </c>
      <c r="W172" s="462" t="str">
        <f t="shared" si="13"/>
        <v/>
      </c>
      <c r="X172" s="463" t="str">
        <f t="shared" si="14"/>
        <v>a1P3p000006KmxbEAC</v>
      </c>
      <c r="Y172" s="463" t="b">
        <f t="shared" si="15"/>
        <v>0</v>
      </c>
      <c r="Z172" s="463" t="b">
        <f t="shared" si="16"/>
        <v>1</v>
      </c>
      <c r="AA172" s="463" t="str">
        <f>IF(R172="",IFERROR(VLOOKUP(AC172,'Reference Records'!G$330:J612,3,0),""),IFERROR(VLOOKUP(AC172,'Reference Records'!H$330:J612,2,0),""))</f>
        <v/>
      </c>
      <c r="AB172" s="463" t="s">
        <v>1510</v>
      </c>
      <c r="AC172" s="452" t="e">
        <f t="shared" si="17"/>
        <v>#N/A</v>
      </c>
      <c r="AD172" s="452" t="str">
        <f t="shared" si="18"/>
        <v/>
      </c>
      <c r="AE172" s="452" t="str">
        <f t="array" ref="AE172">IFERROR(IF(INDEX($W$123:$W$174, MATCH(0, IF(AD172=$E$123:$E$174, COUNTIF($AE$122:$AE171, $W$123:$W$174), ""), 0))=0,"",INDEX($W$123:$W$174, MATCH(0, IF(AD172=$E$123:$E$174, COUNTIF($AE$122:$AE171, $W$123:$W$174), ""), 0))),"")</f>
        <v/>
      </c>
      <c r="AF172" s="452" t="str">
        <f t="shared" si="19"/>
        <v>|empty|</v>
      </c>
      <c r="AG172" s="452" t="str">
        <f t="shared" si="20"/>
        <v>INT-130962</v>
      </c>
      <c r="AH172" s="452" t="e">
        <f t="shared" si="21"/>
        <v>#N/A</v>
      </c>
      <c r="AI172" s="452">
        <f>IF(COUNTIF($AH$123:AH223,"&lt;="&amp;AH172)=0,"",COUNTIF($AH$123:AH223,"&lt;="&amp;AH172))</f>
        <v>51</v>
      </c>
      <c r="AJ172" s="452">
        <f>RANK(AI172,AI$123:AI223,1)</f>
        <v>1</v>
      </c>
      <c r="AK172" s="452" t="e">
        <f>INDEX(E$123:E223,MATCH(ROWS(AJ$123:AJ172),AJ$123:AJ223,0))</f>
        <v>#N/A</v>
      </c>
      <c r="AL172" s="452" t="e">
        <f>INDEX(K$123:K223,MATCH(ROWS(AJ$123:AJ172),AJ$123:AJ223,0))</f>
        <v>#N/A</v>
      </c>
      <c r="AM172" s="452" t="e">
        <f>INDEX(V$123:V223,MATCH(ROWS(AJ$123:AJ172),AJ$123:AJ223,0))</f>
        <v>#N/A</v>
      </c>
      <c r="AN172" s="452" t="e">
        <f t="shared" si="22"/>
        <v>#N/A</v>
      </c>
      <c r="AO172" s="452" t="e">
        <f t="shared" si="23"/>
        <v>#N/A</v>
      </c>
      <c r="AP172" s="452"/>
      <c r="AQ172" s="464" t="s">
        <v>1511</v>
      </c>
      <c r="AR172" s="104"/>
    </row>
    <row r="173" spans="1:44" ht="47.1" customHeight="1" x14ac:dyDescent="0.3">
      <c r="A173" s="135">
        <v>50</v>
      </c>
      <c r="B173" s="454"/>
      <c r="C173" s="454"/>
      <c r="D173" s="137"/>
      <c r="E173" s="455" t="str">
        <f>IFERROR(IF(AND(K173="",T173=""),"",(VLOOKUP(Q173,'Reference records(soft deleted)'!$B$87:$D$154,3,FALSE))),"")</f>
        <v/>
      </c>
      <c r="F173" s="456"/>
      <c r="G173" s="456"/>
      <c r="H173" s="457" t="str">
        <f>IF(R173="",IFERROR(VLOOKUP(AC173,'Reference Records'!G$330:J613,4,0),""),IFERROR(VLOOKUP(AC173,'Reference Records'!H$330:J613,3,0),""))</f>
        <v/>
      </c>
      <c r="I173" s="457"/>
      <c r="J173" s="458"/>
      <c r="K173" s="455" t="str">
        <f>IFERROR(VLOOKUP(INDEX('Reference Records'!E$329:E614,MATCH(R173,'Reference Records'!F$329:F614,0),1),'Reference Records'!B$158:C577,2,0),"")</f>
        <v/>
      </c>
      <c r="L173" s="457" t="e">
        <f>VLOOKUP(U173&amp;K173,'Reference Records'!H$159:I578,2,0)</f>
        <v>#N/A</v>
      </c>
      <c r="M173" s="457" t="e">
        <f>MATCH($L173,'Reference Records'!$E$330:$E$506,0)+ROW(Population_by_intervention) -1</f>
        <v>#N/A</v>
      </c>
      <c r="N173" s="457" t="e">
        <f>MATCH($L173,'Reference Records'!$E$330:$E$506,1)+ROW(Population_by_intervention) -1</f>
        <v>#N/A</v>
      </c>
      <c r="O173" s="457" t="e">
        <f>INDEX('Reference Records'!K$159:K578,MATCH(L173,'Reference Records'!B$159:B578,0))</f>
        <v>#N/A</v>
      </c>
      <c r="P173" s="457"/>
      <c r="Q173" s="459"/>
      <c r="R173" s="460"/>
      <c r="S173" s="457" t="str">
        <f>IFERROR(VLOOKUP(INDEX('Reference Records'!J$329:J614,MATCH(R173,'Reference Records'!F$329:F614),1),'Reference Records'!B$158:C577,2,0),"")</f>
        <v/>
      </c>
      <c r="T173" s="458"/>
      <c r="U173" s="461" t="str">
        <f>IFERROR(IF(VLOOKUP(E173,'Reference Records'!$F$123:$N$157,9,FALSE)=0,"",VLOOKUP(E173,'Reference Records'!$F$123:$N$157,9,FALSE)),"")</f>
        <v/>
      </c>
      <c r="V173" s="455" t="str">
        <f>IF(IF(Language="French",G173,F173)=0,"",IF(Language="French",G173,F173))</f>
        <v/>
      </c>
      <c r="W173" s="462" t="str">
        <f t="shared" si="13"/>
        <v/>
      </c>
      <c r="X173" s="463" t="str">
        <f t="shared" si="14"/>
        <v>a1P3p000006KmxbEAC</v>
      </c>
      <c r="Y173" s="463" t="b">
        <f t="shared" si="15"/>
        <v>0</v>
      </c>
      <c r="Z173" s="463" t="b">
        <f t="shared" si="16"/>
        <v>1</v>
      </c>
      <c r="AA173" s="463" t="str">
        <f>IF(R173="",IFERROR(VLOOKUP(AC173,'Reference Records'!G$330:J613,3,0),""),IFERROR(VLOOKUP(AC173,'Reference Records'!H$330:J613,2,0),""))</f>
        <v/>
      </c>
      <c r="AB173" s="463" t="s">
        <v>1512</v>
      </c>
      <c r="AC173" s="452" t="e">
        <f t="shared" si="17"/>
        <v>#N/A</v>
      </c>
      <c r="AD173" s="452" t="str">
        <f t="shared" si="18"/>
        <v/>
      </c>
      <c r="AE173" s="452" t="str">
        <f t="array" ref="AE173">IFERROR(IF(INDEX($W$123:$W$174, MATCH(0, IF(AD173=$E$123:$E$174, COUNTIF($AE$122:$AE172, $W$123:$W$174), ""), 0))=0,"",INDEX($W$123:$W$174, MATCH(0, IF(AD173=$E$123:$E$174, COUNTIF($AE$122:$AE172, $W$123:$W$174), ""), 0))),"")</f>
        <v/>
      </c>
      <c r="AF173" s="452" t="str">
        <f t="shared" si="19"/>
        <v>|empty|</v>
      </c>
      <c r="AG173" s="452" t="str">
        <f t="shared" si="20"/>
        <v>INT-130963</v>
      </c>
      <c r="AH173" s="452" t="e">
        <f t="shared" si="21"/>
        <v>#N/A</v>
      </c>
      <c r="AI173" s="452">
        <f>IF(COUNTIF($AH$123:AH224,"&lt;="&amp;AH173)=0,"",COUNTIF($AH$123:AH224,"&lt;="&amp;AH173))</f>
        <v>51</v>
      </c>
      <c r="AJ173" s="452">
        <f>RANK(AI173,AI$123:AI224,1)</f>
        <v>1</v>
      </c>
      <c r="AK173" s="452" t="e">
        <f>INDEX(E$123:E224,MATCH(ROWS(AJ$123:AJ173),AJ$123:AJ224,0))</f>
        <v>#N/A</v>
      </c>
      <c r="AL173" s="452" t="e">
        <f>INDEX(K$123:K224,MATCH(ROWS(AJ$123:AJ173),AJ$123:AJ224,0))</f>
        <v>#N/A</v>
      </c>
      <c r="AM173" s="452" t="e">
        <f>INDEX(V$123:V224,MATCH(ROWS(AJ$123:AJ173),AJ$123:AJ224,0))</f>
        <v>#N/A</v>
      </c>
      <c r="AN173" s="452" t="e">
        <f t="shared" si="22"/>
        <v>#N/A</v>
      </c>
      <c r="AO173" s="452" t="e">
        <f t="shared" si="23"/>
        <v>#N/A</v>
      </c>
      <c r="AP173" s="452"/>
      <c r="AQ173" s="464" t="s">
        <v>1513</v>
      </c>
      <c r="AR173" s="104"/>
    </row>
    <row r="174" spans="1:44" ht="21.6" customHeight="1" thickBot="1" x14ac:dyDescent="0.35">
      <c r="A174" s="64"/>
      <c r="B174" s="65"/>
      <c r="C174" s="65"/>
      <c r="D174" s="65"/>
      <c r="E174" s="110"/>
      <c r="F174" s="65"/>
      <c r="G174" s="65"/>
      <c r="H174" s="65"/>
      <c r="I174" s="65"/>
      <c r="J174" s="65"/>
      <c r="K174" s="110"/>
      <c r="L174" s="65"/>
      <c r="M174" s="65"/>
      <c r="N174" s="65"/>
      <c r="O174" s="65"/>
      <c r="P174" s="65"/>
      <c r="Q174" s="65"/>
      <c r="R174" s="65"/>
      <c r="S174" s="65"/>
      <c r="T174" s="110"/>
      <c r="U174" s="26"/>
      <c r="V174" s="66"/>
      <c r="W174" s="66"/>
      <c r="X174" s="66"/>
      <c r="Y174" s="66"/>
      <c r="Z174" s="66"/>
      <c r="AA174" s="26"/>
      <c r="AB174" s="26"/>
      <c r="AC174" s="23"/>
      <c r="AE174" s="96"/>
      <c r="AF174" s="96"/>
      <c r="AG174" s="96"/>
      <c r="AH174" s="96"/>
    </row>
    <row r="175" spans="1:44" x14ac:dyDescent="0.3">
      <c r="E175" s="70"/>
      <c r="K175" s="70"/>
      <c r="T175" s="70"/>
      <c r="AE175" s="96"/>
      <c r="AF175" s="96"/>
      <c r="AG175" s="96"/>
      <c r="AH175" s="96"/>
    </row>
    <row r="176" spans="1:44" x14ac:dyDescent="0.3">
      <c r="E176" s="70"/>
      <c r="K176" s="70"/>
      <c r="T176" s="70"/>
      <c r="AE176" s="96"/>
      <c r="AF176" s="96"/>
      <c r="AG176" s="96"/>
      <c r="AH176" s="96"/>
    </row>
    <row r="177" spans="1:31 16384:16384" x14ac:dyDescent="0.3">
      <c r="E177" s="70"/>
      <c r="K177" s="70"/>
      <c r="T177" s="70"/>
    </row>
    <row r="182" spans="1:31 16384:16384" x14ac:dyDescent="0.3">
      <c r="A182" s="27" t="str">
        <f ca="1">Translations!A44</f>
        <v>Cadre de performance  - Orientation générale - Section A</v>
      </c>
      <c r="B182" s="27"/>
      <c r="C182" s="27"/>
      <c r="D182" s="27"/>
      <c r="XFD182" s="5" t="s">
        <v>372</v>
      </c>
    </row>
    <row r="186" spans="1:31 16384:16384" x14ac:dyDescent="0.3">
      <c r="AE186" s="96" t="s">
        <v>193</v>
      </c>
    </row>
    <row r="197" spans="44:45" x14ac:dyDescent="0.3">
      <c r="AS197" s="96"/>
    </row>
    <row r="198" spans="44:45" x14ac:dyDescent="0.3">
      <c r="AR198" s="96">
        <f>IF(C9="","",C9)</f>
        <v>12</v>
      </c>
      <c r="AS198" s="96">
        <v>3</v>
      </c>
    </row>
    <row r="199" spans="44:45" x14ac:dyDescent="0.3">
      <c r="AS199" s="96">
        <v>6</v>
      </c>
    </row>
    <row r="200" spans="44:45" x14ac:dyDescent="0.3">
      <c r="AS200" s="96">
        <v>12</v>
      </c>
    </row>
    <row r="201" spans="44:45" x14ac:dyDescent="0.3">
      <c r="AS201" s="96"/>
    </row>
  </sheetData>
  <sheetProtection password="FB8C" sheet="1" objects="1" scenarios="1" formatCells="0" formatRows="0" sort="0" autoFilter="0"/>
  <autoFilter ref="A29:R39" xr:uid="{9C8BEE4E-76E8-4291-9190-7E00789573AF}"/>
  <mergeCells count="12">
    <mergeCell ref="A1:T2"/>
    <mergeCell ref="A44:T44"/>
    <mergeCell ref="K10:K11"/>
    <mergeCell ref="A121:V121"/>
    <mergeCell ref="A120:V120"/>
    <mergeCell ref="A13:A14"/>
    <mergeCell ref="A42:L42"/>
    <mergeCell ref="Y58:Y59"/>
    <mergeCell ref="A57:E57"/>
    <mergeCell ref="A99:E99"/>
    <mergeCell ref="A75:E75"/>
    <mergeCell ref="Y76:Y91"/>
  </mergeCells>
  <conditionalFormatting sqref="E101:E117">
    <cfRule type="expression" dxfId="1420" priority="36">
      <formula>AND(COUNTIF($E$101:$E$117,$E101)&gt;1,E101&lt;&gt;"")</formula>
    </cfRule>
  </conditionalFormatting>
  <conditionalFormatting sqref="A29:I29 K29:K39 R29:R39 B30:I39">
    <cfRule type="expression" dxfId="1419" priority="35">
      <formula>OR($AN$5="Grant Making", $AN$5="Grant Revision")</formula>
    </cfRule>
  </conditionalFormatting>
  <conditionalFormatting sqref="B9:E9">
    <cfRule type="expression" dxfId="1418" priority="31">
      <formula>$AN$5="Funding Request_old"</formula>
    </cfRule>
  </conditionalFormatting>
  <conditionalFormatting sqref="A30:A39">
    <cfRule type="expression" dxfId="1417" priority="26">
      <formula>OR($AN$5="Grant Making", $AN$5="Grant Revision")</formula>
    </cfRule>
  </conditionalFormatting>
  <conditionalFormatting sqref="K8">
    <cfRule type="expression" dxfId="1416" priority="25">
      <formula>OR($AN$9="Additional Funding", $AN$9="Other Revison")</formula>
    </cfRule>
  </conditionalFormatting>
  <conditionalFormatting sqref="K30:K39 E30:E39">
    <cfRule type="expression" dxfId="1415" priority="42">
      <formula>AND($E30&lt;&gt;"",$K30&lt;&gt;"")</formula>
    </cfRule>
  </conditionalFormatting>
  <conditionalFormatting sqref="E11 E8">
    <cfRule type="expression" dxfId="1414" priority="24">
      <formula>$E$8&gt;$E$11</formula>
    </cfRule>
  </conditionalFormatting>
  <conditionalFormatting sqref="K30:K39 R30:R39 A30:I39">
    <cfRule type="expression" dxfId="1413" priority="23">
      <formula>$P30:$P40="[Record ID]"</formula>
    </cfRule>
  </conditionalFormatting>
  <conditionalFormatting sqref="A59:E64 A77:E77 A82:E88 A78:D81">
    <cfRule type="expression" dxfId="1412" priority="21">
      <formula>$H59:$H72="[Record ID]"</formula>
    </cfRule>
  </conditionalFormatting>
  <conditionalFormatting sqref="A101:E107">
    <cfRule type="expression" dxfId="1411" priority="16">
      <formula>$H101:$H117="[Record ID]"</formula>
    </cfRule>
  </conditionalFormatting>
  <conditionalFormatting sqref="A123:C173 E123:T173">
    <cfRule type="expression" dxfId="1410" priority="15">
      <formula>$AB123:$AB174="[Record ID]"</formula>
    </cfRule>
  </conditionalFormatting>
  <conditionalFormatting sqref="J123:J173">
    <cfRule type="expression" dxfId="1409" priority="14">
      <formula>$AB123:$AB174="[Record ID]"</formula>
    </cfRule>
  </conditionalFormatting>
  <conditionalFormatting sqref="A46:T52">
    <cfRule type="expression" dxfId="1408" priority="13">
      <formula>$A46&gt;$E$8</formula>
    </cfRule>
  </conditionalFormatting>
  <conditionalFormatting sqref="E30:E40">
    <cfRule type="expression" dxfId="1407" priority="9">
      <formula>AND(COUNTIF($E$30:$E$40,$E30)&gt;1,E30&lt;&gt;"")</formula>
    </cfRule>
  </conditionalFormatting>
  <conditionalFormatting sqref="E7 E10">
    <cfRule type="expression" dxfId="1406" priority="8">
      <formula>$E$7&lt;$E$10</formula>
    </cfRule>
  </conditionalFormatting>
  <conditionalFormatting sqref="T123:T173">
    <cfRule type="expression" dxfId="1405" priority="7">
      <formula>AND(IFERROR(FIND("Other",K123)&lt;&gt;1,TRUE),$T123&lt;&gt;"")</formula>
    </cfRule>
  </conditionalFormatting>
  <conditionalFormatting sqref="V123:V173">
    <cfRule type="expression" dxfId="1404" priority="4">
      <formula>$AB123:$AB174="[Record ID]"</formula>
    </cfRule>
  </conditionalFormatting>
  <conditionalFormatting sqref="V123:V173">
    <cfRule type="expression" dxfId="1403" priority="3">
      <formula>$AB123:$AB174="[Record ID]"</formula>
    </cfRule>
  </conditionalFormatting>
  <conditionalFormatting sqref="A65:E71">
    <cfRule type="expression" dxfId="1402" priority="13381">
      <formula>$H65:$H90="[Record ID]"</formula>
    </cfRule>
  </conditionalFormatting>
  <conditionalFormatting sqref="A89:E89">
    <cfRule type="expression" dxfId="1401" priority="13383">
      <formula>$H89:$H117="[Record ID]"</formula>
    </cfRule>
  </conditionalFormatting>
  <conditionalFormatting sqref="A108:E116">
    <cfRule type="expression" dxfId="1400" priority="13385">
      <formula>$H108:$H174="[Record ID]"</formula>
    </cfRule>
  </conditionalFormatting>
  <conditionalFormatting sqref="E78:E80">
    <cfRule type="expression" dxfId="1399" priority="2">
      <formula>$H78:$H91="[Record ID]"</formula>
    </cfRule>
  </conditionalFormatting>
  <conditionalFormatting sqref="E81">
    <cfRule type="expression" dxfId="1398" priority="1">
      <formula>$H81:$H94="[Record ID]"</formula>
    </cfRule>
  </conditionalFormatting>
  <dataValidations count="20">
    <dataValidation type="list" allowBlank="1" showInputMessage="1" showErrorMessage="1" sqref="E123:E173"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3:K173" xr:uid="{00000000-0002-0000-0000-000002000000}">
      <formula1>OFFSET(ModuleStart,MATCH(U123,ModuleColumn,0)-1,2,COUNTIF(ModuleColumn,U123),1)</formula1>
    </dataValidation>
    <dataValidation type="list" allowBlank="1" showInputMessage="1" showErrorMessage="1" sqref="E30:E39" xr:uid="{00000000-0002-0000-0000-000003000000}">
      <formula1>FundingRequestPR</formula1>
    </dataValidation>
    <dataValidation type="list" allowBlank="1" showInputMessage="1" showErrorMessage="1" sqref="E9" xr:uid="{00000000-0002-0000-0000-000004000000}">
      <formula1>$AS$199:$AS$200</formula1>
    </dataValidation>
    <dataValidation type="date" allowBlank="1" showInputMessage="1" showErrorMessage="1" sqref="E8" xr:uid="{00000000-0002-0000-0000-000005000000}">
      <formula1>1</formula1>
      <formula2>767376</formula2>
    </dataValidation>
    <dataValidation type="custom" allowBlank="1" showInputMessage="1" showErrorMessage="1" sqref="K30:K40" xr:uid="{00000000-0002-0000-0000-000006000000}">
      <formula1>E30=""</formula1>
    </dataValidation>
    <dataValidation type="list" allowBlank="1" showInputMessage="1" showErrorMessage="1" sqref="E101:E116" xr:uid="{00000000-0002-0000-0000-000008000000}">
      <formula1>Module_List</formula1>
    </dataValidation>
    <dataValidation type="list" allowBlank="1" showInputMessage="1" showErrorMessage="1" errorTitle="X-Author for Excel" error="Please select either TRUE or FALSE from the dropdown." promptTitle="X-Author for Excel" sqref="Y123:Z173 G59:G71 G77:G89 G101:G116 M46:N52 L30:L39" xr:uid="{00000000-0002-0000-0000-000009000000}">
      <formula1>"TRUE,FALSE"</formula1>
    </dataValidation>
    <dataValidation type="date" allowBlank="1" showInputMessage="1" showErrorMessage="1" errorTitle="X-Author for Excel" error="Please enter a valid date." promptTitle="X-Author for Excel" sqref="O46:P52 E10:E11" xr:uid="{00000000-0002-0000-0000-00000A000000}">
      <formula1>1</formula1>
      <formula2>767376</formula2>
    </dataValidation>
    <dataValidation type="custom" allowBlank="1" showInputMessage="1" showErrorMessage="1" errorTitle="X-Author for Excel" error="Id and Lookup fields are not editable." promptTitle="X-Author for Excel" sqref="Q46:Q52 U46:U52 H59:H71 F59:F71 AN10 H77:H89 F77:F89 H101:J116 X123:X173 AA123:AB173 O30:P39" xr:uid="{00000000-0002-0000-0000-00000B000000}">
      <formula1>""</formula1>
    </dataValidation>
    <dataValidation type="custom" showInputMessage="1" showErrorMessage="1" sqref="T123:T173" xr:uid="{D6AE536D-0673-41EB-ACE2-BBE669217B44}">
      <formula1>FIND("Other",K123)=1</formula1>
    </dataValidation>
    <dataValidation type="list" allowBlank="1" showInputMessage="1" showErrorMessage="1" sqref="J123:J173" xr:uid="{10515179-F751-4C93-AF6C-9AA53B85FC6B}">
      <formula1>IF($T123&lt;&gt;"",$XFD$182,INDIRECT(CONCATENATE("'Reference Records'!C",M123,":C",N123)))</formula1>
    </dataValidation>
    <dataValidation type="list" allowBlank="1" showInputMessage="1" showErrorMessage="1" sqref="V123:V173" xr:uid="{394A8575-B763-4980-B9AF-936F5CE1872A}">
      <formula1>IF($T123&lt;&gt;"",$XFD$182,INDIRECT(CONCATENATE("'Reference Records'!C",M123,":C",N123)))</formula1>
    </dataValidation>
    <dataValidation type="decimal" allowBlank="1" showInputMessage="1" showErrorMessage="1" errorTitle="X-Author for Excel" error="Please enter a valid numeric value. Valid range for Programmatic Report Period Frequency is -1E+18 to 1E+18." promptTitle="X-Author for Excel" sqref="C9" xr:uid="{1069788F-EAE4-4998-8096-81963ABDE534}">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9:A71" xr:uid="{18222D9D-4208-41DF-951D-C4DE053D21F2}">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7:A89" xr:uid="{47E03DE8-7DD4-4D0E-B1F9-CB2E7CFC825A}">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1:A116" xr:uid="{353F3C4B-4DFC-403C-8479-A1FCA98F8572}">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3:A173" xr:uid="{A0036EA0-EF40-41AF-A971-8F8A3167E45A}">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0:A39" xr:uid="{56D5C052-1FA8-4E97-A1A5-3D7B328D10B1}">
      <formula1>-1000000000000000000</formula1>
      <formula2>1000000000000000000</formula2>
    </dataValidation>
  </dataValidations>
  <hyperlinks>
    <hyperlink ref="E14" location="_4f36af19_06bf_4c59_990d_586822b3d259" display="=Translations!A25" xr:uid="{00000000-0004-0000-0000-000000000000}"/>
    <hyperlink ref="T14" location="_4ede0df7_bdae_485c_a6aa_cd381b32466f" display="Interventions" xr:uid="{00000000-0004-0000-0000-000002000000}"/>
    <hyperlink ref="E13" location="_8273a11c_a030_45ba_bf8f_2b577e1aa93b" display="=Translations!A14" xr:uid="{00000000-0004-0000-0000-000003000000}"/>
    <hyperlink ref="A182" location="'Overview - Section A'!A13" display="'Overview - Section A'!A13" xr:uid="{00000000-0004-0000-0000-000004000000}"/>
    <hyperlink ref="K13" location="_6a3dda26_b269_4afa_8b05_c602a881a167" display="=Translations!A17" xr:uid="{00000000-0004-0000-0000-000005000000}"/>
    <hyperlink ref="K14" location="_eabb6097_6646_49fe_9d42_cce1d696601b" display="Modules" xr:uid="{00000000-0004-0000-0000-000006000000}"/>
    <hyperlink ref="T13" location="_0215c642_4079_4a66_b33f_02948e5b161c" display="=Translations!A22" xr:uid="{59919A24-75F6-424B-BF36-5AE3562E043F}"/>
    <hyperlink ref="V13" location="'Instructions-FR'!InstructionA" display="'Instructions-FR'!InstructionA" xr:uid="{D5383C93-C970-441E-A9D8-0DF9D870205E}"/>
  </hyperlinks>
  <pageMargins left="0.7" right="0.7" top="0.75" bottom="0.75" header="0.3" footer="0.3"/>
  <pageSetup paperSize="8" scale="9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7000000}">
          <x14:formula1>
            <xm:f>Translations!$A$101:$A$102</xm:f>
          </x14:formula1>
          <xm:sqref>K46:K52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E14"/>
  <sheetViews>
    <sheetView workbookViewId="0">
      <selection activeCell="C2" sqref="C2"/>
    </sheetView>
  </sheetViews>
  <sheetFormatPr defaultRowHeight="15.6" x14ac:dyDescent="0.3"/>
  <cols>
    <col min="1" max="2" width="16.69921875" customWidth="1"/>
    <col min="3" max="3" width="36.59765625" customWidth="1"/>
    <col min="4" max="4" width="17.19921875" customWidth="1"/>
    <col min="5" max="5" width="26.19921875" bestFit="1" customWidth="1"/>
  </cols>
  <sheetData>
    <row r="1" spans="1:5" x14ac:dyDescent="0.3">
      <c r="A1" s="122" t="s">
        <v>237</v>
      </c>
      <c r="B1" s="122" t="s">
        <v>243</v>
      </c>
      <c r="C1" s="122" t="s">
        <v>238</v>
      </c>
      <c r="D1" s="122" t="s">
        <v>239</v>
      </c>
      <c r="E1" s="122" t="s">
        <v>240</v>
      </c>
    </row>
    <row r="2" spans="1:5" ht="118.5" customHeight="1" x14ac:dyDescent="0.3">
      <c r="A2" s="124">
        <v>6</v>
      </c>
      <c r="B2" s="125">
        <v>43308</v>
      </c>
      <c r="C2" s="123" t="s">
        <v>244</v>
      </c>
      <c r="D2" s="122" t="s">
        <v>241</v>
      </c>
      <c r="E2" s="122" t="s">
        <v>242</v>
      </c>
    </row>
    <row r="3" spans="1:5" ht="28.8" x14ac:dyDescent="0.3">
      <c r="A3" s="122">
        <v>7</v>
      </c>
      <c r="B3" s="126">
        <v>43328</v>
      </c>
      <c r="C3" s="127" t="s">
        <v>245</v>
      </c>
      <c r="D3" s="122"/>
      <c r="E3" s="122"/>
    </row>
    <row r="4" spans="1:5" x14ac:dyDescent="0.3">
      <c r="A4" s="122"/>
      <c r="B4" s="122"/>
      <c r="C4" s="122"/>
      <c r="D4" s="122"/>
      <c r="E4" s="122"/>
    </row>
    <row r="5" spans="1:5" x14ac:dyDescent="0.3">
      <c r="A5" s="122"/>
      <c r="B5" s="122"/>
      <c r="C5" s="122"/>
      <c r="D5" s="122"/>
      <c r="E5" s="122"/>
    </row>
    <row r="6" spans="1:5" x14ac:dyDescent="0.3">
      <c r="A6" s="122"/>
      <c r="B6" s="122"/>
      <c r="C6" s="122"/>
      <c r="D6" s="122"/>
      <c r="E6" s="122"/>
    </row>
    <row r="7" spans="1:5" x14ac:dyDescent="0.3">
      <c r="A7" s="122"/>
      <c r="B7" s="122"/>
      <c r="C7" s="122"/>
      <c r="D7" s="122"/>
      <c r="E7" s="122"/>
    </row>
    <row r="8" spans="1:5" x14ac:dyDescent="0.3">
      <c r="A8" s="122"/>
      <c r="B8" s="122"/>
      <c r="C8" s="122"/>
      <c r="D8" s="122"/>
      <c r="E8" s="122"/>
    </row>
    <row r="9" spans="1:5" x14ac:dyDescent="0.3">
      <c r="A9" s="122"/>
      <c r="B9" s="122"/>
      <c r="C9" s="122"/>
      <c r="D9" s="122"/>
      <c r="E9" s="122"/>
    </row>
    <row r="10" spans="1:5" x14ac:dyDescent="0.3">
      <c r="A10" s="122"/>
      <c r="B10" s="122"/>
      <c r="C10" s="122"/>
      <c r="D10" s="122"/>
      <c r="E10" s="122"/>
    </row>
    <row r="11" spans="1:5" x14ac:dyDescent="0.3">
      <c r="A11" s="122"/>
      <c r="B11" s="122"/>
      <c r="C11" s="122"/>
      <c r="D11" s="122"/>
      <c r="E11" s="122"/>
    </row>
    <row r="12" spans="1:5" x14ac:dyDescent="0.3">
      <c r="A12" s="122"/>
      <c r="B12" s="122"/>
      <c r="C12" s="122"/>
      <c r="D12" s="122"/>
      <c r="E12" s="122"/>
    </row>
    <row r="13" spans="1:5" x14ac:dyDescent="0.3">
      <c r="A13" s="122"/>
      <c r="B13" s="122"/>
      <c r="C13" s="122"/>
      <c r="D13" s="122"/>
      <c r="E13" s="122"/>
    </row>
    <row r="14" spans="1:5" x14ac:dyDescent="0.3">
      <c r="A14" s="122"/>
      <c r="B14" s="122"/>
      <c r="C14" s="122"/>
      <c r="D14" s="122"/>
      <c r="E14" s="1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U568"/>
  <sheetViews>
    <sheetView topLeftCell="A42" zoomScale="80" zoomScaleNormal="80" workbookViewId="0">
      <selection activeCell="E74" sqref="E74"/>
    </sheetView>
  </sheetViews>
  <sheetFormatPr defaultColWidth="8.59765625" defaultRowHeight="13.2" x14ac:dyDescent="0.25"/>
  <cols>
    <col min="1" max="1" width="25.59765625" style="1" customWidth="1"/>
    <col min="2" max="2" width="30.59765625" style="1" customWidth="1"/>
    <col min="3" max="3" width="52.09765625" style="1" customWidth="1"/>
    <col min="4" max="4" width="47.59765625" style="1" customWidth="1"/>
    <col min="5" max="5" width="19.59765625" style="1" customWidth="1"/>
    <col min="6" max="6" width="63.59765625" style="1" customWidth="1"/>
    <col min="7" max="7" width="37.3984375" style="1" customWidth="1"/>
    <col min="8" max="9" width="26" style="1" customWidth="1"/>
    <col min="10" max="10" width="39.69921875" style="1" customWidth="1"/>
    <col min="11" max="11" width="30.59765625" style="1" customWidth="1"/>
    <col min="12" max="12" width="50" style="1" customWidth="1"/>
    <col min="13" max="13" width="15" style="1" bestFit="1" customWidth="1"/>
    <col min="14" max="14" width="29.09765625" style="1" customWidth="1"/>
    <col min="15" max="15" width="24" style="1" customWidth="1"/>
    <col min="16" max="16" width="33.59765625" style="1" customWidth="1"/>
    <col min="17" max="17" width="21.8984375" style="1" customWidth="1"/>
    <col min="18" max="19" width="24.19921875" style="1" customWidth="1"/>
    <col min="20" max="16384" width="8.59765625" style="1"/>
  </cols>
  <sheetData>
    <row r="1" spans="1:20" x14ac:dyDescent="0.25">
      <c r="A1" s="1" t="s">
        <v>337</v>
      </c>
    </row>
    <row r="2" spans="1:20" x14ac:dyDescent="0.25">
      <c r="B2" s="2" t="s">
        <v>92</v>
      </c>
    </row>
    <row r="3" spans="1:20" x14ac:dyDescent="0.25">
      <c r="B3" s="145" t="s">
        <v>89</v>
      </c>
      <c r="C3" s="145" t="s">
        <v>453</v>
      </c>
      <c r="D3" s="145" t="s">
        <v>455</v>
      </c>
      <c r="E3" s="145" t="s">
        <v>91</v>
      </c>
      <c r="F3" s="145" t="s">
        <v>224</v>
      </c>
      <c r="G3" s="145" t="s">
        <v>48</v>
      </c>
      <c r="H3" s="145" t="s">
        <v>222</v>
      </c>
      <c r="I3" s="145" t="s">
        <v>223</v>
      </c>
      <c r="J3" s="145" t="s">
        <v>1276</v>
      </c>
      <c r="K3" s="145" t="s">
        <v>221</v>
      </c>
      <c r="L3" s="145"/>
      <c r="M3" s="145" t="s">
        <v>334</v>
      </c>
      <c r="N3" s="145" t="s">
        <v>285</v>
      </c>
      <c r="O3" s="145" t="s">
        <v>43</v>
      </c>
      <c r="P3" s="145" t="s">
        <v>451</v>
      </c>
      <c r="Q3" s="145" t="s">
        <v>449</v>
      </c>
      <c r="R3" s="145" t="s">
        <v>45</v>
      </c>
      <c r="S3" s="145" t="s">
        <v>457</v>
      </c>
      <c r="T3" s="145" t="s">
        <v>459</v>
      </c>
    </row>
    <row r="4" spans="1:20" hidden="1" x14ac:dyDescent="0.25">
      <c r="B4" s="145" t="s">
        <v>88</v>
      </c>
      <c r="C4" s="466" t="str">
        <f>CHOOSE(Translations!$C$1+1,O4,P4,Q4)</f>
        <v>--Select--</v>
      </c>
      <c r="D4" s="145" t="str">
        <f>CHOOSE(Translations!$C$1+1,R4,S4,T4)</f>
        <v>[Disaggregation Categories FR]</v>
      </c>
      <c r="E4" s="145" t="s">
        <v>90</v>
      </c>
      <c r="F4" s="145" t="str">
        <f t="array" ref="F4">IFERROR(INDEX($C$4:$C$18, MATCH(0, COUNTIF($F$3:F3, $C$4:$C$18&amp;"") + IF($C$4:$C$18="",1,0), 0)), "")</f>
        <v>--Select--</v>
      </c>
      <c r="G4" s="145" t="s">
        <v>47</v>
      </c>
      <c r="H4" s="145" t="str">
        <f t="array" ref="H4">IFERROR(INDEX($B$4:$B$18, MATCH(0, COUNTIF($H$3:H3, $B$4:$B$18&amp;"") + IF($B$4:$B$18="",1,0), 0)), "")</f>
        <v>[Impact Outcome Reference (Name)]</v>
      </c>
      <c r="I4" s="145" t="str">
        <f t="array" ref="I4">IFERROR(IF(INDEX($C$4:$C$18,MATCH(LEFT(H4,255),LEFT($B$4:$B$18,255),0))=0,"",INDEX($C$4:$C$18,MATCH(LEFT(H4,255),LEFT($B$4:$B$18,255),0))),"")</f>
        <v>--Select--</v>
      </c>
      <c r="J4" s="145" t="str">
        <f>LEFT(C4,255)</f>
        <v>--Select--</v>
      </c>
      <c r="K4" s="146" t="s">
        <v>220</v>
      </c>
      <c r="L4" s="145"/>
      <c r="M4" s="145" t="s">
        <v>333</v>
      </c>
      <c r="N4" s="145" t="s">
        <v>284</v>
      </c>
      <c r="O4" s="147" t="s">
        <v>52</v>
      </c>
      <c r="P4" s="147" t="s">
        <v>52</v>
      </c>
      <c r="Q4" s="147" t="s">
        <v>52</v>
      </c>
      <c r="R4" s="146" t="s">
        <v>44</v>
      </c>
      <c r="S4" s="146" t="s">
        <v>456</v>
      </c>
      <c r="T4" s="146" t="s">
        <v>458</v>
      </c>
    </row>
    <row r="5" spans="1:20" s="9" customFormat="1" x14ac:dyDescent="0.25">
      <c r="B5" s="145" t="s">
        <v>1521</v>
      </c>
      <c r="C5" s="466" t="str">
        <f>CHOOSE(Translations!$C$1+1,O5,P5,Q5)</f>
        <v>HIV I-13 Pourcentage de personnes vivant avec le VIH</v>
      </c>
      <c r="D5" s="145" t="str">
        <f>CHOOSE(Translations!$C$1+1,R5,S5,T5)</f>
        <v>Sexe,Age</v>
      </c>
      <c r="E5" s="145" t="s">
        <v>1514</v>
      </c>
      <c r="F5" s="145" t="str">
        <f t="array" ref="F5">IFERROR(INDEX($C$4:$C$18, MATCH(0, COUNTIF($F$3:F4, $C$4:$C$18&amp;"") + IF($C$4:$C$18="",1,0), 0)), "")</f>
        <v>HIV I-13 Pourcentage de personnes vivant avec le VIH</v>
      </c>
      <c r="G5" s="145" t="s">
        <v>2876</v>
      </c>
      <c r="H5" s="145" t="str">
        <f t="array" ref="H5">IFERROR(INDEX($B$4:$B$18, MATCH(0, COUNTIF($H$3:H4, $B$4:$B$18&amp;"") + IF($B$4:$B$18="",1,0), 0)), "")</f>
        <v>IOR-00079</v>
      </c>
      <c r="I5" s="145" t="str">
        <f t="array" ref="I5">IFERROR(IF(INDEX($C$4:$C$18,MATCH(LEFT(H5,255),LEFT($B$4:$B$18,255),0))=0,"",INDEX($C$4:$C$18,MATCH(LEFT(H5,255),LEFT($B$4:$B$18,255),0))),"")</f>
        <v>HIV I-13 Pourcentage de personnes vivant avec le VIH</v>
      </c>
      <c r="J5" s="145" t="str">
        <f t="shared" ref="J5:J14" si="0">LEFT(C5,255)</f>
        <v>HIV I-13 Pourcentage de personnes vivant avec le VIH</v>
      </c>
      <c r="K5" s="146" t="s">
        <v>2877</v>
      </c>
      <c r="L5" s="145"/>
      <c r="M5" s="145" t="s">
        <v>267</v>
      </c>
      <c r="N5" s="145" t="s">
        <v>2878</v>
      </c>
      <c r="O5" s="147" t="s">
        <v>1530</v>
      </c>
      <c r="P5" s="147" t="s">
        <v>1531</v>
      </c>
      <c r="Q5" s="147" t="s">
        <v>1532</v>
      </c>
      <c r="R5" s="146" t="s">
        <v>2879</v>
      </c>
      <c r="S5" s="146" t="s">
        <v>2880</v>
      </c>
      <c r="T5" s="146" t="s">
        <v>2881</v>
      </c>
    </row>
    <row r="6" spans="1:20" s="9" customFormat="1" x14ac:dyDescent="0.25">
      <c r="B6" s="145" t="s">
        <v>1569</v>
      </c>
      <c r="C6" s="466" t="str">
        <f>CHOOSE(Translations!$C$1+1,O6,P6,Q6)</f>
        <v>HIV I-14 Nombre de nouvelles infections par le VIH pour 1000 habitants non infectés</v>
      </c>
      <c r="D6" s="145" t="str">
        <f>CHOOSE(Translations!$C$1+1,R6,S6,T6)</f>
        <v>Sexe,Age</v>
      </c>
      <c r="E6" s="145" t="s">
        <v>1514</v>
      </c>
      <c r="F6" s="145" t="str">
        <f t="array" ref="F6">IFERROR(INDEX($C$4:$C$18, MATCH(0, COUNTIF($F$3:F5, $C$4:$C$18&amp;"") + IF($C$4:$C$18="",1,0), 0)), "")</f>
        <v>HIV I-14 Nombre de nouvelles infections par le VIH pour 1000 habitants non infectés</v>
      </c>
      <c r="G6" s="145" t="s">
        <v>2882</v>
      </c>
      <c r="H6" s="145" t="str">
        <f t="array" ref="H6">IFERROR(INDEX($B$4:$B$18, MATCH(0, COUNTIF($H$3:H5, $B$4:$B$18&amp;"") + IF($B$4:$B$18="",1,0), 0)), "")</f>
        <v>IOR-00080</v>
      </c>
      <c r="I6" s="145" t="str">
        <f t="array" ref="I6">IFERROR(IF(INDEX($C$4:$C$18,MATCH(LEFT(H6,255),LEFT($B$4:$B$18,255),0))=0,"",INDEX($C$4:$C$18,MATCH(LEFT(H6,255),LEFT($B$4:$B$18,255),0))),"")</f>
        <v>HIV I-14 Nombre de nouvelles infections par le VIH pour 1000 habitants non infectés</v>
      </c>
      <c r="J6" s="145" t="str">
        <f t="shared" si="0"/>
        <v>HIV I-14 Nombre de nouvelles infections par le VIH pour 1000 habitants non infectés</v>
      </c>
      <c r="K6" s="146" t="s">
        <v>2883</v>
      </c>
      <c r="L6" s="145"/>
      <c r="M6" s="145" t="s">
        <v>267</v>
      </c>
      <c r="N6" s="145" t="s">
        <v>2878</v>
      </c>
      <c r="O6" s="147" t="s">
        <v>1572</v>
      </c>
      <c r="P6" s="147" t="s">
        <v>1573</v>
      </c>
      <c r="Q6" s="147" t="s">
        <v>1574</v>
      </c>
      <c r="R6" s="146" t="s">
        <v>2879</v>
      </c>
      <c r="S6" s="146" t="s">
        <v>2880</v>
      </c>
      <c r="T6" s="146" t="s">
        <v>2881</v>
      </c>
    </row>
    <row r="7" spans="1:20" s="9" customFormat="1" x14ac:dyDescent="0.25">
      <c r="B7" s="145" t="s">
        <v>1589</v>
      </c>
      <c r="C7" s="466" t="str">
        <f>CHOOSE(Translations!$C$1+1,O7,P7,Q7)</f>
        <v>HIV I-4 Nombre de décès liés au sida pour 100,000 habitants</v>
      </c>
      <c r="D7" s="145" t="str">
        <f>CHOOSE(Translations!$C$1+1,R7,S7,T7)</f>
        <v>Age,Sexe</v>
      </c>
      <c r="E7" s="145" t="s">
        <v>1514</v>
      </c>
      <c r="F7" s="145" t="str">
        <f t="array" ref="F7">IFERROR(INDEX($C$4:$C$18, MATCH(0, COUNTIF($F$3:F6, $C$4:$C$18&amp;"") + IF($C$4:$C$18="",1,0), 0)), "")</f>
        <v>HIV I-4 Nombre de décès liés au sida pour 100,000 habitants</v>
      </c>
      <c r="G7" s="145" t="s">
        <v>2884</v>
      </c>
      <c r="H7" s="145" t="str">
        <f t="array" ref="H7">IFERROR(INDEX($B$4:$B$18, MATCH(0, COUNTIF($H$3:H6, $B$4:$B$18&amp;"") + IF($B$4:$B$18="",1,0), 0)), "")</f>
        <v>IOR-00081</v>
      </c>
      <c r="I7" s="145" t="str">
        <f t="array" ref="I7">IFERROR(IF(INDEX($C$4:$C$18,MATCH(LEFT(H7,255),LEFT($B$4:$B$18,255),0))=0,"",INDEX($C$4:$C$18,MATCH(LEFT(H7,255),LEFT($B$4:$B$18,255),0))),"")</f>
        <v>HIV I-4 Nombre de décès liés au sida pour 100,000 habitants</v>
      </c>
      <c r="J7" s="145" t="str">
        <f t="shared" si="0"/>
        <v>HIV I-4 Nombre de décès liés au sida pour 100,000 habitants</v>
      </c>
      <c r="K7" s="146" t="s">
        <v>2885</v>
      </c>
      <c r="L7" s="145"/>
      <c r="M7" s="145" t="s">
        <v>267</v>
      </c>
      <c r="N7" s="145" t="s">
        <v>2878</v>
      </c>
      <c r="O7" s="147" t="s">
        <v>1592</v>
      </c>
      <c r="P7" s="147" t="s">
        <v>1593</v>
      </c>
      <c r="Q7" s="147" t="s">
        <v>1594</v>
      </c>
      <c r="R7" s="146" t="s">
        <v>2886</v>
      </c>
      <c r="S7" s="146" t="s">
        <v>2887</v>
      </c>
      <c r="T7" s="146" t="s">
        <v>2888</v>
      </c>
    </row>
    <row r="8" spans="1:20" s="9" customFormat="1" x14ac:dyDescent="0.25">
      <c r="B8" s="145" t="s">
        <v>2889</v>
      </c>
      <c r="C8" s="466" t="str">
        <f>CHOOSE(Translations!$C$1+1,O8,P8,Q8)</f>
        <v>HIV I-6 Pourcentage estimé d’enfants ayant été nouvellement infectés par le VIH dans le cadre de la transmission de la mère à l’enfant chez les femmes séropositives ayant accouché au cours des 12 derniers mois</v>
      </c>
      <c r="D8" s="145">
        <f>CHOOSE(Translations!$C$1+1,R8,S8,T8)</f>
        <v>0</v>
      </c>
      <c r="E8" s="145" t="s">
        <v>1514</v>
      </c>
      <c r="F8" s="145" t="str">
        <f t="array" ref="F8">IFERROR(INDEX($C$4:$C$18, MATCH(0, COUNTIF($F$3:F7, $C$4:$C$18&amp;"") + IF($C$4:$C$18="",1,0), 0)), "")</f>
        <v>HIV I-6 Pourcentage estimé d’enfants ayant été nouvellement infectés par le VIH dans le cadre de la transmission de la mère à l’enfant chez les femmes séropositives ayant accouché au cours des 12 derniers mois</v>
      </c>
      <c r="G8" s="145" t="s">
        <v>2890</v>
      </c>
      <c r="H8" s="145" t="str">
        <f t="array" ref="H8">IFERROR(INDEX($B$4:$B$18, MATCH(0, COUNTIF($H$3:H7, $B$4:$B$18&amp;"") + IF($B$4:$B$18="",1,0), 0)), "")</f>
        <v>IOR-00082</v>
      </c>
      <c r="I8" s="145" t="str">
        <f t="array" ref="I8">IFERROR(IF(INDEX($C$4:$C$18,MATCH(LEFT(H8,255),LEFT($B$4:$B$18,255),0))=0,"",INDEX($C$4:$C$18,MATCH(LEFT(H8,255),LEFT($B$4:$B$18,255),0))),"")</f>
        <v>HIV I-6 Pourcentage estimé d’enfants ayant été nouvellement infectés par le VIH dans le cadre de la transmission de la mère à l’enfant chez les femmes séropositives ayant accouché au cours des 12 derniers mois</v>
      </c>
      <c r="J8" s="145" t="str">
        <f t="shared" si="0"/>
        <v>HIV I-6 Pourcentage estimé d’enfants ayant été nouvellement infectés par le VIH dans le cadre de la transmission de la mère à l’enfant chez les femmes séropositives ayant accouché au cours des 12 derniers mois</v>
      </c>
      <c r="K8" s="146" t="s">
        <v>2891</v>
      </c>
      <c r="L8" s="145"/>
      <c r="M8" s="145" t="s">
        <v>267</v>
      </c>
      <c r="N8" s="145" t="s">
        <v>2878</v>
      </c>
      <c r="O8" s="147" t="s">
        <v>2892</v>
      </c>
      <c r="P8" s="147" t="s">
        <v>2893</v>
      </c>
      <c r="Q8" s="147" t="s">
        <v>2894</v>
      </c>
      <c r="R8" s="146"/>
      <c r="S8" s="146"/>
      <c r="T8" s="146"/>
    </row>
    <row r="9" spans="1:20" s="9" customFormat="1" x14ac:dyDescent="0.25">
      <c r="B9" s="145" t="s">
        <v>1613</v>
      </c>
      <c r="C9" s="466" t="str">
        <f>CHOOSE(Translations!$C$1+1,O9,P9,Q9)</f>
        <v>HIV I-9a⁽ᴹ⁾ Pourcentage d’hommes ayant des rapports sexuels avec des hommes vivant avec le VIH</v>
      </c>
      <c r="D9" s="145" t="str">
        <f>CHOOSE(Translations!$C$1+1,R9,S9,T9)</f>
        <v>Age</v>
      </c>
      <c r="E9" s="145" t="s">
        <v>1514</v>
      </c>
      <c r="F9" s="145" t="str">
        <f t="array" ref="F9">IFERROR(INDEX($C$4:$C$18, MATCH(0, COUNTIF($F$3:F8, $C$4:$C$18&amp;"") + IF($C$4:$C$18="",1,0), 0)), "")</f>
        <v>HIV I-9a⁽ᴹ⁾ Pourcentage d’hommes ayant des rapports sexuels avec des hommes vivant avec le VIH</v>
      </c>
      <c r="G9" s="145" t="s">
        <v>2895</v>
      </c>
      <c r="H9" s="145" t="str">
        <f t="array" ref="H9">IFERROR(INDEX($B$4:$B$18, MATCH(0, COUNTIF($H$3:H8, $B$4:$B$18&amp;"") + IF($B$4:$B$18="",1,0), 0)), "")</f>
        <v>IOR-00083</v>
      </c>
      <c r="I9" s="145" t="str">
        <f t="array" ref="I9">IFERROR(IF(INDEX($C$4:$C$18,MATCH(LEFT(H9,255),LEFT($B$4:$B$18,255),0))=0,"",INDEX($C$4:$C$18,MATCH(LEFT(H9,255),LEFT($B$4:$B$18,255),0))),"")</f>
        <v>HIV I-9a⁽ᴹ⁾ Pourcentage d’hommes ayant des rapports sexuels avec des hommes vivant avec le VIH</v>
      </c>
      <c r="J9" s="145" t="str">
        <f t="shared" si="0"/>
        <v>HIV I-9a⁽ᴹ⁾ Pourcentage d’hommes ayant des rapports sexuels avec des hommes vivant avec le VIH</v>
      </c>
      <c r="K9" s="146" t="s">
        <v>2896</v>
      </c>
      <c r="L9" s="145"/>
      <c r="M9" s="145" t="s">
        <v>267</v>
      </c>
      <c r="N9" s="145" t="s">
        <v>2878</v>
      </c>
      <c r="O9" s="147" t="s">
        <v>1617</v>
      </c>
      <c r="P9" s="147" t="s">
        <v>1618</v>
      </c>
      <c r="Q9" s="147" t="s">
        <v>1619</v>
      </c>
      <c r="R9" s="146" t="s">
        <v>1563</v>
      </c>
      <c r="S9" s="146" t="s">
        <v>1563</v>
      </c>
      <c r="T9" s="146" t="s">
        <v>1564</v>
      </c>
    </row>
    <row r="10" spans="1:20" s="9" customFormat="1" x14ac:dyDescent="0.25">
      <c r="B10" s="145" t="s">
        <v>1623</v>
      </c>
      <c r="C10" s="466" t="str">
        <f>CHOOSE(Translations!$C$1+1,O10,P10,Q10)</f>
        <v>HIV I-9b⁽ᴹ⁾ Pourcentage de personnes transgenres vivant avec le VIH</v>
      </c>
      <c r="D10" s="145" t="str">
        <f>CHOOSE(Translations!$C$1+1,R10,S10,T10)</f>
        <v>Age</v>
      </c>
      <c r="E10" s="145" t="s">
        <v>1514</v>
      </c>
      <c r="F10" s="145" t="str">
        <f t="array" ref="F10">IFERROR(INDEX($C$4:$C$18, MATCH(0, COUNTIF($F$3:F9, $C$4:$C$18&amp;"") + IF($C$4:$C$18="",1,0), 0)), "")</f>
        <v>HIV I-9b⁽ᴹ⁾ Pourcentage de personnes transgenres vivant avec le VIH</v>
      </c>
      <c r="G10" s="145" t="s">
        <v>2897</v>
      </c>
      <c r="H10" s="145" t="str">
        <f t="array" ref="H10">IFERROR(INDEX($B$4:$B$18, MATCH(0, COUNTIF($H$3:H9, $B$4:$B$18&amp;"") + IF($B$4:$B$18="",1,0), 0)), "")</f>
        <v>IOR-00084</v>
      </c>
      <c r="I10" s="145" t="str">
        <f t="array" ref="I10">IFERROR(IF(INDEX($C$4:$C$18,MATCH(LEFT(H10,255),LEFT($B$4:$B$18,255),0))=0,"",INDEX($C$4:$C$18,MATCH(LEFT(H10,255),LEFT($B$4:$B$18,255),0))),"")</f>
        <v>HIV I-9b⁽ᴹ⁾ Pourcentage de personnes transgenres vivant avec le VIH</v>
      </c>
      <c r="J10" s="145" t="str">
        <f t="shared" si="0"/>
        <v>HIV I-9b⁽ᴹ⁾ Pourcentage de personnes transgenres vivant avec le VIH</v>
      </c>
      <c r="K10" s="146" t="s">
        <v>2898</v>
      </c>
      <c r="L10" s="145"/>
      <c r="M10" s="145" t="s">
        <v>267</v>
      </c>
      <c r="N10" s="145" t="s">
        <v>2878</v>
      </c>
      <c r="O10" s="147" t="s">
        <v>1626</v>
      </c>
      <c r="P10" s="147" t="s">
        <v>1627</v>
      </c>
      <c r="Q10" s="147" t="s">
        <v>1628</v>
      </c>
      <c r="R10" s="146" t="s">
        <v>1563</v>
      </c>
      <c r="S10" s="146" t="s">
        <v>1563</v>
      </c>
      <c r="T10" s="146" t="s">
        <v>1564</v>
      </c>
    </row>
    <row r="11" spans="1:20" s="9" customFormat="1" x14ac:dyDescent="0.25">
      <c r="B11" s="145" t="s">
        <v>1631</v>
      </c>
      <c r="C11" s="466" t="str">
        <f>CHOOSE(Translations!$C$1+1,O11,P11,Q11)</f>
        <v>HIV I-10⁽ᴹ⁾ Pourcentage de professionnels du sexe vivant avec le VIH</v>
      </c>
      <c r="D11" s="145" t="str">
        <f>CHOOSE(Translations!$C$1+1,R11,S11,T11)</f>
        <v>Sexe,Age</v>
      </c>
      <c r="E11" s="145" t="s">
        <v>1514</v>
      </c>
      <c r="F11" s="145" t="str">
        <f t="array" ref="F11">IFERROR(INDEX($C$4:$C$18, MATCH(0, COUNTIF($F$3:F10, $C$4:$C$18&amp;"") + IF($C$4:$C$18="",1,0), 0)), "")</f>
        <v>HIV I-10⁽ᴹ⁾ Pourcentage de professionnels du sexe vivant avec le VIH</v>
      </c>
      <c r="G11" s="145" t="s">
        <v>2899</v>
      </c>
      <c r="H11" s="145" t="str">
        <f t="array" ref="H11">IFERROR(INDEX($B$4:$B$18, MATCH(0, COUNTIF($H$3:H10, $B$4:$B$18&amp;"") + IF($B$4:$B$18="",1,0), 0)), "")</f>
        <v>IOR-00085</v>
      </c>
      <c r="I11" s="145" t="str">
        <f t="array" ref="I11">IFERROR(IF(INDEX($C$4:$C$18,MATCH(LEFT(H11,255),LEFT($B$4:$B$18,255),0))=0,"",INDEX($C$4:$C$18,MATCH(LEFT(H11,255),LEFT($B$4:$B$18,255),0))),"")</f>
        <v>HIV I-10⁽ᴹ⁾ Pourcentage de professionnels du sexe vivant avec le VIH</v>
      </c>
      <c r="J11" s="145" t="str">
        <f t="shared" si="0"/>
        <v>HIV I-10⁽ᴹ⁾ Pourcentage de professionnels du sexe vivant avec le VIH</v>
      </c>
      <c r="K11" s="146" t="s">
        <v>2900</v>
      </c>
      <c r="L11" s="145"/>
      <c r="M11" s="145" t="s">
        <v>267</v>
      </c>
      <c r="N11" s="145" t="s">
        <v>2878</v>
      </c>
      <c r="O11" s="147" t="s">
        <v>1637</v>
      </c>
      <c r="P11" s="147" t="s">
        <v>1638</v>
      </c>
      <c r="Q11" s="147" t="s">
        <v>1639</v>
      </c>
      <c r="R11" s="146" t="s">
        <v>2901</v>
      </c>
      <c r="S11" s="146" t="s">
        <v>2880</v>
      </c>
      <c r="T11" s="146" t="s">
        <v>2881</v>
      </c>
    </row>
    <row r="12" spans="1:20" s="9" customFormat="1" x14ac:dyDescent="0.25">
      <c r="B12" s="145" t="s">
        <v>1648</v>
      </c>
      <c r="C12" s="466" t="str">
        <f>CHOOSE(Translations!$C$1+1,O12,P12,Q12)</f>
        <v>HIV I-11⁽ᴹ⁾ Pourcentage de personnes qui s’injectent des drogues vivant avec le VIH</v>
      </c>
      <c r="D12" s="145" t="str">
        <f>CHOOSE(Translations!$C$1+1,R12,S12,T12)</f>
        <v>Sexe,Age</v>
      </c>
      <c r="E12" s="145" t="s">
        <v>1514</v>
      </c>
      <c r="F12" s="145" t="str">
        <f t="array" ref="F12">IFERROR(INDEX($C$4:$C$18, MATCH(0, COUNTIF($F$3:F11, $C$4:$C$18&amp;"") + IF($C$4:$C$18="",1,0), 0)), "")</f>
        <v>HIV I-11⁽ᴹ⁾ Pourcentage de personnes qui s’injectent des drogues vivant avec le VIH</v>
      </c>
      <c r="G12" s="145" t="s">
        <v>2902</v>
      </c>
      <c r="H12" s="145" t="str">
        <f t="array" ref="H12">IFERROR(INDEX($B$4:$B$18, MATCH(0, COUNTIF($H$3:H11, $B$4:$B$18&amp;"") + IF($B$4:$B$18="",1,0), 0)), "")</f>
        <v>IOR-00086</v>
      </c>
      <c r="I12" s="145" t="str">
        <f t="array" ref="I12">IFERROR(IF(INDEX($C$4:$C$18,MATCH(LEFT(H12,255),LEFT($B$4:$B$18,255),0))=0,"",INDEX($C$4:$C$18,MATCH(LEFT(H12,255),LEFT($B$4:$B$18,255),0))),"")</f>
        <v>HIV I-11⁽ᴹ⁾ Pourcentage de personnes qui s’injectent des drogues vivant avec le VIH</v>
      </c>
      <c r="J12" s="145" t="str">
        <f t="shared" si="0"/>
        <v>HIV I-11⁽ᴹ⁾ Pourcentage de personnes qui s’injectent des drogues vivant avec le VIH</v>
      </c>
      <c r="K12" s="146" t="s">
        <v>2903</v>
      </c>
      <c r="L12" s="145"/>
      <c r="M12" s="145" t="s">
        <v>267</v>
      </c>
      <c r="N12" s="145" t="s">
        <v>2878</v>
      </c>
      <c r="O12" s="147" t="s">
        <v>1651</v>
      </c>
      <c r="P12" s="147" t="s">
        <v>1652</v>
      </c>
      <c r="Q12" s="147" t="s">
        <v>1653</v>
      </c>
      <c r="R12" s="146" t="s">
        <v>2901</v>
      </c>
      <c r="S12" s="146" t="s">
        <v>2880</v>
      </c>
      <c r="T12" s="146" t="s">
        <v>2881</v>
      </c>
    </row>
    <row r="13" spans="1:20" s="9" customFormat="1" x14ac:dyDescent="0.25">
      <c r="B13" s="145" t="s">
        <v>2904</v>
      </c>
      <c r="C13" s="466" t="str">
        <f>CHOOSE(Translations!$C$1+1,O13,P13,Q13)</f>
        <v>HIV I-12 Pourcentage de personnes appartenant à d'autres populations vulnérables (à préciser) vivant avec le VIH</v>
      </c>
      <c r="D13" s="145">
        <f>CHOOSE(Translations!$C$1+1,R13,S13,T13)</f>
        <v>0</v>
      </c>
      <c r="E13" s="145" t="s">
        <v>1514</v>
      </c>
      <c r="F13" s="145" t="str">
        <f t="array" ref="F13">IFERROR(INDEX($C$4:$C$18, MATCH(0, COUNTIF($F$3:F12, $C$4:$C$18&amp;"") + IF($C$4:$C$18="",1,0), 0)), "")</f>
        <v>HIV I-12 Pourcentage de personnes appartenant à d'autres populations vulnérables (à préciser) vivant avec le VIH</v>
      </c>
      <c r="G13" s="145" t="s">
        <v>2905</v>
      </c>
      <c r="H13" s="145" t="str">
        <f t="array" ref="H13">IFERROR(INDEX($B$4:$B$18, MATCH(0, COUNTIF($H$3:H12, $B$4:$B$18&amp;"") + IF($B$4:$B$18="",1,0), 0)), "")</f>
        <v>IOR-00087</v>
      </c>
      <c r="I13" s="145" t="str">
        <f t="array" ref="I13">IFERROR(IF(INDEX($C$4:$C$18,MATCH(LEFT(H13,255),LEFT($B$4:$B$18,255),0))=0,"",INDEX($C$4:$C$18,MATCH(LEFT(H13,255),LEFT($B$4:$B$18,255),0))),"")</f>
        <v>HIV I-12 Pourcentage de personnes appartenant à d'autres populations vulnérables (à préciser) vivant avec le VIH</v>
      </c>
      <c r="J13" s="145" t="str">
        <f t="shared" si="0"/>
        <v>HIV I-12 Pourcentage de personnes appartenant à d'autres populations vulnérables (à préciser) vivant avec le VIH</v>
      </c>
      <c r="K13" s="146" t="s">
        <v>2906</v>
      </c>
      <c r="L13" s="145"/>
      <c r="M13" s="145" t="s">
        <v>267</v>
      </c>
      <c r="N13" s="145" t="s">
        <v>2878</v>
      </c>
      <c r="O13" s="147" t="s">
        <v>2907</v>
      </c>
      <c r="P13" s="147" t="s">
        <v>2908</v>
      </c>
      <c r="Q13" s="147" t="s">
        <v>2909</v>
      </c>
      <c r="R13" s="146"/>
      <c r="S13" s="146"/>
      <c r="T13" s="146"/>
    </row>
    <row r="14" spans="1:20" s="9" customFormat="1" x14ac:dyDescent="0.25">
      <c r="B14" s="145" t="s">
        <v>2910</v>
      </c>
      <c r="C14" s="466" t="str">
        <f>CHOOSE(Translations!$C$1+1,O14,P14,Q14)</f>
        <v>TB/HIV I-1 Taux de mortalité par tuberculose/VIH (pour 100 000 habitants)</v>
      </c>
      <c r="D14" s="145">
        <f>CHOOSE(Translations!$C$1+1,R14,S14,T14)</f>
        <v>0</v>
      </c>
      <c r="E14" s="145" t="s">
        <v>1514</v>
      </c>
      <c r="F14" s="145" t="str">
        <f t="array" ref="F14">IFERROR(INDEX($C$4:$C$18, MATCH(0, COUNTIF($F$3:F13, $C$4:$C$18&amp;"") + IF($C$4:$C$18="",1,0), 0)), "")</f>
        <v>TB/HIV I-1 Taux de mortalité par tuberculose/VIH (pour 100 000 habitants)</v>
      </c>
      <c r="G14" s="145" t="s">
        <v>2911</v>
      </c>
      <c r="H14" s="145" t="str">
        <f t="array" ref="H14">IFERROR(INDEX($B$4:$B$18, MATCH(0, COUNTIF($H$3:H13, $B$4:$B$18&amp;"") + IF($B$4:$B$18="",1,0), 0)), "")</f>
        <v>IOR-00091</v>
      </c>
      <c r="I14" s="145" t="str">
        <f t="array" ref="I14">IFERROR(IF(INDEX($C$4:$C$18,MATCH(LEFT(H14,255),LEFT($B$4:$B$18,255),0))=0,"",INDEX($C$4:$C$18,MATCH(LEFT(H14,255),LEFT($B$4:$B$18,255),0))),"")</f>
        <v>TB/HIV I-1 Taux de mortalité par tuberculose/VIH (pour 100 000 habitants)</v>
      </c>
      <c r="J14" s="145" t="str">
        <f t="shared" si="0"/>
        <v>TB/HIV I-1 Taux de mortalité par tuberculose/VIH (pour 100 000 habitants)</v>
      </c>
      <c r="K14" s="146" t="s">
        <v>2912</v>
      </c>
      <c r="L14" s="145"/>
      <c r="M14" s="145" t="s">
        <v>267</v>
      </c>
      <c r="N14" s="145" t="s">
        <v>2878</v>
      </c>
      <c r="O14" s="147" t="s">
        <v>2913</v>
      </c>
      <c r="P14" s="147" t="s">
        <v>2914</v>
      </c>
      <c r="Q14" s="147" t="s">
        <v>2915</v>
      </c>
      <c r="R14" s="146"/>
      <c r="S14" s="146"/>
      <c r="T14" s="146"/>
    </row>
    <row r="15" spans="1:20" s="9" customFormat="1" x14ac:dyDescent="0.25">
      <c r="B15" s="145"/>
      <c r="C15" s="147"/>
      <c r="D15" s="146"/>
      <c r="E15" s="145"/>
      <c r="F15" s="145"/>
      <c r="G15" s="145"/>
      <c r="H15" s="145"/>
      <c r="I15" s="145"/>
      <c r="J15" s="145"/>
      <c r="K15" s="146"/>
    </row>
    <row r="16" spans="1:20" s="9" customFormat="1" x14ac:dyDescent="0.25">
      <c r="B16" s="145"/>
      <c r="C16" s="147"/>
      <c r="D16" s="146"/>
      <c r="E16" s="145"/>
      <c r="F16" s="145"/>
      <c r="G16" s="145"/>
      <c r="H16" s="145"/>
      <c r="I16" s="145"/>
      <c r="J16" s="145"/>
      <c r="K16" s="146"/>
    </row>
    <row r="17" spans="2:21" s="9" customFormat="1" x14ac:dyDescent="0.25">
      <c r="B17" s="145"/>
      <c r="C17" s="147"/>
      <c r="D17" s="146"/>
      <c r="E17" s="145"/>
      <c r="F17" s="145"/>
      <c r="G17" s="145"/>
      <c r="H17" s="145"/>
      <c r="I17" s="145"/>
      <c r="J17" s="145"/>
      <c r="K17" s="146"/>
    </row>
    <row r="19" spans="2:21" x14ac:dyDescent="0.25">
      <c r="B19" s="2" t="s">
        <v>93</v>
      </c>
    </row>
    <row r="20" spans="2:21" x14ac:dyDescent="0.25">
      <c r="B20" s="145" t="s">
        <v>89</v>
      </c>
      <c r="C20" s="145" t="s">
        <v>454</v>
      </c>
      <c r="D20" s="145" t="s">
        <v>455</v>
      </c>
      <c r="E20" s="145" t="s">
        <v>91</v>
      </c>
      <c r="F20" s="145" t="s">
        <v>224</v>
      </c>
      <c r="G20" s="145" t="s">
        <v>48</v>
      </c>
      <c r="H20" s="145" t="s">
        <v>222</v>
      </c>
      <c r="I20" s="145" t="s">
        <v>223</v>
      </c>
      <c r="J20" s="145"/>
      <c r="K20" s="145" t="s">
        <v>221</v>
      </c>
      <c r="L20" s="145" t="str">
        <f>B20</f>
        <v>Impact Outcome Reference (Name)</v>
      </c>
      <c r="M20" s="145" t="s">
        <v>334</v>
      </c>
      <c r="N20" s="145" t="s">
        <v>285</v>
      </c>
      <c r="O20" s="145"/>
      <c r="P20" s="145" t="s">
        <v>43</v>
      </c>
      <c r="Q20" s="145" t="s">
        <v>451</v>
      </c>
      <c r="R20" s="145" t="s">
        <v>449</v>
      </c>
      <c r="S20" s="145" t="s">
        <v>45</v>
      </c>
      <c r="T20" s="145" t="s">
        <v>457</v>
      </c>
      <c r="U20" s="145" t="s">
        <v>459</v>
      </c>
    </row>
    <row r="21" spans="2:21" hidden="1" x14ac:dyDescent="0.25">
      <c r="B21" s="145" t="s">
        <v>88</v>
      </c>
      <c r="C21" s="145" t="str">
        <f>CHOOSE(Translations!$C$1+1,P21,Q21,R21)</f>
        <v>--Select--</v>
      </c>
      <c r="D21" s="145" t="str">
        <f>CHOOSE(Translations!$C$1+1,S21,T21,U21)</f>
        <v>[Disaggregation Categories FR]</v>
      </c>
      <c r="E21" s="145" t="s">
        <v>90</v>
      </c>
      <c r="F21" s="145" t="str">
        <f t="array" ref="F21">IFERROR(INDEX($C$21:$C$58, MATCH(0, COUNTIF($F$20:F20, $C$21:$C$58&amp;"") + IF($C$21:$C$58="",1,0), 0)), "")</f>
        <v>--Select--</v>
      </c>
      <c r="G21" s="145" t="s">
        <v>47</v>
      </c>
      <c r="H21" s="145" t="str">
        <f t="array" ref="H21">IFERROR(INDEX($B$21:$B$58, MATCH(0, COUNTIF($H$20:H20, $B$21:$B$58&amp;"") + IF($B$21:$B$58="",1,0), 0)), "")</f>
        <v>[Impact Outcome Reference (Name)]</v>
      </c>
      <c r="I21" s="145" t="str">
        <f t="array" ref="I21">IFERROR(IF(INDEX($C$21:$C$58,MATCH(LEFT(H21,255),LEFT($B$21:$B$58,255),0))=0,"",INDEX($C$21:$C$58,MATCH(LEFT(H21,255),LEFT($B$21:$B$58,255),0))),"")</f>
        <v>--Select--</v>
      </c>
      <c r="J21" s="145" t="str">
        <f>LEFT(C21,255)</f>
        <v>--Select--</v>
      </c>
      <c r="K21" s="146" t="s">
        <v>220</v>
      </c>
      <c r="L21" s="145" t="str">
        <f>B21</f>
        <v>[Impact Outcome Reference (Name)]</v>
      </c>
      <c r="M21" s="145" t="s">
        <v>333</v>
      </c>
      <c r="N21" s="145" t="s">
        <v>284</v>
      </c>
      <c r="O21" s="145"/>
      <c r="P21" s="147" t="s">
        <v>52</v>
      </c>
      <c r="Q21" s="147" t="s">
        <v>52</v>
      </c>
      <c r="R21" s="147" t="s">
        <v>52</v>
      </c>
      <c r="S21" s="146" t="s">
        <v>44</v>
      </c>
      <c r="T21" s="146" t="s">
        <v>456</v>
      </c>
      <c r="U21" s="146" t="s">
        <v>458</v>
      </c>
    </row>
    <row r="22" spans="2:21" s="9" customFormat="1" x14ac:dyDescent="0.25">
      <c r="B22" s="145" t="s">
        <v>1785</v>
      </c>
      <c r="C22" s="145" t="str">
        <f>CHOOSE(Translations!$C$1+1,P22,Q22,R22)</f>
        <v>HIV O-10 Pourcentage de personnes interrogées qui disent avoir utilisé un préservatif lors de leur dernier rapport sexuel avec un partenaire non marié/ non cohabitant, parmi celles qui ont eu des rapports sexuels avec un tel partenaire au cours des 12 derniers mois</v>
      </c>
      <c r="D22" s="145" t="str">
        <f>CHOOSE(Translations!$C$1+1,S22,T22,U22)</f>
        <v>Sexe,Age</v>
      </c>
      <c r="E22" s="145" t="s">
        <v>1514</v>
      </c>
      <c r="F22" s="145" t="str">
        <f t="array" ref="F22">IFERROR(INDEX($C$21:$C$58, MATCH(0, COUNTIF($F$20:F21, $C$21:$C$58&amp;"") + IF($C$21:$C$58="",1,0), 0)), "")</f>
        <v>HIV O-4a⁽ᴹ⁾ Pourcentage d’hommes qui indiquent avoir utilisé un préservatif lors de leur dernier rapport anal avec un partenaire occasionel</v>
      </c>
      <c r="G22" s="145" t="s">
        <v>2916</v>
      </c>
      <c r="H22" s="145" t="str">
        <f t="array" ref="H22">IFERROR(INDEX($B$21:$B$58, MATCH(0, COUNTIF($H$20:H21, $B$21:$B$58&amp;"") + IF($B$21:$B$58="",1,0), 0)), "")</f>
        <v>IOR-00100</v>
      </c>
      <c r="I22" s="145" t="str">
        <f t="array" ref="I22">IFERROR(IF(INDEX($C$21:$C$58,MATCH(LEFT(H22,255),LEFT($B$21:$B$58,255),0))=0,"",INDEX($C$21:$C$58,MATCH(LEFT(H22,255),LEFT($B$21:$B$58,255),0))),"")</f>
        <v>HIV O-10 Pourcentage de personnes interrogées qui disent avoir utilisé un préservatif lors de leur dernier rapport sexuel avec un partenaire non marié/ non cohabitant, parmi celles qui ont eu des rapports sexuels avec un tel partenaire au cours des 12 derniers mois</v>
      </c>
      <c r="J22" s="145" t="str">
        <f t="shared" ref="J22:J54" si="1">LEFT(C22,255)</f>
        <v>HIV O-10 Pourcentage de personnes interrogées qui disent avoir utilisé un préservatif lors de leur dernier rapport sexuel avec un partenaire non marié/ non cohabitant, parmi celles qui ont eu des rapports sexuels avec un tel partenaire au cours des 12 der</v>
      </c>
      <c r="K22" s="146" t="s">
        <v>2917</v>
      </c>
      <c r="L22" s="145" t="str">
        <f t="shared" ref="L22:L54" si="2">B22</f>
        <v>IOR-00100</v>
      </c>
      <c r="M22" s="145" t="s">
        <v>268</v>
      </c>
      <c r="N22" s="145" t="s">
        <v>2878</v>
      </c>
      <c r="O22" s="145"/>
      <c r="P22" s="147" t="s">
        <v>1788</v>
      </c>
      <c r="Q22" s="147" t="s">
        <v>1789</v>
      </c>
      <c r="R22" s="147" t="s">
        <v>1790</v>
      </c>
      <c r="S22" s="146" t="s">
        <v>2901</v>
      </c>
      <c r="T22" s="146" t="s">
        <v>2880</v>
      </c>
      <c r="U22" s="146" t="s">
        <v>2881</v>
      </c>
    </row>
    <row r="23" spans="2:21" s="9" customFormat="1" x14ac:dyDescent="0.25">
      <c r="B23" s="145" t="s">
        <v>1801</v>
      </c>
      <c r="C23" s="145" t="str">
        <f>CHOOSE(Translations!$C$1+1,P23,Q23,R23)</f>
        <v>HIV O-4a⁽ᴹ⁾ Pourcentage d’hommes qui indiquent avoir utilisé un préservatif lors de leur dernier rapport anal avec un partenaire occasionel</v>
      </c>
      <c r="D23" s="145" t="str">
        <f>CHOOSE(Translations!$C$1+1,S23,T23,U23)</f>
        <v>Age</v>
      </c>
      <c r="E23" s="145" t="s">
        <v>1514</v>
      </c>
      <c r="F23" s="145" t="str">
        <f t="array" ref="F23">IFERROR(INDEX($C$21:$C$58, MATCH(0, COUNTIF($F$20:F22, $C$21:$C$58&amp;"") + IF($C$21:$C$58="",1,0), 0)), "")</f>
        <v>HIV O-4.1b⁽ᴹ⁾ Pourcentage de personnes transgenres qui indiquent avoir utilisé un préservatif lors de leur dernier rapport sexuel anal avec un partenaire occasionel masculin</v>
      </c>
      <c r="G23" s="145" t="s">
        <v>2918</v>
      </c>
      <c r="H23" s="145" t="str">
        <f t="array" ref="H23">IFERROR(INDEX($B$21:$B$58, MATCH(0, COUNTIF($H$20:H22, $B$21:$B$58&amp;"") + IF($B$21:$B$58="",1,0), 0)), "")</f>
        <v>IOR-00101</v>
      </c>
      <c r="I23" s="145" t="str">
        <f t="array" ref="I23">IFERROR(IF(INDEX($C$21:$C$58,MATCH(LEFT(H23,255),LEFT($B$21:$B$58,255),0))=0,"",INDEX($C$21:$C$58,MATCH(LEFT(H23,255),LEFT($B$21:$B$58,255),0))),"")</f>
        <v>HIV O-4a⁽ᴹ⁾ Pourcentage d’hommes qui indiquent avoir utilisé un préservatif lors de leur dernier rapport anal avec un partenaire occasionel</v>
      </c>
      <c r="J23" s="145" t="str">
        <f t="shared" si="1"/>
        <v>HIV O-4a⁽ᴹ⁾ Pourcentage d’hommes qui indiquent avoir utilisé un préservatif lors de leur dernier rapport anal avec un partenaire occasionel</v>
      </c>
      <c r="K23" s="146" t="s">
        <v>2919</v>
      </c>
      <c r="L23" s="145" t="str">
        <f t="shared" si="2"/>
        <v>IOR-00101</v>
      </c>
      <c r="M23" s="145" t="s">
        <v>268</v>
      </c>
      <c r="N23" s="145" t="s">
        <v>2878</v>
      </c>
      <c r="O23" s="145"/>
      <c r="P23" s="147" t="s">
        <v>1804</v>
      </c>
      <c r="Q23" s="147" t="s">
        <v>1805</v>
      </c>
      <c r="R23" s="147" t="s">
        <v>1806</v>
      </c>
      <c r="S23" s="146" t="s">
        <v>1563</v>
      </c>
      <c r="T23" s="146" t="s">
        <v>1563</v>
      </c>
      <c r="U23" s="146" t="s">
        <v>1564</v>
      </c>
    </row>
    <row r="24" spans="2:21" s="9" customFormat="1" x14ac:dyDescent="0.25">
      <c r="B24" s="145" t="s">
        <v>1809</v>
      </c>
      <c r="C24" s="145" t="str">
        <f>CHOOSE(Translations!$C$1+1,P24,Q24,R24)</f>
        <v>HIV O-4.1b⁽ᴹ⁾ Pourcentage de personnes transgenres qui indiquent avoir utilisé un préservatif lors de leur dernier rapport sexuel anal avec un partenaire occasionel masculin</v>
      </c>
      <c r="D24" s="145" t="str">
        <f>CHOOSE(Translations!$C$1+1,S24,T24,U24)</f>
        <v>Age</v>
      </c>
      <c r="E24" s="145" t="s">
        <v>1514</v>
      </c>
      <c r="F24" s="145" t="str">
        <f t="array" ref="F24">IFERROR(INDEX($C$21:$C$58, MATCH(0, COUNTIF($F$20:F23, $C$21:$C$58&amp;"") + IF($C$21:$C$58="",1,0), 0)), "")</f>
        <v>HIV O-5⁽ᴹ⁾ Pourcentage de professionnels du sexe qui indiquent avoir utilisé un préservatif avec leur dernier client</v>
      </c>
      <c r="G24" s="145" t="s">
        <v>2920</v>
      </c>
      <c r="H24" s="145" t="str">
        <f t="array" ref="H24">IFERROR(INDEX($B$21:$B$58, MATCH(0, COUNTIF($H$20:H23, $B$21:$B$58&amp;"") + IF($B$21:$B$58="",1,0), 0)), "")</f>
        <v>IOR-00102</v>
      </c>
      <c r="I24" s="145" t="str">
        <f t="array" ref="I24">IFERROR(IF(INDEX($C$21:$C$58,MATCH(LEFT(H24,255),LEFT($B$21:$B$58,255),0))=0,"",INDEX($C$21:$C$58,MATCH(LEFT(H24,255),LEFT($B$21:$B$58,255),0))),"")</f>
        <v>HIV O-4.1b⁽ᴹ⁾ Pourcentage de personnes transgenres qui indiquent avoir utilisé un préservatif lors de leur dernier rapport sexuel anal avec un partenaire occasionel masculin</v>
      </c>
      <c r="J24" s="145" t="str">
        <f t="shared" si="1"/>
        <v>HIV O-4.1b⁽ᴹ⁾ Pourcentage de personnes transgenres qui indiquent avoir utilisé un préservatif lors de leur dernier rapport sexuel anal avec un partenaire occasionel masculin</v>
      </c>
      <c r="K24" s="146" t="s">
        <v>2921</v>
      </c>
      <c r="L24" s="145" t="str">
        <f t="shared" si="2"/>
        <v>IOR-00102</v>
      </c>
      <c r="M24" s="145" t="s">
        <v>268</v>
      </c>
      <c r="N24" s="145" t="s">
        <v>2878</v>
      </c>
      <c r="O24" s="145"/>
      <c r="P24" s="147" t="s">
        <v>1812</v>
      </c>
      <c r="Q24" s="147" t="s">
        <v>1813</v>
      </c>
      <c r="R24" s="147" t="s">
        <v>1814</v>
      </c>
      <c r="S24" s="146" t="s">
        <v>1563</v>
      </c>
      <c r="T24" s="146" t="s">
        <v>1563</v>
      </c>
      <c r="U24" s="146" t="s">
        <v>1564</v>
      </c>
    </row>
    <row r="25" spans="2:21" s="9" customFormat="1" x14ac:dyDescent="0.25">
      <c r="B25" s="145" t="s">
        <v>1817</v>
      </c>
      <c r="C25" s="145" t="str">
        <f>CHOOSE(Translations!$C$1+1,P25,Q25,R25)</f>
        <v>HIV O-5⁽ᴹ⁾ Pourcentage de professionnels du sexe qui indiquent avoir utilisé un préservatif avec leur dernier client</v>
      </c>
      <c r="D25" s="145" t="str">
        <f>CHOOSE(Translations!$C$1+1,S25,T25,U25)</f>
        <v>Sexe,Age</v>
      </c>
      <c r="E25" s="145" t="s">
        <v>1514</v>
      </c>
      <c r="F25" s="145" t="str">
        <f t="array" ref="F25">IFERROR(INDEX($C$21:$C$58, MATCH(0, COUNTIF($F$20:F24, $C$21:$C$58&amp;"") + IF($C$21:$C$58="",1,0), 0)), "")</f>
        <v>HIV O-6⁽ᴹ⁾ Pourcentage de personnes qui s'injectent des drogues qui indiquent avoir utilisé du matériel d’injection stérile lors de leur dernière injection</v>
      </c>
      <c r="G25" s="145" t="s">
        <v>2922</v>
      </c>
      <c r="H25" s="145" t="str">
        <f t="array" ref="H25">IFERROR(INDEX($B$21:$B$58, MATCH(0, COUNTIF($H$20:H24, $B$21:$B$58&amp;"") + IF($B$21:$B$58="",1,0), 0)), "")</f>
        <v>IOR-00103</v>
      </c>
      <c r="I25" s="145" t="str">
        <f t="array" ref="I25">IFERROR(IF(INDEX($C$21:$C$58,MATCH(LEFT(H25,255),LEFT($B$21:$B$58,255),0))=0,"",INDEX($C$21:$C$58,MATCH(LEFT(H25,255),LEFT($B$21:$B$58,255),0))),"")</f>
        <v>HIV O-5⁽ᴹ⁾ Pourcentage de professionnels du sexe qui indiquent avoir utilisé un préservatif avec leur dernier client</v>
      </c>
      <c r="J25" s="145" t="str">
        <f t="shared" si="1"/>
        <v>HIV O-5⁽ᴹ⁾ Pourcentage de professionnels du sexe qui indiquent avoir utilisé un préservatif avec leur dernier client</v>
      </c>
      <c r="K25" s="146" t="s">
        <v>2923</v>
      </c>
      <c r="L25" s="145" t="str">
        <f t="shared" si="2"/>
        <v>IOR-00103</v>
      </c>
      <c r="M25" s="145" t="s">
        <v>268</v>
      </c>
      <c r="N25" s="145" t="s">
        <v>2878</v>
      </c>
      <c r="O25" s="145"/>
      <c r="P25" s="147" t="s">
        <v>1820</v>
      </c>
      <c r="Q25" s="147" t="s">
        <v>1821</v>
      </c>
      <c r="R25" s="147" t="s">
        <v>1822</v>
      </c>
      <c r="S25" s="146" t="s">
        <v>2901</v>
      </c>
      <c r="T25" s="146" t="s">
        <v>2880</v>
      </c>
      <c r="U25" s="146" t="s">
        <v>2881</v>
      </c>
    </row>
    <row r="26" spans="2:21" s="9" customFormat="1" x14ac:dyDescent="0.25">
      <c r="B26" s="145" t="s">
        <v>1831</v>
      </c>
      <c r="C26" s="145" t="str">
        <f>CHOOSE(Translations!$C$1+1,P26,Q26,R26)</f>
        <v>HIV O-6⁽ᴹ⁾ Pourcentage de personnes qui s'injectent des drogues qui indiquent avoir utilisé du matériel d’injection stérile lors de leur dernière injection</v>
      </c>
      <c r="D26" s="145" t="str">
        <f>CHOOSE(Translations!$C$1+1,S26,T26,U26)</f>
        <v>Sexe,Age</v>
      </c>
      <c r="E26" s="145" t="s">
        <v>1514</v>
      </c>
      <c r="F26" s="145" t="str">
        <f t="array" ref="F26">IFERROR(INDEX($C$21:$C$58, MATCH(0, COUNTIF($F$20:F25, $C$21:$C$58&amp;"") + IF($C$21:$C$58="",1,0), 0)), "")</f>
        <v>HIV O-9 Pourcentage de personnes qui s'injectent des drogues qui indiquent avoir utilisé un préservatif lors de leur dernier rapport sexuel</v>
      </c>
      <c r="G26" s="145" t="s">
        <v>2924</v>
      </c>
      <c r="H26" s="145" t="str">
        <f t="array" ref="H26">IFERROR(INDEX($B$21:$B$58, MATCH(0, COUNTIF($H$20:H25, $B$21:$B$58&amp;"") + IF($B$21:$B$58="",1,0), 0)), "")</f>
        <v>IOR-00104</v>
      </c>
      <c r="I26" s="145" t="str">
        <f t="array" ref="I26">IFERROR(IF(INDEX($C$21:$C$58,MATCH(LEFT(H26,255),LEFT($B$21:$B$58,255),0))=0,"",INDEX($C$21:$C$58,MATCH(LEFT(H26,255),LEFT($B$21:$B$58,255),0))),"")</f>
        <v>HIV O-6⁽ᴹ⁾ Pourcentage de personnes qui s'injectent des drogues qui indiquent avoir utilisé du matériel d’injection stérile lors de leur dernière injection</v>
      </c>
      <c r="J26" s="145" t="str">
        <f t="shared" si="1"/>
        <v>HIV O-6⁽ᴹ⁾ Pourcentage de personnes qui s'injectent des drogues qui indiquent avoir utilisé du matériel d’injection stérile lors de leur dernière injection</v>
      </c>
      <c r="K26" s="146" t="s">
        <v>2925</v>
      </c>
      <c r="L26" s="145" t="str">
        <f t="shared" si="2"/>
        <v>IOR-00104</v>
      </c>
      <c r="M26" s="145" t="s">
        <v>268</v>
      </c>
      <c r="N26" s="145" t="s">
        <v>2878</v>
      </c>
      <c r="O26" s="145"/>
      <c r="P26" s="147" t="s">
        <v>1834</v>
      </c>
      <c r="Q26" s="147" t="s">
        <v>1835</v>
      </c>
      <c r="R26" s="147" t="s">
        <v>1836</v>
      </c>
      <c r="S26" s="146" t="s">
        <v>2901</v>
      </c>
      <c r="T26" s="146" t="s">
        <v>2880</v>
      </c>
      <c r="U26" s="146" t="s">
        <v>2881</v>
      </c>
    </row>
    <row r="27" spans="2:21" s="9" customFormat="1" x14ac:dyDescent="0.25">
      <c r="B27" s="145" t="s">
        <v>1845</v>
      </c>
      <c r="C27" s="145" t="str">
        <f>CHOOSE(Translations!$C$1+1,P27,Q27,R27)</f>
        <v>HIV O-9 Pourcentage de personnes qui s'injectent des drogues qui indiquent avoir utilisé un préservatif lors de leur dernier rapport sexuel</v>
      </c>
      <c r="D27" s="145" t="str">
        <f>CHOOSE(Translations!$C$1+1,S27,T27,U27)</f>
        <v>Sexe,Age</v>
      </c>
      <c r="E27" s="145" t="s">
        <v>1514</v>
      </c>
      <c r="F27" s="145" t="str">
        <f t="array" ref="F27">IFERROR(INDEX($C$21:$C$58, MATCH(0, COUNTIF($F$20:F26, $C$21:$C$58&amp;"") + IF($C$21:$C$58="",1,0), 0)), "")</f>
        <v>HIV O-7 Pourcentage de personnes appartenant à d'autres populations vulnérables qui indiquent avoir utilisé un préservatif lors de leur dernier rapport sexuel</v>
      </c>
      <c r="G27" s="145" t="s">
        <v>2926</v>
      </c>
      <c r="H27" s="145" t="str">
        <f t="array" ref="H27">IFERROR(INDEX($B$21:$B$58, MATCH(0, COUNTIF($H$20:H26, $B$21:$B$58&amp;"") + IF($B$21:$B$58="",1,0), 0)), "")</f>
        <v>IOR-00105</v>
      </c>
      <c r="I27" s="145" t="str">
        <f t="array" ref="I27">IFERROR(IF(INDEX($C$21:$C$58,MATCH(LEFT(H27,255),LEFT($B$21:$B$58,255),0))=0,"",INDEX($C$21:$C$58,MATCH(LEFT(H27,255),LEFT($B$21:$B$58,255),0))),"")</f>
        <v>HIV O-9 Pourcentage de personnes qui s'injectent des drogues qui indiquent avoir utilisé un préservatif lors de leur dernier rapport sexuel</v>
      </c>
      <c r="J27" s="145" t="str">
        <f t="shared" si="1"/>
        <v>HIV O-9 Pourcentage de personnes qui s'injectent des drogues qui indiquent avoir utilisé un préservatif lors de leur dernier rapport sexuel</v>
      </c>
      <c r="K27" s="146" t="s">
        <v>2927</v>
      </c>
      <c r="L27" s="145" t="str">
        <f t="shared" si="2"/>
        <v>IOR-00105</v>
      </c>
      <c r="M27" s="145" t="s">
        <v>268</v>
      </c>
      <c r="N27" s="145" t="s">
        <v>2878</v>
      </c>
      <c r="O27" s="145"/>
      <c r="P27" s="147" t="s">
        <v>1848</v>
      </c>
      <c r="Q27" s="147" t="s">
        <v>1849</v>
      </c>
      <c r="R27" s="147" t="s">
        <v>1850</v>
      </c>
      <c r="S27" s="146" t="s">
        <v>2901</v>
      </c>
      <c r="T27" s="146" t="s">
        <v>2880</v>
      </c>
      <c r="U27" s="146" t="s">
        <v>2881</v>
      </c>
    </row>
    <row r="28" spans="2:21" s="9" customFormat="1" x14ac:dyDescent="0.25">
      <c r="B28" s="145" t="s">
        <v>2928</v>
      </c>
      <c r="C28" s="145" t="str">
        <f>CHOOSE(Translations!$C$1+1,P28,Q28,R28)</f>
        <v>HIV O-7 Pourcentage de personnes appartenant à d'autres populations vulnérables qui indiquent avoir utilisé un préservatif lors de leur dernier rapport sexuel</v>
      </c>
      <c r="D28" s="145">
        <f>CHOOSE(Translations!$C$1+1,S28,T28,U28)</f>
        <v>0</v>
      </c>
      <c r="E28" s="145" t="s">
        <v>1514</v>
      </c>
      <c r="F28" s="145" t="str">
        <f t="array" ref="F28">IFERROR(INDEX($C$21:$C$58, MATCH(0, COUNTIF($F$20:F27, $C$21:$C$58&amp;"") + IF($C$21:$C$58="",1,0), 0)), "")</f>
        <v>HIV O-11⁽ᴹ⁾ Pourcentage de personnes vivant avec le VIH qui connaissent leur statut sérologique à la fin de la période de rapportage</v>
      </c>
      <c r="G28" s="145" t="s">
        <v>2929</v>
      </c>
      <c r="H28" s="145" t="str">
        <f t="array" ref="H28">IFERROR(INDEX($B$21:$B$58, MATCH(0, COUNTIF($H$20:H27, $B$21:$B$58&amp;"") + IF($B$21:$B$58="",1,0), 0)), "")</f>
        <v>IOR-00106</v>
      </c>
      <c r="I28" s="145" t="str">
        <f t="array" ref="I28">IFERROR(IF(INDEX($C$21:$C$58,MATCH(LEFT(H28,255),LEFT($B$21:$B$58,255),0))=0,"",INDEX($C$21:$C$58,MATCH(LEFT(H28,255),LEFT($B$21:$B$58,255),0))),"")</f>
        <v>HIV O-7 Pourcentage de personnes appartenant à d'autres populations vulnérables qui indiquent avoir utilisé un préservatif lors de leur dernier rapport sexuel</v>
      </c>
      <c r="J28" s="145" t="str">
        <f t="shared" si="1"/>
        <v>HIV O-7 Pourcentage de personnes appartenant à d'autres populations vulnérables qui indiquent avoir utilisé un préservatif lors de leur dernier rapport sexuel</v>
      </c>
      <c r="K28" s="146" t="s">
        <v>2930</v>
      </c>
      <c r="L28" s="145" t="str">
        <f t="shared" si="2"/>
        <v>IOR-00106</v>
      </c>
      <c r="M28" s="145" t="s">
        <v>268</v>
      </c>
      <c r="N28" s="145" t="s">
        <v>2878</v>
      </c>
      <c r="O28" s="145"/>
      <c r="P28" s="147" t="s">
        <v>2931</v>
      </c>
      <c r="Q28" s="147" t="s">
        <v>2932</v>
      </c>
      <c r="R28" s="147" t="s">
        <v>2933</v>
      </c>
      <c r="S28" s="146"/>
      <c r="T28" s="146"/>
      <c r="U28" s="146"/>
    </row>
    <row r="29" spans="2:21" s="9" customFormat="1" x14ac:dyDescent="0.25">
      <c r="B29" s="145" t="s">
        <v>1859</v>
      </c>
      <c r="C29" s="145" t="str">
        <f>CHOOSE(Translations!$C$1+1,P29,Q29,R29)</f>
        <v>HIV O-11⁽ᴹ⁾ Pourcentage de personnes vivant avec le VIH qui connaissent leur statut sérologique à la fin de la période de rapportage</v>
      </c>
      <c r="D29" s="145" t="str">
        <f>CHOOSE(Translations!$C$1+1,S29,T29,U29)</f>
        <v>Sexe</v>
      </c>
      <c r="E29" s="145" t="s">
        <v>1514</v>
      </c>
      <c r="F29" s="145" t="str">
        <f t="array" ref="F29">IFERROR(INDEX($C$21:$C$58, MATCH(0, COUNTIF($F$20:F28, $C$21:$C$58&amp;"") + IF($C$21:$C$58="",1,0), 0)), "")</f>
        <v>HIV O-12 Pourcentage de personnes vivant avec le VIH sous traitement antirétroviral qui ont une charge virale indétectable</v>
      </c>
      <c r="G29" s="145" t="s">
        <v>2934</v>
      </c>
      <c r="H29" s="145" t="str">
        <f t="array" ref="H29">IFERROR(INDEX($B$21:$B$58, MATCH(0, COUNTIF($H$20:H28, $B$21:$B$58&amp;"") + IF($B$21:$B$58="",1,0), 0)), "")</f>
        <v>IOR-00107</v>
      </c>
      <c r="I29" s="145" t="str">
        <f t="array" ref="I29">IFERROR(IF(INDEX($C$21:$C$58,MATCH(LEFT(H29,255),LEFT($B$21:$B$58,255),0))=0,"",INDEX($C$21:$C$58,MATCH(LEFT(H29,255),LEFT($B$21:$B$58,255),0))),"")</f>
        <v>HIV O-11⁽ᴹ⁾ Pourcentage de personnes vivant avec le VIH qui connaissent leur statut sérologique à la fin de la période de rapportage</v>
      </c>
      <c r="J29" s="145" t="str">
        <f t="shared" si="1"/>
        <v>HIV O-11⁽ᴹ⁾ Pourcentage de personnes vivant avec le VIH qui connaissent leur statut sérologique à la fin de la période de rapportage</v>
      </c>
      <c r="K29" s="146" t="s">
        <v>2935</v>
      </c>
      <c r="L29" s="145" t="str">
        <f t="shared" si="2"/>
        <v>IOR-00107</v>
      </c>
      <c r="M29" s="145" t="s">
        <v>268</v>
      </c>
      <c r="N29" s="145" t="s">
        <v>2878</v>
      </c>
      <c r="O29" s="145"/>
      <c r="P29" s="147" t="s">
        <v>1862</v>
      </c>
      <c r="Q29" s="147" t="s">
        <v>1863</v>
      </c>
      <c r="R29" s="147" t="s">
        <v>1864</v>
      </c>
      <c r="S29" s="146" t="s">
        <v>1550</v>
      </c>
      <c r="T29" s="146" t="s">
        <v>1551</v>
      </c>
      <c r="U29" s="146" t="s">
        <v>1552</v>
      </c>
    </row>
    <row r="30" spans="2:21" s="9" customFormat="1" x14ac:dyDescent="0.25">
      <c r="B30" s="145" t="s">
        <v>1869</v>
      </c>
      <c r="C30" s="145" t="str">
        <f>CHOOSE(Translations!$C$1+1,P30,Q30,R30)</f>
        <v>HIV O-12 Pourcentage de personnes vivant avec le VIH sous traitement antirétroviral qui ont une charge virale indétectable</v>
      </c>
      <c r="D30" s="145" t="str">
        <f>CHOOSE(Translations!$C$1+1,S30,T30,U30)</f>
        <v>Sexe</v>
      </c>
      <c r="E30" s="145" t="s">
        <v>1514</v>
      </c>
      <c r="F30" s="145" t="str">
        <f t="array" ref="F30">IFERROR(INDEX($C$21:$C$58, MATCH(0, COUNTIF($F$20:F29, $C$21:$C$58&amp;"") + IF($C$21:$C$58="",1,0), 0)), "")</f>
        <v>HIV O-13 Proportion de femmes âgées de 15 à 49 ans qui sont ou ont été mariées ou sont en couple, et qui ont été victimes de violences physiques ou sexuelles de la part d’un partenaire masculin au cours des 12 derniers mois</v>
      </c>
      <c r="G30" s="145" t="s">
        <v>2936</v>
      </c>
      <c r="H30" s="145" t="str">
        <f t="array" ref="H30">IFERROR(INDEX($B$21:$B$58, MATCH(0, COUNTIF($H$20:H29, $B$21:$B$58&amp;"") + IF($B$21:$B$58="",1,0), 0)), "")</f>
        <v>IOR-00108</v>
      </c>
      <c r="I30" s="145" t="str">
        <f t="array" ref="I30">IFERROR(IF(INDEX($C$21:$C$58,MATCH(LEFT(H30,255),LEFT($B$21:$B$58,255),0))=0,"",INDEX($C$21:$C$58,MATCH(LEFT(H30,255),LEFT($B$21:$B$58,255),0))),"")</f>
        <v>HIV O-12 Pourcentage de personnes vivant avec le VIH sous traitement antirétroviral qui ont une charge virale indétectable</v>
      </c>
      <c r="J30" s="145" t="str">
        <f t="shared" si="1"/>
        <v>HIV O-12 Pourcentage de personnes vivant avec le VIH sous traitement antirétroviral qui ont une charge virale indétectable</v>
      </c>
      <c r="K30" s="146" t="s">
        <v>2937</v>
      </c>
      <c r="L30" s="145" t="str">
        <f t="shared" si="2"/>
        <v>IOR-00108</v>
      </c>
      <c r="M30" s="145" t="s">
        <v>268</v>
      </c>
      <c r="N30" s="145" t="s">
        <v>2878</v>
      </c>
      <c r="O30" s="145"/>
      <c r="P30" s="147" t="s">
        <v>1872</v>
      </c>
      <c r="Q30" s="147" t="s">
        <v>1873</v>
      </c>
      <c r="R30" s="147" t="s">
        <v>1874</v>
      </c>
      <c r="S30" s="146" t="s">
        <v>1550</v>
      </c>
      <c r="T30" s="146" t="s">
        <v>1551</v>
      </c>
      <c r="U30" s="146" t="s">
        <v>1552</v>
      </c>
    </row>
    <row r="31" spans="2:21" s="9" customFormat="1" x14ac:dyDescent="0.25">
      <c r="B31" s="145" t="s">
        <v>1879</v>
      </c>
      <c r="C31" s="145" t="str">
        <f>CHOOSE(Translations!$C$1+1,P31,Q31,R31)</f>
        <v>HIV O-13 Proportion de femmes âgées de 15 à 49 ans qui sont ou ont été mariées ou sont en couple, et qui ont été victimes de violences physiques ou sexuelles de la part d’un partenaire masculin au cours des 12 derniers mois</v>
      </c>
      <c r="D31" s="145" t="str">
        <f>CHOOSE(Translations!$C$1+1,S31,T31,U31)</f>
        <v>Age</v>
      </c>
      <c r="E31" s="145" t="s">
        <v>1514</v>
      </c>
      <c r="F31" s="145" t="str">
        <f t="array" ref="F31">IFERROR(INDEX($C$21:$C$58, MATCH(0, COUNTIF($F$20:F30, $C$21:$C$58&amp;"") + IF($C$21:$C$58="",1,0), 0)), "")</f>
        <v>HIV O-14 Pourcentage de femmes et d’hommes de 15 à 49 ans qui font état d’attitudes discriminatoires à l’encontre des personnes vivant avec le VIH</v>
      </c>
      <c r="G31" s="145" t="s">
        <v>2938</v>
      </c>
      <c r="H31" s="145" t="str">
        <f t="array" ref="H31">IFERROR(INDEX($B$21:$B$58, MATCH(0, COUNTIF($H$20:H30, $B$21:$B$58&amp;"") + IF($B$21:$B$58="",1,0), 0)), "")</f>
        <v>IOR-00109</v>
      </c>
      <c r="I31" s="145" t="str">
        <f t="array" ref="I31">IFERROR(IF(INDEX($C$21:$C$58,MATCH(LEFT(H31,255),LEFT($B$21:$B$58,255),0))=0,"",INDEX($C$21:$C$58,MATCH(LEFT(H31,255),LEFT($B$21:$B$58,255),0))),"")</f>
        <v>HIV O-13 Proportion de femmes âgées de 15 à 49 ans qui sont ou ont été mariées ou sont en couple, et qui ont été victimes de violences physiques ou sexuelles de la part d’un partenaire masculin au cours des 12 derniers mois</v>
      </c>
      <c r="J31" s="145" t="str">
        <f t="shared" si="1"/>
        <v>HIV O-13 Proportion de femmes âgées de 15 à 49 ans qui sont ou ont été mariées ou sont en couple, et qui ont été victimes de violences physiques ou sexuelles de la part d’un partenaire masculin au cours des 12 derniers mois</v>
      </c>
      <c r="K31" s="146" t="s">
        <v>2939</v>
      </c>
      <c r="L31" s="145" t="str">
        <f t="shared" si="2"/>
        <v>IOR-00109</v>
      </c>
      <c r="M31" s="145" t="s">
        <v>268</v>
      </c>
      <c r="N31" s="145" t="s">
        <v>2878</v>
      </c>
      <c r="O31" s="145"/>
      <c r="P31" s="147" t="s">
        <v>1882</v>
      </c>
      <c r="Q31" s="147" t="s">
        <v>1883</v>
      </c>
      <c r="R31" s="147" t="s">
        <v>1884</v>
      </c>
      <c r="S31" s="146" t="s">
        <v>1563</v>
      </c>
      <c r="T31" s="146" t="s">
        <v>1563</v>
      </c>
      <c r="U31" s="146" t="s">
        <v>1564</v>
      </c>
    </row>
    <row r="32" spans="2:21" s="9" customFormat="1" x14ac:dyDescent="0.25">
      <c r="B32" s="145" t="s">
        <v>2940</v>
      </c>
      <c r="C32" s="145" t="str">
        <f>CHOOSE(Translations!$C$1+1,P32,Q32,R32)</f>
        <v>HIV O-14 Pourcentage de femmes et d’hommes de 15 à 49 ans qui font état d’attitudes discriminatoires à l’encontre des personnes vivant avec le VIH</v>
      </c>
      <c r="D32" s="145">
        <f>CHOOSE(Translations!$C$1+1,S32,T32,U32)</f>
        <v>0</v>
      </c>
      <c r="E32" s="145" t="s">
        <v>1514</v>
      </c>
      <c r="F32" s="145" t="str">
        <f t="array" ref="F32">IFERROR(INDEX($C$21:$C$58, MATCH(0, COUNTIF($F$20:F31, $C$21:$C$58&amp;"") + IF($C$21:$C$58="",1,0), 0)), "")</f>
        <v>HIV O-15 Pourcentage de personnes vivant avec le VIH déclarant avoir été victimes de discrimination liée au VIH dans les services de soins de santé</v>
      </c>
      <c r="G32" s="145" t="s">
        <v>2941</v>
      </c>
      <c r="H32" s="145" t="str">
        <f t="array" ref="H32">IFERROR(INDEX($B$21:$B$58, MATCH(0, COUNTIF($H$20:H31, $B$21:$B$58&amp;"") + IF($B$21:$B$58="",1,0), 0)), "")</f>
        <v>IOR-00110</v>
      </c>
      <c r="I32" s="145" t="str">
        <f t="array" ref="I32">IFERROR(IF(INDEX($C$21:$C$58,MATCH(LEFT(H32,255),LEFT($B$21:$B$58,255),0))=0,"",INDEX($C$21:$C$58,MATCH(LEFT(H32,255),LEFT($B$21:$B$58,255),0))),"")</f>
        <v>HIV O-14 Pourcentage de femmes et d’hommes de 15 à 49 ans qui font état d’attitudes discriminatoires à l’encontre des personnes vivant avec le VIH</v>
      </c>
      <c r="J32" s="145" t="str">
        <f t="shared" si="1"/>
        <v>HIV O-14 Pourcentage de femmes et d’hommes de 15 à 49 ans qui font état d’attitudes discriminatoires à l’encontre des personnes vivant avec le VIH</v>
      </c>
      <c r="K32" s="146" t="s">
        <v>2942</v>
      </c>
      <c r="L32" s="145" t="str">
        <f t="shared" si="2"/>
        <v>IOR-00110</v>
      </c>
      <c r="M32" s="145" t="s">
        <v>268</v>
      </c>
      <c r="N32" s="145" t="s">
        <v>2878</v>
      </c>
      <c r="O32" s="145"/>
      <c r="P32" s="147" t="s">
        <v>2943</v>
      </c>
      <c r="Q32" s="147" t="s">
        <v>2944</v>
      </c>
      <c r="R32" s="147" t="s">
        <v>2945</v>
      </c>
      <c r="S32" s="146"/>
      <c r="T32" s="146"/>
      <c r="U32" s="146"/>
    </row>
    <row r="33" spans="2:21" s="9" customFormat="1" x14ac:dyDescent="0.25">
      <c r="B33" s="145" t="s">
        <v>2946</v>
      </c>
      <c r="C33" s="145" t="str">
        <f>CHOOSE(Translations!$C$1+1,P33,Q33,R33)</f>
        <v>HIV O-15 Pourcentage de personnes vivant avec le VIH déclarant avoir été victimes de discrimination liée au VIH dans les services de soins de santé</v>
      </c>
      <c r="D33" s="145">
        <f>CHOOSE(Translations!$C$1+1,S33,T33,U33)</f>
        <v>0</v>
      </c>
      <c r="E33" s="145" t="s">
        <v>1514</v>
      </c>
      <c r="F33" s="145" t="str">
        <f t="array" ref="F33">IFERROR(INDEX($C$21:$C$58, MATCH(0, COUNTIF($F$20:F32, $C$21:$C$58&amp;"") + IF($C$21:$C$58="",1,0), 0)), "")</f>
        <v>HIV O-16a Pourcentage d’hommes ayant des rapports sexuels avec des hommes (HSH) évitant d’avoir recours aux services de soins de santé en raison de la stigmatisation et de la discrimination encourues</v>
      </c>
      <c r="G33" s="145" t="s">
        <v>2947</v>
      </c>
      <c r="H33" s="145" t="str">
        <f t="array" ref="H33">IFERROR(INDEX($B$21:$B$58, MATCH(0, COUNTIF($H$20:H32, $B$21:$B$58&amp;"") + IF($B$21:$B$58="",1,0), 0)), "")</f>
        <v>IOR-00111</v>
      </c>
      <c r="I33" s="145" t="str">
        <f t="array" ref="I33">IFERROR(IF(INDEX($C$21:$C$58,MATCH(LEFT(H33,255),LEFT($B$21:$B$58,255),0))=0,"",INDEX($C$21:$C$58,MATCH(LEFT(H33,255),LEFT($B$21:$B$58,255),0))),"")</f>
        <v>HIV O-15 Pourcentage de personnes vivant avec le VIH déclarant avoir été victimes de discrimination liée au VIH dans les services de soins de santé</v>
      </c>
      <c r="J33" s="145" t="str">
        <f t="shared" si="1"/>
        <v>HIV O-15 Pourcentage de personnes vivant avec le VIH déclarant avoir été victimes de discrimination liée au VIH dans les services de soins de santé</v>
      </c>
      <c r="K33" s="146" t="s">
        <v>2948</v>
      </c>
      <c r="L33" s="145" t="str">
        <f t="shared" si="2"/>
        <v>IOR-00111</v>
      </c>
      <c r="M33" s="145" t="s">
        <v>268</v>
      </c>
      <c r="N33" s="145" t="s">
        <v>2878</v>
      </c>
      <c r="O33" s="145"/>
      <c r="P33" s="147" t="s">
        <v>2949</v>
      </c>
      <c r="Q33" s="147" t="s">
        <v>2950</v>
      </c>
      <c r="R33" s="147" t="s">
        <v>2951</v>
      </c>
      <c r="S33" s="146"/>
      <c r="T33" s="146"/>
      <c r="U33" s="146"/>
    </row>
    <row r="34" spans="2:21" s="9" customFormat="1" x14ac:dyDescent="0.25">
      <c r="B34" s="145" t="s">
        <v>1887</v>
      </c>
      <c r="C34" s="145" t="str">
        <f>CHOOSE(Translations!$C$1+1,P34,Q34,R34)</f>
        <v>HIV O-16a Pourcentage d’hommes ayant des rapports sexuels avec des hommes (HSH) évitant d’avoir recours aux services de soins de santé en raison de la stigmatisation et de la discrimination encourues</v>
      </c>
      <c r="D34" s="145" t="str">
        <f>CHOOSE(Translations!$C$1+1,S34,T34,U34)</f>
        <v>Age</v>
      </c>
      <c r="E34" s="145" t="s">
        <v>1514</v>
      </c>
      <c r="F34" s="145" t="str">
        <f t="array" ref="F34">IFERROR(INDEX($C$21:$C$58, MATCH(0, COUNTIF($F$20:F33, $C$21:$C$58&amp;"") + IF($C$21:$C$58="",1,0), 0)), "")</f>
        <v>HIV O-16b Pourcentage de personnes transgenres évitant d’avoir recours aux services de soins de santé en raison de la stigmatisation et de la discrimination encourues</v>
      </c>
      <c r="G34" s="145" t="s">
        <v>2952</v>
      </c>
      <c r="H34" s="145" t="str">
        <f t="array" ref="H34">IFERROR(INDEX($B$21:$B$58, MATCH(0, COUNTIF($H$20:H33, $B$21:$B$58&amp;"") + IF($B$21:$B$58="",1,0), 0)), "")</f>
        <v>IOR-00112</v>
      </c>
      <c r="I34" s="145" t="str">
        <f t="array" ref="I34">IFERROR(IF(INDEX($C$21:$C$58,MATCH(LEFT(H34,255),LEFT($B$21:$B$58,255),0))=0,"",INDEX($C$21:$C$58,MATCH(LEFT(H34,255),LEFT($B$21:$B$58,255),0))),"")</f>
        <v>HIV O-16a Pourcentage d’hommes ayant des rapports sexuels avec des hommes (HSH) évitant d’avoir recours aux services de soins de santé en raison de la stigmatisation et de la discrimination encourues</v>
      </c>
      <c r="J34" s="145" t="str">
        <f t="shared" si="1"/>
        <v>HIV O-16a Pourcentage d’hommes ayant des rapports sexuels avec des hommes (HSH) évitant d’avoir recours aux services de soins de santé en raison de la stigmatisation et de la discrimination encourues</v>
      </c>
      <c r="K34" s="146" t="s">
        <v>2953</v>
      </c>
      <c r="L34" s="145" t="str">
        <f t="shared" si="2"/>
        <v>IOR-00112</v>
      </c>
      <c r="M34" s="145" t="s">
        <v>268</v>
      </c>
      <c r="N34" s="145" t="s">
        <v>2878</v>
      </c>
      <c r="O34" s="145"/>
      <c r="P34" s="147" t="s">
        <v>1890</v>
      </c>
      <c r="Q34" s="147" t="s">
        <v>1891</v>
      </c>
      <c r="R34" s="147" t="s">
        <v>1892</v>
      </c>
      <c r="S34" s="146" t="s">
        <v>1563</v>
      </c>
      <c r="T34" s="146" t="s">
        <v>1563</v>
      </c>
      <c r="U34" s="146" t="s">
        <v>1564</v>
      </c>
    </row>
    <row r="35" spans="2:21" s="9" customFormat="1" x14ac:dyDescent="0.25">
      <c r="B35" s="145" t="s">
        <v>1895</v>
      </c>
      <c r="C35" s="145" t="str">
        <f>CHOOSE(Translations!$C$1+1,P35,Q35,R35)</f>
        <v>HIV O-16b Pourcentage de personnes transgenres évitant d’avoir recours aux services de soins de santé en raison de la stigmatisation et de la discrimination encourues</v>
      </c>
      <c r="D35" s="145" t="str">
        <f>CHOOSE(Translations!$C$1+1,S35,T35,U35)</f>
        <v>Age</v>
      </c>
      <c r="E35" s="145" t="s">
        <v>1514</v>
      </c>
      <c r="F35" s="145" t="str">
        <f t="array" ref="F35">IFERROR(INDEX($C$21:$C$58, MATCH(0, COUNTIF($F$20:F34, $C$21:$C$58&amp;"") + IF($C$21:$C$58="",1,0), 0)), "")</f>
        <v>HIV O-16c Pourcentage de professionnels du sexe évitant d’avoir recours aux services de soins de santé en raison de la stigmatisation et de la discrimination encourues</v>
      </c>
      <c r="G35" s="145" t="s">
        <v>2954</v>
      </c>
      <c r="H35" s="145" t="str">
        <f t="array" ref="H35">IFERROR(INDEX($B$21:$B$58, MATCH(0, COUNTIF($H$20:H34, $B$21:$B$58&amp;"") + IF($B$21:$B$58="",1,0), 0)), "")</f>
        <v>IOR-00113</v>
      </c>
      <c r="I35" s="145" t="str">
        <f t="array" ref="I35">IFERROR(IF(INDEX($C$21:$C$58,MATCH(LEFT(H35,255),LEFT($B$21:$B$58,255),0))=0,"",INDEX($C$21:$C$58,MATCH(LEFT(H35,255),LEFT($B$21:$B$58,255),0))),"")</f>
        <v>HIV O-16b Pourcentage de personnes transgenres évitant d’avoir recours aux services de soins de santé en raison de la stigmatisation et de la discrimination encourues</v>
      </c>
      <c r="J35" s="145" t="str">
        <f t="shared" si="1"/>
        <v>HIV O-16b Pourcentage de personnes transgenres évitant d’avoir recours aux services de soins de santé en raison de la stigmatisation et de la discrimination encourues</v>
      </c>
      <c r="K35" s="146" t="s">
        <v>2955</v>
      </c>
      <c r="L35" s="145" t="str">
        <f t="shared" si="2"/>
        <v>IOR-00113</v>
      </c>
      <c r="M35" s="145" t="s">
        <v>268</v>
      </c>
      <c r="N35" s="145" t="s">
        <v>2878</v>
      </c>
      <c r="O35" s="145"/>
      <c r="P35" s="147" t="s">
        <v>1898</v>
      </c>
      <c r="Q35" s="147" t="s">
        <v>1899</v>
      </c>
      <c r="R35" s="147" t="s">
        <v>1900</v>
      </c>
      <c r="S35" s="146" t="s">
        <v>1563</v>
      </c>
      <c r="T35" s="146" t="s">
        <v>1563</v>
      </c>
      <c r="U35" s="146" t="s">
        <v>1564</v>
      </c>
    </row>
    <row r="36" spans="2:21" s="9" customFormat="1" x14ac:dyDescent="0.25">
      <c r="B36" s="145" t="s">
        <v>1903</v>
      </c>
      <c r="C36" s="145" t="str">
        <f>CHOOSE(Translations!$C$1+1,P36,Q36,R36)</f>
        <v>HIV O-16c Pourcentage de professionnels du sexe évitant d’avoir recours aux services de soins de santé en raison de la stigmatisation et de la discrimination encourues</v>
      </c>
      <c r="D36" s="145" t="str">
        <f>CHOOSE(Translations!$C$1+1,S36,T36,U36)</f>
        <v>Sexe,Age</v>
      </c>
      <c r="E36" s="145" t="s">
        <v>1514</v>
      </c>
      <c r="F36" s="145" t="str">
        <f t="array" ref="F36">IFERROR(INDEX($C$21:$C$58, MATCH(0, COUNTIF($F$20:F35, $C$21:$C$58&amp;"") + IF($C$21:$C$58="",1,0), 0)), "")</f>
        <v>HIV O-16d Pourcentage de personnes qui s'injectent des drogues évitant d’avoir recours aux services de soins de santé en raison de la stigmatisation et de la discrimination encourues</v>
      </c>
      <c r="G36" s="145" t="s">
        <v>2956</v>
      </c>
      <c r="H36" s="145" t="str">
        <f t="array" ref="H36">IFERROR(INDEX($B$21:$B$58, MATCH(0, COUNTIF($H$20:H35, $B$21:$B$58&amp;"") + IF($B$21:$B$58="",1,0), 0)), "")</f>
        <v>IOR-00114</v>
      </c>
      <c r="I36" s="145" t="str">
        <f t="array" ref="I36">IFERROR(IF(INDEX($C$21:$C$58,MATCH(LEFT(H36,255),LEFT($B$21:$B$58,255),0))=0,"",INDEX($C$21:$C$58,MATCH(LEFT(H36,255),LEFT($B$21:$B$58,255),0))),"")</f>
        <v>HIV O-16c Pourcentage de professionnels du sexe évitant d’avoir recours aux services de soins de santé en raison de la stigmatisation et de la discrimination encourues</v>
      </c>
      <c r="J36" s="145" t="str">
        <f t="shared" si="1"/>
        <v>HIV O-16c Pourcentage de professionnels du sexe évitant d’avoir recours aux services de soins de santé en raison de la stigmatisation et de la discrimination encourues</v>
      </c>
      <c r="K36" s="146" t="s">
        <v>2957</v>
      </c>
      <c r="L36" s="145" t="str">
        <f t="shared" si="2"/>
        <v>IOR-00114</v>
      </c>
      <c r="M36" s="145" t="s">
        <v>268</v>
      </c>
      <c r="N36" s="145" t="s">
        <v>2878</v>
      </c>
      <c r="O36" s="145"/>
      <c r="P36" s="147" t="s">
        <v>1906</v>
      </c>
      <c r="Q36" s="147" t="s">
        <v>1907</v>
      </c>
      <c r="R36" s="147" t="s">
        <v>1908</v>
      </c>
      <c r="S36" s="146" t="s">
        <v>2901</v>
      </c>
      <c r="T36" s="146" t="s">
        <v>2880</v>
      </c>
      <c r="U36" s="146" t="s">
        <v>2881</v>
      </c>
    </row>
    <row r="37" spans="2:21" s="9" customFormat="1" x14ac:dyDescent="0.25">
      <c r="B37" s="145" t="s">
        <v>1917</v>
      </c>
      <c r="C37" s="145" t="str">
        <f>CHOOSE(Translations!$C$1+1,P37,Q37,R37)</f>
        <v>HIV O-16d Pourcentage de personnes qui s'injectent des drogues évitant d’avoir recours aux services de soins de santé en raison de la stigmatisation et de la discrimination encourues</v>
      </c>
      <c r="D37" s="145" t="str">
        <f>CHOOSE(Translations!$C$1+1,S37,T37,U37)</f>
        <v>Sexe,Age</v>
      </c>
      <c r="E37" s="145" t="s">
        <v>1514</v>
      </c>
      <c r="F37" s="145" t="str">
        <f t="array" ref="F37">IFERROR(INDEX($C$21:$C$58, MATCH(0, COUNTIF($F$20:F36, $C$21:$C$58&amp;"") + IF($C$21:$C$58="",1,0), 0)), "")</f>
        <v>HIV O-17 Pourcentage de personnes vivant avec le VIH déclarant avoir exercé un recours judiciaire à la suite de la violation de leurs droits</v>
      </c>
      <c r="G37" s="145" t="s">
        <v>2958</v>
      </c>
      <c r="H37" s="145" t="str">
        <f t="array" ref="H37">IFERROR(INDEX($B$21:$B$58, MATCH(0, COUNTIF($H$20:H36, $B$21:$B$58&amp;"") + IF($B$21:$B$58="",1,0), 0)), "")</f>
        <v>IOR-00115</v>
      </c>
      <c r="I37" s="145" t="str">
        <f t="array" ref="I37">IFERROR(IF(INDEX($C$21:$C$58,MATCH(LEFT(H37,255),LEFT($B$21:$B$58,255),0))=0,"",INDEX($C$21:$C$58,MATCH(LEFT(H37,255),LEFT($B$21:$B$58,255),0))),"")</f>
        <v>HIV O-16d Pourcentage de personnes qui s'injectent des drogues évitant d’avoir recours aux services de soins de santé en raison de la stigmatisation et de la discrimination encourues</v>
      </c>
      <c r="J37" s="145" t="str">
        <f t="shared" si="1"/>
        <v>HIV O-16d Pourcentage de personnes qui s'injectent des drogues évitant d’avoir recours aux services de soins de santé en raison de la stigmatisation et de la discrimination encourues</v>
      </c>
      <c r="K37" s="146" t="s">
        <v>2959</v>
      </c>
      <c r="L37" s="145" t="str">
        <f t="shared" si="2"/>
        <v>IOR-00115</v>
      </c>
      <c r="M37" s="145" t="s">
        <v>268</v>
      </c>
      <c r="N37" s="145" t="s">
        <v>2878</v>
      </c>
      <c r="O37" s="145"/>
      <c r="P37" s="147" t="s">
        <v>1920</v>
      </c>
      <c r="Q37" s="147" t="s">
        <v>1921</v>
      </c>
      <c r="R37" s="147" t="s">
        <v>1922</v>
      </c>
      <c r="S37" s="146" t="s">
        <v>2901</v>
      </c>
      <c r="T37" s="146" t="s">
        <v>2880</v>
      </c>
      <c r="U37" s="146" t="s">
        <v>2881</v>
      </c>
    </row>
    <row r="38" spans="2:21" s="9" customFormat="1" x14ac:dyDescent="0.25">
      <c r="B38" s="145" t="s">
        <v>1931</v>
      </c>
      <c r="C38" s="145" t="str">
        <f>CHOOSE(Translations!$C$1+1,P38,Q38,R38)</f>
        <v>HIV O-17 Pourcentage de personnes vivant avec le VIH déclarant avoir exercé un recours judiciaire à la suite de la violation de leurs droits</v>
      </c>
      <c r="D38" s="145" t="str">
        <f>CHOOSE(Translations!$C$1+1,S38,T38,U38)</f>
        <v>Groupe à risque cible,Sexe,Age</v>
      </c>
      <c r="E38" s="145" t="s">
        <v>1514</v>
      </c>
      <c r="F38" s="145" t="str">
        <f t="array" ref="F38">IFERROR(INDEX($C$21:$C$58, MATCH(0, COUNTIF($F$20:F37, $C$21:$C$58&amp;"") + IF($C$21:$C$58="",1,0), 0)), "")</f>
        <v>HIV O-18 Pourcentage de femmes entre 15 et 24 ans qui ont eu plus de 2 partenaires au cours des 12 derniers mois</v>
      </c>
      <c r="G38" s="145" t="s">
        <v>2960</v>
      </c>
      <c r="H38" s="145" t="str">
        <f t="array" ref="H38">IFERROR(INDEX($B$21:$B$58, MATCH(0, COUNTIF($H$20:H37, $B$21:$B$58&amp;"") + IF($B$21:$B$58="",1,0), 0)), "")</f>
        <v>IOR-00116</v>
      </c>
      <c r="I38" s="145" t="str">
        <f t="array" ref="I38">IFERROR(IF(INDEX($C$21:$C$58,MATCH(LEFT(H38,255),LEFT($B$21:$B$58,255),0))=0,"",INDEX($C$21:$C$58,MATCH(LEFT(H38,255),LEFT($B$21:$B$58,255),0))),"")</f>
        <v>HIV O-17 Pourcentage de personnes vivant avec le VIH déclarant avoir exercé un recours judiciaire à la suite de la violation de leurs droits</v>
      </c>
      <c r="J38" s="145" t="str">
        <f t="shared" si="1"/>
        <v>HIV O-17 Pourcentage de personnes vivant avec le VIH déclarant avoir exercé un recours judiciaire à la suite de la violation de leurs droits</v>
      </c>
      <c r="K38" s="146" t="s">
        <v>2961</v>
      </c>
      <c r="L38" s="145" t="str">
        <f t="shared" si="2"/>
        <v>IOR-00116</v>
      </c>
      <c r="M38" s="145" t="s">
        <v>268</v>
      </c>
      <c r="N38" s="145" t="s">
        <v>2878</v>
      </c>
      <c r="O38" s="145"/>
      <c r="P38" s="147" t="s">
        <v>1940</v>
      </c>
      <c r="Q38" s="147" t="s">
        <v>1941</v>
      </c>
      <c r="R38" s="147" t="s">
        <v>1942</v>
      </c>
      <c r="S38" s="146" t="s">
        <v>2962</v>
      </c>
      <c r="T38" s="146" t="s">
        <v>2963</v>
      </c>
      <c r="U38" s="146" t="s">
        <v>2964</v>
      </c>
    </row>
    <row r="39" spans="2:21" s="9" customFormat="1" x14ac:dyDescent="0.25">
      <c r="B39" s="145" t="s">
        <v>2965</v>
      </c>
      <c r="C39" s="145" t="str">
        <f>CHOOSE(Translations!$C$1+1,P39,Q39,R39)</f>
        <v>HIV O-18 Pourcentage de femmes entre 15 et 24 ans qui ont eu plus de 2 partenaires au cours des 12 derniers mois</v>
      </c>
      <c r="D39" s="145">
        <f>CHOOSE(Translations!$C$1+1,S39,T39,U39)</f>
        <v>0</v>
      </c>
      <c r="E39" s="145" t="s">
        <v>1514</v>
      </c>
      <c r="F39" s="145" t="str">
        <f t="array" ref="F39">IFERROR(INDEX($C$21:$C$58, MATCH(0, COUNTIF($F$20:F38, $C$21:$C$58&amp;"") + IF($C$21:$C$58="",1,0), 0)), "")</f>
        <v>HIV O-19 Pourcentage de femmes entre 15 et 19 ans enceintes ou ayant donné naissance à un enfant vivant</v>
      </c>
      <c r="G39" s="145" t="s">
        <v>2966</v>
      </c>
      <c r="H39" s="145" t="str">
        <f t="array" ref="H39">IFERROR(INDEX($B$21:$B$58, MATCH(0, COUNTIF($H$20:H38, $B$21:$B$58&amp;"") + IF($B$21:$B$58="",1,0), 0)), "")</f>
        <v>IOR-00117</v>
      </c>
      <c r="I39" s="145" t="str">
        <f t="array" ref="I39">IFERROR(IF(INDEX($C$21:$C$58,MATCH(LEFT(H39,255),LEFT($B$21:$B$58,255),0))=0,"",INDEX($C$21:$C$58,MATCH(LEFT(H39,255),LEFT($B$21:$B$58,255),0))),"")</f>
        <v>HIV O-18 Pourcentage de femmes entre 15 et 24 ans qui ont eu plus de 2 partenaires au cours des 12 derniers mois</v>
      </c>
      <c r="J39" s="145" t="str">
        <f t="shared" si="1"/>
        <v>HIV O-18 Pourcentage de femmes entre 15 et 24 ans qui ont eu plus de 2 partenaires au cours des 12 derniers mois</v>
      </c>
      <c r="K39" s="146" t="s">
        <v>2967</v>
      </c>
      <c r="L39" s="145" t="str">
        <f t="shared" si="2"/>
        <v>IOR-00117</v>
      </c>
      <c r="M39" s="145" t="s">
        <v>268</v>
      </c>
      <c r="N39" s="145" t="s">
        <v>2878</v>
      </c>
      <c r="O39" s="145"/>
      <c r="P39" s="147" t="s">
        <v>2968</v>
      </c>
      <c r="Q39" s="147" t="s">
        <v>2969</v>
      </c>
      <c r="R39" s="147" t="s">
        <v>2970</v>
      </c>
      <c r="S39" s="146"/>
      <c r="T39" s="146"/>
      <c r="U39" s="146"/>
    </row>
    <row r="40" spans="2:21" s="9" customFormat="1" x14ac:dyDescent="0.25">
      <c r="B40" s="145" t="s">
        <v>2971</v>
      </c>
      <c r="C40" s="145" t="str">
        <f>CHOOSE(Translations!$C$1+1,P40,Q40,R40)</f>
        <v>HIV O-19 Pourcentage de femmes entre 15 et 19 ans enceintes ou ayant donné naissance à un enfant vivant</v>
      </c>
      <c r="D40" s="145">
        <f>CHOOSE(Translations!$C$1+1,S40,T40,U40)</f>
        <v>0</v>
      </c>
      <c r="E40" s="145" t="s">
        <v>1514</v>
      </c>
      <c r="F40" s="145" t="str">
        <f t="array" ref="F40">IFERROR(INDEX($C$21:$C$58, MATCH(0, COUNTIF($F$20:F39, $C$21:$C$58&amp;"") + IF($C$21:$C$58="",1,0), 0)), "")</f>
        <v>HIV O-20 Pourcentage de femmes entre 15 et 24 ans ayant abandonné l’école durant la dernière année</v>
      </c>
      <c r="G40" s="145" t="s">
        <v>2972</v>
      </c>
      <c r="H40" s="145" t="str">
        <f t="array" ref="H40">IFERROR(INDEX($B$21:$B$58, MATCH(0, COUNTIF($H$20:H39, $B$21:$B$58&amp;"") + IF($B$21:$B$58="",1,0), 0)), "")</f>
        <v>IOR-00118</v>
      </c>
      <c r="I40" s="145" t="str">
        <f t="array" ref="I40">IFERROR(IF(INDEX($C$21:$C$58,MATCH(LEFT(H40,255),LEFT($B$21:$B$58,255),0))=0,"",INDEX($C$21:$C$58,MATCH(LEFT(H40,255),LEFT($B$21:$B$58,255),0))),"")</f>
        <v>HIV O-19 Pourcentage de femmes entre 15 et 19 ans enceintes ou ayant donné naissance à un enfant vivant</v>
      </c>
      <c r="J40" s="145" t="str">
        <f t="shared" si="1"/>
        <v>HIV O-19 Pourcentage de femmes entre 15 et 19 ans enceintes ou ayant donné naissance à un enfant vivant</v>
      </c>
      <c r="K40" s="146" t="s">
        <v>2973</v>
      </c>
      <c r="L40" s="145" t="str">
        <f t="shared" si="2"/>
        <v>IOR-00118</v>
      </c>
      <c r="M40" s="145" t="s">
        <v>268</v>
      </c>
      <c r="N40" s="145" t="s">
        <v>2878</v>
      </c>
      <c r="O40" s="145"/>
      <c r="P40" s="147" t="s">
        <v>2974</v>
      </c>
      <c r="Q40" s="147" t="s">
        <v>2975</v>
      </c>
      <c r="R40" s="147" t="s">
        <v>2976</v>
      </c>
      <c r="S40" s="146"/>
      <c r="T40" s="146"/>
      <c r="U40" s="146"/>
    </row>
    <row r="41" spans="2:21" s="9" customFormat="1" x14ac:dyDescent="0.25">
      <c r="B41" s="145" t="s">
        <v>2977</v>
      </c>
      <c r="C41" s="145" t="str">
        <f>CHOOSE(Translations!$C$1+1,P41,Q41,R41)</f>
        <v>HIV O-20 Pourcentage de femmes entre 15 et 24 ans ayant abandonné l’école durant la dernière année</v>
      </c>
      <c r="D41" s="145">
        <f>CHOOSE(Translations!$C$1+1,S41,T41,U41)</f>
        <v>0</v>
      </c>
      <c r="E41" s="145" t="s">
        <v>1514</v>
      </c>
      <c r="F41" s="145" t="str">
        <f t="array" ref="F41">IFERROR(INDEX($C$21:$C$58, MATCH(0, COUNTIF($F$20:F40, $C$21:$C$58&amp;"") + IF($C$21:$C$58="",1,0), 0)), "")</f>
        <v>HSS O-5 Pourcentage des établissements de santé disposant de médicaments traceurs pour les trois maladies le jour de la visite ou le jour du rapportage</v>
      </c>
      <c r="G41" s="145" t="s">
        <v>2978</v>
      </c>
      <c r="H41" s="145" t="str">
        <f t="array" ref="H41">IFERROR(INDEX($B$21:$B$58, MATCH(0, COUNTIF($H$20:H40, $B$21:$B$58&amp;"") + IF($B$21:$B$58="",1,0), 0)), "")</f>
        <v>IOR-00119</v>
      </c>
      <c r="I41" s="145" t="str">
        <f t="array" ref="I41">IFERROR(IF(INDEX($C$21:$C$58,MATCH(LEFT(H41,255),LEFT($B$21:$B$58,255),0))=0,"",INDEX($C$21:$C$58,MATCH(LEFT(H41,255),LEFT($B$21:$B$58,255),0))),"")</f>
        <v>HIV O-20 Pourcentage de femmes entre 15 et 24 ans ayant abandonné l’école durant la dernière année</v>
      </c>
      <c r="J41" s="145" t="str">
        <f t="shared" si="1"/>
        <v>HIV O-20 Pourcentage de femmes entre 15 et 24 ans ayant abandonné l’école durant la dernière année</v>
      </c>
      <c r="K41" s="146" t="s">
        <v>2979</v>
      </c>
      <c r="L41" s="145" t="str">
        <f t="shared" si="2"/>
        <v>IOR-00119</v>
      </c>
      <c r="M41" s="145" t="s">
        <v>268</v>
      </c>
      <c r="N41" s="145" t="s">
        <v>2878</v>
      </c>
      <c r="O41" s="145"/>
      <c r="P41" s="147" t="s">
        <v>2980</v>
      </c>
      <c r="Q41" s="147" t="s">
        <v>2981</v>
      </c>
      <c r="R41" s="147" t="s">
        <v>2982</v>
      </c>
      <c r="S41" s="146"/>
      <c r="T41" s="146"/>
      <c r="U41" s="146"/>
    </row>
    <row r="42" spans="2:21" s="9" customFormat="1" x14ac:dyDescent="0.25">
      <c r="B42" s="145" t="s">
        <v>1967</v>
      </c>
      <c r="C42" s="145" t="str">
        <f>CHOOSE(Translations!$C$1+1,P42,Q42,R42)</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D42" s="145" t="str">
        <f>CHOOSE(Translations!$C$1+1,S42,T42,U42)</f>
        <v>Age,Résultat du traitement,Sexe</v>
      </c>
      <c r="E42" s="145" t="s">
        <v>1514</v>
      </c>
      <c r="F42" s="145" t="str">
        <f t="array" ref="F42">IFERROR(INDEX($C$21:$C$58, MATCH(0, COUNTIF($F$20:F41, $C$21:$C$58&amp;"") + IF($C$21:$C$58="",1,0), 0)), "")</f>
        <v>HSS O-6 Pourcentage d’établissements délivrant des services de diagnostic le jour de l’évaluation</v>
      </c>
      <c r="G42" s="145" t="s">
        <v>2983</v>
      </c>
      <c r="H42" s="145" t="str">
        <f t="array" ref="H42">IFERROR(INDEX($B$21:$B$58, MATCH(0, COUNTIF($H$20:H41, $B$21:$B$58&amp;"") + IF($B$21:$B$58="",1,0), 0)), "")</f>
        <v>IOR-00120</v>
      </c>
      <c r="I42" s="145" t="str">
        <f t="array" ref="I42">IFERROR(IF(INDEX($C$21:$C$58,MATCH(LEFT(H42,255),LEFT($B$21:$B$58,255),0))=0,"",INDEX($C$21:$C$58,MATCH(LEFT(H42,255),LEFT($B$21:$B$58,255),0))),"")</f>
        <v>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v>
      </c>
      <c r="J42" s="145" t="str">
        <f t="shared" si="1"/>
        <v>HIV O-21 Pourcentage de personnes vivant avec le VIH et ne recevant pas de TARV à la fin de la période de rapportage parmi les personnes vivant avec le VIH recevant une TARV à la fin de la période précédente de rapportage ou ayant initié la TARV durant la</v>
      </c>
      <c r="K42" s="146" t="s">
        <v>2984</v>
      </c>
      <c r="L42" s="145" t="str">
        <f t="shared" si="2"/>
        <v>IOR-00120</v>
      </c>
      <c r="M42" s="145" t="s">
        <v>268</v>
      </c>
      <c r="N42" s="145" t="s">
        <v>2878</v>
      </c>
      <c r="O42" s="145"/>
      <c r="P42" s="147" t="s">
        <v>1976</v>
      </c>
      <c r="Q42" s="147" t="s">
        <v>1977</v>
      </c>
      <c r="R42" s="147" t="s">
        <v>1978</v>
      </c>
      <c r="S42" s="146" t="s">
        <v>2985</v>
      </c>
      <c r="T42" s="146" t="s">
        <v>2986</v>
      </c>
      <c r="U42" s="146" t="s">
        <v>2987</v>
      </c>
    </row>
    <row r="43" spans="2:21" s="9" customFormat="1" x14ac:dyDescent="0.25">
      <c r="B43" s="145" t="s">
        <v>2988</v>
      </c>
      <c r="C43" s="145" t="str">
        <f>CHOOSE(Translations!$C$1+1,P43,Q43,R43)</f>
        <v>HSS O-5 Pourcentage des établissements de santé disposant de médicaments traceurs pour les trois maladies le jour de la visite ou le jour du rapportage</v>
      </c>
      <c r="D43" s="145">
        <f>CHOOSE(Translations!$C$1+1,S43,T43,U43)</f>
        <v>0</v>
      </c>
      <c r="E43" s="145" t="s">
        <v>1514</v>
      </c>
      <c r="F43" s="145" t="str">
        <f t="array" ref="F43">IFERROR(INDEX($C$21:$C$58, MATCH(0, COUNTIF($F$20:F42, $C$21:$C$58&amp;"") + IF($C$21:$C$58="",1,0), 0)), "")</f>
        <v>HSS O-8 Agents de santé actifs pour 10,000 habitants</v>
      </c>
      <c r="G43" s="145" t="s">
        <v>2989</v>
      </c>
      <c r="H43" s="145" t="str">
        <f t="array" ref="H43">IFERROR(INDEX($B$21:$B$58, MATCH(0, COUNTIF($H$20:H42, $B$21:$B$58&amp;"") + IF($B$21:$B$58="",1,0), 0)), "")</f>
        <v>IOR-00137</v>
      </c>
      <c r="I43" s="145" t="str">
        <f t="array" ref="I43">IFERROR(IF(INDEX($C$21:$C$58,MATCH(LEFT(H43,255),LEFT($B$21:$B$58,255),0))=0,"",INDEX($C$21:$C$58,MATCH(LEFT(H43,255),LEFT($B$21:$B$58,255),0))),"")</f>
        <v>HSS O-5 Pourcentage des établissements de santé disposant de médicaments traceurs pour les trois maladies le jour de la visite ou le jour du rapportage</v>
      </c>
      <c r="J43" s="145" t="str">
        <f t="shared" si="1"/>
        <v>HSS O-5 Pourcentage des établissements de santé disposant de médicaments traceurs pour les trois maladies le jour de la visite ou le jour du rapportage</v>
      </c>
      <c r="K43" s="146" t="s">
        <v>2990</v>
      </c>
      <c r="L43" s="145" t="str">
        <f t="shared" si="2"/>
        <v>IOR-00137</v>
      </c>
      <c r="M43" s="145" t="s">
        <v>268</v>
      </c>
      <c r="N43" s="145" t="s">
        <v>2878</v>
      </c>
      <c r="O43" s="145"/>
      <c r="P43" s="147" t="s">
        <v>2991</v>
      </c>
      <c r="Q43" s="147" t="s">
        <v>2992</v>
      </c>
      <c r="R43" s="147" t="s">
        <v>2993</v>
      </c>
      <c r="S43" s="146"/>
      <c r="T43" s="146"/>
      <c r="U43" s="146"/>
    </row>
    <row r="44" spans="2:21" s="9" customFormat="1" x14ac:dyDescent="0.25">
      <c r="B44" s="145" t="s">
        <v>2988</v>
      </c>
      <c r="C44" s="145" t="str">
        <f>CHOOSE(Translations!$C$1+1,P44,Q44,R44)</f>
        <v>HSS O-5 Pourcentage des établissements de santé disposant de médicaments traceurs pour les trois maladies le jour de la visite ou le jour du rapportage</v>
      </c>
      <c r="D44" s="145">
        <f>CHOOSE(Translations!$C$1+1,S44,T44,U44)</f>
        <v>0</v>
      </c>
      <c r="E44" s="145" t="s">
        <v>274</v>
      </c>
      <c r="F44" s="145" t="str">
        <f t="array" ref="F44">IFERROR(INDEX($C$21:$C$58, MATCH(0, COUNTIF($F$20:F43, $C$21:$C$58&amp;"") + IF($C$21:$C$58="",1,0), 0)), "")</f>
        <v>HSS O-9 Pourcentage de femmes ayant eu une première consultation prénatale avant 12 semaines</v>
      </c>
      <c r="G44" s="145" t="s">
        <v>2989</v>
      </c>
      <c r="H44" s="145" t="str">
        <f t="array" ref="H44">IFERROR(INDEX($B$21:$B$58, MATCH(0, COUNTIF($H$20:H43, $B$21:$B$58&amp;"") + IF($B$21:$B$58="",1,0), 0)), "")</f>
        <v>IOR-00138</v>
      </c>
      <c r="I44" s="145" t="str">
        <f t="array" ref="I44">IFERROR(IF(INDEX($C$21:$C$58,MATCH(LEFT(H44,255),LEFT($B$21:$B$58,255),0))=0,"",INDEX($C$21:$C$58,MATCH(LEFT(H44,255),LEFT($B$21:$B$58,255),0))),"")</f>
        <v>HSS O-6 Pourcentage d’établissements délivrant des services de diagnostic le jour de l’évaluation</v>
      </c>
      <c r="J44" s="145" t="str">
        <f t="shared" si="1"/>
        <v>HSS O-5 Pourcentage des établissements de santé disposant de médicaments traceurs pour les trois maladies le jour de la visite ou le jour du rapportage</v>
      </c>
      <c r="K44" s="146" t="s">
        <v>2994</v>
      </c>
      <c r="L44" s="145" t="str">
        <f t="shared" si="2"/>
        <v>IOR-00137</v>
      </c>
      <c r="M44" s="145" t="s">
        <v>268</v>
      </c>
      <c r="N44" s="145" t="s">
        <v>2878</v>
      </c>
      <c r="O44" s="145"/>
      <c r="P44" s="147" t="s">
        <v>2991</v>
      </c>
      <c r="Q44" s="147" t="s">
        <v>2992</v>
      </c>
      <c r="R44" s="147" t="s">
        <v>2993</v>
      </c>
      <c r="S44" s="146"/>
      <c r="T44" s="146"/>
      <c r="U44" s="146"/>
    </row>
    <row r="45" spans="2:21" s="9" customFormat="1" x14ac:dyDescent="0.25">
      <c r="B45" s="145" t="s">
        <v>2995</v>
      </c>
      <c r="C45" s="145" t="str">
        <f>CHOOSE(Translations!$C$1+1,P45,Q45,R45)</f>
        <v>HSS O-6 Pourcentage d’établissements délivrant des services de diagnostic le jour de l’évaluation</v>
      </c>
      <c r="D45" s="145">
        <f>CHOOSE(Translations!$C$1+1,S45,T45,U45)</f>
        <v>0</v>
      </c>
      <c r="E45" s="145" t="s">
        <v>1514</v>
      </c>
      <c r="F45" s="145" t="str">
        <f t="array" ref="F45">IFERROR(INDEX($C$21:$C$58, MATCH(0, COUNTIF($F$20:F44, $C$21:$C$58&amp;"") + IF($C$21:$C$58="",1,0), 0)), "")</f>
        <v>HSS O-10 Part de la population consacrant d’importantes dépenses du ménage dans la santé par rapport aux dépenses totales ou au revenu total du ménage (dépenses catastrophiques dans la santé)</v>
      </c>
      <c r="G45" s="145" t="s">
        <v>2996</v>
      </c>
      <c r="H45" s="145" t="str">
        <f t="array" ref="H45">IFERROR(INDEX($B$21:$B$58, MATCH(0, COUNTIF($H$20:H44, $B$21:$B$58&amp;"") + IF($B$21:$B$58="",1,0), 0)), "")</f>
        <v>IOR-00139</v>
      </c>
      <c r="I45" s="145" t="str">
        <f t="array" ref="I45">IFERROR(IF(INDEX($C$21:$C$58,MATCH(LEFT(H45,255),LEFT($B$21:$B$58,255),0))=0,"",INDEX($C$21:$C$58,MATCH(LEFT(H45,255),LEFT($B$21:$B$58,255),0))),"")</f>
        <v>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v>
      </c>
      <c r="J45" s="145" t="str">
        <f t="shared" si="1"/>
        <v>HSS O-6 Pourcentage d’établissements délivrant des services de diagnostic le jour de l’évaluation</v>
      </c>
      <c r="K45" s="146" t="s">
        <v>2997</v>
      </c>
      <c r="L45" s="145" t="str">
        <f t="shared" si="2"/>
        <v>IOR-00138</v>
      </c>
      <c r="M45" s="145" t="s">
        <v>268</v>
      </c>
      <c r="N45" s="145" t="s">
        <v>2878</v>
      </c>
      <c r="O45" s="145"/>
      <c r="P45" s="147" t="s">
        <v>2998</v>
      </c>
      <c r="Q45" s="147" t="s">
        <v>2999</v>
      </c>
      <c r="R45" s="147" t="s">
        <v>3000</v>
      </c>
      <c r="S45" s="146"/>
      <c r="T45" s="146"/>
      <c r="U45" s="146"/>
    </row>
    <row r="46" spans="2:21" s="9" customFormat="1" x14ac:dyDescent="0.25">
      <c r="B46" s="145" t="s">
        <v>2995</v>
      </c>
      <c r="C46" s="145" t="str">
        <f>CHOOSE(Translations!$C$1+1,P46,Q46,R46)</f>
        <v>HSS O-6 Pourcentage d’établissements délivrant des services de diagnostic le jour de l’évaluation</v>
      </c>
      <c r="D46" s="145">
        <f>CHOOSE(Translations!$C$1+1,S46,T46,U46)</f>
        <v>0</v>
      </c>
      <c r="E46" s="145" t="s">
        <v>274</v>
      </c>
      <c r="F46" s="145" t="str">
        <f t="array" ref="F46">IFERROR(INDEX($C$21:$C$58, MATCH(0, COUNTIF($F$20:F45, $C$21:$C$58&amp;"") + IF($C$21:$C$58="",1,0), 0)), "")</f>
        <v/>
      </c>
      <c r="G46" s="145" t="s">
        <v>2996</v>
      </c>
      <c r="H46" s="145" t="str">
        <f t="array" ref="H46">IFERROR(INDEX($B$21:$B$58, MATCH(0, COUNTIF($H$20:H45, $B$21:$B$58&amp;"") + IF($B$21:$B$58="",1,0), 0)), "")</f>
        <v>IOR-00140</v>
      </c>
      <c r="I46" s="145" t="str">
        <f t="array" ref="I46">IFERROR(IF(INDEX($C$21:$C$58,MATCH(LEFT(H46,255),LEFT($B$21:$B$58,255),0))=0,"",INDEX($C$21:$C$58,MATCH(LEFT(H46,255),LEFT($B$21:$B$58,255),0))),"")</f>
        <v>HSS O-8 Agents de santé actifs pour 10,000 habitants</v>
      </c>
      <c r="J46" s="145" t="str">
        <f t="shared" si="1"/>
        <v>HSS O-6 Pourcentage d’établissements délivrant des services de diagnostic le jour de l’évaluation</v>
      </c>
      <c r="K46" s="146" t="s">
        <v>3001</v>
      </c>
      <c r="L46" s="145" t="str">
        <f t="shared" si="2"/>
        <v>IOR-00138</v>
      </c>
      <c r="M46" s="145" t="s">
        <v>268</v>
      </c>
      <c r="N46" s="145" t="s">
        <v>2878</v>
      </c>
      <c r="O46" s="145"/>
      <c r="P46" s="147" t="s">
        <v>2998</v>
      </c>
      <c r="Q46" s="147" t="s">
        <v>2999</v>
      </c>
      <c r="R46" s="147" t="s">
        <v>3000</v>
      </c>
      <c r="S46" s="146"/>
      <c r="T46" s="146"/>
      <c r="U46" s="146"/>
    </row>
    <row r="47" spans="2:21" s="9" customFormat="1" x14ac:dyDescent="0.25">
      <c r="B47" s="145" t="s">
        <v>3002</v>
      </c>
      <c r="C47" s="145" t="str">
        <f>CHOOSE(Translations!$C$1+1,P47,Q47,R47)</f>
        <v>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v>
      </c>
      <c r="D47" s="145">
        <f>CHOOSE(Translations!$C$1+1,S47,T47,U47)</f>
        <v>0</v>
      </c>
      <c r="E47" s="145" t="s">
        <v>1514</v>
      </c>
      <c r="F47" s="145" t="str">
        <f t="array" ref="F47">IFERROR(INDEX($C$21:$C$58, MATCH(0, COUNTIF($F$20:F46, $C$21:$C$58&amp;"") + IF($C$21:$C$58="",1,0), 0)), "")</f>
        <v/>
      </c>
      <c r="G47" s="145" t="s">
        <v>3003</v>
      </c>
      <c r="H47" s="145" t="str">
        <f t="array" ref="H47">IFERROR(INDEX($B$21:$B$58, MATCH(0, COUNTIF($H$20:H46, $B$21:$B$58&amp;"") + IF($B$21:$B$58="",1,0), 0)), "")</f>
        <v>IOR-00141</v>
      </c>
      <c r="I47" s="145" t="str">
        <f t="array" ref="I47">IFERROR(IF(INDEX($C$21:$C$58,MATCH(LEFT(H47,255),LEFT($B$21:$B$58,255),0))=0,"",INDEX($C$21:$C$58,MATCH(LEFT(H47,255),LEFT($B$21:$B$58,255),0))),"")</f>
        <v>HSS O-9 Pourcentage de femmes ayant eu une première consultation prénatale avant 12 semaines</v>
      </c>
      <c r="J47" s="145" t="str">
        <f t="shared" si="1"/>
        <v>HSS O-7 Système de gestion de l’information sanitaire entièrement déployé et fonctionnel: Pourcentage de composants du SGIS en place (système d'information sanitaire déployé, complétude, promptitude et rapportage intégré des indicateurs aggrégés du VIH, d</v>
      </c>
      <c r="K47" s="146" t="s">
        <v>3004</v>
      </c>
      <c r="L47" s="145" t="str">
        <f t="shared" si="2"/>
        <v>IOR-00139</v>
      </c>
      <c r="M47" s="145" t="s">
        <v>268</v>
      </c>
      <c r="N47" s="145" t="s">
        <v>2878</v>
      </c>
      <c r="O47" s="145"/>
      <c r="P47" s="147" t="s">
        <v>3005</v>
      </c>
      <c r="Q47" s="147" t="s">
        <v>3006</v>
      </c>
      <c r="R47" s="147" t="s">
        <v>3007</v>
      </c>
      <c r="S47" s="146"/>
      <c r="T47" s="146"/>
      <c r="U47" s="146"/>
    </row>
    <row r="48" spans="2:21" s="9" customFormat="1" x14ac:dyDescent="0.25">
      <c r="B48" s="145" t="s">
        <v>3002</v>
      </c>
      <c r="C48" s="145" t="str">
        <f>CHOOSE(Translations!$C$1+1,P48,Q48,R48)</f>
        <v>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v>
      </c>
      <c r="D48" s="145">
        <f>CHOOSE(Translations!$C$1+1,S48,T48,U48)</f>
        <v>0</v>
      </c>
      <c r="E48" s="145" t="s">
        <v>274</v>
      </c>
      <c r="F48" s="145" t="str">
        <f t="array" ref="F48">IFERROR(INDEX($C$21:$C$58, MATCH(0, COUNTIF($F$20:F47, $C$21:$C$58&amp;"") + IF($C$21:$C$58="",1,0), 0)), "")</f>
        <v/>
      </c>
      <c r="G48" s="145" t="s">
        <v>3003</v>
      </c>
      <c r="H48" s="145" t="str">
        <f t="array" ref="H48">IFERROR(INDEX($B$21:$B$58, MATCH(0, COUNTIF($H$20:H47, $B$21:$B$58&amp;"") + IF($B$21:$B$58="",1,0), 0)), "")</f>
        <v>IOR-00142</v>
      </c>
      <c r="I48" s="145" t="str">
        <f t="array" ref="I48">IFERROR(IF(INDEX($C$21:$C$58,MATCH(LEFT(H48,255),LEFT($B$21:$B$58,255),0))=0,"",INDEX($C$21:$C$58,MATCH(LEFT(H48,255),LEFT($B$21:$B$58,255),0))),"")</f>
        <v>HSS O-10 Part de la population consacrant d’importantes dépenses du ménage dans la santé par rapport aux dépenses totales ou au revenu total du ménage (dépenses catastrophiques dans la santé)</v>
      </c>
      <c r="J48" s="145" t="str">
        <f t="shared" si="1"/>
        <v>HSS O-7 Système de gestion de l’information sanitaire entièrement déployé et fonctionnel: Pourcentage de composants du SGIS en place (système d'information sanitaire déployé, complétude, promptitude et rapportage intégré des indicateurs aggrégés du VIH, d</v>
      </c>
      <c r="K48" s="146" t="s">
        <v>3008</v>
      </c>
      <c r="L48" s="145" t="str">
        <f t="shared" si="2"/>
        <v>IOR-00139</v>
      </c>
      <c r="M48" s="145" t="s">
        <v>268</v>
      </c>
      <c r="N48" s="145" t="s">
        <v>2878</v>
      </c>
      <c r="O48" s="145"/>
      <c r="P48" s="147" t="s">
        <v>3005</v>
      </c>
      <c r="Q48" s="147" t="s">
        <v>3006</v>
      </c>
      <c r="R48" s="147" t="s">
        <v>3007</v>
      </c>
      <c r="S48" s="146"/>
      <c r="T48" s="146"/>
      <c r="U48" s="146"/>
    </row>
    <row r="49" spans="1:21" s="9" customFormat="1" x14ac:dyDescent="0.25">
      <c r="B49" s="145" t="s">
        <v>2054</v>
      </c>
      <c r="C49" s="145" t="str">
        <f>CHOOSE(Translations!$C$1+1,P49,Q49,R49)</f>
        <v>HSS O-8 Agents de santé actifs pour 10,000 habitants</v>
      </c>
      <c r="D49" s="145" t="str">
        <f>CHOOSE(Translations!$C$1+1,S49,T49,U49)</f>
        <v>Groupe d'occupation</v>
      </c>
      <c r="E49" s="145" t="s">
        <v>1514</v>
      </c>
      <c r="F49" s="145" t="str">
        <f t="array" ref="F49">IFERROR(INDEX($C$21:$C$58, MATCH(0, COUNTIF($F$20:F48, $C$21:$C$58&amp;"") + IF($C$21:$C$58="",1,0), 0)), "")</f>
        <v/>
      </c>
      <c r="G49" s="145" t="s">
        <v>3009</v>
      </c>
      <c r="H49" s="145" t="str">
        <f t="array" ref="H49">IFERROR(INDEX($B$21:$B$58, MATCH(0, COUNTIF($H$20:H48, $B$21:$B$58&amp;"") + IF($B$21:$B$58="",1,0), 0)), "")</f>
        <v/>
      </c>
      <c r="I49" s="145" t="str">
        <f t="array" ref="I49">IFERROR(IF(INDEX($C$21:$C$58,MATCH(LEFT(H49,255),LEFT($B$21:$B$58,255),0))=0,"",INDEX($C$21:$C$58,MATCH(LEFT(H49,255),LEFT($B$21:$B$58,255),0))),"")</f>
        <v/>
      </c>
      <c r="J49" s="145" t="str">
        <f t="shared" si="1"/>
        <v>HSS O-8 Agents de santé actifs pour 10,000 habitants</v>
      </c>
      <c r="K49" s="146" t="s">
        <v>3010</v>
      </c>
      <c r="L49" s="145" t="str">
        <f t="shared" si="2"/>
        <v>IOR-00140</v>
      </c>
      <c r="M49" s="145" t="s">
        <v>268</v>
      </c>
      <c r="N49" s="145" t="s">
        <v>2878</v>
      </c>
      <c r="O49" s="145"/>
      <c r="P49" s="147" t="s">
        <v>2063</v>
      </c>
      <c r="Q49" s="147" t="s">
        <v>2064</v>
      </c>
      <c r="R49" s="147" t="s">
        <v>2065</v>
      </c>
      <c r="S49" s="146" t="s">
        <v>2057</v>
      </c>
      <c r="T49" s="146" t="s">
        <v>2058</v>
      </c>
      <c r="U49" s="146" t="s">
        <v>2059</v>
      </c>
    </row>
    <row r="50" spans="1:21" s="9" customFormat="1" x14ac:dyDescent="0.25">
      <c r="B50" s="145" t="s">
        <v>2054</v>
      </c>
      <c r="C50" s="145" t="str">
        <f>CHOOSE(Translations!$C$1+1,P50,Q50,R50)</f>
        <v>HSS O-8 Agents de santé actifs pour 10,000 habitants</v>
      </c>
      <c r="D50" s="145" t="str">
        <f>CHOOSE(Translations!$C$1+1,S50,T50,U50)</f>
        <v>Groupe d'occupation</v>
      </c>
      <c r="E50" s="145" t="s">
        <v>274</v>
      </c>
      <c r="F50" s="145" t="str">
        <f t="array" ref="F50">IFERROR(INDEX($C$21:$C$58, MATCH(0, COUNTIF($F$20:F49, $C$21:$C$58&amp;"") + IF($C$21:$C$58="",1,0), 0)), "")</f>
        <v/>
      </c>
      <c r="G50" s="145" t="s">
        <v>3009</v>
      </c>
      <c r="H50" s="145" t="str">
        <f t="array" ref="H50">IFERROR(INDEX($B$21:$B$58, MATCH(0, COUNTIF($H$20:H49, $B$21:$B$58&amp;"") + IF($B$21:$B$58="",1,0), 0)), "")</f>
        <v/>
      </c>
      <c r="I50" s="145" t="str">
        <f t="array" ref="I50">IFERROR(IF(INDEX($C$21:$C$58,MATCH(LEFT(H50,255),LEFT($B$21:$B$58,255),0))=0,"",INDEX($C$21:$C$58,MATCH(LEFT(H50,255),LEFT($B$21:$B$58,255),0))),"")</f>
        <v/>
      </c>
      <c r="J50" s="145" t="str">
        <f t="shared" si="1"/>
        <v>HSS O-8 Agents de santé actifs pour 10,000 habitants</v>
      </c>
      <c r="K50" s="146" t="s">
        <v>3011</v>
      </c>
      <c r="L50" s="145" t="str">
        <f t="shared" si="2"/>
        <v>IOR-00140</v>
      </c>
      <c r="M50" s="145" t="s">
        <v>268</v>
      </c>
      <c r="N50" s="145" t="s">
        <v>2878</v>
      </c>
      <c r="O50" s="145"/>
      <c r="P50" s="147" t="s">
        <v>2063</v>
      </c>
      <c r="Q50" s="147" t="s">
        <v>2064</v>
      </c>
      <c r="R50" s="147" t="s">
        <v>2065</v>
      </c>
      <c r="S50" s="146" t="s">
        <v>2057</v>
      </c>
      <c r="T50" s="146" t="s">
        <v>2058</v>
      </c>
      <c r="U50" s="146" t="s">
        <v>2059</v>
      </c>
    </row>
    <row r="51" spans="1:21" s="9" customFormat="1" x14ac:dyDescent="0.25">
      <c r="B51" s="145" t="s">
        <v>2086</v>
      </c>
      <c r="C51" s="145" t="str">
        <f>CHOOSE(Translations!$C$1+1,P51,Q51,R51)</f>
        <v>HSS O-9 Pourcentage de femmes ayant eu une première consultation prénatale avant 12 semaines</v>
      </c>
      <c r="D51" s="145" t="str">
        <f>CHOOSE(Translations!$C$1+1,S51,T51,U51)</f>
        <v>Age</v>
      </c>
      <c r="E51" s="145" t="s">
        <v>1514</v>
      </c>
      <c r="F51" s="145" t="str">
        <f t="array" ref="F51">IFERROR(INDEX($C$21:$C$58, MATCH(0, COUNTIF($F$20:F50, $C$21:$C$58&amp;"") + IF($C$21:$C$58="",1,0), 0)), "")</f>
        <v/>
      </c>
      <c r="G51" s="145" t="s">
        <v>3012</v>
      </c>
      <c r="H51" s="145" t="str">
        <f t="array" ref="H51">IFERROR(INDEX($B$21:$B$58, MATCH(0, COUNTIF($H$20:H50, $B$21:$B$58&amp;"") + IF($B$21:$B$58="",1,0), 0)), "")</f>
        <v/>
      </c>
      <c r="I51" s="145" t="str">
        <f t="array" ref="I51">IFERROR(IF(INDEX($C$21:$C$58,MATCH(LEFT(H51,255),LEFT($B$21:$B$58,255),0))=0,"",INDEX($C$21:$C$58,MATCH(LEFT(H51,255),LEFT($B$21:$B$58,255),0))),"")</f>
        <v/>
      </c>
      <c r="J51" s="145" t="str">
        <f t="shared" si="1"/>
        <v>HSS O-9 Pourcentage de femmes ayant eu une première consultation prénatale avant 12 semaines</v>
      </c>
      <c r="K51" s="146" t="s">
        <v>3013</v>
      </c>
      <c r="L51" s="145" t="str">
        <f t="shared" si="2"/>
        <v>IOR-00141</v>
      </c>
      <c r="M51" s="145" t="s">
        <v>268</v>
      </c>
      <c r="N51" s="145" t="s">
        <v>2878</v>
      </c>
      <c r="O51" s="145"/>
      <c r="P51" s="147" t="s">
        <v>2089</v>
      </c>
      <c r="Q51" s="147" t="s">
        <v>2090</v>
      </c>
      <c r="R51" s="147" t="s">
        <v>2091</v>
      </c>
      <c r="S51" s="146" t="s">
        <v>1563</v>
      </c>
      <c r="T51" s="146" t="s">
        <v>1563</v>
      </c>
      <c r="U51" s="146" t="s">
        <v>1564</v>
      </c>
    </row>
    <row r="52" spans="1:21" s="9" customFormat="1" x14ac:dyDescent="0.25">
      <c r="B52" s="145" t="s">
        <v>2086</v>
      </c>
      <c r="C52" s="145" t="str">
        <f>CHOOSE(Translations!$C$1+1,P52,Q52,R52)</f>
        <v>HSS O-9 Pourcentage de femmes ayant eu une première consultation prénatale avant 12 semaines</v>
      </c>
      <c r="D52" s="145" t="str">
        <f>CHOOSE(Translations!$C$1+1,S52,T52,U52)</f>
        <v>Age</v>
      </c>
      <c r="E52" s="145" t="s">
        <v>274</v>
      </c>
      <c r="F52" s="145" t="str">
        <f t="array" ref="F52">IFERROR(INDEX($C$21:$C$58, MATCH(0, COUNTIF($F$20:F51, $C$21:$C$58&amp;"") + IF($C$21:$C$58="",1,0), 0)), "")</f>
        <v/>
      </c>
      <c r="G52" s="145" t="s">
        <v>3012</v>
      </c>
      <c r="H52" s="145" t="str">
        <f t="array" ref="H52">IFERROR(INDEX($B$21:$B$58, MATCH(0, COUNTIF($H$20:H51, $B$21:$B$58&amp;"") + IF($B$21:$B$58="",1,0), 0)), "")</f>
        <v/>
      </c>
      <c r="I52" s="145" t="str">
        <f t="array" ref="I52">IFERROR(IF(INDEX($C$21:$C$58,MATCH(LEFT(H52,255),LEFT($B$21:$B$58,255),0))=0,"",INDEX($C$21:$C$58,MATCH(LEFT(H52,255),LEFT($B$21:$B$58,255),0))),"")</f>
        <v/>
      </c>
      <c r="J52" s="145" t="str">
        <f t="shared" si="1"/>
        <v>HSS O-9 Pourcentage de femmes ayant eu une première consultation prénatale avant 12 semaines</v>
      </c>
      <c r="K52" s="146" t="s">
        <v>3014</v>
      </c>
      <c r="L52" s="145" t="str">
        <f t="shared" si="2"/>
        <v>IOR-00141</v>
      </c>
      <c r="M52" s="145" t="s">
        <v>268</v>
      </c>
      <c r="N52" s="145" t="s">
        <v>2878</v>
      </c>
      <c r="O52" s="145"/>
      <c r="P52" s="147" t="s">
        <v>2089</v>
      </c>
      <c r="Q52" s="147" t="s">
        <v>2090</v>
      </c>
      <c r="R52" s="147" t="s">
        <v>2091</v>
      </c>
      <c r="S52" s="146" t="s">
        <v>1563</v>
      </c>
      <c r="T52" s="146" t="s">
        <v>1563</v>
      </c>
      <c r="U52" s="146" t="s">
        <v>1564</v>
      </c>
    </row>
    <row r="53" spans="1:21" s="9" customFormat="1" x14ac:dyDescent="0.25">
      <c r="B53" s="145" t="s">
        <v>3015</v>
      </c>
      <c r="C53" s="145" t="str">
        <f>CHOOSE(Translations!$C$1+1,P53,Q53,R53)</f>
        <v>HSS O-10 Part de la population consacrant d’importantes dépenses du ménage dans la santé par rapport aux dépenses totales ou au revenu total du ménage (dépenses catastrophiques dans la santé)</v>
      </c>
      <c r="D53" s="145">
        <f>CHOOSE(Translations!$C$1+1,S53,T53,U53)</f>
        <v>0</v>
      </c>
      <c r="E53" s="145" t="s">
        <v>1514</v>
      </c>
      <c r="F53" s="145" t="str">
        <f t="array" ref="F53">IFERROR(INDEX($C$21:$C$58, MATCH(0, COUNTIF($F$20:F52, $C$21:$C$58&amp;"") + IF($C$21:$C$58="",1,0), 0)), "")</f>
        <v/>
      </c>
      <c r="G53" s="145" t="s">
        <v>3016</v>
      </c>
      <c r="H53" s="145" t="str">
        <f t="array" ref="H53">IFERROR(INDEX($B$21:$B$58, MATCH(0, COUNTIF($H$20:H52, $B$21:$B$58&amp;"") + IF($B$21:$B$58="",1,0), 0)), "")</f>
        <v/>
      </c>
      <c r="I53" s="145" t="str">
        <f t="array" ref="I53">IFERROR(IF(INDEX($C$21:$C$58,MATCH(LEFT(H53,255),LEFT($B$21:$B$58,255),0))=0,"",INDEX($C$21:$C$58,MATCH(LEFT(H53,255),LEFT($B$21:$B$58,255),0))),"")</f>
        <v/>
      </c>
      <c r="J53" s="145" t="str">
        <f t="shared" si="1"/>
        <v>HSS O-10 Part de la population consacrant d’importantes dépenses du ménage dans la santé par rapport aux dépenses totales ou au revenu total du ménage (dépenses catastrophiques dans la santé)</v>
      </c>
      <c r="K53" s="146" t="s">
        <v>3017</v>
      </c>
      <c r="L53" s="145" t="str">
        <f t="shared" si="2"/>
        <v>IOR-00142</v>
      </c>
      <c r="M53" s="145" t="s">
        <v>268</v>
      </c>
      <c r="N53" s="145" t="s">
        <v>2878</v>
      </c>
      <c r="O53" s="145"/>
      <c r="P53" s="147" t="s">
        <v>3018</v>
      </c>
      <c r="Q53" s="147" t="s">
        <v>3019</v>
      </c>
      <c r="R53" s="147" t="s">
        <v>3020</v>
      </c>
      <c r="S53" s="146"/>
      <c r="T53" s="146"/>
      <c r="U53" s="146"/>
    </row>
    <row r="54" spans="1:21" s="9" customFormat="1" x14ac:dyDescent="0.25">
      <c r="B54" s="145" t="s">
        <v>3015</v>
      </c>
      <c r="C54" s="145" t="str">
        <f>CHOOSE(Translations!$C$1+1,P54,Q54,R54)</f>
        <v>HSS O-10 Part de la population consacrant d’importantes dépenses du ménage dans la santé par rapport aux dépenses totales ou au revenu total du ménage (dépenses catastrophiques dans la santé)</v>
      </c>
      <c r="D54" s="145">
        <f>CHOOSE(Translations!$C$1+1,S54,T54,U54)</f>
        <v>0</v>
      </c>
      <c r="E54" s="145" t="s">
        <v>274</v>
      </c>
      <c r="F54" s="145" t="str">
        <f t="array" ref="F54">IFERROR(INDEX($C$21:$C$58, MATCH(0, COUNTIF($F$20:F53, $C$21:$C$58&amp;"") + IF($C$21:$C$58="",1,0), 0)), "")</f>
        <v/>
      </c>
      <c r="G54" s="145" t="s">
        <v>3016</v>
      </c>
      <c r="H54" s="145" t="str">
        <f t="array" ref="H54">IFERROR(INDEX($B$21:$B$58, MATCH(0, COUNTIF($H$20:H53, $B$21:$B$58&amp;"") + IF($B$21:$B$58="",1,0), 0)), "")</f>
        <v/>
      </c>
      <c r="I54" s="145" t="str">
        <f t="array" ref="I54">IFERROR(IF(INDEX($C$21:$C$58,MATCH(LEFT(H54,255),LEFT($B$21:$B$58,255),0))=0,"",INDEX($C$21:$C$58,MATCH(LEFT(H54,255),LEFT($B$21:$B$58,255),0))),"")</f>
        <v/>
      </c>
      <c r="J54" s="145" t="str">
        <f t="shared" si="1"/>
        <v>HSS O-10 Part de la population consacrant d’importantes dépenses du ménage dans la santé par rapport aux dépenses totales ou au revenu total du ménage (dépenses catastrophiques dans la santé)</v>
      </c>
      <c r="K54" s="146" t="s">
        <v>3021</v>
      </c>
      <c r="L54" s="145" t="str">
        <f t="shared" si="2"/>
        <v>IOR-00142</v>
      </c>
      <c r="M54" s="145" t="s">
        <v>268</v>
      </c>
      <c r="N54" s="145" t="s">
        <v>2878</v>
      </c>
      <c r="O54" s="145"/>
      <c r="P54" s="147" t="s">
        <v>3018</v>
      </c>
      <c r="Q54" s="147" t="s">
        <v>3019</v>
      </c>
      <c r="R54" s="147" t="s">
        <v>3020</v>
      </c>
      <c r="S54" s="146"/>
      <c r="T54" s="146"/>
      <c r="U54" s="146"/>
    </row>
    <row r="55" spans="1:21" s="9" customFormat="1" x14ac:dyDescent="0.25">
      <c r="B55" s="145"/>
      <c r="C55" s="147"/>
      <c r="D55" s="146"/>
      <c r="E55" s="145"/>
      <c r="F55" s="145"/>
      <c r="G55" s="145"/>
      <c r="H55" s="145"/>
      <c r="I55" s="145"/>
      <c r="J55" s="145"/>
      <c r="K55" s="146"/>
    </row>
    <row r="56" spans="1:21" s="9" customFormat="1" x14ac:dyDescent="0.25">
      <c r="B56" s="145"/>
      <c r="C56" s="147"/>
      <c r="D56" s="146"/>
      <c r="E56" s="145"/>
      <c r="F56" s="145"/>
      <c r="G56" s="145"/>
      <c r="H56" s="145"/>
      <c r="I56" s="145"/>
      <c r="J56" s="145"/>
      <c r="K56" s="146"/>
    </row>
    <row r="57" spans="1:21" s="9" customFormat="1" x14ac:dyDescent="0.25">
      <c r="B57" s="145"/>
      <c r="C57" s="147"/>
      <c r="D57" s="146"/>
      <c r="E57" s="145"/>
      <c r="F57" s="145"/>
      <c r="G57" s="145"/>
      <c r="H57" s="145"/>
      <c r="I57" s="145"/>
      <c r="J57" s="145"/>
      <c r="K57" s="146"/>
    </row>
    <row r="59" spans="1:21" x14ac:dyDescent="0.25">
      <c r="B59" s="2" t="s">
        <v>124</v>
      </c>
    </row>
    <row r="60" spans="1:21" x14ac:dyDescent="0.25">
      <c r="A60" s="468" t="s">
        <v>1</v>
      </c>
      <c r="B60" s="469" t="s">
        <v>107</v>
      </c>
      <c r="C60" s="469" t="s">
        <v>453</v>
      </c>
      <c r="D60" s="469" t="s">
        <v>460</v>
      </c>
      <c r="E60" s="469" t="s">
        <v>103</v>
      </c>
      <c r="F60" s="469" t="s">
        <v>104</v>
      </c>
      <c r="G60" s="469" t="s">
        <v>48</v>
      </c>
      <c r="H60" s="469" t="s">
        <v>105</v>
      </c>
      <c r="I60" s="469" t="s">
        <v>285</v>
      </c>
      <c r="J60" s="469" t="s">
        <v>336</v>
      </c>
      <c r="K60" s="469" t="s">
        <v>356</v>
      </c>
      <c r="L60" s="469" t="s">
        <v>43</v>
      </c>
      <c r="M60" s="469" t="s">
        <v>451</v>
      </c>
      <c r="N60" s="469" t="s">
        <v>449</v>
      </c>
      <c r="O60" s="469" t="s">
        <v>45</v>
      </c>
      <c r="P60" s="469" t="s">
        <v>457</v>
      </c>
      <c r="Q60" s="469" t="s">
        <v>459</v>
      </c>
    </row>
    <row r="61" spans="1:21" hidden="1" x14ac:dyDescent="0.25">
      <c r="A61" s="469" t="s">
        <v>102</v>
      </c>
      <c r="B61" s="470" t="s">
        <v>79</v>
      </c>
      <c r="C61" s="471" t="str">
        <f>CHOOSE(Translations!$C$1+1,L61,M61,N61)</f>
        <v>--Select--</v>
      </c>
      <c r="D61" s="471" t="str">
        <f>CHOOSE(Translations!$C$1+1,O61,P61,Q61)</f>
        <v>[Disaggregation Categories FR]</v>
      </c>
      <c r="E61" s="469" t="str">
        <f>LEFT(C61,255)</f>
        <v>--Select--</v>
      </c>
      <c r="F61" s="470" t="str">
        <f t="shared" ref="F61:F119" si="3">B61</f>
        <v>[Name ID]</v>
      </c>
      <c r="G61" s="469" t="s">
        <v>47</v>
      </c>
      <c r="H61" s="470"/>
      <c r="I61" s="470" t="s">
        <v>284</v>
      </c>
      <c r="J61" s="470" t="s">
        <v>335</v>
      </c>
      <c r="K61" s="470" t="s">
        <v>355</v>
      </c>
      <c r="L61" s="472" t="s">
        <v>52</v>
      </c>
      <c r="M61" s="472" t="s">
        <v>52</v>
      </c>
      <c r="N61" s="472" t="s">
        <v>52</v>
      </c>
      <c r="O61" s="470" t="s">
        <v>44</v>
      </c>
      <c r="P61" s="470" t="s">
        <v>456</v>
      </c>
      <c r="Q61" s="470" t="s">
        <v>458</v>
      </c>
    </row>
    <row r="62" spans="1:21" s="9" customFormat="1" x14ac:dyDescent="0.25">
      <c r="A62" s="469" t="s">
        <v>3046</v>
      </c>
      <c r="B62" s="470" t="s">
        <v>2095</v>
      </c>
      <c r="C62" s="471" t="str">
        <f>CHOOSE(Translations!$C$1+1,L62,M62,N62)</f>
        <v>KP-1a⁽ᴹ⁾ Pourcentage de HSH ayant bénéficié de programmes préventifs de lutte contre le VIH (paquet de services définis)</v>
      </c>
      <c r="D62" s="471" t="str">
        <f>CHOOSE(Translations!$C$1+1,O62,P62,Q62)</f>
        <v>Age</v>
      </c>
      <c r="E62" s="469" t="str">
        <f t="shared" ref="E62:E119" si="4">LEFT(C62,255)</f>
        <v>KP-1a⁽ᴹ⁾ Pourcentage de HSH ayant bénéficié de programmes préventifs de lutte contre le VIH (paquet de services définis)</v>
      </c>
      <c r="F62" s="470" t="str">
        <f t="shared" si="3"/>
        <v>MCI-01045</v>
      </c>
      <c r="G62" s="469" t="s">
        <v>3154</v>
      </c>
      <c r="H62" s="470"/>
      <c r="I62" s="470" t="s">
        <v>2878</v>
      </c>
      <c r="J62" s="470" t="s">
        <v>3155</v>
      </c>
      <c r="K62" s="470" t="s">
        <v>3156</v>
      </c>
      <c r="L62" s="472" t="s">
        <v>2098</v>
      </c>
      <c r="M62" s="472" t="s">
        <v>2099</v>
      </c>
      <c r="N62" s="472" t="s">
        <v>2100</v>
      </c>
      <c r="O62" s="470" t="s">
        <v>1563</v>
      </c>
      <c r="P62" s="470" t="s">
        <v>1563</v>
      </c>
      <c r="Q62" s="470" t="s">
        <v>1564</v>
      </c>
    </row>
    <row r="63" spans="1:21" s="9" customFormat="1" x14ac:dyDescent="0.25">
      <c r="A63" s="469" t="s">
        <v>3046</v>
      </c>
      <c r="B63" s="470" t="s">
        <v>2103</v>
      </c>
      <c r="C63" s="471" t="str">
        <f>CHOOSE(Translations!$C$1+1,L63,M63,N63)</f>
        <v>KP-1b⁽ᴹ⁾ Pourcentage de personnes transgenres ayant bénéficié de programmes préventifs de lutte contre le VIH (paquet de services définis)</v>
      </c>
      <c r="D63" s="471" t="str">
        <f>CHOOSE(Translations!$C$1+1,O63,P63,Q63)</f>
        <v>Age</v>
      </c>
      <c r="E63" s="469" t="str">
        <f t="shared" si="4"/>
        <v>KP-1b⁽ᴹ⁾ Pourcentage de personnes transgenres ayant bénéficié de programmes préventifs de lutte contre le VIH (paquet de services définis)</v>
      </c>
      <c r="F63" s="470" t="str">
        <f t="shared" si="3"/>
        <v>MCI-01046</v>
      </c>
      <c r="G63" s="469" t="s">
        <v>3157</v>
      </c>
      <c r="H63" s="470"/>
      <c r="I63" s="470" t="s">
        <v>2878</v>
      </c>
      <c r="J63" s="470" t="s">
        <v>3155</v>
      </c>
      <c r="K63" s="470" t="s">
        <v>3156</v>
      </c>
      <c r="L63" s="472" t="s">
        <v>2106</v>
      </c>
      <c r="M63" s="472" t="s">
        <v>2107</v>
      </c>
      <c r="N63" s="472" t="s">
        <v>2108</v>
      </c>
      <c r="O63" s="470" t="s">
        <v>1563</v>
      </c>
      <c r="P63" s="470" t="s">
        <v>1563</v>
      </c>
      <c r="Q63" s="470" t="s">
        <v>1564</v>
      </c>
    </row>
    <row r="64" spans="1:21" s="9" customFormat="1" x14ac:dyDescent="0.25">
      <c r="A64" s="469" t="s">
        <v>3046</v>
      </c>
      <c r="B64" s="470" t="s">
        <v>2111</v>
      </c>
      <c r="C64" s="471" t="str">
        <f>CHOOSE(Translations!$C$1+1,L64,M64,N64)</f>
        <v>KP-1c⁽ᴹ⁾ Pourcentage de professionnels du sexe ayant bénéficié de programmes préventifs de lutte contre le VIH (paquet de services définis)</v>
      </c>
      <c r="D64" s="471" t="str">
        <f>CHOOSE(Translations!$C$1+1,O64,P64,Q64)</f>
        <v>Sexe,Age</v>
      </c>
      <c r="E64" s="469" t="str">
        <f t="shared" si="4"/>
        <v>KP-1c⁽ᴹ⁾ Pourcentage de professionnels du sexe ayant bénéficié de programmes préventifs de lutte contre le VIH (paquet de services définis)</v>
      </c>
      <c r="F64" s="470" t="str">
        <f t="shared" si="3"/>
        <v>MCI-01047</v>
      </c>
      <c r="G64" s="469" t="s">
        <v>3158</v>
      </c>
      <c r="H64" s="470"/>
      <c r="I64" s="470" t="s">
        <v>2878</v>
      </c>
      <c r="J64" s="470" t="s">
        <v>3155</v>
      </c>
      <c r="K64" s="470" t="s">
        <v>3156</v>
      </c>
      <c r="L64" s="472" t="s">
        <v>2114</v>
      </c>
      <c r="M64" s="472" t="s">
        <v>2115</v>
      </c>
      <c r="N64" s="472" t="s">
        <v>2116</v>
      </c>
      <c r="O64" s="470" t="s">
        <v>2901</v>
      </c>
      <c r="P64" s="470" t="s">
        <v>2880</v>
      </c>
      <c r="Q64" s="470" t="s">
        <v>2881</v>
      </c>
    </row>
    <row r="65" spans="1:17" s="9" customFormat="1" x14ac:dyDescent="0.25">
      <c r="A65" s="469" t="s">
        <v>3046</v>
      </c>
      <c r="B65" s="470" t="s">
        <v>2125</v>
      </c>
      <c r="C65" s="471" t="str">
        <f>CHOOSE(Translations!$C$1+1,L65,M65,N65)</f>
        <v>KP-1d⁽ᴹ⁾ Pourcentage de personnes qui s'injectent des drogues ayant bénéficié de programmes préventifs de lutte contre le VIH (paquet de services définis)</v>
      </c>
      <c r="D65" s="471" t="str">
        <f>CHOOSE(Translations!$C$1+1,O65,P65,Q65)</f>
        <v>Age,Sexe</v>
      </c>
      <c r="E65" s="469" t="str">
        <f t="shared" si="4"/>
        <v>KP-1d⁽ᴹ⁾ Pourcentage de personnes qui s'injectent des drogues ayant bénéficié de programmes préventifs de lutte contre le VIH (paquet de services définis)</v>
      </c>
      <c r="F65" s="470" t="str">
        <f t="shared" si="3"/>
        <v>MCI-01048</v>
      </c>
      <c r="G65" s="469" t="s">
        <v>3159</v>
      </c>
      <c r="H65" s="470"/>
      <c r="I65" s="470" t="s">
        <v>2878</v>
      </c>
      <c r="J65" s="470" t="s">
        <v>3155</v>
      </c>
      <c r="K65" s="470" t="s">
        <v>3156</v>
      </c>
      <c r="L65" s="472" t="s">
        <v>2128</v>
      </c>
      <c r="M65" s="472" t="s">
        <v>2129</v>
      </c>
      <c r="N65" s="472" t="s">
        <v>2130</v>
      </c>
      <c r="O65" s="470" t="s">
        <v>3160</v>
      </c>
      <c r="P65" s="470" t="s">
        <v>2887</v>
      </c>
      <c r="Q65" s="470" t="s">
        <v>2888</v>
      </c>
    </row>
    <row r="66" spans="1:17" s="9" customFormat="1" x14ac:dyDescent="0.25">
      <c r="A66" s="469" t="s">
        <v>3046</v>
      </c>
      <c r="B66" s="470" t="s">
        <v>3161</v>
      </c>
      <c r="C66" s="471" t="str">
        <f>CHOOSE(Translations!$C$1+1,L66,M66,N66)</f>
        <v>KP-1e Pourcentage de personnes ayant bénéficié de programmes préventifs de lutte contre le VIH parmi les autres populations vulnérables (paquet de services définis)</v>
      </c>
      <c r="D66" s="471">
        <f>CHOOSE(Translations!$C$1+1,O66,P66,Q66)</f>
        <v>0</v>
      </c>
      <c r="E66" s="469" t="str">
        <f t="shared" si="4"/>
        <v>KP-1e Pourcentage de personnes ayant bénéficié de programmes préventifs de lutte contre le VIH parmi les autres populations vulnérables (paquet de services définis)</v>
      </c>
      <c r="F66" s="470" t="str">
        <f t="shared" si="3"/>
        <v>MCI-01049</v>
      </c>
      <c r="G66" s="469" t="s">
        <v>3162</v>
      </c>
      <c r="H66" s="470"/>
      <c r="I66" s="470" t="s">
        <v>2878</v>
      </c>
      <c r="J66" s="470" t="s">
        <v>3155</v>
      </c>
      <c r="K66" s="470" t="s">
        <v>3156</v>
      </c>
      <c r="L66" s="472" t="s">
        <v>3163</v>
      </c>
      <c r="M66" s="472" t="s">
        <v>3164</v>
      </c>
      <c r="N66" s="472" t="s">
        <v>3165</v>
      </c>
      <c r="O66" s="470"/>
      <c r="P66" s="470"/>
      <c r="Q66" s="470"/>
    </row>
    <row r="67" spans="1:17" s="9" customFormat="1" x14ac:dyDescent="0.25">
      <c r="A67" s="469" t="s">
        <v>3046</v>
      </c>
      <c r="B67" s="470" t="s">
        <v>3166</v>
      </c>
      <c r="C67" s="471" t="str">
        <f>CHOOSE(Translations!$C$1+1,L67,M67,N67)</f>
        <v>KP-1f⁽ᴹ⁾ Pourcentage de personnes en détention ou se trouvant dans d’autres lieux fermés ayant bénéficié de programmes préventifs de lutte contre le VIH (paquet de services définis)</v>
      </c>
      <c r="D67" s="471">
        <f>CHOOSE(Translations!$C$1+1,O67,P67,Q67)</f>
        <v>0</v>
      </c>
      <c r="E67" s="469" t="str">
        <f t="shared" si="4"/>
        <v>KP-1f⁽ᴹ⁾ Pourcentage de personnes en détention ou se trouvant dans d’autres lieux fermés ayant bénéficié de programmes préventifs de lutte contre le VIH (paquet de services définis)</v>
      </c>
      <c r="F67" s="470" t="str">
        <f t="shared" si="3"/>
        <v>MCI-01050</v>
      </c>
      <c r="G67" s="469" t="s">
        <v>3167</v>
      </c>
      <c r="H67" s="470"/>
      <c r="I67" s="470" t="s">
        <v>2878</v>
      </c>
      <c r="J67" s="470" t="s">
        <v>3155</v>
      </c>
      <c r="K67" s="470" t="s">
        <v>3156</v>
      </c>
      <c r="L67" s="472" t="s">
        <v>3168</v>
      </c>
      <c r="M67" s="472" t="s">
        <v>3169</v>
      </c>
      <c r="N67" s="472" t="s">
        <v>3170</v>
      </c>
      <c r="O67" s="470"/>
      <c r="P67" s="470"/>
      <c r="Q67" s="470"/>
    </row>
    <row r="68" spans="1:17" s="9" customFormat="1" x14ac:dyDescent="0.25">
      <c r="A68" s="469" t="s">
        <v>3046</v>
      </c>
      <c r="B68" s="470" t="s">
        <v>3171</v>
      </c>
      <c r="C68" s="471" t="str">
        <f>CHOOSE(Translations!$C$1+1,L68,M68,N68)</f>
        <v>KP-4 Nombre d’aiguilles et de seringues distribuées par les personnes qui s'injectent des drogues, par an et lors de programmes d’échange d’aiguilles et de seringues</v>
      </c>
      <c r="D68" s="471">
        <f>CHOOSE(Translations!$C$1+1,O68,P68,Q68)</f>
        <v>0</v>
      </c>
      <c r="E68" s="469" t="str">
        <f t="shared" si="4"/>
        <v>KP-4 Nombre d’aiguilles et de seringues distribuées par les personnes qui s'injectent des drogues, par an et lors de programmes d’échange d’aiguilles et de seringues</v>
      </c>
      <c r="F68" s="470" t="str">
        <f t="shared" si="3"/>
        <v>MCI-01051</v>
      </c>
      <c r="G68" s="469" t="s">
        <v>3172</v>
      </c>
      <c r="H68" s="470"/>
      <c r="I68" s="470" t="s">
        <v>2878</v>
      </c>
      <c r="J68" s="470" t="s">
        <v>3155</v>
      </c>
      <c r="K68" s="470" t="s">
        <v>889</v>
      </c>
      <c r="L68" s="472" t="s">
        <v>3173</v>
      </c>
      <c r="M68" s="472" t="s">
        <v>3174</v>
      </c>
      <c r="N68" s="472" t="s">
        <v>3175</v>
      </c>
      <c r="O68" s="470"/>
      <c r="P68" s="470"/>
      <c r="Q68" s="470"/>
    </row>
    <row r="69" spans="1:17" s="9" customFormat="1" x14ac:dyDescent="0.25">
      <c r="A69" s="469" t="s">
        <v>3046</v>
      </c>
      <c r="B69" s="470" t="s">
        <v>3176</v>
      </c>
      <c r="C69" s="471" t="str">
        <f>CHOOSE(Translations!$C$1+1,L69,M69,N69)</f>
        <v>KP-5 Pourcentage d’individus recevant un traitement de substitution aux opioïdes depuis au moins 6 mois</v>
      </c>
      <c r="D69" s="471">
        <f>CHOOSE(Translations!$C$1+1,O69,P69,Q69)</f>
        <v>0</v>
      </c>
      <c r="E69" s="469" t="str">
        <f t="shared" si="4"/>
        <v>KP-5 Pourcentage d’individus recevant un traitement de substitution aux opioïdes depuis au moins 6 mois</v>
      </c>
      <c r="F69" s="470" t="str">
        <f t="shared" si="3"/>
        <v>MCI-01052</v>
      </c>
      <c r="G69" s="469" t="s">
        <v>3177</v>
      </c>
      <c r="H69" s="470"/>
      <c r="I69" s="470" t="s">
        <v>2878</v>
      </c>
      <c r="J69" s="470" t="s">
        <v>3155</v>
      </c>
      <c r="K69" s="470" t="s">
        <v>888</v>
      </c>
      <c r="L69" s="472" t="s">
        <v>3178</v>
      </c>
      <c r="M69" s="472" t="s">
        <v>3179</v>
      </c>
      <c r="N69" s="472" t="s">
        <v>3180</v>
      </c>
      <c r="O69" s="470"/>
      <c r="P69" s="470"/>
      <c r="Q69" s="470"/>
    </row>
    <row r="70" spans="1:17" s="9" customFormat="1" x14ac:dyDescent="0.25">
      <c r="A70" s="469" t="s">
        <v>3046</v>
      </c>
      <c r="B70" s="470" t="s">
        <v>3181</v>
      </c>
      <c r="C70" s="471" t="str">
        <f>CHOOSE(Translations!$C$1+1,L70,M70,N70)</f>
        <v>KP-6a Pourcentage d’hommes éligibles ayant des rapports sexuels avec des hommes ayant commencé un traitement antirétroviral oral par PrEP durant la période de rapportage</v>
      </c>
      <c r="D70" s="471">
        <f>CHOOSE(Translations!$C$1+1,O70,P70,Q70)</f>
        <v>0</v>
      </c>
      <c r="E70" s="469" t="str">
        <f t="shared" si="4"/>
        <v>KP-6a Pourcentage d’hommes éligibles ayant des rapports sexuels avec des hommes ayant commencé un traitement antirétroviral oral par PrEP durant la période de rapportage</v>
      </c>
      <c r="F70" s="470" t="str">
        <f t="shared" si="3"/>
        <v>MCI-01053</v>
      </c>
      <c r="G70" s="469" t="s">
        <v>3182</v>
      </c>
      <c r="H70" s="470"/>
      <c r="I70" s="470" t="s">
        <v>2878</v>
      </c>
      <c r="J70" s="470" t="s">
        <v>3155</v>
      </c>
      <c r="K70" s="470" t="s">
        <v>888</v>
      </c>
      <c r="L70" s="472" t="s">
        <v>3183</v>
      </c>
      <c r="M70" s="472" t="s">
        <v>3184</v>
      </c>
      <c r="N70" s="472" t="s">
        <v>3185</v>
      </c>
      <c r="O70" s="470"/>
      <c r="P70" s="470"/>
      <c r="Q70" s="470"/>
    </row>
    <row r="71" spans="1:17" s="9" customFormat="1" x14ac:dyDescent="0.25">
      <c r="A71" s="469" t="s">
        <v>3046</v>
      </c>
      <c r="B71" s="470" t="s">
        <v>3186</v>
      </c>
      <c r="C71" s="471" t="str">
        <f>CHOOSE(Translations!$C$1+1,L71,M71,N71)</f>
        <v>KP-6b Pourcentage de personnes transgenres éligibles ayant commencé un traitement antirétroviral oral par PrEP durant la période de rapportage</v>
      </c>
      <c r="D71" s="471">
        <f>CHOOSE(Translations!$C$1+1,O71,P71,Q71)</f>
        <v>0</v>
      </c>
      <c r="E71" s="469" t="str">
        <f t="shared" si="4"/>
        <v>KP-6b Pourcentage de personnes transgenres éligibles ayant commencé un traitement antirétroviral oral par PrEP durant la période de rapportage</v>
      </c>
      <c r="F71" s="470" t="str">
        <f t="shared" si="3"/>
        <v>MCI-01054</v>
      </c>
      <c r="G71" s="469" t="s">
        <v>3187</v>
      </c>
      <c r="H71" s="470"/>
      <c r="I71" s="470" t="s">
        <v>2878</v>
      </c>
      <c r="J71" s="470" t="s">
        <v>3155</v>
      </c>
      <c r="K71" s="470" t="s">
        <v>888</v>
      </c>
      <c r="L71" s="472" t="s">
        <v>3188</v>
      </c>
      <c r="M71" s="472" t="s">
        <v>3189</v>
      </c>
      <c r="N71" s="472" t="s">
        <v>3190</v>
      </c>
      <c r="O71" s="470"/>
      <c r="P71" s="470"/>
      <c r="Q71" s="470"/>
    </row>
    <row r="72" spans="1:17" s="9" customFormat="1" x14ac:dyDescent="0.25">
      <c r="A72" s="469" t="s">
        <v>3046</v>
      </c>
      <c r="B72" s="470" t="s">
        <v>3191</v>
      </c>
      <c r="C72" s="471" t="str">
        <f>CHOOSE(Translations!$C$1+1,L72,M72,N72)</f>
        <v>KP-6c Pourcentage de professionnels du sexe éligibles ayant commencé un traitement antirétroviral oral par PrEP durant la période de rapportage</v>
      </c>
      <c r="D72" s="471">
        <f>CHOOSE(Translations!$C$1+1,O72,P72,Q72)</f>
        <v>0</v>
      </c>
      <c r="E72" s="469" t="str">
        <f t="shared" si="4"/>
        <v>KP-6c Pourcentage de professionnels du sexe éligibles ayant commencé un traitement antirétroviral oral par PrEP durant la période de rapportage</v>
      </c>
      <c r="F72" s="470" t="str">
        <f t="shared" si="3"/>
        <v>MCI-01055</v>
      </c>
      <c r="G72" s="469" t="s">
        <v>3192</v>
      </c>
      <c r="H72" s="470"/>
      <c r="I72" s="470" t="s">
        <v>2878</v>
      </c>
      <c r="J72" s="470" t="s">
        <v>3155</v>
      </c>
      <c r="K72" s="470" t="s">
        <v>888</v>
      </c>
      <c r="L72" s="472" t="s">
        <v>3193</v>
      </c>
      <c r="M72" s="472" t="s">
        <v>3194</v>
      </c>
      <c r="N72" s="472" t="s">
        <v>3195</v>
      </c>
      <c r="O72" s="470"/>
      <c r="P72" s="470"/>
      <c r="Q72" s="470"/>
    </row>
    <row r="73" spans="1:17" s="9" customFormat="1" x14ac:dyDescent="0.25">
      <c r="A73" s="469" t="s">
        <v>3046</v>
      </c>
      <c r="B73" s="470" t="s">
        <v>3196</v>
      </c>
      <c r="C73" s="471" t="str">
        <f>CHOOSE(Translations!$C$1+1,L73,M73,N73)</f>
        <v>MEN-1 Nombre de circoncisions masculines médicales pratiquées selon les normes nationales</v>
      </c>
      <c r="D73" s="471">
        <f>CHOOSE(Translations!$C$1+1,O73,P73,Q73)</f>
        <v>0</v>
      </c>
      <c r="E73" s="469" t="str">
        <f t="shared" si="4"/>
        <v>MEN-1 Nombre de circoncisions masculines médicales pratiquées selon les normes nationales</v>
      </c>
      <c r="F73" s="470" t="str">
        <f t="shared" si="3"/>
        <v>MCI-01044</v>
      </c>
      <c r="G73" s="469" t="s">
        <v>3197</v>
      </c>
      <c r="H73" s="470"/>
      <c r="I73" s="470" t="s">
        <v>2878</v>
      </c>
      <c r="J73" s="470" t="s">
        <v>3155</v>
      </c>
      <c r="K73" s="470" t="s">
        <v>888</v>
      </c>
      <c r="L73" s="472" t="s">
        <v>3198</v>
      </c>
      <c r="M73" s="472" t="s">
        <v>3199</v>
      </c>
      <c r="N73" s="472" t="s">
        <v>3200</v>
      </c>
      <c r="O73" s="470"/>
      <c r="P73" s="470"/>
      <c r="Q73" s="470"/>
    </row>
    <row r="74" spans="1:17" s="9" customFormat="1" x14ac:dyDescent="0.25">
      <c r="A74" s="469" t="s">
        <v>3046</v>
      </c>
      <c r="B74" s="470" t="s">
        <v>2139</v>
      </c>
      <c r="C74" s="471" t="str">
        <f>CHOOSE(Translations!$C$1+1,L74,M74,N74)</f>
        <v>YP-1a Pourcentage d’élèves âgés de 10 à 24 ans fréquentant un établissement scolaire bénéficiant d’une éducation sexuelle complète ou de l’enseignement de compétences psychosociales (concernant les questions liées au VIH)</v>
      </c>
      <c r="D74" s="471" t="str">
        <f>CHOOSE(Translations!$C$1+1,O74,P74,Q74)</f>
        <v>Sexe</v>
      </c>
      <c r="E74" s="469" t="str">
        <f t="shared" si="4"/>
        <v>YP-1a Pourcentage d’élèves âgés de 10 à 24 ans fréquentant un établissement scolaire bénéficiant d’une éducation sexuelle complète ou de l’enseignement de compétences psychosociales (concernant les questions liées au VIH)</v>
      </c>
      <c r="F74" s="470" t="str">
        <f t="shared" si="3"/>
        <v>MCI-01056</v>
      </c>
      <c r="G74" s="469" t="s">
        <v>3201</v>
      </c>
      <c r="H74" s="470"/>
      <c r="I74" s="470" t="s">
        <v>2878</v>
      </c>
      <c r="J74" s="470" t="s">
        <v>3155</v>
      </c>
      <c r="K74" s="470" t="s">
        <v>889</v>
      </c>
      <c r="L74" s="472" t="s">
        <v>2142</v>
      </c>
      <c r="M74" s="472" t="s">
        <v>2143</v>
      </c>
      <c r="N74" s="472" t="s">
        <v>2144</v>
      </c>
      <c r="O74" s="470" t="s">
        <v>1550</v>
      </c>
      <c r="P74" s="470" t="s">
        <v>1551</v>
      </c>
      <c r="Q74" s="470" t="s">
        <v>1552</v>
      </c>
    </row>
    <row r="75" spans="1:17" s="9" customFormat="1" x14ac:dyDescent="0.25">
      <c r="A75" s="469" t="s">
        <v>3046</v>
      </c>
      <c r="B75" s="470" t="s">
        <v>2147</v>
      </c>
      <c r="C75" s="471" t="str">
        <f>CHOOSE(Translations!$C$1+1,L75,M75,N75)</f>
        <v>YP-1b Pourcentage de jeunes âgés de 10 à 24 ans bénéficiant d’une éducation sexuelle complète ou de l’enseignement de compétences psychosociales (concernant les questions liées au VIH) en dehors du cadre scolaire</v>
      </c>
      <c r="D75" s="471" t="str">
        <f>CHOOSE(Translations!$C$1+1,O75,P75,Q75)</f>
        <v>Sexe</v>
      </c>
      <c r="E75" s="469" t="str">
        <f t="shared" si="4"/>
        <v>YP-1b Pourcentage de jeunes âgés de 10 à 24 ans bénéficiant d’une éducation sexuelle complète ou de l’enseignement de compétences psychosociales (concernant les questions liées au VIH) en dehors du cadre scolaire</v>
      </c>
      <c r="F75" s="470" t="str">
        <f t="shared" si="3"/>
        <v>MCI-01057</v>
      </c>
      <c r="G75" s="469" t="s">
        <v>3202</v>
      </c>
      <c r="H75" s="470"/>
      <c r="I75" s="470" t="s">
        <v>2878</v>
      </c>
      <c r="J75" s="470" t="s">
        <v>3155</v>
      </c>
      <c r="K75" s="470" t="s">
        <v>889</v>
      </c>
      <c r="L75" s="472" t="s">
        <v>2150</v>
      </c>
      <c r="M75" s="472" t="s">
        <v>2151</v>
      </c>
      <c r="N75" s="472" t="s">
        <v>2152</v>
      </c>
      <c r="O75" s="470" t="s">
        <v>1550</v>
      </c>
      <c r="P75" s="470" t="s">
        <v>1551</v>
      </c>
      <c r="Q75" s="470" t="s">
        <v>1552</v>
      </c>
    </row>
    <row r="76" spans="1:17" s="9" customFormat="1" x14ac:dyDescent="0.25">
      <c r="A76" s="469" t="s">
        <v>3046</v>
      </c>
      <c r="B76" s="470" t="s">
        <v>2155</v>
      </c>
      <c r="C76" s="471" t="str">
        <f>CHOOSE(Translations!$C$1+1,L76,M76,N76)</f>
        <v>YP-2 Pourcentage d’adolescentes et de jeunes femmes bénéficiant de programmes préventifs de lutte contre le VIH (paquet de services définis)</v>
      </c>
      <c r="D76" s="471" t="str">
        <f>CHOOSE(Translations!$C$1+1,O76,P76,Q76)</f>
        <v>Age</v>
      </c>
      <c r="E76" s="469" t="str">
        <f t="shared" si="4"/>
        <v>YP-2 Pourcentage d’adolescentes et de jeunes femmes bénéficiant de programmes préventifs de lutte contre le VIH (paquet de services définis)</v>
      </c>
      <c r="F76" s="470" t="str">
        <f t="shared" si="3"/>
        <v>MCI-01058</v>
      </c>
      <c r="G76" s="469" t="s">
        <v>3203</v>
      </c>
      <c r="H76" s="470"/>
      <c r="I76" s="470" t="s">
        <v>2878</v>
      </c>
      <c r="J76" s="470" t="s">
        <v>3155</v>
      </c>
      <c r="K76" s="470" t="s">
        <v>3156</v>
      </c>
      <c r="L76" s="472" t="s">
        <v>2158</v>
      </c>
      <c r="M76" s="472" t="s">
        <v>2159</v>
      </c>
      <c r="N76" s="472" t="s">
        <v>2160</v>
      </c>
      <c r="O76" s="470" t="s">
        <v>1563</v>
      </c>
      <c r="P76" s="470" t="s">
        <v>1563</v>
      </c>
      <c r="Q76" s="470" t="s">
        <v>1564</v>
      </c>
    </row>
    <row r="77" spans="1:17" s="9" customFormat="1" x14ac:dyDescent="0.25">
      <c r="A77" s="469" t="s">
        <v>3046</v>
      </c>
      <c r="B77" s="470" t="s">
        <v>3204</v>
      </c>
      <c r="C77" s="471" t="str">
        <f>CHOOSE(Translations!$C$1+1,L77,M77,N77)</f>
        <v>YP-4 Pourcentage d’adolescentes et de jeunes femmes éligibles ayant commencé un traitement antirétroviral oral par PrEP durant la période de rapportage</v>
      </c>
      <c r="D77" s="471">
        <f>CHOOSE(Translations!$C$1+1,O77,P77,Q77)</f>
        <v>0</v>
      </c>
      <c r="E77" s="469" t="str">
        <f t="shared" si="4"/>
        <v>YP-4 Pourcentage d’adolescentes et de jeunes femmes éligibles ayant commencé un traitement antirétroviral oral par PrEP durant la période de rapportage</v>
      </c>
      <c r="F77" s="470" t="str">
        <f t="shared" si="3"/>
        <v>MCI-01059</v>
      </c>
      <c r="G77" s="469" t="s">
        <v>3205</v>
      </c>
      <c r="H77" s="470"/>
      <c r="I77" s="470" t="s">
        <v>2878</v>
      </c>
      <c r="J77" s="470" t="s">
        <v>3155</v>
      </c>
      <c r="K77" s="470" t="s">
        <v>888</v>
      </c>
      <c r="L77" s="472" t="s">
        <v>3206</v>
      </c>
      <c r="M77" s="472" t="s">
        <v>3207</v>
      </c>
      <c r="N77" s="472" t="s">
        <v>3208</v>
      </c>
      <c r="O77" s="470"/>
      <c r="P77" s="470"/>
      <c r="Q77" s="470"/>
    </row>
    <row r="78" spans="1:17" s="9" customFormat="1" x14ac:dyDescent="0.25">
      <c r="A78" s="469" t="s">
        <v>3039</v>
      </c>
      <c r="B78" s="470" t="s">
        <v>2165</v>
      </c>
      <c r="C78" s="471" t="str">
        <f>CHOOSE(Translations!$C$1+1,L78,M78,N78)</f>
        <v>PMTCT-1 Pourcentage de femmes enceintes qui connaissent leur statut sérologique pour le VIH</v>
      </c>
      <c r="D78" s="471" t="str">
        <f>CHOOSE(Translations!$C$1+1,O78,P78,Q78)</f>
        <v>Résultat du test VIH</v>
      </c>
      <c r="E78" s="469" t="str">
        <f t="shared" si="4"/>
        <v>PMTCT-1 Pourcentage de femmes enceintes qui connaissent leur statut sérologique pour le VIH</v>
      </c>
      <c r="F78" s="470" t="str">
        <f t="shared" si="3"/>
        <v>MCI-01060</v>
      </c>
      <c r="G78" s="469" t="s">
        <v>3209</v>
      </c>
      <c r="H78" s="470"/>
      <c r="I78" s="470" t="s">
        <v>2878</v>
      </c>
      <c r="J78" s="470" t="s">
        <v>3155</v>
      </c>
      <c r="K78" s="470" t="s">
        <v>890</v>
      </c>
      <c r="L78" s="472" t="s">
        <v>2174</v>
      </c>
      <c r="M78" s="472" t="s">
        <v>2175</v>
      </c>
      <c r="N78" s="472" t="s">
        <v>2176</v>
      </c>
      <c r="O78" s="470" t="s">
        <v>2168</v>
      </c>
      <c r="P78" s="470" t="s">
        <v>2169</v>
      </c>
      <c r="Q78" s="470" t="s">
        <v>2170</v>
      </c>
    </row>
    <row r="79" spans="1:17" s="9" customFormat="1" x14ac:dyDescent="0.25">
      <c r="A79" s="469" t="s">
        <v>3039</v>
      </c>
      <c r="B79" s="470" t="s">
        <v>3210</v>
      </c>
      <c r="C79" s="471" t="str">
        <f>CHOOSE(Translations!$C$1+1,L79,M79,N79)</f>
        <v>PMTCT-2.1 Pourcentage de femmes enceintes séropositives pour le VIH ayant reçu une TARV durant leur grossesse et/ou le travail et l'accouchement</v>
      </c>
      <c r="D79" s="471">
        <f>CHOOSE(Translations!$C$1+1,O79,P79,Q79)</f>
        <v>0</v>
      </c>
      <c r="E79" s="469" t="str">
        <f t="shared" si="4"/>
        <v>PMTCT-2.1 Pourcentage de femmes enceintes séropositives pour le VIH ayant reçu une TARV durant leur grossesse et/ou le travail et l'accouchement</v>
      </c>
      <c r="F79" s="470" t="str">
        <f t="shared" si="3"/>
        <v>MCI-01061</v>
      </c>
      <c r="G79" s="469" t="s">
        <v>3211</v>
      </c>
      <c r="H79" s="470"/>
      <c r="I79" s="470" t="s">
        <v>2878</v>
      </c>
      <c r="J79" s="470" t="s">
        <v>3155</v>
      </c>
      <c r="K79" s="470" t="s">
        <v>890</v>
      </c>
      <c r="L79" s="472" t="s">
        <v>3212</v>
      </c>
      <c r="M79" s="472" t="s">
        <v>3213</v>
      </c>
      <c r="N79" s="472" t="s">
        <v>3214</v>
      </c>
      <c r="O79" s="470"/>
      <c r="P79" s="470"/>
      <c r="Q79" s="470"/>
    </row>
    <row r="80" spans="1:17" s="9" customFormat="1" x14ac:dyDescent="0.25">
      <c r="A80" s="469" t="s">
        <v>3039</v>
      </c>
      <c r="B80" s="470" t="s">
        <v>2182</v>
      </c>
      <c r="C80" s="471" t="str">
        <f>CHOOSE(Translations!$C$1+1,L80,M80,N80)</f>
        <v>PMTCT-3.1 Pourcentage de nourrissons exposés au VIH ayant bénéficié d’un dépistage du VIH dans les 2 mois qui ont suivi leur naissance</v>
      </c>
      <c r="D80" s="471" t="str">
        <f>CHOOSE(Translations!$C$1+1,O80,P80,Q80)</f>
        <v>Résultat du test VIH</v>
      </c>
      <c r="E80" s="469" t="str">
        <f t="shared" si="4"/>
        <v>PMTCT-3.1 Pourcentage de nourrissons exposés au VIH ayant bénéficié d’un dépistage du VIH dans les 2 mois qui ont suivi leur naissance</v>
      </c>
      <c r="F80" s="470" t="str">
        <f t="shared" si="3"/>
        <v>MCI-01062</v>
      </c>
      <c r="G80" s="469" t="s">
        <v>3215</v>
      </c>
      <c r="H80" s="470"/>
      <c r="I80" s="470" t="s">
        <v>2878</v>
      </c>
      <c r="J80" s="470" t="s">
        <v>3155</v>
      </c>
      <c r="K80" s="470" t="s">
        <v>888</v>
      </c>
      <c r="L80" s="472" t="s">
        <v>2185</v>
      </c>
      <c r="M80" s="472" t="s">
        <v>2186</v>
      </c>
      <c r="N80" s="472" t="s">
        <v>2187</v>
      </c>
      <c r="O80" s="470" t="s">
        <v>2168</v>
      </c>
      <c r="P80" s="470" t="s">
        <v>2169</v>
      </c>
      <c r="Q80" s="470" t="s">
        <v>2170</v>
      </c>
    </row>
    <row r="81" spans="1:17" s="9" customFormat="1" x14ac:dyDescent="0.25">
      <c r="A81" s="469" t="s">
        <v>3039</v>
      </c>
      <c r="B81" s="470" t="s">
        <v>3216</v>
      </c>
      <c r="C81" s="471" t="str">
        <f>CHOOSE(Translations!$C$1+1,L81,M81,N81)</f>
        <v>PMTCT-4 Pourcentage de femmes recevant des soins prénatals ayant bénéficié d’un dépistage de la syphilis</v>
      </c>
      <c r="D81" s="471">
        <f>CHOOSE(Translations!$C$1+1,O81,P81,Q81)</f>
        <v>0</v>
      </c>
      <c r="E81" s="469" t="str">
        <f t="shared" si="4"/>
        <v>PMTCT-4 Pourcentage de femmes recevant des soins prénatals ayant bénéficié d’un dépistage de la syphilis</v>
      </c>
      <c r="F81" s="470" t="str">
        <f t="shared" si="3"/>
        <v>MCI-01063</v>
      </c>
      <c r="G81" s="469" t="s">
        <v>3217</v>
      </c>
      <c r="H81" s="470"/>
      <c r="I81" s="470" t="s">
        <v>2878</v>
      </c>
      <c r="J81" s="470" t="s">
        <v>3155</v>
      </c>
      <c r="K81" s="470" t="s">
        <v>888</v>
      </c>
      <c r="L81" s="472" t="s">
        <v>3218</v>
      </c>
      <c r="M81" s="472" t="s">
        <v>3219</v>
      </c>
      <c r="N81" s="472" t="s">
        <v>3220</v>
      </c>
      <c r="O81" s="470"/>
      <c r="P81" s="470"/>
      <c r="Q81" s="470"/>
    </row>
    <row r="82" spans="1:17" s="9" customFormat="1" x14ac:dyDescent="0.25">
      <c r="A82" s="469" t="s">
        <v>3023</v>
      </c>
      <c r="B82" s="470" t="s">
        <v>2195</v>
      </c>
      <c r="C82" s="471" t="str">
        <f>CHOOSE(Translations!$C$1+1,L82,M82,N82)</f>
        <v>HTS-2 Pourcentage d’adolescentes et de jeunes femmes chez lesquelles un dépistage du VIH a été réalisé durant la période de rapportage et qui connaissent leur résultat</v>
      </c>
      <c r="D82" s="471" t="str">
        <f>CHOOSE(Translations!$C$1+1,O82,P82,Q82)</f>
        <v>Age,Résultat du test VIH</v>
      </c>
      <c r="E82" s="469" t="str">
        <f t="shared" si="4"/>
        <v>HTS-2 Pourcentage d’adolescentes et de jeunes femmes chez lesquelles un dépistage du VIH a été réalisé durant la période de rapportage et qui connaissent leur résultat</v>
      </c>
      <c r="F82" s="470" t="str">
        <f t="shared" si="3"/>
        <v>MCI-01064</v>
      </c>
      <c r="G82" s="469" t="s">
        <v>3221</v>
      </c>
      <c r="H82" s="470"/>
      <c r="I82" s="470" t="s">
        <v>2878</v>
      </c>
      <c r="J82" s="470" t="s">
        <v>3155</v>
      </c>
      <c r="K82" s="470" t="s">
        <v>888</v>
      </c>
      <c r="L82" s="472" t="s">
        <v>2198</v>
      </c>
      <c r="M82" s="472" t="s">
        <v>2199</v>
      </c>
      <c r="N82" s="472" t="s">
        <v>2200</v>
      </c>
      <c r="O82" s="470" t="s">
        <v>3222</v>
      </c>
      <c r="P82" s="470" t="s">
        <v>3223</v>
      </c>
      <c r="Q82" s="470" t="s">
        <v>3224</v>
      </c>
    </row>
    <row r="83" spans="1:17" s="9" customFormat="1" x14ac:dyDescent="0.25">
      <c r="A83" s="469" t="s">
        <v>3023</v>
      </c>
      <c r="B83" s="470" t="s">
        <v>2210</v>
      </c>
      <c r="C83" s="471" t="str">
        <f>CHOOSE(Translations!$C$1+1,L83,M83,N83)</f>
        <v>HTS-3a⁽ᴹ⁾ Pourcentage de HSH chez lesquels un dépistage du VIH a été réalisé durant la période de rapportage et qui connaissent leur résultat</v>
      </c>
      <c r="D83" s="471" t="str">
        <f>CHOOSE(Translations!$C$1+1,O83,P83,Q83)</f>
        <v>Age,Résultat du test VIH</v>
      </c>
      <c r="E83" s="469" t="str">
        <f t="shared" si="4"/>
        <v>HTS-3a⁽ᴹ⁾ Pourcentage de HSH chez lesquels un dépistage du VIH a été réalisé durant la période de rapportage et qui connaissent leur résultat</v>
      </c>
      <c r="F83" s="470" t="str">
        <f t="shared" si="3"/>
        <v>MCI-01065</v>
      </c>
      <c r="G83" s="469" t="s">
        <v>3225</v>
      </c>
      <c r="H83" s="470"/>
      <c r="I83" s="470" t="s">
        <v>2878</v>
      </c>
      <c r="J83" s="470" t="s">
        <v>3155</v>
      </c>
      <c r="K83" s="470" t="s">
        <v>3156</v>
      </c>
      <c r="L83" s="472" t="s">
        <v>2213</v>
      </c>
      <c r="M83" s="472" t="s">
        <v>2214</v>
      </c>
      <c r="N83" s="472" t="s">
        <v>2215</v>
      </c>
      <c r="O83" s="470" t="s">
        <v>3222</v>
      </c>
      <c r="P83" s="470" t="s">
        <v>3223</v>
      </c>
      <c r="Q83" s="470" t="s">
        <v>3224</v>
      </c>
    </row>
    <row r="84" spans="1:17" s="9" customFormat="1" x14ac:dyDescent="0.25">
      <c r="A84" s="469" t="s">
        <v>3023</v>
      </c>
      <c r="B84" s="470" t="s">
        <v>2222</v>
      </c>
      <c r="C84" s="471" t="str">
        <f>CHOOSE(Translations!$C$1+1,L84,M84,N84)</f>
        <v>HTS-3b⁽ᴹ⁾ Pourcentage de personnes transgenres chez lesquels un dépistage du VIH a été réalisé durant la période de rapportage et qui connaissent leur résultat</v>
      </c>
      <c r="D84" s="471" t="str">
        <f>CHOOSE(Translations!$C$1+1,O84,P84,Q84)</f>
        <v>Age,Résultat du test VIH</v>
      </c>
      <c r="E84" s="469" t="str">
        <f t="shared" si="4"/>
        <v>HTS-3b⁽ᴹ⁾ Pourcentage de personnes transgenres chez lesquels un dépistage du VIH a été réalisé durant la période de rapportage et qui connaissent leur résultat</v>
      </c>
      <c r="F84" s="470" t="str">
        <f t="shared" si="3"/>
        <v>MCI-01066</v>
      </c>
      <c r="G84" s="469" t="s">
        <v>3226</v>
      </c>
      <c r="H84" s="470"/>
      <c r="I84" s="470" t="s">
        <v>2878</v>
      </c>
      <c r="J84" s="470" t="s">
        <v>3155</v>
      </c>
      <c r="K84" s="470" t="s">
        <v>3156</v>
      </c>
      <c r="L84" s="472" t="s">
        <v>2225</v>
      </c>
      <c r="M84" s="472" t="s">
        <v>2226</v>
      </c>
      <c r="N84" s="472" t="s">
        <v>2227</v>
      </c>
      <c r="O84" s="470" t="s">
        <v>3222</v>
      </c>
      <c r="P84" s="470" t="s">
        <v>3223</v>
      </c>
      <c r="Q84" s="470" t="s">
        <v>3224</v>
      </c>
    </row>
    <row r="85" spans="1:17" s="9" customFormat="1" x14ac:dyDescent="0.25">
      <c r="A85" s="469" t="s">
        <v>3023</v>
      </c>
      <c r="B85" s="470" t="s">
        <v>2234</v>
      </c>
      <c r="C85" s="471" t="str">
        <f>CHOOSE(Translations!$C$1+1,L85,M85,N85)</f>
        <v>HTS-3c⁽ᴹ⁾  Pourcentage de professionnels du sexe chez lesquels un dépistage du VIH a été réalisé durant la période de rapportage et qui connaissent leur résultat</v>
      </c>
      <c r="D85" s="471" t="str">
        <f>CHOOSE(Translations!$C$1+1,O85,P85,Q85)</f>
        <v>Age,Sexe,Résultat du test VIH</v>
      </c>
      <c r="E85" s="469" t="str">
        <f t="shared" si="4"/>
        <v>HTS-3c⁽ᴹ⁾  Pourcentage de professionnels du sexe chez lesquels un dépistage du VIH a été réalisé durant la période de rapportage et qui connaissent leur résultat</v>
      </c>
      <c r="F85" s="470" t="str">
        <f t="shared" si="3"/>
        <v>MCI-01067</v>
      </c>
      <c r="G85" s="469" t="s">
        <v>3227</v>
      </c>
      <c r="H85" s="470"/>
      <c r="I85" s="470" t="s">
        <v>2878</v>
      </c>
      <c r="J85" s="470" t="s">
        <v>3155</v>
      </c>
      <c r="K85" s="470" t="s">
        <v>3156</v>
      </c>
      <c r="L85" s="472" t="s">
        <v>2237</v>
      </c>
      <c r="M85" s="472" t="s">
        <v>2238</v>
      </c>
      <c r="N85" s="472" t="s">
        <v>2239</v>
      </c>
      <c r="O85" s="470" t="s">
        <v>3228</v>
      </c>
      <c r="P85" s="470" t="s">
        <v>3229</v>
      </c>
      <c r="Q85" s="470" t="s">
        <v>3230</v>
      </c>
    </row>
    <row r="86" spans="1:17" s="9" customFormat="1" x14ac:dyDescent="0.25">
      <c r="A86" s="469" t="s">
        <v>3023</v>
      </c>
      <c r="B86" s="470" t="s">
        <v>2252</v>
      </c>
      <c r="C86" s="471" t="str">
        <f>CHOOSE(Translations!$C$1+1,L86,M86,N86)</f>
        <v>HTS-3d⁽ᴹ⁾ Pourcentage de personnes qui s’injectent des drogues chez lesquels un dépistage du VIH a été réalisé durant la période de rapportage et qui connaissent leur résultat</v>
      </c>
      <c r="D86" s="471" t="str">
        <f>CHOOSE(Translations!$C$1+1,O86,P86,Q86)</f>
        <v>Age,Sexe,Résultat du test VIH</v>
      </c>
      <c r="E86" s="469" t="str">
        <f t="shared" si="4"/>
        <v>HTS-3d⁽ᴹ⁾ Pourcentage de personnes qui s’injectent des drogues chez lesquels un dépistage du VIH a été réalisé durant la période de rapportage et qui connaissent leur résultat</v>
      </c>
      <c r="F86" s="470" t="str">
        <f t="shared" si="3"/>
        <v>MCI-01068</v>
      </c>
      <c r="G86" s="469" t="s">
        <v>3231</v>
      </c>
      <c r="H86" s="470"/>
      <c r="I86" s="470" t="s">
        <v>2878</v>
      </c>
      <c r="J86" s="470" t="s">
        <v>3155</v>
      </c>
      <c r="K86" s="470" t="s">
        <v>3156</v>
      </c>
      <c r="L86" s="472" t="s">
        <v>2255</v>
      </c>
      <c r="M86" s="472" t="s">
        <v>2256</v>
      </c>
      <c r="N86" s="472" t="s">
        <v>2257</v>
      </c>
      <c r="O86" s="470" t="s">
        <v>3228</v>
      </c>
      <c r="P86" s="470" t="s">
        <v>3229</v>
      </c>
      <c r="Q86" s="470" t="s">
        <v>3230</v>
      </c>
    </row>
    <row r="87" spans="1:17" s="9" customFormat="1" x14ac:dyDescent="0.25">
      <c r="A87" s="469" t="s">
        <v>3023</v>
      </c>
      <c r="B87" s="470" t="s">
        <v>2270</v>
      </c>
      <c r="C87" s="471" t="str">
        <f>CHOOSE(Translations!$C$1+1,L87,M87,N87)</f>
        <v>HTS-3e Pourcentage de personnes parmi d'autres populations vulnérables chez lesquels un dépistage du VIH a été réalisé durant la période de communication de l’information et qui connaissent leur résultat</v>
      </c>
      <c r="D87" s="471" t="str">
        <f>CHOOSE(Translations!$C$1+1,O87,P87,Q87)</f>
        <v>Résultat du test VIH</v>
      </c>
      <c r="E87" s="469" t="str">
        <f t="shared" si="4"/>
        <v>HTS-3e Pourcentage de personnes parmi d'autres populations vulnérables chez lesquels un dépistage du VIH a été réalisé durant la période de communication de l’information et qui connaissent leur résultat</v>
      </c>
      <c r="F87" s="470" t="str">
        <f t="shared" si="3"/>
        <v>MCI-01069</v>
      </c>
      <c r="G87" s="469" t="s">
        <v>3232</v>
      </c>
      <c r="H87" s="470"/>
      <c r="I87" s="470" t="s">
        <v>2878</v>
      </c>
      <c r="J87" s="470" t="s">
        <v>3155</v>
      </c>
      <c r="K87" s="470" t="s">
        <v>3156</v>
      </c>
      <c r="L87" s="472" t="s">
        <v>2273</v>
      </c>
      <c r="M87" s="472" t="s">
        <v>2274</v>
      </c>
      <c r="N87" s="472" t="s">
        <v>2275</v>
      </c>
      <c r="O87" s="470" t="s">
        <v>2168</v>
      </c>
      <c r="P87" s="470" t="s">
        <v>2169</v>
      </c>
      <c r="Q87" s="470" t="s">
        <v>2170</v>
      </c>
    </row>
    <row r="88" spans="1:17" s="9" customFormat="1" x14ac:dyDescent="0.25">
      <c r="A88" s="469" t="s">
        <v>3023</v>
      </c>
      <c r="B88" s="470" t="s">
        <v>2278</v>
      </c>
      <c r="C88" s="471" t="str">
        <f>CHOOSE(Translations!$C$1+1,L88,M88,N88)</f>
        <v>HTS-3f⁽ᴹ⁾ Pourcentage de personnes en détention ou se trouvant dans d’autres lieux fermés chez lesquels un dépistage du VIH a été réalisé durant la période de communication de l’information et qui connaissent leur résultat</v>
      </c>
      <c r="D88" s="471" t="str">
        <f>CHOOSE(Translations!$C$1+1,O88,P88,Q88)</f>
        <v>Résultat du test VIH</v>
      </c>
      <c r="E88" s="469" t="str">
        <f t="shared" si="4"/>
        <v>HTS-3f⁽ᴹ⁾ Pourcentage de personnes en détention ou se trouvant dans d’autres lieux fermés chez lesquels un dépistage du VIH a été réalisé durant la période de communication de l’information et qui connaissent leur résultat</v>
      </c>
      <c r="F88" s="470" t="str">
        <f t="shared" si="3"/>
        <v>MCI-01070</v>
      </c>
      <c r="G88" s="469" t="s">
        <v>3233</v>
      </c>
      <c r="H88" s="470"/>
      <c r="I88" s="470" t="s">
        <v>2878</v>
      </c>
      <c r="J88" s="470" t="s">
        <v>3155</v>
      </c>
      <c r="K88" s="470" t="s">
        <v>3156</v>
      </c>
      <c r="L88" s="472" t="s">
        <v>2281</v>
      </c>
      <c r="M88" s="472" t="s">
        <v>2282</v>
      </c>
      <c r="N88" s="472" t="s">
        <v>2283</v>
      </c>
      <c r="O88" s="470" t="s">
        <v>2168</v>
      </c>
      <c r="P88" s="470" t="s">
        <v>2169</v>
      </c>
      <c r="Q88" s="470" t="s">
        <v>2170</v>
      </c>
    </row>
    <row r="89" spans="1:17" s="9" customFormat="1" x14ac:dyDescent="0.25">
      <c r="A89" s="469" t="s">
        <v>3023</v>
      </c>
      <c r="B89" s="470" t="s">
        <v>2286</v>
      </c>
      <c r="C89" s="471" t="str">
        <f>CHOOSE(Translations!$C$1+1,L89,M89,N89)</f>
        <v>HTS-4 Pourcentage de résultats de test VIH positifs parmi le total des tests de dépistage du VIH effectués au cours de la période de rapportage</v>
      </c>
      <c r="D89" s="471" t="str">
        <f>CHOOSE(Translations!$C$1+1,O89,P89,Q89)</f>
        <v>Age,Sexe,Tests fait dans la communauté,Tests fait dans un centre de santé</v>
      </c>
      <c r="E89" s="469" t="str">
        <f t="shared" si="4"/>
        <v>HTS-4 Pourcentage de résultats de test VIH positifs parmi le total des tests de dépistage du VIH effectués au cours de la période de rapportage</v>
      </c>
      <c r="F89" s="470" t="str">
        <f t="shared" si="3"/>
        <v>MCI-01071</v>
      </c>
      <c r="G89" s="469" t="s">
        <v>3234</v>
      </c>
      <c r="H89" s="470"/>
      <c r="I89" s="470" t="s">
        <v>2878</v>
      </c>
      <c r="J89" s="470" t="s">
        <v>3155</v>
      </c>
      <c r="K89" s="470" t="s">
        <v>888</v>
      </c>
      <c r="L89" s="472" t="s">
        <v>2289</v>
      </c>
      <c r="M89" s="472" t="s">
        <v>2290</v>
      </c>
      <c r="N89" s="472" t="s">
        <v>2291</v>
      </c>
      <c r="O89" s="470" t="s">
        <v>3235</v>
      </c>
      <c r="P89" s="470" t="s">
        <v>3236</v>
      </c>
      <c r="Q89" s="470" t="s">
        <v>3237</v>
      </c>
    </row>
    <row r="90" spans="1:17" s="9" customFormat="1" x14ac:dyDescent="0.25">
      <c r="A90" s="469" t="s">
        <v>3023</v>
      </c>
      <c r="B90" s="470" t="s">
        <v>2339</v>
      </c>
      <c r="C90" s="471" t="str">
        <f>CHOOSE(Translations!$C$1+1,L90,M90,N90)</f>
        <v>HTS-5 Pourcentage de personnes récemment diagnostiquées comme séropositives admises dans des services de prise en charge du VIH</v>
      </c>
      <c r="D90" s="471" t="str">
        <f>CHOOSE(Translations!$C$1+1,O90,P90,Q90)</f>
        <v>Sexe,Groupe à risque cible</v>
      </c>
      <c r="E90" s="469" t="str">
        <f t="shared" si="4"/>
        <v>HTS-5 Pourcentage de personnes récemment diagnostiquées comme séropositives admises dans des services de prise en charge du VIH</v>
      </c>
      <c r="F90" s="470" t="str">
        <f t="shared" si="3"/>
        <v>MCI-01072</v>
      </c>
      <c r="G90" s="469" t="s">
        <v>3238</v>
      </c>
      <c r="H90" s="470"/>
      <c r="I90" s="470" t="s">
        <v>2878</v>
      </c>
      <c r="J90" s="470" t="s">
        <v>3155</v>
      </c>
      <c r="K90" s="470" t="s">
        <v>888</v>
      </c>
      <c r="L90" s="472" t="s">
        <v>2342</v>
      </c>
      <c r="M90" s="472" t="s">
        <v>2343</v>
      </c>
      <c r="N90" s="472" t="s">
        <v>2344</v>
      </c>
      <c r="O90" s="470" t="s">
        <v>3239</v>
      </c>
      <c r="P90" s="470" t="s">
        <v>3240</v>
      </c>
      <c r="Q90" s="470" t="s">
        <v>3241</v>
      </c>
    </row>
    <row r="91" spans="1:17" s="9" customFormat="1" x14ac:dyDescent="0.25">
      <c r="A91" s="469" t="s">
        <v>3148</v>
      </c>
      <c r="B91" s="470" t="s">
        <v>2357</v>
      </c>
      <c r="C91" s="471" t="str">
        <f>CHOOSE(Translations!$C$1+1,L91,M91,N91)</f>
        <v>TCS-1.1⁽ᴹ⁾ Pourcentage de personnes sous TARV parmi toutes les personnes vivant avec le VIH à la fin de la période de rapportage</v>
      </c>
      <c r="D91" s="471" t="str">
        <f>CHOOSE(Translations!$C$1+1,O91,P91,Q91)</f>
        <v>Age,Sexe,Durée du traitement,Groupe à risque cible</v>
      </c>
      <c r="E91" s="469" t="str">
        <f t="shared" si="4"/>
        <v>TCS-1.1⁽ᴹ⁾ Pourcentage de personnes sous TARV parmi toutes les personnes vivant avec le VIH à la fin de la période de rapportage</v>
      </c>
      <c r="F91" s="470" t="str">
        <f t="shared" si="3"/>
        <v>MCI-01073</v>
      </c>
      <c r="G91" s="469" t="s">
        <v>3242</v>
      </c>
      <c r="H91" s="470"/>
      <c r="I91" s="470" t="s">
        <v>2878</v>
      </c>
      <c r="J91" s="470" t="s">
        <v>3155</v>
      </c>
      <c r="K91" s="470" t="s">
        <v>889</v>
      </c>
      <c r="L91" s="472" t="s">
        <v>2360</v>
      </c>
      <c r="M91" s="472" t="s">
        <v>2361</v>
      </c>
      <c r="N91" s="472" t="s">
        <v>2362</v>
      </c>
      <c r="O91" s="470" t="s">
        <v>3243</v>
      </c>
      <c r="P91" s="470" t="s">
        <v>3244</v>
      </c>
      <c r="Q91" s="470" t="s">
        <v>3245</v>
      </c>
    </row>
    <row r="92" spans="1:17" s="9" customFormat="1" x14ac:dyDescent="0.25">
      <c r="A92" s="469" t="s">
        <v>3148</v>
      </c>
      <c r="B92" s="470" t="s">
        <v>2415</v>
      </c>
      <c r="C92" s="471" t="str">
        <f>CHOOSE(Translations!$C$1+1,L92,M92,N92)</f>
        <v>TCS-1b⁽ᴹ⁾ Pourcentage d'adultes (15 ans et plus) sous TARV parmi tous les adultes vivant avec le VIH à la fin de la période de rapportage</v>
      </c>
      <c r="D92" s="471" t="str">
        <f>CHOOSE(Translations!$C$1+1,O92,P92,Q92)</f>
        <v>Sexe,Durée du traitement,Groupe à risque cible</v>
      </c>
      <c r="E92" s="469" t="str">
        <f t="shared" si="4"/>
        <v>TCS-1b⁽ᴹ⁾ Pourcentage d'adultes (15 ans et plus) sous TARV parmi tous les adultes vivant avec le VIH à la fin de la période de rapportage</v>
      </c>
      <c r="F92" s="470" t="str">
        <f t="shared" si="3"/>
        <v>MCI-01074</v>
      </c>
      <c r="G92" s="469" t="s">
        <v>3246</v>
      </c>
      <c r="H92" s="470"/>
      <c r="I92" s="470" t="s">
        <v>2878</v>
      </c>
      <c r="J92" s="470" t="s">
        <v>3155</v>
      </c>
      <c r="K92" s="470" t="s">
        <v>889</v>
      </c>
      <c r="L92" s="472" t="s">
        <v>2418</v>
      </c>
      <c r="M92" s="472" t="s">
        <v>2419</v>
      </c>
      <c r="N92" s="472" t="s">
        <v>2420</v>
      </c>
      <c r="O92" s="470" t="s">
        <v>3247</v>
      </c>
      <c r="P92" s="470" t="s">
        <v>3248</v>
      </c>
      <c r="Q92" s="470" t="s">
        <v>3249</v>
      </c>
    </row>
    <row r="93" spans="1:17" s="9" customFormat="1" x14ac:dyDescent="0.25">
      <c r="A93" s="469" t="s">
        <v>3148</v>
      </c>
      <c r="B93" s="470" t="s">
        <v>2451</v>
      </c>
      <c r="C93" s="471" t="str">
        <f>CHOOSE(Translations!$C$1+1,L93,M93,N93)</f>
        <v>TCS-1c⁽ᴹ⁾ Pourcentage d'enfants (de moins de 15 ans) sous TARV parmi tous les enfants vivant avec le VIH à la fin de la période de rapportage</v>
      </c>
      <c r="D93" s="471" t="str">
        <f>CHOOSE(Translations!$C$1+1,O93,P93,Q93)</f>
        <v>Sexe,Durée du traitement</v>
      </c>
      <c r="E93" s="469" t="str">
        <f t="shared" si="4"/>
        <v>TCS-1c⁽ᴹ⁾ Pourcentage d'enfants (de moins de 15 ans) sous TARV parmi tous les enfants vivant avec le VIH à la fin de la période de rapportage</v>
      </c>
      <c r="F93" s="470" t="str">
        <f t="shared" si="3"/>
        <v>MCI-01075</v>
      </c>
      <c r="G93" s="469" t="s">
        <v>3250</v>
      </c>
      <c r="H93" s="470"/>
      <c r="I93" s="470" t="s">
        <v>2878</v>
      </c>
      <c r="J93" s="470" t="s">
        <v>3155</v>
      </c>
      <c r="K93" s="470" t="s">
        <v>889</v>
      </c>
      <c r="L93" s="472" t="s">
        <v>2454</v>
      </c>
      <c r="M93" s="472" t="s">
        <v>2455</v>
      </c>
      <c r="N93" s="472" t="s">
        <v>2456</v>
      </c>
      <c r="O93" s="470" t="s">
        <v>3251</v>
      </c>
      <c r="P93" s="470" t="s">
        <v>3252</v>
      </c>
      <c r="Q93" s="470" t="s">
        <v>3253</v>
      </c>
    </row>
    <row r="94" spans="1:17" s="9" customFormat="1" x14ac:dyDescent="0.25">
      <c r="A94" s="469" t="s">
        <v>3141</v>
      </c>
      <c r="B94" s="470" t="s">
        <v>2862</v>
      </c>
      <c r="C94" s="471" t="str">
        <f>CHOOSE(Translations!$C$1+1,L94,M94,N94)</f>
        <v>TB/HIV-3.1a Pourcentage de personnes vivant avec le VIH ayant nouvellement initié la TARV chez qui les signes de la tuberculose ont été recherchés</v>
      </c>
      <c r="D94" s="471" t="str">
        <f>CHOOSE(Translations!$C$1+1,O94,P94,Q94)</f>
        <v>Sexe,Age</v>
      </c>
      <c r="E94" s="469" t="str">
        <f t="shared" si="4"/>
        <v>TB/HIV-3.1a Pourcentage de personnes vivant avec le VIH ayant nouvellement initié la TARV chez qui les signes de la tuberculose ont été recherchés</v>
      </c>
      <c r="F94" s="470" t="str">
        <f t="shared" si="3"/>
        <v>MCI-01230</v>
      </c>
      <c r="G94" s="469" t="s">
        <v>3254</v>
      </c>
      <c r="H94" s="470"/>
      <c r="I94" s="470" t="s">
        <v>2878</v>
      </c>
      <c r="J94" s="470" t="s">
        <v>3155</v>
      </c>
      <c r="K94" s="470" t="s">
        <v>888</v>
      </c>
      <c r="L94" s="472" t="s">
        <v>2865</v>
      </c>
      <c r="M94" s="472" t="s">
        <v>2866</v>
      </c>
      <c r="N94" s="472" t="s">
        <v>2867</v>
      </c>
      <c r="O94" s="470" t="s">
        <v>2901</v>
      </c>
      <c r="P94" s="470" t="s">
        <v>2880</v>
      </c>
      <c r="Q94" s="470" t="s">
        <v>2881</v>
      </c>
    </row>
    <row r="95" spans="1:17" s="9" customFormat="1" x14ac:dyDescent="0.25">
      <c r="A95" s="469" t="s">
        <v>3141</v>
      </c>
      <c r="B95" s="470" t="s">
        <v>2585</v>
      </c>
      <c r="C95" s="471" t="str">
        <f>CHOOSE(Translations!$C$1+1,L95,M95,N95)</f>
        <v>TB/HIV-5 Pourcentage de patients tuberculeux enregistrés (nouveaux cas et récidives) dont le statut sérologique VIH est documenté</v>
      </c>
      <c r="D95" s="471" t="str">
        <f>CHOOSE(Translations!$C$1+1,O95,P95,Q95)</f>
        <v>Age,Sexe,Résultat du test VIH</v>
      </c>
      <c r="E95" s="469" t="str">
        <f t="shared" si="4"/>
        <v>TB/HIV-5 Pourcentage de patients tuberculeux enregistrés (nouveaux cas et récidives) dont le statut sérologique VIH est documenté</v>
      </c>
      <c r="F95" s="470" t="str">
        <f t="shared" si="3"/>
        <v>MCI-01094</v>
      </c>
      <c r="G95" s="469" t="s">
        <v>3255</v>
      </c>
      <c r="H95" s="470"/>
      <c r="I95" s="470" t="s">
        <v>2878</v>
      </c>
      <c r="J95" s="470" t="s">
        <v>3155</v>
      </c>
      <c r="K95" s="470" t="s">
        <v>888</v>
      </c>
      <c r="L95" s="472" t="s">
        <v>2588</v>
      </c>
      <c r="M95" s="472" t="s">
        <v>2589</v>
      </c>
      <c r="N95" s="472" t="s">
        <v>2590</v>
      </c>
      <c r="O95" s="470" t="s">
        <v>3228</v>
      </c>
      <c r="P95" s="470" t="s">
        <v>3229</v>
      </c>
      <c r="Q95" s="470" t="s">
        <v>3230</v>
      </c>
    </row>
    <row r="96" spans="1:17" s="9" customFormat="1" x14ac:dyDescent="0.25">
      <c r="A96" s="469" t="s">
        <v>3141</v>
      </c>
      <c r="B96" s="470" t="s">
        <v>2601</v>
      </c>
      <c r="C96" s="471" t="str">
        <f>CHOOSE(Translations!$C$1+1,L96,M96,N96)</f>
        <v>TB/HIV-6⁽ᴹ⁾ Pourcentage de patients tuberculeux (nouveaux cas et récidives) séropositifs au VIH sous traitement antirétroviral pendant leur traitement antituberculeux</v>
      </c>
      <c r="D96" s="471" t="str">
        <f>CHOOSE(Translations!$C$1+1,O96,P96,Q96)</f>
        <v>Age,Sexe</v>
      </c>
      <c r="E96" s="469" t="str">
        <f t="shared" si="4"/>
        <v>TB/HIV-6⁽ᴹ⁾ Pourcentage de patients tuberculeux (nouveaux cas et récidives) séropositifs au VIH sous traitement antirétroviral pendant leur traitement antituberculeux</v>
      </c>
      <c r="F96" s="470" t="str">
        <f t="shared" si="3"/>
        <v>MCI-01095</v>
      </c>
      <c r="G96" s="469" t="s">
        <v>3256</v>
      </c>
      <c r="H96" s="470"/>
      <c r="I96" s="470" t="s">
        <v>2878</v>
      </c>
      <c r="J96" s="470" t="s">
        <v>3155</v>
      </c>
      <c r="K96" s="470" t="s">
        <v>888</v>
      </c>
      <c r="L96" s="472" t="s">
        <v>2604</v>
      </c>
      <c r="M96" s="472" t="s">
        <v>2605</v>
      </c>
      <c r="N96" s="472" t="s">
        <v>2606</v>
      </c>
      <c r="O96" s="470" t="s">
        <v>3160</v>
      </c>
      <c r="P96" s="470" t="s">
        <v>2887</v>
      </c>
      <c r="Q96" s="470" t="s">
        <v>2888</v>
      </c>
    </row>
    <row r="97" spans="1:17" s="9" customFormat="1" x14ac:dyDescent="0.25">
      <c r="A97" s="469" t="s">
        <v>3141</v>
      </c>
      <c r="B97" s="470" t="s">
        <v>2615</v>
      </c>
      <c r="C97" s="471" t="str">
        <f>CHOOSE(Translations!$C$1+1,L97,M97,N97)</f>
        <v>TB/HIV-7 Pourcentage de personnes vivant avec le VIH recevant un traitement antirétroviral qui ont commencé la thérapie préventive de la tuberculose parmi celles éligibles durant la période de rapportage</v>
      </c>
      <c r="D97" s="471" t="str">
        <f>CHOOSE(Translations!$C$1+1,O97,P97,Q97)</f>
        <v>Age,Sexe,Régime TPT</v>
      </c>
      <c r="E97" s="469" t="str">
        <f t="shared" si="4"/>
        <v>TB/HIV-7 Pourcentage de personnes vivant avec le VIH recevant un traitement antirétroviral qui ont commencé la thérapie préventive de la tuberculose parmi celles éligibles durant la période de rapportage</v>
      </c>
      <c r="F97" s="470" t="str">
        <f t="shared" si="3"/>
        <v>MCI-01097</v>
      </c>
      <c r="G97" s="469" t="s">
        <v>3257</v>
      </c>
      <c r="H97" s="470"/>
      <c r="I97" s="470" t="s">
        <v>2878</v>
      </c>
      <c r="J97" s="470" t="s">
        <v>3155</v>
      </c>
      <c r="K97" s="470" t="s">
        <v>888</v>
      </c>
      <c r="L97" s="472" t="s">
        <v>2618</v>
      </c>
      <c r="M97" s="472" t="s">
        <v>2619</v>
      </c>
      <c r="N97" s="472" t="s">
        <v>2620</v>
      </c>
      <c r="O97" s="470" t="s">
        <v>3258</v>
      </c>
      <c r="P97" s="470" t="s">
        <v>3259</v>
      </c>
      <c r="Q97" s="470" t="s">
        <v>3260</v>
      </c>
    </row>
    <row r="98" spans="1:17" s="9" customFormat="1" x14ac:dyDescent="0.25">
      <c r="A98" s="469" t="s">
        <v>3096</v>
      </c>
      <c r="B98" s="470" t="s">
        <v>3261</v>
      </c>
      <c r="C98" s="471" t="str">
        <f>CHOOSE(Translations!$C$1+1,L98,M98,N98)</f>
        <v>PSM-3 Pourcentage des établissements de santé fournissant des services de diagnostic avec des éléments traceurs le jour de la visite ou du rapportage.</v>
      </c>
      <c r="D98" s="471">
        <f>CHOOSE(Translations!$C$1+1,O98,P98,Q98)</f>
        <v>0</v>
      </c>
      <c r="E98" s="469" t="str">
        <f t="shared" si="4"/>
        <v>PSM-3 Pourcentage des établissements de santé fournissant des services de diagnostic avec des éléments traceurs le jour de la visite ou du rapportage.</v>
      </c>
      <c r="F98" s="470" t="str">
        <f t="shared" si="3"/>
        <v>MCI-01115</v>
      </c>
      <c r="G98" s="469" t="s">
        <v>3262</v>
      </c>
      <c r="H98" s="470"/>
      <c r="I98" s="470" t="s">
        <v>2878</v>
      </c>
      <c r="J98" s="470" t="s">
        <v>3155</v>
      </c>
      <c r="K98" s="470" t="s">
        <v>3263</v>
      </c>
      <c r="L98" s="472" t="s">
        <v>3264</v>
      </c>
      <c r="M98" s="472" t="s">
        <v>3265</v>
      </c>
      <c r="N98" s="472" t="s">
        <v>3266</v>
      </c>
      <c r="O98" s="470"/>
      <c r="P98" s="470"/>
      <c r="Q98" s="470"/>
    </row>
    <row r="99" spans="1:17" s="9" customFormat="1" x14ac:dyDescent="0.25">
      <c r="A99" s="469" t="s">
        <v>3096</v>
      </c>
      <c r="B99" s="470" t="s">
        <v>3267</v>
      </c>
      <c r="C99" s="471" t="str">
        <f>CHOOSE(Translations!$C$1+1,L99,M99,N99)</f>
        <v>PSM-4 Pourcentage des établissements de santé disposant de médicaments traceurs pour les trois maladies le jour de la visite ou du rapportage</v>
      </c>
      <c r="D99" s="471">
        <f>CHOOSE(Translations!$C$1+1,O99,P99,Q99)</f>
        <v>0</v>
      </c>
      <c r="E99" s="469" t="str">
        <f t="shared" si="4"/>
        <v>PSM-4 Pourcentage des établissements de santé disposant de médicaments traceurs pour les trois maladies le jour de la visite ou du rapportage</v>
      </c>
      <c r="F99" s="470" t="str">
        <f t="shared" si="3"/>
        <v>MCI-01116</v>
      </c>
      <c r="G99" s="469" t="s">
        <v>3268</v>
      </c>
      <c r="H99" s="470"/>
      <c r="I99" s="470" t="s">
        <v>2878</v>
      </c>
      <c r="J99" s="470" t="s">
        <v>3155</v>
      </c>
      <c r="K99" s="470" t="s">
        <v>3263</v>
      </c>
      <c r="L99" s="472" t="s">
        <v>3269</v>
      </c>
      <c r="M99" s="472" t="s">
        <v>3270</v>
      </c>
      <c r="N99" s="472" t="s">
        <v>3271</v>
      </c>
      <c r="O99" s="470"/>
      <c r="P99" s="470"/>
      <c r="Q99" s="470"/>
    </row>
    <row r="100" spans="1:17" s="9" customFormat="1" x14ac:dyDescent="0.25">
      <c r="A100" s="469" t="s">
        <v>3096</v>
      </c>
      <c r="B100" s="470" t="s">
        <v>3272</v>
      </c>
      <c r="C100" s="471" t="str">
        <f>CHOOSE(Translations!$C$1+1,L100,M100,N100)</f>
        <v>PSM-5 Pourcentage de lots expédiés livrés en intégralité et dans les délais par rapport au nombre total de lots expédiés devant être fournis pour les trois maladies pendant la période de rapportage</v>
      </c>
      <c r="D100" s="471">
        <f>CHOOSE(Translations!$C$1+1,O100,P100,Q100)</f>
        <v>0</v>
      </c>
      <c r="E100" s="469" t="str">
        <f t="shared" si="4"/>
        <v>PSM-5 Pourcentage de lots expédiés livrés en intégralité et dans les délais par rapport au nombre total de lots expédiés devant être fournis pour les trois maladies pendant la période de rapportage</v>
      </c>
      <c r="F100" s="470" t="str">
        <f t="shared" si="3"/>
        <v>MCI-01117</v>
      </c>
      <c r="G100" s="469" t="s">
        <v>3273</v>
      </c>
      <c r="H100" s="470"/>
      <c r="I100" s="470" t="s">
        <v>2878</v>
      </c>
      <c r="J100" s="470" t="s">
        <v>3155</v>
      </c>
      <c r="K100" s="470" t="s">
        <v>889</v>
      </c>
      <c r="L100" s="472" t="s">
        <v>3274</v>
      </c>
      <c r="M100" s="472" t="s">
        <v>3275</v>
      </c>
      <c r="N100" s="472" t="s">
        <v>3276</v>
      </c>
      <c r="O100" s="470"/>
      <c r="P100" s="470"/>
      <c r="Q100" s="470"/>
    </row>
    <row r="101" spans="1:17" s="9" customFormat="1" x14ac:dyDescent="0.25">
      <c r="A101" s="469" t="s">
        <v>3096</v>
      </c>
      <c r="B101" s="470" t="s">
        <v>3277</v>
      </c>
      <c r="C101" s="471" t="str">
        <f>CHOOSE(Translations!$C$1+1,L101,M101,N101)</f>
        <v>PSM-6 Pourcentage de produits de santé pour les bons de commande confirmés avec les fournisseurs par rapport aux quantités prévues, pour les trois maladies pendant la période de rapportage.</v>
      </c>
      <c r="D101" s="471">
        <f>CHOOSE(Translations!$C$1+1,O101,P101,Q101)</f>
        <v>0</v>
      </c>
      <c r="E101" s="469" t="str">
        <f t="shared" si="4"/>
        <v>PSM-6 Pourcentage de produits de santé pour les bons de commande confirmés avec les fournisseurs par rapport aux quantités prévues, pour les trois maladies pendant la période de rapportage.</v>
      </c>
      <c r="F101" s="470" t="str">
        <f t="shared" si="3"/>
        <v>MCI-01118</v>
      </c>
      <c r="G101" s="469" t="s">
        <v>3278</v>
      </c>
      <c r="H101" s="470"/>
      <c r="I101" s="470" t="s">
        <v>2878</v>
      </c>
      <c r="J101" s="470" t="s">
        <v>3155</v>
      </c>
      <c r="K101" s="470" t="s">
        <v>889</v>
      </c>
      <c r="L101" s="472" t="s">
        <v>3279</v>
      </c>
      <c r="M101" s="472" t="s">
        <v>3280</v>
      </c>
      <c r="N101" s="472" t="s">
        <v>3281</v>
      </c>
      <c r="O101" s="470"/>
      <c r="P101" s="470"/>
      <c r="Q101" s="470"/>
    </row>
    <row r="102" spans="1:17" s="9" customFormat="1" x14ac:dyDescent="0.25">
      <c r="A102" s="469" t="s">
        <v>3096</v>
      </c>
      <c r="B102" s="470" t="s">
        <v>3282</v>
      </c>
      <c r="C102" s="471" t="str">
        <f>CHOOSE(Translations!$C$1+1,L102,M102,N102)</f>
        <v>PSM-7 Pourcentage de lots de produits de santé pour les trois maladies ayant fait l’objet d’un test de la qualité, conformément à la politique d’assurance qualité du Fonds mondial</v>
      </c>
      <c r="D102" s="471">
        <f>CHOOSE(Translations!$C$1+1,O102,P102,Q102)</f>
        <v>0</v>
      </c>
      <c r="E102" s="469" t="str">
        <f t="shared" si="4"/>
        <v>PSM-7 Pourcentage de lots de produits de santé pour les trois maladies ayant fait l’objet d’un test de la qualité, conformément à la politique d’assurance qualité du Fonds mondial</v>
      </c>
      <c r="F102" s="470" t="str">
        <f t="shared" si="3"/>
        <v>MCI-01119</v>
      </c>
      <c r="G102" s="469" t="s">
        <v>3283</v>
      </c>
      <c r="H102" s="470"/>
      <c r="I102" s="470" t="s">
        <v>2878</v>
      </c>
      <c r="J102" s="470" t="s">
        <v>3155</v>
      </c>
      <c r="K102" s="470" t="s">
        <v>889</v>
      </c>
      <c r="L102" s="472" t="s">
        <v>3284</v>
      </c>
      <c r="M102" s="472" t="s">
        <v>3285</v>
      </c>
      <c r="N102" s="472" t="s">
        <v>3286</v>
      </c>
      <c r="O102" s="470"/>
      <c r="P102" s="470"/>
      <c r="Q102" s="470"/>
    </row>
    <row r="103" spans="1:17" s="9" customFormat="1" x14ac:dyDescent="0.25">
      <c r="A103" s="469" t="s">
        <v>3087</v>
      </c>
      <c r="B103" s="470" t="s">
        <v>2770</v>
      </c>
      <c r="C103" s="471" t="str">
        <f>CHOOSE(Translations!$C$1+1,L103,M103,N103)</f>
        <v>M&amp;E-2a Complétude des rapports des établissements de santé : Pourcentage de rapports mensuels attendus des établissements (pour la période de rapportage) qui ont été réellement reçus</v>
      </c>
      <c r="D103" s="471" t="str">
        <f>CHOOSE(Translations!$C$1+1,O103,P103,Q103)</f>
        <v>Type de rapport</v>
      </c>
      <c r="E103" s="469" t="str">
        <f t="shared" si="4"/>
        <v>M&amp;E-2a Complétude des rapports des établissements de santé : Pourcentage de rapports mensuels attendus des établissements (pour la période de rapportage) qui ont été réellement reçus</v>
      </c>
      <c r="F103" s="470" t="str">
        <f t="shared" si="3"/>
        <v>MCI-01120</v>
      </c>
      <c r="G103" s="469" t="s">
        <v>3287</v>
      </c>
      <c r="H103" s="470"/>
      <c r="I103" s="470" t="s">
        <v>2878</v>
      </c>
      <c r="J103" s="470" t="s">
        <v>3155</v>
      </c>
      <c r="K103" s="470" t="s">
        <v>888</v>
      </c>
      <c r="L103" s="472" t="s">
        <v>2779</v>
      </c>
      <c r="M103" s="472" t="s">
        <v>2780</v>
      </c>
      <c r="N103" s="472" t="s">
        <v>2781</v>
      </c>
      <c r="O103" s="470" t="s">
        <v>2773</v>
      </c>
      <c r="P103" s="470" t="s">
        <v>2774</v>
      </c>
      <c r="Q103" s="470" t="s">
        <v>2775</v>
      </c>
    </row>
    <row r="104" spans="1:17" s="9" customFormat="1" x14ac:dyDescent="0.25">
      <c r="A104" s="469" t="s">
        <v>3087</v>
      </c>
      <c r="B104" s="470" t="s">
        <v>2797</v>
      </c>
      <c r="C104" s="471" t="str">
        <f>CHOOSE(Translations!$C$1+1,L104,M104,N104)</f>
        <v>M&amp;E-2b Promptitude des rapports des établissements de santé: Pourcentage de rapports mensuels remis par les établissements (pour la période d’établissement de rapport) reçus dans les délais, conformément aux directives nationales</v>
      </c>
      <c r="D104" s="471" t="str">
        <f>CHOOSE(Translations!$C$1+1,O104,P104,Q104)</f>
        <v>Type de rapport</v>
      </c>
      <c r="E104" s="469" t="str">
        <f t="shared" si="4"/>
        <v>M&amp;E-2b Promptitude des rapports des établissements de santé: Pourcentage de rapports mensuels remis par les établissements (pour la période d’établissement de rapport) reçus dans les délais, conformément aux directives nationales</v>
      </c>
      <c r="F104" s="470" t="str">
        <f t="shared" si="3"/>
        <v>MCI-01121</v>
      </c>
      <c r="G104" s="469" t="s">
        <v>3288</v>
      </c>
      <c r="H104" s="470"/>
      <c r="I104" s="470" t="s">
        <v>2878</v>
      </c>
      <c r="J104" s="470" t="s">
        <v>3155</v>
      </c>
      <c r="K104" s="470" t="s">
        <v>888</v>
      </c>
      <c r="L104" s="472" t="s">
        <v>2800</v>
      </c>
      <c r="M104" s="472" t="s">
        <v>2801</v>
      </c>
      <c r="N104" s="472" t="s">
        <v>2802</v>
      </c>
      <c r="O104" s="470" t="s">
        <v>2773</v>
      </c>
      <c r="P104" s="470" t="s">
        <v>2774</v>
      </c>
      <c r="Q104" s="470" t="s">
        <v>2775</v>
      </c>
    </row>
    <row r="105" spans="1:17" s="9" customFormat="1" x14ac:dyDescent="0.25">
      <c r="A105" s="469" t="s">
        <v>3087</v>
      </c>
      <c r="B105" s="470" t="s">
        <v>3289</v>
      </c>
      <c r="C105" s="471" t="str">
        <f>CHOOSE(Translations!$C$1+1,L105,M105,N105)</f>
        <v>M&amp;E-4 Pourcentage de rapports de prestation de services d’agents de santé communautaires intégrés dans le SGIS</v>
      </c>
      <c r="D105" s="471">
        <f>CHOOSE(Translations!$C$1+1,O105,P105,Q105)</f>
        <v>0</v>
      </c>
      <c r="E105" s="469" t="str">
        <f t="shared" si="4"/>
        <v>M&amp;E-4 Pourcentage de rapports de prestation de services d’agents de santé communautaires intégrés dans le SGIS</v>
      </c>
      <c r="F105" s="470" t="str">
        <f t="shared" si="3"/>
        <v>MCI-01122</v>
      </c>
      <c r="G105" s="469" t="s">
        <v>3290</v>
      </c>
      <c r="H105" s="470"/>
      <c r="I105" s="470" t="s">
        <v>2878</v>
      </c>
      <c r="J105" s="470" t="s">
        <v>3155</v>
      </c>
      <c r="K105" s="470" t="s">
        <v>888</v>
      </c>
      <c r="L105" s="472" t="s">
        <v>3291</v>
      </c>
      <c r="M105" s="472" t="s">
        <v>3292</v>
      </c>
      <c r="N105" s="472" t="s">
        <v>3293</v>
      </c>
      <c r="O105" s="470"/>
      <c r="P105" s="470"/>
      <c r="Q105" s="470"/>
    </row>
    <row r="106" spans="1:17" s="9" customFormat="1" x14ac:dyDescent="0.25">
      <c r="A106" s="469" t="s">
        <v>3087</v>
      </c>
      <c r="B106" s="470" t="s">
        <v>3294</v>
      </c>
      <c r="C106" s="471" t="str">
        <f>CHOOSE(Translations!$C$1+1,L106,M106,N106)</f>
        <v>M&amp;E-5 Pourcentage d'établissements de santé ayant enregistré et transmis des données à l'aide du système d'information électronique</v>
      </c>
      <c r="D106" s="471">
        <f>CHOOSE(Translations!$C$1+1,O106,P106,Q106)</f>
        <v>0</v>
      </c>
      <c r="E106" s="469" t="str">
        <f t="shared" si="4"/>
        <v>M&amp;E-5 Pourcentage d'établissements de santé ayant enregistré et transmis des données à l'aide du système d'information électronique</v>
      </c>
      <c r="F106" s="470" t="str">
        <f t="shared" si="3"/>
        <v>MCI-01123</v>
      </c>
      <c r="G106" s="469" t="s">
        <v>3295</v>
      </c>
      <c r="H106" s="470"/>
      <c r="I106" s="470" t="s">
        <v>2878</v>
      </c>
      <c r="J106" s="470" t="s">
        <v>3155</v>
      </c>
      <c r="K106" s="470" t="s">
        <v>889</v>
      </c>
      <c r="L106" s="472" t="s">
        <v>3296</v>
      </c>
      <c r="M106" s="472" t="s">
        <v>3297</v>
      </c>
      <c r="N106" s="472" t="s">
        <v>3298</v>
      </c>
      <c r="O106" s="470"/>
      <c r="P106" s="470"/>
      <c r="Q106" s="470"/>
    </row>
    <row r="107" spans="1:17" s="9" customFormat="1" x14ac:dyDescent="0.25">
      <c r="A107" s="469" t="s">
        <v>3087</v>
      </c>
      <c r="B107" s="470" t="s">
        <v>3299</v>
      </c>
      <c r="C107" s="471" t="str">
        <f>CHOOSE(Translations!$C$1+1,L107,M107,N107)</f>
        <v>M&amp;E-6 Pourcentage de districts ayant rédigé un ou des rapports analytiques périodiques selon le plan national et le format convenus, au cours de la période de rapportage</v>
      </c>
      <c r="D107" s="471">
        <f>CHOOSE(Translations!$C$1+1,O107,P107,Q107)</f>
        <v>0</v>
      </c>
      <c r="E107" s="469" t="str">
        <f t="shared" si="4"/>
        <v>M&amp;E-6 Pourcentage de districts ayant rédigé un ou des rapports analytiques périodiques selon le plan national et le format convenus, au cours de la période de rapportage</v>
      </c>
      <c r="F107" s="470" t="str">
        <f t="shared" si="3"/>
        <v>MCI-01124</v>
      </c>
      <c r="G107" s="469" t="s">
        <v>3300</v>
      </c>
      <c r="H107" s="470"/>
      <c r="I107" s="470" t="s">
        <v>2878</v>
      </c>
      <c r="J107" s="470" t="s">
        <v>3155</v>
      </c>
      <c r="K107" s="470" t="s">
        <v>889</v>
      </c>
      <c r="L107" s="472" t="s">
        <v>3301</v>
      </c>
      <c r="M107" s="472" t="s">
        <v>3302</v>
      </c>
      <c r="N107" s="472" t="s">
        <v>3303</v>
      </c>
      <c r="O107" s="470"/>
      <c r="P107" s="470"/>
      <c r="Q107" s="470"/>
    </row>
    <row r="108" spans="1:17" s="9" customFormat="1" x14ac:dyDescent="0.25">
      <c r="A108" s="469" t="s">
        <v>3114</v>
      </c>
      <c r="B108" s="470" t="s">
        <v>2809</v>
      </c>
      <c r="C108" s="471" t="str">
        <f>CHOOSE(Translations!$C$1+1,L108,M108,N108)</f>
        <v>HRH-1 Taux de vacance : Nombre de postes à temps complet restés vacants pendant au moins 6 mois, en pourcentage du nombre total de postes financés</v>
      </c>
      <c r="D108" s="471" t="str">
        <f>CHOOSE(Translations!$C$1+1,O108,P108,Q108)</f>
        <v>Groupe d'occupation</v>
      </c>
      <c r="E108" s="469" t="str">
        <f t="shared" si="4"/>
        <v>HRH-1 Taux de vacance : Nombre de postes à temps complet restés vacants pendant au moins 6 mois, en pourcentage du nombre total de postes financés</v>
      </c>
      <c r="F108" s="470" t="str">
        <f t="shared" si="3"/>
        <v>MCI-01125</v>
      </c>
      <c r="G108" s="469" t="s">
        <v>3304</v>
      </c>
      <c r="H108" s="470"/>
      <c r="I108" s="470" t="s">
        <v>2878</v>
      </c>
      <c r="J108" s="470" t="s">
        <v>3155</v>
      </c>
      <c r="K108" s="470" t="s">
        <v>889</v>
      </c>
      <c r="L108" s="472" t="s">
        <v>2812</v>
      </c>
      <c r="M108" s="472" t="s">
        <v>2813</v>
      </c>
      <c r="N108" s="472" t="s">
        <v>2814</v>
      </c>
      <c r="O108" s="470" t="s">
        <v>2057</v>
      </c>
      <c r="P108" s="470" t="s">
        <v>2058</v>
      </c>
      <c r="Q108" s="470" t="s">
        <v>2059</v>
      </c>
    </row>
    <row r="109" spans="1:17" s="9" customFormat="1" x14ac:dyDescent="0.25">
      <c r="A109" s="469" t="s">
        <v>3114</v>
      </c>
      <c r="B109" s="470" t="s">
        <v>2823</v>
      </c>
      <c r="C109" s="471" t="str">
        <f>CHOOSE(Translations!$C$1+1,L109,M109,N109)</f>
        <v>HRH-2 Proportion d’étudiants diplômés d’un programme d’éducation et de formation des agents de santé par rapport au nombre d’étudiants inscrits en première année</v>
      </c>
      <c r="D109" s="471" t="str">
        <f>CHOOSE(Translations!$C$1+1,O109,P109,Q109)</f>
        <v>Groupe d'occupation</v>
      </c>
      <c r="E109" s="469" t="str">
        <f t="shared" si="4"/>
        <v>HRH-2 Proportion d’étudiants diplômés d’un programme d’éducation et de formation des agents de santé par rapport au nombre d’étudiants inscrits en première année</v>
      </c>
      <c r="F109" s="470" t="str">
        <f t="shared" si="3"/>
        <v>MCI-01126</v>
      </c>
      <c r="G109" s="469" t="s">
        <v>3305</v>
      </c>
      <c r="H109" s="470"/>
      <c r="I109" s="470" t="s">
        <v>2878</v>
      </c>
      <c r="J109" s="470" t="s">
        <v>3155</v>
      </c>
      <c r="K109" s="470" t="s">
        <v>889</v>
      </c>
      <c r="L109" s="472" t="s">
        <v>2826</v>
      </c>
      <c r="M109" s="472" t="s">
        <v>2827</v>
      </c>
      <c r="N109" s="472" t="s">
        <v>2828</v>
      </c>
      <c r="O109" s="470" t="s">
        <v>2057</v>
      </c>
      <c r="P109" s="470" t="s">
        <v>2058</v>
      </c>
      <c r="Q109" s="470" t="s">
        <v>2059</v>
      </c>
    </row>
    <row r="110" spans="1:17" s="9" customFormat="1" x14ac:dyDescent="0.25">
      <c r="A110" s="469" t="s">
        <v>3114</v>
      </c>
      <c r="B110" s="470" t="s">
        <v>3306</v>
      </c>
      <c r="C110" s="471" t="str">
        <f>CHOOSE(Translations!$C$1+1,L110,M110,N110)</f>
        <v>HRH-3 Proportion d'agents de santé communautaires qui ont bénéficié d’au moins une supervision formative au cours de la période de rapportage</v>
      </c>
      <c r="D110" s="471">
        <f>CHOOSE(Translations!$C$1+1,O110,P110,Q110)</f>
        <v>0</v>
      </c>
      <c r="E110" s="469" t="str">
        <f t="shared" si="4"/>
        <v>HRH-3 Proportion d'agents de santé communautaires qui ont bénéficié d’au moins une supervision formative au cours de la période de rapportage</v>
      </c>
      <c r="F110" s="470" t="str">
        <f t="shared" si="3"/>
        <v>MCI-01127</v>
      </c>
      <c r="G110" s="469" t="s">
        <v>3307</v>
      </c>
      <c r="H110" s="470"/>
      <c r="I110" s="470" t="s">
        <v>2878</v>
      </c>
      <c r="J110" s="470" t="s">
        <v>3155</v>
      </c>
      <c r="K110" s="470" t="s">
        <v>889</v>
      </c>
      <c r="L110" s="472" t="s">
        <v>3308</v>
      </c>
      <c r="M110" s="472" t="s">
        <v>3309</v>
      </c>
      <c r="N110" s="472" t="s">
        <v>3310</v>
      </c>
      <c r="O110" s="470"/>
      <c r="P110" s="470"/>
      <c r="Q110" s="470"/>
    </row>
    <row r="111" spans="1:17" s="9" customFormat="1" x14ac:dyDescent="0.25">
      <c r="A111" s="469" t="s">
        <v>3123</v>
      </c>
      <c r="B111" s="470" t="s">
        <v>3311</v>
      </c>
      <c r="C111" s="471" t="str">
        <f>CHOOSE(Translations!$C$1+1,L111,M111,N111)</f>
        <v>SD-3 Nombre de consultations ambulatoires externes du département par personne par an</v>
      </c>
      <c r="D111" s="471">
        <f>CHOOSE(Translations!$C$1+1,O111,P111,Q111)</f>
        <v>0</v>
      </c>
      <c r="E111" s="469" t="str">
        <f t="shared" si="4"/>
        <v>SD-3 Nombre de consultations ambulatoires externes du département par personne par an</v>
      </c>
      <c r="F111" s="470" t="str">
        <f t="shared" si="3"/>
        <v>MCI-01128</v>
      </c>
      <c r="G111" s="469" t="s">
        <v>3312</v>
      </c>
      <c r="H111" s="470"/>
      <c r="I111" s="470" t="s">
        <v>2878</v>
      </c>
      <c r="J111" s="470" t="s">
        <v>3155</v>
      </c>
      <c r="K111" s="470" t="s">
        <v>889</v>
      </c>
      <c r="L111" s="472" t="s">
        <v>3313</v>
      </c>
      <c r="M111" s="472" t="s">
        <v>3314</v>
      </c>
      <c r="N111" s="472" t="s">
        <v>3315</v>
      </c>
      <c r="O111" s="470"/>
      <c r="P111" s="470"/>
      <c r="Q111" s="470"/>
    </row>
    <row r="112" spans="1:17" s="9" customFormat="1" x14ac:dyDescent="0.25">
      <c r="A112" s="469" t="s">
        <v>3123</v>
      </c>
      <c r="B112" s="470" t="s">
        <v>3316</v>
      </c>
      <c r="C112" s="471" t="str">
        <f>CHOOSE(Translations!$C$1+1,L112,M112,N112)</f>
        <v>SD-4 Pourcentage d’établissements de santé  dotés d’un comité de la santé en fonction (ou similaire) qui comprend des membres communautaires et se réunit au moins tous les trimestres</v>
      </c>
      <c r="D112" s="471">
        <f>CHOOSE(Translations!$C$1+1,O112,P112,Q112)</f>
        <v>0</v>
      </c>
      <c r="E112" s="469" t="str">
        <f t="shared" si="4"/>
        <v>SD-4 Pourcentage d’établissements de santé  dotés d’un comité de la santé en fonction (ou similaire) qui comprend des membres communautaires et se réunit au moins tous les trimestres</v>
      </c>
      <c r="F112" s="470" t="str">
        <f t="shared" si="3"/>
        <v>MCI-01129</v>
      </c>
      <c r="G112" s="469" t="s">
        <v>3317</v>
      </c>
      <c r="H112" s="470"/>
      <c r="I112" s="470" t="s">
        <v>2878</v>
      </c>
      <c r="J112" s="470" t="s">
        <v>3155</v>
      </c>
      <c r="K112" s="470" t="s">
        <v>889</v>
      </c>
      <c r="L112" s="472" t="s">
        <v>3318</v>
      </c>
      <c r="M112" s="472" t="s">
        <v>3319</v>
      </c>
      <c r="N112" s="472" t="s">
        <v>3320</v>
      </c>
      <c r="O112" s="470"/>
      <c r="P112" s="470"/>
      <c r="Q112" s="470"/>
    </row>
    <row r="113" spans="1:18" s="9" customFormat="1" x14ac:dyDescent="0.25">
      <c r="A113" s="469" t="s">
        <v>3123</v>
      </c>
      <c r="B113" s="470" t="s">
        <v>3321</v>
      </c>
      <c r="C113" s="471" t="str">
        <f>CHOOSE(Translations!$C$1+1,L113,M113,N113)</f>
        <v>SD-5 Pourcentage d’établissements de santé  ayant bénéficié d’une supervision formative (au moins une fois par trimestre)</v>
      </c>
      <c r="D113" s="471">
        <f>CHOOSE(Translations!$C$1+1,O113,P113,Q113)</f>
        <v>0</v>
      </c>
      <c r="E113" s="469" t="str">
        <f t="shared" si="4"/>
        <v>SD-5 Pourcentage d’établissements de santé  ayant bénéficié d’une supervision formative (au moins une fois par trimestre)</v>
      </c>
      <c r="F113" s="470" t="str">
        <f t="shared" si="3"/>
        <v>MCI-01130</v>
      </c>
      <c r="G113" s="469" t="s">
        <v>3322</v>
      </c>
      <c r="H113" s="470"/>
      <c r="I113" s="470" t="s">
        <v>2878</v>
      </c>
      <c r="J113" s="470" t="s">
        <v>3155</v>
      </c>
      <c r="K113" s="470" t="s">
        <v>3263</v>
      </c>
      <c r="L113" s="472" t="s">
        <v>3323</v>
      </c>
      <c r="M113" s="472" t="s">
        <v>3324</v>
      </c>
      <c r="N113" s="472" t="s">
        <v>3325</v>
      </c>
      <c r="O113" s="470"/>
      <c r="P113" s="470"/>
      <c r="Q113" s="470"/>
    </row>
    <row r="114" spans="1:18" s="9" customFormat="1" x14ac:dyDescent="0.25">
      <c r="A114" s="469" t="s">
        <v>3123</v>
      </c>
      <c r="B114" s="470" t="s">
        <v>2837</v>
      </c>
      <c r="C114" s="471" t="str">
        <f>CHOOSE(Translations!$C$1+1,L114,M114,N114)</f>
        <v>SD-6 Nombre de conditions PEC-C traitées parmi les enfants de moins de cinq ans dans zones cibles au cours de la période de rapportage</v>
      </c>
      <c r="D114" s="471" t="str">
        <f>CHOOSE(Translations!$C$1+1,O114,P114,Q114)</f>
        <v>Condition PEC-C</v>
      </c>
      <c r="E114" s="469" t="str">
        <f t="shared" si="4"/>
        <v>SD-6 Nombre de conditions PEC-C traitées parmi les enfants de moins de cinq ans dans zones cibles au cours de la période de rapportage</v>
      </c>
      <c r="F114" s="470" t="str">
        <f t="shared" si="3"/>
        <v>MCI-01131</v>
      </c>
      <c r="G114" s="469" t="s">
        <v>3326</v>
      </c>
      <c r="H114" s="470"/>
      <c r="I114" s="470" t="s">
        <v>2878</v>
      </c>
      <c r="J114" s="470" t="s">
        <v>3155</v>
      </c>
      <c r="K114" s="470" t="s">
        <v>888</v>
      </c>
      <c r="L114" s="472" t="s">
        <v>2845</v>
      </c>
      <c r="M114" s="472" t="s">
        <v>2846</v>
      </c>
      <c r="N114" s="472" t="s">
        <v>2847</v>
      </c>
      <c r="O114" s="470" t="s">
        <v>2840</v>
      </c>
      <c r="P114" s="470" t="s">
        <v>2841</v>
      </c>
      <c r="Q114" s="470" t="s">
        <v>2842</v>
      </c>
    </row>
    <row r="115" spans="1:18" s="9" customFormat="1" x14ac:dyDescent="0.25">
      <c r="A115" s="469" t="s">
        <v>3078</v>
      </c>
      <c r="B115" s="470" t="s">
        <v>3327</v>
      </c>
      <c r="C115" s="471" t="str">
        <f>CHOOSE(Translations!$C$1+1,L115,M115,N115)</f>
        <v>FMS-1 Pourcentage de composants du système de gestion financière publique utilisés pour la gestion financière de la subvention</v>
      </c>
      <c r="D115" s="471">
        <f>CHOOSE(Translations!$C$1+1,O115,P115,Q115)</f>
        <v>0</v>
      </c>
      <c r="E115" s="469" t="str">
        <f t="shared" si="4"/>
        <v>FMS-1 Pourcentage de composants du système de gestion financière publique utilisés pour la gestion financière de la subvention</v>
      </c>
      <c r="F115" s="470" t="str">
        <f t="shared" si="3"/>
        <v>MCI-01132</v>
      </c>
      <c r="G115" s="469" t="s">
        <v>3328</v>
      </c>
      <c r="H115" s="470"/>
      <c r="I115" s="470" t="s">
        <v>2878</v>
      </c>
      <c r="J115" s="470" t="s">
        <v>3155</v>
      </c>
      <c r="K115" s="470" t="s">
        <v>889</v>
      </c>
      <c r="L115" s="472" t="s">
        <v>3329</v>
      </c>
      <c r="M115" s="472" t="s">
        <v>3330</v>
      </c>
      <c r="N115" s="472" t="s">
        <v>3331</v>
      </c>
      <c r="O115" s="470"/>
      <c r="P115" s="470"/>
      <c r="Q115" s="470"/>
    </row>
    <row r="116" spans="1:18" s="9" customFormat="1" x14ac:dyDescent="0.25">
      <c r="A116" s="469" t="s">
        <v>3105</v>
      </c>
      <c r="B116" s="470" t="s">
        <v>3332</v>
      </c>
      <c r="C116" s="471" t="str">
        <f>CHOOSE(Translations!$C$1+1,L116,M116,N116)</f>
        <v>HSG-1 Pourcentage d’équipes de gestion de la santé dans les districts ou d'autres unités administratives qui ont élaboré un plan de suivi comprenant des objectifs de travail annuels et des mesures de résultats</v>
      </c>
      <c r="D116" s="471">
        <f>CHOOSE(Translations!$C$1+1,O116,P116,Q116)</f>
        <v>0</v>
      </c>
      <c r="E116" s="469" t="str">
        <f t="shared" si="4"/>
        <v>HSG-1 Pourcentage d’équipes de gestion de la santé dans les districts ou d'autres unités administratives qui ont élaboré un plan de suivi comprenant des objectifs de travail annuels et des mesures de résultats</v>
      </c>
      <c r="F116" s="470" t="str">
        <f t="shared" si="3"/>
        <v>MCI-01133</v>
      </c>
      <c r="G116" s="469" t="s">
        <v>3333</v>
      </c>
      <c r="H116" s="470"/>
      <c r="I116" s="470" t="s">
        <v>2878</v>
      </c>
      <c r="J116" s="470" t="s">
        <v>3155</v>
      </c>
      <c r="K116" s="470" t="s">
        <v>889</v>
      </c>
      <c r="L116" s="472" t="s">
        <v>3334</v>
      </c>
      <c r="M116" s="472" t="s">
        <v>3335</v>
      </c>
      <c r="N116" s="472" t="s">
        <v>3336</v>
      </c>
      <c r="O116" s="470"/>
      <c r="P116" s="470"/>
      <c r="Q116" s="470"/>
    </row>
    <row r="117" spans="1:18" s="9" customFormat="1" x14ac:dyDescent="0.25">
      <c r="A117" s="469" t="s">
        <v>3069</v>
      </c>
      <c r="B117" s="470" t="s">
        <v>3337</v>
      </c>
      <c r="C117" s="471" t="str">
        <f>CHOOSE(Translations!$C$1+1,L117,M117,N117)</f>
        <v>CSS-1 Pourcentage de rapports de suivi d’organisations basées dans la communauté présentés aux mécanismes de suivi pertinents</v>
      </c>
      <c r="D117" s="471">
        <f>CHOOSE(Translations!$C$1+1,O117,P117,Q117)</f>
        <v>0</v>
      </c>
      <c r="E117" s="469" t="str">
        <f t="shared" si="4"/>
        <v>CSS-1 Pourcentage de rapports de suivi d’organisations basées dans la communauté présentés aux mécanismes de suivi pertinents</v>
      </c>
      <c r="F117" s="470" t="str">
        <f t="shared" si="3"/>
        <v>MCI-01134</v>
      </c>
      <c r="G117" s="469" t="s">
        <v>3338</v>
      </c>
      <c r="H117" s="470"/>
      <c r="I117" s="470" t="s">
        <v>2878</v>
      </c>
      <c r="J117" s="470" t="s">
        <v>3155</v>
      </c>
      <c r="K117" s="470" t="s">
        <v>888</v>
      </c>
      <c r="L117" s="472" t="s">
        <v>3339</v>
      </c>
      <c r="M117" s="472" t="s">
        <v>3340</v>
      </c>
      <c r="N117" s="472" t="s">
        <v>3341</v>
      </c>
      <c r="O117" s="470"/>
      <c r="P117" s="470"/>
      <c r="Q117" s="470"/>
    </row>
    <row r="118" spans="1:18" s="9" customFormat="1" x14ac:dyDescent="0.25">
      <c r="A118" s="469" t="s">
        <v>3069</v>
      </c>
      <c r="B118" s="470" t="s">
        <v>3342</v>
      </c>
      <c r="C118" s="471" t="str">
        <f>CHOOSE(Translations!$C$1+1,L118,M118,N118)</f>
        <v>CSS-2 Nombre d’organisations basées dans la communauté ayant reçu un paquet prédéfini de formation</v>
      </c>
      <c r="D118" s="471">
        <f>CHOOSE(Translations!$C$1+1,O118,P118,Q118)</f>
        <v>0</v>
      </c>
      <c r="E118" s="469" t="str">
        <f t="shared" si="4"/>
        <v>CSS-2 Nombre d’organisations basées dans la communauté ayant reçu un paquet prédéfini de formation</v>
      </c>
      <c r="F118" s="470" t="str">
        <f t="shared" si="3"/>
        <v>MCI-01135</v>
      </c>
      <c r="G118" s="469" t="s">
        <v>3343</v>
      </c>
      <c r="H118" s="470"/>
      <c r="I118" s="470" t="s">
        <v>2878</v>
      </c>
      <c r="J118" s="470" t="s">
        <v>3155</v>
      </c>
      <c r="K118" s="470" t="s">
        <v>889</v>
      </c>
      <c r="L118" s="472" t="s">
        <v>3344</v>
      </c>
      <c r="M118" s="472" t="s">
        <v>3345</v>
      </c>
      <c r="N118" s="472" t="s">
        <v>3346</v>
      </c>
      <c r="O118" s="470"/>
      <c r="P118" s="470"/>
      <c r="Q118" s="470"/>
    </row>
    <row r="119" spans="1:18" s="9" customFormat="1" x14ac:dyDescent="0.25">
      <c r="A119" s="469" t="s">
        <v>3132</v>
      </c>
      <c r="B119" s="470" t="s">
        <v>3347</v>
      </c>
      <c r="C119" s="471" t="str">
        <f>CHOOSE(Translations!$C$1+1,L119,M119,N119)</f>
        <v>LAB-1 Pourcentage de laboratoires nationaux de référence accrédités selon la norme ISO15189 ou ayant obtenu au moins quatre étoiles en vue de l’homologation</v>
      </c>
      <c r="D119" s="471">
        <f>CHOOSE(Translations!$C$1+1,O119,P119,Q119)</f>
        <v>0</v>
      </c>
      <c r="E119" s="469" t="str">
        <f t="shared" si="4"/>
        <v>LAB-1 Pourcentage de laboratoires nationaux de référence accrédités selon la norme ISO15189 ou ayant obtenu au moins quatre étoiles en vue de l’homologation</v>
      </c>
      <c r="F119" s="470" t="str">
        <f t="shared" si="3"/>
        <v>MCI-01136</v>
      </c>
      <c r="G119" s="469" t="s">
        <v>3348</v>
      </c>
      <c r="H119" s="470"/>
      <c r="I119" s="470" t="s">
        <v>2878</v>
      </c>
      <c r="J119" s="470" t="s">
        <v>3155</v>
      </c>
      <c r="K119" s="470" t="s">
        <v>889</v>
      </c>
      <c r="L119" s="472" t="s">
        <v>3349</v>
      </c>
      <c r="M119" s="472" t="s">
        <v>3350</v>
      </c>
      <c r="N119" s="472" t="s">
        <v>3351</v>
      </c>
      <c r="O119" s="470"/>
      <c r="P119" s="470"/>
      <c r="Q119" s="470"/>
    </row>
    <row r="121" spans="1:18" x14ac:dyDescent="0.25">
      <c r="B121" s="2" t="s">
        <v>101</v>
      </c>
    </row>
    <row r="122" spans="1:18" x14ac:dyDescent="0.25">
      <c r="B122" s="9" t="s">
        <v>225</v>
      </c>
      <c r="C122" s="145" t="s">
        <v>60</v>
      </c>
      <c r="D122" s="145" t="s">
        <v>194</v>
      </c>
      <c r="E122" s="145" t="s">
        <v>91</v>
      </c>
      <c r="F122" s="145" t="s">
        <v>195</v>
      </c>
      <c r="G122" s="145" t="s">
        <v>48</v>
      </c>
      <c r="H122" s="145" t="s">
        <v>112</v>
      </c>
      <c r="I122" s="145" t="s">
        <v>226</v>
      </c>
      <c r="J122" s="145" t="s">
        <v>223</v>
      </c>
      <c r="K122" s="145" t="s">
        <v>285</v>
      </c>
      <c r="L122" s="145" t="s">
        <v>310</v>
      </c>
      <c r="M122" s="145" t="s">
        <v>221</v>
      </c>
      <c r="N122" s="145" t="s">
        <v>103</v>
      </c>
      <c r="O122" s="145" t="s">
        <v>104</v>
      </c>
      <c r="P122" s="145" t="s">
        <v>356</v>
      </c>
      <c r="Q122" s="145" t="s">
        <v>451</v>
      </c>
      <c r="R122" s="145" t="s">
        <v>449</v>
      </c>
    </row>
    <row r="123" spans="1:18" hidden="1" x14ac:dyDescent="0.25">
      <c r="B123" s="1" t="str">
        <f t="array" ref="B123">IFERROR(INDEX($C$123:$C$157, MATCH(0, COUNTIF($B$122:B122, $C$123:$C$157&amp;"") + IF($C$123:$C$157="",1,0), 0)), "")</f>
        <v>--Select--</v>
      </c>
      <c r="C123" s="147" t="s">
        <v>52</v>
      </c>
      <c r="D123" s="145" t="s">
        <v>94</v>
      </c>
      <c r="E123" s="145" t="s">
        <v>90</v>
      </c>
      <c r="F123" s="145" t="str">
        <f>CHOOSE(Translations!$C$1+1,'Reference Records'!C123,'Reference Records'!Q123,'Reference Records'!R123)</f>
        <v>[Name - FR]</v>
      </c>
      <c r="G123" s="145" t="s">
        <v>47</v>
      </c>
      <c r="H123" s="148" t="s">
        <v>111</v>
      </c>
      <c r="I123" s="145" t="str">
        <f t="array" ref="I123">IFERROR(INDEX($D$123:$D$157, MATCH(0, COUNTIF($I$122:I122, $D$123:$D$157&amp;"") + IF($D$123:$D$157="",1,0), 0)), "")</f>
        <v>[Module-Coverage-Intervention Reference (Name)]</v>
      </c>
      <c r="J123" s="145" t="str">
        <f t="array" ref="J123">IFERROR(IF(INDEX($F$123:$F$157,MATCH(LEFT(I123,255),LEFT($D$123:$D$157,255),0))=0,"",INDEX($F$123:$F$157,MATCH(LEFT(I123,255),LEFT($D$123:$D$157,255),0))),"")</f>
        <v>[Name - FR]</v>
      </c>
      <c r="K123" s="145" t="s">
        <v>284</v>
      </c>
      <c r="L123" s="146" t="s">
        <v>102</v>
      </c>
      <c r="M123" s="146" t="s">
        <v>220</v>
      </c>
      <c r="N123" s="145" t="str">
        <f>D123</f>
        <v>[Module-Coverage-Intervention Reference (Name)]</v>
      </c>
      <c r="O123" s="145"/>
      <c r="P123" s="146" t="s">
        <v>355</v>
      </c>
      <c r="Q123" s="146" t="s">
        <v>450</v>
      </c>
      <c r="R123" s="146" t="s">
        <v>448</v>
      </c>
    </row>
    <row r="124" spans="1:18" s="9" customFormat="1" x14ac:dyDescent="0.25">
      <c r="B124" s="467" t="str">
        <f t="array" ref="B124">IFERROR(INDEX($C$123:$C$157, MATCH(0, COUNTIF($B$122:B123, $C$123:$C$157&amp;"") + IF($C$123:$C$157="",1,0), 0)), "")</f>
        <v>Differentiated HIV Testing Services</v>
      </c>
      <c r="C124" s="147" t="s">
        <v>3022</v>
      </c>
      <c r="D124" s="145" t="s">
        <v>3023</v>
      </c>
      <c r="E124" s="145" t="s">
        <v>1514</v>
      </c>
      <c r="F124" s="145" t="str">
        <f>CHOOSE(Translations!$C$1+1,'Reference Records'!C124,'Reference Records'!Q124,'Reference Records'!R124)</f>
        <v>Services de dépistage différencié du VIH</v>
      </c>
      <c r="G124" s="145" t="s">
        <v>3024</v>
      </c>
      <c r="H124" s="150" t="s">
        <v>3025</v>
      </c>
      <c r="I124" s="145" t="str">
        <f t="array" ref="I124">IFERROR(INDEX($D$123:$D$157, MATCH(0, COUNTIF($I$122:I123, $D$123:$D$157&amp;"") + IF($D$123:$D$157="",1,0), 0)), "")</f>
        <v>MCI-00650</v>
      </c>
      <c r="J124" s="145" t="str">
        <f t="array" ref="J124">IFERROR(IF(INDEX($F$123:$F$157,MATCH(LEFT(I124,255),LEFT($D$123:$D$157,255),0))=0,"",INDEX($F$123:$F$157,MATCH(LEFT(I124,255),LEFT($D$123:$D$157,255),0))),"")</f>
        <v>Services de dépistage différencié du VIH</v>
      </c>
      <c r="K124" s="145" t="s">
        <v>2878</v>
      </c>
      <c r="L124" s="146"/>
      <c r="M124" s="146" t="s">
        <v>3026</v>
      </c>
      <c r="N124" s="145" t="str">
        <f t="shared" ref="N124:N149" si="5">D124</f>
        <v>MCI-00650</v>
      </c>
      <c r="O124" s="145"/>
      <c r="P124" s="146"/>
      <c r="Q124" s="146" t="s">
        <v>3027</v>
      </c>
      <c r="R124" s="146" t="s">
        <v>3028</v>
      </c>
    </row>
    <row r="125" spans="1:18" s="9" customFormat="1" x14ac:dyDescent="0.25">
      <c r="B125" s="467" t="str">
        <f t="array" ref="B125">IFERROR(INDEX($C$123:$C$157, MATCH(0, COUNTIF($B$122:B124, $C$123:$C$157&amp;"") + IF($C$123:$C$157="",1,0), 0)), "")</f>
        <v>Payment for results</v>
      </c>
      <c r="C125" s="147" t="s">
        <v>3029</v>
      </c>
      <c r="D125" s="145" t="s">
        <v>3030</v>
      </c>
      <c r="E125" s="145" t="s">
        <v>1514</v>
      </c>
      <c r="F125" s="145" t="str">
        <f>CHOOSE(Translations!$C$1+1,'Reference Records'!C125,'Reference Records'!Q125,'Reference Records'!R125)</f>
        <v>Financement basé sur les résultats</v>
      </c>
      <c r="G125" s="145" t="s">
        <v>3031</v>
      </c>
      <c r="H125" s="150" t="s">
        <v>3032</v>
      </c>
      <c r="I125" s="145" t="str">
        <f t="array" ref="I125">IFERROR(INDEX($D$123:$D$157, MATCH(0, COUNTIF($I$122:I124, $D$123:$D$157&amp;"") + IF($D$123:$D$157="",1,0), 0)), "")</f>
        <v>MCI-00669</v>
      </c>
      <c r="J125" s="145" t="str">
        <f t="array" ref="J125">IFERROR(IF(INDEX($F$123:$F$157,MATCH(LEFT(I125,255),LEFT($D$123:$D$157,255),0))=0,"",INDEX($F$123:$F$157,MATCH(LEFT(I125,255),LEFT($D$123:$D$157,255),0))),"")</f>
        <v>Financement basé sur les résultats</v>
      </c>
      <c r="K125" s="145" t="s">
        <v>2878</v>
      </c>
      <c r="L125" s="146"/>
      <c r="M125" s="146" t="s">
        <v>3033</v>
      </c>
      <c r="N125" s="145" t="str">
        <f t="shared" si="5"/>
        <v>MCI-00669</v>
      </c>
      <c r="O125" s="145"/>
      <c r="P125" s="146"/>
      <c r="Q125" s="146" t="s">
        <v>3034</v>
      </c>
      <c r="R125" s="146" t="s">
        <v>3035</v>
      </c>
    </row>
    <row r="126" spans="1:18" s="9" customFormat="1" x14ac:dyDescent="0.25">
      <c r="B126" s="467" t="str">
        <f t="array" ref="B126">IFERROR(INDEX($C$123:$C$157, MATCH(0, COUNTIF($B$122:B125, $C$123:$C$157&amp;"") + IF($C$123:$C$157="",1,0), 0)), "")</f>
        <v>PMTCT</v>
      </c>
      <c r="C126" s="147" t="s">
        <v>3029</v>
      </c>
      <c r="D126" s="145" t="s">
        <v>3030</v>
      </c>
      <c r="E126" s="145" t="s">
        <v>274</v>
      </c>
      <c r="F126" s="145" t="str">
        <f>CHOOSE(Translations!$C$1+1,'Reference Records'!C126,'Reference Records'!Q126,'Reference Records'!R126)</f>
        <v>Financement basé sur les résultats</v>
      </c>
      <c r="G126" s="145" t="s">
        <v>3036</v>
      </c>
      <c r="H126" s="150" t="s">
        <v>3032</v>
      </c>
      <c r="I126" s="145" t="str">
        <f t="array" ref="I126">IFERROR(INDEX($D$123:$D$157, MATCH(0, COUNTIF($I$122:I125, $D$123:$D$157&amp;"") + IF($D$123:$D$157="",1,0), 0)), "")</f>
        <v>MCI-00649</v>
      </c>
      <c r="J126" s="145" t="str">
        <f t="array" ref="J126">IFERROR(IF(INDEX($F$123:$F$157,MATCH(LEFT(I126,255),LEFT($D$123:$D$157,255),0))=0,"",INDEX($F$123:$F$157,MATCH(LEFT(I126,255),LEFT($D$123:$D$157,255),0))),"")</f>
        <v>PTME</v>
      </c>
      <c r="K126" s="145" t="s">
        <v>2878</v>
      </c>
      <c r="L126" s="146"/>
      <c r="M126" s="146" t="s">
        <v>3037</v>
      </c>
      <c r="N126" s="145" t="str">
        <f t="shared" si="5"/>
        <v>MCI-00669</v>
      </c>
      <c r="O126" s="145"/>
      <c r="P126" s="146"/>
      <c r="Q126" s="146" t="s">
        <v>3034</v>
      </c>
      <c r="R126" s="146" t="s">
        <v>3035</v>
      </c>
    </row>
    <row r="127" spans="1:18" s="9" customFormat="1" x14ac:dyDescent="0.25">
      <c r="B127" s="467" t="str">
        <f t="array" ref="B127">IFERROR(INDEX($C$123:$C$157, MATCH(0, COUNTIF($B$122:B126, $C$123:$C$157&amp;"") + IF($C$123:$C$157="",1,0), 0)), "")</f>
        <v>Prevention</v>
      </c>
      <c r="C127" s="147" t="s">
        <v>3038</v>
      </c>
      <c r="D127" s="145" t="s">
        <v>3039</v>
      </c>
      <c r="E127" s="145" t="s">
        <v>1514</v>
      </c>
      <c r="F127" s="145" t="str">
        <f>CHOOSE(Translations!$C$1+1,'Reference Records'!C127,'Reference Records'!Q127,'Reference Records'!R127)</f>
        <v>PTME</v>
      </c>
      <c r="G127" s="145" t="s">
        <v>3040</v>
      </c>
      <c r="H127" s="150" t="s">
        <v>3041</v>
      </c>
      <c r="I127" s="145" t="str">
        <f t="array" ref="I127">IFERROR(INDEX($D$123:$D$157, MATCH(0, COUNTIF($I$122:I126, $D$123:$D$157&amp;"") + IF($D$123:$D$157="",1,0), 0)), "")</f>
        <v>MCI-00648</v>
      </c>
      <c r="J127" s="145" t="str">
        <f t="array" ref="J127">IFERROR(IF(INDEX($F$123:$F$157,MATCH(LEFT(I127,255),LEFT($D$123:$D$157,255),0))=0,"",INDEX($F$123:$F$157,MATCH(LEFT(I127,255),LEFT($D$123:$D$157,255),0))),"")</f>
        <v>Prévention</v>
      </c>
      <c r="K127" s="145" t="s">
        <v>2878</v>
      </c>
      <c r="L127" s="146"/>
      <c r="M127" s="146" t="s">
        <v>3042</v>
      </c>
      <c r="N127" s="145" t="str">
        <f t="shared" si="5"/>
        <v>MCI-00649</v>
      </c>
      <c r="O127" s="145"/>
      <c r="P127" s="146"/>
      <c r="Q127" s="146" t="s">
        <v>3043</v>
      </c>
      <c r="R127" s="146" t="s">
        <v>3044</v>
      </c>
    </row>
    <row r="128" spans="1:18" s="9" customFormat="1" x14ac:dyDescent="0.25">
      <c r="B128" s="467" t="str">
        <f t="array" ref="B128">IFERROR(INDEX($C$123:$C$157, MATCH(0, COUNTIF($B$122:B127, $C$123:$C$157&amp;"") + IF($C$123:$C$157="",1,0), 0)), "")</f>
        <v>Program management</v>
      </c>
      <c r="C128" s="147" t="s">
        <v>3045</v>
      </c>
      <c r="D128" s="145" t="s">
        <v>3046</v>
      </c>
      <c r="E128" s="145" t="s">
        <v>1514</v>
      </c>
      <c r="F128" s="145" t="str">
        <f>CHOOSE(Translations!$C$1+1,'Reference Records'!C128,'Reference Records'!Q128,'Reference Records'!R128)</f>
        <v>Prévention</v>
      </c>
      <c r="G128" s="145" t="s">
        <v>3047</v>
      </c>
      <c r="H128" s="150" t="s">
        <v>3048</v>
      </c>
      <c r="I128" s="145" t="str">
        <f t="array" ref="I128">IFERROR(INDEX($D$123:$D$157, MATCH(0, COUNTIF($I$122:I127, $D$123:$D$157&amp;"") + IF($D$123:$D$157="",1,0), 0)), "")</f>
        <v>MCI-00660</v>
      </c>
      <c r="J128" s="145" t="str">
        <f t="array" ref="J128">IFERROR(IF(INDEX($F$123:$F$157,MATCH(LEFT(I128,255),LEFT($D$123:$D$157,255),0))=0,"",INDEX($F$123:$F$157,MATCH(LEFT(I128,255),LEFT($D$123:$D$157,255),0))),"")</f>
        <v>Gestion de programme</v>
      </c>
      <c r="K128" s="145" t="s">
        <v>2878</v>
      </c>
      <c r="L128" s="146"/>
      <c r="M128" s="146" t="s">
        <v>3049</v>
      </c>
      <c r="N128" s="145" t="str">
        <f t="shared" si="5"/>
        <v>MCI-00648</v>
      </c>
      <c r="O128" s="145"/>
      <c r="P128" s="146"/>
      <c r="Q128" s="146" t="s">
        <v>3050</v>
      </c>
      <c r="R128" s="146" t="s">
        <v>3051</v>
      </c>
    </row>
    <row r="129" spans="2:18" s="9" customFormat="1" x14ac:dyDescent="0.25">
      <c r="B129" s="467" t="str">
        <f t="array" ref="B129">IFERROR(INDEX($C$123:$C$157, MATCH(0, COUNTIF($B$122:B128, $C$123:$C$157&amp;"") + IF($C$123:$C$157="",1,0), 0)), "")</f>
        <v>Reducing human rights-related barriers to HIV/TB services</v>
      </c>
      <c r="C129" s="147" t="s">
        <v>3052</v>
      </c>
      <c r="D129" s="145" t="s">
        <v>3053</v>
      </c>
      <c r="E129" s="145" t="s">
        <v>1514</v>
      </c>
      <c r="F129" s="145" t="str">
        <f>CHOOSE(Translations!$C$1+1,'Reference Records'!C129,'Reference Records'!Q129,'Reference Records'!R129)</f>
        <v>Gestion de programme</v>
      </c>
      <c r="G129" s="145" t="s">
        <v>3054</v>
      </c>
      <c r="H129" s="150" t="s">
        <v>3055</v>
      </c>
      <c r="I129" s="145" t="str">
        <f t="array" ref="I129">IFERROR(INDEX($D$123:$D$157, MATCH(0, COUNTIF($I$122:I128, $D$123:$D$157&amp;"") + IF($D$123:$D$157="",1,0), 0)), "")</f>
        <v>MCI-00652</v>
      </c>
      <c r="J129" s="145" t="str">
        <f t="array" ref="J129">IFERROR(IF(INDEX($F$123:$F$157,MATCH(LEFT(I129,255),LEFT($D$123:$D$157,255),0))=0,"",INDEX($F$123:$F$157,MATCH(LEFT(I129,255),LEFT($D$123:$D$157,255),0))),"")</f>
        <v>Réduction des obstacles liés aux droits humains qui entravent l’accès aux services de lutte contre le VIH/la tuberculose</v>
      </c>
      <c r="K129" s="145" t="s">
        <v>2878</v>
      </c>
      <c r="L129" s="146"/>
      <c r="M129" s="146" t="s">
        <v>3056</v>
      </c>
      <c r="N129" s="145" t="str">
        <f t="shared" si="5"/>
        <v>MCI-00660</v>
      </c>
      <c r="O129" s="145"/>
      <c r="P129" s="146"/>
      <c r="Q129" s="146" t="s">
        <v>3057</v>
      </c>
      <c r="R129" s="146" t="s">
        <v>3058</v>
      </c>
    </row>
    <row r="130" spans="2:18" s="9" customFormat="1" x14ac:dyDescent="0.25">
      <c r="B130" s="467" t="str">
        <f t="array" ref="B130">IFERROR(INDEX($C$123:$C$157, MATCH(0, COUNTIF($B$122:B129, $C$123:$C$157&amp;"") + IF($C$123:$C$157="",1,0), 0)), "")</f>
        <v>RSSH: Community systems strengthening</v>
      </c>
      <c r="C130" s="147" t="s">
        <v>3052</v>
      </c>
      <c r="D130" s="145" t="s">
        <v>3053</v>
      </c>
      <c r="E130" s="145" t="s">
        <v>274</v>
      </c>
      <c r="F130" s="145" t="str">
        <f>CHOOSE(Translations!$C$1+1,'Reference Records'!C130,'Reference Records'!Q130,'Reference Records'!R130)</f>
        <v>Gestion de programme</v>
      </c>
      <c r="G130" s="145" t="s">
        <v>3059</v>
      </c>
      <c r="H130" s="150" t="s">
        <v>3055</v>
      </c>
      <c r="I130" s="145" t="str">
        <f t="array" ref="I130">IFERROR(INDEX($D$123:$D$157, MATCH(0, COUNTIF($I$122:I129, $D$123:$D$157&amp;"") + IF($D$123:$D$157="",1,0), 0)), "")</f>
        <v>MCI-00667</v>
      </c>
      <c r="J130" s="145" t="str">
        <f t="array" ref="J130">IFERROR(IF(INDEX($F$123:$F$157,MATCH(LEFT(I130,255),LEFT($D$123:$D$157,255),0))=0,"",INDEX($F$123:$F$157,MATCH(LEFT(I130,255),LEFT($D$123:$D$157,255),0))),"")</f>
        <v>SRPS : Renforcement des systèmes communautaires</v>
      </c>
      <c r="K130" s="145" t="s">
        <v>2878</v>
      </c>
      <c r="L130" s="146"/>
      <c r="M130" s="146" t="s">
        <v>3060</v>
      </c>
      <c r="N130" s="145" t="str">
        <f t="shared" si="5"/>
        <v>MCI-00660</v>
      </c>
      <c r="O130" s="145"/>
      <c r="P130" s="146"/>
      <c r="Q130" s="146" t="s">
        <v>3057</v>
      </c>
      <c r="R130" s="146" t="s">
        <v>3058</v>
      </c>
    </row>
    <row r="131" spans="2:18" s="9" customFormat="1" x14ac:dyDescent="0.25">
      <c r="B131" s="467" t="str">
        <f t="array" ref="B131">IFERROR(INDEX($C$123:$C$157, MATCH(0, COUNTIF($B$122:B130, $C$123:$C$157&amp;"") + IF($C$123:$C$157="",1,0), 0)), "")</f>
        <v>RSSH: Financial management systems</v>
      </c>
      <c r="C131" s="147" t="s">
        <v>3061</v>
      </c>
      <c r="D131" s="145" t="s">
        <v>3062</v>
      </c>
      <c r="E131" s="145" t="s">
        <v>1514</v>
      </c>
      <c r="F131" s="145" t="str">
        <f>CHOOSE(Translations!$C$1+1,'Reference Records'!C131,'Reference Records'!Q131,'Reference Records'!R131)</f>
        <v>Réduction des obstacles liés aux droits humains qui entravent l’accès aux services de lutte contre le VIH/la tuberculose</v>
      </c>
      <c r="G131" s="145" t="s">
        <v>3063</v>
      </c>
      <c r="H131" s="150" t="s">
        <v>3064</v>
      </c>
      <c r="I131" s="145" t="str">
        <f t="array" ref="I131">IFERROR(INDEX($D$123:$D$157, MATCH(0, COUNTIF($I$122:I130, $D$123:$D$157&amp;"") + IF($D$123:$D$157="",1,0), 0)), "")</f>
        <v>MCI-00665</v>
      </c>
      <c r="J131" s="145" t="str">
        <f t="array" ref="J131">IFERROR(IF(INDEX($F$123:$F$157,MATCH(LEFT(I131,255),LEFT($D$123:$D$157,255),0))=0,"",INDEX($F$123:$F$157,MATCH(LEFT(I131,255),LEFT($D$123:$D$157,255),0))),"")</f>
        <v>SRPS : Systèmes de gestion financière</v>
      </c>
      <c r="K131" s="145" t="s">
        <v>2878</v>
      </c>
      <c r="L131" s="146"/>
      <c r="M131" s="146" t="s">
        <v>3065</v>
      </c>
      <c r="N131" s="145" t="str">
        <f t="shared" si="5"/>
        <v>MCI-00652</v>
      </c>
      <c r="O131" s="145"/>
      <c r="P131" s="146"/>
      <c r="Q131" s="146" t="s">
        <v>3066</v>
      </c>
      <c r="R131" s="146" t="s">
        <v>3067</v>
      </c>
    </row>
    <row r="132" spans="2:18" s="9" customFormat="1" x14ac:dyDescent="0.25">
      <c r="B132" s="467" t="str">
        <f t="array" ref="B132">IFERROR(INDEX($C$123:$C$157, MATCH(0, COUNTIF($B$122:B131, $C$123:$C$157&amp;"") + IF($C$123:$C$157="",1,0), 0)), "")</f>
        <v>RSSH: Health management information systems and M&amp;E</v>
      </c>
      <c r="C132" s="147" t="s">
        <v>3068</v>
      </c>
      <c r="D132" s="145" t="s">
        <v>3069</v>
      </c>
      <c r="E132" s="145" t="s">
        <v>1514</v>
      </c>
      <c r="F132" s="145" t="str">
        <f>CHOOSE(Translations!$C$1+1,'Reference Records'!C132,'Reference Records'!Q132,'Reference Records'!R132)</f>
        <v>SRPS : Renforcement des systèmes communautaires</v>
      </c>
      <c r="G132" s="145" t="s">
        <v>3070</v>
      </c>
      <c r="H132" s="150" t="s">
        <v>3071</v>
      </c>
      <c r="I132" s="145" t="str">
        <f t="array" ref="I132">IFERROR(INDEX($D$123:$D$157, MATCH(0, COUNTIF($I$122:I131, $D$123:$D$157&amp;"") + IF($D$123:$D$157="",1,0), 0)), "")</f>
        <v>MCI-00662</v>
      </c>
      <c r="J132" s="145" t="str">
        <f t="array" ref="J132">IFERROR(IF(INDEX($F$123:$F$157,MATCH(LEFT(I132,255),LEFT($D$123:$D$157,255),0))=0,"",INDEX($F$123:$F$157,MATCH(LEFT(I132,255),LEFT($D$123:$D$157,255),0))),"")</f>
        <v>SRPS : Système de gestion de l’information sanitaire et suivi et évaluation</v>
      </c>
      <c r="K132" s="145" t="s">
        <v>2878</v>
      </c>
      <c r="L132" s="146"/>
      <c r="M132" s="146" t="s">
        <v>3072</v>
      </c>
      <c r="N132" s="145" t="str">
        <f t="shared" si="5"/>
        <v>MCI-00667</v>
      </c>
      <c r="O132" s="145"/>
      <c r="P132" s="146"/>
      <c r="Q132" s="146" t="s">
        <v>3073</v>
      </c>
      <c r="R132" s="146" t="s">
        <v>3074</v>
      </c>
    </row>
    <row r="133" spans="2:18" s="9" customFormat="1" x14ac:dyDescent="0.25">
      <c r="B133" s="467" t="str">
        <f t="array" ref="B133">IFERROR(INDEX($C$123:$C$157, MATCH(0, COUNTIF($B$122:B132, $C$123:$C$157&amp;"") + IF($C$123:$C$157="",1,0), 0)), "")</f>
        <v>RSSH: Health products management systems</v>
      </c>
      <c r="C133" s="147" t="s">
        <v>3068</v>
      </c>
      <c r="D133" s="145" t="s">
        <v>3069</v>
      </c>
      <c r="E133" s="145" t="s">
        <v>274</v>
      </c>
      <c r="F133" s="145" t="str">
        <f>CHOOSE(Translations!$C$1+1,'Reference Records'!C133,'Reference Records'!Q133,'Reference Records'!R133)</f>
        <v>SRPS : Renforcement des systèmes communautaires</v>
      </c>
      <c r="G133" s="145" t="s">
        <v>3075</v>
      </c>
      <c r="H133" s="150" t="s">
        <v>3071</v>
      </c>
      <c r="I133" s="145" t="str">
        <f t="array" ref="I133">IFERROR(INDEX($D$123:$D$157, MATCH(0, COUNTIF($I$122:I132, $D$123:$D$157&amp;"") + IF($D$123:$D$157="",1,0), 0)), "")</f>
        <v>MCI-00661</v>
      </c>
      <c r="J133" s="145" t="str">
        <f t="array" ref="J133">IFERROR(IF(INDEX($F$123:$F$157,MATCH(LEFT(I133,255),LEFT($D$123:$D$157,255),0))=0,"",INDEX($F$123:$F$157,MATCH(LEFT(I133,255),LEFT($D$123:$D$157,255),0))),"")</f>
        <v>SRPS: Systèmes de gestion des produits de santé</v>
      </c>
      <c r="K133" s="145" t="s">
        <v>2878</v>
      </c>
      <c r="L133" s="146"/>
      <c r="M133" s="146" t="s">
        <v>3076</v>
      </c>
      <c r="N133" s="145" t="str">
        <f t="shared" si="5"/>
        <v>MCI-00667</v>
      </c>
      <c r="O133" s="145"/>
      <c r="P133" s="146"/>
      <c r="Q133" s="146" t="s">
        <v>3073</v>
      </c>
      <c r="R133" s="146" t="s">
        <v>3074</v>
      </c>
    </row>
    <row r="134" spans="2:18" s="9" customFormat="1" x14ac:dyDescent="0.25">
      <c r="B134" s="467" t="str">
        <f t="array" ref="B134">IFERROR(INDEX($C$123:$C$157, MATCH(0, COUNTIF($B$122:B133, $C$123:$C$157&amp;"") + IF($C$123:$C$157="",1,0), 0)), "")</f>
        <v>RSSH: Health sector governance and planning</v>
      </c>
      <c r="C134" s="147" t="s">
        <v>3077</v>
      </c>
      <c r="D134" s="145" t="s">
        <v>3078</v>
      </c>
      <c r="E134" s="145" t="s">
        <v>1514</v>
      </c>
      <c r="F134" s="145" t="str">
        <f>CHOOSE(Translations!$C$1+1,'Reference Records'!C134,'Reference Records'!Q134,'Reference Records'!R134)</f>
        <v>SRPS : Systèmes de gestion financière</v>
      </c>
      <c r="G134" s="145" t="s">
        <v>3079</v>
      </c>
      <c r="H134" s="150" t="s">
        <v>3080</v>
      </c>
      <c r="I134" s="145" t="str">
        <f t="array" ref="I134">IFERROR(INDEX($D$123:$D$157, MATCH(0, COUNTIF($I$122:I133, $D$123:$D$157&amp;"") + IF($D$123:$D$157="",1,0), 0)), "")</f>
        <v>MCI-00666</v>
      </c>
      <c r="J134" s="145" t="str">
        <f t="array" ref="J134">IFERROR(IF(INDEX($F$123:$F$157,MATCH(LEFT(I134,255),LEFT($D$123:$D$157,255),0))=0,"",INDEX($F$123:$F$157,MATCH(LEFT(I134,255),LEFT($D$123:$D$157,255),0))),"")</f>
        <v>SRPS : Gouvernance et planification du secteur de la santé</v>
      </c>
      <c r="K134" s="145" t="s">
        <v>2878</v>
      </c>
      <c r="L134" s="146"/>
      <c r="M134" s="146" t="s">
        <v>3081</v>
      </c>
      <c r="N134" s="145" t="str">
        <f t="shared" si="5"/>
        <v>MCI-00665</v>
      </c>
      <c r="O134" s="145"/>
      <c r="P134" s="146"/>
      <c r="Q134" s="146" t="s">
        <v>3082</v>
      </c>
      <c r="R134" s="146" t="s">
        <v>3083</v>
      </c>
    </row>
    <row r="135" spans="2:18" s="9" customFormat="1" x14ac:dyDescent="0.25">
      <c r="B135" s="467" t="str">
        <f t="array" ref="B135">IFERROR(INDEX($C$123:$C$157, MATCH(0, COUNTIF($B$122:B134, $C$123:$C$157&amp;"") + IF($C$123:$C$157="",1,0), 0)), "")</f>
        <v>RSSH: Human resources for health, including community health workers</v>
      </c>
      <c r="C135" s="147" t="s">
        <v>3077</v>
      </c>
      <c r="D135" s="145" t="s">
        <v>3078</v>
      </c>
      <c r="E135" s="145" t="s">
        <v>274</v>
      </c>
      <c r="F135" s="145" t="str">
        <f>CHOOSE(Translations!$C$1+1,'Reference Records'!C135,'Reference Records'!Q135,'Reference Records'!R135)</f>
        <v>SRPS : Systèmes de gestion financière</v>
      </c>
      <c r="G135" s="145" t="s">
        <v>3084</v>
      </c>
      <c r="H135" s="150" t="s">
        <v>3080</v>
      </c>
      <c r="I135" s="145" t="str">
        <f t="array" ref="I135">IFERROR(INDEX($D$123:$D$157, MATCH(0, COUNTIF($I$122:I134, $D$123:$D$157&amp;"") + IF($D$123:$D$157="",1,0), 0)), "")</f>
        <v>MCI-00663</v>
      </c>
      <c r="J135" s="145" t="str">
        <f t="array" ref="J135">IFERROR(IF(INDEX($F$123:$F$157,MATCH(LEFT(I135,255),LEFT($D$123:$D$157,255),0))=0,"",INDEX($F$123:$F$157,MATCH(LEFT(I135,255),LEFT($D$123:$D$157,255),0))),"")</f>
        <v>SRPS : Ressources humaines pour la santé, y compris agents de santé communautaires</v>
      </c>
      <c r="K135" s="145" t="s">
        <v>2878</v>
      </c>
      <c r="L135" s="146"/>
      <c r="M135" s="146" t="s">
        <v>3085</v>
      </c>
      <c r="N135" s="145" t="str">
        <f t="shared" si="5"/>
        <v>MCI-00665</v>
      </c>
      <c r="O135" s="145"/>
      <c r="P135" s="146"/>
      <c r="Q135" s="146" t="s">
        <v>3082</v>
      </c>
      <c r="R135" s="146" t="s">
        <v>3083</v>
      </c>
    </row>
    <row r="136" spans="2:18" s="9" customFormat="1" x14ac:dyDescent="0.25">
      <c r="B136" s="467" t="str">
        <f t="array" ref="B136">IFERROR(INDEX($C$123:$C$157, MATCH(0, COUNTIF($B$122:B135, $C$123:$C$157&amp;"") + IF($C$123:$C$157="",1,0), 0)), "")</f>
        <v>RSSH: Integrated service delivery and quality improvement</v>
      </c>
      <c r="C136" s="147" t="s">
        <v>3086</v>
      </c>
      <c r="D136" s="145" t="s">
        <v>3087</v>
      </c>
      <c r="E136" s="145" t="s">
        <v>1514</v>
      </c>
      <c r="F136" s="145" t="str">
        <f>CHOOSE(Translations!$C$1+1,'Reference Records'!C136,'Reference Records'!Q136,'Reference Records'!R136)</f>
        <v>SRPS : Système de gestion de l’information sanitaire et suivi et évaluation</v>
      </c>
      <c r="G136" s="145" t="s">
        <v>3088</v>
      </c>
      <c r="H136" s="150" t="s">
        <v>3089</v>
      </c>
      <c r="I136" s="145" t="str">
        <f t="array" ref="I136">IFERROR(INDEX($D$123:$D$157, MATCH(0, COUNTIF($I$122:I135, $D$123:$D$157&amp;"") + IF($D$123:$D$157="",1,0), 0)), "")</f>
        <v>MCI-00664</v>
      </c>
      <c r="J136" s="145" t="str">
        <f t="array" ref="J136">IFERROR(IF(INDEX($F$123:$F$157,MATCH(LEFT(I136,255),LEFT($D$123:$D$157,255),0))=0,"",INDEX($F$123:$F$157,MATCH(LEFT(I136,255),LEFT($D$123:$D$157,255),0))),"")</f>
        <v>SRPS : Fourniture de service intégré et amélioration de la qualité</v>
      </c>
      <c r="K136" s="145" t="s">
        <v>2878</v>
      </c>
      <c r="L136" s="146"/>
      <c r="M136" s="146" t="s">
        <v>3090</v>
      </c>
      <c r="N136" s="145" t="str">
        <f t="shared" si="5"/>
        <v>MCI-00662</v>
      </c>
      <c r="O136" s="145"/>
      <c r="P136" s="146"/>
      <c r="Q136" s="146" t="s">
        <v>3091</v>
      </c>
      <c r="R136" s="146" t="s">
        <v>3092</v>
      </c>
    </row>
    <row r="137" spans="2:18" s="9" customFormat="1" x14ac:dyDescent="0.25">
      <c r="B137" s="467" t="str">
        <f t="array" ref="B137">IFERROR(INDEX($C$123:$C$157, MATCH(0, COUNTIF($B$122:B136, $C$123:$C$157&amp;"") + IF($C$123:$C$157="",1,0), 0)), "")</f>
        <v>RSSH: Laboratory systems</v>
      </c>
      <c r="C137" s="147" t="s">
        <v>3086</v>
      </c>
      <c r="D137" s="145" t="s">
        <v>3087</v>
      </c>
      <c r="E137" s="145" t="s">
        <v>274</v>
      </c>
      <c r="F137" s="145" t="str">
        <f>CHOOSE(Translations!$C$1+1,'Reference Records'!C137,'Reference Records'!Q137,'Reference Records'!R137)</f>
        <v>SRPS : Système de gestion de l’information sanitaire et suivi et évaluation</v>
      </c>
      <c r="G137" s="145" t="s">
        <v>3093</v>
      </c>
      <c r="H137" s="150" t="s">
        <v>3089</v>
      </c>
      <c r="I137" s="145" t="str">
        <f t="array" ref="I137">IFERROR(INDEX($D$123:$D$157, MATCH(0, COUNTIF($I$122:I136, $D$123:$D$157&amp;"") + IF($D$123:$D$157="",1,0), 0)), "")</f>
        <v>MCI-00668</v>
      </c>
      <c r="J137" s="145" t="str">
        <f t="array" ref="J137">IFERROR(IF(INDEX($F$123:$F$157,MATCH(LEFT(I137,255),LEFT($D$123:$D$157,255),0))=0,"",INDEX($F$123:$F$157,MATCH(LEFT(I137,255),LEFT($D$123:$D$157,255),0))),"")</f>
        <v>SRPS : Systèmes de laboratoire</v>
      </c>
      <c r="K137" s="145" t="s">
        <v>2878</v>
      </c>
      <c r="L137" s="146"/>
      <c r="M137" s="146" t="s">
        <v>3094</v>
      </c>
      <c r="N137" s="145" t="str">
        <f t="shared" si="5"/>
        <v>MCI-00662</v>
      </c>
      <c r="O137" s="145"/>
      <c r="P137" s="146"/>
      <c r="Q137" s="146" t="s">
        <v>3091</v>
      </c>
      <c r="R137" s="146" t="s">
        <v>3092</v>
      </c>
    </row>
    <row r="138" spans="2:18" s="9" customFormat="1" x14ac:dyDescent="0.25">
      <c r="B138" s="467" t="str">
        <f t="array" ref="B138">IFERROR(INDEX($C$123:$C$157, MATCH(0, COUNTIF($B$122:B137, $C$123:$C$157&amp;"") + IF($C$123:$C$157="",1,0), 0)), "")</f>
        <v>TB/HIV</v>
      </c>
      <c r="C138" s="147" t="s">
        <v>3095</v>
      </c>
      <c r="D138" s="145" t="s">
        <v>3096</v>
      </c>
      <c r="E138" s="145" t="s">
        <v>1514</v>
      </c>
      <c r="F138" s="145" t="str">
        <f>CHOOSE(Translations!$C$1+1,'Reference Records'!C138,'Reference Records'!Q138,'Reference Records'!R138)</f>
        <v>SRPS: Systèmes de gestion des produits de santé</v>
      </c>
      <c r="G138" s="145" t="s">
        <v>3097</v>
      </c>
      <c r="H138" s="150" t="s">
        <v>3098</v>
      </c>
      <c r="I138" s="145" t="str">
        <f t="array" ref="I138">IFERROR(INDEX($D$123:$D$157, MATCH(0, COUNTIF($I$122:I137, $D$123:$D$157&amp;"") + IF($D$123:$D$157="",1,0), 0)), "")</f>
        <v>MCI-00656</v>
      </c>
      <c r="J138" s="145" t="str">
        <f t="array" ref="J138">IFERROR(IF(INDEX($F$123:$F$157,MATCH(LEFT(I138,255),LEFT($D$123:$D$157,255),0))=0,"",INDEX($F$123:$F$157,MATCH(LEFT(I138,255),LEFT($D$123:$D$157,255),0))),"")</f>
        <v>Tuberculose/VIH</v>
      </c>
      <c r="K138" s="145" t="s">
        <v>2878</v>
      </c>
      <c r="L138" s="146"/>
      <c r="M138" s="146" t="s">
        <v>3099</v>
      </c>
      <c r="N138" s="145" t="str">
        <f t="shared" si="5"/>
        <v>MCI-00661</v>
      </c>
      <c r="O138" s="145"/>
      <c r="P138" s="146"/>
      <c r="Q138" s="146" t="s">
        <v>3100</v>
      </c>
      <c r="R138" s="146" t="s">
        <v>3101</v>
      </c>
    </row>
    <row r="139" spans="2:18" s="9" customFormat="1" x14ac:dyDescent="0.25">
      <c r="B139" s="467" t="str">
        <f t="array" ref="B139">IFERROR(INDEX($C$123:$C$157, MATCH(0, COUNTIF($B$122:B138, $C$123:$C$157&amp;"") + IF($C$123:$C$157="",1,0), 0)), "")</f>
        <v>Treatment, care and support</v>
      </c>
      <c r="C139" s="147" t="s">
        <v>3095</v>
      </c>
      <c r="D139" s="145" t="s">
        <v>3096</v>
      </c>
      <c r="E139" s="145" t="s">
        <v>274</v>
      </c>
      <c r="F139" s="145" t="str">
        <f>CHOOSE(Translations!$C$1+1,'Reference Records'!C139,'Reference Records'!Q139,'Reference Records'!R139)</f>
        <v>SRPS: Systèmes de gestion des produits de santé</v>
      </c>
      <c r="G139" s="145" t="s">
        <v>3102</v>
      </c>
      <c r="H139" s="150" t="s">
        <v>3098</v>
      </c>
      <c r="I139" s="145" t="str">
        <f t="array" ref="I139">IFERROR(INDEX($D$123:$D$157, MATCH(0, COUNTIF($I$122:I138, $D$123:$D$157&amp;"") + IF($D$123:$D$157="",1,0), 0)), "")</f>
        <v>MCI-00651</v>
      </c>
      <c r="J139" s="145" t="str">
        <f t="array" ref="J139">IFERROR(IF(INDEX($F$123:$F$157,MATCH(LEFT(I139,255),LEFT($D$123:$D$157,255),0))=0,"",INDEX($F$123:$F$157,MATCH(LEFT(I139,255),LEFT($D$123:$D$157,255),0))),"")</f>
        <v>Traitement, prise en charge et soutien</v>
      </c>
      <c r="K139" s="145" t="s">
        <v>2878</v>
      </c>
      <c r="L139" s="146"/>
      <c r="M139" s="146" t="s">
        <v>3103</v>
      </c>
      <c r="N139" s="145" t="str">
        <f t="shared" si="5"/>
        <v>MCI-00661</v>
      </c>
      <c r="O139" s="145"/>
      <c r="P139" s="146"/>
      <c r="Q139" s="146" t="s">
        <v>3100</v>
      </c>
      <c r="R139" s="146" t="s">
        <v>3101</v>
      </c>
    </row>
    <row r="140" spans="2:18" s="9" customFormat="1" x14ac:dyDescent="0.25">
      <c r="B140" s="467" t="str">
        <f t="array" ref="B140">IFERROR(INDEX($C$123:$C$157, MATCH(0, COUNTIF($B$122:B139, $C$123:$C$157&amp;"") + IF($C$123:$C$157="",1,0), 0)), "")</f>
        <v/>
      </c>
      <c r="C140" s="147" t="s">
        <v>3104</v>
      </c>
      <c r="D140" s="145" t="s">
        <v>3105</v>
      </c>
      <c r="E140" s="145" t="s">
        <v>1514</v>
      </c>
      <c r="F140" s="145" t="str">
        <f>CHOOSE(Translations!$C$1+1,'Reference Records'!C140,'Reference Records'!Q140,'Reference Records'!R140)</f>
        <v>SRPS : Gouvernance et planification du secteur de la santé</v>
      </c>
      <c r="G140" s="145" t="s">
        <v>3106</v>
      </c>
      <c r="H140" s="150" t="s">
        <v>3107</v>
      </c>
      <c r="I140" s="145" t="str">
        <f t="array" ref="I140">IFERROR(INDEX($D$123:$D$157, MATCH(0, COUNTIF($I$122:I139, $D$123:$D$157&amp;"") + IF($D$123:$D$157="",1,0), 0)), "")</f>
        <v/>
      </c>
      <c r="J140" s="145" t="str">
        <f t="array" ref="J140">IFERROR(IF(INDEX($F$123:$F$157,MATCH(LEFT(I140,255),LEFT($D$123:$D$157,255),0))=0,"",INDEX($F$123:$F$157,MATCH(LEFT(I140,255),LEFT($D$123:$D$157,255),0))),"")</f>
        <v/>
      </c>
      <c r="K140" s="145" t="s">
        <v>2878</v>
      </c>
      <c r="L140" s="146"/>
      <c r="M140" s="146" t="s">
        <v>3108</v>
      </c>
      <c r="N140" s="145" t="str">
        <f t="shared" si="5"/>
        <v>MCI-00666</v>
      </c>
      <c r="O140" s="145"/>
      <c r="P140" s="146"/>
      <c r="Q140" s="146" t="s">
        <v>3109</v>
      </c>
      <c r="R140" s="146" t="s">
        <v>3110</v>
      </c>
    </row>
    <row r="141" spans="2:18" s="9" customFormat="1" x14ac:dyDescent="0.25">
      <c r="B141" s="467" t="str">
        <f t="array" ref="B141">IFERROR(INDEX($C$123:$C$157, MATCH(0, COUNTIF($B$122:B140, $C$123:$C$157&amp;"") + IF($C$123:$C$157="",1,0), 0)), "")</f>
        <v/>
      </c>
      <c r="C141" s="147" t="s">
        <v>3104</v>
      </c>
      <c r="D141" s="145" t="s">
        <v>3105</v>
      </c>
      <c r="E141" s="145" t="s">
        <v>274</v>
      </c>
      <c r="F141" s="145" t="str">
        <f>CHOOSE(Translations!$C$1+1,'Reference Records'!C141,'Reference Records'!Q141,'Reference Records'!R141)</f>
        <v>SRPS : Gouvernance et planification du secteur de la santé</v>
      </c>
      <c r="G141" s="145" t="s">
        <v>3111</v>
      </c>
      <c r="H141" s="150" t="s">
        <v>3107</v>
      </c>
      <c r="I141" s="145" t="str">
        <f t="array" ref="I141">IFERROR(INDEX($D$123:$D$157, MATCH(0, COUNTIF($I$122:I140, $D$123:$D$157&amp;"") + IF($D$123:$D$157="",1,0), 0)), "")</f>
        <v/>
      </c>
      <c r="J141" s="145" t="str">
        <f t="array" ref="J141">IFERROR(IF(INDEX($F$123:$F$157,MATCH(LEFT(I141,255),LEFT($D$123:$D$157,255),0))=0,"",INDEX($F$123:$F$157,MATCH(LEFT(I141,255),LEFT($D$123:$D$157,255),0))),"")</f>
        <v/>
      </c>
      <c r="K141" s="145" t="s">
        <v>2878</v>
      </c>
      <c r="L141" s="146"/>
      <c r="M141" s="146" t="s">
        <v>3112</v>
      </c>
      <c r="N141" s="145" t="str">
        <f t="shared" si="5"/>
        <v>MCI-00666</v>
      </c>
      <c r="O141" s="145"/>
      <c r="P141" s="146"/>
      <c r="Q141" s="146" t="s">
        <v>3109</v>
      </c>
      <c r="R141" s="146" t="s">
        <v>3110</v>
      </c>
    </row>
    <row r="142" spans="2:18" s="9" customFormat="1" x14ac:dyDescent="0.25">
      <c r="B142" s="467" t="str">
        <f t="array" ref="B142">IFERROR(INDEX($C$123:$C$157, MATCH(0, COUNTIF($B$122:B141, $C$123:$C$157&amp;"") + IF($C$123:$C$157="",1,0), 0)), "")</f>
        <v/>
      </c>
      <c r="C142" s="147" t="s">
        <v>3113</v>
      </c>
      <c r="D142" s="145" t="s">
        <v>3114</v>
      </c>
      <c r="E142" s="145" t="s">
        <v>1514</v>
      </c>
      <c r="F142" s="145" t="str">
        <f>CHOOSE(Translations!$C$1+1,'Reference Records'!C142,'Reference Records'!Q142,'Reference Records'!R142)</f>
        <v>SRPS : Ressources humaines pour la santé, y compris agents de santé communautaires</v>
      </c>
      <c r="G142" s="145" t="s">
        <v>3115</v>
      </c>
      <c r="H142" s="150" t="s">
        <v>3116</v>
      </c>
      <c r="I142" s="145" t="str">
        <f t="array" ref="I142">IFERROR(INDEX($D$123:$D$157, MATCH(0, COUNTIF($I$122:I141, $D$123:$D$157&amp;"") + IF($D$123:$D$157="",1,0), 0)), "")</f>
        <v/>
      </c>
      <c r="J142" s="145" t="str">
        <f t="array" ref="J142">IFERROR(IF(INDEX($F$123:$F$157,MATCH(LEFT(I142,255),LEFT($D$123:$D$157,255),0))=0,"",INDEX($F$123:$F$157,MATCH(LEFT(I142,255),LEFT($D$123:$D$157,255),0))),"")</f>
        <v/>
      </c>
      <c r="K142" s="145" t="s">
        <v>2878</v>
      </c>
      <c r="L142" s="146"/>
      <c r="M142" s="146" t="s">
        <v>3117</v>
      </c>
      <c r="N142" s="145" t="str">
        <f t="shared" si="5"/>
        <v>MCI-00663</v>
      </c>
      <c r="O142" s="145"/>
      <c r="P142" s="146"/>
      <c r="Q142" s="146" t="s">
        <v>3118</v>
      </c>
      <c r="R142" s="146" t="s">
        <v>3119</v>
      </c>
    </row>
    <row r="143" spans="2:18" s="9" customFormat="1" x14ac:dyDescent="0.25">
      <c r="B143" s="467" t="str">
        <f t="array" ref="B143">IFERROR(INDEX($C$123:$C$157, MATCH(0, COUNTIF($B$122:B142, $C$123:$C$157&amp;"") + IF($C$123:$C$157="",1,0), 0)), "")</f>
        <v/>
      </c>
      <c r="C143" s="147" t="s">
        <v>3113</v>
      </c>
      <c r="D143" s="145" t="s">
        <v>3114</v>
      </c>
      <c r="E143" s="145" t="s">
        <v>274</v>
      </c>
      <c r="F143" s="145" t="str">
        <f>CHOOSE(Translations!$C$1+1,'Reference Records'!C143,'Reference Records'!Q143,'Reference Records'!R143)</f>
        <v>SRPS : Ressources humaines pour la santé, y compris agents de santé communautaires</v>
      </c>
      <c r="G143" s="145" t="s">
        <v>3120</v>
      </c>
      <c r="H143" s="150" t="s">
        <v>3116</v>
      </c>
      <c r="I143" s="145" t="str">
        <f t="array" ref="I143">IFERROR(INDEX($D$123:$D$157, MATCH(0, COUNTIF($I$122:I142, $D$123:$D$157&amp;"") + IF($D$123:$D$157="",1,0), 0)), "")</f>
        <v/>
      </c>
      <c r="J143" s="145" t="str">
        <f t="array" ref="J143">IFERROR(IF(INDEX($F$123:$F$157,MATCH(LEFT(I143,255),LEFT($D$123:$D$157,255),0))=0,"",INDEX($F$123:$F$157,MATCH(LEFT(I143,255),LEFT($D$123:$D$157,255),0))),"")</f>
        <v/>
      </c>
      <c r="K143" s="145" t="s">
        <v>2878</v>
      </c>
      <c r="L143" s="146"/>
      <c r="M143" s="146" t="s">
        <v>3121</v>
      </c>
      <c r="N143" s="145" t="str">
        <f t="shared" si="5"/>
        <v>MCI-00663</v>
      </c>
      <c r="O143" s="145"/>
      <c r="P143" s="146"/>
      <c r="Q143" s="146" t="s">
        <v>3118</v>
      </c>
      <c r="R143" s="146" t="s">
        <v>3119</v>
      </c>
    </row>
    <row r="144" spans="2:18" s="9" customFormat="1" x14ac:dyDescent="0.25">
      <c r="B144" s="467" t="str">
        <f t="array" ref="B144">IFERROR(INDEX($C$123:$C$157, MATCH(0, COUNTIF($B$122:B143, $C$123:$C$157&amp;"") + IF($C$123:$C$157="",1,0), 0)), "")</f>
        <v/>
      </c>
      <c r="C144" s="147" t="s">
        <v>3122</v>
      </c>
      <c r="D144" s="145" t="s">
        <v>3123</v>
      </c>
      <c r="E144" s="145" t="s">
        <v>1514</v>
      </c>
      <c r="F144" s="145" t="str">
        <f>CHOOSE(Translations!$C$1+1,'Reference Records'!C144,'Reference Records'!Q144,'Reference Records'!R144)</f>
        <v>SRPS : Fourniture de service intégré et amélioration de la qualité</v>
      </c>
      <c r="G144" s="145" t="s">
        <v>3124</v>
      </c>
      <c r="H144" s="150" t="s">
        <v>3125</v>
      </c>
      <c r="I144" s="145" t="str">
        <f t="array" ref="I144">IFERROR(INDEX($D$123:$D$157, MATCH(0, COUNTIF($I$122:I143, $D$123:$D$157&amp;"") + IF($D$123:$D$157="",1,0), 0)), "")</f>
        <v/>
      </c>
      <c r="J144" s="145" t="str">
        <f t="array" ref="J144">IFERROR(IF(INDEX($F$123:$F$157,MATCH(LEFT(I144,255),LEFT($D$123:$D$157,255),0))=0,"",INDEX($F$123:$F$157,MATCH(LEFT(I144,255),LEFT($D$123:$D$157,255),0))),"")</f>
        <v/>
      </c>
      <c r="K144" s="145" t="s">
        <v>2878</v>
      </c>
      <c r="L144" s="146"/>
      <c r="M144" s="146" t="s">
        <v>3126</v>
      </c>
      <c r="N144" s="145" t="str">
        <f t="shared" si="5"/>
        <v>MCI-00664</v>
      </c>
      <c r="O144" s="145"/>
      <c r="P144" s="146"/>
      <c r="Q144" s="146" t="s">
        <v>3127</v>
      </c>
      <c r="R144" s="146" t="s">
        <v>3128</v>
      </c>
    </row>
    <row r="145" spans="1:18" s="9" customFormat="1" x14ac:dyDescent="0.25">
      <c r="B145" s="467" t="str">
        <f t="array" ref="B145">IFERROR(INDEX($C$123:$C$157, MATCH(0, COUNTIF($B$122:B144, $C$123:$C$157&amp;"") + IF($C$123:$C$157="",1,0), 0)), "")</f>
        <v/>
      </c>
      <c r="C145" s="147" t="s">
        <v>3122</v>
      </c>
      <c r="D145" s="145" t="s">
        <v>3123</v>
      </c>
      <c r="E145" s="145" t="s">
        <v>274</v>
      </c>
      <c r="F145" s="145" t="str">
        <f>CHOOSE(Translations!$C$1+1,'Reference Records'!C145,'Reference Records'!Q145,'Reference Records'!R145)</f>
        <v>SRPS : Fourniture de service intégré et amélioration de la qualité</v>
      </c>
      <c r="G145" s="145" t="s">
        <v>3129</v>
      </c>
      <c r="H145" s="150" t="s">
        <v>3125</v>
      </c>
      <c r="I145" s="145" t="str">
        <f t="array" ref="I145">IFERROR(INDEX($D$123:$D$157, MATCH(0, COUNTIF($I$122:I144, $D$123:$D$157&amp;"") + IF($D$123:$D$157="",1,0), 0)), "")</f>
        <v/>
      </c>
      <c r="J145" s="145" t="str">
        <f t="array" ref="J145">IFERROR(IF(INDEX($F$123:$F$157,MATCH(LEFT(I145,255),LEFT($D$123:$D$157,255),0))=0,"",INDEX($F$123:$F$157,MATCH(LEFT(I145,255),LEFT($D$123:$D$157,255),0))),"")</f>
        <v/>
      </c>
      <c r="K145" s="145" t="s">
        <v>2878</v>
      </c>
      <c r="L145" s="146"/>
      <c r="M145" s="146" t="s">
        <v>3130</v>
      </c>
      <c r="N145" s="145" t="str">
        <f t="shared" si="5"/>
        <v>MCI-00664</v>
      </c>
      <c r="O145" s="145"/>
      <c r="P145" s="146"/>
      <c r="Q145" s="146" t="s">
        <v>3127</v>
      </c>
      <c r="R145" s="146" t="s">
        <v>3128</v>
      </c>
    </row>
    <row r="146" spans="1:18" s="9" customFormat="1" x14ac:dyDescent="0.25">
      <c r="B146" s="467" t="str">
        <f t="array" ref="B146">IFERROR(INDEX($C$123:$C$157, MATCH(0, COUNTIF($B$122:B145, $C$123:$C$157&amp;"") + IF($C$123:$C$157="",1,0), 0)), "")</f>
        <v/>
      </c>
      <c r="C146" s="147" t="s">
        <v>3131</v>
      </c>
      <c r="D146" s="145" t="s">
        <v>3132</v>
      </c>
      <c r="E146" s="145" t="s">
        <v>1514</v>
      </c>
      <c r="F146" s="145" t="str">
        <f>CHOOSE(Translations!$C$1+1,'Reference Records'!C146,'Reference Records'!Q146,'Reference Records'!R146)</f>
        <v>SRPS : Systèmes de laboratoire</v>
      </c>
      <c r="G146" s="145" t="s">
        <v>3133</v>
      </c>
      <c r="H146" s="150" t="s">
        <v>3134</v>
      </c>
      <c r="I146" s="145" t="str">
        <f t="array" ref="I146">IFERROR(INDEX($D$123:$D$157, MATCH(0, COUNTIF($I$122:I145, $D$123:$D$157&amp;"") + IF($D$123:$D$157="",1,0), 0)), "")</f>
        <v/>
      </c>
      <c r="J146" s="145" t="str">
        <f t="array" ref="J146">IFERROR(IF(INDEX($F$123:$F$157,MATCH(LEFT(I146,255),LEFT($D$123:$D$157,255),0))=0,"",INDEX($F$123:$F$157,MATCH(LEFT(I146,255),LEFT($D$123:$D$157,255),0))),"")</f>
        <v/>
      </c>
      <c r="K146" s="145" t="s">
        <v>2878</v>
      </c>
      <c r="L146" s="146"/>
      <c r="M146" s="146" t="s">
        <v>3135</v>
      </c>
      <c r="N146" s="145" t="str">
        <f t="shared" si="5"/>
        <v>MCI-00668</v>
      </c>
      <c r="O146" s="145"/>
      <c r="P146" s="146"/>
      <c r="Q146" s="146" t="s">
        <v>3136</v>
      </c>
      <c r="R146" s="146" t="s">
        <v>3137</v>
      </c>
    </row>
    <row r="147" spans="1:18" s="9" customFormat="1" x14ac:dyDescent="0.25">
      <c r="B147" s="467" t="str">
        <f t="array" ref="B147">IFERROR(INDEX($C$123:$C$157, MATCH(0, COUNTIF($B$122:B146, $C$123:$C$157&amp;"") + IF($C$123:$C$157="",1,0), 0)), "")</f>
        <v/>
      </c>
      <c r="C147" s="147" t="s">
        <v>3131</v>
      </c>
      <c r="D147" s="145" t="s">
        <v>3132</v>
      </c>
      <c r="E147" s="145" t="s">
        <v>274</v>
      </c>
      <c r="F147" s="145" t="str">
        <f>CHOOSE(Translations!$C$1+1,'Reference Records'!C147,'Reference Records'!Q147,'Reference Records'!R147)</f>
        <v>SRPS : Systèmes de laboratoire</v>
      </c>
      <c r="G147" s="145" t="s">
        <v>3138</v>
      </c>
      <c r="H147" s="150" t="s">
        <v>3134</v>
      </c>
      <c r="I147" s="145" t="str">
        <f t="array" ref="I147">IFERROR(INDEX($D$123:$D$157, MATCH(0, COUNTIF($I$122:I146, $D$123:$D$157&amp;"") + IF($D$123:$D$157="",1,0), 0)), "")</f>
        <v/>
      </c>
      <c r="J147" s="145" t="str">
        <f t="array" ref="J147">IFERROR(IF(INDEX($F$123:$F$157,MATCH(LEFT(I147,255),LEFT($D$123:$D$157,255),0))=0,"",INDEX($F$123:$F$157,MATCH(LEFT(I147,255),LEFT($D$123:$D$157,255),0))),"")</f>
        <v/>
      </c>
      <c r="K147" s="145" t="s">
        <v>2878</v>
      </c>
      <c r="L147" s="146"/>
      <c r="M147" s="146" t="s">
        <v>3139</v>
      </c>
      <c r="N147" s="145" t="str">
        <f t="shared" si="5"/>
        <v>MCI-00668</v>
      </c>
      <c r="O147" s="145"/>
      <c r="P147" s="146"/>
      <c r="Q147" s="146" t="s">
        <v>3136</v>
      </c>
      <c r="R147" s="146" t="s">
        <v>3137</v>
      </c>
    </row>
    <row r="148" spans="1:18" s="9" customFormat="1" x14ac:dyDescent="0.25">
      <c r="B148" s="467" t="str">
        <f t="array" ref="B148">IFERROR(INDEX($C$123:$C$157, MATCH(0, COUNTIF($B$122:B147, $C$123:$C$157&amp;"") + IF($C$123:$C$157="",1,0), 0)), "")</f>
        <v/>
      </c>
      <c r="C148" s="147" t="s">
        <v>3140</v>
      </c>
      <c r="D148" s="145" t="s">
        <v>3141</v>
      </c>
      <c r="E148" s="145" t="s">
        <v>1514</v>
      </c>
      <c r="F148" s="145" t="str">
        <f>CHOOSE(Translations!$C$1+1,'Reference Records'!C148,'Reference Records'!Q148,'Reference Records'!R148)</f>
        <v>Tuberculose/VIH</v>
      </c>
      <c r="G148" s="145" t="s">
        <v>3142</v>
      </c>
      <c r="H148" s="150" t="s">
        <v>3143</v>
      </c>
      <c r="I148" s="145" t="str">
        <f t="array" ref="I148">IFERROR(INDEX($D$123:$D$157, MATCH(0, COUNTIF($I$122:I147, $D$123:$D$157&amp;"") + IF($D$123:$D$157="",1,0), 0)), "")</f>
        <v/>
      </c>
      <c r="J148" s="145" t="str">
        <f t="array" ref="J148">IFERROR(IF(INDEX($F$123:$F$157,MATCH(LEFT(I148,255),LEFT($D$123:$D$157,255),0))=0,"",INDEX($F$123:$F$157,MATCH(LEFT(I148,255),LEFT($D$123:$D$157,255),0))),"")</f>
        <v/>
      </c>
      <c r="K148" s="145" t="s">
        <v>2878</v>
      </c>
      <c r="L148" s="146"/>
      <c r="M148" s="146" t="s">
        <v>3144</v>
      </c>
      <c r="N148" s="145" t="str">
        <f t="shared" si="5"/>
        <v>MCI-00656</v>
      </c>
      <c r="O148" s="145"/>
      <c r="P148" s="146"/>
      <c r="Q148" s="146" t="s">
        <v>3145</v>
      </c>
      <c r="R148" s="146" t="s">
        <v>3146</v>
      </c>
    </row>
    <row r="149" spans="1:18" s="9" customFormat="1" x14ac:dyDescent="0.25">
      <c r="B149" s="467" t="str">
        <f t="array" ref="B149">IFERROR(INDEX($C$123:$C$157, MATCH(0, COUNTIF($B$122:B148, $C$123:$C$157&amp;"") + IF($C$123:$C$157="",1,0), 0)), "")</f>
        <v/>
      </c>
      <c r="C149" s="147" t="s">
        <v>3147</v>
      </c>
      <c r="D149" s="145" t="s">
        <v>3148</v>
      </c>
      <c r="E149" s="145" t="s">
        <v>1514</v>
      </c>
      <c r="F149" s="145" t="str">
        <f>CHOOSE(Translations!$C$1+1,'Reference Records'!C149,'Reference Records'!Q149,'Reference Records'!R149)</f>
        <v>Traitement, prise en charge et soutien</v>
      </c>
      <c r="G149" s="145" t="s">
        <v>3149</v>
      </c>
      <c r="H149" s="150" t="s">
        <v>3150</v>
      </c>
      <c r="I149" s="145" t="str">
        <f t="array" ref="I149">IFERROR(INDEX($D$123:$D$157, MATCH(0, COUNTIF($I$122:I148, $D$123:$D$157&amp;"") + IF($D$123:$D$157="",1,0), 0)), "")</f>
        <v/>
      </c>
      <c r="J149" s="145" t="str">
        <f t="array" ref="J149">IFERROR(IF(INDEX($F$123:$F$157,MATCH(LEFT(I149,255),LEFT($D$123:$D$157,255),0))=0,"",INDEX($F$123:$F$157,MATCH(LEFT(I149,255),LEFT($D$123:$D$157,255),0))),"")</f>
        <v/>
      </c>
      <c r="K149" s="145" t="s">
        <v>2878</v>
      </c>
      <c r="L149" s="146"/>
      <c r="M149" s="146" t="s">
        <v>3151</v>
      </c>
      <c r="N149" s="145" t="str">
        <f t="shared" si="5"/>
        <v>MCI-00651</v>
      </c>
      <c r="O149" s="145"/>
      <c r="P149" s="146"/>
      <c r="Q149" s="146" t="s">
        <v>3152</v>
      </c>
      <c r="R149" s="146" t="s">
        <v>3153</v>
      </c>
    </row>
    <row r="150" spans="1:18" s="9" customFormat="1" x14ac:dyDescent="0.25">
      <c r="C150" s="147"/>
      <c r="D150" s="145"/>
      <c r="E150" s="145"/>
      <c r="F150" s="149"/>
      <c r="G150" s="145"/>
      <c r="H150" s="148"/>
      <c r="I150" s="145"/>
      <c r="J150" s="145"/>
      <c r="K150" s="145"/>
      <c r="L150" s="145"/>
      <c r="M150" s="146"/>
    </row>
    <row r="151" spans="1:18" s="9" customFormat="1" x14ac:dyDescent="0.25">
      <c r="C151" s="147"/>
      <c r="D151" s="145"/>
      <c r="E151" s="145"/>
      <c r="F151" s="149"/>
      <c r="G151" s="145"/>
      <c r="H151" s="148"/>
      <c r="I151" s="145"/>
      <c r="J151" s="145"/>
      <c r="K151" s="145"/>
      <c r="L151" s="145"/>
      <c r="M151" s="146"/>
    </row>
    <row r="152" spans="1:18" s="9" customFormat="1" x14ac:dyDescent="0.25">
      <c r="C152" s="147"/>
      <c r="D152" s="145"/>
      <c r="E152" s="145"/>
      <c r="F152" s="149"/>
      <c r="G152" s="145"/>
      <c r="H152" s="148"/>
      <c r="I152" s="145"/>
      <c r="J152" s="145"/>
      <c r="K152" s="145"/>
      <c r="L152" s="145"/>
      <c r="M152" s="146"/>
    </row>
    <row r="153" spans="1:18" s="9" customFormat="1" x14ac:dyDescent="0.25">
      <c r="C153" s="147"/>
      <c r="D153" s="145"/>
      <c r="E153" s="145"/>
      <c r="F153" s="149"/>
      <c r="G153" s="145"/>
      <c r="H153" s="148"/>
      <c r="I153" s="145"/>
      <c r="J153" s="145"/>
      <c r="K153" s="145"/>
      <c r="L153" s="145"/>
      <c r="M153" s="146"/>
    </row>
    <row r="154" spans="1:18" s="9" customFormat="1" x14ac:dyDescent="0.25">
      <c r="C154" s="147"/>
      <c r="D154" s="145"/>
      <c r="E154" s="145"/>
      <c r="F154" s="149"/>
      <c r="G154" s="145"/>
      <c r="H154" s="148"/>
      <c r="I154" s="145"/>
      <c r="J154" s="145"/>
      <c r="K154" s="145"/>
      <c r="L154" s="145"/>
      <c r="M154" s="146"/>
    </row>
    <row r="155" spans="1:18" s="9" customFormat="1" x14ac:dyDescent="0.25">
      <c r="C155" s="147"/>
      <c r="D155" s="145"/>
      <c r="E155" s="145"/>
      <c r="F155" s="149"/>
      <c r="G155" s="145"/>
      <c r="H155" s="148"/>
      <c r="I155" s="145"/>
      <c r="J155" s="145"/>
      <c r="K155" s="145"/>
      <c r="L155" s="145"/>
      <c r="M155" s="146"/>
    </row>
    <row r="156" spans="1:18" s="9" customFormat="1" x14ac:dyDescent="0.25">
      <c r="C156" s="147"/>
      <c r="D156" s="145"/>
      <c r="E156" s="145"/>
      <c r="F156" s="149"/>
      <c r="G156" s="145"/>
      <c r="H156" s="148"/>
      <c r="I156" s="145"/>
      <c r="J156" s="145"/>
      <c r="K156" s="145"/>
      <c r="L156" s="145"/>
      <c r="M156" s="146"/>
    </row>
    <row r="158" spans="1:18" x14ac:dyDescent="0.25">
      <c r="A158" s="2" t="s">
        <v>59</v>
      </c>
    </row>
    <row r="159" spans="1:18" x14ac:dyDescent="0.25">
      <c r="A159" s="469" t="s">
        <v>1</v>
      </c>
      <c r="B159" s="469" t="s">
        <v>107</v>
      </c>
      <c r="C159" s="469" t="s">
        <v>452</v>
      </c>
      <c r="D159" s="469" t="s">
        <v>45</v>
      </c>
      <c r="E159" s="469" t="s">
        <v>48</v>
      </c>
      <c r="F159" s="469" t="s">
        <v>103</v>
      </c>
      <c r="G159" s="469" t="s">
        <v>104</v>
      </c>
      <c r="H159" s="469" t="s">
        <v>113</v>
      </c>
      <c r="I159" s="469" t="s">
        <v>106</v>
      </c>
      <c r="J159" s="469" t="s">
        <v>105</v>
      </c>
      <c r="K159" s="469" t="s">
        <v>67</v>
      </c>
      <c r="L159" s="469" t="s">
        <v>451</v>
      </c>
      <c r="M159" s="469" t="s">
        <v>449</v>
      </c>
      <c r="N159" s="469" t="s">
        <v>285</v>
      </c>
    </row>
    <row r="160" spans="1:18" hidden="1" x14ac:dyDescent="0.25">
      <c r="A160" s="469" t="s">
        <v>102</v>
      </c>
      <c r="B160" s="470" t="s">
        <v>79</v>
      </c>
      <c r="C160" s="469" t="str">
        <f>CHOOSE(Translations!$C$1+1,K160,L160,M160)</f>
        <v>[Name - FR]</v>
      </c>
      <c r="D160" s="470" t="s">
        <v>44</v>
      </c>
      <c r="E160" s="469" t="s">
        <v>47</v>
      </c>
      <c r="F160" s="470" t="str">
        <f>B160</f>
        <v>[Name ID]</v>
      </c>
      <c r="G160" s="469" t="str">
        <f>A160&amp;C160</f>
        <v>[Module (Name)][Name - FR]</v>
      </c>
      <c r="H160" s="469" t="str">
        <f>A160&amp;C160</f>
        <v>[Module (Name)][Name - FR]</v>
      </c>
      <c r="I160" s="470" t="str">
        <f>F160</f>
        <v>[Name ID]</v>
      </c>
      <c r="J160" s="469"/>
      <c r="K160" s="472" t="s">
        <v>52</v>
      </c>
      <c r="L160" s="470" t="s">
        <v>450</v>
      </c>
      <c r="M160" s="470" t="s">
        <v>448</v>
      </c>
      <c r="N160" s="469" t="s">
        <v>284</v>
      </c>
    </row>
    <row r="161" spans="1:14" s="9" customFormat="1" x14ac:dyDescent="0.25">
      <c r="A161" s="469" t="s">
        <v>3046</v>
      </c>
      <c r="B161" s="469" t="s">
        <v>3352</v>
      </c>
      <c r="C161" s="469" t="str">
        <f>CHOOSE(Translations!$C$1+1,K161,L161,M161)</f>
        <v>Lutte contre la stigmatisation, la discrimination et la violence</v>
      </c>
      <c r="D161" s="469"/>
      <c r="E161" s="469" t="s">
        <v>3353</v>
      </c>
      <c r="F161" s="470" t="str">
        <f t="shared" ref="F161:F224" si="6">B161</f>
        <v>MCI-00676</v>
      </c>
      <c r="G161" s="469" t="str">
        <f t="shared" ref="G161:G224" si="7">A161&amp;C161</f>
        <v>MCI-00648Lutte contre la stigmatisation, la discrimination et la violence</v>
      </c>
      <c r="H161" s="469" t="str">
        <f t="shared" ref="H161:H224" si="8">A161&amp;C161</f>
        <v>MCI-00648Lutte contre la stigmatisation, la discrimination et la violence</v>
      </c>
      <c r="I161" s="470" t="str">
        <f t="shared" ref="I161:I224" si="9">F161</f>
        <v>MCI-00676</v>
      </c>
      <c r="J161" s="469"/>
      <c r="K161" s="472" t="s">
        <v>3354</v>
      </c>
      <c r="L161" s="470" t="s">
        <v>3355</v>
      </c>
      <c r="M161" s="470" t="s">
        <v>3356</v>
      </c>
      <c r="N161" s="469" t="s">
        <v>2878</v>
      </c>
    </row>
    <row r="162" spans="1:14" s="9" customFormat="1" x14ac:dyDescent="0.25">
      <c r="A162" s="469" t="s">
        <v>3046</v>
      </c>
      <c r="B162" s="469" t="s">
        <v>3357</v>
      </c>
      <c r="C162" s="469" t="str">
        <f>CHOOSE(Translations!$C$1+1,K162,L162,M162)</f>
        <v>Interventions pour le changement de comportement</v>
      </c>
      <c r="D162" s="469"/>
      <c r="E162" s="469" t="s">
        <v>3358</v>
      </c>
      <c r="F162" s="470" t="str">
        <f t="shared" si="6"/>
        <v>MCI-00672</v>
      </c>
      <c r="G162" s="469" t="str">
        <f t="shared" si="7"/>
        <v>MCI-00648Interventions pour le changement de comportement</v>
      </c>
      <c r="H162" s="469" t="str">
        <f t="shared" si="8"/>
        <v>MCI-00648Interventions pour le changement de comportement</v>
      </c>
      <c r="I162" s="470" t="str">
        <f t="shared" si="9"/>
        <v>MCI-00672</v>
      </c>
      <c r="J162" s="469"/>
      <c r="K162" s="472" t="s">
        <v>3359</v>
      </c>
      <c r="L162" s="470" t="s">
        <v>3360</v>
      </c>
      <c r="M162" s="470" t="s">
        <v>3361</v>
      </c>
      <c r="N162" s="469" t="s">
        <v>2878</v>
      </c>
    </row>
    <row r="163" spans="1:14" s="9" customFormat="1" x14ac:dyDescent="0.25">
      <c r="A163" s="469" t="s">
        <v>3046</v>
      </c>
      <c r="B163" s="469" t="s">
        <v>3362</v>
      </c>
      <c r="C163" s="469" t="str">
        <f>CHOOSE(Translations!$C$1+1,K163,L163,M163)</f>
        <v>Autonomisation des communautés</v>
      </c>
      <c r="D163" s="469"/>
      <c r="E163" s="469" t="s">
        <v>3363</v>
      </c>
      <c r="F163" s="470" t="str">
        <f t="shared" si="6"/>
        <v>MCI-00673</v>
      </c>
      <c r="G163" s="469" t="str">
        <f t="shared" si="7"/>
        <v>MCI-00648Autonomisation des communautés</v>
      </c>
      <c r="H163" s="469" t="str">
        <f t="shared" si="8"/>
        <v>MCI-00648Autonomisation des communautés</v>
      </c>
      <c r="I163" s="470" t="str">
        <f t="shared" si="9"/>
        <v>MCI-00673</v>
      </c>
      <c r="J163" s="469"/>
      <c r="K163" s="472" t="s">
        <v>3364</v>
      </c>
      <c r="L163" s="470" t="s">
        <v>3365</v>
      </c>
      <c r="M163" s="470" t="s">
        <v>3366</v>
      </c>
      <c r="N163" s="469" t="s">
        <v>2878</v>
      </c>
    </row>
    <row r="164" spans="1:14" s="9" customFormat="1" x14ac:dyDescent="0.25">
      <c r="A164" s="469" t="s">
        <v>3046</v>
      </c>
      <c r="B164" s="469" t="s">
        <v>3367</v>
      </c>
      <c r="C164" s="469" t="str">
        <f>CHOOSE(Translations!$C$1+1,K164,L164,M164)</f>
        <v>Éducation complète  à la sexualité</v>
      </c>
      <c r="D164" s="469"/>
      <c r="E164" s="469" t="s">
        <v>3368</v>
      </c>
      <c r="F164" s="470" t="str">
        <f t="shared" si="6"/>
        <v>MCI-00682</v>
      </c>
      <c r="G164" s="469" t="str">
        <f t="shared" si="7"/>
        <v>MCI-00648Éducation complète  à la sexualité</v>
      </c>
      <c r="H164" s="469" t="str">
        <f t="shared" si="8"/>
        <v>MCI-00648Éducation complète  à la sexualité</v>
      </c>
      <c r="I164" s="470" t="str">
        <f t="shared" si="9"/>
        <v>MCI-00682</v>
      </c>
      <c r="J164" s="469"/>
      <c r="K164" s="472" t="s">
        <v>3369</v>
      </c>
      <c r="L164" s="470" t="s">
        <v>3370</v>
      </c>
      <c r="M164" s="470" t="s">
        <v>3371</v>
      </c>
      <c r="N164" s="469" t="s">
        <v>2878</v>
      </c>
    </row>
    <row r="165" spans="1:14" s="9" customFormat="1" x14ac:dyDescent="0.25">
      <c r="A165" s="469" t="s">
        <v>3046</v>
      </c>
      <c r="B165" s="469" t="s">
        <v>3372</v>
      </c>
      <c r="C165" s="469" t="str">
        <f>CHOOSE(Translations!$C$1+1,K165,L165,M165)</f>
        <v>Programmation relative aux préservatifs et aux lubrifiants</v>
      </c>
      <c r="D165" s="469"/>
      <c r="E165" s="469" t="s">
        <v>3373</v>
      </c>
      <c r="F165" s="470" t="str">
        <f t="shared" si="6"/>
        <v>MCI-00670</v>
      </c>
      <c r="G165" s="469" t="str">
        <f t="shared" si="7"/>
        <v>MCI-00648Programmation relative aux préservatifs et aux lubrifiants</v>
      </c>
      <c r="H165" s="469" t="str">
        <f t="shared" si="8"/>
        <v>MCI-00648Programmation relative aux préservatifs et aux lubrifiants</v>
      </c>
      <c r="I165" s="470" t="str">
        <f t="shared" si="9"/>
        <v>MCI-00670</v>
      </c>
      <c r="J165" s="469"/>
      <c r="K165" s="472" t="s">
        <v>3374</v>
      </c>
      <c r="L165" s="470" t="s">
        <v>3375</v>
      </c>
      <c r="M165" s="470" t="s">
        <v>3376</v>
      </c>
      <c r="N165" s="469" t="s">
        <v>2878</v>
      </c>
    </row>
    <row r="166" spans="1:14" s="9" customFormat="1" x14ac:dyDescent="0.25">
      <c r="A166" s="469" t="s">
        <v>3046</v>
      </c>
      <c r="B166" s="469" t="s">
        <v>3377</v>
      </c>
      <c r="C166" s="469" t="str">
        <f>CHOOSE(Translations!$C$1+1,K166,L166,M166)</f>
        <v>Prévention de la violence fondée sur le genre et soins apportés aux rescapées des violences</v>
      </c>
      <c r="D166" s="469"/>
      <c r="E166" s="469" t="s">
        <v>3378</v>
      </c>
      <c r="F166" s="470" t="str">
        <f t="shared" si="6"/>
        <v>MCI-00683</v>
      </c>
      <c r="G166" s="469" t="str">
        <f t="shared" si="7"/>
        <v>MCI-00648Prévention de la violence fondée sur le genre et soins apportés aux rescapées des violences</v>
      </c>
      <c r="H166" s="469" t="str">
        <f t="shared" si="8"/>
        <v>MCI-00648Prévention de la violence fondée sur le genre et soins apportés aux rescapées des violences</v>
      </c>
      <c r="I166" s="470" t="str">
        <f t="shared" si="9"/>
        <v>MCI-00683</v>
      </c>
      <c r="J166" s="469"/>
      <c r="K166" s="472" t="s">
        <v>3379</v>
      </c>
      <c r="L166" s="470" t="s">
        <v>3380</v>
      </c>
      <c r="M166" s="470" t="s">
        <v>3381</v>
      </c>
      <c r="N166" s="469" t="s">
        <v>2878</v>
      </c>
    </row>
    <row r="167" spans="1:14" s="9" customFormat="1" x14ac:dyDescent="0.25">
      <c r="A167" s="469" t="s">
        <v>3046</v>
      </c>
      <c r="B167" s="469" t="s">
        <v>3382</v>
      </c>
      <c r="C167" s="469" t="str">
        <f>CHOOSE(Translations!$C$1+1,K167,L167,M167)</f>
        <v>Interventions de réduction des risques liées à la consommation de drogues</v>
      </c>
      <c r="D167" s="469"/>
      <c r="E167" s="469" t="s">
        <v>3383</v>
      </c>
      <c r="F167" s="470" t="str">
        <f t="shared" si="6"/>
        <v>MCI-00675</v>
      </c>
      <c r="G167" s="469" t="str">
        <f t="shared" si="7"/>
        <v>MCI-00648Interventions de réduction des risques liées à la consommation de drogues</v>
      </c>
      <c r="H167" s="469" t="str">
        <f t="shared" si="8"/>
        <v>MCI-00648Interventions de réduction des risques liées à la consommation de drogues</v>
      </c>
      <c r="I167" s="470" t="str">
        <f t="shared" si="9"/>
        <v>MCI-00675</v>
      </c>
      <c r="J167" s="469"/>
      <c r="K167" s="472" t="s">
        <v>3384</v>
      </c>
      <c r="L167" s="470" t="s">
        <v>3385</v>
      </c>
      <c r="M167" s="470" t="s">
        <v>3386</v>
      </c>
      <c r="N167" s="469" t="s">
        <v>2878</v>
      </c>
    </row>
    <row r="168" spans="1:14" s="9" customFormat="1" x14ac:dyDescent="0.25">
      <c r="A168" s="469" t="s">
        <v>3046</v>
      </c>
      <c r="B168" s="469" t="s">
        <v>3387</v>
      </c>
      <c r="C168" s="469" t="str">
        <f>CHOOSE(Translations!$C$1+1,K168,L168,M168)</f>
        <v>Intégration des programmes à destination des adolescentes et des jeunes femmes dans les interventions multisectorielles nationales</v>
      </c>
      <c r="D168" s="469"/>
      <c r="E168" s="469" t="s">
        <v>3388</v>
      </c>
      <c r="F168" s="470" t="str">
        <f t="shared" si="6"/>
        <v>MCI-00685</v>
      </c>
      <c r="G168" s="469" t="str">
        <f t="shared" si="7"/>
        <v>MCI-00648Intégration des programmes à destination des adolescentes et des jeunes femmes dans les interventions multisectorielles nationales</v>
      </c>
      <c r="H168" s="469" t="str">
        <f t="shared" si="8"/>
        <v>MCI-00648Intégration des programmes à destination des adolescentes et des jeunes femmes dans les interventions multisectorielles nationales</v>
      </c>
      <c r="I168" s="470" t="str">
        <f t="shared" si="9"/>
        <v>MCI-00685</v>
      </c>
      <c r="J168" s="469"/>
      <c r="K168" s="472" t="s">
        <v>3389</v>
      </c>
      <c r="L168" s="470" t="s">
        <v>3390</v>
      </c>
      <c r="M168" s="470" t="s">
        <v>3391</v>
      </c>
      <c r="N168" s="469" t="s">
        <v>2878</v>
      </c>
    </row>
    <row r="169" spans="1:14" s="9" customFormat="1" x14ac:dyDescent="0.25">
      <c r="A169" s="469" t="s">
        <v>3046</v>
      </c>
      <c r="B169" s="469" t="s">
        <v>3392</v>
      </c>
      <c r="C169" s="469" t="str">
        <f>CHOOSE(Translations!$C$1+1,K169,L169,M169)</f>
        <v>Interventions en faveur des jeunes populations clés</v>
      </c>
      <c r="D169" s="469"/>
      <c r="E169" s="469" t="s">
        <v>3393</v>
      </c>
      <c r="F169" s="470" t="str">
        <f t="shared" si="6"/>
        <v>MCI-00677</v>
      </c>
      <c r="G169" s="469" t="str">
        <f t="shared" si="7"/>
        <v>MCI-00648Interventions en faveur des jeunes populations clés</v>
      </c>
      <c r="H169" s="469" t="str">
        <f t="shared" si="8"/>
        <v>MCI-00648Interventions en faveur des jeunes populations clés</v>
      </c>
      <c r="I169" s="470" t="str">
        <f t="shared" si="9"/>
        <v>MCI-00677</v>
      </c>
      <c r="J169" s="469"/>
      <c r="K169" s="472" t="s">
        <v>3394</v>
      </c>
      <c r="L169" s="470" t="s">
        <v>3395</v>
      </c>
      <c r="M169" s="470" t="s">
        <v>3396</v>
      </c>
      <c r="N169" s="469" t="s">
        <v>2878</v>
      </c>
    </row>
    <row r="170" spans="1:14" s="9" customFormat="1" x14ac:dyDescent="0.25">
      <c r="A170" s="469" t="s">
        <v>3046</v>
      </c>
      <c r="B170" s="469" t="s">
        <v>3397</v>
      </c>
      <c r="C170" s="469" t="str">
        <f>CHOOSE(Translations!$C$1+1,K170,L170,M170)</f>
        <v>Liens entre les programmes de lutte contre le VIH, et la santé reproductive maternelle, du nouveau-né, de l'enfant et de l'adolescent</v>
      </c>
      <c r="D170" s="469"/>
      <c r="E170" s="469" t="s">
        <v>3398</v>
      </c>
      <c r="F170" s="470" t="str">
        <f t="shared" si="6"/>
        <v>MCI-00688</v>
      </c>
      <c r="G170" s="469" t="str">
        <f t="shared" si="7"/>
        <v>MCI-00648Liens entre les programmes de lutte contre le VIH, et la santé reproductive maternelle, du nouveau-né, de l'enfant et de l'adolescent</v>
      </c>
      <c r="H170" s="469" t="str">
        <f t="shared" si="8"/>
        <v>MCI-00648Liens entre les programmes de lutte contre le VIH, et la santé reproductive maternelle, du nouveau-né, de l'enfant et de l'adolescent</v>
      </c>
      <c r="I170" s="470" t="str">
        <f t="shared" si="9"/>
        <v>MCI-00688</v>
      </c>
      <c r="J170" s="469"/>
      <c r="K170" s="472" t="s">
        <v>3399</v>
      </c>
      <c r="L170" s="470" t="s">
        <v>3400</v>
      </c>
      <c r="M170" s="470" t="s">
        <v>3401</v>
      </c>
      <c r="N170" s="469" t="s">
        <v>2878</v>
      </c>
    </row>
    <row r="171" spans="1:14" s="9" customFormat="1" x14ac:dyDescent="0.25">
      <c r="A171" s="469" t="s">
        <v>3046</v>
      </c>
      <c r="B171" s="469" t="s">
        <v>3402</v>
      </c>
      <c r="C171" s="469" t="str">
        <f>CHOOSE(Translations!$C$1+1,K171,L171,M171)</f>
        <v>Programmation et gestion du préservatif au niveau national</v>
      </c>
      <c r="D171" s="469"/>
      <c r="E171" s="469" t="s">
        <v>3403</v>
      </c>
      <c r="F171" s="470" t="str">
        <f t="shared" si="6"/>
        <v>MCI-00687</v>
      </c>
      <c r="G171" s="469" t="str">
        <f t="shared" si="7"/>
        <v>MCI-00648Programmation et gestion du préservatif au niveau national</v>
      </c>
      <c r="H171" s="469" t="str">
        <f t="shared" si="8"/>
        <v>MCI-00648Programmation et gestion du préservatif au niveau national</v>
      </c>
      <c r="I171" s="470" t="str">
        <f t="shared" si="9"/>
        <v>MCI-00687</v>
      </c>
      <c r="J171" s="469"/>
      <c r="K171" s="472" t="s">
        <v>3404</v>
      </c>
      <c r="L171" s="470" t="s">
        <v>3405</v>
      </c>
      <c r="M171" s="470" t="s">
        <v>3406</v>
      </c>
      <c r="N171" s="469" t="s">
        <v>2878</v>
      </c>
    </row>
    <row r="172" spans="1:14" s="9" customFormat="1" x14ac:dyDescent="0.25">
      <c r="A172" s="469" t="s">
        <v>3046</v>
      </c>
      <c r="B172" s="469" t="s">
        <v>3407</v>
      </c>
      <c r="C172" s="469" t="str">
        <f>CHOOSE(Translations!$C$1+1,K172,L172,M172)</f>
        <v>Programmes d’échange d’aiguilles et de seringues</v>
      </c>
      <c r="D172" s="469"/>
      <c r="E172" s="469" t="s">
        <v>3408</v>
      </c>
      <c r="F172" s="470" t="str">
        <f t="shared" si="6"/>
        <v>MCI-00679</v>
      </c>
      <c r="G172" s="469" t="str">
        <f t="shared" si="7"/>
        <v>MCI-00648Programmes d’échange d’aiguilles et de seringues</v>
      </c>
      <c r="H172" s="469" t="str">
        <f t="shared" si="8"/>
        <v>MCI-00648Programmes d’échange d’aiguilles et de seringues</v>
      </c>
      <c r="I172" s="470" t="str">
        <f t="shared" si="9"/>
        <v>MCI-00679</v>
      </c>
      <c r="J172" s="469"/>
      <c r="K172" s="472" t="s">
        <v>3409</v>
      </c>
      <c r="L172" s="470" t="s">
        <v>3410</v>
      </c>
      <c r="M172" s="470" t="s">
        <v>3411</v>
      </c>
      <c r="N172" s="469" t="s">
        <v>2878</v>
      </c>
    </row>
    <row r="173" spans="1:14" s="9" customFormat="1" x14ac:dyDescent="0.25">
      <c r="A173" s="469" t="s">
        <v>3046</v>
      </c>
      <c r="B173" s="469" t="s">
        <v>3412</v>
      </c>
      <c r="C173" s="469" t="str">
        <f>CHOOSE(Translations!$C$1+1,K173,L173,M173)</f>
        <v>Traitement de substitution aux opiacés et autres traitements médicalement assistés contre la toxicomanie</v>
      </c>
      <c r="D173" s="469"/>
      <c r="E173" s="469" t="s">
        <v>3413</v>
      </c>
      <c r="F173" s="470" t="str">
        <f t="shared" si="6"/>
        <v>MCI-00680</v>
      </c>
      <c r="G173" s="469" t="str">
        <f t="shared" si="7"/>
        <v>MCI-00648Traitement de substitution aux opiacés et autres traitements médicalement assistés contre la toxicomanie</v>
      </c>
      <c r="H173" s="469" t="str">
        <f t="shared" si="8"/>
        <v>MCI-00648Traitement de substitution aux opiacés et autres traitements médicalement assistés contre la toxicomanie</v>
      </c>
      <c r="I173" s="470" t="str">
        <f t="shared" si="9"/>
        <v>MCI-00680</v>
      </c>
      <c r="J173" s="469"/>
      <c r="K173" s="472" t="s">
        <v>3414</v>
      </c>
      <c r="L173" s="470" t="s">
        <v>3415</v>
      </c>
      <c r="M173" s="470" t="s">
        <v>3416</v>
      </c>
      <c r="N173" s="469" t="s">
        <v>2878</v>
      </c>
    </row>
    <row r="174" spans="1:14" s="9" customFormat="1" x14ac:dyDescent="0.25">
      <c r="A174" s="469" t="s">
        <v>3046</v>
      </c>
      <c r="B174" s="469" t="s">
        <v>3417</v>
      </c>
      <c r="C174" s="469" t="str">
        <f>CHOOSE(Translations!$C$1+1,K174,L174,M174)</f>
        <v>Prévention et prise en charge des overdoses</v>
      </c>
      <c r="D174" s="469"/>
      <c r="E174" s="469" t="s">
        <v>3418</v>
      </c>
      <c r="F174" s="470" t="str">
        <f t="shared" si="6"/>
        <v>MCI-00681</v>
      </c>
      <c r="G174" s="469" t="str">
        <f t="shared" si="7"/>
        <v>MCI-00648Prévention et prise en charge des overdoses</v>
      </c>
      <c r="H174" s="469" t="str">
        <f t="shared" si="8"/>
        <v>MCI-00648Prévention et prise en charge des overdoses</v>
      </c>
      <c r="I174" s="470" t="str">
        <f t="shared" si="9"/>
        <v>MCI-00681</v>
      </c>
      <c r="J174" s="469"/>
      <c r="K174" s="472" t="s">
        <v>3419</v>
      </c>
      <c r="L174" s="470" t="s">
        <v>3420</v>
      </c>
      <c r="M174" s="470" t="s">
        <v>3421</v>
      </c>
      <c r="N174" s="469" t="s">
        <v>2878</v>
      </c>
    </row>
    <row r="175" spans="1:14" s="9" customFormat="1" x14ac:dyDescent="0.25">
      <c r="A175" s="469" t="s">
        <v>3046</v>
      </c>
      <c r="B175" s="469" t="s">
        <v>3422</v>
      </c>
      <c r="C175" s="469" t="str">
        <f>CHOOSE(Translations!$C$1+1,K175,L175,M175)</f>
        <v>Prophylaxie préexposition</v>
      </c>
      <c r="D175" s="469"/>
      <c r="E175" s="469" t="s">
        <v>3423</v>
      </c>
      <c r="F175" s="470" t="str">
        <f t="shared" si="6"/>
        <v>MCI-00671</v>
      </c>
      <c r="G175" s="469" t="str">
        <f t="shared" si="7"/>
        <v>MCI-00648Prophylaxie préexposition</v>
      </c>
      <c r="H175" s="469" t="str">
        <f t="shared" si="8"/>
        <v>MCI-00648Prophylaxie préexposition</v>
      </c>
      <c r="I175" s="470" t="str">
        <f t="shared" si="9"/>
        <v>MCI-00671</v>
      </c>
      <c r="J175" s="469"/>
      <c r="K175" s="472" t="s">
        <v>3424</v>
      </c>
      <c r="L175" s="470" t="s">
        <v>3425</v>
      </c>
      <c r="M175" s="470" t="s">
        <v>3426</v>
      </c>
      <c r="N175" s="469" t="s">
        <v>2878</v>
      </c>
    </row>
    <row r="176" spans="1:14" s="9" customFormat="1" x14ac:dyDescent="0.25">
      <c r="A176" s="469" t="s">
        <v>3046</v>
      </c>
      <c r="B176" s="469" t="s">
        <v>3427</v>
      </c>
      <c r="C176" s="469" t="str">
        <f>CHOOSE(Translations!$C$1+1,K176,L176,M176)</f>
        <v>Prévention et prise en charge des co-infections et des co-morbidités (Prévention)</v>
      </c>
      <c r="D176" s="469"/>
      <c r="E176" s="469" t="s">
        <v>3428</v>
      </c>
      <c r="F176" s="470" t="str">
        <f t="shared" si="6"/>
        <v>MCI-00678</v>
      </c>
      <c r="G176" s="469" t="str">
        <f t="shared" si="7"/>
        <v>MCI-00648Prévention et prise en charge des co-infections et des co-morbidités (Prévention)</v>
      </c>
      <c r="H176" s="469" t="str">
        <f t="shared" si="8"/>
        <v>MCI-00648Prévention et prise en charge des co-infections et des co-morbidités (Prévention)</v>
      </c>
      <c r="I176" s="470" t="str">
        <f t="shared" si="9"/>
        <v>MCI-00678</v>
      </c>
      <c r="J176" s="469"/>
      <c r="K176" s="472" t="s">
        <v>3429</v>
      </c>
      <c r="L176" s="470" t="s">
        <v>3430</v>
      </c>
      <c r="M176" s="470" t="s">
        <v>3431</v>
      </c>
      <c r="N176" s="469" t="s">
        <v>2878</v>
      </c>
    </row>
    <row r="177" spans="1:14" s="9" customFormat="1" x14ac:dyDescent="0.25">
      <c r="A177" s="469" t="s">
        <v>3046</v>
      </c>
      <c r="B177" s="469" t="s">
        <v>3432</v>
      </c>
      <c r="C177" s="469" t="str">
        <f>CHOOSE(Translations!$C$1+1,K177,L177,M177)</f>
        <v>Services de santé sexuelle et reproductive, y compris les IST</v>
      </c>
      <c r="D177" s="469"/>
      <c r="E177" s="469" t="s">
        <v>3433</v>
      </c>
      <c r="F177" s="470" t="str">
        <f t="shared" si="6"/>
        <v>MCI-00674</v>
      </c>
      <c r="G177" s="469" t="str">
        <f t="shared" si="7"/>
        <v>MCI-00648Services de santé sexuelle et reproductive, y compris les IST</v>
      </c>
      <c r="H177" s="469" t="str">
        <f t="shared" si="8"/>
        <v>MCI-00648Services de santé sexuelle et reproductive, y compris les IST</v>
      </c>
      <c r="I177" s="470" t="str">
        <f t="shared" si="9"/>
        <v>MCI-00674</v>
      </c>
      <c r="J177" s="469"/>
      <c r="K177" s="472" t="s">
        <v>3434</v>
      </c>
      <c r="L177" s="470" t="s">
        <v>3435</v>
      </c>
      <c r="M177" s="470" t="s">
        <v>3436</v>
      </c>
      <c r="N177" s="469" t="s">
        <v>2878</v>
      </c>
    </row>
    <row r="178" spans="1:14" s="9" customFormat="1" x14ac:dyDescent="0.25">
      <c r="A178" s="469" t="s">
        <v>3046</v>
      </c>
      <c r="B178" s="469" t="s">
        <v>3437</v>
      </c>
      <c r="C178" s="469" t="str">
        <f>CHOOSE(Translations!$C$1+1,K178,L178,M178)</f>
        <v>Mesures de protection sociale</v>
      </c>
      <c r="D178" s="469"/>
      <c r="E178" s="469" t="s">
        <v>3438</v>
      </c>
      <c r="F178" s="470" t="str">
        <f t="shared" si="6"/>
        <v>MCI-00684</v>
      </c>
      <c r="G178" s="469" t="str">
        <f t="shared" si="7"/>
        <v>MCI-00648Mesures de protection sociale</v>
      </c>
      <c r="H178" s="469" t="str">
        <f t="shared" si="8"/>
        <v>MCI-00648Mesures de protection sociale</v>
      </c>
      <c r="I178" s="470" t="str">
        <f t="shared" si="9"/>
        <v>MCI-00684</v>
      </c>
      <c r="J178" s="469"/>
      <c r="K178" s="472" t="s">
        <v>3439</v>
      </c>
      <c r="L178" s="470" t="s">
        <v>3440</v>
      </c>
      <c r="M178" s="470" t="s">
        <v>3441</v>
      </c>
      <c r="N178" s="469" t="s">
        <v>2878</v>
      </c>
    </row>
    <row r="179" spans="1:14" s="9" customFormat="1" x14ac:dyDescent="0.25">
      <c r="A179" s="469" t="s">
        <v>3046</v>
      </c>
      <c r="B179" s="469" t="s">
        <v>3442</v>
      </c>
      <c r="C179" s="469" t="str">
        <f>CHOOSE(Translations!$C$1+1,K179,L179,M179)</f>
        <v>Circoncision masculine médicale volontaire</v>
      </c>
      <c r="D179" s="469"/>
      <c r="E179" s="469" t="s">
        <v>3443</v>
      </c>
      <c r="F179" s="470" t="str">
        <f t="shared" si="6"/>
        <v>MCI-00686</v>
      </c>
      <c r="G179" s="469" t="str">
        <f t="shared" si="7"/>
        <v>MCI-00648Circoncision masculine médicale volontaire</v>
      </c>
      <c r="H179" s="469" t="str">
        <f t="shared" si="8"/>
        <v>MCI-00648Circoncision masculine médicale volontaire</v>
      </c>
      <c r="I179" s="470" t="str">
        <f t="shared" si="9"/>
        <v>MCI-00686</v>
      </c>
      <c r="J179" s="469"/>
      <c r="K179" s="472" t="s">
        <v>3444</v>
      </c>
      <c r="L179" s="470" t="s">
        <v>3445</v>
      </c>
      <c r="M179" s="470" t="s">
        <v>3446</v>
      </c>
      <c r="N179" s="469" t="s">
        <v>2878</v>
      </c>
    </row>
    <row r="180" spans="1:14" s="9" customFormat="1" x14ac:dyDescent="0.25">
      <c r="A180" s="469" t="s">
        <v>3039</v>
      </c>
      <c r="B180" s="469" t="s">
        <v>3447</v>
      </c>
      <c r="C180" s="469" t="str">
        <f>CHOOSE(Translations!$C$1+1,K180,L180,M180)</f>
        <v>Volet 1 : Prévention primaire de l’infection au VIH chez les femmes en âge de procréer</v>
      </c>
      <c r="D180" s="469"/>
      <c r="E180" s="469" t="s">
        <v>3448</v>
      </c>
      <c r="F180" s="470" t="str">
        <f t="shared" si="6"/>
        <v>MCI-00689</v>
      </c>
      <c r="G180" s="469" t="str">
        <f t="shared" si="7"/>
        <v>MCI-00649Volet 1 : Prévention primaire de l’infection au VIH chez les femmes en âge de procréer</v>
      </c>
      <c r="H180" s="469" t="str">
        <f t="shared" si="8"/>
        <v>MCI-00649Volet 1 : Prévention primaire de l’infection au VIH chez les femmes en âge de procréer</v>
      </c>
      <c r="I180" s="470" t="str">
        <f t="shared" si="9"/>
        <v>MCI-00689</v>
      </c>
      <c r="J180" s="469"/>
      <c r="K180" s="472" t="s">
        <v>3449</v>
      </c>
      <c r="L180" s="470" t="s">
        <v>3450</v>
      </c>
      <c r="M180" s="470" t="s">
        <v>3451</v>
      </c>
      <c r="N180" s="469" t="s">
        <v>2878</v>
      </c>
    </row>
    <row r="181" spans="1:14" s="9" customFormat="1" x14ac:dyDescent="0.25">
      <c r="A181" s="469" t="s">
        <v>3039</v>
      </c>
      <c r="B181" s="469" t="s">
        <v>3452</v>
      </c>
      <c r="C181" s="469" t="str">
        <f>CHOOSE(Translations!$C$1+1,K181,L181,M181)</f>
        <v>Volet 2 : Prévention des grossesses non désirées chez les femmes vivant avec le VIH</v>
      </c>
      <c r="D181" s="469"/>
      <c r="E181" s="469" t="s">
        <v>3453</v>
      </c>
      <c r="F181" s="470" t="str">
        <f t="shared" si="6"/>
        <v>MCI-00690</v>
      </c>
      <c r="G181" s="469" t="str">
        <f t="shared" si="7"/>
        <v>MCI-00649Volet 2 : Prévention des grossesses non désirées chez les femmes vivant avec le VIH</v>
      </c>
      <c r="H181" s="469" t="str">
        <f t="shared" si="8"/>
        <v>MCI-00649Volet 2 : Prévention des grossesses non désirées chez les femmes vivant avec le VIH</v>
      </c>
      <c r="I181" s="470" t="str">
        <f t="shared" si="9"/>
        <v>MCI-00690</v>
      </c>
      <c r="J181" s="469"/>
      <c r="K181" s="472" t="s">
        <v>3454</v>
      </c>
      <c r="L181" s="470" t="s">
        <v>3455</v>
      </c>
      <c r="M181" s="470" t="s">
        <v>3456</v>
      </c>
      <c r="N181" s="469" t="s">
        <v>2878</v>
      </c>
    </row>
    <row r="182" spans="1:14" s="9" customFormat="1" x14ac:dyDescent="0.25">
      <c r="A182" s="469" t="s">
        <v>3039</v>
      </c>
      <c r="B182" s="469" t="s">
        <v>3457</v>
      </c>
      <c r="C182" s="469" t="str">
        <f>CHOOSE(Translations!$C$1+1,K182,L182,M182)</f>
        <v>Volet 3 : Prévention de la transmission verticale du VIH</v>
      </c>
      <c r="D182" s="469"/>
      <c r="E182" s="469" t="s">
        <v>3458</v>
      </c>
      <c r="F182" s="470" t="str">
        <f t="shared" si="6"/>
        <v>MCI-00691</v>
      </c>
      <c r="G182" s="469" t="str">
        <f t="shared" si="7"/>
        <v>MCI-00649Volet 3 : Prévention de la transmission verticale du VIH</v>
      </c>
      <c r="H182" s="469" t="str">
        <f t="shared" si="8"/>
        <v>MCI-00649Volet 3 : Prévention de la transmission verticale du VIH</v>
      </c>
      <c r="I182" s="470" t="str">
        <f t="shared" si="9"/>
        <v>MCI-00691</v>
      </c>
      <c r="J182" s="469"/>
      <c r="K182" s="472" t="s">
        <v>3459</v>
      </c>
      <c r="L182" s="470" t="s">
        <v>3460</v>
      </c>
      <c r="M182" s="470" t="s">
        <v>3461</v>
      </c>
      <c r="N182" s="469" t="s">
        <v>2878</v>
      </c>
    </row>
    <row r="183" spans="1:14" s="9" customFormat="1" x14ac:dyDescent="0.25">
      <c r="A183" s="469" t="s">
        <v>3039</v>
      </c>
      <c r="B183" s="469" t="s">
        <v>3462</v>
      </c>
      <c r="C183" s="469" t="str">
        <f>CHOOSE(Translations!$C$1+1,K183,L183,M183)</f>
        <v>Volet 4 : Traitement, prise en charge et soutien des mères vivant avec le VIH, de leurs enfants et de leur famille</v>
      </c>
      <c r="D183" s="469"/>
      <c r="E183" s="469" t="s">
        <v>3463</v>
      </c>
      <c r="F183" s="470" t="str">
        <f t="shared" si="6"/>
        <v>MCI-00692</v>
      </c>
      <c r="G183" s="469" t="str">
        <f t="shared" si="7"/>
        <v>MCI-00649Volet 4 : Traitement, prise en charge et soutien des mères vivant avec le VIH, de leurs enfants et de leur famille</v>
      </c>
      <c r="H183" s="469" t="str">
        <f t="shared" si="8"/>
        <v>MCI-00649Volet 4 : Traitement, prise en charge et soutien des mères vivant avec le VIH, de leurs enfants et de leur famille</v>
      </c>
      <c r="I183" s="470" t="str">
        <f t="shared" si="9"/>
        <v>MCI-00692</v>
      </c>
      <c r="J183" s="469"/>
      <c r="K183" s="472" t="s">
        <v>3464</v>
      </c>
      <c r="L183" s="470" t="s">
        <v>3465</v>
      </c>
      <c r="M183" s="470" t="s">
        <v>3466</v>
      </c>
      <c r="N183" s="469" t="s">
        <v>2878</v>
      </c>
    </row>
    <row r="184" spans="1:14" s="9" customFormat="1" x14ac:dyDescent="0.25">
      <c r="A184" s="469" t="s">
        <v>3023</v>
      </c>
      <c r="B184" s="469" t="s">
        <v>3467</v>
      </c>
      <c r="C184" s="469" t="str">
        <f>CHOOSE(Translations!$C$1+1,K184,L184,M184)</f>
        <v>Dépistage communautaire</v>
      </c>
      <c r="D184" s="469"/>
      <c r="E184" s="469" t="s">
        <v>3468</v>
      </c>
      <c r="F184" s="470" t="str">
        <f t="shared" si="6"/>
        <v>MCI-00694</v>
      </c>
      <c r="G184" s="469" t="str">
        <f t="shared" si="7"/>
        <v>MCI-00650Dépistage communautaire</v>
      </c>
      <c r="H184" s="469" t="str">
        <f t="shared" si="8"/>
        <v>MCI-00650Dépistage communautaire</v>
      </c>
      <c r="I184" s="470" t="str">
        <f t="shared" si="9"/>
        <v>MCI-00694</v>
      </c>
      <c r="J184" s="469"/>
      <c r="K184" s="472" t="s">
        <v>3469</v>
      </c>
      <c r="L184" s="470" t="s">
        <v>3470</v>
      </c>
      <c r="M184" s="470" t="s">
        <v>3471</v>
      </c>
      <c r="N184" s="469" t="s">
        <v>2878</v>
      </c>
    </row>
    <row r="185" spans="1:14" s="9" customFormat="1" x14ac:dyDescent="0.25">
      <c r="A185" s="469" t="s">
        <v>3023</v>
      </c>
      <c r="B185" s="469" t="s">
        <v>3472</v>
      </c>
      <c r="C185" s="469" t="str">
        <f>CHOOSE(Translations!$C$1+1,K185,L185,M185)</f>
        <v>Dépistage en centre de santé</v>
      </c>
      <c r="D185" s="469"/>
      <c r="E185" s="469" t="s">
        <v>3473</v>
      </c>
      <c r="F185" s="470" t="str">
        <f t="shared" si="6"/>
        <v>MCI-00693</v>
      </c>
      <c r="G185" s="469" t="str">
        <f t="shared" si="7"/>
        <v>MCI-00650Dépistage en centre de santé</v>
      </c>
      <c r="H185" s="469" t="str">
        <f t="shared" si="8"/>
        <v>MCI-00650Dépistage en centre de santé</v>
      </c>
      <c r="I185" s="470" t="str">
        <f t="shared" si="9"/>
        <v>MCI-00693</v>
      </c>
      <c r="J185" s="469"/>
      <c r="K185" s="472" t="s">
        <v>3474</v>
      </c>
      <c r="L185" s="470" t="s">
        <v>3475</v>
      </c>
      <c r="M185" s="470" t="s">
        <v>3476</v>
      </c>
      <c r="N185" s="469" t="s">
        <v>2878</v>
      </c>
    </row>
    <row r="186" spans="1:14" s="9" customFormat="1" x14ac:dyDescent="0.25">
      <c r="A186" s="469" t="s">
        <v>3023</v>
      </c>
      <c r="B186" s="469" t="s">
        <v>3477</v>
      </c>
      <c r="C186" s="469" t="str">
        <f>CHOOSE(Translations!$C$1+1,K186,L186,M186)</f>
        <v>Autodépistage</v>
      </c>
      <c r="D186" s="469"/>
      <c r="E186" s="469" t="s">
        <v>3478</v>
      </c>
      <c r="F186" s="470" t="str">
        <f t="shared" si="6"/>
        <v>MCI-00695</v>
      </c>
      <c r="G186" s="469" t="str">
        <f t="shared" si="7"/>
        <v>MCI-00650Autodépistage</v>
      </c>
      <c r="H186" s="469" t="str">
        <f t="shared" si="8"/>
        <v>MCI-00650Autodépistage</v>
      </c>
      <c r="I186" s="470" t="str">
        <f t="shared" si="9"/>
        <v>MCI-00695</v>
      </c>
      <c r="J186" s="469"/>
      <c r="K186" s="472" t="s">
        <v>3479</v>
      </c>
      <c r="L186" s="470" t="s">
        <v>3480</v>
      </c>
      <c r="M186" s="470" t="s">
        <v>3481</v>
      </c>
      <c r="N186" s="469" t="s">
        <v>2878</v>
      </c>
    </row>
    <row r="187" spans="1:14" s="9" customFormat="1" x14ac:dyDescent="0.25">
      <c r="A187" s="469" t="s">
        <v>3148</v>
      </c>
      <c r="B187" s="469" t="s">
        <v>3482</v>
      </c>
      <c r="C187" s="469" t="str">
        <f>CHOOSE(Translations!$C$1+1,K187,L187,M187)</f>
        <v>Conseil et soutien psychosocial</v>
      </c>
      <c r="D187" s="469"/>
      <c r="E187" s="469" t="s">
        <v>3483</v>
      </c>
      <c r="F187" s="470" t="str">
        <f t="shared" si="6"/>
        <v>MCI-00701</v>
      </c>
      <c r="G187" s="469" t="str">
        <f t="shared" si="7"/>
        <v>MCI-00651Conseil et soutien psychosocial</v>
      </c>
      <c r="H187" s="469" t="str">
        <f t="shared" si="8"/>
        <v>MCI-00651Conseil et soutien psychosocial</v>
      </c>
      <c r="I187" s="470" t="str">
        <f t="shared" si="9"/>
        <v>MCI-00701</v>
      </c>
      <c r="J187" s="469"/>
      <c r="K187" s="472" t="s">
        <v>3484</v>
      </c>
      <c r="L187" s="470" t="s">
        <v>3485</v>
      </c>
      <c r="M187" s="470" t="s">
        <v>3486</v>
      </c>
      <c r="N187" s="469" t="s">
        <v>2878</v>
      </c>
    </row>
    <row r="188" spans="1:14" s="9" customFormat="1" x14ac:dyDescent="0.25">
      <c r="A188" s="469" t="s">
        <v>3148</v>
      </c>
      <c r="B188" s="469" t="s">
        <v>3487</v>
      </c>
      <c r="C188" s="469" t="str">
        <f>CHOOSE(Translations!$C$1+1,K188,L188,M188)</f>
        <v>Services différenciés de traitements antirétroviraux et prise en charge du VIH</v>
      </c>
      <c r="D188" s="469"/>
      <c r="E188" s="469" t="s">
        <v>3488</v>
      </c>
      <c r="F188" s="470" t="str">
        <f t="shared" si="6"/>
        <v>MCI-00696</v>
      </c>
      <c r="G188" s="469" t="str">
        <f t="shared" si="7"/>
        <v>MCI-00651Services différenciés de traitements antirétroviraux et prise en charge du VIH</v>
      </c>
      <c r="H188" s="469" t="str">
        <f t="shared" si="8"/>
        <v>MCI-00651Services différenciés de traitements antirétroviraux et prise en charge du VIH</v>
      </c>
      <c r="I188" s="470" t="str">
        <f t="shared" si="9"/>
        <v>MCI-00696</v>
      </c>
      <c r="J188" s="469"/>
      <c r="K188" s="472" t="s">
        <v>3489</v>
      </c>
      <c r="L188" s="470" t="s">
        <v>3490</v>
      </c>
      <c r="M188" s="470" t="s">
        <v>3491</v>
      </c>
      <c r="N188" s="469" t="s">
        <v>2878</v>
      </c>
    </row>
    <row r="189" spans="1:14" s="9" customFormat="1" x14ac:dyDescent="0.25">
      <c r="A189" s="469" t="s">
        <v>3148</v>
      </c>
      <c r="B189" s="469" t="s">
        <v>3492</v>
      </c>
      <c r="C189" s="469" t="str">
        <f>CHOOSE(Translations!$C$1+1,K189,L189,M189)</f>
        <v>Paquet de services à destination des orphelins et des enfants vulnérables</v>
      </c>
      <c r="D189" s="469"/>
      <c r="E189" s="469" t="s">
        <v>3493</v>
      </c>
      <c r="F189" s="470" t="str">
        <f t="shared" si="6"/>
        <v>MCI-00702</v>
      </c>
      <c r="G189" s="469" t="str">
        <f t="shared" si="7"/>
        <v>MCI-00651Paquet de services à destination des orphelins et des enfants vulnérables</v>
      </c>
      <c r="H189" s="469" t="str">
        <f t="shared" si="8"/>
        <v>MCI-00651Paquet de services à destination des orphelins et des enfants vulnérables</v>
      </c>
      <c r="I189" s="470" t="str">
        <f t="shared" si="9"/>
        <v>MCI-00702</v>
      </c>
      <c r="J189" s="469"/>
      <c r="K189" s="472" t="s">
        <v>3494</v>
      </c>
      <c r="L189" s="470" t="s">
        <v>3495</v>
      </c>
      <c r="M189" s="470" t="s">
        <v>3496</v>
      </c>
      <c r="N189" s="469" t="s">
        <v>2878</v>
      </c>
    </row>
    <row r="190" spans="1:14" s="9" customFormat="1" x14ac:dyDescent="0.25">
      <c r="A190" s="469" t="s">
        <v>3148</v>
      </c>
      <c r="B190" s="469" t="s">
        <v>3497</v>
      </c>
      <c r="C190" s="469" t="str">
        <f>CHOOSE(Translations!$C$1+1,K190,L190,M190)</f>
        <v>Prévention et prise en charge des co-infections et des co-morbidités (Traitement, prise en charge et soutien)</v>
      </c>
      <c r="D190" s="469"/>
      <c r="E190" s="469" t="s">
        <v>3498</v>
      </c>
      <c r="F190" s="470" t="str">
        <f t="shared" si="6"/>
        <v>MCI-00700</v>
      </c>
      <c r="G190" s="469" t="str">
        <f t="shared" si="7"/>
        <v>MCI-00651Prévention et prise en charge des co-infections et des co-morbidités (Traitement, prise en charge et soutien)</v>
      </c>
      <c r="H190" s="469" t="str">
        <f t="shared" si="8"/>
        <v>MCI-00651Prévention et prise en charge des co-infections et des co-morbidités (Traitement, prise en charge et soutien)</v>
      </c>
      <c r="I190" s="470" t="str">
        <f t="shared" si="9"/>
        <v>MCI-00700</v>
      </c>
      <c r="J190" s="469"/>
      <c r="K190" s="472" t="s">
        <v>3499</v>
      </c>
      <c r="L190" s="470" t="s">
        <v>3500</v>
      </c>
      <c r="M190" s="470" t="s">
        <v>3501</v>
      </c>
      <c r="N190" s="469" t="s">
        <v>2878</v>
      </c>
    </row>
    <row r="191" spans="1:14" s="9" customFormat="1" x14ac:dyDescent="0.25">
      <c r="A191" s="469" t="s">
        <v>3148</v>
      </c>
      <c r="B191" s="469" t="s">
        <v>3502</v>
      </c>
      <c r="C191" s="469" t="str">
        <f>CHOOSE(Translations!$C$1+1,K191,L191,M191)</f>
        <v>Suivi du traitement – Toxicité des antirétroviraux</v>
      </c>
      <c r="D191" s="469"/>
      <c r="E191" s="469" t="s">
        <v>3503</v>
      </c>
      <c r="F191" s="470" t="str">
        <f t="shared" si="6"/>
        <v>MCI-00698</v>
      </c>
      <c r="G191" s="469" t="str">
        <f t="shared" si="7"/>
        <v>MCI-00651Suivi du traitement – Toxicité des antirétroviraux</v>
      </c>
      <c r="H191" s="469" t="str">
        <f t="shared" si="8"/>
        <v>MCI-00651Suivi du traitement – Toxicité des antirétroviraux</v>
      </c>
      <c r="I191" s="470" t="str">
        <f t="shared" si="9"/>
        <v>MCI-00698</v>
      </c>
      <c r="J191" s="469"/>
      <c r="K191" s="472" t="s">
        <v>3504</v>
      </c>
      <c r="L191" s="470" t="s">
        <v>3505</v>
      </c>
      <c r="M191" s="470" t="s">
        <v>3506</v>
      </c>
      <c r="N191" s="469" t="s">
        <v>2878</v>
      </c>
    </row>
    <row r="192" spans="1:14" s="9" customFormat="1" x14ac:dyDescent="0.25">
      <c r="A192" s="469" t="s">
        <v>3148</v>
      </c>
      <c r="B192" s="469" t="s">
        <v>3507</v>
      </c>
      <c r="C192" s="469" t="str">
        <f>CHOOSE(Translations!$C$1+1,K192,L192,M192)</f>
        <v>Suivi du traitement – Pharmacorésistance</v>
      </c>
      <c r="D192" s="469"/>
      <c r="E192" s="469" t="s">
        <v>3508</v>
      </c>
      <c r="F192" s="470" t="str">
        <f t="shared" si="6"/>
        <v>MCI-00697</v>
      </c>
      <c r="G192" s="469" t="str">
        <f t="shared" si="7"/>
        <v>MCI-00651Suivi du traitement – Pharmacorésistance</v>
      </c>
      <c r="H192" s="469" t="str">
        <f t="shared" si="8"/>
        <v>MCI-00651Suivi du traitement – Pharmacorésistance</v>
      </c>
      <c r="I192" s="470" t="str">
        <f t="shared" si="9"/>
        <v>MCI-00697</v>
      </c>
      <c r="J192" s="469"/>
      <c r="K192" s="472" t="s">
        <v>3509</v>
      </c>
      <c r="L192" s="470" t="s">
        <v>3510</v>
      </c>
      <c r="M192" s="470" t="s">
        <v>3511</v>
      </c>
      <c r="N192" s="469" t="s">
        <v>2878</v>
      </c>
    </row>
    <row r="193" spans="1:14" s="9" customFormat="1" x14ac:dyDescent="0.25">
      <c r="A193" s="469" t="s">
        <v>3148</v>
      </c>
      <c r="B193" s="469" t="s">
        <v>3512</v>
      </c>
      <c r="C193" s="469" t="str">
        <f>CHOOSE(Translations!$C$1+1,K193,L193,M193)</f>
        <v>Suivi du traitement – Charge virale</v>
      </c>
      <c r="D193" s="469"/>
      <c r="E193" s="469" t="s">
        <v>3513</v>
      </c>
      <c r="F193" s="470" t="str">
        <f t="shared" si="6"/>
        <v>MCI-00699</v>
      </c>
      <c r="G193" s="469" t="str">
        <f t="shared" si="7"/>
        <v>MCI-00651Suivi du traitement – Charge virale</v>
      </c>
      <c r="H193" s="469" t="str">
        <f t="shared" si="8"/>
        <v>MCI-00651Suivi du traitement – Charge virale</v>
      </c>
      <c r="I193" s="470" t="str">
        <f t="shared" si="9"/>
        <v>MCI-00699</v>
      </c>
      <c r="J193" s="469"/>
      <c r="K193" s="472" t="s">
        <v>3514</v>
      </c>
      <c r="L193" s="470" t="s">
        <v>3515</v>
      </c>
      <c r="M193" s="470" t="s">
        <v>3516</v>
      </c>
      <c r="N193" s="469" t="s">
        <v>2878</v>
      </c>
    </row>
    <row r="194" spans="1:14" s="9" customFormat="1" x14ac:dyDescent="0.25">
      <c r="A194" s="469" t="s">
        <v>3062</v>
      </c>
      <c r="B194" s="469" t="s">
        <v>3517</v>
      </c>
      <c r="C194" s="469" t="str">
        <f>CHOOSE(Translations!$C$1+1,K194,L194,M194)</f>
        <v>Mobilisation et sensibilisation des communautés (VIH/Tuberculose)</v>
      </c>
      <c r="D194" s="469"/>
      <c r="E194" s="469" t="s">
        <v>3518</v>
      </c>
      <c r="F194" s="470" t="str">
        <f t="shared" si="6"/>
        <v>MCI-00710</v>
      </c>
      <c r="G194" s="469" t="str">
        <f t="shared" si="7"/>
        <v>MCI-00652Mobilisation et sensibilisation des communautés (VIH/Tuberculose)</v>
      </c>
      <c r="H194" s="469" t="str">
        <f t="shared" si="8"/>
        <v>MCI-00652Mobilisation et sensibilisation des communautés (VIH/Tuberculose)</v>
      </c>
      <c r="I194" s="470" t="str">
        <f t="shared" si="9"/>
        <v>MCI-00710</v>
      </c>
      <c r="J194" s="469"/>
      <c r="K194" s="472" t="s">
        <v>3519</v>
      </c>
      <c r="L194" s="470" t="s">
        <v>3520</v>
      </c>
      <c r="M194" s="470" t="s">
        <v>3521</v>
      </c>
      <c r="N194" s="469" t="s">
        <v>2878</v>
      </c>
    </row>
    <row r="195" spans="1:14" s="9" customFormat="1" x14ac:dyDescent="0.25">
      <c r="A195" s="469" t="s">
        <v>3062</v>
      </c>
      <c r="B195" s="469" t="s">
        <v>3522</v>
      </c>
      <c r="C195" s="469" t="str">
        <f>CHOOSE(Translations!$C$1+1,K195,L195,M195)</f>
        <v>Services juridiques liés au VIH et à la co-infection VIH/tuberculose</v>
      </c>
      <c r="D195" s="469"/>
      <c r="E195" s="469" t="s">
        <v>3523</v>
      </c>
      <c r="F195" s="470" t="str">
        <f t="shared" si="6"/>
        <v>MCI-00706</v>
      </c>
      <c r="G195" s="469" t="str">
        <f t="shared" si="7"/>
        <v>MCI-00652Services juridiques liés au VIH et à la co-infection VIH/tuberculose</v>
      </c>
      <c r="H195" s="469" t="str">
        <f t="shared" si="8"/>
        <v>MCI-00652Services juridiques liés au VIH et à la co-infection VIH/tuberculose</v>
      </c>
      <c r="I195" s="470" t="str">
        <f t="shared" si="9"/>
        <v>MCI-00706</v>
      </c>
      <c r="J195" s="469"/>
      <c r="K195" s="472" t="s">
        <v>3524</v>
      </c>
      <c r="L195" s="470" t="s">
        <v>3525</v>
      </c>
      <c r="M195" s="470" t="s">
        <v>3526</v>
      </c>
      <c r="N195" s="469" t="s">
        <v>2878</v>
      </c>
    </row>
    <row r="196" spans="1:14" s="9" customFormat="1" x14ac:dyDescent="0.25">
      <c r="A196" s="469" t="s">
        <v>3062</v>
      </c>
      <c r="B196" s="469" t="s">
        <v>3527</v>
      </c>
      <c r="C196" s="469" t="str">
        <f>CHOOSE(Translations!$C$1+1,K196,L196,M196)</f>
        <v>Droits humains et éthique médicale liée au VIH et à la co-infection VIH/tuberculose pour les prestataires de soins de santé</v>
      </c>
      <c r="D196" s="469"/>
      <c r="E196" s="469" t="s">
        <v>3528</v>
      </c>
      <c r="F196" s="470" t="str">
        <f t="shared" si="6"/>
        <v>MCI-00705</v>
      </c>
      <c r="G196" s="469" t="str">
        <f t="shared" si="7"/>
        <v>MCI-00652Droits humains et éthique médicale liée au VIH et à la co-infection VIH/tuberculose pour les prestataires de soins de santé</v>
      </c>
      <c r="H196" s="469" t="str">
        <f t="shared" si="8"/>
        <v>MCI-00652Droits humains et éthique médicale liée au VIH et à la co-infection VIH/tuberculose pour les prestataires de soins de santé</v>
      </c>
      <c r="I196" s="470" t="str">
        <f t="shared" si="9"/>
        <v>MCI-00705</v>
      </c>
      <c r="J196" s="469"/>
      <c r="K196" s="472" t="s">
        <v>3529</v>
      </c>
      <c r="L196" s="470" t="s">
        <v>3530</v>
      </c>
      <c r="M196" s="470" t="s">
        <v>3531</v>
      </c>
      <c r="N196" s="469" t="s">
        <v>2878</v>
      </c>
    </row>
    <row r="197" spans="1:14" s="9" customFormat="1" x14ac:dyDescent="0.25">
      <c r="A197" s="469" t="s">
        <v>3062</v>
      </c>
      <c r="B197" s="469" t="s">
        <v>3532</v>
      </c>
      <c r="C197" s="469" t="str">
        <f>CHOOSE(Translations!$C$1+1,K197,L197,M197)</f>
        <v>Amélioration des lois, des règlements et des politiques liés au VIH et à la co-infection VIH/tuberculose</v>
      </c>
      <c r="D197" s="469"/>
      <c r="E197" s="469" t="s">
        <v>3533</v>
      </c>
      <c r="F197" s="470" t="str">
        <f t="shared" si="6"/>
        <v>MCI-00708</v>
      </c>
      <c r="G197" s="469" t="str">
        <f t="shared" si="7"/>
        <v>MCI-00652Amélioration des lois, des règlements et des politiques liés au VIH et à la co-infection VIH/tuberculose</v>
      </c>
      <c r="H197" s="469" t="str">
        <f t="shared" si="8"/>
        <v>MCI-00652Amélioration des lois, des règlements et des politiques liés au VIH et à la co-infection VIH/tuberculose</v>
      </c>
      <c r="I197" s="470" t="str">
        <f t="shared" si="9"/>
        <v>MCI-00708</v>
      </c>
      <c r="J197" s="469"/>
      <c r="K197" s="472" t="s">
        <v>3534</v>
      </c>
      <c r="L197" s="470" t="s">
        <v>3535</v>
      </c>
      <c r="M197" s="470" t="s">
        <v>3536</v>
      </c>
      <c r="N197" s="469" t="s">
        <v>2878</v>
      </c>
    </row>
    <row r="198" spans="1:14" s="9" customFormat="1" x14ac:dyDescent="0.25">
      <c r="A198" s="469" t="s">
        <v>3062</v>
      </c>
      <c r="B198" s="469" t="s">
        <v>3537</v>
      </c>
      <c r="C198" s="469" t="str">
        <f>CHOOSE(Translations!$C$1+1,K198,L198,M198)</f>
        <v>Éducation juridique (« Connaissez vos droits »)</v>
      </c>
      <c r="D198" s="469"/>
      <c r="E198" s="469" t="s">
        <v>3538</v>
      </c>
      <c r="F198" s="470" t="str">
        <f t="shared" si="6"/>
        <v>MCI-00704</v>
      </c>
      <c r="G198" s="469" t="str">
        <f t="shared" si="7"/>
        <v>MCI-00652Éducation juridique (« Connaissez vos droits »)</v>
      </c>
      <c r="H198" s="469" t="str">
        <f t="shared" si="8"/>
        <v>MCI-00652Éducation juridique (« Connaissez vos droits »)</v>
      </c>
      <c r="I198" s="470" t="str">
        <f t="shared" si="9"/>
        <v>MCI-00704</v>
      </c>
      <c r="J198" s="469"/>
      <c r="K198" s="472" t="s">
        <v>3539</v>
      </c>
      <c r="L198" s="470" t="s">
        <v>3540</v>
      </c>
      <c r="M198" s="470" t="s">
        <v>3541</v>
      </c>
      <c r="N198" s="469" t="s">
        <v>2878</v>
      </c>
    </row>
    <row r="199" spans="1:14" s="9" customFormat="1" x14ac:dyDescent="0.25">
      <c r="A199" s="469" t="s">
        <v>3062</v>
      </c>
      <c r="B199" s="469" t="s">
        <v>3542</v>
      </c>
      <c r="C199" s="469" t="str">
        <f>CHOOSE(Translations!$C$1+1,K199,L199,M199)</f>
        <v>Réduction de la discrimination fondée sur le genre, des normes de genre nocives et de la violence contre les femmes et les filles dans toute leur diversité, en lien avec le VIH</v>
      </c>
      <c r="D199" s="469"/>
      <c r="E199" s="469" t="s">
        <v>3543</v>
      </c>
      <c r="F199" s="470" t="str">
        <f t="shared" si="6"/>
        <v>MCI-00709</v>
      </c>
      <c r="G199" s="469" t="str">
        <f t="shared" si="7"/>
        <v>MCI-00652Réduction de la discrimination fondée sur le genre, des normes de genre nocives et de la violence contre les femmes et les filles dans toute leur diversité, en lien avec le VIH</v>
      </c>
      <c r="H199" s="469" t="str">
        <f t="shared" si="8"/>
        <v>MCI-00652Réduction de la discrimination fondée sur le genre, des normes de genre nocives et de la violence contre les femmes et les filles dans toute leur diversité, en lien avec le VIH</v>
      </c>
      <c r="I199" s="470" t="str">
        <f t="shared" si="9"/>
        <v>MCI-00709</v>
      </c>
      <c r="J199" s="469"/>
      <c r="K199" s="472" t="s">
        <v>3544</v>
      </c>
      <c r="L199" s="470" t="s">
        <v>3545</v>
      </c>
      <c r="M199" s="470" t="s">
        <v>3546</v>
      </c>
      <c r="N199" s="469" t="s">
        <v>2878</v>
      </c>
    </row>
    <row r="200" spans="1:14" s="9" customFormat="1" x14ac:dyDescent="0.25">
      <c r="A200" s="469" t="s">
        <v>3062</v>
      </c>
      <c r="B200" s="469" t="s">
        <v>3547</v>
      </c>
      <c r="C200" s="469" t="str">
        <f>CHOOSE(Translations!$C$1+1,K200,L200,M200)</f>
        <v>Sensibilisation des législateurs et des agents des forces de l’ordre</v>
      </c>
      <c r="D200" s="469"/>
      <c r="E200" s="469" t="s">
        <v>3548</v>
      </c>
      <c r="F200" s="470" t="str">
        <f t="shared" si="6"/>
        <v>MCI-00707</v>
      </c>
      <c r="G200" s="469" t="str">
        <f t="shared" si="7"/>
        <v>MCI-00652Sensibilisation des législateurs et des agents des forces de l’ordre</v>
      </c>
      <c r="H200" s="469" t="str">
        <f t="shared" si="8"/>
        <v>MCI-00652Sensibilisation des législateurs et des agents des forces de l’ordre</v>
      </c>
      <c r="I200" s="470" t="str">
        <f t="shared" si="9"/>
        <v>MCI-00707</v>
      </c>
      <c r="J200" s="469"/>
      <c r="K200" s="472" t="s">
        <v>3549</v>
      </c>
      <c r="L200" s="470" t="s">
        <v>3550</v>
      </c>
      <c r="M200" s="470" t="s">
        <v>3551</v>
      </c>
      <c r="N200" s="469" t="s">
        <v>2878</v>
      </c>
    </row>
    <row r="201" spans="1:14" s="9" customFormat="1" x14ac:dyDescent="0.25">
      <c r="A201" s="469" t="s">
        <v>3062</v>
      </c>
      <c r="B201" s="469" t="s">
        <v>3552</v>
      </c>
      <c r="C201" s="469" t="str">
        <f>CHOOSE(Translations!$C$1+1,K201,L201,M201)</f>
        <v>Réduction du rejet social et de la discrimination (VIH/Tuberculose)</v>
      </c>
      <c r="D201" s="469"/>
      <c r="E201" s="469" t="s">
        <v>3553</v>
      </c>
      <c r="F201" s="470" t="str">
        <f t="shared" si="6"/>
        <v>MCI-00703</v>
      </c>
      <c r="G201" s="469" t="str">
        <f t="shared" si="7"/>
        <v>MCI-00652Réduction du rejet social et de la discrimination (VIH/Tuberculose)</v>
      </c>
      <c r="H201" s="469" t="str">
        <f t="shared" si="8"/>
        <v>MCI-00652Réduction du rejet social et de la discrimination (VIH/Tuberculose)</v>
      </c>
      <c r="I201" s="470" t="str">
        <f t="shared" si="9"/>
        <v>MCI-00703</v>
      </c>
      <c r="J201" s="469"/>
      <c r="K201" s="472" t="s">
        <v>3554</v>
      </c>
      <c r="L201" s="470" t="s">
        <v>3555</v>
      </c>
      <c r="M201" s="470" t="s">
        <v>3556</v>
      </c>
      <c r="N201" s="469" t="s">
        <v>2878</v>
      </c>
    </row>
    <row r="202" spans="1:14" s="9" customFormat="1" x14ac:dyDescent="0.25">
      <c r="A202" s="469" t="s">
        <v>3141</v>
      </c>
      <c r="B202" s="469" t="s">
        <v>3557</v>
      </c>
      <c r="C202" s="469" t="str">
        <f>CHOOSE(Translations!$C$1+1,K202,L202,M202)</f>
        <v>Activités conjointes avec d’autres programmes et secteurs (Tuberculose/VIH)</v>
      </c>
      <c r="D202" s="469"/>
      <c r="E202" s="469" t="s">
        <v>3558</v>
      </c>
      <c r="F202" s="470" t="str">
        <f t="shared" si="6"/>
        <v>MCI-00749</v>
      </c>
      <c r="G202" s="469" t="str">
        <f t="shared" si="7"/>
        <v>MCI-00656Activités conjointes avec d’autres programmes et secteurs (Tuberculose/VIH)</v>
      </c>
      <c r="H202" s="469" t="str">
        <f t="shared" si="8"/>
        <v>MCI-00656Activités conjointes avec d’autres programmes et secteurs (Tuberculose/VIH)</v>
      </c>
      <c r="I202" s="470" t="str">
        <f t="shared" si="9"/>
        <v>MCI-00749</v>
      </c>
      <c r="J202" s="469"/>
      <c r="K202" s="472" t="s">
        <v>3559</v>
      </c>
      <c r="L202" s="470" t="s">
        <v>3560</v>
      </c>
      <c r="M202" s="470" t="s">
        <v>3561</v>
      </c>
      <c r="N202" s="469" t="s">
        <v>2878</v>
      </c>
    </row>
    <row r="203" spans="1:14" s="9" customFormat="1" x14ac:dyDescent="0.25">
      <c r="A203" s="469" t="s">
        <v>3141</v>
      </c>
      <c r="B203" s="469" t="s">
        <v>3562</v>
      </c>
      <c r="C203" s="469" t="str">
        <f>CHOOSE(Translations!$C$1+1,K203,L203,M203)</f>
        <v>Prise en charge communautaire de la coïnfection TB/VIH</v>
      </c>
      <c r="D203" s="469"/>
      <c r="E203" s="469" t="s">
        <v>3563</v>
      </c>
      <c r="F203" s="470" t="str">
        <f t="shared" si="6"/>
        <v>MCI-00743</v>
      </c>
      <c r="G203" s="469" t="str">
        <f t="shared" si="7"/>
        <v>MCI-00656Prise en charge communautaire de la coïnfection TB/VIH</v>
      </c>
      <c r="H203" s="469" t="str">
        <f t="shared" si="8"/>
        <v>MCI-00656Prise en charge communautaire de la coïnfection TB/VIH</v>
      </c>
      <c r="I203" s="470" t="str">
        <f t="shared" si="9"/>
        <v>MCI-00743</v>
      </c>
      <c r="J203" s="469"/>
      <c r="K203" s="472" t="s">
        <v>3564</v>
      </c>
      <c r="L203" s="470" t="s">
        <v>3565</v>
      </c>
      <c r="M203" s="470" t="s">
        <v>3566</v>
      </c>
      <c r="N203" s="469" t="s">
        <v>2878</v>
      </c>
    </row>
    <row r="204" spans="1:14" s="9" customFormat="1" x14ac:dyDescent="0.25">
      <c r="A204" s="469" t="s">
        <v>3141</v>
      </c>
      <c r="B204" s="469" t="s">
        <v>3567</v>
      </c>
      <c r="C204" s="469" t="str">
        <f>CHOOSE(Translations!$C$1+1,K204,L204,M204)</f>
        <v>Implication de tous les prestataires de soins (Tuberculose/VIH)</v>
      </c>
      <c r="D204" s="469"/>
      <c r="E204" s="469" t="s">
        <v>3568</v>
      </c>
      <c r="F204" s="470" t="str">
        <f t="shared" si="6"/>
        <v>MCI-00742</v>
      </c>
      <c r="G204" s="469" t="str">
        <f t="shared" si="7"/>
        <v>MCI-00656Implication de tous les prestataires de soins (Tuberculose/VIH)</v>
      </c>
      <c r="H204" s="469" t="str">
        <f t="shared" si="8"/>
        <v>MCI-00656Implication de tous les prestataires de soins (Tuberculose/VIH)</v>
      </c>
      <c r="I204" s="470" t="str">
        <f t="shared" si="9"/>
        <v>MCI-00742</v>
      </c>
      <c r="J204" s="469"/>
      <c r="K204" s="472" t="s">
        <v>3569</v>
      </c>
      <c r="L204" s="470" t="s">
        <v>3570</v>
      </c>
      <c r="M204" s="470" t="s">
        <v>3571</v>
      </c>
      <c r="N204" s="469" t="s">
        <v>2878</v>
      </c>
    </row>
    <row r="205" spans="1:14" s="9" customFormat="1" x14ac:dyDescent="0.25">
      <c r="A205" s="469" t="s">
        <v>3141</v>
      </c>
      <c r="B205" s="469" t="s">
        <v>3572</v>
      </c>
      <c r="C205" s="469" t="str">
        <f>CHOOSE(Translations!$C$1+1,K205,L205,M205)</f>
        <v>Populations clés (Tuberculose/VIH) - Enfants</v>
      </c>
      <c r="D205" s="469"/>
      <c r="E205" s="469" t="s">
        <v>3573</v>
      </c>
      <c r="F205" s="470" t="str">
        <f t="shared" si="6"/>
        <v>MCI-00744</v>
      </c>
      <c r="G205" s="469" t="str">
        <f t="shared" si="7"/>
        <v>MCI-00656Populations clés (Tuberculose/VIH) - Enfants</v>
      </c>
      <c r="H205" s="469" t="str">
        <f t="shared" si="8"/>
        <v>MCI-00656Populations clés (Tuberculose/VIH) - Enfants</v>
      </c>
      <c r="I205" s="470" t="str">
        <f t="shared" si="9"/>
        <v>MCI-00744</v>
      </c>
      <c r="J205" s="469"/>
      <c r="K205" s="472" t="s">
        <v>3574</v>
      </c>
      <c r="L205" s="470" t="s">
        <v>3575</v>
      </c>
      <c r="M205" s="470" t="s">
        <v>3576</v>
      </c>
      <c r="N205" s="469" t="s">
        <v>2878</v>
      </c>
    </row>
    <row r="206" spans="1:14" s="9" customFormat="1" x14ac:dyDescent="0.25">
      <c r="A206" s="469" t="s">
        <v>3141</v>
      </c>
      <c r="B206" s="469" t="s">
        <v>3577</v>
      </c>
      <c r="C206" s="469" t="str">
        <f>CHOOSE(Translations!$C$1+1,K206,L206,M206)</f>
        <v>Populations clés (Tuberculose/VIH) - Mineurs et communautés minières</v>
      </c>
      <c r="D206" s="469"/>
      <c r="E206" s="469" t="s">
        <v>3578</v>
      </c>
      <c r="F206" s="470" t="str">
        <f t="shared" si="6"/>
        <v>MCI-00747</v>
      </c>
      <c r="G206" s="469" t="str">
        <f t="shared" si="7"/>
        <v>MCI-00656Populations clés (Tuberculose/VIH) - Mineurs et communautés minières</v>
      </c>
      <c r="H206" s="469" t="str">
        <f t="shared" si="8"/>
        <v>MCI-00656Populations clés (Tuberculose/VIH) - Mineurs et communautés minières</v>
      </c>
      <c r="I206" s="470" t="str">
        <f t="shared" si="9"/>
        <v>MCI-00747</v>
      </c>
      <c r="J206" s="469"/>
      <c r="K206" s="472" t="s">
        <v>3579</v>
      </c>
      <c r="L206" s="470" t="s">
        <v>3580</v>
      </c>
      <c r="M206" s="470" t="s">
        <v>3581</v>
      </c>
      <c r="N206" s="469" t="s">
        <v>2878</v>
      </c>
    </row>
    <row r="207" spans="1:14" s="9" customFormat="1" x14ac:dyDescent="0.25">
      <c r="A207" s="469" t="s">
        <v>3141</v>
      </c>
      <c r="B207" s="469" t="s">
        <v>3582</v>
      </c>
      <c r="C207" s="469" t="str">
        <f>CHOOSE(Translations!$C$1+1,K207,L207,M207)</f>
        <v>Populations clés (Tuberculose/VIH) - Populations mobiles : réfugiés, migrants et personnes déplacées à l’intérieur de leur pays</v>
      </c>
      <c r="D207" s="469"/>
      <c r="E207" s="469" t="s">
        <v>3583</v>
      </c>
      <c r="F207" s="470" t="str">
        <f t="shared" si="6"/>
        <v>MCI-00746</v>
      </c>
      <c r="G207" s="469" t="str">
        <f t="shared" si="7"/>
        <v>MCI-00656Populations clés (Tuberculose/VIH) - Populations mobiles : réfugiés, migrants et personnes déplacées à l’intérieur de leur pays</v>
      </c>
      <c r="H207" s="469" t="str">
        <f t="shared" si="8"/>
        <v>MCI-00656Populations clés (Tuberculose/VIH) - Populations mobiles : réfugiés, migrants et personnes déplacées à l’intérieur de leur pays</v>
      </c>
      <c r="I207" s="470" t="str">
        <f t="shared" si="9"/>
        <v>MCI-00746</v>
      </c>
      <c r="J207" s="469"/>
      <c r="K207" s="472" t="s">
        <v>3584</v>
      </c>
      <c r="L207" s="470" t="s">
        <v>3585</v>
      </c>
      <c r="M207" s="470" t="s">
        <v>3586</v>
      </c>
      <c r="N207" s="469" t="s">
        <v>2878</v>
      </c>
    </row>
    <row r="208" spans="1:14" s="9" customFormat="1" x14ac:dyDescent="0.25">
      <c r="A208" s="469" t="s">
        <v>3141</v>
      </c>
      <c r="B208" s="469" t="s">
        <v>3587</v>
      </c>
      <c r="C208" s="469" t="str">
        <f>CHOOSE(Translations!$C$1+1,K208,L208,M208)</f>
        <v>Populations clés (Tuberculose/VIH) - Autres</v>
      </c>
      <c r="D208" s="469"/>
      <c r="E208" s="469" t="s">
        <v>3588</v>
      </c>
      <c r="F208" s="470" t="str">
        <f t="shared" si="6"/>
        <v>MCI-00748</v>
      </c>
      <c r="G208" s="469" t="str">
        <f t="shared" si="7"/>
        <v>MCI-00656Populations clés (Tuberculose/VIH) - Autres</v>
      </c>
      <c r="H208" s="469" t="str">
        <f t="shared" si="8"/>
        <v>MCI-00656Populations clés (Tuberculose/VIH) - Autres</v>
      </c>
      <c r="I208" s="470" t="str">
        <f t="shared" si="9"/>
        <v>MCI-00748</v>
      </c>
      <c r="J208" s="469"/>
      <c r="K208" s="472" t="s">
        <v>3589</v>
      </c>
      <c r="L208" s="470" t="s">
        <v>3590</v>
      </c>
      <c r="M208" s="470" t="s">
        <v>3591</v>
      </c>
      <c r="N208" s="469" t="s">
        <v>2878</v>
      </c>
    </row>
    <row r="209" spans="1:14" s="9" customFormat="1" x14ac:dyDescent="0.25">
      <c r="A209" s="469" t="s">
        <v>3141</v>
      </c>
      <c r="B209" s="469" t="s">
        <v>3592</v>
      </c>
      <c r="C209" s="469" t="str">
        <f>CHOOSE(Translations!$C$1+1,K209,L209,M209)</f>
        <v>Populations clés (Tuberculose/VIH) - Détenus</v>
      </c>
      <c r="D209" s="469"/>
      <c r="E209" s="469" t="s">
        <v>3593</v>
      </c>
      <c r="F209" s="470" t="str">
        <f t="shared" si="6"/>
        <v>MCI-00745</v>
      </c>
      <c r="G209" s="469" t="str">
        <f t="shared" si="7"/>
        <v>MCI-00656Populations clés (Tuberculose/VIH) - Détenus</v>
      </c>
      <c r="H209" s="469" t="str">
        <f t="shared" si="8"/>
        <v>MCI-00656Populations clés (Tuberculose/VIH) - Détenus</v>
      </c>
      <c r="I209" s="470" t="str">
        <f t="shared" si="9"/>
        <v>MCI-00745</v>
      </c>
      <c r="J209" s="469"/>
      <c r="K209" s="472" t="s">
        <v>3594</v>
      </c>
      <c r="L209" s="470" t="s">
        <v>3595</v>
      </c>
      <c r="M209" s="470" t="s">
        <v>3596</v>
      </c>
      <c r="N209" s="469" t="s">
        <v>2878</v>
      </c>
    </row>
    <row r="210" spans="1:14" s="9" customFormat="1" x14ac:dyDescent="0.25">
      <c r="A210" s="469" t="s">
        <v>3141</v>
      </c>
      <c r="B210" s="469" t="s">
        <v>3597</v>
      </c>
      <c r="C210" s="469" t="str">
        <f>CHOOSE(Translations!$C$1+1,K210,L210,M210)</f>
        <v>Prévention (Tuberculose/VIH)</v>
      </c>
      <c r="D210" s="469"/>
      <c r="E210" s="469" t="s">
        <v>3598</v>
      </c>
      <c r="F210" s="470" t="str">
        <f t="shared" si="6"/>
        <v>MCI-00741</v>
      </c>
      <c r="G210" s="469" t="str">
        <f t="shared" si="7"/>
        <v>MCI-00656Prévention (Tuberculose/VIH)</v>
      </c>
      <c r="H210" s="469" t="str">
        <f t="shared" si="8"/>
        <v>MCI-00656Prévention (Tuberculose/VIH)</v>
      </c>
      <c r="I210" s="470" t="str">
        <f t="shared" si="9"/>
        <v>MCI-00741</v>
      </c>
      <c r="J210" s="469"/>
      <c r="K210" s="472" t="s">
        <v>3599</v>
      </c>
      <c r="L210" s="470" t="s">
        <v>3600</v>
      </c>
      <c r="M210" s="470" t="s">
        <v>3601</v>
      </c>
      <c r="N210" s="469" t="s">
        <v>2878</v>
      </c>
    </row>
    <row r="211" spans="1:14" s="9" customFormat="1" x14ac:dyDescent="0.25">
      <c r="A211" s="469" t="s">
        <v>3141</v>
      </c>
      <c r="B211" s="469" t="s">
        <v>3602</v>
      </c>
      <c r="C211" s="469" t="str">
        <f>CHOOSE(Translations!$C$1+1,K211,L211,M211)</f>
        <v>Dépistage, test et diagnostic</v>
      </c>
      <c r="D211" s="469"/>
      <c r="E211" s="469" t="s">
        <v>3603</v>
      </c>
      <c r="F211" s="470" t="str">
        <f t="shared" si="6"/>
        <v>MCI-00739</v>
      </c>
      <c r="G211" s="469" t="str">
        <f t="shared" si="7"/>
        <v>MCI-00656Dépistage, test et diagnostic</v>
      </c>
      <c r="H211" s="469" t="str">
        <f t="shared" si="8"/>
        <v>MCI-00656Dépistage, test et diagnostic</v>
      </c>
      <c r="I211" s="470" t="str">
        <f t="shared" si="9"/>
        <v>MCI-00739</v>
      </c>
      <c r="J211" s="469"/>
      <c r="K211" s="472" t="s">
        <v>3604</v>
      </c>
      <c r="L211" s="470" t="s">
        <v>3605</v>
      </c>
      <c r="M211" s="470" t="s">
        <v>3606</v>
      </c>
      <c r="N211" s="469" t="s">
        <v>2878</v>
      </c>
    </row>
    <row r="212" spans="1:14" s="9" customFormat="1" x14ac:dyDescent="0.25">
      <c r="A212" s="469" t="s">
        <v>3141</v>
      </c>
      <c r="B212" s="469" t="s">
        <v>3607</v>
      </c>
      <c r="C212" s="469" t="str">
        <f>CHOOSE(Translations!$C$1+1,K212,L212,M212)</f>
        <v>Activités conjointes de lutte contre la tuberculose et le VIH</v>
      </c>
      <c r="D212" s="469"/>
      <c r="E212" s="469" t="s">
        <v>3608</v>
      </c>
      <c r="F212" s="470" t="str">
        <f t="shared" si="6"/>
        <v>MCI-00738</v>
      </c>
      <c r="G212" s="469" t="str">
        <f t="shared" si="7"/>
        <v>MCI-00656Activités conjointes de lutte contre la tuberculose et le VIH</v>
      </c>
      <c r="H212" s="469" t="str">
        <f t="shared" si="8"/>
        <v>MCI-00656Activités conjointes de lutte contre la tuberculose et le VIH</v>
      </c>
      <c r="I212" s="470" t="str">
        <f t="shared" si="9"/>
        <v>MCI-00738</v>
      </c>
      <c r="J212" s="469"/>
      <c r="K212" s="472" t="s">
        <v>3609</v>
      </c>
      <c r="L212" s="470" t="s">
        <v>3610</v>
      </c>
      <c r="M212" s="470" t="s">
        <v>3611</v>
      </c>
      <c r="N212" s="469" t="s">
        <v>2878</v>
      </c>
    </row>
    <row r="213" spans="1:14" s="9" customFormat="1" x14ac:dyDescent="0.25">
      <c r="A213" s="469" t="s">
        <v>3141</v>
      </c>
      <c r="B213" s="469" t="s">
        <v>3612</v>
      </c>
      <c r="C213" s="469" t="str">
        <f>CHOOSE(Translations!$C$1+1,K213,L213,M213)</f>
        <v>Traitement (Tuberculose/VIH)</v>
      </c>
      <c r="D213" s="469"/>
      <c r="E213" s="469" t="s">
        <v>3613</v>
      </c>
      <c r="F213" s="470" t="str">
        <f t="shared" si="6"/>
        <v>MCI-00740</v>
      </c>
      <c r="G213" s="469" t="str">
        <f t="shared" si="7"/>
        <v>MCI-00656Traitement (Tuberculose/VIH)</v>
      </c>
      <c r="H213" s="469" t="str">
        <f t="shared" si="8"/>
        <v>MCI-00656Traitement (Tuberculose/VIH)</v>
      </c>
      <c r="I213" s="470" t="str">
        <f t="shared" si="9"/>
        <v>MCI-00740</v>
      </c>
      <c r="J213" s="469"/>
      <c r="K213" s="472" t="s">
        <v>3614</v>
      </c>
      <c r="L213" s="470" t="s">
        <v>3615</v>
      </c>
      <c r="M213" s="470" t="s">
        <v>3616</v>
      </c>
      <c r="N213" s="469" t="s">
        <v>2878</v>
      </c>
    </row>
    <row r="214" spans="1:14" s="9" customFormat="1" x14ac:dyDescent="0.25">
      <c r="A214" s="469" t="s">
        <v>3053</v>
      </c>
      <c r="B214" s="469" t="s">
        <v>3617</v>
      </c>
      <c r="C214" s="469" t="str">
        <f>CHOOSE(Translations!$C$1+1,K214,L214,M214)</f>
        <v>Coordination et gestion des programmes nationaux de lutte contre les maladies</v>
      </c>
      <c r="D214" s="469"/>
      <c r="E214" s="469" t="s">
        <v>3618</v>
      </c>
      <c r="F214" s="470" t="str">
        <f t="shared" si="6"/>
        <v>MCI-00778</v>
      </c>
      <c r="G214" s="469" t="str">
        <f t="shared" si="7"/>
        <v>MCI-00660Coordination et gestion des programmes nationaux de lutte contre les maladies</v>
      </c>
      <c r="H214" s="469" t="str">
        <f t="shared" si="8"/>
        <v>MCI-00660Coordination et gestion des programmes nationaux de lutte contre les maladies</v>
      </c>
      <c r="I214" s="470" t="str">
        <f t="shared" si="9"/>
        <v>MCI-00778</v>
      </c>
      <c r="J214" s="469"/>
      <c r="K214" s="472" t="s">
        <v>3619</v>
      </c>
      <c r="L214" s="470" t="s">
        <v>3620</v>
      </c>
      <c r="M214" s="470" t="s">
        <v>3621</v>
      </c>
      <c r="N214" s="469" t="s">
        <v>2878</v>
      </c>
    </row>
    <row r="215" spans="1:14" s="9" customFormat="1" x14ac:dyDescent="0.25">
      <c r="A215" s="469" t="s">
        <v>3053</v>
      </c>
      <c r="B215" s="469" t="s">
        <v>3622</v>
      </c>
      <c r="C215" s="469" t="str">
        <f>CHOOSE(Translations!$C$1+1,K215,L215,M215)</f>
        <v>Gestion des subventions</v>
      </c>
      <c r="D215" s="469"/>
      <c r="E215" s="469" t="s">
        <v>3623</v>
      </c>
      <c r="F215" s="470" t="str">
        <f t="shared" si="6"/>
        <v>MCI-00779</v>
      </c>
      <c r="G215" s="469" t="str">
        <f t="shared" si="7"/>
        <v>MCI-00660Gestion des subventions</v>
      </c>
      <c r="H215" s="469" t="str">
        <f t="shared" si="8"/>
        <v>MCI-00660Gestion des subventions</v>
      </c>
      <c r="I215" s="470" t="str">
        <f t="shared" si="9"/>
        <v>MCI-00779</v>
      </c>
      <c r="J215" s="469"/>
      <c r="K215" s="472" t="s">
        <v>3624</v>
      </c>
      <c r="L215" s="470" t="s">
        <v>3625</v>
      </c>
      <c r="M215" s="470" t="s">
        <v>3626</v>
      </c>
      <c r="N215" s="469" t="s">
        <v>2878</v>
      </c>
    </row>
    <row r="216" spans="1:14" s="9" customFormat="1" x14ac:dyDescent="0.25">
      <c r="A216" s="469" t="s">
        <v>3096</v>
      </c>
      <c r="B216" s="469" t="s">
        <v>3627</v>
      </c>
      <c r="C216" s="469" t="str">
        <f>CHOOSE(Translations!$C$1+1,K216,L216,M216)</f>
        <v>Prévention, réduction et gestion des déchets médicaux</v>
      </c>
      <c r="D216" s="469"/>
      <c r="E216" s="469" t="s">
        <v>3628</v>
      </c>
      <c r="F216" s="470" t="str">
        <f t="shared" si="6"/>
        <v>MCI-00784</v>
      </c>
      <c r="G216" s="469" t="str">
        <f t="shared" si="7"/>
        <v>MCI-00661Prévention, réduction et gestion des déchets médicaux</v>
      </c>
      <c r="H216" s="469" t="str">
        <f t="shared" si="8"/>
        <v>MCI-00661Prévention, réduction et gestion des déchets médicaux</v>
      </c>
      <c r="I216" s="470" t="str">
        <f t="shared" si="9"/>
        <v>MCI-00784</v>
      </c>
      <c r="J216" s="469"/>
      <c r="K216" s="472" t="s">
        <v>3629</v>
      </c>
      <c r="L216" s="470" t="s">
        <v>3630</v>
      </c>
      <c r="M216" s="470" t="s">
        <v>3631</v>
      </c>
      <c r="N216" s="469" t="s">
        <v>2878</v>
      </c>
    </row>
    <row r="217" spans="1:14" s="9" customFormat="1" x14ac:dyDescent="0.25">
      <c r="A217" s="469" t="s">
        <v>3096</v>
      </c>
      <c r="B217" s="469" t="s">
        <v>3632</v>
      </c>
      <c r="C217" s="469" t="str">
        <f>CHOOSE(Translations!$C$1+1,K217,L217,M217)</f>
        <v>Politique, stratégie, gouvernance</v>
      </c>
      <c r="D217" s="469"/>
      <c r="E217" s="469" t="s">
        <v>3633</v>
      </c>
      <c r="F217" s="470" t="str">
        <f t="shared" si="6"/>
        <v>MCI-00780</v>
      </c>
      <c r="G217" s="469" t="str">
        <f t="shared" si="7"/>
        <v>MCI-00661Politique, stratégie, gouvernance</v>
      </c>
      <c r="H217" s="469" t="str">
        <f t="shared" si="8"/>
        <v>MCI-00661Politique, stratégie, gouvernance</v>
      </c>
      <c r="I217" s="470" t="str">
        <f t="shared" si="9"/>
        <v>MCI-00780</v>
      </c>
      <c r="J217" s="469"/>
      <c r="K217" s="472" t="s">
        <v>3634</v>
      </c>
      <c r="L217" s="470" t="s">
        <v>3635</v>
      </c>
      <c r="M217" s="470" t="s">
        <v>3636</v>
      </c>
      <c r="N217" s="469" t="s">
        <v>2878</v>
      </c>
    </row>
    <row r="218" spans="1:14" s="9" customFormat="1" x14ac:dyDescent="0.25">
      <c r="A218" s="469" t="s">
        <v>3096</v>
      </c>
      <c r="B218" s="469" t="s">
        <v>3637</v>
      </c>
      <c r="C218" s="469" t="str">
        <f>CHOOSE(Translations!$C$1+1,K218,L218,M218)</f>
        <v>Capacité en matière d’approvisionnement</v>
      </c>
      <c r="D218" s="469"/>
      <c r="E218" s="469" t="s">
        <v>3638</v>
      </c>
      <c r="F218" s="470" t="str">
        <f t="shared" si="6"/>
        <v>MCI-00782</v>
      </c>
      <c r="G218" s="469" t="str">
        <f t="shared" si="7"/>
        <v>MCI-00661Capacité en matière d’approvisionnement</v>
      </c>
      <c r="H218" s="469" t="str">
        <f t="shared" si="8"/>
        <v>MCI-00661Capacité en matière d’approvisionnement</v>
      </c>
      <c r="I218" s="470" t="str">
        <f t="shared" si="9"/>
        <v>MCI-00782</v>
      </c>
      <c r="J218" s="469"/>
      <c r="K218" s="472" t="s">
        <v>3639</v>
      </c>
      <c r="L218" s="470" t="s">
        <v>3640</v>
      </c>
      <c r="M218" s="470" t="s">
        <v>3641</v>
      </c>
      <c r="N218" s="469" t="s">
        <v>2878</v>
      </c>
    </row>
    <row r="219" spans="1:14" s="9" customFormat="1" x14ac:dyDescent="0.25">
      <c r="A219" s="469" t="s">
        <v>3096</v>
      </c>
      <c r="B219" s="469" t="s">
        <v>3642</v>
      </c>
      <c r="C219" s="469" t="str">
        <f>CHOOSE(Translations!$C$1+1,K219,L219,M219)</f>
        <v>Soutien en matière d’assurance qualité/réglementation</v>
      </c>
      <c r="D219" s="469"/>
      <c r="E219" s="469" t="s">
        <v>3643</v>
      </c>
      <c r="F219" s="470" t="str">
        <f t="shared" si="6"/>
        <v>MCI-00783</v>
      </c>
      <c r="G219" s="469" t="str">
        <f t="shared" si="7"/>
        <v>MCI-00661Soutien en matière d’assurance qualité/réglementation</v>
      </c>
      <c r="H219" s="469" t="str">
        <f t="shared" si="8"/>
        <v>MCI-00661Soutien en matière d’assurance qualité/réglementation</v>
      </c>
      <c r="I219" s="470" t="str">
        <f t="shared" si="9"/>
        <v>MCI-00783</v>
      </c>
      <c r="J219" s="469"/>
      <c r="K219" s="472" t="s">
        <v>3644</v>
      </c>
      <c r="L219" s="470" t="s">
        <v>3645</v>
      </c>
      <c r="M219" s="470" t="s">
        <v>3646</v>
      </c>
      <c r="N219" s="469" t="s">
        <v>2878</v>
      </c>
    </row>
    <row r="220" spans="1:14" s="9" customFormat="1" x14ac:dyDescent="0.25">
      <c r="A220" s="469" t="s">
        <v>3096</v>
      </c>
      <c r="B220" s="469" t="s">
        <v>3647</v>
      </c>
      <c r="C220" s="469" t="str">
        <f>CHOOSE(Translations!$C$1+1,K220,L220,M220)</f>
        <v>Capacité de stockage et de distribution</v>
      </c>
      <c r="D220" s="469"/>
      <c r="E220" s="469" t="s">
        <v>3648</v>
      </c>
      <c r="F220" s="470" t="str">
        <f t="shared" si="6"/>
        <v>MCI-00781</v>
      </c>
      <c r="G220" s="469" t="str">
        <f t="shared" si="7"/>
        <v>MCI-00661Capacité de stockage et de distribution</v>
      </c>
      <c r="H220" s="469" t="str">
        <f t="shared" si="8"/>
        <v>MCI-00661Capacité de stockage et de distribution</v>
      </c>
      <c r="I220" s="470" t="str">
        <f t="shared" si="9"/>
        <v>MCI-00781</v>
      </c>
      <c r="J220" s="469"/>
      <c r="K220" s="472" t="s">
        <v>3649</v>
      </c>
      <c r="L220" s="470" t="s">
        <v>3650</v>
      </c>
      <c r="M220" s="470" t="s">
        <v>3651</v>
      </c>
      <c r="N220" s="469" t="s">
        <v>2878</v>
      </c>
    </row>
    <row r="221" spans="1:14" s="9" customFormat="1" x14ac:dyDescent="0.25">
      <c r="A221" s="469" t="s">
        <v>3087</v>
      </c>
      <c r="B221" s="469" t="s">
        <v>3652</v>
      </c>
      <c r="C221" s="469" t="str">
        <f>CHOOSE(Translations!$C$1+1,K221,L221,M221)</f>
        <v>Sources de données administratives et financières</v>
      </c>
      <c r="D221" s="469"/>
      <c r="E221" s="469" t="s">
        <v>3653</v>
      </c>
      <c r="F221" s="470" t="str">
        <f t="shared" si="6"/>
        <v>MCI-00789</v>
      </c>
      <c r="G221" s="469" t="str">
        <f t="shared" si="7"/>
        <v>MCI-00662Sources de données administratives et financières</v>
      </c>
      <c r="H221" s="469" t="str">
        <f t="shared" si="8"/>
        <v>MCI-00662Sources de données administratives et financières</v>
      </c>
      <c r="I221" s="470" t="str">
        <f t="shared" si="9"/>
        <v>MCI-00789</v>
      </c>
      <c r="J221" s="469"/>
      <c r="K221" s="472" t="s">
        <v>3654</v>
      </c>
      <c r="L221" s="470" t="s">
        <v>3655</v>
      </c>
      <c r="M221" s="470" t="s">
        <v>3656</v>
      </c>
      <c r="N221" s="469" t="s">
        <v>2878</v>
      </c>
    </row>
    <row r="222" spans="1:14" s="9" customFormat="1" x14ac:dyDescent="0.25">
      <c r="A222" s="469" t="s">
        <v>3087</v>
      </c>
      <c r="B222" s="469" t="s">
        <v>3657</v>
      </c>
      <c r="C222" s="469" t="str">
        <f>CHOOSE(Translations!$C$1+1,K222,L222,M222)</f>
        <v>Analyse, évaluations, revue et transparence</v>
      </c>
      <c r="D222" s="469"/>
      <c r="E222" s="469" t="s">
        <v>3658</v>
      </c>
      <c r="F222" s="470" t="str">
        <f t="shared" si="6"/>
        <v>MCI-00787</v>
      </c>
      <c r="G222" s="469" t="str">
        <f t="shared" si="7"/>
        <v>MCI-00662Analyse, évaluations, revue et transparence</v>
      </c>
      <c r="H222" s="469" t="str">
        <f t="shared" si="8"/>
        <v>MCI-00662Analyse, évaluations, revue et transparence</v>
      </c>
      <c r="I222" s="470" t="str">
        <f t="shared" si="9"/>
        <v>MCI-00787</v>
      </c>
      <c r="J222" s="469"/>
      <c r="K222" s="472" t="s">
        <v>3659</v>
      </c>
      <c r="L222" s="470" t="s">
        <v>3660</v>
      </c>
      <c r="M222" s="470" t="s">
        <v>3661</v>
      </c>
      <c r="N222" s="469" t="s">
        <v>2878</v>
      </c>
    </row>
    <row r="223" spans="1:14" s="9" customFormat="1" x14ac:dyDescent="0.25">
      <c r="A223" s="469" t="s">
        <v>3087</v>
      </c>
      <c r="B223" s="469" t="s">
        <v>3662</v>
      </c>
      <c r="C223" s="469" t="str">
        <f>CHOOSE(Translations!$C$1+1,K223,L223,M223)</f>
        <v>Registre et statistiques de l'état civil</v>
      </c>
      <c r="D223" s="469"/>
      <c r="E223" s="469" t="s">
        <v>3663</v>
      </c>
      <c r="F223" s="470" t="str">
        <f t="shared" si="6"/>
        <v>MCI-00790</v>
      </c>
      <c r="G223" s="469" t="str">
        <f t="shared" si="7"/>
        <v>MCI-00662Registre et statistiques de l'état civil</v>
      </c>
      <c r="H223" s="469" t="str">
        <f t="shared" si="8"/>
        <v>MCI-00662Registre et statistiques de l'état civil</v>
      </c>
      <c r="I223" s="470" t="str">
        <f t="shared" si="9"/>
        <v>MCI-00790</v>
      </c>
      <c r="J223" s="469"/>
      <c r="K223" s="472" t="s">
        <v>3664</v>
      </c>
      <c r="L223" s="470" t="s">
        <v>3665</v>
      </c>
      <c r="M223" s="470" t="s">
        <v>3666</v>
      </c>
      <c r="N223" s="469" t="s">
        <v>2878</v>
      </c>
    </row>
    <row r="224" spans="1:14" s="9" customFormat="1" x14ac:dyDescent="0.25">
      <c r="A224" s="469" t="s">
        <v>3087</v>
      </c>
      <c r="B224" s="469" t="s">
        <v>3667</v>
      </c>
      <c r="C224" s="469" t="str">
        <f>CHOOSE(Translations!$C$1+1,K224,L224,M224)</f>
        <v>Qualité des données et programmes</v>
      </c>
      <c r="D224" s="469"/>
      <c r="E224" s="469" t="s">
        <v>3668</v>
      </c>
      <c r="F224" s="470" t="str">
        <f t="shared" si="6"/>
        <v>MCI-00786</v>
      </c>
      <c r="G224" s="469" t="str">
        <f t="shared" si="7"/>
        <v>MCI-00662Qualité des données et programmes</v>
      </c>
      <c r="H224" s="469" t="str">
        <f t="shared" si="8"/>
        <v>MCI-00662Qualité des données et programmes</v>
      </c>
      <c r="I224" s="470" t="str">
        <f t="shared" si="9"/>
        <v>MCI-00786</v>
      </c>
      <c r="J224" s="469"/>
      <c r="K224" s="472" t="s">
        <v>3669</v>
      </c>
      <c r="L224" s="470" t="s">
        <v>3670</v>
      </c>
      <c r="M224" s="470" t="s">
        <v>3671</v>
      </c>
      <c r="N224" s="469" t="s">
        <v>2878</v>
      </c>
    </row>
    <row r="225" spans="1:14" s="9" customFormat="1" x14ac:dyDescent="0.25">
      <c r="A225" s="469" t="s">
        <v>3087</v>
      </c>
      <c r="B225" s="469" t="s">
        <v>3672</v>
      </c>
      <c r="C225" s="469" t="str">
        <f>CHOOSE(Translations!$C$1+1,K225,L225,M225)</f>
        <v>Rapportage des données de routine</v>
      </c>
      <c r="D225" s="469"/>
      <c r="E225" s="469" t="s">
        <v>3673</v>
      </c>
      <c r="F225" s="470" t="str">
        <f t="shared" ref="F225:F250" si="10">B225</f>
        <v>MCI-00785</v>
      </c>
      <c r="G225" s="469" t="str">
        <f t="shared" ref="G225:G250" si="11">A225&amp;C225</f>
        <v>MCI-00662Rapportage des données de routine</v>
      </c>
      <c r="H225" s="469" t="str">
        <f t="shared" ref="H225:H250" si="12">A225&amp;C225</f>
        <v>MCI-00662Rapportage des données de routine</v>
      </c>
      <c r="I225" s="470" t="str">
        <f t="shared" ref="I225:I250" si="13">F225</f>
        <v>MCI-00785</v>
      </c>
      <c r="J225" s="469"/>
      <c r="K225" s="472" t="s">
        <v>3674</v>
      </c>
      <c r="L225" s="470" t="s">
        <v>3675</v>
      </c>
      <c r="M225" s="470" t="s">
        <v>3676</v>
      </c>
      <c r="N225" s="469" t="s">
        <v>2878</v>
      </c>
    </row>
    <row r="226" spans="1:14" s="9" customFormat="1" x14ac:dyDescent="0.25">
      <c r="A226" s="469" t="s">
        <v>3087</v>
      </c>
      <c r="B226" s="469" t="s">
        <v>3677</v>
      </c>
      <c r="C226" s="469" t="str">
        <f>CHOOSE(Translations!$C$1+1,K226,L226,M226)</f>
        <v>Enquêtes</v>
      </c>
      <c r="D226" s="469"/>
      <c r="E226" s="469" t="s">
        <v>3678</v>
      </c>
      <c r="F226" s="470" t="str">
        <f t="shared" si="10"/>
        <v>MCI-00788</v>
      </c>
      <c r="G226" s="469" t="str">
        <f t="shared" si="11"/>
        <v>MCI-00662Enquêtes</v>
      </c>
      <c r="H226" s="469" t="str">
        <f t="shared" si="12"/>
        <v>MCI-00662Enquêtes</v>
      </c>
      <c r="I226" s="470" t="str">
        <f t="shared" si="13"/>
        <v>MCI-00788</v>
      </c>
      <c r="J226" s="469"/>
      <c r="K226" s="472" t="s">
        <v>3679</v>
      </c>
      <c r="L226" s="470" t="s">
        <v>3680</v>
      </c>
      <c r="M226" s="470" t="s">
        <v>3681</v>
      </c>
      <c r="N226" s="469" t="s">
        <v>2878</v>
      </c>
    </row>
    <row r="227" spans="1:14" s="9" customFormat="1" x14ac:dyDescent="0.25">
      <c r="A227" s="469" t="s">
        <v>3114</v>
      </c>
      <c r="B227" s="469" t="s">
        <v>3682</v>
      </c>
      <c r="C227" s="469" t="str">
        <f>CHOOSE(Translations!$C$1+1,K227,L227,M227)</f>
        <v>Agents de santé communautaires : Éducation et production</v>
      </c>
      <c r="D227" s="469"/>
      <c r="E227" s="469" t="s">
        <v>3683</v>
      </c>
      <c r="F227" s="470" t="str">
        <f t="shared" si="10"/>
        <v>MCI-00795</v>
      </c>
      <c r="G227" s="469" t="str">
        <f t="shared" si="11"/>
        <v>MCI-00663Agents de santé communautaires : Éducation et production</v>
      </c>
      <c r="H227" s="469" t="str">
        <f t="shared" si="12"/>
        <v>MCI-00663Agents de santé communautaires : Éducation et production</v>
      </c>
      <c r="I227" s="470" t="str">
        <f t="shared" si="13"/>
        <v>MCI-00795</v>
      </c>
      <c r="J227" s="469"/>
      <c r="K227" s="472" t="s">
        <v>3684</v>
      </c>
      <c r="L227" s="470" t="s">
        <v>3685</v>
      </c>
      <c r="M227" s="470" t="s">
        <v>3686</v>
      </c>
      <c r="N227" s="469" t="s">
        <v>2878</v>
      </c>
    </row>
    <row r="228" spans="1:14" s="9" customFormat="1" x14ac:dyDescent="0.25">
      <c r="A228" s="469" t="s">
        <v>3114</v>
      </c>
      <c r="B228" s="469" t="s">
        <v>3687</v>
      </c>
      <c r="C228" s="469" t="str">
        <f>CHOOSE(Translations!$C$1+1,K228,L228,M228)</f>
        <v>Agents de santé communautaires : Formation continue</v>
      </c>
      <c r="D228" s="469"/>
      <c r="E228" s="469" t="s">
        <v>3688</v>
      </c>
      <c r="F228" s="470" t="str">
        <f t="shared" si="10"/>
        <v>MCI-00797</v>
      </c>
      <c r="G228" s="469" t="str">
        <f t="shared" si="11"/>
        <v>MCI-00663Agents de santé communautaires : Formation continue</v>
      </c>
      <c r="H228" s="469" t="str">
        <f t="shared" si="12"/>
        <v>MCI-00663Agents de santé communautaires : Formation continue</v>
      </c>
      <c r="I228" s="470" t="str">
        <f t="shared" si="13"/>
        <v>MCI-00797</v>
      </c>
      <c r="J228" s="469"/>
      <c r="K228" s="472" t="s">
        <v>3689</v>
      </c>
      <c r="L228" s="470" t="s">
        <v>3690</v>
      </c>
      <c r="M228" s="470" t="s">
        <v>3691</v>
      </c>
      <c r="N228" s="469" t="s">
        <v>2878</v>
      </c>
    </row>
    <row r="229" spans="1:14" s="9" customFormat="1" x14ac:dyDescent="0.25">
      <c r="A229" s="469" t="s">
        <v>3114</v>
      </c>
      <c r="B229" s="469" t="s">
        <v>3692</v>
      </c>
      <c r="C229" s="469" t="str">
        <f>CHOOSE(Translations!$C$1+1,K229,L229,M229)</f>
        <v>Agents de santé communautaires : Rémunération et déploiement</v>
      </c>
      <c r="D229" s="469"/>
      <c r="E229" s="469" t="s">
        <v>3693</v>
      </c>
      <c r="F229" s="470" t="str">
        <f t="shared" si="10"/>
        <v>MCI-00796</v>
      </c>
      <c r="G229" s="469" t="str">
        <f t="shared" si="11"/>
        <v>MCI-00663Agents de santé communautaires : Rémunération et déploiement</v>
      </c>
      <c r="H229" s="469" t="str">
        <f t="shared" si="12"/>
        <v>MCI-00663Agents de santé communautaires : Rémunération et déploiement</v>
      </c>
      <c r="I229" s="470" t="str">
        <f t="shared" si="13"/>
        <v>MCI-00796</v>
      </c>
      <c r="J229" s="469"/>
      <c r="K229" s="472" t="s">
        <v>3694</v>
      </c>
      <c r="L229" s="470" t="s">
        <v>3695</v>
      </c>
      <c r="M229" s="470" t="s">
        <v>3696</v>
      </c>
      <c r="N229" s="469" t="s">
        <v>2878</v>
      </c>
    </row>
    <row r="230" spans="1:14" s="9" customFormat="1" x14ac:dyDescent="0.25">
      <c r="A230" s="469" t="s">
        <v>3114</v>
      </c>
      <c r="B230" s="469" t="s">
        <v>3697</v>
      </c>
      <c r="C230" s="469" t="str">
        <f>CHOOSE(Translations!$C$1+1,K230,L230,M230)</f>
        <v>Éducation et production de nouveaux travailleurs de santé (à l’exception des agents de santé communautaires)</v>
      </c>
      <c r="D230" s="469"/>
      <c r="E230" s="469" t="s">
        <v>3698</v>
      </c>
      <c r="F230" s="470" t="str">
        <f t="shared" si="10"/>
        <v>MCI-00791</v>
      </c>
      <c r="G230" s="469" t="str">
        <f t="shared" si="11"/>
        <v>MCI-00663Éducation et production de nouveaux travailleurs de santé (à l’exception des agents de santé communautaires)</v>
      </c>
      <c r="H230" s="469" t="str">
        <f t="shared" si="12"/>
        <v>MCI-00663Éducation et production de nouveaux travailleurs de santé (à l’exception des agents de santé communautaires)</v>
      </c>
      <c r="I230" s="470" t="str">
        <f t="shared" si="13"/>
        <v>MCI-00791</v>
      </c>
      <c r="J230" s="469"/>
      <c r="K230" s="472" t="s">
        <v>3699</v>
      </c>
      <c r="L230" s="470" t="s">
        <v>3700</v>
      </c>
      <c r="M230" s="470" t="s">
        <v>3701</v>
      </c>
      <c r="N230" s="469" t="s">
        <v>2878</v>
      </c>
    </row>
    <row r="231" spans="1:14" s="9" customFormat="1" x14ac:dyDescent="0.25">
      <c r="A231" s="469" t="s">
        <v>3114</v>
      </c>
      <c r="B231" s="469" t="s">
        <v>3702</v>
      </c>
      <c r="C231" s="469" t="str">
        <f>CHOOSE(Translations!$C$1+1,K231,L231,M231)</f>
        <v>Politiques et gouvernance relatives aux ressources humaines pour la santé (RHS)</v>
      </c>
      <c r="D231" s="469"/>
      <c r="E231" s="469" t="s">
        <v>3703</v>
      </c>
      <c r="F231" s="470" t="str">
        <f t="shared" si="10"/>
        <v>MCI-00794</v>
      </c>
      <c r="G231" s="469" t="str">
        <f t="shared" si="11"/>
        <v>MCI-00663Politiques et gouvernance relatives aux ressources humaines pour la santé (RHS)</v>
      </c>
      <c r="H231" s="469" t="str">
        <f t="shared" si="12"/>
        <v>MCI-00663Politiques et gouvernance relatives aux ressources humaines pour la santé (RHS)</v>
      </c>
      <c r="I231" s="470" t="str">
        <f t="shared" si="13"/>
        <v>MCI-00794</v>
      </c>
      <c r="J231" s="469"/>
      <c r="K231" s="472" t="s">
        <v>3704</v>
      </c>
      <c r="L231" s="470" t="s">
        <v>3705</v>
      </c>
      <c r="M231" s="470" t="s">
        <v>3706</v>
      </c>
      <c r="N231" s="469" t="s">
        <v>2878</v>
      </c>
    </row>
    <row r="232" spans="1:14" s="9" customFormat="1" x14ac:dyDescent="0.25">
      <c r="A232" s="469" t="s">
        <v>3114</v>
      </c>
      <c r="B232" s="469" t="s">
        <v>3707</v>
      </c>
      <c r="C232" s="469" t="str">
        <f>CHOOSE(Translations!$C$1+1,K232,L232,M232)</f>
        <v>Formation continue (à l’exception des agents de santé communautaires)</v>
      </c>
      <c r="D232" s="469"/>
      <c r="E232" s="469" t="s">
        <v>3708</v>
      </c>
      <c r="F232" s="470" t="str">
        <f t="shared" si="10"/>
        <v>MCI-00793</v>
      </c>
      <c r="G232" s="469" t="str">
        <f t="shared" si="11"/>
        <v>MCI-00663Formation continue (à l’exception des agents de santé communautaires)</v>
      </c>
      <c r="H232" s="469" t="str">
        <f t="shared" si="12"/>
        <v>MCI-00663Formation continue (à l’exception des agents de santé communautaires)</v>
      </c>
      <c r="I232" s="470" t="str">
        <f t="shared" si="13"/>
        <v>MCI-00793</v>
      </c>
      <c r="J232" s="469"/>
      <c r="K232" s="472" t="s">
        <v>3709</v>
      </c>
      <c r="L232" s="470" t="s">
        <v>3710</v>
      </c>
      <c r="M232" s="470" t="s">
        <v>3711</v>
      </c>
      <c r="N232" s="469" t="s">
        <v>2878</v>
      </c>
    </row>
    <row r="233" spans="1:14" s="9" customFormat="1" x14ac:dyDescent="0.25">
      <c r="A233" s="469" t="s">
        <v>3114</v>
      </c>
      <c r="B233" s="469" t="s">
        <v>3712</v>
      </c>
      <c r="C233" s="469" t="str">
        <f>CHOOSE(Translations!$C$1+1,K233,L233,M233)</f>
        <v>Rémunération et déploiement de personnel existant/nouveau personnel (à l’exception des agents de santé communautaires)</v>
      </c>
      <c r="D233" s="469"/>
      <c r="E233" s="469" t="s">
        <v>3713</v>
      </c>
      <c r="F233" s="470" t="str">
        <f t="shared" si="10"/>
        <v>MCI-00792</v>
      </c>
      <c r="G233" s="469" t="str">
        <f t="shared" si="11"/>
        <v>MCI-00663Rémunération et déploiement de personnel existant/nouveau personnel (à l’exception des agents de santé communautaires)</v>
      </c>
      <c r="H233" s="469" t="str">
        <f t="shared" si="12"/>
        <v>MCI-00663Rémunération et déploiement de personnel existant/nouveau personnel (à l’exception des agents de santé communautaires)</v>
      </c>
      <c r="I233" s="470" t="str">
        <f t="shared" si="13"/>
        <v>MCI-00792</v>
      </c>
      <c r="J233" s="469"/>
      <c r="K233" s="472" t="s">
        <v>3714</v>
      </c>
      <c r="L233" s="470" t="s">
        <v>3715</v>
      </c>
      <c r="M233" s="470" t="s">
        <v>3716</v>
      </c>
      <c r="N233" s="469" t="s">
        <v>2878</v>
      </c>
    </row>
    <row r="234" spans="1:14" s="9" customFormat="1" x14ac:dyDescent="0.25">
      <c r="A234" s="469" t="s">
        <v>3123</v>
      </c>
      <c r="B234" s="469" t="s">
        <v>3717</v>
      </c>
      <c r="C234" s="469" t="str">
        <f>CHOOSE(Translations!$C$1+1,K234,L234,M234)</f>
        <v>Qualité des soins</v>
      </c>
      <c r="D234" s="469"/>
      <c r="E234" s="469" t="s">
        <v>3718</v>
      </c>
      <c r="F234" s="470" t="str">
        <f t="shared" si="10"/>
        <v>MCI-00798</v>
      </c>
      <c r="G234" s="469" t="str">
        <f t="shared" si="11"/>
        <v>MCI-00664Qualité des soins</v>
      </c>
      <c r="H234" s="469" t="str">
        <f t="shared" si="12"/>
        <v>MCI-00664Qualité des soins</v>
      </c>
      <c r="I234" s="470" t="str">
        <f t="shared" si="13"/>
        <v>MCI-00798</v>
      </c>
      <c r="J234" s="469"/>
      <c r="K234" s="472" t="s">
        <v>3719</v>
      </c>
      <c r="L234" s="470" t="s">
        <v>3720</v>
      </c>
      <c r="M234" s="470" t="s">
        <v>3721</v>
      </c>
      <c r="N234" s="469" t="s">
        <v>2878</v>
      </c>
    </row>
    <row r="235" spans="1:14" s="9" customFormat="1" x14ac:dyDescent="0.25">
      <c r="A235" s="469" t="s">
        <v>3123</v>
      </c>
      <c r="B235" s="469" t="s">
        <v>3722</v>
      </c>
      <c r="C235" s="469" t="str">
        <f>CHOOSE(Translations!$C$1+1,K235,L235,M235)</f>
        <v>Infrastructures de prestation de services</v>
      </c>
      <c r="D235" s="469"/>
      <c r="E235" s="469" t="s">
        <v>3723</v>
      </c>
      <c r="F235" s="470" t="str">
        <f t="shared" si="10"/>
        <v>MCI-00800</v>
      </c>
      <c r="G235" s="469" t="str">
        <f t="shared" si="11"/>
        <v>MCI-00664Infrastructures de prestation de services</v>
      </c>
      <c r="H235" s="469" t="str">
        <f t="shared" si="12"/>
        <v>MCI-00664Infrastructures de prestation de services</v>
      </c>
      <c r="I235" s="470" t="str">
        <f t="shared" si="13"/>
        <v>MCI-00800</v>
      </c>
      <c r="J235" s="469"/>
      <c r="K235" s="472" t="s">
        <v>3724</v>
      </c>
      <c r="L235" s="470" t="s">
        <v>3725</v>
      </c>
      <c r="M235" s="470" t="s">
        <v>3726</v>
      </c>
      <c r="N235" s="469" t="s">
        <v>2878</v>
      </c>
    </row>
    <row r="236" spans="1:14" s="9" customFormat="1" x14ac:dyDescent="0.25">
      <c r="A236" s="469" t="s">
        <v>3123</v>
      </c>
      <c r="B236" s="469" t="s">
        <v>3727</v>
      </c>
      <c r="C236" s="469" t="str">
        <f>CHOOSE(Translations!$C$1+1,K236,L236,M236)</f>
        <v>Organisation des services et gestion des établissements de santré</v>
      </c>
      <c r="D236" s="469"/>
      <c r="E236" s="469" t="s">
        <v>3728</v>
      </c>
      <c r="F236" s="470" t="str">
        <f t="shared" si="10"/>
        <v>MCI-00799</v>
      </c>
      <c r="G236" s="469" t="str">
        <f t="shared" si="11"/>
        <v>MCI-00664Organisation des services et gestion des établissements de santré</v>
      </c>
      <c r="H236" s="469" t="str">
        <f t="shared" si="12"/>
        <v>MCI-00664Organisation des services et gestion des établissements de santré</v>
      </c>
      <c r="I236" s="470" t="str">
        <f t="shared" si="13"/>
        <v>MCI-00799</v>
      </c>
      <c r="J236" s="469"/>
      <c r="K236" s="472" t="s">
        <v>3729</v>
      </c>
      <c r="L236" s="470" t="s">
        <v>3730</v>
      </c>
      <c r="M236" s="470" t="s">
        <v>3731</v>
      </c>
      <c r="N236" s="469" t="s">
        <v>2878</v>
      </c>
    </row>
    <row r="237" spans="1:14" s="9" customFormat="1" x14ac:dyDescent="0.25">
      <c r="A237" s="469" t="s">
        <v>3078</v>
      </c>
      <c r="B237" s="469" t="s">
        <v>3732</v>
      </c>
      <c r="C237" s="469" t="str">
        <f>CHOOSE(Translations!$C$1+1,K237,L237,M237)</f>
        <v>Systèmes de gestion financière publique (nationaux ou harmonisés par les donateurs)</v>
      </c>
      <c r="D237" s="469"/>
      <c r="E237" s="469" t="s">
        <v>3733</v>
      </c>
      <c r="F237" s="470" t="str">
        <f t="shared" si="10"/>
        <v>MCI-00801</v>
      </c>
      <c r="G237" s="469" t="str">
        <f t="shared" si="11"/>
        <v>MCI-00665Systèmes de gestion financière publique (nationaux ou harmonisés par les donateurs)</v>
      </c>
      <c r="H237" s="469" t="str">
        <f t="shared" si="12"/>
        <v>MCI-00665Systèmes de gestion financière publique (nationaux ou harmonisés par les donateurs)</v>
      </c>
      <c r="I237" s="470" t="str">
        <f t="shared" si="13"/>
        <v>MCI-00801</v>
      </c>
      <c r="J237" s="469"/>
      <c r="K237" s="472" t="s">
        <v>3734</v>
      </c>
      <c r="L237" s="470" t="s">
        <v>3735</v>
      </c>
      <c r="M237" s="470" t="s">
        <v>3736</v>
      </c>
      <c r="N237" s="469" t="s">
        <v>2878</v>
      </c>
    </row>
    <row r="238" spans="1:14" s="9" customFormat="1" x14ac:dyDescent="0.25">
      <c r="A238" s="469" t="s">
        <v>3078</v>
      </c>
      <c r="B238" s="469" t="s">
        <v>3737</v>
      </c>
      <c r="C238" s="469" t="str">
        <f>CHOOSE(Translations!$C$1+1,K238,L238,M238)</f>
        <v>Gestion financière courante des subventions</v>
      </c>
      <c r="D238" s="469"/>
      <c r="E238" s="469" t="s">
        <v>3738</v>
      </c>
      <c r="F238" s="470" t="str">
        <f t="shared" si="10"/>
        <v>MCI-00802</v>
      </c>
      <c r="G238" s="469" t="str">
        <f t="shared" si="11"/>
        <v>MCI-00665Gestion financière courante des subventions</v>
      </c>
      <c r="H238" s="469" t="str">
        <f t="shared" si="12"/>
        <v>MCI-00665Gestion financière courante des subventions</v>
      </c>
      <c r="I238" s="470" t="str">
        <f t="shared" si="13"/>
        <v>MCI-00802</v>
      </c>
      <c r="J238" s="469"/>
      <c r="K238" s="472" t="s">
        <v>3739</v>
      </c>
      <c r="L238" s="470" t="s">
        <v>3740</v>
      </c>
      <c r="M238" s="470" t="s">
        <v>3741</v>
      </c>
      <c r="N238" s="469" t="s">
        <v>2878</v>
      </c>
    </row>
    <row r="239" spans="1:14" s="9" customFormat="1" x14ac:dyDescent="0.25">
      <c r="A239" s="469" t="s">
        <v>3105</v>
      </c>
      <c r="B239" s="469" t="s">
        <v>3742</v>
      </c>
      <c r="C239" s="469" t="str">
        <f>CHOOSE(Translations!$C$1+1,K239,L239,M239)</f>
        <v>Financement et stratégies du secteur national de la santé</v>
      </c>
      <c r="D239" s="469"/>
      <c r="E239" s="469" t="s">
        <v>3743</v>
      </c>
      <c r="F239" s="470" t="str">
        <f t="shared" si="10"/>
        <v>MCI-00803</v>
      </c>
      <c r="G239" s="469" t="str">
        <f t="shared" si="11"/>
        <v>MCI-00666Financement et stratégies du secteur national de la santé</v>
      </c>
      <c r="H239" s="469" t="str">
        <f t="shared" si="12"/>
        <v>MCI-00666Financement et stratégies du secteur national de la santé</v>
      </c>
      <c r="I239" s="470" t="str">
        <f t="shared" si="13"/>
        <v>MCI-00803</v>
      </c>
      <c r="J239" s="469"/>
      <c r="K239" s="472" t="s">
        <v>3744</v>
      </c>
      <c r="L239" s="470" t="s">
        <v>3745</v>
      </c>
      <c r="M239" s="470" t="s">
        <v>3746</v>
      </c>
      <c r="N239" s="469" t="s">
        <v>2878</v>
      </c>
    </row>
    <row r="240" spans="1:14" s="9" customFormat="1" x14ac:dyDescent="0.25">
      <c r="A240" s="469" t="s">
        <v>3105</v>
      </c>
      <c r="B240" s="469" t="s">
        <v>3747</v>
      </c>
      <c r="C240" s="469" t="str">
        <f>CHOOSE(Translations!$C$1+1,K240,L240,M240)</f>
        <v>Politique et planification des programmes nationaux de lutte contre la maladie</v>
      </c>
      <c r="D240" s="469"/>
      <c r="E240" s="469" t="s">
        <v>3748</v>
      </c>
      <c r="F240" s="470" t="str">
        <f t="shared" si="10"/>
        <v>MCI-00804</v>
      </c>
      <c r="G240" s="469" t="str">
        <f t="shared" si="11"/>
        <v>MCI-00666Politique et planification des programmes nationaux de lutte contre la maladie</v>
      </c>
      <c r="H240" s="469" t="str">
        <f t="shared" si="12"/>
        <v>MCI-00666Politique et planification des programmes nationaux de lutte contre la maladie</v>
      </c>
      <c r="I240" s="470" t="str">
        <f t="shared" si="13"/>
        <v>MCI-00804</v>
      </c>
      <c r="J240" s="469"/>
      <c r="K240" s="472" t="s">
        <v>3749</v>
      </c>
      <c r="L240" s="470" t="s">
        <v>3750</v>
      </c>
      <c r="M240" s="470" t="s">
        <v>3751</v>
      </c>
      <c r="N240" s="469" t="s">
        <v>2878</v>
      </c>
    </row>
    <row r="241" spans="1:14" s="9" customFormat="1" x14ac:dyDescent="0.25">
      <c r="A241" s="469" t="s">
        <v>3069</v>
      </c>
      <c r="B241" s="469" t="s">
        <v>3752</v>
      </c>
      <c r="C241" s="469" t="str">
        <f>CHOOSE(Translations!$C$1+1,K241,L241,M241)</f>
        <v>Suivi réalisé par la communauté</v>
      </c>
      <c r="D241" s="469"/>
      <c r="E241" s="469" t="s">
        <v>3753</v>
      </c>
      <c r="F241" s="470" t="str">
        <f t="shared" si="10"/>
        <v>MCI-00805</v>
      </c>
      <c r="G241" s="469" t="str">
        <f t="shared" si="11"/>
        <v>MCI-00667Suivi réalisé par la communauté</v>
      </c>
      <c r="H241" s="469" t="str">
        <f t="shared" si="12"/>
        <v>MCI-00667Suivi réalisé par la communauté</v>
      </c>
      <c r="I241" s="470" t="str">
        <f t="shared" si="13"/>
        <v>MCI-00805</v>
      </c>
      <c r="J241" s="469"/>
      <c r="K241" s="472" t="s">
        <v>3754</v>
      </c>
      <c r="L241" s="470" t="s">
        <v>3755</v>
      </c>
      <c r="M241" s="470" t="s">
        <v>3756</v>
      </c>
      <c r="N241" s="469" t="s">
        <v>2878</v>
      </c>
    </row>
    <row r="242" spans="1:14" s="9" customFormat="1" x14ac:dyDescent="0.25">
      <c r="A242" s="469" t="s">
        <v>3069</v>
      </c>
      <c r="B242" s="469" t="s">
        <v>3757</v>
      </c>
      <c r="C242" s="469" t="str">
        <f>CHOOSE(Translations!$C$1+1,K242,L242,M242)</f>
        <v>Plaidoyer mené par la communauté et recherche</v>
      </c>
      <c r="D242" s="469"/>
      <c r="E242" s="469" t="s">
        <v>3758</v>
      </c>
      <c r="F242" s="470" t="str">
        <f t="shared" si="10"/>
        <v>MCI-00806</v>
      </c>
      <c r="G242" s="469" t="str">
        <f t="shared" si="11"/>
        <v>MCI-00667Plaidoyer mené par la communauté et recherche</v>
      </c>
      <c r="H242" s="469" t="str">
        <f t="shared" si="12"/>
        <v>MCI-00667Plaidoyer mené par la communauté et recherche</v>
      </c>
      <c r="I242" s="470" t="str">
        <f t="shared" si="13"/>
        <v>MCI-00806</v>
      </c>
      <c r="J242" s="469"/>
      <c r="K242" s="472" t="s">
        <v>3759</v>
      </c>
      <c r="L242" s="470" t="s">
        <v>3760</v>
      </c>
      <c r="M242" s="470" t="s">
        <v>3761</v>
      </c>
      <c r="N242" s="469" t="s">
        <v>2878</v>
      </c>
    </row>
    <row r="243" spans="1:14" s="9" customFormat="1" x14ac:dyDescent="0.25">
      <c r="A243" s="469" t="s">
        <v>3069</v>
      </c>
      <c r="B243" s="469" t="s">
        <v>3762</v>
      </c>
      <c r="C243" s="469" t="str">
        <f>CHOOSE(Translations!$C$1+1,K243,L243,M243)</f>
        <v>Renforcement de la capacité institutionnelle, planification de développement du leadership</v>
      </c>
      <c r="D243" s="469"/>
      <c r="E243" s="469" t="s">
        <v>3763</v>
      </c>
      <c r="F243" s="470" t="str">
        <f t="shared" si="10"/>
        <v>MCI-00808</v>
      </c>
      <c r="G243" s="469" t="str">
        <f t="shared" si="11"/>
        <v>MCI-00667Renforcement de la capacité institutionnelle, planification de développement du leadership</v>
      </c>
      <c r="H243" s="469" t="str">
        <f t="shared" si="12"/>
        <v>MCI-00667Renforcement de la capacité institutionnelle, planification de développement du leadership</v>
      </c>
      <c r="I243" s="470" t="str">
        <f t="shared" si="13"/>
        <v>MCI-00808</v>
      </c>
      <c r="J243" s="469"/>
      <c r="K243" s="472" t="s">
        <v>3764</v>
      </c>
      <c r="L243" s="470" t="s">
        <v>3765</v>
      </c>
      <c r="M243" s="470" t="s">
        <v>3766</v>
      </c>
      <c r="N243" s="469" t="s">
        <v>2878</v>
      </c>
    </row>
    <row r="244" spans="1:14" s="9" customFormat="1" x14ac:dyDescent="0.25">
      <c r="A244" s="469" t="s">
        <v>3069</v>
      </c>
      <c r="B244" s="469" t="s">
        <v>3767</v>
      </c>
      <c r="C244" s="469" t="str">
        <f>CHOOSE(Translations!$C$1+1,K244,L244,M244)</f>
        <v>Mobilisation sociale, établissement de liens avec la communauté et coordination</v>
      </c>
      <c r="D244" s="469"/>
      <c r="E244" s="469" t="s">
        <v>3768</v>
      </c>
      <c r="F244" s="470" t="str">
        <f t="shared" si="10"/>
        <v>MCI-00807</v>
      </c>
      <c r="G244" s="469" t="str">
        <f t="shared" si="11"/>
        <v>MCI-00667Mobilisation sociale, établissement de liens avec la communauté et coordination</v>
      </c>
      <c r="H244" s="469" t="str">
        <f t="shared" si="12"/>
        <v>MCI-00667Mobilisation sociale, établissement de liens avec la communauté et coordination</v>
      </c>
      <c r="I244" s="470" t="str">
        <f t="shared" si="13"/>
        <v>MCI-00807</v>
      </c>
      <c r="J244" s="469"/>
      <c r="K244" s="472" t="s">
        <v>3769</v>
      </c>
      <c r="L244" s="470" t="s">
        <v>3770</v>
      </c>
      <c r="M244" s="470" t="s">
        <v>3771</v>
      </c>
      <c r="N244" s="469" t="s">
        <v>2878</v>
      </c>
    </row>
    <row r="245" spans="1:14" s="9" customFormat="1" x14ac:dyDescent="0.25">
      <c r="A245" s="469" t="s">
        <v>3132</v>
      </c>
      <c r="B245" s="469" t="s">
        <v>3772</v>
      </c>
      <c r="C245" s="469" t="str">
        <f>CHOOSE(Translations!$C$1+1,K245,L245,M245)</f>
        <v>Systèmes d’information et réseaux intégrés de transports d’échantillons</v>
      </c>
      <c r="D245" s="469"/>
      <c r="E245" s="469" t="s">
        <v>3773</v>
      </c>
      <c r="F245" s="470" t="str">
        <f t="shared" si="10"/>
        <v>MCI-00812</v>
      </c>
      <c r="G245" s="469" t="str">
        <f t="shared" si="11"/>
        <v>MCI-00668Systèmes d’information et réseaux intégrés de transports d’échantillons</v>
      </c>
      <c r="H245" s="469" t="str">
        <f t="shared" si="12"/>
        <v>MCI-00668Systèmes d’information et réseaux intégrés de transports d’échantillons</v>
      </c>
      <c r="I245" s="470" t="str">
        <f t="shared" si="13"/>
        <v>MCI-00812</v>
      </c>
      <c r="J245" s="469"/>
      <c r="K245" s="472" t="s">
        <v>3774</v>
      </c>
      <c r="L245" s="470" t="s">
        <v>3775</v>
      </c>
      <c r="M245" s="470" t="s">
        <v>3776</v>
      </c>
      <c r="N245" s="469" t="s">
        <v>2878</v>
      </c>
    </row>
    <row r="246" spans="1:14" s="9" customFormat="1" x14ac:dyDescent="0.25">
      <c r="A246" s="469" t="s">
        <v>3132</v>
      </c>
      <c r="B246" s="469" t="s">
        <v>3777</v>
      </c>
      <c r="C246" s="469" t="str">
        <f>CHOOSE(Translations!$C$1+1,K246,L246,M246)</f>
        <v>Infrastructure et systèmes de gestion de l’équipement</v>
      </c>
      <c r="D246" s="469"/>
      <c r="E246" s="469" t="s">
        <v>3778</v>
      </c>
      <c r="F246" s="470" t="str">
        <f t="shared" si="10"/>
        <v>MCI-00810</v>
      </c>
      <c r="G246" s="469" t="str">
        <f t="shared" si="11"/>
        <v>MCI-00668Infrastructure et systèmes de gestion de l’équipement</v>
      </c>
      <c r="H246" s="469" t="str">
        <f t="shared" si="12"/>
        <v>MCI-00668Infrastructure et systèmes de gestion de l’équipement</v>
      </c>
      <c r="I246" s="470" t="str">
        <f t="shared" si="13"/>
        <v>MCI-00810</v>
      </c>
      <c r="J246" s="469"/>
      <c r="K246" s="472" t="s">
        <v>3779</v>
      </c>
      <c r="L246" s="470" t="s">
        <v>3780</v>
      </c>
      <c r="M246" s="470" t="s">
        <v>3781</v>
      </c>
      <c r="N246" s="469" t="s">
        <v>2878</v>
      </c>
    </row>
    <row r="247" spans="1:14" s="9" customFormat="1" x14ac:dyDescent="0.25">
      <c r="A247" s="469" t="s">
        <v>3132</v>
      </c>
      <c r="B247" s="469" t="s">
        <v>3782</v>
      </c>
      <c r="C247" s="469" t="str">
        <f>CHOOSE(Translations!$C$1+1,K247,L247,M247)</f>
        <v>Systèmes de chaînes d’approvisionnement des laboratoires</v>
      </c>
      <c r="D247" s="469"/>
      <c r="E247" s="469" t="s">
        <v>3783</v>
      </c>
      <c r="F247" s="470" t="str">
        <f t="shared" si="10"/>
        <v>MCI-00813</v>
      </c>
      <c r="G247" s="469" t="str">
        <f t="shared" si="11"/>
        <v>MCI-00668Systèmes de chaînes d’approvisionnement des laboratoires</v>
      </c>
      <c r="H247" s="469" t="str">
        <f t="shared" si="12"/>
        <v>MCI-00668Systèmes de chaînes d’approvisionnement des laboratoires</v>
      </c>
      <c r="I247" s="470" t="str">
        <f t="shared" si="13"/>
        <v>MCI-00813</v>
      </c>
      <c r="J247" s="469"/>
      <c r="K247" s="472" t="s">
        <v>3784</v>
      </c>
      <c r="L247" s="470" t="s">
        <v>3785</v>
      </c>
      <c r="M247" s="470" t="s">
        <v>3786</v>
      </c>
      <c r="N247" s="469" t="s">
        <v>2878</v>
      </c>
    </row>
    <row r="248" spans="1:14" s="9" customFormat="1" x14ac:dyDescent="0.25">
      <c r="A248" s="469" t="s">
        <v>3132</v>
      </c>
      <c r="B248" s="469" t="s">
        <v>3787</v>
      </c>
      <c r="C248" s="469" t="str">
        <f>CHOOSE(Translations!$C$1+1,K248,L248,M248)</f>
        <v>Structures de gestion et de gouvernance du laboratoire national</v>
      </c>
      <c r="D248" s="469"/>
      <c r="E248" s="469" t="s">
        <v>3788</v>
      </c>
      <c r="F248" s="470" t="str">
        <f t="shared" si="10"/>
        <v>MCI-00809</v>
      </c>
      <c r="G248" s="469" t="str">
        <f t="shared" si="11"/>
        <v>MCI-00668Structures de gestion et de gouvernance du laboratoire national</v>
      </c>
      <c r="H248" s="469" t="str">
        <f t="shared" si="12"/>
        <v>MCI-00668Structures de gestion et de gouvernance du laboratoire national</v>
      </c>
      <c r="I248" s="470" t="str">
        <f t="shared" si="13"/>
        <v>MCI-00809</v>
      </c>
      <c r="J248" s="469"/>
      <c r="K248" s="472" t="s">
        <v>3789</v>
      </c>
      <c r="L248" s="470" t="s">
        <v>3790</v>
      </c>
      <c r="M248" s="470" t="s">
        <v>3791</v>
      </c>
      <c r="N248" s="469" t="s">
        <v>2878</v>
      </c>
    </row>
    <row r="249" spans="1:14" s="9" customFormat="1" x14ac:dyDescent="0.25">
      <c r="A249" s="469" t="s">
        <v>3132</v>
      </c>
      <c r="B249" s="469" t="s">
        <v>3792</v>
      </c>
      <c r="C249" s="469" t="str">
        <f>CHOOSE(Translations!$C$1+1,K249,L249,M249)</f>
        <v>Systèmes de gestion de la qualité et homologation</v>
      </c>
      <c r="D249" s="469"/>
      <c r="E249" s="469" t="s">
        <v>3793</v>
      </c>
      <c r="F249" s="470" t="str">
        <f t="shared" si="10"/>
        <v>MCI-00811</v>
      </c>
      <c r="G249" s="469" t="str">
        <f t="shared" si="11"/>
        <v>MCI-00668Systèmes de gestion de la qualité et homologation</v>
      </c>
      <c r="H249" s="469" t="str">
        <f t="shared" si="12"/>
        <v>MCI-00668Systèmes de gestion de la qualité et homologation</v>
      </c>
      <c r="I249" s="470" t="str">
        <f t="shared" si="13"/>
        <v>MCI-00811</v>
      </c>
      <c r="J249" s="469"/>
      <c r="K249" s="472" t="s">
        <v>3794</v>
      </c>
      <c r="L249" s="470" t="s">
        <v>3795</v>
      </c>
      <c r="M249" s="470" t="s">
        <v>3796</v>
      </c>
      <c r="N249" s="469" t="s">
        <v>2878</v>
      </c>
    </row>
    <row r="250" spans="1:14" s="9" customFormat="1" x14ac:dyDescent="0.25">
      <c r="A250" s="469" t="s">
        <v>3030</v>
      </c>
      <c r="B250" s="469" t="s">
        <v>3797</v>
      </c>
      <c r="C250" s="469" t="str">
        <f>CHOOSE(Translations!$C$1+1,K250,L250,M250)</f>
        <v>Financement basé sur les résultats</v>
      </c>
      <c r="D250" s="469"/>
      <c r="E250" s="469" t="s">
        <v>3798</v>
      </c>
      <c r="F250" s="470" t="str">
        <f t="shared" si="10"/>
        <v>MCI-00814</v>
      </c>
      <c r="G250" s="469" t="str">
        <f t="shared" si="11"/>
        <v>MCI-00669Financement basé sur les résultats</v>
      </c>
      <c r="H250" s="469" t="str">
        <f t="shared" si="12"/>
        <v>MCI-00669Financement basé sur les résultats</v>
      </c>
      <c r="I250" s="470" t="str">
        <f t="shared" si="13"/>
        <v>MCI-00814</v>
      </c>
      <c r="J250" s="469"/>
      <c r="K250" s="472" t="s">
        <v>3029</v>
      </c>
      <c r="L250" s="470" t="s">
        <v>3034</v>
      </c>
      <c r="M250" s="470" t="s">
        <v>3035</v>
      </c>
      <c r="N250" s="469" t="s">
        <v>2878</v>
      </c>
    </row>
    <row r="251" spans="1:14" x14ac:dyDescent="0.25">
      <c r="B251" s="2"/>
    </row>
    <row r="252" spans="1:14" hidden="1" x14ac:dyDescent="0.25">
      <c r="A252" s="6"/>
    </row>
    <row r="253" spans="1:14" hidden="1" x14ac:dyDescent="0.25"/>
    <row r="254" spans="1:14" hidden="1" x14ac:dyDescent="0.25"/>
    <row r="255" spans="1:14" hidden="1" x14ac:dyDescent="0.25"/>
    <row r="256" spans="1:14" hidden="1" x14ac:dyDescent="0.25"/>
    <row r="257" spans="1:3" x14ac:dyDescent="0.25">
      <c r="A257" s="6" t="s">
        <v>177</v>
      </c>
    </row>
    <row r="258" spans="1:3" x14ac:dyDescent="0.25">
      <c r="A258" s="8" t="s">
        <v>178</v>
      </c>
      <c r="B258" s="187" t="s">
        <v>1357</v>
      </c>
    </row>
    <row r="259" spans="1:3" x14ac:dyDescent="0.25">
      <c r="A259" s="1" t="s">
        <v>39</v>
      </c>
      <c r="B259" s="187" t="s">
        <v>1358</v>
      </c>
      <c r="C259" s="1" t="s">
        <v>1359</v>
      </c>
    </row>
    <row r="260" spans="1:3" x14ac:dyDescent="0.25">
      <c r="A260" s="1" t="s">
        <v>179</v>
      </c>
      <c r="B260" s="187"/>
    </row>
    <row r="261" spans="1:3" x14ac:dyDescent="0.25">
      <c r="A261" s="1" t="s">
        <v>1356</v>
      </c>
    </row>
    <row r="262" spans="1:3" x14ac:dyDescent="0.25">
      <c r="A262" s="6" t="s">
        <v>180</v>
      </c>
    </row>
    <row r="263" spans="1:3" x14ac:dyDescent="0.25">
      <c r="A263" s="1" t="s">
        <v>181</v>
      </c>
      <c r="B263" s="187" t="s">
        <v>1357</v>
      </c>
    </row>
    <row r="264" spans="1:3" x14ac:dyDescent="0.25">
      <c r="A264" s="1" t="s">
        <v>173</v>
      </c>
      <c r="B264" s="187" t="s">
        <v>1358</v>
      </c>
      <c r="C264" s="1" t="s">
        <v>1359</v>
      </c>
    </row>
    <row r="265" spans="1:3" s="9" customFormat="1" x14ac:dyDescent="0.25"/>
    <row r="266" spans="1:3" s="9" customFormat="1" hidden="1" x14ac:dyDescent="0.25"/>
    <row r="267" spans="1:3" s="9" customFormat="1" hidden="1" x14ac:dyDescent="0.25"/>
    <row r="268" spans="1:3" s="9" customFormat="1" hidden="1" x14ac:dyDescent="0.25"/>
    <row r="269" spans="1:3" hidden="1" x14ac:dyDescent="0.25"/>
    <row r="270" spans="1:3" x14ac:dyDescent="0.25">
      <c r="A270" s="6" t="s">
        <v>183</v>
      </c>
    </row>
    <row r="271" spans="1:3" x14ac:dyDescent="0.25">
      <c r="A271" s="145" t="s">
        <v>173</v>
      </c>
      <c r="B271" s="145" t="s">
        <v>185</v>
      </c>
      <c r="C271" s="145" t="s">
        <v>186</v>
      </c>
    </row>
    <row r="272" spans="1:3" hidden="1" x14ac:dyDescent="0.25">
      <c r="A272" s="145" t="s">
        <v>172</v>
      </c>
      <c r="B272" s="145" t="s">
        <v>184</v>
      </c>
      <c r="C272" s="145" t="s">
        <v>47</v>
      </c>
    </row>
    <row r="273" spans="1:3" s="9" customFormat="1" x14ac:dyDescent="0.25">
      <c r="A273" s="145"/>
      <c r="B273" s="145"/>
      <c r="C273" s="145"/>
    </row>
    <row r="274" spans="1:3" s="9" customFormat="1" x14ac:dyDescent="0.25">
      <c r="A274" s="145"/>
      <c r="B274" s="145"/>
      <c r="C274" s="145"/>
    </row>
    <row r="275" spans="1:3" s="9" customFormat="1" x14ac:dyDescent="0.25">
      <c r="A275" s="145"/>
      <c r="B275" s="145"/>
      <c r="C275" s="145"/>
    </row>
    <row r="276" spans="1:3" s="9" customFormat="1" x14ac:dyDescent="0.25">
      <c r="A276" s="145" t="s">
        <v>5725</v>
      </c>
      <c r="B276" s="145"/>
      <c r="C276" s="145" t="s">
        <v>5726</v>
      </c>
    </row>
    <row r="277" spans="1:3" s="9" customFormat="1" x14ac:dyDescent="0.25">
      <c r="A277" s="145" t="s">
        <v>5727</v>
      </c>
      <c r="B277" s="145"/>
      <c r="C277" s="145" t="s">
        <v>5728</v>
      </c>
    </row>
    <row r="278" spans="1:3" s="9" customFormat="1" x14ac:dyDescent="0.25">
      <c r="A278" s="145" t="s">
        <v>5729</v>
      </c>
      <c r="B278" s="145"/>
      <c r="C278" s="145" t="s">
        <v>5730</v>
      </c>
    </row>
    <row r="279" spans="1:3" s="9" customFormat="1" x14ac:dyDescent="0.25">
      <c r="A279" s="145" t="s">
        <v>5731</v>
      </c>
      <c r="B279" s="145"/>
      <c r="C279" s="145" t="s">
        <v>5732</v>
      </c>
    </row>
    <row r="280" spans="1:3" s="9" customFormat="1" x14ac:dyDescent="0.25">
      <c r="A280" s="145" t="s">
        <v>5733</v>
      </c>
      <c r="B280" s="145"/>
      <c r="C280" s="145" t="s">
        <v>5734</v>
      </c>
    </row>
    <row r="281" spans="1:3" s="9" customFormat="1" x14ac:dyDescent="0.25">
      <c r="A281" s="145" t="s">
        <v>5735</v>
      </c>
      <c r="B281" s="145"/>
      <c r="C281" s="145" t="s">
        <v>5736</v>
      </c>
    </row>
    <row r="282" spans="1:3" s="9" customFormat="1" x14ac:dyDescent="0.25">
      <c r="A282" s="145" t="s">
        <v>5737</v>
      </c>
      <c r="B282" s="145"/>
      <c r="C282" s="145" t="s">
        <v>5738</v>
      </c>
    </row>
    <row r="283" spans="1:3" s="9" customFormat="1" x14ac:dyDescent="0.25">
      <c r="A283" s="145" t="s">
        <v>5739</v>
      </c>
      <c r="B283" s="145"/>
      <c r="C283" s="145" t="s">
        <v>5740</v>
      </c>
    </row>
    <row r="284" spans="1:3" s="9" customFormat="1" x14ac:dyDescent="0.25">
      <c r="A284" s="145" t="s">
        <v>5741</v>
      </c>
      <c r="B284" s="145"/>
      <c r="C284" s="145" t="s">
        <v>5742</v>
      </c>
    </row>
    <row r="285" spans="1:3" s="9" customFormat="1" x14ac:dyDescent="0.25">
      <c r="A285" s="145" t="s">
        <v>5743</v>
      </c>
      <c r="B285" s="145"/>
      <c r="C285" s="145" t="s">
        <v>5744</v>
      </c>
    </row>
    <row r="286" spans="1:3" s="9" customFormat="1" x14ac:dyDescent="0.25">
      <c r="A286" s="145" t="s">
        <v>5745</v>
      </c>
      <c r="B286" s="145"/>
      <c r="C286" s="145" t="s">
        <v>5746</v>
      </c>
    </row>
    <row r="287" spans="1:3" s="9" customFormat="1" x14ac:dyDescent="0.25">
      <c r="A287" s="145" t="s">
        <v>5747</v>
      </c>
      <c r="B287" s="145"/>
      <c r="C287" s="145" t="s">
        <v>5748</v>
      </c>
    </row>
    <row r="288" spans="1:3" s="9" customFormat="1" x14ac:dyDescent="0.25">
      <c r="A288" s="145" t="s">
        <v>5749</v>
      </c>
      <c r="B288" s="145"/>
      <c r="C288" s="145" t="s">
        <v>5750</v>
      </c>
    </row>
    <row r="289" spans="1:3" s="9" customFormat="1" x14ac:dyDescent="0.25">
      <c r="A289" s="145" t="s">
        <v>5751</v>
      </c>
      <c r="B289" s="145"/>
      <c r="C289" s="145" t="s">
        <v>5752</v>
      </c>
    </row>
    <row r="290" spans="1:3" s="9" customFormat="1" x14ac:dyDescent="0.25">
      <c r="A290" s="145" t="s">
        <v>5753</v>
      </c>
      <c r="B290" s="145"/>
      <c r="C290" s="145" t="s">
        <v>5754</v>
      </c>
    </row>
    <row r="291" spans="1:3" s="9" customFormat="1" x14ac:dyDescent="0.25">
      <c r="A291" s="145" t="s">
        <v>5755</v>
      </c>
      <c r="B291" s="145"/>
      <c r="C291" s="145" t="s">
        <v>5756</v>
      </c>
    </row>
    <row r="292" spans="1:3" s="9" customFormat="1" x14ac:dyDescent="0.25">
      <c r="A292" s="145" t="s">
        <v>5757</v>
      </c>
      <c r="B292" s="145"/>
      <c r="C292" s="145" t="s">
        <v>5758</v>
      </c>
    </row>
    <row r="293" spans="1:3" s="9" customFormat="1" x14ac:dyDescent="0.25">
      <c r="A293" s="145" t="s">
        <v>5759</v>
      </c>
      <c r="B293" s="145"/>
      <c r="C293" s="145" t="s">
        <v>5760</v>
      </c>
    </row>
    <row r="294" spans="1:3" s="9" customFormat="1" x14ac:dyDescent="0.25">
      <c r="A294" s="145" t="s">
        <v>5761</v>
      </c>
      <c r="B294" s="145"/>
      <c r="C294" s="145" t="s">
        <v>5762</v>
      </c>
    </row>
    <row r="295" spans="1:3" s="9" customFormat="1" x14ac:dyDescent="0.25">
      <c r="A295" s="145"/>
      <c r="B295" s="145"/>
      <c r="C295" s="145"/>
    </row>
    <row r="296" spans="1:3" s="9" customFormat="1" x14ac:dyDescent="0.25">
      <c r="A296" s="145" t="s">
        <v>5763</v>
      </c>
      <c r="B296" s="145"/>
      <c r="C296" s="145" t="s">
        <v>5764</v>
      </c>
    </row>
    <row r="297" spans="1:3" s="9" customFormat="1" x14ac:dyDescent="0.25">
      <c r="A297" s="145" t="s">
        <v>5765</v>
      </c>
      <c r="B297" s="145"/>
      <c r="C297" s="145" t="s">
        <v>5766</v>
      </c>
    </row>
    <row r="298" spans="1:3" s="9" customFormat="1" x14ac:dyDescent="0.25">
      <c r="A298" s="145" t="s">
        <v>5767</v>
      </c>
      <c r="B298" s="145"/>
      <c r="C298" s="145" t="s">
        <v>5768</v>
      </c>
    </row>
    <row r="299" spans="1:3" s="9" customFormat="1" x14ac:dyDescent="0.25">
      <c r="A299" s="145" t="s">
        <v>5769</v>
      </c>
      <c r="B299" s="145"/>
      <c r="C299" s="145" t="s">
        <v>5770</v>
      </c>
    </row>
    <row r="300" spans="1:3" s="9" customFormat="1" x14ac:dyDescent="0.25">
      <c r="A300" s="145" t="s">
        <v>5771</v>
      </c>
      <c r="B300" s="145"/>
      <c r="C300" s="145" t="s">
        <v>5772</v>
      </c>
    </row>
    <row r="301" spans="1:3" s="9" customFormat="1" x14ac:dyDescent="0.25">
      <c r="A301" s="145" t="s">
        <v>5773</v>
      </c>
      <c r="B301" s="145"/>
      <c r="C301" s="145" t="s">
        <v>5774</v>
      </c>
    </row>
    <row r="302" spans="1:3" s="9" customFormat="1" x14ac:dyDescent="0.25">
      <c r="A302" s="145" t="s">
        <v>5773</v>
      </c>
      <c r="B302" s="145"/>
      <c r="C302" s="145" t="s">
        <v>5774</v>
      </c>
    </row>
    <row r="303" spans="1:3" s="9" customFormat="1" x14ac:dyDescent="0.25">
      <c r="A303" s="145"/>
      <c r="B303" s="145"/>
      <c r="C303" s="145"/>
    </row>
    <row r="304" spans="1:3" s="9" customFormat="1" x14ac:dyDescent="0.25">
      <c r="A304" s="145"/>
      <c r="B304" s="145"/>
      <c r="C304" s="145"/>
    </row>
    <row r="305" spans="1:3" s="9" customFormat="1" x14ac:dyDescent="0.25">
      <c r="A305" s="145"/>
      <c r="B305" s="145"/>
      <c r="C305" s="145"/>
    </row>
    <row r="306" spans="1:3" s="9" customFormat="1" x14ac:dyDescent="0.25">
      <c r="A306" s="145"/>
      <c r="B306" s="145"/>
      <c r="C306" s="145"/>
    </row>
    <row r="307" spans="1:3" s="9" customFormat="1" x14ac:dyDescent="0.25">
      <c r="A307" s="145"/>
      <c r="B307" s="145"/>
      <c r="C307" s="145"/>
    </row>
    <row r="308" spans="1:3" s="9" customFormat="1" x14ac:dyDescent="0.25">
      <c r="A308" s="145"/>
      <c r="B308" s="145"/>
      <c r="C308" s="145"/>
    </row>
    <row r="309" spans="1:3" s="9" customFormat="1" x14ac:dyDescent="0.25">
      <c r="A309" s="145"/>
      <c r="B309" s="145"/>
      <c r="C309" s="145"/>
    </row>
    <row r="310" spans="1:3" s="9" customFormat="1" x14ac:dyDescent="0.25">
      <c r="A310" s="145"/>
      <c r="B310" s="145"/>
      <c r="C310" s="145"/>
    </row>
    <row r="311" spans="1:3" s="9" customFormat="1" x14ac:dyDescent="0.25">
      <c r="A311" s="145"/>
      <c r="B311" s="145"/>
      <c r="C311" s="145"/>
    </row>
    <row r="312" spans="1:3" s="9" customFormat="1" x14ac:dyDescent="0.25">
      <c r="A312" s="145"/>
      <c r="B312" s="145"/>
      <c r="C312" s="145"/>
    </row>
    <row r="313" spans="1:3" s="9" customFormat="1" x14ac:dyDescent="0.25">
      <c r="A313" s="145"/>
      <c r="B313" s="145"/>
      <c r="C313" s="145"/>
    </row>
    <row r="314" spans="1:3" s="9" customFormat="1" x14ac:dyDescent="0.25">
      <c r="A314" s="145"/>
      <c r="B314" s="145"/>
      <c r="C314" s="145"/>
    </row>
    <row r="315" spans="1:3" s="9" customFormat="1" x14ac:dyDescent="0.25">
      <c r="A315" s="145"/>
      <c r="B315" s="145"/>
      <c r="C315" s="145"/>
    </row>
    <row r="316" spans="1:3" s="9" customFormat="1" x14ac:dyDescent="0.25">
      <c r="A316" s="145"/>
      <c r="B316" s="145"/>
      <c r="C316" s="145"/>
    </row>
    <row r="317" spans="1:3" s="9" customFormat="1" x14ac:dyDescent="0.25">
      <c r="A317" s="145"/>
      <c r="B317" s="145"/>
      <c r="C317" s="145"/>
    </row>
    <row r="318" spans="1:3" x14ac:dyDescent="0.25">
      <c r="A318" s="1" t="s">
        <v>373</v>
      </c>
    </row>
    <row r="319" spans="1:3" x14ac:dyDescent="0.25">
      <c r="A319" s="6" t="s">
        <v>182</v>
      </c>
    </row>
    <row r="320" spans="1:3" x14ac:dyDescent="0.25">
      <c r="A320" s="1" t="s">
        <v>39</v>
      </c>
      <c r="B320" s="1" t="s">
        <v>170</v>
      </c>
      <c r="C320" s="1" t="s">
        <v>186</v>
      </c>
    </row>
    <row r="321" spans="1:13" hidden="1" x14ac:dyDescent="0.25">
      <c r="A321" s="1" t="s">
        <v>143</v>
      </c>
      <c r="B321" s="1" t="s">
        <v>169</v>
      </c>
      <c r="C321" s="1" t="s">
        <v>47</v>
      </c>
    </row>
    <row r="323" spans="1:13" x14ac:dyDescent="0.25">
      <c r="A323" s="6" t="s">
        <v>197</v>
      </c>
    </row>
    <row r="324" spans="1:13" x14ac:dyDescent="0.25">
      <c r="A324" s="1" t="s">
        <v>198</v>
      </c>
      <c r="B324" s="187"/>
    </row>
    <row r="326" spans="1:13" x14ac:dyDescent="0.25">
      <c r="A326" s="6" t="s">
        <v>216</v>
      </c>
    </row>
    <row r="327" spans="1:13" x14ac:dyDescent="0.25">
      <c r="A327" s="1" t="s">
        <v>215</v>
      </c>
      <c r="B327" s="1" t="b">
        <f>IFERROR(TRUE,FALSE)</f>
        <v>1</v>
      </c>
    </row>
    <row r="329" spans="1:13" x14ac:dyDescent="0.25">
      <c r="A329" s="179" t="s">
        <v>312</v>
      </c>
    </row>
    <row r="330" spans="1:13" x14ac:dyDescent="0.25">
      <c r="A330" s="145" t="s">
        <v>283</v>
      </c>
      <c r="B330" s="145" t="s">
        <v>48</v>
      </c>
      <c r="C330" s="145" t="s">
        <v>453</v>
      </c>
      <c r="D330" s="145"/>
      <c r="E330" s="145" t="s">
        <v>310</v>
      </c>
      <c r="F330" s="145" t="s">
        <v>107</v>
      </c>
      <c r="G330" s="145"/>
      <c r="H330" s="145"/>
      <c r="I330" s="145"/>
      <c r="J330" s="145" t="s">
        <v>43</v>
      </c>
      <c r="K330" s="145" t="s">
        <v>451</v>
      </c>
      <c r="L330" s="145" t="s">
        <v>449</v>
      </c>
      <c r="M330" s="145" t="s">
        <v>285</v>
      </c>
    </row>
    <row r="331" spans="1:13" hidden="1" x14ac:dyDescent="0.25">
      <c r="A331" s="145" t="s">
        <v>282</v>
      </c>
      <c r="B331" s="145" t="s">
        <v>47</v>
      </c>
      <c r="C331" s="145" t="str">
        <f>CHOOSE(Translations!$C$1+1,J331,K331,L331,)</f>
        <v>No  Applicate</v>
      </c>
      <c r="D331" s="145"/>
      <c r="E331" s="145" t="s">
        <v>102</v>
      </c>
      <c r="F331" s="146" t="s">
        <v>79</v>
      </c>
      <c r="G331" s="145" t="str">
        <f>E331&amp;"|"&amp;C331</f>
        <v>[Module (Name)]|No  Applicate</v>
      </c>
      <c r="H331" s="145" t="str">
        <f>E331&amp;"|"&amp;F331</f>
        <v>[Module (Name)]|[Name ID]</v>
      </c>
      <c r="I331" s="145" t="str">
        <f>B331</f>
        <v>[Record ID]</v>
      </c>
      <c r="J331" s="146" t="s">
        <v>367</v>
      </c>
      <c r="K331" s="146" t="s">
        <v>367</v>
      </c>
      <c r="L331" s="146" t="s">
        <v>367</v>
      </c>
      <c r="M331" s="145" t="s">
        <v>284</v>
      </c>
    </row>
    <row r="332" spans="1:13" s="9" customFormat="1" x14ac:dyDescent="0.25">
      <c r="A332" s="145" t="s">
        <v>6447</v>
      </c>
      <c r="B332" s="145" t="s">
        <v>6448</v>
      </c>
      <c r="C332" s="145" t="str">
        <f>CHOOSE(Translations!$C$1+1,J332,K332,L332,)</f>
        <v>Hommes dans des contextes à forte prévalence</v>
      </c>
      <c r="D332" s="145"/>
      <c r="E332" s="145" t="s">
        <v>3372</v>
      </c>
      <c r="F332" s="146" t="s">
        <v>6449</v>
      </c>
      <c r="G332" s="145" t="str">
        <f t="shared" ref="G332:G395" si="14">E332&amp;"|"&amp;C332</f>
        <v>MCI-00670|Hommes dans des contextes à forte prévalence</v>
      </c>
      <c r="H332" s="145" t="str">
        <f t="shared" ref="H332:H395" si="15">E332&amp;"|"&amp;F332</f>
        <v>MCI-00670|MCI-00874</v>
      </c>
      <c r="I332" s="145" t="str">
        <f t="shared" ref="I332:I395" si="16">B332</f>
        <v>a1O1R000006c5kmUAA</v>
      </c>
      <c r="J332" s="146" t="s">
        <v>6450</v>
      </c>
      <c r="K332" s="146" t="s">
        <v>6451</v>
      </c>
      <c r="L332" s="146" t="s">
        <v>6452</v>
      </c>
      <c r="M332" s="145" t="s">
        <v>2878</v>
      </c>
    </row>
    <row r="333" spans="1:13" s="9" customFormat="1" x14ac:dyDescent="0.25">
      <c r="A333" s="145" t="s">
        <v>6447</v>
      </c>
      <c r="B333" s="145" t="s">
        <v>6453</v>
      </c>
      <c r="C333" s="145" t="str">
        <f>CHOOSE(Translations!$C$1+1,J333,K333,L333,)</f>
        <v>Hommes ayant des rapports sexuels avec des hommes</v>
      </c>
      <c r="D333" s="145"/>
      <c r="E333" s="145" t="s">
        <v>3372</v>
      </c>
      <c r="F333" s="146" t="s">
        <v>6454</v>
      </c>
      <c r="G333" s="145" t="str">
        <f t="shared" si="14"/>
        <v>MCI-00670|Hommes ayant des rapports sexuels avec des hommes</v>
      </c>
      <c r="H333" s="145" t="str">
        <f t="shared" si="15"/>
        <v>MCI-00670|MCI-00815</v>
      </c>
      <c r="I333" s="145" t="str">
        <f t="shared" si="16"/>
        <v>a1O1R000006c5jpUAA</v>
      </c>
      <c r="J333" s="146" t="s">
        <v>6455</v>
      </c>
      <c r="K333" s="146" t="s">
        <v>6456</v>
      </c>
      <c r="L333" s="146" t="s">
        <v>1956</v>
      </c>
      <c r="M333" s="145" t="s">
        <v>2878</v>
      </c>
    </row>
    <row r="334" spans="1:13" s="9" customFormat="1" x14ac:dyDescent="0.25">
      <c r="A334" s="145" t="s">
        <v>6447</v>
      </c>
      <c r="B334" s="145" t="s">
        <v>6457</v>
      </c>
      <c r="C334" s="145" t="str">
        <f>CHOOSE(Translations!$C$1+1,J334,K334,L334,)</f>
        <v>Professionnels du sexe et leurs clients</v>
      </c>
      <c r="D334" s="145"/>
      <c r="E334" s="145" t="s">
        <v>3372</v>
      </c>
      <c r="F334" s="146" t="s">
        <v>6458</v>
      </c>
      <c r="G334" s="145" t="str">
        <f t="shared" si="14"/>
        <v>MCI-00670|Professionnels du sexe et leurs clients</v>
      </c>
      <c r="H334" s="145" t="str">
        <f t="shared" si="15"/>
        <v>MCI-00670|MCI-00824</v>
      </c>
      <c r="I334" s="145" t="str">
        <f t="shared" si="16"/>
        <v>a1O1R000006c5jyUAA</v>
      </c>
      <c r="J334" s="146" t="s">
        <v>6459</v>
      </c>
      <c r="K334" s="146" t="s">
        <v>6460</v>
      </c>
      <c r="L334" s="146" t="s">
        <v>6461</v>
      </c>
      <c r="M334" s="145" t="s">
        <v>2878</v>
      </c>
    </row>
    <row r="335" spans="1:13" s="9" customFormat="1" x14ac:dyDescent="0.25">
      <c r="A335" s="145" t="s">
        <v>6447</v>
      </c>
      <c r="B335" s="145" t="s">
        <v>6462</v>
      </c>
      <c r="C335" s="145" t="str">
        <f>CHOOSE(Translations!$C$1+1,J335,K335,L335,)</f>
        <v>Personnes transgenres</v>
      </c>
      <c r="D335" s="145"/>
      <c r="E335" s="145" t="s">
        <v>3372</v>
      </c>
      <c r="F335" s="146" t="s">
        <v>6463</v>
      </c>
      <c r="G335" s="145" t="str">
        <f t="shared" si="14"/>
        <v>MCI-00670|Personnes transgenres</v>
      </c>
      <c r="H335" s="145" t="str">
        <f t="shared" si="15"/>
        <v>MCI-00670|MCI-00833</v>
      </c>
      <c r="I335" s="145" t="str">
        <f t="shared" si="16"/>
        <v>a1O1R000006c5k7UAA</v>
      </c>
      <c r="J335" s="146" t="s">
        <v>6464</v>
      </c>
      <c r="K335" s="146" t="s">
        <v>6465</v>
      </c>
      <c r="L335" s="146" t="s">
        <v>6466</v>
      </c>
      <c r="M335" s="145" t="s">
        <v>2878</v>
      </c>
    </row>
    <row r="336" spans="1:13" s="9" customFormat="1" x14ac:dyDescent="0.25">
      <c r="A336" s="145" t="s">
        <v>6447</v>
      </c>
      <c r="B336" s="145" t="s">
        <v>6467</v>
      </c>
      <c r="C336" s="145" t="str">
        <f>CHOOSE(Translations!$C$1+1,J336,K336,L336,)</f>
        <v>Personnes qui s’injectent des drogues et leurs partenaires</v>
      </c>
      <c r="D336" s="145"/>
      <c r="E336" s="145" t="s">
        <v>3372</v>
      </c>
      <c r="F336" s="146" t="s">
        <v>6468</v>
      </c>
      <c r="G336" s="145" t="str">
        <f t="shared" si="14"/>
        <v>MCI-00670|Personnes qui s’injectent des drogues et leurs partenaires</v>
      </c>
      <c r="H336" s="145" t="str">
        <f t="shared" si="15"/>
        <v>MCI-00670|MCI-00845</v>
      </c>
      <c r="I336" s="145" t="str">
        <f t="shared" si="16"/>
        <v>a1O1R000006c5kJUAQ</v>
      </c>
      <c r="J336" s="146" t="s">
        <v>6469</v>
      </c>
      <c r="K336" s="146" t="s">
        <v>6470</v>
      </c>
      <c r="L336" s="146" t="s">
        <v>6471</v>
      </c>
      <c r="M336" s="145" t="s">
        <v>2878</v>
      </c>
    </row>
    <row r="337" spans="1:13" s="9" customFormat="1" x14ac:dyDescent="0.25">
      <c r="A337" s="145" t="s">
        <v>6447</v>
      </c>
      <c r="B337" s="145" t="s">
        <v>6472</v>
      </c>
      <c r="C337" s="145" t="str">
        <f>CHOOSE(Translations!$C$1+1,J337,K337,L337,)</f>
        <v>Personnes en détention ou se trouvant dans d’autres lieux fermés</v>
      </c>
      <c r="D337" s="145"/>
      <c r="E337" s="145" t="s">
        <v>3372</v>
      </c>
      <c r="F337" s="146" t="s">
        <v>6473</v>
      </c>
      <c r="G337" s="145" t="str">
        <f t="shared" si="14"/>
        <v>MCI-00670|Personnes en détention ou se trouvant dans d’autres lieux fermés</v>
      </c>
      <c r="H337" s="145" t="str">
        <f t="shared" si="15"/>
        <v>MCI-00670|MCI-00853</v>
      </c>
      <c r="I337" s="145" t="str">
        <f t="shared" si="16"/>
        <v>a1O1R000006c5kRUAQ</v>
      </c>
      <c r="J337" s="146" t="s">
        <v>6474</v>
      </c>
      <c r="K337" s="146" t="s">
        <v>6475</v>
      </c>
      <c r="L337" s="146" t="s">
        <v>6476</v>
      </c>
      <c r="M337" s="145" t="s">
        <v>2878</v>
      </c>
    </row>
    <row r="338" spans="1:13" s="9" customFormat="1" x14ac:dyDescent="0.25">
      <c r="A338" s="145" t="s">
        <v>6447</v>
      </c>
      <c r="B338" s="145" t="s">
        <v>6477</v>
      </c>
      <c r="C338" s="145" t="str">
        <f>CHOOSE(Translations!$C$1+1,J338,K338,L338,)</f>
        <v>Autres populations vulnérables</v>
      </c>
      <c r="D338" s="145"/>
      <c r="E338" s="145" t="s">
        <v>3372</v>
      </c>
      <c r="F338" s="146" t="s">
        <v>6478</v>
      </c>
      <c r="G338" s="145" t="str">
        <f t="shared" si="14"/>
        <v>MCI-00670|Autres populations vulnérables</v>
      </c>
      <c r="H338" s="145" t="str">
        <f t="shared" si="15"/>
        <v>MCI-00670|MCI-00861</v>
      </c>
      <c r="I338" s="145" t="str">
        <f t="shared" si="16"/>
        <v>a1O1R000006c5kZUAQ</v>
      </c>
      <c r="J338" s="146" t="s">
        <v>6479</v>
      </c>
      <c r="K338" s="146" t="s">
        <v>6480</v>
      </c>
      <c r="L338" s="146" t="s">
        <v>6481</v>
      </c>
      <c r="M338" s="145" t="s">
        <v>2878</v>
      </c>
    </row>
    <row r="339" spans="1:13" s="9" customFormat="1" x14ac:dyDescent="0.25">
      <c r="A339" s="145" t="s">
        <v>6447</v>
      </c>
      <c r="B339" s="145" t="s">
        <v>6482</v>
      </c>
      <c r="C339" s="145" t="str">
        <f>CHOOSE(Translations!$C$1+1,J339,K339,L339,)</f>
        <v>Adolescentes et jeunes femmes dans des contextes à forte prévalence</v>
      </c>
      <c r="D339" s="145"/>
      <c r="E339" s="145" t="s">
        <v>3372</v>
      </c>
      <c r="F339" s="146" t="s">
        <v>6483</v>
      </c>
      <c r="G339" s="145" t="str">
        <f t="shared" si="14"/>
        <v>MCI-00670|Adolescentes et jeunes femmes dans des contextes à forte prévalence</v>
      </c>
      <c r="H339" s="145" t="str">
        <f t="shared" si="15"/>
        <v>MCI-00670|MCI-00864</v>
      </c>
      <c r="I339" s="145" t="str">
        <f t="shared" si="16"/>
        <v>a1O1R000006c5kcUAA</v>
      </c>
      <c r="J339" s="146" t="s">
        <v>6484</v>
      </c>
      <c r="K339" s="146" t="s">
        <v>6485</v>
      </c>
      <c r="L339" s="146" t="s">
        <v>6486</v>
      </c>
      <c r="M339" s="145" t="s">
        <v>2878</v>
      </c>
    </row>
    <row r="340" spans="1:13" s="9" customFormat="1" x14ac:dyDescent="0.25">
      <c r="A340" s="145" t="s">
        <v>6447</v>
      </c>
      <c r="B340" s="145" t="s">
        <v>6487</v>
      </c>
      <c r="C340" s="145" t="str">
        <f>CHOOSE(Translations!$C$1+1,J340,K340,L340,)</f>
        <v>Hommes dans des contextes à forte prévalence</v>
      </c>
      <c r="D340" s="145"/>
      <c r="E340" s="145" t="s">
        <v>3422</v>
      </c>
      <c r="F340" s="146" t="s">
        <v>6488</v>
      </c>
      <c r="G340" s="145" t="str">
        <f t="shared" si="14"/>
        <v>MCI-00671|Hommes dans des contextes à forte prévalence</v>
      </c>
      <c r="H340" s="145" t="str">
        <f t="shared" si="15"/>
        <v>MCI-00671|MCI-00875</v>
      </c>
      <c r="I340" s="145" t="str">
        <f t="shared" si="16"/>
        <v>a1O1R000006c5knUAA</v>
      </c>
      <c r="J340" s="146" t="s">
        <v>6450</v>
      </c>
      <c r="K340" s="146" t="s">
        <v>6451</v>
      </c>
      <c r="L340" s="146" t="s">
        <v>6452</v>
      </c>
      <c r="M340" s="145" t="s">
        <v>2878</v>
      </c>
    </row>
    <row r="341" spans="1:13" s="9" customFormat="1" x14ac:dyDescent="0.25">
      <c r="A341" s="145" t="s">
        <v>6447</v>
      </c>
      <c r="B341" s="145" t="s">
        <v>6489</v>
      </c>
      <c r="C341" s="145" t="str">
        <f>CHOOSE(Translations!$C$1+1,J341,K341,L341,)</f>
        <v>Hommes ayant des rapports sexuels avec des hommes</v>
      </c>
      <c r="D341" s="145"/>
      <c r="E341" s="145" t="s">
        <v>3422</v>
      </c>
      <c r="F341" s="146" t="s">
        <v>6490</v>
      </c>
      <c r="G341" s="145" t="str">
        <f t="shared" si="14"/>
        <v>MCI-00671|Hommes ayant des rapports sexuels avec des hommes</v>
      </c>
      <c r="H341" s="145" t="str">
        <f t="shared" si="15"/>
        <v>MCI-00671|MCI-00816</v>
      </c>
      <c r="I341" s="145" t="str">
        <f t="shared" si="16"/>
        <v>a1O1R000006c5jqUAA</v>
      </c>
      <c r="J341" s="146" t="s">
        <v>6455</v>
      </c>
      <c r="K341" s="146" t="s">
        <v>6456</v>
      </c>
      <c r="L341" s="146" t="s">
        <v>1956</v>
      </c>
      <c r="M341" s="145" t="s">
        <v>2878</v>
      </c>
    </row>
    <row r="342" spans="1:13" s="9" customFormat="1" x14ac:dyDescent="0.25">
      <c r="A342" s="145" t="s">
        <v>6447</v>
      </c>
      <c r="B342" s="145" t="s">
        <v>6491</v>
      </c>
      <c r="C342" s="145" t="str">
        <f>CHOOSE(Translations!$C$1+1,J342,K342,L342,)</f>
        <v>Professionnels du sexe et leurs clients</v>
      </c>
      <c r="D342" s="145"/>
      <c r="E342" s="145" t="s">
        <v>3422</v>
      </c>
      <c r="F342" s="146" t="s">
        <v>6492</v>
      </c>
      <c r="G342" s="145" t="str">
        <f t="shared" si="14"/>
        <v>MCI-00671|Professionnels du sexe et leurs clients</v>
      </c>
      <c r="H342" s="145" t="str">
        <f t="shared" si="15"/>
        <v>MCI-00671|MCI-00825</v>
      </c>
      <c r="I342" s="145" t="str">
        <f t="shared" si="16"/>
        <v>a1O1R000006c5jzUAA</v>
      </c>
      <c r="J342" s="146" t="s">
        <v>6459</v>
      </c>
      <c r="K342" s="146" t="s">
        <v>6460</v>
      </c>
      <c r="L342" s="146" t="s">
        <v>6461</v>
      </c>
      <c r="M342" s="145" t="s">
        <v>2878</v>
      </c>
    </row>
    <row r="343" spans="1:13" s="9" customFormat="1" x14ac:dyDescent="0.25">
      <c r="A343" s="145" t="s">
        <v>6447</v>
      </c>
      <c r="B343" s="145" t="s">
        <v>6493</v>
      </c>
      <c r="C343" s="145" t="str">
        <f>CHOOSE(Translations!$C$1+1,J343,K343,L343,)</f>
        <v>Personnes transgenres</v>
      </c>
      <c r="D343" s="145"/>
      <c r="E343" s="145" t="s">
        <v>3422</v>
      </c>
      <c r="F343" s="146" t="s">
        <v>6494</v>
      </c>
      <c r="G343" s="145" t="str">
        <f t="shared" si="14"/>
        <v>MCI-00671|Personnes transgenres</v>
      </c>
      <c r="H343" s="145" t="str">
        <f t="shared" si="15"/>
        <v>MCI-00671|MCI-00834</v>
      </c>
      <c r="I343" s="145" t="str">
        <f t="shared" si="16"/>
        <v>a1O1R000006c5k8UAA</v>
      </c>
      <c r="J343" s="146" t="s">
        <v>6464</v>
      </c>
      <c r="K343" s="146" t="s">
        <v>6465</v>
      </c>
      <c r="L343" s="146" t="s">
        <v>6466</v>
      </c>
      <c r="M343" s="145" t="s">
        <v>2878</v>
      </c>
    </row>
    <row r="344" spans="1:13" s="9" customFormat="1" x14ac:dyDescent="0.25">
      <c r="A344" s="145" t="s">
        <v>6447</v>
      </c>
      <c r="B344" s="145" t="s">
        <v>6495</v>
      </c>
      <c r="C344" s="145" t="str">
        <f>CHOOSE(Translations!$C$1+1,J344,K344,L344,)</f>
        <v>Personnes qui s’injectent des drogues et leurs partenaires</v>
      </c>
      <c r="D344" s="145"/>
      <c r="E344" s="145" t="s">
        <v>3422</v>
      </c>
      <c r="F344" s="146" t="s">
        <v>6496</v>
      </c>
      <c r="G344" s="145" t="str">
        <f t="shared" si="14"/>
        <v>MCI-00671|Personnes qui s’injectent des drogues et leurs partenaires</v>
      </c>
      <c r="H344" s="145" t="str">
        <f t="shared" si="15"/>
        <v>MCI-00671|MCI-00846</v>
      </c>
      <c r="I344" s="145" t="str">
        <f t="shared" si="16"/>
        <v>a1O1R000006c5kKUAQ</v>
      </c>
      <c r="J344" s="146" t="s">
        <v>6469</v>
      </c>
      <c r="K344" s="146" t="s">
        <v>6470</v>
      </c>
      <c r="L344" s="146" t="s">
        <v>6471</v>
      </c>
      <c r="M344" s="145" t="s">
        <v>2878</v>
      </c>
    </row>
    <row r="345" spans="1:13" s="9" customFormat="1" x14ac:dyDescent="0.25">
      <c r="A345" s="145" t="s">
        <v>6447</v>
      </c>
      <c r="B345" s="145" t="s">
        <v>6497</v>
      </c>
      <c r="C345" s="145" t="str">
        <f>CHOOSE(Translations!$C$1+1,J345,K345,L345,)</f>
        <v>Personnes en détention ou se trouvant dans d’autres lieux fermés</v>
      </c>
      <c r="D345" s="145"/>
      <c r="E345" s="145" t="s">
        <v>3422</v>
      </c>
      <c r="F345" s="146" t="s">
        <v>6498</v>
      </c>
      <c r="G345" s="145" t="str">
        <f t="shared" si="14"/>
        <v>MCI-00671|Personnes en détention ou se trouvant dans d’autres lieux fermés</v>
      </c>
      <c r="H345" s="145" t="str">
        <f t="shared" si="15"/>
        <v>MCI-00671|MCI-00854</v>
      </c>
      <c r="I345" s="145" t="str">
        <f t="shared" si="16"/>
        <v>a1O1R000006c5kSUAQ</v>
      </c>
      <c r="J345" s="146" t="s">
        <v>6474</v>
      </c>
      <c r="K345" s="146" t="s">
        <v>6475</v>
      </c>
      <c r="L345" s="146" t="s">
        <v>6476</v>
      </c>
      <c r="M345" s="145" t="s">
        <v>2878</v>
      </c>
    </row>
    <row r="346" spans="1:13" s="9" customFormat="1" x14ac:dyDescent="0.25">
      <c r="A346" s="145" t="s">
        <v>6447</v>
      </c>
      <c r="B346" s="145" t="s">
        <v>6499</v>
      </c>
      <c r="C346" s="145" t="str">
        <f>CHOOSE(Translations!$C$1+1,J346,K346,L346,)</f>
        <v>Adolescentes et jeunes femmes dans des contextes à forte prévalence</v>
      </c>
      <c r="D346" s="145"/>
      <c r="E346" s="145" t="s">
        <v>3422</v>
      </c>
      <c r="F346" s="146" t="s">
        <v>6500</v>
      </c>
      <c r="G346" s="145" t="str">
        <f t="shared" si="14"/>
        <v>MCI-00671|Adolescentes et jeunes femmes dans des contextes à forte prévalence</v>
      </c>
      <c r="H346" s="145" t="str">
        <f t="shared" si="15"/>
        <v>MCI-00671|MCI-00865</v>
      </c>
      <c r="I346" s="145" t="str">
        <f t="shared" si="16"/>
        <v>a1O1R000006c5kdUAA</v>
      </c>
      <c r="J346" s="146" t="s">
        <v>6484</v>
      </c>
      <c r="K346" s="146" t="s">
        <v>6485</v>
      </c>
      <c r="L346" s="146" t="s">
        <v>6486</v>
      </c>
      <c r="M346" s="145" t="s">
        <v>2878</v>
      </c>
    </row>
    <row r="347" spans="1:13" s="9" customFormat="1" x14ac:dyDescent="0.25">
      <c r="A347" s="145" t="s">
        <v>6447</v>
      </c>
      <c r="B347" s="145" t="s">
        <v>6501</v>
      </c>
      <c r="C347" s="145" t="str">
        <f>CHOOSE(Translations!$C$1+1,J347,K347,L347,)</f>
        <v>Hommes dans des contextes à forte prévalence</v>
      </c>
      <c r="D347" s="145"/>
      <c r="E347" s="145" t="s">
        <v>3357</v>
      </c>
      <c r="F347" s="146" t="s">
        <v>6502</v>
      </c>
      <c r="G347" s="145" t="str">
        <f t="shared" si="14"/>
        <v>MCI-00672|Hommes dans des contextes à forte prévalence</v>
      </c>
      <c r="H347" s="145" t="str">
        <f t="shared" si="15"/>
        <v>MCI-00672|MCI-00876</v>
      </c>
      <c r="I347" s="145" t="str">
        <f t="shared" si="16"/>
        <v>a1O1R000006c5koUAA</v>
      </c>
      <c r="J347" s="146" t="s">
        <v>6450</v>
      </c>
      <c r="K347" s="146" t="s">
        <v>6451</v>
      </c>
      <c r="L347" s="146" t="s">
        <v>6452</v>
      </c>
      <c r="M347" s="145" t="s">
        <v>2878</v>
      </c>
    </row>
    <row r="348" spans="1:13" s="9" customFormat="1" x14ac:dyDescent="0.25">
      <c r="A348" s="145" t="s">
        <v>6447</v>
      </c>
      <c r="B348" s="145" t="s">
        <v>6503</v>
      </c>
      <c r="C348" s="145" t="str">
        <f>CHOOSE(Translations!$C$1+1,J348,K348,L348,)</f>
        <v>Hommes ayant des rapports sexuels avec des hommes</v>
      </c>
      <c r="D348" s="145"/>
      <c r="E348" s="145" t="s">
        <v>3357</v>
      </c>
      <c r="F348" s="146" t="s">
        <v>6504</v>
      </c>
      <c r="G348" s="145" t="str">
        <f t="shared" si="14"/>
        <v>MCI-00672|Hommes ayant des rapports sexuels avec des hommes</v>
      </c>
      <c r="H348" s="145" t="str">
        <f t="shared" si="15"/>
        <v>MCI-00672|MCI-00817</v>
      </c>
      <c r="I348" s="145" t="str">
        <f t="shared" si="16"/>
        <v>a1O1R000006c5jrUAA</v>
      </c>
      <c r="J348" s="146" t="s">
        <v>6455</v>
      </c>
      <c r="K348" s="146" t="s">
        <v>6456</v>
      </c>
      <c r="L348" s="146" t="s">
        <v>1956</v>
      </c>
      <c r="M348" s="145" t="s">
        <v>2878</v>
      </c>
    </row>
    <row r="349" spans="1:13" s="9" customFormat="1" x14ac:dyDescent="0.25">
      <c r="A349" s="145" t="s">
        <v>6447</v>
      </c>
      <c r="B349" s="145" t="s">
        <v>6505</v>
      </c>
      <c r="C349" s="145" t="str">
        <f>CHOOSE(Translations!$C$1+1,J349,K349,L349,)</f>
        <v>Professionnels du sexe et leurs clients</v>
      </c>
      <c r="D349" s="145"/>
      <c r="E349" s="145" t="s">
        <v>3357</v>
      </c>
      <c r="F349" s="146" t="s">
        <v>6506</v>
      </c>
      <c r="G349" s="145" t="str">
        <f t="shared" si="14"/>
        <v>MCI-00672|Professionnels du sexe et leurs clients</v>
      </c>
      <c r="H349" s="145" t="str">
        <f t="shared" si="15"/>
        <v>MCI-00672|MCI-00826</v>
      </c>
      <c r="I349" s="145" t="str">
        <f t="shared" si="16"/>
        <v>a1O1R000006c5k0UAA</v>
      </c>
      <c r="J349" s="146" t="s">
        <v>6459</v>
      </c>
      <c r="K349" s="146" t="s">
        <v>6460</v>
      </c>
      <c r="L349" s="146" t="s">
        <v>6461</v>
      </c>
      <c r="M349" s="145" t="s">
        <v>2878</v>
      </c>
    </row>
    <row r="350" spans="1:13" s="9" customFormat="1" x14ac:dyDescent="0.25">
      <c r="A350" s="145" t="s">
        <v>6447</v>
      </c>
      <c r="B350" s="145" t="s">
        <v>6507</v>
      </c>
      <c r="C350" s="145" t="str">
        <f>CHOOSE(Translations!$C$1+1,J350,K350,L350,)</f>
        <v>Personnes transgenres</v>
      </c>
      <c r="D350" s="145"/>
      <c r="E350" s="145" t="s">
        <v>3357</v>
      </c>
      <c r="F350" s="146" t="s">
        <v>6508</v>
      </c>
      <c r="G350" s="145" t="str">
        <f t="shared" si="14"/>
        <v>MCI-00672|Personnes transgenres</v>
      </c>
      <c r="H350" s="145" t="str">
        <f t="shared" si="15"/>
        <v>MCI-00672|MCI-00835</v>
      </c>
      <c r="I350" s="145" t="str">
        <f t="shared" si="16"/>
        <v>a1O1R000006c5k9UAA</v>
      </c>
      <c r="J350" s="146" t="s">
        <v>6464</v>
      </c>
      <c r="K350" s="146" t="s">
        <v>6465</v>
      </c>
      <c r="L350" s="146" t="s">
        <v>6466</v>
      </c>
      <c r="M350" s="145" t="s">
        <v>2878</v>
      </c>
    </row>
    <row r="351" spans="1:13" s="9" customFormat="1" x14ac:dyDescent="0.25">
      <c r="A351" s="145" t="s">
        <v>6447</v>
      </c>
      <c r="B351" s="145" t="s">
        <v>6509</v>
      </c>
      <c r="C351" s="145" t="str">
        <f>CHOOSE(Translations!$C$1+1,J351,K351,L351,)</f>
        <v>Personnes qui s’injectent des drogues et leurs partenaires</v>
      </c>
      <c r="D351" s="145"/>
      <c r="E351" s="145" t="s">
        <v>3357</v>
      </c>
      <c r="F351" s="146" t="s">
        <v>6510</v>
      </c>
      <c r="G351" s="145" t="str">
        <f t="shared" si="14"/>
        <v>MCI-00672|Personnes qui s’injectent des drogues et leurs partenaires</v>
      </c>
      <c r="H351" s="145" t="str">
        <f t="shared" si="15"/>
        <v>MCI-00672|MCI-00847</v>
      </c>
      <c r="I351" s="145" t="str">
        <f t="shared" si="16"/>
        <v>a1O1R000006c5kLUAQ</v>
      </c>
      <c r="J351" s="146" t="s">
        <v>6469</v>
      </c>
      <c r="K351" s="146" t="s">
        <v>6470</v>
      </c>
      <c r="L351" s="146" t="s">
        <v>6471</v>
      </c>
      <c r="M351" s="145" t="s">
        <v>2878</v>
      </c>
    </row>
    <row r="352" spans="1:13" s="9" customFormat="1" x14ac:dyDescent="0.25">
      <c r="A352" s="145" t="s">
        <v>6447</v>
      </c>
      <c r="B352" s="145" t="s">
        <v>6511</v>
      </c>
      <c r="C352" s="145" t="str">
        <f>CHOOSE(Translations!$C$1+1,J352,K352,L352,)</f>
        <v>Personnes en détention ou se trouvant dans d’autres lieux fermés</v>
      </c>
      <c r="D352" s="145"/>
      <c r="E352" s="145" t="s">
        <v>3357</v>
      </c>
      <c r="F352" s="146" t="s">
        <v>6512</v>
      </c>
      <c r="G352" s="145" t="str">
        <f t="shared" si="14"/>
        <v>MCI-00672|Personnes en détention ou se trouvant dans d’autres lieux fermés</v>
      </c>
      <c r="H352" s="145" t="str">
        <f t="shared" si="15"/>
        <v>MCI-00672|MCI-00855</v>
      </c>
      <c r="I352" s="145" t="str">
        <f t="shared" si="16"/>
        <v>a1O1R000006c5kTUAQ</v>
      </c>
      <c r="J352" s="146" t="s">
        <v>6474</v>
      </c>
      <c r="K352" s="146" t="s">
        <v>6475</v>
      </c>
      <c r="L352" s="146" t="s">
        <v>6476</v>
      </c>
      <c r="M352" s="145" t="s">
        <v>2878</v>
      </c>
    </row>
    <row r="353" spans="1:13" s="9" customFormat="1" x14ac:dyDescent="0.25">
      <c r="A353" s="145" t="s">
        <v>6447</v>
      </c>
      <c r="B353" s="145" t="s">
        <v>6513</v>
      </c>
      <c r="C353" s="145" t="str">
        <f>CHOOSE(Translations!$C$1+1,J353,K353,L353,)</f>
        <v>Autres populations vulnérables</v>
      </c>
      <c r="D353" s="145"/>
      <c r="E353" s="145" t="s">
        <v>3357</v>
      </c>
      <c r="F353" s="146" t="s">
        <v>6514</v>
      </c>
      <c r="G353" s="145" t="str">
        <f t="shared" si="14"/>
        <v>MCI-00672|Autres populations vulnérables</v>
      </c>
      <c r="H353" s="145" t="str">
        <f t="shared" si="15"/>
        <v>MCI-00672|MCI-00862</v>
      </c>
      <c r="I353" s="145" t="str">
        <f t="shared" si="16"/>
        <v>a1O1R000006c5kaUAA</v>
      </c>
      <c r="J353" s="146" t="s">
        <v>6479</v>
      </c>
      <c r="K353" s="146" t="s">
        <v>6480</v>
      </c>
      <c r="L353" s="146" t="s">
        <v>6481</v>
      </c>
      <c r="M353" s="145" t="s">
        <v>2878</v>
      </c>
    </row>
    <row r="354" spans="1:13" s="9" customFormat="1" x14ac:dyDescent="0.25">
      <c r="A354" s="145" t="s">
        <v>6447</v>
      </c>
      <c r="B354" s="145" t="s">
        <v>6515</v>
      </c>
      <c r="C354" s="145" t="str">
        <f>CHOOSE(Translations!$C$1+1,J354,K354,L354,)</f>
        <v>Adolescentes et jeunes femmes dans des contextes à forte prévalence</v>
      </c>
      <c r="D354" s="145"/>
      <c r="E354" s="145" t="s">
        <v>3357</v>
      </c>
      <c r="F354" s="146" t="s">
        <v>6516</v>
      </c>
      <c r="G354" s="145" t="str">
        <f t="shared" si="14"/>
        <v>MCI-00672|Adolescentes et jeunes femmes dans des contextes à forte prévalence</v>
      </c>
      <c r="H354" s="145" t="str">
        <f t="shared" si="15"/>
        <v>MCI-00672|MCI-00866</v>
      </c>
      <c r="I354" s="145" t="str">
        <f t="shared" si="16"/>
        <v>a1O1R000006c5keUAA</v>
      </c>
      <c r="J354" s="146" t="s">
        <v>6484</v>
      </c>
      <c r="K354" s="146" t="s">
        <v>6485</v>
      </c>
      <c r="L354" s="146" t="s">
        <v>6486</v>
      </c>
      <c r="M354" s="145" t="s">
        <v>2878</v>
      </c>
    </row>
    <row r="355" spans="1:13" s="9" customFormat="1" x14ac:dyDescent="0.25">
      <c r="A355" s="145" t="s">
        <v>6447</v>
      </c>
      <c r="B355" s="145" t="s">
        <v>6517</v>
      </c>
      <c r="C355" s="145" t="str">
        <f>CHOOSE(Translations!$C$1+1,J355,K355,L355,)</f>
        <v>Hommes ayant des rapports sexuels avec des hommes</v>
      </c>
      <c r="D355" s="145"/>
      <c r="E355" s="145" t="s">
        <v>3362</v>
      </c>
      <c r="F355" s="146" t="s">
        <v>6518</v>
      </c>
      <c r="G355" s="145" t="str">
        <f t="shared" si="14"/>
        <v>MCI-00673|Hommes ayant des rapports sexuels avec des hommes</v>
      </c>
      <c r="H355" s="145" t="str">
        <f t="shared" si="15"/>
        <v>MCI-00673|MCI-00818</v>
      </c>
      <c r="I355" s="145" t="str">
        <f t="shared" si="16"/>
        <v>a1O1R000006c5jsUAA</v>
      </c>
      <c r="J355" s="146" t="s">
        <v>6455</v>
      </c>
      <c r="K355" s="146" t="s">
        <v>6456</v>
      </c>
      <c r="L355" s="146" t="s">
        <v>1956</v>
      </c>
      <c r="M355" s="145" t="s">
        <v>2878</v>
      </c>
    </row>
    <row r="356" spans="1:13" s="9" customFormat="1" x14ac:dyDescent="0.25">
      <c r="A356" s="145" t="s">
        <v>6447</v>
      </c>
      <c r="B356" s="145" t="s">
        <v>6519</v>
      </c>
      <c r="C356" s="145" t="str">
        <f>CHOOSE(Translations!$C$1+1,J356,K356,L356,)</f>
        <v>Professionnels du sexe et leurs clients</v>
      </c>
      <c r="D356" s="145"/>
      <c r="E356" s="145" t="s">
        <v>3362</v>
      </c>
      <c r="F356" s="146" t="s">
        <v>6520</v>
      </c>
      <c r="G356" s="145" t="str">
        <f t="shared" si="14"/>
        <v>MCI-00673|Professionnels du sexe et leurs clients</v>
      </c>
      <c r="H356" s="145" t="str">
        <f t="shared" si="15"/>
        <v>MCI-00673|MCI-00827</v>
      </c>
      <c r="I356" s="145" t="str">
        <f t="shared" si="16"/>
        <v>a1O1R000006c5k1UAA</v>
      </c>
      <c r="J356" s="146" t="s">
        <v>6459</v>
      </c>
      <c r="K356" s="146" t="s">
        <v>6460</v>
      </c>
      <c r="L356" s="146" t="s">
        <v>6461</v>
      </c>
      <c r="M356" s="145" t="s">
        <v>2878</v>
      </c>
    </row>
    <row r="357" spans="1:13" s="9" customFormat="1" x14ac:dyDescent="0.25">
      <c r="A357" s="145" t="s">
        <v>6447</v>
      </c>
      <c r="B357" s="145" t="s">
        <v>6521</v>
      </c>
      <c r="C357" s="145" t="str">
        <f>CHOOSE(Translations!$C$1+1,J357,K357,L357,)</f>
        <v>Personnes transgenres</v>
      </c>
      <c r="D357" s="145"/>
      <c r="E357" s="145" t="s">
        <v>3362</v>
      </c>
      <c r="F357" s="146" t="s">
        <v>6522</v>
      </c>
      <c r="G357" s="145" t="str">
        <f t="shared" si="14"/>
        <v>MCI-00673|Personnes transgenres</v>
      </c>
      <c r="H357" s="145" t="str">
        <f t="shared" si="15"/>
        <v>MCI-00673|MCI-00836</v>
      </c>
      <c r="I357" s="145" t="str">
        <f t="shared" si="16"/>
        <v>a1O1R000006c5kAUAQ</v>
      </c>
      <c r="J357" s="146" t="s">
        <v>6464</v>
      </c>
      <c r="K357" s="146" t="s">
        <v>6465</v>
      </c>
      <c r="L357" s="146" t="s">
        <v>6466</v>
      </c>
      <c r="M357" s="145" t="s">
        <v>2878</v>
      </c>
    </row>
    <row r="358" spans="1:13" s="9" customFormat="1" x14ac:dyDescent="0.25">
      <c r="A358" s="145" t="s">
        <v>6447</v>
      </c>
      <c r="B358" s="145" t="s">
        <v>6523</v>
      </c>
      <c r="C358" s="145" t="str">
        <f>CHOOSE(Translations!$C$1+1,J358,K358,L358,)</f>
        <v>Personnes qui s’injectent des drogues et leurs partenaires</v>
      </c>
      <c r="D358" s="145"/>
      <c r="E358" s="145" t="s">
        <v>3362</v>
      </c>
      <c r="F358" s="146" t="s">
        <v>6524</v>
      </c>
      <c r="G358" s="145" t="str">
        <f t="shared" si="14"/>
        <v>MCI-00673|Personnes qui s’injectent des drogues et leurs partenaires</v>
      </c>
      <c r="H358" s="145" t="str">
        <f t="shared" si="15"/>
        <v>MCI-00673|MCI-00848</v>
      </c>
      <c r="I358" s="145" t="str">
        <f t="shared" si="16"/>
        <v>a1O1R000006c5kMUAQ</v>
      </c>
      <c r="J358" s="146" t="s">
        <v>6469</v>
      </c>
      <c r="K358" s="146" t="s">
        <v>6470</v>
      </c>
      <c r="L358" s="146" t="s">
        <v>6471</v>
      </c>
      <c r="M358" s="145" t="s">
        <v>2878</v>
      </c>
    </row>
    <row r="359" spans="1:13" s="9" customFormat="1" x14ac:dyDescent="0.25">
      <c r="A359" s="145" t="s">
        <v>6447</v>
      </c>
      <c r="B359" s="145" t="s">
        <v>6525</v>
      </c>
      <c r="C359" s="145" t="str">
        <f>CHOOSE(Translations!$C$1+1,J359,K359,L359,)</f>
        <v>Personnes en détention ou se trouvant dans d’autres lieux fermés</v>
      </c>
      <c r="D359" s="145"/>
      <c r="E359" s="145" t="s">
        <v>3362</v>
      </c>
      <c r="F359" s="146" t="s">
        <v>6526</v>
      </c>
      <c r="G359" s="145" t="str">
        <f t="shared" si="14"/>
        <v>MCI-00673|Personnes en détention ou se trouvant dans d’autres lieux fermés</v>
      </c>
      <c r="H359" s="145" t="str">
        <f t="shared" si="15"/>
        <v>MCI-00673|MCI-00856</v>
      </c>
      <c r="I359" s="145" t="str">
        <f t="shared" si="16"/>
        <v>a1O1R000006c5kUUAQ</v>
      </c>
      <c r="J359" s="146" t="s">
        <v>6474</v>
      </c>
      <c r="K359" s="146" t="s">
        <v>6475</v>
      </c>
      <c r="L359" s="146" t="s">
        <v>6476</v>
      </c>
      <c r="M359" s="145" t="s">
        <v>2878</v>
      </c>
    </row>
    <row r="360" spans="1:13" s="9" customFormat="1" x14ac:dyDescent="0.25">
      <c r="A360" s="145" t="s">
        <v>6447</v>
      </c>
      <c r="B360" s="145" t="s">
        <v>6527</v>
      </c>
      <c r="C360" s="145" t="str">
        <f>CHOOSE(Translations!$C$1+1,J360,K360,L360,)</f>
        <v>Hommes dans des contextes à forte prévalence</v>
      </c>
      <c r="D360" s="145"/>
      <c r="E360" s="145" t="s">
        <v>3432</v>
      </c>
      <c r="F360" s="146" t="s">
        <v>6528</v>
      </c>
      <c r="G360" s="145" t="str">
        <f t="shared" si="14"/>
        <v>MCI-00674|Hommes dans des contextes à forte prévalence</v>
      </c>
      <c r="H360" s="145" t="str">
        <f t="shared" si="15"/>
        <v>MCI-00674|MCI-00877</v>
      </c>
      <c r="I360" s="145" t="str">
        <f t="shared" si="16"/>
        <v>a1O1R000006c5kpUAA</v>
      </c>
      <c r="J360" s="146" t="s">
        <v>6450</v>
      </c>
      <c r="K360" s="146" t="s">
        <v>6451</v>
      </c>
      <c r="L360" s="146" t="s">
        <v>6452</v>
      </c>
      <c r="M360" s="145" t="s">
        <v>2878</v>
      </c>
    </row>
    <row r="361" spans="1:13" s="9" customFormat="1" x14ac:dyDescent="0.25">
      <c r="A361" s="145" t="s">
        <v>6447</v>
      </c>
      <c r="B361" s="145" t="s">
        <v>6529</v>
      </c>
      <c r="C361" s="145" t="str">
        <f>CHOOSE(Translations!$C$1+1,J361,K361,L361,)</f>
        <v>Hommes ayant des rapports sexuels avec des hommes</v>
      </c>
      <c r="D361" s="145"/>
      <c r="E361" s="145" t="s">
        <v>3432</v>
      </c>
      <c r="F361" s="146" t="s">
        <v>6530</v>
      </c>
      <c r="G361" s="145" t="str">
        <f t="shared" si="14"/>
        <v>MCI-00674|Hommes ayant des rapports sexuels avec des hommes</v>
      </c>
      <c r="H361" s="145" t="str">
        <f t="shared" si="15"/>
        <v>MCI-00674|MCI-00819</v>
      </c>
      <c r="I361" s="145" t="str">
        <f t="shared" si="16"/>
        <v>a1O1R000006c5jtUAA</v>
      </c>
      <c r="J361" s="146" t="s">
        <v>6455</v>
      </c>
      <c r="K361" s="146" t="s">
        <v>6456</v>
      </c>
      <c r="L361" s="146" t="s">
        <v>1956</v>
      </c>
      <c r="M361" s="145" t="s">
        <v>2878</v>
      </c>
    </row>
    <row r="362" spans="1:13" s="9" customFormat="1" x14ac:dyDescent="0.25">
      <c r="A362" s="145" t="s">
        <v>6447</v>
      </c>
      <c r="B362" s="145" t="s">
        <v>6531</v>
      </c>
      <c r="C362" s="145" t="str">
        <f>CHOOSE(Translations!$C$1+1,J362,K362,L362,)</f>
        <v>Professionnels du sexe et leurs clients</v>
      </c>
      <c r="D362" s="145"/>
      <c r="E362" s="145" t="s">
        <v>3432</v>
      </c>
      <c r="F362" s="146" t="s">
        <v>6532</v>
      </c>
      <c r="G362" s="145" t="str">
        <f t="shared" si="14"/>
        <v>MCI-00674|Professionnels du sexe et leurs clients</v>
      </c>
      <c r="H362" s="145" t="str">
        <f t="shared" si="15"/>
        <v>MCI-00674|MCI-00828</v>
      </c>
      <c r="I362" s="145" t="str">
        <f t="shared" si="16"/>
        <v>a1O1R000006c5k2UAA</v>
      </c>
      <c r="J362" s="146" t="s">
        <v>6459</v>
      </c>
      <c r="K362" s="146" t="s">
        <v>6460</v>
      </c>
      <c r="L362" s="146" t="s">
        <v>6461</v>
      </c>
      <c r="M362" s="145" t="s">
        <v>2878</v>
      </c>
    </row>
    <row r="363" spans="1:13" s="9" customFormat="1" x14ac:dyDescent="0.25">
      <c r="A363" s="145" t="s">
        <v>6447</v>
      </c>
      <c r="B363" s="145" t="s">
        <v>6533</v>
      </c>
      <c r="C363" s="145" t="str">
        <f>CHOOSE(Translations!$C$1+1,J363,K363,L363,)</f>
        <v>Personnes transgenres</v>
      </c>
      <c r="D363" s="145"/>
      <c r="E363" s="145" t="s">
        <v>3432</v>
      </c>
      <c r="F363" s="146" t="s">
        <v>6534</v>
      </c>
      <c r="G363" s="145" t="str">
        <f t="shared" si="14"/>
        <v>MCI-00674|Personnes transgenres</v>
      </c>
      <c r="H363" s="145" t="str">
        <f t="shared" si="15"/>
        <v>MCI-00674|MCI-00837</v>
      </c>
      <c r="I363" s="145" t="str">
        <f t="shared" si="16"/>
        <v>a1O1R000006c5kBUAQ</v>
      </c>
      <c r="J363" s="146" t="s">
        <v>6464</v>
      </c>
      <c r="K363" s="146" t="s">
        <v>6465</v>
      </c>
      <c r="L363" s="146" t="s">
        <v>6466</v>
      </c>
      <c r="M363" s="145" t="s">
        <v>2878</v>
      </c>
    </row>
    <row r="364" spans="1:13" s="9" customFormat="1" x14ac:dyDescent="0.25">
      <c r="A364" s="145" t="s">
        <v>6447</v>
      </c>
      <c r="B364" s="145" t="s">
        <v>6535</v>
      </c>
      <c r="C364" s="145" t="str">
        <f>CHOOSE(Translations!$C$1+1,J364,K364,L364,)</f>
        <v>Personnes qui s’injectent des drogues et leurs partenaires</v>
      </c>
      <c r="D364" s="145"/>
      <c r="E364" s="145" t="s">
        <v>3432</v>
      </c>
      <c r="F364" s="146" t="s">
        <v>6536</v>
      </c>
      <c r="G364" s="145" t="str">
        <f t="shared" si="14"/>
        <v>MCI-00674|Personnes qui s’injectent des drogues et leurs partenaires</v>
      </c>
      <c r="H364" s="145" t="str">
        <f t="shared" si="15"/>
        <v>MCI-00674|MCI-00849</v>
      </c>
      <c r="I364" s="145" t="str">
        <f t="shared" si="16"/>
        <v>a1O1R000006c5kNUAQ</v>
      </c>
      <c r="J364" s="146" t="s">
        <v>6469</v>
      </c>
      <c r="K364" s="146" t="s">
        <v>6470</v>
      </c>
      <c r="L364" s="146" t="s">
        <v>6471</v>
      </c>
      <c r="M364" s="145" t="s">
        <v>2878</v>
      </c>
    </row>
    <row r="365" spans="1:13" s="9" customFormat="1" x14ac:dyDescent="0.25">
      <c r="A365" s="145" t="s">
        <v>6447</v>
      </c>
      <c r="B365" s="145" t="s">
        <v>6537</v>
      </c>
      <c r="C365" s="145" t="str">
        <f>CHOOSE(Translations!$C$1+1,J365,K365,L365,)</f>
        <v>Autres populations vulnérables</v>
      </c>
      <c r="D365" s="145"/>
      <c r="E365" s="145" t="s">
        <v>3432</v>
      </c>
      <c r="F365" s="146" t="s">
        <v>6538</v>
      </c>
      <c r="G365" s="145" t="str">
        <f t="shared" si="14"/>
        <v>MCI-00674|Autres populations vulnérables</v>
      </c>
      <c r="H365" s="145" t="str">
        <f t="shared" si="15"/>
        <v>MCI-00674|MCI-00863</v>
      </c>
      <c r="I365" s="145" t="str">
        <f t="shared" si="16"/>
        <v>a1O1R000006c5kbUAA</v>
      </c>
      <c r="J365" s="146" t="s">
        <v>6479</v>
      </c>
      <c r="K365" s="146" t="s">
        <v>6480</v>
      </c>
      <c r="L365" s="146" t="s">
        <v>6481</v>
      </c>
      <c r="M365" s="145" t="s">
        <v>2878</v>
      </c>
    </row>
    <row r="366" spans="1:13" s="9" customFormat="1" x14ac:dyDescent="0.25">
      <c r="A366" s="145" t="s">
        <v>6447</v>
      </c>
      <c r="B366" s="145" t="s">
        <v>6539</v>
      </c>
      <c r="C366" s="145" t="str">
        <f>CHOOSE(Translations!$C$1+1,J366,K366,L366,)</f>
        <v>Adolescentes et jeunes femmes dans des contextes à forte prévalence</v>
      </c>
      <c r="D366" s="145"/>
      <c r="E366" s="145" t="s">
        <v>3432</v>
      </c>
      <c r="F366" s="146" t="s">
        <v>6540</v>
      </c>
      <c r="G366" s="145" t="str">
        <f t="shared" si="14"/>
        <v>MCI-00674|Adolescentes et jeunes femmes dans des contextes à forte prévalence</v>
      </c>
      <c r="H366" s="145" t="str">
        <f t="shared" si="15"/>
        <v>MCI-00674|MCI-00868</v>
      </c>
      <c r="I366" s="145" t="str">
        <f t="shared" si="16"/>
        <v>a1O1R000006c5kgUAA</v>
      </c>
      <c r="J366" s="146" t="s">
        <v>6484</v>
      </c>
      <c r="K366" s="146" t="s">
        <v>6485</v>
      </c>
      <c r="L366" s="146" t="s">
        <v>6486</v>
      </c>
      <c r="M366" s="145" t="s">
        <v>2878</v>
      </c>
    </row>
    <row r="367" spans="1:13" s="9" customFormat="1" x14ac:dyDescent="0.25">
      <c r="A367" s="145" t="s">
        <v>6447</v>
      </c>
      <c r="B367" s="145" t="s">
        <v>6541</v>
      </c>
      <c r="C367" s="145" t="str">
        <f>CHOOSE(Translations!$C$1+1,J367,K367,L367,)</f>
        <v>Personnes en détention ou se trouvant dans d’autres lieux fermés</v>
      </c>
      <c r="D367" s="145"/>
      <c r="E367" s="145" t="s">
        <v>3432</v>
      </c>
      <c r="F367" s="146" t="s">
        <v>6542</v>
      </c>
      <c r="G367" s="145" t="str">
        <f t="shared" si="14"/>
        <v>MCI-00674|Personnes en détention ou se trouvant dans d’autres lieux fermés</v>
      </c>
      <c r="H367" s="145" t="str">
        <f t="shared" si="15"/>
        <v>MCI-00674|MCI-00857</v>
      </c>
      <c r="I367" s="145" t="str">
        <f t="shared" si="16"/>
        <v>a1O1R000006c5kVUAQ</v>
      </c>
      <c r="J367" s="146" t="s">
        <v>6474</v>
      </c>
      <c r="K367" s="146" t="s">
        <v>6475</v>
      </c>
      <c r="L367" s="146" t="s">
        <v>6476</v>
      </c>
      <c r="M367" s="145" t="s">
        <v>2878</v>
      </c>
    </row>
    <row r="368" spans="1:13" s="9" customFormat="1" x14ac:dyDescent="0.25">
      <c r="A368" s="145" t="s">
        <v>6447</v>
      </c>
      <c r="B368" s="145" t="s">
        <v>6543</v>
      </c>
      <c r="C368" s="145" t="str">
        <f>CHOOSE(Translations!$C$1+1,J368,K368,L368,)</f>
        <v>Hommes ayant des rapports sexuels avec des hommes</v>
      </c>
      <c r="D368" s="145"/>
      <c r="E368" s="145" t="s">
        <v>3382</v>
      </c>
      <c r="F368" s="146" t="s">
        <v>6544</v>
      </c>
      <c r="G368" s="145" t="str">
        <f t="shared" si="14"/>
        <v>MCI-00675|Hommes ayant des rapports sexuels avec des hommes</v>
      </c>
      <c r="H368" s="145" t="str">
        <f t="shared" si="15"/>
        <v>MCI-00675|MCI-00820</v>
      </c>
      <c r="I368" s="145" t="str">
        <f t="shared" si="16"/>
        <v>a1O1R000006c5juUAA</v>
      </c>
      <c r="J368" s="146" t="s">
        <v>6455</v>
      </c>
      <c r="K368" s="146" t="s">
        <v>6456</v>
      </c>
      <c r="L368" s="146" t="s">
        <v>1956</v>
      </c>
      <c r="M368" s="145" t="s">
        <v>2878</v>
      </c>
    </row>
    <row r="369" spans="1:13" s="9" customFormat="1" x14ac:dyDescent="0.25">
      <c r="A369" s="145" t="s">
        <v>6447</v>
      </c>
      <c r="B369" s="145" t="s">
        <v>6545</v>
      </c>
      <c r="C369" s="145" t="str">
        <f>CHOOSE(Translations!$C$1+1,J369,K369,L369,)</f>
        <v>Professionnels du sexe et leurs clients</v>
      </c>
      <c r="D369" s="145"/>
      <c r="E369" s="145" t="s">
        <v>3382</v>
      </c>
      <c r="F369" s="146" t="s">
        <v>6546</v>
      </c>
      <c r="G369" s="145" t="str">
        <f t="shared" si="14"/>
        <v>MCI-00675|Professionnels du sexe et leurs clients</v>
      </c>
      <c r="H369" s="145" t="str">
        <f t="shared" si="15"/>
        <v>MCI-00675|MCI-00829</v>
      </c>
      <c r="I369" s="145" t="str">
        <f t="shared" si="16"/>
        <v>a1O1R000006c5k3UAA</v>
      </c>
      <c r="J369" s="146" t="s">
        <v>6459</v>
      </c>
      <c r="K369" s="146" t="s">
        <v>6460</v>
      </c>
      <c r="L369" s="146" t="s">
        <v>6461</v>
      </c>
      <c r="M369" s="145" t="s">
        <v>2878</v>
      </c>
    </row>
    <row r="370" spans="1:13" s="9" customFormat="1" x14ac:dyDescent="0.25">
      <c r="A370" s="145" t="s">
        <v>6447</v>
      </c>
      <c r="B370" s="145" t="s">
        <v>6547</v>
      </c>
      <c r="C370" s="145" t="str">
        <f>CHOOSE(Translations!$C$1+1,J370,K370,L370,)</f>
        <v>Personnes transgenres</v>
      </c>
      <c r="D370" s="145"/>
      <c r="E370" s="145" t="s">
        <v>3382</v>
      </c>
      <c r="F370" s="146" t="s">
        <v>6548</v>
      </c>
      <c r="G370" s="145" t="str">
        <f t="shared" si="14"/>
        <v>MCI-00675|Personnes transgenres</v>
      </c>
      <c r="H370" s="145" t="str">
        <f t="shared" si="15"/>
        <v>MCI-00675|MCI-00838</v>
      </c>
      <c r="I370" s="145" t="str">
        <f t="shared" si="16"/>
        <v>a1O1R000006c5kCUAQ</v>
      </c>
      <c r="J370" s="146" t="s">
        <v>6464</v>
      </c>
      <c r="K370" s="146" t="s">
        <v>6465</v>
      </c>
      <c r="L370" s="146" t="s">
        <v>6466</v>
      </c>
      <c r="M370" s="145" t="s">
        <v>2878</v>
      </c>
    </row>
    <row r="371" spans="1:13" s="9" customFormat="1" x14ac:dyDescent="0.25">
      <c r="A371" s="145" t="s">
        <v>6447</v>
      </c>
      <c r="B371" s="145" t="s">
        <v>6549</v>
      </c>
      <c r="C371" s="145" t="str">
        <f>CHOOSE(Translations!$C$1+1,J371,K371,L371,)</f>
        <v>Personnes en détention ou se trouvant dans d’autres lieux fermés</v>
      </c>
      <c r="D371" s="145"/>
      <c r="E371" s="145" t="s">
        <v>3382</v>
      </c>
      <c r="F371" s="146" t="s">
        <v>6550</v>
      </c>
      <c r="G371" s="145" t="str">
        <f t="shared" si="14"/>
        <v>MCI-00675|Personnes en détention ou se trouvant dans d’autres lieux fermés</v>
      </c>
      <c r="H371" s="145" t="str">
        <f t="shared" si="15"/>
        <v>MCI-00675|MCI-00858</v>
      </c>
      <c r="I371" s="145" t="str">
        <f t="shared" si="16"/>
        <v>a1O1R000006c5kWUAQ</v>
      </c>
      <c r="J371" s="146" t="s">
        <v>6474</v>
      </c>
      <c r="K371" s="146" t="s">
        <v>6475</v>
      </c>
      <c r="L371" s="146" t="s">
        <v>6476</v>
      </c>
      <c r="M371" s="145" t="s">
        <v>2878</v>
      </c>
    </row>
    <row r="372" spans="1:13" s="9" customFormat="1" x14ac:dyDescent="0.25">
      <c r="A372" s="145" t="s">
        <v>6447</v>
      </c>
      <c r="B372" s="145" t="s">
        <v>6551</v>
      </c>
      <c r="C372" s="145" t="str">
        <f>CHOOSE(Translations!$C$1+1,J372,K372,L372,)</f>
        <v>Hommes ayant des rapports sexuels avec des hommes</v>
      </c>
      <c r="D372" s="145"/>
      <c r="E372" s="145" t="s">
        <v>3352</v>
      </c>
      <c r="F372" s="146" t="s">
        <v>6552</v>
      </c>
      <c r="G372" s="145" t="str">
        <f t="shared" si="14"/>
        <v>MCI-00676|Hommes ayant des rapports sexuels avec des hommes</v>
      </c>
      <c r="H372" s="145" t="str">
        <f t="shared" si="15"/>
        <v>MCI-00676|MCI-00821</v>
      </c>
      <c r="I372" s="145" t="str">
        <f t="shared" si="16"/>
        <v>a1O1R000006c5jvUAA</v>
      </c>
      <c r="J372" s="146" t="s">
        <v>6455</v>
      </c>
      <c r="K372" s="146" t="s">
        <v>6456</v>
      </c>
      <c r="L372" s="146" t="s">
        <v>1956</v>
      </c>
      <c r="M372" s="145" t="s">
        <v>2878</v>
      </c>
    </row>
    <row r="373" spans="1:13" s="9" customFormat="1" x14ac:dyDescent="0.25">
      <c r="A373" s="145" t="s">
        <v>6447</v>
      </c>
      <c r="B373" s="145" t="s">
        <v>6553</v>
      </c>
      <c r="C373" s="145" t="str">
        <f>CHOOSE(Translations!$C$1+1,J373,K373,L373,)</f>
        <v>Professionnels du sexe et leurs clients</v>
      </c>
      <c r="D373" s="145"/>
      <c r="E373" s="145" t="s">
        <v>3352</v>
      </c>
      <c r="F373" s="146" t="s">
        <v>6554</v>
      </c>
      <c r="G373" s="145" t="str">
        <f t="shared" si="14"/>
        <v>MCI-00676|Professionnels du sexe et leurs clients</v>
      </c>
      <c r="H373" s="145" t="str">
        <f t="shared" si="15"/>
        <v>MCI-00676|MCI-00830</v>
      </c>
      <c r="I373" s="145" t="str">
        <f t="shared" si="16"/>
        <v>a1O1R000006c5k4UAA</v>
      </c>
      <c r="J373" s="146" t="s">
        <v>6459</v>
      </c>
      <c r="K373" s="146" t="s">
        <v>6460</v>
      </c>
      <c r="L373" s="146" t="s">
        <v>6461</v>
      </c>
      <c r="M373" s="145" t="s">
        <v>2878</v>
      </c>
    </row>
    <row r="374" spans="1:13" s="9" customFormat="1" x14ac:dyDescent="0.25">
      <c r="A374" s="145" t="s">
        <v>6447</v>
      </c>
      <c r="B374" s="145" t="s">
        <v>6555</v>
      </c>
      <c r="C374" s="145" t="str">
        <f>CHOOSE(Translations!$C$1+1,J374,K374,L374,)</f>
        <v>Personnes transgenres</v>
      </c>
      <c r="D374" s="145"/>
      <c r="E374" s="145" t="s">
        <v>3352</v>
      </c>
      <c r="F374" s="146" t="s">
        <v>6556</v>
      </c>
      <c r="G374" s="145" t="str">
        <f t="shared" si="14"/>
        <v>MCI-00676|Personnes transgenres</v>
      </c>
      <c r="H374" s="145" t="str">
        <f t="shared" si="15"/>
        <v>MCI-00676|MCI-00839</v>
      </c>
      <c r="I374" s="145" t="str">
        <f t="shared" si="16"/>
        <v>a1O1R000006c5kDUAQ</v>
      </c>
      <c r="J374" s="146" t="s">
        <v>6464</v>
      </c>
      <c r="K374" s="146" t="s">
        <v>6465</v>
      </c>
      <c r="L374" s="146" t="s">
        <v>6466</v>
      </c>
      <c r="M374" s="145" t="s">
        <v>2878</v>
      </c>
    </row>
    <row r="375" spans="1:13" s="9" customFormat="1" x14ac:dyDescent="0.25">
      <c r="A375" s="145" t="s">
        <v>6447</v>
      </c>
      <c r="B375" s="145" t="s">
        <v>6557</v>
      </c>
      <c r="C375" s="145" t="str">
        <f>CHOOSE(Translations!$C$1+1,J375,K375,L375,)</f>
        <v>Personnes qui s’injectent des drogues et leurs partenaires</v>
      </c>
      <c r="D375" s="145"/>
      <c r="E375" s="145" t="s">
        <v>3352</v>
      </c>
      <c r="F375" s="146" t="s">
        <v>6558</v>
      </c>
      <c r="G375" s="145" t="str">
        <f t="shared" si="14"/>
        <v>MCI-00676|Personnes qui s’injectent des drogues et leurs partenaires</v>
      </c>
      <c r="H375" s="145" t="str">
        <f t="shared" si="15"/>
        <v>MCI-00676|MCI-00850</v>
      </c>
      <c r="I375" s="145" t="str">
        <f t="shared" si="16"/>
        <v>a1O1R000006c5kOUAQ</v>
      </c>
      <c r="J375" s="146" t="s">
        <v>6469</v>
      </c>
      <c r="K375" s="146" t="s">
        <v>6470</v>
      </c>
      <c r="L375" s="146" t="s">
        <v>6471</v>
      </c>
      <c r="M375" s="145" t="s">
        <v>2878</v>
      </c>
    </row>
    <row r="376" spans="1:13" s="9" customFormat="1" x14ac:dyDescent="0.25">
      <c r="A376" s="145" t="s">
        <v>6447</v>
      </c>
      <c r="B376" s="145" t="s">
        <v>6559</v>
      </c>
      <c r="C376" s="145" t="str">
        <f>CHOOSE(Translations!$C$1+1,J376,K376,L376,)</f>
        <v>Personnes en détention ou se trouvant dans d’autres lieux fermés</v>
      </c>
      <c r="D376" s="145"/>
      <c r="E376" s="145" t="s">
        <v>3352</v>
      </c>
      <c r="F376" s="146" t="s">
        <v>6560</v>
      </c>
      <c r="G376" s="145" t="str">
        <f t="shared" si="14"/>
        <v>MCI-00676|Personnes en détention ou se trouvant dans d’autres lieux fermés</v>
      </c>
      <c r="H376" s="145" t="str">
        <f t="shared" si="15"/>
        <v>MCI-00676|MCI-00859</v>
      </c>
      <c r="I376" s="145" t="str">
        <f t="shared" si="16"/>
        <v>a1O1R000006c5kXUAQ</v>
      </c>
      <c r="J376" s="146" t="s">
        <v>6474</v>
      </c>
      <c r="K376" s="146" t="s">
        <v>6475</v>
      </c>
      <c r="L376" s="146" t="s">
        <v>6476</v>
      </c>
      <c r="M376" s="145" t="s">
        <v>2878</v>
      </c>
    </row>
    <row r="377" spans="1:13" s="9" customFormat="1" x14ac:dyDescent="0.25">
      <c r="A377" s="145" t="s">
        <v>6447</v>
      </c>
      <c r="B377" s="145" t="s">
        <v>6561</v>
      </c>
      <c r="C377" s="145" t="str">
        <f>CHOOSE(Translations!$C$1+1,J377,K377,L377,)</f>
        <v>Adolescentes et jeunes femmes dans des contextes à forte prévalence</v>
      </c>
      <c r="D377" s="145"/>
      <c r="E377" s="145" t="s">
        <v>3352</v>
      </c>
      <c r="F377" s="146" t="s">
        <v>6562</v>
      </c>
      <c r="G377" s="145" t="str">
        <f t="shared" si="14"/>
        <v>MCI-00676|Adolescentes et jeunes femmes dans des contextes à forte prévalence</v>
      </c>
      <c r="H377" s="145" t="str">
        <f t="shared" si="15"/>
        <v>MCI-00676|MCI-00870</v>
      </c>
      <c r="I377" s="145" t="str">
        <f t="shared" si="16"/>
        <v>a1O1R000006c5kiUAA</v>
      </c>
      <c r="J377" s="146" t="s">
        <v>6484</v>
      </c>
      <c r="K377" s="146" t="s">
        <v>6485</v>
      </c>
      <c r="L377" s="146" t="s">
        <v>6486</v>
      </c>
      <c r="M377" s="145" t="s">
        <v>2878</v>
      </c>
    </row>
    <row r="378" spans="1:13" s="9" customFormat="1" x14ac:dyDescent="0.25">
      <c r="A378" s="145" t="s">
        <v>6447</v>
      </c>
      <c r="B378" s="145" t="s">
        <v>6563</v>
      </c>
      <c r="C378" s="145" t="str">
        <f>CHOOSE(Translations!$C$1+1,J378,K378,L378,)</f>
        <v>Hommes ayant des rapports sexuels avec des hommes</v>
      </c>
      <c r="D378" s="145"/>
      <c r="E378" s="145" t="s">
        <v>3392</v>
      </c>
      <c r="F378" s="146" t="s">
        <v>6564</v>
      </c>
      <c r="G378" s="145" t="str">
        <f t="shared" si="14"/>
        <v>MCI-00677|Hommes ayant des rapports sexuels avec des hommes</v>
      </c>
      <c r="H378" s="145" t="str">
        <f t="shared" si="15"/>
        <v>MCI-00677|MCI-00822</v>
      </c>
      <c r="I378" s="145" t="str">
        <f t="shared" si="16"/>
        <v>a1O1R000006c5jwUAA</v>
      </c>
      <c r="J378" s="146" t="s">
        <v>6455</v>
      </c>
      <c r="K378" s="146" t="s">
        <v>6456</v>
      </c>
      <c r="L378" s="146" t="s">
        <v>1956</v>
      </c>
      <c r="M378" s="145" t="s">
        <v>2878</v>
      </c>
    </row>
    <row r="379" spans="1:13" s="9" customFormat="1" x14ac:dyDescent="0.25">
      <c r="A379" s="145" t="s">
        <v>6447</v>
      </c>
      <c r="B379" s="145" t="s">
        <v>6565</v>
      </c>
      <c r="C379" s="145" t="str">
        <f>CHOOSE(Translations!$C$1+1,J379,K379,L379,)</f>
        <v>Professionnels du sexe et leurs clients</v>
      </c>
      <c r="D379" s="145"/>
      <c r="E379" s="145" t="s">
        <v>3392</v>
      </c>
      <c r="F379" s="146" t="s">
        <v>6566</v>
      </c>
      <c r="G379" s="145" t="str">
        <f t="shared" si="14"/>
        <v>MCI-00677|Professionnels du sexe et leurs clients</v>
      </c>
      <c r="H379" s="145" t="str">
        <f t="shared" si="15"/>
        <v>MCI-00677|MCI-00831</v>
      </c>
      <c r="I379" s="145" t="str">
        <f t="shared" si="16"/>
        <v>a1O1R000006c5k5UAA</v>
      </c>
      <c r="J379" s="146" t="s">
        <v>6459</v>
      </c>
      <c r="K379" s="146" t="s">
        <v>6460</v>
      </c>
      <c r="L379" s="146" t="s">
        <v>6461</v>
      </c>
      <c r="M379" s="145" t="s">
        <v>2878</v>
      </c>
    </row>
    <row r="380" spans="1:13" s="9" customFormat="1" x14ac:dyDescent="0.25">
      <c r="A380" s="145" t="s">
        <v>6447</v>
      </c>
      <c r="B380" s="145" t="s">
        <v>6567</v>
      </c>
      <c r="C380" s="145" t="str">
        <f>CHOOSE(Translations!$C$1+1,J380,K380,L380,)</f>
        <v>Personnes transgenres</v>
      </c>
      <c r="D380" s="145"/>
      <c r="E380" s="145" t="s">
        <v>3392</v>
      </c>
      <c r="F380" s="146" t="s">
        <v>6568</v>
      </c>
      <c r="G380" s="145" t="str">
        <f t="shared" si="14"/>
        <v>MCI-00677|Personnes transgenres</v>
      </c>
      <c r="H380" s="145" t="str">
        <f t="shared" si="15"/>
        <v>MCI-00677|MCI-00840</v>
      </c>
      <c r="I380" s="145" t="str">
        <f t="shared" si="16"/>
        <v>a1O1R000006c5kEUAQ</v>
      </c>
      <c r="J380" s="146" t="s">
        <v>6464</v>
      </c>
      <c r="K380" s="146" t="s">
        <v>6465</v>
      </c>
      <c r="L380" s="146" t="s">
        <v>6466</v>
      </c>
      <c r="M380" s="145" t="s">
        <v>2878</v>
      </c>
    </row>
    <row r="381" spans="1:13" s="9" customFormat="1" x14ac:dyDescent="0.25">
      <c r="A381" s="145" t="s">
        <v>6447</v>
      </c>
      <c r="B381" s="145" t="s">
        <v>6569</v>
      </c>
      <c r="C381" s="145" t="str">
        <f>CHOOSE(Translations!$C$1+1,J381,K381,L381,)</f>
        <v>Personnes qui s’injectent des drogues et leurs partenaires</v>
      </c>
      <c r="D381" s="145"/>
      <c r="E381" s="145" t="s">
        <v>3392</v>
      </c>
      <c r="F381" s="146" t="s">
        <v>6570</v>
      </c>
      <c r="G381" s="145" t="str">
        <f t="shared" si="14"/>
        <v>MCI-00677|Personnes qui s’injectent des drogues et leurs partenaires</v>
      </c>
      <c r="H381" s="145" t="str">
        <f t="shared" si="15"/>
        <v>MCI-00677|MCI-00851</v>
      </c>
      <c r="I381" s="145" t="str">
        <f t="shared" si="16"/>
        <v>a1O1R000006c5kPUAQ</v>
      </c>
      <c r="J381" s="146" t="s">
        <v>6469</v>
      </c>
      <c r="K381" s="146" t="s">
        <v>6470</v>
      </c>
      <c r="L381" s="146" t="s">
        <v>6471</v>
      </c>
      <c r="M381" s="145" t="s">
        <v>2878</v>
      </c>
    </row>
    <row r="382" spans="1:13" s="9" customFormat="1" x14ac:dyDescent="0.25">
      <c r="A382" s="145" t="s">
        <v>6447</v>
      </c>
      <c r="B382" s="145" t="s">
        <v>6571</v>
      </c>
      <c r="C382" s="145" t="str">
        <f>CHOOSE(Translations!$C$1+1,J382,K382,L382,)</f>
        <v>Hommes ayant des rapports sexuels avec des hommes</v>
      </c>
      <c r="D382" s="145"/>
      <c r="E382" s="145" t="s">
        <v>3427</v>
      </c>
      <c r="F382" s="146" t="s">
        <v>6572</v>
      </c>
      <c r="G382" s="145" t="str">
        <f t="shared" si="14"/>
        <v>MCI-00678|Hommes ayant des rapports sexuels avec des hommes</v>
      </c>
      <c r="H382" s="145" t="str">
        <f t="shared" si="15"/>
        <v>MCI-00678|MCI-00823</v>
      </c>
      <c r="I382" s="145" t="str">
        <f t="shared" si="16"/>
        <v>a1O1R000006c5jxUAA</v>
      </c>
      <c r="J382" s="146" t="s">
        <v>6455</v>
      </c>
      <c r="K382" s="146" t="s">
        <v>6456</v>
      </c>
      <c r="L382" s="146" t="s">
        <v>1956</v>
      </c>
      <c r="M382" s="145" t="s">
        <v>2878</v>
      </c>
    </row>
    <row r="383" spans="1:13" s="9" customFormat="1" x14ac:dyDescent="0.25">
      <c r="A383" s="145" t="s">
        <v>6447</v>
      </c>
      <c r="B383" s="145" t="s">
        <v>6573</v>
      </c>
      <c r="C383" s="145" t="str">
        <f>CHOOSE(Translations!$C$1+1,J383,K383,L383,)</f>
        <v>Professionnels du sexe et leurs clients</v>
      </c>
      <c r="D383" s="145"/>
      <c r="E383" s="145" t="s">
        <v>3427</v>
      </c>
      <c r="F383" s="146" t="s">
        <v>6574</v>
      </c>
      <c r="G383" s="145" t="str">
        <f t="shared" si="14"/>
        <v>MCI-00678|Professionnels du sexe et leurs clients</v>
      </c>
      <c r="H383" s="145" t="str">
        <f t="shared" si="15"/>
        <v>MCI-00678|MCI-00832</v>
      </c>
      <c r="I383" s="145" t="str">
        <f t="shared" si="16"/>
        <v>a1O1R000006c5k6UAA</v>
      </c>
      <c r="J383" s="146" t="s">
        <v>6459</v>
      </c>
      <c r="K383" s="146" t="s">
        <v>6460</v>
      </c>
      <c r="L383" s="146" t="s">
        <v>6461</v>
      </c>
      <c r="M383" s="145" t="s">
        <v>2878</v>
      </c>
    </row>
    <row r="384" spans="1:13" s="9" customFormat="1" x14ac:dyDescent="0.25">
      <c r="A384" s="145" t="s">
        <v>6447</v>
      </c>
      <c r="B384" s="145" t="s">
        <v>6575</v>
      </c>
      <c r="C384" s="145" t="str">
        <f>CHOOSE(Translations!$C$1+1,J384,K384,L384,)</f>
        <v>Personnes transgenres</v>
      </c>
      <c r="D384" s="145"/>
      <c r="E384" s="145" t="s">
        <v>3427</v>
      </c>
      <c r="F384" s="146" t="s">
        <v>6576</v>
      </c>
      <c r="G384" s="145" t="str">
        <f t="shared" si="14"/>
        <v>MCI-00678|Personnes transgenres</v>
      </c>
      <c r="H384" s="145" t="str">
        <f t="shared" si="15"/>
        <v>MCI-00678|MCI-00841</v>
      </c>
      <c r="I384" s="145" t="str">
        <f t="shared" si="16"/>
        <v>a1O1R000006c5kFUAQ</v>
      </c>
      <c r="J384" s="146" t="s">
        <v>6464</v>
      </c>
      <c r="K384" s="146" t="s">
        <v>6465</v>
      </c>
      <c r="L384" s="146" t="s">
        <v>6466</v>
      </c>
      <c r="M384" s="145" t="s">
        <v>2878</v>
      </c>
    </row>
    <row r="385" spans="1:13" s="9" customFormat="1" x14ac:dyDescent="0.25">
      <c r="A385" s="145" t="s">
        <v>6447</v>
      </c>
      <c r="B385" s="145" t="s">
        <v>6577</v>
      </c>
      <c r="C385" s="145" t="str">
        <f>CHOOSE(Translations!$C$1+1,J385,K385,L385,)</f>
        <v>Personnes qui s’injectent des drogues et leurs partenaires</v>
      </c>
      <c r="D385" s="145"/>
      <c r="E385" s="145" t="s">
        <v>3427</v>
      </c>
      <c r="F385" s="146" t="s">
        <v>6578</v>
      </c>
      <c r="G385" s="145" t="str">
        <f t="shared" si="14"/>
        <v>MCI-00678|Personnes qui s’injectent des drogues et leurs partenaires</v>
      </c>
      <c r="H385" s="145" t="str">
        <f t="shared" si="15"/>
        <v>MCI-00678|MCI-00852</v>
      </c>
      <c r="I385" s="145" t="str">
        <f t="shared" si="16"/>
        <v>a1O1R000006c5kQUAQ</v>
      </c>
      <c r="J385" s="146" t="s">
        <v>6469</v>
      </c>
      <c r="K385" s="146" t="s">
        <v>6470</v>
      </c>
      <c r="L385" s="146" t="s">
        <v>6471</v>
      </c>
      <c r="M385" s="145" t="s">
        <v>2878</v>
      </c>
    </row>
    <row r="386" spans="1:13" s="9" customFormat="1" x14ac:dyDescent="0.25">
      <c r="A386" s="145" t="s">
        <v>6447</v>
      </c>
      <c r="B386" s="145" t="s">
        <v>6579</v>
      </c>
      <c r="C386" s="145" t="str">
        <f>CHOOSE(Translations!$C$1+1,J386,K386,L386,)</f>
        <v>Personnes en détention ou se trouvant dans d’autres lieux fermés</v>
      </c>
      <c r="D386" s="145"/>
      <c r="E386" s="145" t="s">
        <v>3427</v>
      </c>
      <c r="F386" s="146" t="s">
        <v>6580</v>
      </c>
      <c r="G386" s="145" t="str">
        <f t="shared" si="14"/>
        <v>MCI-00678|Personnes en détention ou se trouvant dans d’autres lieux fermés</v>
      </c>
      <c r="H386" s="145" t="str">
        <f t="shared" si="15"/>
        <v>MCI-00678|MCI-00860</v>
      </c>
      <c r="I386" s="145" t="str">
        <f t="shared" si="16"/>
        <v>a1O1R000006c5kYUAQ</v>
      </c>
      <c r="J386" s="146" t="s">
        <v>6474</v>
      </c>
      <c r="K386" s="146" t="s">
        <v>6475</v>
      </c>
      <c r="L386" s="146" t="s">
        <v>6476</v>
      </c>
      <c r="M386" s="145" t="s">
        <v>2878</v>
      </c>
    </row>
    <row r="387" spans="1:13" s="9" customFormat="1" x14ac:dyDescent="0.25">
      <c r="A387" s="145" t="s">
        <v>6447</v>
      </c>
      <c r="B387" s="145" t="s">
        <v>6581</v>
      </c>
      <c r="C387" s="145" t="str">
        <f>CHOOSE(Translations!$C$1+1,J387,K387,L387,)</f>
        <v>Personnes qui s’injectent des drogues et leurs partenaires</v>
      </c>
      <c r="D387" s="145"/>
      <c r="E387" s="145" t="s">
        <v>3407</v>
      </c>
      <c r="F387" s="146" t="s">
        <v>6582</v>
      </c>
      <c r="G387" s="145" t="str">
        <f t="shared" si="14"/>
        <v>MCI-00679|Personnes qui s’injectent des drogues et leurs partenaires</v>
      </c>
      <c r="H387" s="145" t="str">
        <f t="shared" si="15"/>
        <v>MCI-00679|MCI-00842</v>
      </c>
      <c r="I387" s="145" t="str">
        <f t="shared" si="16"/>
        <v>a1O1R000006c5kGUAQ</v>
      </c>
      <c r="J387" s="146" t="s">
        <v>6469</v>
      </c>
      <c r="K387" s="146" t="s">
        <v>6470</v>
      </c>
      <c r="L387" s="146" t="s">
        <v>6471</v>
      </c>
      <c r="M387" s="145" t="s">
        <v>2878</v>
      </c>
    </row>
    <row r="388" spans="1:13" s="9" customFormat="1" x14ac:dyDescent="0.25">
      <c r="A388" s="145" t="s">
        <v>6447</v>
      </c>
      <c r="B388" s="145" t="s">
        <v>6583</v>
      </c>
      <c r="C388" s="145" t="str">
        <f>CHOOSE(Translations!$C$1+1,J388,K388,L388,)</f>
        <v>Personnes qui s’injectent des drogues et leurs partenaires</v>
      </c>
      <c r="D388" s="145"/>
      <c r="E388" s="145" t="s">
        <v>3412</v>
      </c>
      <c r="F388" s="146" t="s">
        <v>6584</v>
      </c>
      <c r="G388" s="145" t="str">
        <f t="shared" si="14"/>
        <v>MCI-00680|Personnes qui s’injectent des drogues et leurs partenaires</v>
      </c>
      <c r="H388" s="145" t="str">
        <f t="shared" si="15"/>
        <v>MCI-00680|MCI-00843</v>
      </c>
      <c r="I388" s="145" t="str">
        <f t="shared" si="16"/>
        <v>a1O1R000006c5kHUAQ</v>
      </c>
      <c r="J388" s="146" t="s">
        <v>6469</v>
      </c>
      <c r="K388" s="146" t="s">
        <v>6470</v>
      </c>
      <c r="L388" s="146" t="s">
        <v>6471</v>
      </c>
      <c r="M388" s="145" t="s">
        <v>2878</v>
      </c>
    </row>
    <row r="389" spans="1:13" s="9" customFormat="1" x14ac:dyDescent="0.25">
      <c r="A389" s="145" t="s">
        <v>6447</v>
      </c>
      <c r="B389" s="145" t="s">
        <v>6585</v>
      </c>
      <c r="C389" s="145" t="str">
        <f>CHOOSE(Translations!$C$1+1,J389,K389,L389,)</f>
        <v>Personnes qui s’injectent des drogues et leurs partenaires</v>
      </c>
      <c r="D389" s="145"/>
      <c r="E389" s="145" t="s">
        <v>3417</v>
      </c>
      <c r="F389" s="146" t="s">
        <v>6586</v>
      </c>
      <c r="G389" s="145" t="str">
        <f t="shared" si="14"/>
        <v>MCI-00681|Personnes qui s’injectent des drogues et leurs partenaires</v>
      </c>
      <c r="H389" s="145" t="str">
        <f t="shared" si="15"/>
        <v>MCI-00681|MCI-00844</v>
      </c>
      <c r="I389" s="145" t="str">
        <f t="shared" si="16"/>
        <v>a1O1R000006c5kIUAQ</v>
      </c>
      <c r="J389" s="146" t="s">
        <v>6469</v>
      </c>
      <c r="K389" s="146" t="s">
        <v>6470</v>
      </c>
      <c r="L389" s="146" t="s">
        <v>6471</v>
      </c>
      <c r="M389" s="145" t="s">
        <v>2878</v>
      </c>
    </row>
    <row r="390" spans="1:13" s="9" customFormat="1" x14ac:dyDescent="0.25">
      <c r="A390" s="145" t="s">
        <v>6447</v>
      </c>
      <c r="B390" s="145" t="s">
        <v>6587</v>
      </c>
      <c r="C390" s="145" t="str">
        <f>CHOOSE(Translations!$C$1+1,J390,K390,L390,)</f>
        <v>Adolescentes et jeunes femmes dans des contextes à forte prévalence</v>
      </c>
      <c r="D390" s="145"/>
      <c r="E390" s="145" t="s">
        <v>3367</v>
      </c>
      <c r="F390" s="146" t="s">
        <v>6588</v>
      </c>
      <c r="G390" s="145" t="str">
        <f t="shared" si="14"/>
        <v>MCI-00682|Adolescentes et jeunes femmes dans des contextes à forte prévalence</v>
      </c>
      <c r="H390" s="145" t="str">
        <f t="shared" si="15"/>
        <v>MCI-00682|MCI-00867</v>
      </c>
      <c r="I390" s="145" t="str">
        <f t="shared" si="16"/>
        <v>a1O1R000006c5kfUAA</v>
      </c>
      <c r="J390" s="146" t="s">
        <v>6484</v>
      </c>
      <c r="K390" s="146" t="s">
        <v>6485</v>
      </c>
      <c r="L390" s="146" t="s">
        <v>6486</v>
      </c>
      <c r="M390" s="145" t="s">
        <v>2878</v>
      </c>
    </row>
    <row r="391" spans="1:13" s="9" customFormat="1" x14ac:dyDescent="0.25">
      <c r="A391" s="145" t="s">
        <v>6447</v>
      </c>
      <c r="B391" s="145" t="s">
        <v>6589</v>
      </c>
      <c r="C391" s="145" t="str">
        <f>CHOOSE(Translations!$C$1+1,J391,K391,L391,)</f>
        <v>Adolescentes et jeunes femmes dans des contextes à forte prévalence</v>
      </c>
      <c r="D391" s="145"/>
      <c r="E391" s="145" t="s">
        <v>3377</v>
      </c>
      <c r="F391" s="146" t="s">
        <v>6590</v>
      </c>
      <c r="G391" s="145" t="str">
        <f t="shared" si="14"/>
        <v>MCI-00683|Adolescentes et jeunes femmes dans des contextes à forte prévalence</v>
      </c>
      <c r="H391" s="145" t="str">
        <f t="shared" si="15"/>
        <v>MCI-00683|MCI-00869</v>
      </c>
      <c r="I391" s="145" t="str">
        <f t="shared" si="16"/>
        <v>a1O1R000006c5khUAA</v>
      </c>
      <c r="J391" s="146" t="s">
        <v>6484</v>
      </c>
      <c r="K391" s="146" t="s">
        <v>6485</v>
      </c>
      <c r="L391" s="146" t="s">
        <v>6486</v>
      </c>
      <c r="M391" s="145" t="s">
        <v>2878</v>
      </c>
    </row>
    <row r="392" spans="1:13" s="9" customFormat="1" x14ac:dyDescent="0.25">
      <c r="A392" s="145" t="s">
        <v>6447</v>
      </c>
      <c r="B392" s="145" t="s">
        <v>6591</v>
      </c>
      <c r="C392" s="145" t="str">
        <f>CHOOSE(Translations!$C$1+1,J392,K392,L392,)</f>
        <v>Adolescentes et jeunes femmes dans des contextes à forte prévalence</v>
      </c>
      <c r="D392" s="145"/>
      <c r="E392" s="145" t="s">
        <v>3437</v>
      </c>
      <c r="F392" s="146" t="s">
        <v>6592</v>
      </c>
      <c r="G392" s="145" t="str">
        <f t="shared" si="14"/>
        <v>MCI-00684|Adolescentes et jeunes femmes dans des contextes à forte prévalence</v>
      </c>
      <c r="H392" s="145" t="str">
        <f t="shared" si="15"/>
        <v>MCI-00684|MCI-00871</v>
      </c>
      <c r="I392" s="145" t="str">
        <f t="shared" si="16"/>
        <v>a1O1R000006c5kjUAA</v>
      </c>
      <c r="J392" s="146" t="s">
        <v>6484</v>
      </c>
      <c r="K392" s="146" t="s">
        <v>6485</v>
      </c>
      <c r="L392" s="146" t="s">
        <v>6486</v>
      </c>
      <c r="M392" s="145" t="s">
        <v>2878</v>
      </c>
    </row>
    <row r="393" spans="1:13" s="9" customFormat="1" x14ac:dyDescent="0.25">
      <c r="A393" s="145" t="s">
        <v>6447</v>
      </c>
      <c r="B393" s="145" t="s">
        <v>6593</v>
      </c>
      <c r="C393" s="145" t="str">
        <f>CHOOSE(Translations!$C$1+1,J393,K393,L393,)</f>
        <v>Adolescentes et jeunes femmes dans des contextes à forte prévalence</v>
      </c>
      <c r="D393" s="145"/>
      <c r="E393" s="145" t="s">
        <v>3387</v>
      </c>
      <c r="F393" s="146" t="s">
        <v>6594</v>
      </c>
      <c r="G393" s="145" t="str">
        <f t="shared" si="14"/>
        <v>MCI-00685|Adolescentes et jeunes femmes dans des contextes à forte prévalence</v>
      </c>
      <c r="H393" s="145" t="str">
        <f t="shared" si="15"/>
        <v>MCI-00685|MCI-00872</v>
      </c>
      <c r="I393" s="145" t="str">
        <f t="shared" si="16"/>
        <v>a1O1R000006c5kkUAA</v>
      </c>
      <c r="J393" s="146" t="s">
        <v>6484</v>
      </c>
      <c r="K393" s="146" t="s">
        <v>6485</v>
      </c>
      <c r="L393" s="146" t="s">
        <v>6486</v>
      </c>
      <c r="M393" s="145" t="s">
        <v>2878</v>
      </c>
    </row>
    <row r="394" spans="1:13" s="9" customFormat="1" x14ac:dyDescent="0.25">
      <c r="A394" s="145" t="s">
        <v>6447</v>
      </c>
      <c r="B394" s="145" t="s">
        <v>6595</v>
      </c>
      <c r="C394" s="145" t="str">
        <f>CHOOSE(Translations!$C$1+1,J394,K394,L394,)</f>
        <v>Hommes dans des contextes à forte prévalence</v>
      </c>
      <c r="D394" s="145"/>
      <c r="E394" s="145" t="s">
        <v>3442</v>
      </c>
      <c r="F394" s="146" t="s">
        <v>6596</v>
      </c>
      <c r="G394" s="145" t="str">
        <f t="shared" si="14"/>
        <v>MCI-00686|Hommes dans des contextes à forte prévalence</v>
      </c>
      <c r="H394" s="145" t="str">
        <f t="shared" si="15"/>
        <v>MCI-00686|MCI-00873</v>
      </c>
      <c r="I394" s="145" t="str">
        <f t="shared" si="16"/>
        <v>a1O1R000006c5klUAA</v>
      </c>
      <c r="J394" s="146" t="s">
        <v>6450</v>
      </c>
      <c r="K394" s="146" t="s">
        <v>6451</v>
      </c>
      <c r="L394" s="146" t="s">
        <v>6452</v>
      </c>
      <c r="M394" s="145" t="s">
        <v>2878</v>
      </c>
    </row>
    <row r="395" spans="1:13" s="9" customFormat="1" x14ac:dyDescent="0.25">
      <c r="A395" s="145" t="s">
        <v>6447</v>
      </c>
      <c r="B395" s="145" t="s">
        <v>6597</v>
      </c>
      <c r="C395" s="145" t="str">
        <f>CHOOSE(Translations!$C$1+1,J395,K395,L395,)</f>
        <v>Groupes de population non spécifiés</v>
      </c>
      <c r="D395" s="145"/>
      <c r="E395" s="145" t="s">
        <v>3402</v>
      </c>
      <c r="F395" s="146" t="s">
        <v>6598</v>
      </c>
      <c r="G395" s="145" t="str">
        <f t="shared" si="14"/>
        <v>MCI-00687|Groupes de population non spécifiés</v>
      </c>
      <c r="H395" s="145" t="str">
        <f t="shared" si="15"/>
        <v>MCI-00687|MCI-00878</v>
      </c>
      <c r="I395" s="145" t="str">
        <f t="shared" si="16"/>
        <v>a1O1R000006c5kqUAA</v>
      </c>
      <c r="J395" s="146" t="s">
        <v>6599</v>
      </c>
      <c r="K395" s="146" t="s">
        <v>6600</v>
      </c>
      <c r="L395" s="146" t="s">
        <v>6601</v>
      </c>
      <c r="M395" s="145" t="s">
        <v>2878</v>
      </c>
    </row>
    <row r="396" spans="1:13" s="9" customFormat="1" x14ac:dyDescent="0.25">
      <c r="A396" s="145" t="s">
        <v>6447</v>
      </c>
      <c r="B396" s="145" t="s">
        <v>6602</v>
      </c>
      <c r="C396" s="145" t="str">
        <f>CHOOSE(Translations!$C$1+1,J396,K396,L396,)</f>
        <v>Groupes de population non spécifiés</v>
      </c>
      <c r="D396" s="145"/>
      <c r="E396" s="145" t="s">
        <v>3397</v>
      </c>
      <c r="F396" s="146" t="s">
        <v>6603</v>
      </c>
      <c r="G396" s="145" t="str">
        <f t="shared" ref="G396:G459" si="17">E396&amp;"|"&amp;C396</f>
        <v>MCI-00688|Groupes de population non spécifiés</v>
      </c>
      <c r="H396" s="145" t="str">
        <f t="shared" ref="H396:H459" si="18">E396&amp;"|"&amp;F396</f>
        <v>MCI-00688|MCI-00879</v>
      </c>
      <c r="I396" s="145" t="str">
        <f t="shared" ref="I396:I459" si="19">B396</f>
        <v>a1O1R000006c5krUAA</v>
      </c>
      <c r="J396" s="146" t="s">
        <v>6599</v>
      </c>
      <c r="K396" s="146" t="s">
        <v>6600</v>
      </c>
      <c r="L396" s="146" t="s">
        <v>6601</v>
      </c>
      <c r="M396" s="145" t="s">
        <v>2878</v>
      </c>
    </row>
    <row r="397" spans="1:13" s="9" customFormat="1" x14ac:dyDescent="0.25">
      <c r="A397" s="145" t="s">
        <v>6447</v>
      </c>
      <c r="B397" s="145" t="s">
        <v>6604</v>
      </c>
      <c r="C397" s="145" t="str">
        <f>CHOOSE(Translations!$C$1+1,J397,K397,L397,)</f>
        <v>Non applicable</v>
      </c>
      <c r="D397" s="145"/>
      <c r="E397" s="145" t="s">
        <v>3447</v>
      </c>
      <c r="F397" s="146" t="s">
        <v>6605</v>
      </c>
      <c r="G397" s="145" t="str">
        <f t="shared" si="17"/>
        <v>MCI-00689|Non applicable</v>
      </c>
      <c r="H397" s="145" t="str">
        <f t="shared" si="18"/>
        <v>MCI-00689|MCI-00880</v>
      </c>
      <c r="I397" s="145" t="str">
        <f t="shared" si="19"/>
        <v>a1O1R000006c5ksUAA</v>
      </c>
      <c r="J397" s="146" t="s">
        <v>372</v>
      </c>
      <c r="K397" s="146" t="s">
        <v>765</v>
      </c>
      <c r="L397" s="146" t="s">
        <v>1283</v>
      </c>
      <c r="M397" s="145" t="s">
        <v>2878</v>
      </c>
    </row>
    <row r="398" spans="1:13" s="9" customFormat="1" x14ac:dyDescent="0.25">
      <c r="A398" s="145" t="s">
        <v>6447</v>
      </c>
      <c r="B398" s="145" t="s">
        <v>6606</v>
      </c>
      <c r="C398" s="145" t="str">
        <f>CHOOSE(Translations!$C$1+1,J398,K398,L398,)</f>
        <v>Non applicable</v>
      </c>
      <c r="D398" s="145"/>
      <c r="E398" s="145" t="s">
        <v>3452</v>
      </c>
      <c r="F398" s="146" t="s">
        <v>6607</v>
      </c>
      <c r="G398" s="145" t="str">
        <f t="shared" si="17"/>
        <v>MCI-00690|Non applicable</v>
      </c>
      <c r="H398" s="145" t="str">
        <f t="shared" si="18"/>
        <v>MCI-00690|MCI-00881</v>
      </c>
      <c r="I398" s="145" t="str">
        <f t="shared" si="19"/>
        <v>a1O1R000006c5ktUAA</v>
      </c>
      <c r="J398" s="146" t="s">
        <v>372</v>
      </c>
      <c r="K398" s="146" t="s">
        <v>765</v>
      </c>
      <c r="L398" s="146" t="s">
        <v>1283</v>
      </c>
      <c r="M398" s="145" t="s">
        <v>2878</v>
      </c>
    </row>
    <row r="399" spans="1:13" s="9" customFormat="1" x14ac:dyDescent="0.25">
      <c r="A399" s="145" t="s">
        <v>6447</v>
      </c>
      <c r="B399" s="145" t="s">
        <v>6608</v>
      </c>
      <c r="C399" s="145" t="str">
        <f>CHOOSE(Translations!$C$1+1,J399,K399,L399,)</f>
        <v>Non applicable</v>
      </c>
      <c r="D399" s="145"/>
      <c r="E399" s="145" t="s">
        <v>3457</v>
      </c>
      <c r="F399" s="146" t="s">
        <v>6609</v>
      </c>
      <c r="G399" s="145" t="str">
        <f t="shared" si="17"/>
        <v>MCI-00691|Non applicable</v>
      </c>
      <c r="H399" s="145" t="str">
        <f t="shared" si="18"/>
        <v>MCI-00691|MCI-00882</v>
      </c>
      <c r="I399" s="145" t="str">
        <f t="shared" si="19"/>
        <v>a1O1R000006c5kuUAA</v>
      </c>
      <c r="J399" s="146" t="s">
        <v>372</v>
      </c>
      <c r="K399" s="146" t="s">
        <v>765</v>
      </c>
      <c r="L399" s="146" t="s">
        <v>1283</v>
      </c>
      <c r="M399" s="145" t="s">
        <v>2878</v>
      </c>
    </row>
    <row r="400" spans="1:13" s="9" customFormat="1" x14ac:dyDescent="0.25">
      <c r="A400" s="145" t="s">
        <v>6447</v>
      </c>
      <c r="B400" s="145" t="s">
        <v>6610</v>
      </c>
      <c r="C400" s="145" t="str">
        <f>CHOOSE(Translations!$C$1+1,J400,K400,L400,)</f>
        <v>Non applicable</v>
      </c>
      <c r="D400" s="145"/>
      <c r="E400" s="145" t="s">
        <v>3462</v>
      </c>
      <c r="F400" s="146" t="s">
        <v>6611</v>
      </c>
      <c r="G400" s="145" t="str">
        <f t="shared" si="17"/>
        <v>MCI-00692|Non applicable</v>
      </c>
      <c r="H400" s="145" t="str">
        <f t="shared" si="18"/>
        <v>MCI-00692|MCI-00883</v>
      </c>
      <c r="I400" s="145" t="str">
        <f t="shared" si="19"/>
        <v>a1O1R000006c5kvUAA</v>
      </c>
      <c r="J400" s="146" t="s">
        <v>372</v>
      </c>
      <c r="K400" s="146" t="s">
        <v>765</v>
      </c>
      <c r="L400" s="146" t="s">
        <v>1283</v>
      </c>
      <c r="M400" s="145" t="s">
        <v>2878</v>
      </c>
    </row>
    <row r="401" spans="1:13" s="9" customFormat="1" x14ac:dyDescent="0.25">
      <c r="A401" s="145" t="s">
        <v>6447</v>
      </c>
      <c r="B401" s="145" t="s">
        <v>6612</v>
      </c>
      <c r="C401" s="145" t="str">
        <f>CHOOSE(Translations!$C$1+1,J401,K401,L401,)</f>
        <v>Professionnels du sexe et leurs clients</v>
      </c>
      <c r="D401" s="145"/>
      <c r="E401" s="145" t="s">
        <v>3472</v>
      </c>
      <c r="F401" s="146" t="s">
        <v>6613</v>
      </c>
      <c r="G401" s="145" t="str">
        <f t="shared" si="17"/>
        <v>MCI-00693|Professionnels du sexe et leurs clients</v>
      </c>
      <c r="H401" s="145" t="str">
        <f t="shared" si="18"/>
        <v>MCI-00693|MCI-00887</v>
      </c>
      <c r="I401" s="145" t="str">
        <f t="shared" si="19"/>
        <v>a1O1R000006c5kzUAA</v>
      </c>
      <c r="J401" s="146" t="s">
        <v>6459</v>
      </c>
      <c r="K401" s="146" t="s">
        <v>6460</v>
      </c>
      <c r="L401" s="146" t="s">
        <v>6461</v>
      </c>
      <c r="M401" s="145" t="s">
        <v>2878</v>
      </c>
    </row>
    <row r="402" spans="1:13" s="9" customFormat="1" x14ac:dyDescent="0.25">
      <c r="A402" s="145" t="s">
        <v>6447</v>
      </c>
      <c r="B402" s="145" t="s">
        <v>6614</v>
      </c>
      <c r="C402" s="145" t="str">
        <f>CHOOSE(Translations!$C$1+1,J402,K402,L402,)</f>
        <v>Hommes ayant des rapports sexuels avec des hommes</v>
      </c>
      <c r="D402" s="145"/>
      <c r="E402" s="145" t="s">
        <v>3472</v>
      </c>
      <c r="F402" s="146" t="s">
        <v>6615</v>
      </c>
      <c r="G402" s="145" t="str">
        <f t="shared" si="17"/>
        <v>MCI-00693|Hommes ayant des rapports sexuels avec des hommes</v>
      </c>
      <c r="H402" s="145" t="str">
        <f t="shared" si="18"/>
        <v>MCI-00693|MCI-00884</v>
      </c>
      <c r="I402" s="145" t="str">
        <f t="shared" si="19"/>
        <v>a1O1R000006c5kwUAA</v>
      </c>
      <c r="J402" s="146" t="s">
        <v>6455</v>
      </c>
      <c r="K402" s="146" t="s">
        <v>6456</v>
      </c>
      <c r="L402" s="146" t="s">
        <v>1956</v>
      </c>
      <c r="M402" s="145" t="s">
        <v>2878</v>
      </c>
    </row>
    <row r="403" spans="1:13" s="9" customFormat="1" x14ac:dyDescent="0.25">
      <c r="A403" s="145" t="s">
        <v>6447</v>
      </c>
      <c r="B403" s="145" t="s">
        <v>6616</v>
      </c>
      <c r="C403" s="145" t="str">
        <f>CHOOSE(Translations!$C$1+1,J403,K403,L403,)</f>
        <v>Personnes transgenres</v>
      </c>
      <c r="D403" s="145"/>
      <c r="E403" s="145" t="s">
        <v>3472</v>
      </c>
      <c r="F403" s="146" t="s">
        <v>6617</v>
      </c>
      <c r="G403" s="145" t="str">
        <f t="shared" si="17"/>
        <v>MCI-00693|Personnes transgenres</v>
      </c>
      <c r="H403" s="145" t="str">
        <f t="shared" si="18"/>
        <v>MCI-00693|MCI-00890</v>
      </c>
      <c r="I403" s="145" t="str">
        <f t="shared" si="19"/>
        <v>a1O1R000006c5l2UAA</v>
      </c>
      <c r="J403" s="146" t="s">
        <v>6464</v>
      </c>
      <c r="K403" s="146" t="s">
        <v>6465</v>
      </c>
      <c r="L403" s="146" t="s">
        <v>6466</v>
      </c>
      <c r="M403" s="145" t="s">
        <v>2878</v>
      </c>
    </row>
    <row r="404" spans="1:13" s="9" customFormat="1" x14ac:dyDescent="0.25">
      <c r="A404" s="145" t="s">
        <v>6447</v>
      </c>
      <c r="B404" s="145" t="s">
        <v>6618</v>
      </c>
      <c r="C404" s="145" t="str">
        <f>CHOOSE(Translations!$C$1+1,J404,K404,L404,)</f>
        <v>Personnes qui s’injectent des drogues et leurs partenaires</v>
      </c>
      <c r="D404" s="145"/>
      <c r="E404" s="145" t="s">
        <v>3472</v>
      </c>
      <c r="F404" s="146" t="s">
        <v>6619</v>
      </c>
      <c r="G404" s="145" t="str">
        <f t="shared" si="17"/>
        <v>MCI-00693|Personnes qui s’injectent des drogues et leurs partenaires</v>
      </c>
      <c r="H404" s="145" t="str">
        <f t="shared" si="18"/>
        <v>MCI-00693|MCI-00893</v>
      </c>
      <c r="I404" s="145" t="str">
        <f t="shared" si="19"/>
        <v>a1O1R000006c5l5UAA</v>
      </c>
      <c r="J404" s="146" t="s">
        <v>6469</v>
      </c>
      <c r="K404" s="146" t="s">
        <v>6470</v>
      </c>
      <c r="L404" s="146" t="s">
        <v>6471</v>
      </c>
      <c r="M404" s="145" t="s">
        <v>2878</v>
      </c>
    </row>
    <row r="405" spans="1:13" s="9" customFormat="1" x14ac:dyDescent="0.25">
      <c r="A405" s="145" t="s">
        <v>6447</v>
      </c>
      <c r="B405" s="145" t="s">
        <v>6620</v>
      </c>
      <c r="C405" s="145" t="str">
        <f>CHOOSE(Translations!$C$1+1,J405,K405,L405,)</f>
        <v>Autres populations vulnérables</v>
      </c>
      <c r="D405" s="145"/>
      <c r="E405" s="145" t="s">
        <v>3472</v>
      </c>
      <c r="F405" s="146" t="s">
        <v>6621</v>
      </c>
      <c r="G405" s="145" t="str">
        <f t="shared" si="17"/>
        <v>MCI-00693|Autres populations vulnérables</v>
      </c>
      <c r="H405" s="145" t="str">
        <f t="shared" si="18"/>
        <v>MCI-00693|MCI-00898</v>
      </c>
      <c r="I405" s="145" t="str">
        <f t="shared" si="19"/>
        <v>a1O1R000006c5lAUAQ</v>
      </c>
      <c r="J405" s="146" t="s">
        <v>6479</v>
      </c>
      <c r="K405" s="146" t="s">
        <v>6480</v>
      </c>
      <c r="L405" s="146" t="s">
        <v>6481</v>
      </c>
      <c r="M405" s="145" t="s">
        <v>2878</v>
      </c>
    </row>
    <row r="406" spans="1:13" s="9" customFormat="1" x14ac:dyDescent="0.25">
      <c r="A406" s="145" t="s">
        <v>6447</v>
      </c>
      <c r="B406" s="145" t="s">
        <v>6622</v>
      </c>
      <c r="C406" s="145" t="str">
        <f>CHOOSE(Translations!$C$1+1,J406,K406,L406,)</f>
        <v>Adolescentes et jeunes femmes dans des contextes à forte prévalence</v>
      </c>
      <c r="D406" s="145"/>
      <c r="E406" s="145" t="s">
        <v>3472</v>
      </c>
      <c r="F406" s="146" t="s">
        <v>6623</v>
      </c>
      <c r="G406" s="145" t="str">
        <f t="shared" si="17"/>
        <v>MCI-00693|Adolescentes et jeunes femmes dans des contextes à forte prévalence</v>
      </c>
      <c r="H406" s="145" t="str">
        <f t="shared" si="18"/>
        <v>MCI-00693|MCI-00901</v>
      </c>
      <c r="I406" s="145" t="str">
        <f t="shared" si="19"/>
        <v>a1O1R000006c5lDUAQ</v>
      </c>
      <c r="J406" s="146" t="s">
        <v>6484</v>
      </c>
      <c r="K406" s="146" t="s">
        <v>6485</v>
      </c>
      <c r="L406" s="146" t="s">
        <v>6486</v>
      </c>
      <c r="M406" s="145" t="s">
        <v>2878</v>
      </c>
    </row>
    <row r="407" spans="1:13" s="9" customFormat="1" x14ac:dyDescent="0.25">
      <c r="A407" s="145" t="s">
        <v>6447</v>
      </c>
      <c r="B407" s="145" t="s">
        <v>6624</v>
      </c>
      <c r="C407" s="145" t="str">
        <f>CHOOSE(Translations!$C$1+1,J407,K407,L407,)</f>
        <v>Hommes dans des contextes à forte prévalence</v>
      </c>
      <c r="D407" s="145"/>
      <c r="E407" s="145" t="s">
        <v>3472</v>
      </c>
      <c r="F407" s="146" t="s">
        <v>6625</v>
      </c>
      <c r="G407" s="145" t="str">
        <f t="shared" si="17"/>
        <v>MCI-00693|Hommes dans des contextes à forte prévalence</v>
      </c>
      <c r="H407" s="145" t="str">
        <f t="shared" si="18"/>
        <v>MCI-00693|MCI-00904</v>
      </c>
      <c r="I407" s="145" t="str">
        <f t="shared" si="19"/>
        <v>a1O1R000006c5lGUAQ</v>
      </c>
      <c r="J407" s="146" t="s">
        <v>6450</v>
      </c>
      <c r="K407" s="146" t="s">
        <v>6451</v>
      </c>
      <c r="L407" s="146" t="s">
        <v>6452</v>
      </c>
      <c r="M407" s="145" t="s">
        <v>2878</v>
      </c>
    </row>
    <row r="408" spans="1:13" s="9" customFormat="1" x14ac:dyDescent="0.25">
      <c r="A408" s="145" t="s">
        <v>6447</v>
      </c>
      <c r="B408" s="145" t="s">
        <v>6626</v>
      </c>
      <c r="C408" s="145" t="str">
        <f>CHOOSE(Translations!$C$1+1,J408,K408,L408,)</f>
        <v>Groupes de population non spécifiés</v>
      </c>
      <c r="D408" s="145"/>
      <c r="E408" s="145" t="s">
        <v>3472</v>
      </c>
      <c r="F408" s="146" t="s">
        <v>6627</v>
      </c>
      <c r="G408" s="145" t="str">
        <f t="shared" si="17"/>
        <v>MCI-00693|Groupes de population non spécifiés</v>
      </c>
      <c r="H408" s="145" t="str">
        <f t="shared" si="18"/>
        <v>MCI-00693|MCI-00907</v>
      </c>
      <c r="I408" s="145" t="str">
        <f t="shared" si="19"/>
        <v>a1O1R000006c5lJUAQ</v>
      </c>
      <c r="J408" s="146" t="s">
        <v>6599</v>
      </c>
      <c r="K408" s="146" t="s">
        <v>6600</v>
      </c>
      <c r="L408" s="146" t="s">
        <v>6601</v>
      </c>
      <c r="M408" s="145" t="s">
        <v>2878</v>
      </c>
    </row>
    <row r="409" spans="1:13" s="9" customFormat="1" x14ac:dyDescent="0.25">
      <c r="A409" s="145" t="s">
        <v>6447</v>
      </c>
      <c r="B409" s="145" t="s">
        <v>6628</v>
      </c>
      <c r="C409" s="145" t="str">
        <f>CHOOSE(Translations!$C$1+1,J409,K409,L409,)</f>
        <v>Partenaires de personnes vivant avec le VIH</v>
      </c>
      <c r="D409" s="145"/>
      <c r="E409" s="145" t="s">
        <v>3472</v>
      </c>
      <c r="F409" s="146" t="s">
        <v>6629</v>
      </c>
      <c r="G409" s="145" t="str">
        <f t="shared" si="17"/>
        <v>MCI-00693|Partenaires de personnes vivant avec le VIH</v>
      </c>
      <c r="H409" s="145" t="str">
        <f t="shared" si="18"/>
        <v>MCI-00693|MCI-00910</v>
      </c>
      <c r="I409" s="145" t="str">
        <f t="shared" si="19"/>
        <v>a1O1R000006c5lMUAQ</v>
      </c>
      <c r="J409" s="146" t="s">
        <v>6630</v>
      </c>
      <c r="K409" s="146" t="s">
        <v>6631</v>
      </c>
      <c r="L409" s="146" t="s">
        <v>6632</v>
      </c>
      <c r="M409" s="145" t="s">
        <v>2878</v>
      </c>
    </row>
    <row r="410" spans="1:13" s="9" customFormat="1" x14ac:dyDescent="0.25">
      <c r="A410" s="145" t="s">
        <v>6447</v>
      </c>
      <c r="B410" s="145" t="s">
        <v>6633</v>
      </c>
      <c r="C410" s="145" t="str">
        <f>CHOOSE(Translations!$C$1+1,J410,K410,L410,)</f>
        <v>Hommes ayant des rapports sexuels avec des hommes</v>
      </c>
      <c r="D410" s="145"/>
      <c r="E410" s="145" t="s">
        <v>3467</v>
      </c>
      <c r="F410" s="146" t="s">
        <v>6634</v>
      </c>
      <c r="G410" s="145" t="str">
        <f t="shared" si="17"/>
        <v>MCI-00694|Hommes ayant des rapports sexuels avec des hommes</v>
      </c>
      <c r="H410" s="145" t="str">
        <f t="shared" si="18"/>
        <v>MCI-00694|MCI-00885</v>
      </c>
      <c r="I410" s="145" t="str">
        <f t="shared" si="19"/>
        <v>a1O1R000006c5kxUAA</v>
      </c>
      <c r="J410" s="146" t="s">
        <v>6455</v>
      </c>
      <c r="K410" s="146" t="s">
        <v>6456</v>
      </c>
      <c r="L410" s="146" t="s">
        <v>1956</v>
      </c>
      <c r="M410" s="145" t="s">
        <v>2878</v>
      </c>
    </row>
    <row r="411" spans="1:13" s="9" customFormat="1" x14ac:dyDescent="0.25">
      <c r="A411" s="145" t="s">
        <v>6447</v>
      </c>
      <c r="B411" s="145" t="s">
        <v>6635</v>
      </c>
      <c r="C411" s="145" t="str">
        <f>CHOOSE(Translations!$C$1+1,J411,K411,L411,)</f>
        <v>Professionnels du sexe et leurs clients</v>
      </c>
      <c r="D411" s="145"/>
      <c r="E411" s="145" t="s">
        <v>3467</v>
      </c>
      <c r="F411" s="146" t="s">
        <v>6636</v>
      </c>
      <c r="G411" s="145" t="str">
        <f t="shared" si="17"/>
        <v>MCI-00694|Professionnels du sexe et leurs clients</v>
      </c>
      <c r="H411" s="145" t="str">
        <f t="shared" si="18"/>
        <v>MCI-00694|MCI-00888</v>
      </c>
      <c r="I411" s="145" t="str">
        <f t="shared" si="19"/>
        <v>a1O1R000006c5l0UAA</v>
      </c>
      <c r="J411" s="146" t="s">
        <v>6459</v>
      </c>
      <c r="K411" s="146" t="s">
        <v>6460</v>
      </c>
      <c r="L411" s="146" t="s">
        <v>6461</v>
      </c>
      <c r="M411" s="145" t="s">
        <v>2878</v>
      </c>
    </row>
    <row r="412" spans="1:13" s="9" customFormat="1" x14ac:dyDescent="0.25">
      <c r="A412" s="145" t="s">
        <v>6447</v>
      </c>
      <c r="B412" s="145" t="s">
        <v>6637</v>
      </c>
      <c r="C412" s="145" t="str">
        <f>CHOOSE(Translations!$C$1+1,J412,K412,L412,)</f>
        <v>Personnes transgenres</v>
      </c>
      <c r="D412" s="145"/>
      <c r="E412" s="145" t="s">
        <v>3467</v>
      </c>
      <c r="F412" s="146" t="s">
        <v>6638</v>
      </c>
      <c r="G412" s="145" t="str">
        <f t="shared" si="17"/>
        <v>MCI-00694|Personnes transgenres</v>
      </c>
      <c r="H412" s="145" t="str">
        <f t="shared" si="18"/>
        <v>MCI-00694|MCI-00891</v>
      </c>
      <c r="I412" s="145" t="str">
        <f t="shared" si="19"/>
        <v>a1O1R000006c5l3UAA</v>
      </c>
      <c r="J412" s="146" t="s">
        <v>6464</v>
      </c>
      <c r="K412" s="146" t="s">
        <v>6465</v>
      </c>
      <c r="L412" s="146" t="s">
        <v>6466</v>
      </c>
      <c r="M412" s="145" t="s">
        <v>2878</v>
      </c>
    </row>
    <row r="413" spans="1:13" s="9" customFormat="1" x14ac:dyDescent="0.25">
      <c r="A413" s="145" t="s">
        <v>6447</v>
      </c>
      <c r="B413" s="145" t="s">
        <v>6639</v>
      </c>
      <c r="C413" s="145" t="str">
        <f>CHOOSE(Translations!$C$1+1,J413,K413,L413,)</f>
        <v>Personnes qui s’injectent des drogues et leurs partenaires</v>
      </c>
      <c r="D413" s="145"/>
      <c r="E413" s="145" t="s">
        <v>3467</v>
      </c>
      <c r="F413" s="146" t="s">
        <v>6640</v>
      </c>
      <c r="G413" s="145" t="str">
        <f t="shared" si="17"/>
        <v>MCI-00694|Personnes qui s’injectent des drogues et leurs partenaires</v>
      </c>
      <c r="H413" s="145" t="str">
        <f t="shared" si="18"/>
        <v>MCI-00694|MCI-00894</v>
      </c>
      <c r="I413" s="145" t="str">
        <f t="shared" si="19"/>
        <v>a1O1R000006c5l6UAA</v>
      </c>
      <c r="J413" s="146" t="s">
        <v>6469</v>
      </c>
      <c r="K413" s="146" t="s">
        <v>6470</v>
      </c>
      <c r="L413" s="146" t="s">
        <v>6471</v>
      </c>
      <c r="M413" s="145" t="s">
        <v>2878</v>
      </c>
    </row>
    <row r="414" spans="1:13" s="9" customFormat="1" x14ac:dyDescent="0.25">
      <c r="A414" s="145" t="s">
        <v>6447</v>
      </c>
      <c r="B414" s="145" t="s">
        <v>6641</v>
      </c>
      <c r="C414" s="145" t="str">
        <f>CHOOSE(Translations!$C$1+1,J414,K414,L414,)</f>
        <v>Personnes en détention ou se trouvant dans d’autres lieux fermés</v>
      </c>
      <c r="D414" s="145"/>
      <c r="E414" s="145" t="s">
        <v>3467</v>
      </c>
      <c r="F414" s="146" t="s">
        <v>6642</v>
      </c>
      <c r="G414" s="145" t="str">
        <f t="shared" si="17"/>
        <v>MCI-00694|Personnes en détention ou se trouvant dans d’autres lieux fermés</v>
      </c>
      <c r="H414" s="145" t="str">
        <f t="shared" si="18"/>
        <v>MCI-00694|MCI-00896</v>
      </c>
      <c r="I414" s="145" t="str">
        <f t="shared" si="19"/>
        <v>a1O1R000006c5l8UAA</v>
      </c>
      <c r="J414" s="146" t="s">
        <v>6474</v>
      </c>
      <c r="K414" s="146" t="s">
        <v>6475</v>
      </c>
      <c r="L414" s="146" t="s">
        <v>6476</v>
      </c>
      <c r="M414" s="145" t="s">
        <v>2878</v>
      </c>
    </row>
    <row r="415" spans="1:13" s="9" customFormat="1" x14ac:dyDescent="0.25">
      <c r="A415" s="145" t="s">
        <v>6447</v>
      </c>
      <c r="B415" s="145" t="s">
        <v>6643</v>
      </c>
      <c r="C415" s="145" t="str">
        <f>CHOOSE(Translations!$C$1+1,J415,K415,L415,)</f>
        <v>Autres populations vulnérables</v>
      </c>
      <c r="D415" s="145"/>
      <c r="E415" s="145" t="s">
        <v>3467</v>
      </c>
      <c r="F415" s="146" t="s">
        <v>6644</v>
      </c>
      <c r="G415" s="145" t="str">
        <f t="shared" si="17"/>
        <v>MCI-00694|Autres populations vulnérables</v>
      </c>
      <c r="H415" s="145" t="str">
        <f t="shared" si="18"/>
        <v>MCI-00694|MCI-00899</v>
      </c>
      <c r="I415" s="145" t="str">
        <f t="shared" si="19"/>
        <v>a1O1R000006c5lBUAQ</v>
      </c>
      <c r="J415" s="146" t="s">
        <v>6479</v>
      </c>
      <c r="K415" s="146" t="s">
        <v>6480</v>
      </c>
      <c r="L415" s="146" t="s">
        <v>6481</v>
      </c>
      <c r="M415" s="145" t="s">
        <v>2878</v>
      </c>
    </row>
    <row r="416" spans="1:13" s="9" customFormat="1" x14ac:dyDescent="0.25">
      <c r="A416" s="145" t="s">
        <v>6447</v>
      </c>
      <c r="B416" s="145" t="s">
        <v>6645</v>
      </c>
      <c r="C416" s="145" t="str">
        <f>CHOOSE(Translations!$C$1+1,J416,K416,L416,)</f>
        <v>Adolescentes et jeunes femmes dans des contextes à forte prévalence</v>
      </c>
      <c r="D416" s="145"/>
      <c r="E416" s="145" t="s">
        <v>3467</v>
      </c>
      <c r="F416" s="146" t="s">
        <v>6646</v>
      </c>
      <c r="G416" s="145" t="str">
        <f t="shared" si="17"/>
        <v>MCI-00694|Adolescentes et jeunes femmes dans des contextes à forte prévalence</v>
      </c>
      <c r="H416" s="145" t="str">
        <f t="shared" si="18"/>
        <v>MCI-00694|MCI-00902</v>
      </c>
      <c r="I416" s="145" t="str">
        <f t="shared" si="19"/>
        <v>a1O1R000006c5lEUAQ</v>
      </c>
      <c r="J416" s="146" t="s">
        <v>6484</v>
      </c>
      <c r="K416" s="146" t="s">
        <v>6485</v>
      </c>
      <c r="L416" s="146" t="s">
        <v>6486</v>
      </c>
      <c r="M416" s="145" t="s">
        <v>2878</v>
      </c>
    </row>
    <row r="417" spans="1:13" s="9" customFormat="1" x14ac:dyDescent="0.25">
      <c r="A417" s="145" t="s">
        <v>6447</v>
      </c>
      <c r="B417" s="145" t="s">
        <v>6647</v>
      </c>
      <c r="C417" s="145" t="str">
        <f>CHOOSE(Translations!$C$1+1,J417,K417,L417,)</f>
        <v>Hommes dans des contextes à forte prévalence</v>
      </c>
      <c r="D417" s="145"/>
      <c r="E417" s="145" t="s">
        <v>3467</v>
      </c>
      <c r="F417" s="146" t="s">
        <v>6648</v>
      </c>
      <c r="G417" s="145" t="str">
        <f t="shared" si="17"/>
        <v>MCI-00694|Hommes dans des contextes à forte prévalence</v>
      </c>
      <c r="H417" s="145" t="str">
        <f t="shared" si="18"/>
        <v>MCI-00694|MCI-00905</v>
      </c>
      <c r="I417" s="145" t="str">
        <f t="shared" si="19"/>
        <v>a1O1R000006c5lHUAQ</v>
      </c>
      <c r="J417" s="146" t="s">
        <v>6450</v>
      </c>
      <c r="K417" s="146" t="s">
        <v>6451</v>
      </c>
      <c r="L417" s="146" t="s">
        <v>6452</v>
      </c>
      <c r="M417" s="145" t="s">
        <v>2878</v>
      </c>
    </row>
    <row r="418" spans="1:13" s="9" customFormat="1" x14ac:dyDescent="0.25">
      <c r="A418" s="145" t="s">
        <v>6447</v>
      </c>
      <c r="B418" s="145" t="s">
        <v>6649</v>
      </c>
      <c r="C418" s="145" t="str">
        <f>CHOOSE(Translations!$C$1+1,J418,K418,L418,)</f>
        <v>Groupes de population non spécifiés</v>
      </c>
      <c r="D418" s="145"/>
      <c r="E418" s="145" t="s">
        <v>3467</v>
      </c>
      <c r="F418" s="146" t="s">
        <v>6650</v>
      </c>
      <c r="G418" s="145" t="str">
        <f t="shared" si="17"/>
        <v>MCI-00694|Groupes de population non spécifiés</v>
      </c>
      <c r="H418" s="145" t="str">
        <f t="shared" si="18"/>
        <v>MCI-00694|MCI-00908</v>
      </c>
      <c r="I418" s="145" t="str">
        <f t="shared" si="19"/>
        <v>a1O1R000006c5lKUAQ</v>
      </c>
      <c r="J418" s="146" t="s">
        <v>6599</v>
      </c>
      <c r="K418" s="146" t="s">
        <v>6600</v>
      </c>
      <c r="L418" s="146" t="s">
        <v>6601</v>
      </c>
      <c r="M418" s="145" t="s">
        <v>2878</v>
      </c>
    </row>
    <row r="419" spans="1:13" s="9" customFormat="1" x14ac:dyDescent="0.25">
      <c r="A419" s="145" t="s">
        <v>6447</v>
      </c>
      <c r="B419" s="145" t="s">
        <v>6651</v>
      </c>
      <c r="C419" s="145" t="str">
        <f>CHOOSE(Translations!$C$1+1,J419,K419,L419,)</f>
        <v>Partenaires de personnes vivant avec le VIH</v>
      </c>
      <c r="D419" s="145"/>
      <c r="E419" s="145" t="s">
        <v>3467</v>
      </c>
      <c r="F419" s="146" t="s">
        <v>6652</v>
      </c>
      <c r="G419" s="145" t="str">
        <f t="shared" si="17"/>
        <v>MCI-00694|Partenaires de personnes vivant avec le VIH</v>
      </c>
      <c r="H419" s="145" t="str">
        <f t="shared" si="18"/>
        <v>MCI-00694|MCI-00911</v>
      </c>
      <c r="I419" s="145" t="str">
        <f t="shared" si="19"/>
        <v>a1O1R000006c5lNUAQ</v>
      </c>
      <c r="J419" s="146" t="s">
        <v>6630</v>
      </c>
      <c r="K419" s="146" t="s">
        <v>6631</v>
      </c>
      <c r="L419" s="146" t="s">
        <v>6632</v>
      </c>
      <c r="M419" s="145" t="s">
        <v>2878</v>
      </c>
    </row>
    <row r="420" spans="1:13" s="9" customFormat="1" x14ac:dyDescent="0.25">
      <c r="A420" s="145" t="s">
        <v>6447</v>
      </c>
      <c r="B420" s="145" t="s">
        <v>6653</v>
      </c>
      <c r="C420" s="145" t="str">
        <f>CHOOSE(Translations!$C$1+1,J420,K420,L420,)</f>
        <v>Hommes ayant des rapports sexuels avec des hommes</v>
      </c>
      <c r="D420" s="145"/>
      <c r="E420" s="145" t="s">
        <v>3477</v>
      </c>
      <c r="F420" s="146" t="s">
        <v>6654</v>
      </c>
      <c r="G420" s="145" t="str">
        <f t="shared" si="17"/>
        <v>MCI-00695|Hommes ayant des rapports sexuels avec des hommes</v>
      </c>
      <c r="H420" s="145" t="str">
        <f t="shared" si="18"/>
        <v>MCI-00695|MCI-00886</v>
      </c>
      <c r="I420" s="145" t="str">
        <f t="shared" si="19"/>
        <v>a1O1R000006c5kyUAA</v>
      </c>
      <c r="J420" s="146" t="s">
        <v>6455</v>
      </c>
      <c r="K420" s="146" t="s">
        <v>6456</v>
      </c>
      <c r="L420" s="146" t="s">
        <v>1956</v>
      </c>
      <c r="M420" s="145" t="s">
        <v>2878</v>
      </c>
    </row>
    <row r="421" spans="1:13" s="9" customFormat="1" x14ac:dyDescent="0.25">
      <c r="A421" s="145" t="s">
        <v>6447</v>
      </c>
      <c r="B421" s="145" t="s">
        <v>6655</v>
      </c>
      <c r="C421" s="145" t="str">
        <f>CHOOSE(Translations!$C$1+1,J421,K421,L421,)</f>
        <v>Professionnels du sexe et leurs clients</v>
      </c>
      <c r="D421" s="145"/>
      <c r="E421" s="145" t="s">
        <v>3477</v>
      </c>
      <c r="F421" s="146" t="s">
        <v>6656</v>
      </c>
      <c r="G421" s="145" t="str">
        <f t="shared" si="17"/>
        <v>MCI-00695|Professionnels du sexe et leurs clients</v>
      </c>
      <c r="H421" s="145" t="str">
        <f t="shared" si="18"/>
        <v>MCI-00695|MCI-00889</v>
      </c>
      <c r="I421" s="145" t="str">
        <f t="shared" si="19"/>
        <v>a1O1R000006c5l1UAA</v>
      </c>
      <c r="J421" s="146" t="s">
        <v>6459</v>
      </c>
      <c r="K421" s="146" t="s">
        <v>6460</v>
      </c>
      <c r="L421" s="146" t="s">
        <v>6461</v>
      </c>
      <c r="M421" s="145" t="s">
        <v>2878</v>
      </c>
    </row>
    <row r="422" spans="1:13" s="9" customFormat="1" x14ac:dyDescent="0.25">
      <c r="A422" s="145" t="s">
        <v>6447</v>
      </c>
      <c r="B422" s="145" t="s">
        <v>6657</v>
      </c>
      <c r="C422" s="145" t="str">
        <f>CHOOSE(Translations!$C$1+1,J422,K422,L422,)</f>
        <v>Personnes transgenres</v>
      </c>
      <c r="D422" s="145"/>
      <c r="E422" s="145" t="s">
        <v>3477</v>
      </c>
      <c r="F422" s="146" t="s">
        <v>6658</v>
      </c>
      <c r="G422" s="145" t="str">
        <f t="shared" si="17"/>
        <v>MCI-00695|Personnes transgenres</v>
      </c>
      <c r="H422" s="145" t="str">
        <f t="shared" si="18"/>
        <v>MCI-00695|MCI-00892</v>
      </c>
      <c r="I422" s="145" t="str">
        <f t="shared" si="19"/>
        <v>a1O1R000006c5l4UAA</v>
      </c>
      <c r="J422" s="146" t="s">
        <v>6464</v>
      </c>
      <c r="K422" s="146" t="s">
        <v>6465</v>
      </c>
      <c r="L422" s="146" t="s">
        <v>6466</v>
      </c>
      <c r="M422" s="145" t="s">
        <v>2878</v>
      </c>
    </row>
    <row r="423" spans="1:13" s="9" customFormat="1" x14ac:dyDescent="0.25">
      <c r="A423" s="145" t="s">
        <v>6447</v>
      </c>
      <c r="B423" s="145" t="s">
        <v>6659</v>
      </c>
      <c r="C423" s="145" t="str">
        <f>CHOOSE(Translations!$C$1+1,J423,K423,L423,)</f>
        <v>Personnes qui s’injectent des drogues et leurs partenaires</v>
      </c>
      <c r="D423" s="145"/>
      <c r="E423" s="145" t="s">
        <v>3477</v>
      </c>
      <c r="F423" s="146" t="s">
        <v>6660</v>
      </c>
      <c r="G423" s="145" t="str">
        <f t="shared" si="17"/>
        <v>MCI-00695|Personnes qui s’injectent des drogues et leurs partenaires</v>
      </c>
      <c r="H423" s="145" t="str">
        <f t="shared" si="18"/>
        <v>MCI-00695|MCI-00895</v>
      </c>
      <c r="I423" s="145" t="str">
        <f t="shared" si="19"/>
        <v>a1O1R000006c5l7UAA</v>
      </c>
      <c r="J423" s="146" t="s">
        <v>6469</v>
      </c>
      <c r="K423" s="146" t="s">
        <v>6470</v>
      </c>
      <c r="L423" s="146" t="s">
        <v>6471</v>
      </c>
      <c r="M423" s="145" t="s">
        <v>2878</v>
      </c>
    </row>
    <row r="424" spans="1:13" s="9" customFormat="1" x14ac:dyDescent="0.25">
      <c r="A424" s="145" t="s">
        <v>6447</v>
      </c>
      <c r="B424" s="145" t="s">
        <v>6661</v>
      </c>
      <c r="C424" s="145" t="str">
        <f>CHOOSE(Translations!$C$1+1,J424,K424,L424,)</f>
        <v>Personnes en détention ou se trouvant dans d’autres lieux fermés</v>
      </c>
      <c r="D424" s="145"/>
      <c r="E424" s="145" t="s">
        <v>3477</v>
      </c>
      <c r="F424" s="146" t="s">
        <v>6662</v>
      </c>
      <c r="G424" s="145" t="str">
        <f t="shared" si="17"/>
        <v>MCI-00695|Personnes en détention ou se trouvant dans d’autres lieux fermés</v>
      </c>
      <c r="H424" s="145" t="str">
        <f t="shared" si="18"/>
        <v>MCI-00695|MCI-00897</v>
      </c>
      <c r="I424" s="145" t="str">
        <f t="shared" si="19"/>
        <v>a1O1R000006c5l9UAA</v>
      </c>
      <c r="J424" s="146" t="s">
        <v>6474</v>
      </c>
      <c r="K424" s="146" t="s">
        <v>6475</v>
      </c>
      <c r="L424" s="146" t="s">
        <v>6476</v>
      </c>
      <c r="M424" s="145" t="s">
        <v>2878</v>
      </c>
    </row>
    <row r="425" spans="1:13" s="9" customFormat="1" x14ac:dyDescent="0.25">
      <c r="A425" s="145" t="s">
        <v>6447</v>
      </c>
      <c r="B425" s="145" t="s">
        <v>6663</v>
      </c>
      <c r="C425" s="145" t="str">
        <f>CHOOSE(Translations!$C$1+1,J425,K425,L425,)</f>
        <v>Autres populations vulnérables</v>
      </c>
      <c r="D425" s="145"/>
      <c r="E425" s="145" t="s">
        <v>3477</v>
      </c>
      <c r="F425" s="146" t="s">
        <v>6664</v>
      </c>
      <c r="G425" s="145" t="str">
        <f t="shared" si="17"/>
        <v>MCI-00695|Autres populations vulnérables</v>
      </c>
      <c r="H425" s="145" t="str">
        <f t="shared" si="18"/>
        <v>MCI-00695|MCI-00900</v>
      </c>
      <c r="I425" s="145" t="str">
        <f t="shared" si="19"/>
        <v>a1O1R000006c5lCUAQ</v>
      </c>
      <c r="J425" s="146" t="s">
        <v>6479</v>
      </c>
      <c r="K425" s="146" t="s">
        <v>6480</v>
      </c>
      <c r="L425" s="146" t="s">
        <v>6481</v>
      </c>
      <c r="M425" s="145" t="s">
        <v>2878</v>
      </c>
    </row>
    <row r="426" spans="1:13" s="9" customFormat="1" x14ac:dyDescent="0.25">
      <c r="A426" s="145" t="s">
        <v>6447</v>
      </c>
      <c r="B426" s="145" t="s">
        <v>6665</v>
      </c>
      <c r="C426" s="145" t="str">
        <f>CHOOSE(Translations!$C$1+1,J426,K426,L426,)</f>
        <v>Adolescentes et jeunes femmes dans des contextes à forte prévalence</v>
      </c>
      <c r="D426" s="145"/>
      <c r="E426" s="145" t="s">
        <v>3477</v>
      </c>
      <c r="F426" s="146" t="s">
        <v>6666</v>
      </c>
      <c r="G426" s="145" t="str">
        <f t="shared" si="17"/>
        <v>MCI-00695|Adolescentes et jeunes femmes dans des contextes à forte prévalence</v>
      </c>
      <c r="H426" s="145" t="str">
        <f t="shared" si="18"/>
        <v>MCI-00695|MCI-00903</v>
      </c>
      <c r="I426" s="145" t="str">
        <f t="shared" si="19"/>
        <v>a1O1R000006c5lFUAQ</v>
      </c>
      <c r="J426" s="146" t="s">
        <v>6484</v>
      </c>
      <c r="K426" s="146" t="s">
        <v>6485</v>
      </c>
      <c r="L426" s="146" t="s">
        <v>6486</v>
      </c>
      <c r="M426" s="145" t="s">
        <v>2878</v>
      </c>
    </row>
    <row r="427" spans="1:13" s="9" customFormat="1" x14ac:dyDescent="0.25">
      <c r="A427" s="145" t="s">
        <v>6447</v>
      </c>
      <c r="B427" s="145" t="s">
        <v>6667</v>
      </c>
      <c r="C427" s="145" t="str">
        <f>CHOOSE(Translations!$C$1+1,J427,K427,L427,)</f>
        <v>Hommes dans des contextes à forte prévalence</v>
      </c>
      <c r="D427" s="145"/>
      <c r="E427" s="145" t="s">
        <v>3477</v>
      </c>
      <c r="F427" s="146" t="s">
        <v>6668</v>
      </c>
      <c r="G427" s="145" t="str">
        <f t="shared" si="17"/>
        <v>MCI-00695|Hommes dans des contextes à forte prévalence</v>
      </c>
      <c r="H427" s="145" t="str">
        <f t="shared" si="18"/>
        <v>MCI-00695|MCI-00906</v>
      </c>
      <c r="I427" s="145" t="str">
        <f t="shared" si="19"/>
        <v>a1O1R000006c5lIUAQ</v>
      </c>
      <c r="J427" s="146" t="s">
        <v>6450</v>
      </c>
      <c r="K427" s="146" t="s">
        <v>6451</v>
      </c>
      <c r="L427" s="146" t="s">
        <v>6452</v>
      </c>
      <c r="M427" s="145" t="s">
        <v>2878</v>
      </c>
    </row>
    <row r="428" spans="1:13" s="9" customFormat="1" x14ac:dyDescent="0.25">
      <c r="A428" s="145" t="s">
        <v>6447</v>
      </c>
      <c r="B428" s="145" t="s">
        <v>6669</v>
      </c>
      <c r="C428" s="145" t="str">
        <f>CHOOSE(Translations!$C$1+1,J428,K428,L428,)</f>
        <v>Groupes de population non spécifiés</v>
      </c>
      <c r="D428" s="145"/>
      <c r="E428" s="145" t="s">
        <v>3477</v>
      </c>
      <c r="F428" s="146" t="s">
        <v>6670</v>
      </c>
      <c r="G428" s="145" t="str">
        <f t="shared" si="17"/>
        <v>MCI-00695|Groupes de population non spécifiés</v>
      </c>
      <c r="H428" s="145" t="str">
        <f t="shared" si="18"/>
        <v>MCI-00695|MCI-00909</v>
      </c>
      <c r="I428" s="145" t="str">
        <f t="shared" si="19"/>
        <v>a1O1R000006c5lLUAQ</v>
      </c>
      <c r="J428" s="146" t="s">
        <v>6599</v>
      </c>
      <c r="K428" s="146" t="s">
        <v>6600</v>
      </c>
      <c r="L428" s="146" t="s">
        <v>6601</v>
      </c>
      <c r="M428" s="145" t="s">
        <v>2878</v>
      </c>
    </row>
    <row r="429" spans="1:13" s="9" customFormat="1" x14ac:dyDescent="0.25">
      <c r="A429" s="145" t="s">
        <v>6447</v>
      </c>
      <c r="B429" s="145" t="s">
        <v>6671</v>
      </c>
      <c r="C429" s="145" t="str">
        <f>CHOOSE(Translations!$C$1+1,J429,K429,L429,)</f>
        <v>Partenaires de personnes vivant avec le VIH</v>
      </c>
      <c r="D429" s="145"/>
      <c r="E429" s="145" t="s">
        <v>3477</v>
      </c>
      <c r="F429" s="146" t="s">
        <v>6672</v>
      </c>
      <c r="G429" s="145" t="str">
        <f t="shared" si="17"/>
        <v>MCI-00695|Partenaires de personnes vivant avec le VIH</v>
      </c>
      <c r="H429" s="145" t="str">
        <f t="shared" si="18"/>
        <v>MCI-00695|MCI-00912</v>
      </c>
      <c r="I429" s="145" t="str">
        <f t="shared" si="19"/>
        <v>a1O1R000006c5lOUAQ</v>
      </c>
      <c r="J429" s="146" t="s">
        <v>6630</v>
      </c>
      <c r="K429" s="146" t="s">
        <v>6631</v>
      </c>
      <c r="L429" s="146" t="s">
        <v>6632</v>
      </c>
      <c r="M429" s="145" t="s">
        <v>2878</v>
      </c>
    </row>
    <row r="430" spans="1:13" s="9" customFormat="1" x14ac:dyDescent="0.25">
      <c r="A430" s="145" t="s">
        <v>6447</v>
      </c>
      <c r="B430" s="145" t="s">
        <v>6673</v>
      </c>
      <c r="C430" s="145" t="str">
        <f>CHOOSE(Translations!$C$1+1,J430,K430,L430,)</f>
        <v>Toutes les personnes vivant avec le VIH</v>
      </c>
      <c r="D430" s="145"/>
      <c r="E430" s="145" t="s">
        <v>3487</v>
      </c>
      <c r="F430" s="146" t="s">
        <v>6674</v>
      </c>
      <c r="G430" s="145" t="str">
        <f t="shared" si="17"/>
        <v>MCI-00696|Toutes les personnes vivant avec le VIH</v>
      </c>
      <c r="H430" s="145" t="str">
        <f t="shared" si="18"/>
        <v>MCI-00696|MCI-00913</v>
      </c>
      <c r="I430" s="145" t="str">
        <f t="shared" si="19"/>
        <v>a1O1R000006c5lPUAQ</v>
      </c>
      <c r="J430" s="146" t="s">
        <v>6675</v>
      </c>
      <c r="K430" s="146" t="s">
        <v>6676</v>
      </c>
      <c r="L430" s="146" t="s">
        <v>6677</v>
      </c>
      <c r="M430" s="145" t="s">
        <v>2878</v>
      </c>
    </row>
    <row r="431" spans="1:13" s="9" customFormat="1" x14ac:dyDescent="0.25">
      <c r="A431" s="145" t="s">
        <v>6447</v>
      </c>
      <c r="B431" s="145" t="s">
        <v>6678</v>
      </c>
      <c r="C431" s="145" t="str">
        <f>CHOOSE(Translations!$C$1+1,J431,K431,L431,)</f>
        <v>Adultes vivant avec le VIH (15 ans et plus)</v>
      </c>
      <c r="D431" s="145"/>
      <c r="E431" s="145" t="s">
        <v>3487</v>
      </c>
      <c r="F431" s="146" t="s">
        <v>6679</v>
      </c>
      <c r="G431" s="145" t="str">
        <f t="shared" si="17"/>
        <v>MCI-00696|Adultes vivant avec le VIH (15 ans et plus)</v>
      </c>
      <c r="H431" s="145" t="str">
        <f t="shared" si="18"/>
        <v>MCI-00696|MCI-00920</v>
      </c>
      <c r="I431" s="145" t="str">
        <f t="shared" si="19"/>
        <v>a1O1R000006c5lWUAQ</v>
      </c>
      <c r="J431" s="146" t="s">
        <v>6680</v>
      </c>
      <c r="K431" s="146" t="s">
        <v>6681</v>
      </c>
      <c r="L431" s="146" t="s">
        <v>6682</v>
      </c>
      <c r="M431" s="145" t="s">
        <v>2878</v>
      </c>
    </row>
    <row r="432" spans="1:13" s="9" customFormat="1" x14ac:dyDescent="0.25">
      <c r="A432" s="145" t="s">
        <v>6447</v>
      </c>
      <c r="B432" s="145" t="s">
        <v>6683</v>
      </c>
      <c r="C432" s="145" t="str">
        <f>CHOOSE(Translations!$C$1+1,J432,K432,L432,)</f>
        <v>Enfants vivant avec le VIH (moins de 15 ans)</v>
      </c>
      <c r="D432" s="145"/>
      <c r="E432" s="145" t="s">
        <v>3487</v>
      </c>
      <c r="F432" s="146" t="s">
        <v>6684</v>
      </c>
      <c r="G432" s="145" t="str">
        <f t="shared" si="17"/>
        <v>MCI-00696|Enfants vivant avec le VIH (moins de 15 ans)</v>
      </c>
      <c r="H432" s="145" t="str">
        <f t="shared" si="18"/>
        <v>MCI-00696|MCI-00926</v>
      </c>
      <c r="I432" s="145" t="str">
        <f t="shared" si="19"/>
        <v>a1O1R000006c5lcUAA</v>
      </c>
      <c r="J432" s="146" t="s">
        <v>6685</v>
      </c>
      <c r="K432" s="146" t="s">
        <v>6686</v>
      </c>
      <c r="L432" s="146" t="s">
        <v>6687</v>
      </c>
      <c r="M432" s="145" t="s">
        <v>2878</v>
      </c>
    </row>
    <row r="433" spans="1:13" s="9" customFormat="1" x14ac:dyDescent="0.25">
      <c r="A433" s="145" t="s">
        <v>6447</v>
      </c>
      <c r="B433" s="145" t="s">
        <v>6688</v>
      </c>
      <c r="C433" s="145" t="str">
        <f>CHOOSE(Translations!$C$1+1,J433,K433,L433,)</f>
        <v>Toutes les personnes vivant avec le VIH</v>
      </c>
      <c r="D433" s="145"/>
      <c r="E433" s="145" t="s">
        <v>3507</v>
      </c>
      <c r="F433" s="146" t="s">
        <v>6689</v>
      </c>
      <c r="G433" s="145" t="str">
        <f t="shared" si="17"/>
        <v>MCI-00697|Toutes les personnes vivant avec le VIH</v>
      </c>
      <c r="H433" s="145" t="str">
        <f t="shared" si="18"/>
        <v>MCI-00697|MCI-00914</v>
      </c>
      <c r="I433" s="145" t="str">
        <f t="shared" si="19"/>
        <v>a1O1R000006c5lQUAQ</v>
      </c>
      <c r="J433" s="146" t="s">
        <v>6675</v>
      </c>
      <c r="K433" s="146" t="s">
        <v>6676</v>
      </c>
      <c r="L433" s="146" t="s">
        <v>6677</v>
      </c>
      <c r="M433" s="145" t="s">
        <v>2878</v>
      </c>
    </row>
    <row r="434" spans="1:13" s="9" customFormat="1" x14ac:dyDescent="0.25">
      <c r="A434" s="145" t="s">
        <v>6447</v>
      </c>
      <c r="B434" s="145" t="s">
        <v>6690</v>
      </c>
      <c r="C434" s="145" t="str">
        <f>CHOOSE(Translations!$C$1+1,J434,K434,L434,)</f>
        <v>Adultes vivant avec le VIH (15 ans et plus)</v>
      </c>
      <c r="D434" s="145"/>
      <c r="E434" s="145" t="s">
        <v>3507</v>
      </c>
      <c r="F434" s="146" t="s">
        <v>6691</v>
      </c>
      <c r="G434" s="145" t="str">
        <f t="shared" si="17"/>
        <v>MCI-00697|Adultes vivant avec le VIH (15 ans et plus)</v>
      </c>
      <c r="H434" s="145" t="str">
        <f t="shared" si="18"/>
        <v>MCI-00697|MCI-00921</v>
      </c>
      <c r="I434" s="145" t="str">
        <f t="shared" si="19"/>
        <v>a1O1R000006c5lXUAQ</v>
      </c>
      <c r="J434" s="146" t="s">
        <v>6680</v>
      </c>
      <c r="K434" s="146" t="s">
        <v>6681</v>
      </c>
      <c r="L434" s="146" t="s">
        <v>6682</v>
      </c>
      <c r="M434" s="145" t="s">
        <v>2878</v>
      </c>
    </row>
    <row r="435" spans="1:13" s="9" customFormat="1" x14ac:dyDescent="0.25">
      <c r="A435" s="145" t="s">
        <v>6447</v>
      </c>
      <c r="B435" s="145" t="s">
        <v>6692</v>
      </c>
      <c r="C435" s="145" t="str">
        <f>CHOOSE(Translations!$C$1+1,J435,K435,L435,)</f>
        <v>Enfants vivant avec le VIH (moins de 15 ans)</v>
      </c>
      <c r="D435" s="145"/>
      <c r="E435" s="145" t="s">
        <v>3507</v>
      </c>
      <c r="F435" s="146" t="s">
        <v>6693</v>
      </c>
      <c r="G435" s="145" t="str">
        <f t="shared" si="17"/>
        <v>MCI-00697|Enfants vivant avec le VIH (moins de 15 ans)</v>
      </c>
      <c r="H435" s="145" t="str">
        <f t="shared" si="18"/>
        <v>MCI-00697|MCI-00927</v>
      </c>
      <c r="I435" s="145" t="str">
        <f t="shared" si="19"/>
        <v>a1O1R000006c5ldUAA</v>
      </c>
      <c r="J435" s="146" t="s">
        <v>6685</v>
      </c>
      <c r="K435" s="146" t="s">
        <v>6686</v>
      </c>
      <c r="L435" s="146" t="s">
        <v>6687</v>
      </c>
      <c r="M435" s="145" t="s">
        <v>2878</v>
      </c>
    </row>
    <row r="436" spans="1:13" s="9" customFormat="1" x14ac:dyDescent="0.25">
      <c r="A436" s="145" t="s">
        <v>6447</v>
      </c>
      <c r="B436" s="145" t="s">
        <v>6694</v>
      </c>
      <c r="C436" s="145" t="str">
        <f>CHOOSE(Translations!$C$1+1,J436,K436,L436,)</f>
        <v>Toutes les personnes vivant avec le VIH</v>
      </c>
      <c r="D436" s="145"/>
      <c r="E436" s="145" t="s">
        <v>3502</v>
      </c>
      <c r="F436" s="146" t="s">
        <v>6695</v>
      </c>
      <c r="G436" s="145" t="str">
        <f t="shared" si="17"/>
        <v>MCI-00698|Toutes les personnes vivant avec le VIH</v>
      </c>
      <c r="H436" s="145" t="str">
        <f t="shared" si="18"/>
        <v>MCI-00698|MCI-00915</v>
      </c>
      <c r="I436" s="145" t="str">
        <f t="shared" si="19"/>
        <v>a1O1R000006c5lRUAQ</v>
      </c>
      <c r="J436" s="146" t="s">
        <v>6675</v>
      </c>
      <c r="K436" s="146" t="s">
        <v>6676</v>
      </c>
      <c r="L436" s="146" t="s">
        <v>6677</v>
      </c>
      <c r="M436" s="145" t="s">
        <v>2878</v>
      </c>
    </row>
    <row r="437" spans="1:13" s="9" customFormat="1" x14ac:dyDescent="0.25">
      <c r="A437" s="145" t="s">
        <v>6447</v>
      </c>
      <c r="B437" s="145" t="s">
        <v>6696</v>
      </c>
      <c r="C437" s="145" t="str">
        <f>CHOOSE(Translations!$C$1+1,J437,K437,L437,)</f>
        <v>Adultes vivant avec le VIH (15 ans et plus)</v>
      </c>
      <c r="D437" s="145"/>
      <c r="E437" s="145" t="s">
        <v>3502</v>
      </c>
      <c r="F437" s="146" t="s">
        <v>6697</v>
      </c>
      <c r="G437" s="145" t="str">
        <f t="shared" si="17"/>
        <v>MCI-00698|Adultes vivant avec le VIH (15 ans et plus)</v>
      </c>
      <c r="H437" s="145" t="str">
        <f t="shared" si="18"/>
        <v>MCI-00698|MCI-00922</v>
      </c>
      <c r="I437" s="145" t="str">
        <f t="shared" si="19"/>
        <v>a1O1R000006c5lYUAQ</v>
      </c>
      <c r="J437" s="146" t="s">
        <v>6680</v>
      </c>
      <c r="K437" s="146" t="s">
        <v>6681</v>
      </c>
      <c r="L437" s="146" t="s">
        <v>6682</v>
      </c>
      <c r="M437" s="145" t="s">
        <v>2878</v>
      </c>
    </row>
    <row r="438" spans="1:13" s="9" customFormat="1" x14ac:dyDescent="0.25">
      <c r="A438" s="145" t="s">
        <v>6447</v>
      </c>
      <c r="B438" s="145" t="s">
        <v>6698</v>
      </c>
      <c r="C438" s="145" t="str">
        <f>CHOOSE(Translations!$C$1+1,J438,K438,L438,)</f>
        <v>Enfants vivant avec le VIH (moins de 15 ans)</v>
      </c>
      <c r="D438" s="145"/>
      <c r="E438" s="145" t="s">
        <v>3502</v>
      </c>
      <c r="F438" s="146" t="s">
        <v>6699</v>
      </c>
      <c r="G438" s="145" t="str">
        <f t="shared" si="17"/>
        <v>MCI-00698|Enfants vivant avec le VIH (moins de 15 ans)</v>
      </c>
      <c r="H438" s="145" t="str">
        <f t="shared" si="18"/>
        <v>MCI-00698|MCI-00928</v>
      </c>
      <c r="I438" s="145" t="str">
        <f t="shared" si="19"/>
        <v>a1O1R000006c5leUAA</v>
      </c>
      <c r="J438" s="146" t="s">
        <v>6685</v>
      </c>
      <c r="K438" s="146" t="s">
        <v>6686</v>
      </c>
      <c r="L438" s="146" t="s">
        <v>6687</v>
      </c>
      <c r="M438" s="145" t="s">
        <v>2878</v>
      </c>
    </row>
    <row r="439" spans="1:13" s="9" customFormat="1" x14ac:dyDescent="0.25">
      <c r="A439" s="145" t="s">
        <v>6447</v>
      </c>
      <c r="B439" s="145" t="s">
        <v>6700</v>
      </c>
      <c r="C439" s="145" t="str">
        <f>CHOOSE(Translations!$C$1+1,J439,K439,L439,)</f>
        <v>Toutes les personnes vivant avec le VIH</v>
      </c>
      <c r="D439" s="145"/>
      <c r="E439" s="145" t="s">
        <v>3512</v>
      </c>
      <c r="F439" s="146" t="s">
        <v>6701</v>
      </c>
      <c r="G439" s="145" t="str">
        <f t="shared" si="17"/>
        <v>MCI-00699|Toutes les personnes vivant avec le VIH</v>
      </c>
      <c r="H439" s="145" t="str">
        <f t="shared" si="18"/>
        <v>MCI-00699|MCI-00916</v>
      </c>
      <c r="I439" s="145" t="str">
        <f t="shared" si="19"/>
        <v>a1O1R000006c5lSUAQ</v>
      </c>
      <c r="J439" s="146" t="s">
        <v>6675</v>
      </c>
      <c r="K439" s="146" t="s">
        <v>6676</v>
      </c>
      <c r="L439" s="146" t="s">
        <v>6677</v>
      </c>
      <c r="M439" s="145" t="s">
        <v>2878</v>
      </c>
    </row>
    <row r="440" spans="1:13" s="9" customFormat="1" x14ac:dyDescent="0.25">
      <c r="A440" s="145" t="s">
        <v>6447</v>
      </c>
      <c r="B440" s="145" t="s">
        <v>6702</v>
      </c>
      <c r="C440" s="145" t="str">
        <f>CHOOSE(Translations!$C$1+1,J440,K440,L440,)</f>
        <v>Adultes vivant avec le VIH (15 ans et plus)</v>
      </c>
      <c r="D440" s="145"/>
      <c r="E440" s="145" t="s">
        <v>3512</v>
      </c>
      <c r="F440" s="146" t="s">
        <v>6703</v>
      </c>
      <c r="G440" s="145" t="str">
        <f t="shared" si="17"/>
        <v>MCI-00699|Adultes vivant avec le VIH (15 ans et plus)</v>
      </c>
      <c r="H440" s="145" t="str">
        <f t="shared" si="18"/>
        <v>MCI-00699|MCI-00923</v>
      </c>
      <c r="I440" s="145" t="str">
        <f t="shared" si="19"/>
        <v>a1O1R000006c5lZUAQ</v>
      </c>
      <c r="J440" s="146" t="s">
        <v>6680</v>
      </c>
      <c r="K440" s="146" t="s">
        <v>6681</v>
      </c>
      <c r="L440" s="146" t="s">
        <v>6682</v>
      </c>
      <c r="M440" s="145" t="s">
        <v>2878</v>
      </c>
    </row>
    <row r="441" spans="1:13" s="9" customFormat="1" x14ac:dyDescent="0.25">
      <c r="A441" s="145" t="s">
        <v>6447</v>
      </c>
      <c r="B441" s="145" t="s">
        <v>6704</v>
      </c>
      <c r="C441" s="145" t="str">
        <f>CHOOSE(Translations!$C$1+1,J441,K441,L441,)</f>
        <v>Enfants vivant avec le VIH (moins de 15 ans)</v>
      </c>
      <c r="D441" s="145"/>
      <c r="E441" s="145" t="s">
        <v>3512</v>
      </c>
      <c r="F441" s="146" t="s">
        <v>6705</v>
      </c>
      <c r="G441" s="145" t="str">
        <f t="shared" si="17"/>
        <v>MCI-00699|Enfants vivant avec le VIH (moins de 15 ans)</v>
      </c>
      <c r="H441" s="145" t="str">
        <f t="shared" si="18"/>
        <v>MCI-00699|MCI-00929</v>
      </c>
      <c r="I441" s="145" t="str">
        <f t="shared" si="19"/>
        <v>a1O1R000006c5lfUAA</v>
      </c>
      <c r="J441" s="146" t="s">
        <v>6685</v>
      </c>
      <c r="K441" s="146" t="s">
        <v>6686</v>
      </c>
      <c r="L441" s="146" t="s">
        <v>6687</v>
      </c>
      <c r="M441" s="145" t="s">
        <v>2878</v>
      </c>
    </row>
    <row r="442" spans="1:13" s="9" customFormat="1" x14ac:dyDescent="0.25">
      <c r="A442" s="145" t="s">
        <v>6447</v>
      </c>
      <c r="B442" s="145" t="s">
        <v>6706</v>
      </c>
      <c r="C442" s="145" t="str">
        <f>CHOOSE(Translations!$C$1+1,J442,K442,L442,)</f>
        <v>Toutes les personnes vivant avec le VIH</v>
      </c>
      <c r="D442" s="145"/>
      <c r="E442" s="145" t="s">
        <v>3497</v>
      </c>
      <c r="F442" s="146" t="s">
        <v>6707</v>
      </c>
      <c r="G442" s="145" t="str">
        <f t="shared" si="17"/>
        <v>MCI-00700|Toutes les personnes vivant avec le VIH</v>
      </c>
      <c r="H442" s="145" t="str">
        <f t="shared" si="18"/>
        <v>MCI-00700|MCI-00917</v>
      </c>
      <c r="I442" s="145" t="str">
        <f t="shared" si="19"/>
        <v>a1O1R000006c5lTUAQ</v>
      </c>
      <c r="J442" s="146" t="s">
        <v>6675</v>
      </c>
      <c r="K442" s="146" t="s">
        <v>6676</v>
      </c>
      <c r="L442" s="146" t="s">
        <v>6677</v>
      </c>
      <c r="M442" s="145" t="s">
        <v>2878</v>
      </c>
    </row>
    <row r="443" spans="1:13" s="9" customFormat="1" x14ac:dyDescent="0.25">
      <c r="A443" s="145" t="s">
        <v>6447</v>
      </c>
      <c r="B443" s="145" t="s">
        <v>6708</v>
      </c>
      <c r="C443" s="145" t="str">
        <f>CHOOSE(Translations!$C$1+1,J443,K443,L443,)</f>
        <v>Adultes vivant avec le VIH (15 ans et plus)</v>
      </c>
      <c r="D443" s="145"/>
      <c r="E443" s="145" t="s">
        <v>3497</v>
      </c>
      <c r="F443" s="146" t="s">
        <v>6709</v>
      </c>
      <c r="G443" s="145" t="str">
        <f t="shared" si="17"/>
        <v>MCI-00700|Adultes vivant avec le VIH (15 ans et plus)</v>
      </c>
      <c r="H443" s="145" t="str">
        <f t="shared" si="18"/>
        <v>MCI-00700|MCI-00924</v>
      </c>
      <c r="I443" s="145" t="str">
        <f t="shared" si="19"/>
        <v>a1O1R000006c5laUAA</v>
      </c>
      <c r="J443" s="146" t="s">
        <v>6680</v>
      </c>
      <c r="K443" s="146" t="s">
        <v>6681</v>
      </c>
      <c r="L443" s="146" t="s">
        <v>6682</v>
      </c>
      <c r="M443" s="145" t="s">
        <v>2878</v>
      </c>
    </row>
    <row r="444" spans="1:13" s="9" customFormat="1" x14ac:dyDescent="0.25">
      <c r="A444" s="145" t="s">
        <v>6447</v>
      </c>
      <c r="B444" s="145" t="s">
        <v>6710</v>
      </c>
      <c r="C444" s="145" t="str">
        <f>CHOOSE(Translations!$C$1+1,J444,K444,L444,)</f>
        <v>Enfants vivant avec le VIH (moins de 15 ans)</v>
      </c>
      <c r="D444" s="145"/>
      <c r="E444" s="145" t="s">
        <v>3497</v>
      </c>
      <c r="F444" s="146" t="s">
        <v>6711</v>
      </c>
      <c r="G444" s="145" t="str">
        <f t="shared" si="17"/>
        <v>MCI-00700|Enfants vivant avec le VIH (moins de 15 ans)</v>
      </c>
      <c r="H444" s="145" t="str">
        <f t="shared" si="18"/>
        <v>MCI-00700|MCI-00930</v>
      </c>
      <c r="I444" s="145" t="str">
        <f t="shared" si="19"/>
        <v>a1O1R000006c5lgUAA</v>
      </c>
      <c r="J444" s="146" t="s">
        <v>6685</v>
      </c>
      <c r="K444" s="146" t="s">
        <v>6686</v>
      </c>
      <c r="L444" s="146" t="s">
        <v>6687</v>
      </c>
      <c r="M444" s="145" t="s">
        <v>2878</v>
      </c>
    </row>
    <row r="445" spans="1:13" s="9" customFormat="1" x14ac:dyDescent="0.25">
      <c r="A445" s="145" t="s">
        <v>6447</v>
      </c>
      <c r="B445" s="145" t="s">
        <v>6712</v>
      </c>
      <c r="C445" s="145" t="str">
        <f>CHOOSE(Translations!$C$1+1,J445,K445,L445,)</f>
        <v>Adultes vivant avec le VIH (15 ans et plus)</v>
      </c>
      <c r="D445" s="145"/>
      <c r="E445" s="145" t="s">
        <v>3482</v>
      </c>
      <c r="F445" s="146" t="s">
        <v>6713</v>
      </c>
      <c r="G445" s="145" t="str">
        <f t="shared" si="17"/>
        <v>MCI-00701|Adultes vivant avec le VIH (15 ans et plus)</v>
      </c>
      <c r="H445" s="145" t="str">
        <f t="shared" si="18"/>
        <v>MCI-00701|MCI-00925</v>
      </c>
      <c r="I445" s="145" t="str">
        <f t="shared" si="19"/>
        <v>a1O1R000006c5lbUAA</v>
      </c>
      <c r="J445" s="146" t="s">
        <v>6680</v>
      </c>
      <c r="K445" s="146" t="s">
        <v>6681</v>
      </c>
      <c r="L445" s="146" t="s">
        <v>6682</v>
      </c>
      <c r="M445" s="145" t="s">
        <v>2878</v>
      </c>
    </row>
    <row r="446" spans="1:13" s="9" customFormat="1" x14ac:dyDescent="0.25">
      <c r="A446" s="145" t="s">
        <v>6447</v>
      </c>
      <c r="B446" s="145" t="s">
        <v>6714</v>
      </c>
      <c r="C446" s="145" t="str">
        <f>CHOOSE(Translations!$C$1+1,J446,K446,L446,)</f>
        <v>Toutes les personnes vivant avec le VIH</v>
      </c>
      <c r="D446" s="145"/>
      <c r="E446" s="145" t="s">
        <v>3482</v>
      </c>
      <c r="F446" s="146" t="s">
        <v>6715</v>
      </c>
      <c r="G446" s="145" t="str">
        <f t="shared" si="17"/>
        <v>MCI-00701|Toutes les personnes vivant avec le VIH</v>
      </c>
      <c r="H446" s="145" t="str">
        <f t="shared" si="18"/>
        <v>MCI-00701|MCI-00918</v>
      </c>
      <c r="I446" s="145" t="str">
        <f t="shared" si="19"/>
        <v>a1O1R000006c5lUUAQ</v>
      </c>
      <c r="J446" s="146" t="s">
        <v>6675</v>
      </c>
      <c r="K446" s="146" t="s">
        <v>6676</v>
      </c>
      <c r="L446" s="146" t="s">
        <v>6677</v>
      </c>
      <c r="M446" s="145" t="s">
        <v>2878</v>
      </c>
    </row>
    <row r="447" spans="1:13" s="9" customFormat="1" x14ac:dyDescent="0.25">
      <c r="A447" s="145" t="s">
        <v>6447</v>
      </c>
      <c r="B447" s="145" t="s">
        <v>6716</v>
      </c>
      <c r="C447" s="145" t="str">
        <f>CHOOSE(Translations!$C$1+1,J447,K447,L447,)</f>
        <v>Enfants vivant avec le VIH (moins de 15 ans)</v>
      </c>
      <c r="D447" s="145"/>
      <c r="E447" s="145" t="s">
        <v>3482</v>
      </c>
      <c r="F447" s="146" t="s">
        <v>6717</v>
      </c>
      <c r="G447" s="145" t="str">
        <f t="shared" si="17"/>
        <v>MCI-00701|Enfants vivant avec le VIH (moins de 15 ans)</v>
      </c>
      <c r="H447" s="145" t="str">
        <f t="shared" si="18"/>
        <v>MCI-00701|MCI-00931</v>
      </c>
      <c r="I447" s="145" t="str">
        <f t="shared" si="19"/>
        <v>a1O1R000006c5lhUAA</v>
      </c>
      <c r="J447" s="146" t="s">
        <v>6685</v>
      </c>
      <c r="K447" s="146" t="s">
        <v>6686</v>
      </c>
      <c r="L447" s="146" t="s">
        <v>6687</v>
      </c>
      <c r="M447" s="145" t="s">
        <v>2878</v>
      </c>
    </row>
    <row r="448" spans="1:13" s="9" customFormat="1" x14ac:dyDescent="0.25">
      <c r="A448" s="145" t="s">
        <v>6447</v>
      </c>
      <c r="B448" s="145" t="s">
        <v>6718</v>
      </c>
      <c r="C448" s="145" t="str">
        <f>CHOOSE(Translations!$C$1+1,J448,K448,L448,)</f>
        <v>Toutes les personnes vivant avec le VIH</v>
      </c>
      <c r="D448" s="145"/>
      <c r="E448" s="145" t="s">
        <v>3492</v>
      </c>
      <c r="F448" s="146" t="s">
        <v>6719</v>
      </c>
      <c r="G448" s="145" t="str">
        <f t="shared" si="17"/>
        <v>MCI-00702|Toutes les personnes vivant avec le VIH</v>
      </c>
      <c r="H448" s="145" t="str">
        <f t="shared" si="18"/>
        <v>MCI-00702|MCI-00919</v>
      </c>
      <c r="I448" s="145" t="str">
        <f t="shared" si="19"/>
        <v>a1O1R000006c5lVUAQ</v>
      </c>
      <c r="J448" s="146" t="s">
        <v>6675</v>
      </c>
      <c r="K448" s="146" t="s">
        <v>6676</v>
      </c>
      <c r="L448" s="146" t="s">
        <v>6677</v>
      </c>
      <c r="M448" s="145" t="s">
        <v>2878</v>
      </c>
    </row>
    <row r="449" spans="1:13" s="9" customFormat="1" x14ac:dyDescent="0.25">
      <c r="A449" s="145" t="s">
        <v>6447</v>
      </c>
      <c r="B449" s="145" t="s">
        <v>6720</v>
      </c>
      <c r="C449" s="145" t="str">
        <f>CHOOSE(Translations!$C$1+1,J449,K449,L449,)</f>
        <v>Non applicable</v>
      </c>
      <c r="D449" s="145"/>
      <c r="E449" s="145" t="s">
        <v>3552</v>
      </c>
      <c r="F449" s="146" t="s">
        <v>6721</v>
      </c>
      <c r="G449" s="145" t="str">
        <f t="shared" si="17"/>
        <v>MCI-00703|Non applicable</v>
      </c>
      <c r="H449" s="145" t="str">
        <f t="shared" si="18"/>
        <v>MCI-00703|MCI-00932</v>
      </c>
      <c r="I449" s="145" t="str">
        <f t="shared" si="19"/>
        <v>a1O1R000006c5liUAA</v>
      </c>
      <c r="J449" s="146" t="s">
        <v>372</v>
      </c>
      <c r="K449" s="146" t="s">
        <v>765</v>
      </c>
      <c r="L449" s="146" t="s">
        <v>1283</v>
      </c>
      <c r="M449" s="145" t="s">
        <v>2878</v>
      </c>
    </row>
    <row r="450" spans="1:13" s="9" customFormat="1" x14ac:dyDescent="0.25">
      <c r="A450" s="145" t="s">
        <v>6447</v>
      </c>
      <c r="B450" s="145" t="s">
        <v>6722</v>
      </c>
      <c r="C450" s="145" t="str">
        <f>CHOOSE(Translations!$C$1+1,J450,K450,L450,)</f>
        <v>Non applicable</v>
      </c>
      <c r="D450" s="145"/>
      <c r="E450" s="145" t="s">
        <v>3537</v>
      </c>
      <c r="F450" s="146" t="s">
        <v>6723</v>
      </c>
      <c r="G450" s="145" t="str">
        <f t="shared" si="17"/>
        <v>MCI-00704|Non applicable</v>
      </c>
      <c r="H450" s="145" t="str">
        <f t="shared" si="18"/>
        <v>MCI-00704|MCI-00933</v>
      </c>
      <c r="I450" s="145" t="str">
        <f t="shared" si="19"/>
        <v>a1O1R000006c5ljUAA</v>
      </c>
      <c r="J450" s="146" t="s">
        <v>372</v>
      </c>
      <c r="K450" s="146" t="s">
        <v>765</v>
      </c>
      <c r="L450" s="146" t="s">
        <v>1283</v>
      </c>
      <c r="M450" s="145" t="s">
        <v>2878</v>
      </c>
    </row>
    <row r="451" spans="1:13" s="9" customFormat="1" x14ac:dyDescent="0.25">
      <c r="A451" s="145" t="s">
        <v>6447</v>
      </c>
      <c r="B451" s="145" t="s">
        <v>6724</v>
      </c>
      <c r="C451" s="145" t="str">
        <f>CHOOSE(Translations!$C$1+1,J451,K451,L451,)</f>
        <v>Non applicable</v>
      </c>
      <c r="D451" s="145"/>
      <c r="E451" s="145" t="s">
        <v>3527</v>
      </c>
      <c r="F451" s="146" t="s">
        <v>6725</v>
      </c>
      <c r="G451" s="145" t="str">
        <f t="shared" si="17"/>
        <v>MCI-00705|Non applicable</v>
      </c>
      <c r="H451" s="145" t="str">
        <f t="shared" si="18"/>
        <v>MCI-00705|MCI-00934</v>
      </c>
      <c r="I451" s="145" t="str">
        <f t="shared" si="19"/>
        <v>a1O1R000006c5lkUAA</v>
      </c>
      <c r="J451" s="146" t="s">
        <v>372</v>
      </c>
      <c r="K451" s="146" t="s">
        <v>765</v>
      </c>
      <c r="L451" s="146" t="s">
        <v>1283</v>
      </c>
      <c r="M451" s="145" t="s">
        <v>2878</v>
      </c>
    </row>
    <row r="452" spans="1:13" s="9" customFormat="1" x14ac:dyDescent="0.25">
      <c r="A452" s="145" t="s">
        <v>6447</v>
      </c>
      <c r="B452" s="145" t="s">
        <v>6726</v>
      </c>
      <c r="C452" s="145" t="str">
        <f>CHOOSE(Translations!$C$1+1,J452,K452,L452,)</f>
        <v>Non applicable</v>
      </c>
      <c r="D452" s="145"/>
      <c r="E452" s="145" t="s">
        <v>3522</v>
      </c>
      <c r="F452" s="146" t="s">
        <v>6727</v>
      </c>
      <c r="G452" s="145" t="str">
        <f t="shared" si="17"/>
        <v>MCI-00706|Non applicable</v>
      </c>
      <c r="H452" s="145" t="str">
        <f t="shared" si="18"/>
        <v>MCI-00706|MCI-00935</v>
      </c>
      <c r="I452" s="145" t="str">
        <f t="shared" si="19"/>
        <v>a1O1R000006c5llUAA</v>
      </c>
      <c r="J452" s="146" t="s">
        <v>372</v>
      </c>
      <c r="K452" s="146" t="s">
        <v>765</v>
      </c>
      <c r="L452" s="146" t="s">
        <v>1283</v>
      </c>
      <c r="M452" s="145" t="s">
        <v>2878</v>
      </c>
    </row>
    <row r="453" spans="1:13" s="9" customFormat="1" x14ac:dyDescent="0.25">
      <c r="A453" s="145" t="s">
        <v>6447</v>
      </c>
      <c r="B453" s="145" t="s">
        <v>6728</v>
      </c>
      <c r="C453" s="145" t="str">
        <f>CHOOSE(Translations!$C$1+1,J453,K453,L453,)</f>
        <v>Non applicable</v>
      </c>
      <c r="D453" s="145"/>
      <c r="E453" s="145" t="s">
        <v>3547</v>
      </c>
      <c r="F453" s="146" t="s">
        <v>6729</v>
      </c>
      <c r="G453" s="145" t="str">
        <f t="shared" si="17"/>
        <v>MCI-00707|Non applicable</v>
      </c>
      <c r="H453" s="145" t="str">
        <f t="shared" si="18"/>
        <v>MCI-00707|MCI-00936</v>
      </c>
      <c r="I453" s="145" t="str">
        <f t="shared" si="19"/>
        <v>a1O1R000006c5lmUAA</v>
      </c>
      <c r="J453" s="146" t="s">
        <v>372</v>
      </c>
      <c r="K453" s="146" t="s">
        <v>765</v>
      </c>
      <c r="L453" s="146" t="s">
        <v>1283</v>
      </c>
      <c r="M453" s="145" t="s">
        <v>2878</v>
      </c>
    </row>
    <row r="454" spans="1:13" s="9" customFormat="1" x14ac:dyDescent="0.25">
      <c r="A454" s="145" t="s">
        <v>6447</v>
      </c>
      <c r="B454" s="145" t="s">
        <v>6730</v>
      </c>
      <c r="C454" s="145" t="str">
        <f>CHOOSE(Translations!$C$1+1,J454,K454,L454,)</f>
        <v>Non applicable</v>
      </c>
      <c r="D454" s="145"/>
      <c r="E454" s="145" t="s">
        <v>3532</v>
      </c>
      <c r="F454" s="146" t="s">
        <v>6731</v>
      </c>
      <c r="G454" s="145" t="str">
        <f t="shared" si="17"/>
        <v>MCI-00708|Non applicable</v>
      </c>
      <c r="H454" s="145" t="str">
        <f t="shared" si="18"/>
        <v>MCI-00708|MCI-00937</v>
      </c>
      <c r="I454" s="145" t="str">
        <f t="shared" si="19"/>
        <v>a1O1R000006c5lnUAA</v>
      </c>
      <c r="J454" s="146" t="s">
        <v>372</v>
      </c>
      <c r="K454" s="146" t="s">
        <v>765</v>
      </c>
      <c r="L454" s="146" t="s">
        <v>1283</v>
      </c>
      <c r="M454" s="145" t="s">
        <v>2878</v>
      </c>
    </row>
    <row r="455" spans="1:13" s="9" customFormat="1" x14ac:dyDescent="0.25">
      <c r="A455" s="145" t="s">
        <v>6447</v>
      </c>
      <c r="B455" s="145" t="s">
        <v>6732</v>
      </c>
      <c r="C455" s="145" t="str">
        <f>CHOOSE(Translations!$C$1+1,J455,K455,L455,)</f>
        <v>Non applicable</v>
      </c>
      <c r="D455" s="145"/>
      <c r="E455" s="145" t="s">
        <v>3542</v>
      </c>
      <c r="F455" s="146" t="s">
        <v>6733</v>
      </c>
      <c r="G455" s="145" t="str">
        <f t="shared" si="17"/>
        <v>MCI-00709|Non applicable</v>
      </c>
      <c r="H455" s="145" t="str">
        <f t="shared" si="18"/>
        <v>MCI-00709|MCI-00938</v>
      </c>
      <c r="I455" s="145" t="str">
        <f t="shared" si="19"/>
        <v>a1O1R000006c5loUAA</v>
      </c>
      <c r="J455" s="146" t="s">
        <v>372</v>
      </c>
      <c r="K455" s="146" t="s">
        <v>765</v>
      </c>
      <c r="L455" s="146" t="s">
        <v>1283</v>
      </c>
      <c r="M455" s="145" t="s">
        <v>2878</v>
      </c>
    </row>
    <row r="456" spans="1:13" s="9" customFormat="1" x14ac:dyDescent="0.25">
      <c r="A456" s="145" t="s">
        <v>6447</v>
      </c>
      <c r="B456" s="145" t="s">
        <v>6734</v>
      </c>
      <c r="C456" s="145" t="str">
        <f>CHOOSE(Translations!$C$1+1,J456,K456,L456,)</f>
        <v>Non applicable</v>
      </c>
      <c r="D456" s="145"/>
      <c r="E456" s="145" t="s">
        <v>3517</v>
      </c>
      <c r="F456" s="146" t="s">
        <v>6735</v>
      </c>
      <c r="G456" s="145" t="str">
        <f t="shared" si="17"/>
        <v>MCI-00710|Non applicable</v>
      </c>
      <c r="H456" s="145" t="str">
        <f t="shared" si="18"/>
        <v>MCI-00710|MCI-00939</v>
      </c>
      <c r="I456" s="145" t="str">
        <f t="shared" si="19"/>
        <v>a1O1R000006c5lpUAA</v>
      </c>
      <c r="J456" s="146" t="s">
        <v>372</v>
      </c>
      <c r="K456" s="146" t="s">
        <v>765</v>
      </c>
      <c r="L456" s="146" t="s">
        <v>1283</v>
      </c>
      <c r="M456" s="145" t="s">
        <v>2878</v>
      </c>
    </row>
    <row r="457" spans="1:13" s="9" customFormat="1" x14ac:dyDescent="0.25">
      <c r="A457" s="145" t="s">
        <v>6447</v>
      </c>
      <c r="B457" s="145" t="s">
        <v>6736</v>
      </c>
      <c r="C457" s="145" t="str">
        <f>CHOOSE(Translations!$C$1+1,J457,K457,L457,)</f>
        <v>Non applicable</v>
      </c>
      <c r="D457" s="145"/>
      <c r="E457" s="145" t="s">
        <v>3607</v>
      </c>
      <c r="F457" s="146" t="s">
        <v>6737</v>
      </c>
      <c r="G457" s="145" t="str">
        <f t="shared" si="17"/>
        <v>MCI-00738|Non applicable</v>
      </c>
      <c r="H457" s="145" t="str">
        <f t="shared" si="18"/>
        <v>MCI-00738|MCI-00967</v>
      </c>
      <c r="I457" s="145" t="str">
        <f t="shared" si="19"/>
        <v>a1O1R000006c5mHUAQ</v>
      </c>
      <c r="J457" s="146" t="s">
        <v>372</v>
      </c>
      <c r="K457" s="146" t="s">
        <v>765</v>
      </c>
      <c r="L457" s="146" t="s">
        <v>1283</v>
      </c>
      <c r="M457" s="145" t="s">
        <v>2878</v>
      </c>
    </row>
    <row r="458" spans="1:13" s="9" customFormat="1" x14ac:dyDescent="0.25">
      <c r="A458" s="145" t="s">
        <v>6447</v>
      </c>
      <c r="B458" s="145" t="s">
        <v>6738</v>
      </c>
      <c r="C458" s="145" t="str">
        <f>CHOOSE(Translations!$C$1+1,J458,K458,L458,)</f>
        <v>Non applicable</v>
      </c>
      <c r="D458" s="145"/>
      <c r="E458" s="145" t="s">
        <v>3602</v>
      </c>
      <c r="F458" s="146" t="s">
        <v>6739</v>
      </c>
      <c r="G458" s="145" t="str">
        <f t="shared" si="17"/>
        <v>MCI-00739|Non applicable</v>
      </c>
      <c r="H458" s="145" t="str">
        <f t="shared" si="18"/>
        <v>MCI-00739|MCI-00968</v>
      </c>
      <c r="I458" s="145" t="str">
        <f t="shared" si="19"/>
        <v>a1O1R000006c5mIUAQ</v>
      </c>
      <c r="J458" s="146" t="s">
        <v>372</v>
      </c>
      <c r="K458" s="146" t="s">
        <v>765</v>
      </c>
      <c r="L458" s="146" t="s">
        <v>1283</v>
      </c>
      <c r="M458" s="145" t="s">
        <v>2878</v>
      </c>
    </row>
    <row r="459" spans="1:13" s="9" customFormat="1" x14ac:dyDescent="0.25">
      <c r="A459" s="145" t="s">
        <v>6447</v>
      </c>
      <c r="B459" s="145" t="s">
        <v>6740</v>
      </c>
      <c r="C459" s="145" t="str">
        <f>CHOOSE(Translations!$C$1+1,J459,K459,L459,)</f>
        <v>Non applicable</v>
      </c>
      <c r="D459" s="145"/>
      <c r="E459" s="145" t="s">
        <v>3612</v>
      </c>
      <c r="F459" s="146" t="s">
        <v>6741</v>
      </c>
      <c r="G459" s="145" t="str">
        <f t="shared" si="17"/>
        <v>MCI-00740|Non applicable</v>
      </c>
      <c r="H459" s="145" t="str">
        <f t="shared" si="18"/>
        <v>MCI-00740|MCI-00969</v>
      </c>
      <c r="I459" s="145" t="str">
        <f t="shared" si="19"/>
        <v>a1O1R000006c5mJUAQ</v>
      </c>
      <c r="J459" s="146" t="s">
        <v>372</v>
      </c>
      <c r="K459" s="146" t="s">
        <v>765</v>
      </c>
      <c r="L459" s="146" t="s">
        <v>1283</v>
      </c>
      <c r="M459" s="145" t="s">
        <v>2878</v>
      </c>
    </row>
    <row r="460" spans="1:13" s="9" customFormat="1" x14ac:dyDescent="0.25">
      <c r="A460" s="145" t="s">
        <v>6447</v>
      </c>
      <c r="B460" s="145" t="s">
        <v>6742</v>
      </c>
      <c r="C460" s="145" t="str">
        <f>CHOOSE(Translations!$C$1+1,J460,K460,L460,)</f>
        <v>Non applicable</v>
      </c>
      <c r="D460" s="145"/>
      <c r="E460" s="145" t="s">
        <v>3597</v>
      </c>
      <c r="F460" s="146" t="s">
        <v>6743</v>
      </c>
      <c r="G460" s="145" t="str">
        <f t="shared" ref="G460:G505" si="20">E460&amp;"|"&amp;C460</f>
        <v>MCI-00741|Non applicable</v>
      </c>
      <c r="H460" s="145" t="str">
        <f t="shared" ref="H460:H505" si="21">E460&amp;"|"&amp;F460</f>
        <v>MCI-00741|MCI-00970</v>
      </c>
      <c r="I460" s="145" t="str">
        <f t="shared" ref="I460:I505" si="22">B460</f>
        <v>a1O1R000006c5mKUAQ</v>
      </c>
      <c r="J460" s="146" t="s">
        <v>372</v>
      </c>
      <c r="K460" s="146" t="s">
        <v>765</v>
      </c>
      <c r="L460" s="146" t="s">
        <v>1283</v>
      </c>
      <c r="M460" s="145" t="s">
        <v>2878</v>
      </c>
    </row>
    <row r="461" spans="1:13" s="9" customFormat="1" x14ac:dyDescent="0.25">
      <c r="A461" s="145" t="s">
        <v>6447</v>
      </c>
      <c r="B461" s="145" t="s">
        <v>6744</v>
      </c>
      <c r="C461" s="145" t="str">
        <f>CHOOSE(Translations!$C$1+1,J461,K461,L461,)</f>
        <v>Non applicable</v>
      </c>
      <c r="D461" s="145"/>
      <c r="E461" s="145" t="s">
        <v>3567</v>
      </c>
      <c r="F461" s="146" t="s">
        <v>6745</v>
      </c>
      <c r="G461" s="145" t="str">
        <f t="shared" si="20"/>
        <v>MCI-00742|Non applicable</v>
      </c>
      <c r="H461" s="145" t="str">
        <f t="shared" si="21"/>
        <v>MCI-00742|MCI-00971</v>
      </c>
      <c r="I461" s="145" t="str">
        <f t="shared" si="22"/>
        <v>a1O1R000006c5mLUAQ</v>
      </c>
      <c r="J461" s="146" t="s">
        <v>372</v>
      </c>
      <c r="K461" s="146" t="s">
        <v>765</v>
      </c>
      <c r="L461" s="146" t="s">
        <v>1283</v>
      </c>
      <c r="M461" s="145" t="s">
        <v>2878</v>
      </c>
    </row>
    <row r="462" spans="1:13" s="9" customFormat="1" x14ac:dyDescent="0.25">
      <c r="A462" s="145" t="s">
        <v>6447</v>
      </c>
      <c r="B462" s="145" t="s">
        <v>6746</v>
      </c>
      <c r="C462" s="145" t="str">
        <f>CHOOSE(Translations!$C$1+1,J462,K462,L462,)</f>
        <v>Non applicable</v>
      </c>
      <c r="D462" s="145"/>
      <c r="E462" s="145" t="s">
        <v>3562</v>
      </c>
      <c r="F462" s="146" t="s">
        <v>6747</v>
      </c>
      <c r="G462" s="145" t="str">
        <f t="shared" si="20"/>
        <v>MCI-00743|Non applicable</v>
      </c>
      <c r="H462" s="145" t="str">
        <f t="shared" si="21"/>
        <v>MCI-00743|MCI-00972</v>
      </c>
      <c r="I462" s="145" t="str">
        <f t="shared" si="22"/>
        <v>a1O1R000006c5mMUAQ</v>
      </c>
      <c r="J462" s="146" t="s">
        <v>372</v>
      </c>
      <c r="K462" s="146" t="s">
        <v>765</v>
      </c>
      <c r="L462" s="146" t="s">
        <v>1283</v>
      </c>
      <c r="M462" s="145" t="s">
        <v>2878</v>
      </c>
    </row>
    <row r="463" spans="1:13" s="9" customFormat="1" x14ac:dyDescent="0.25">
      <c r="A463" s="145" t="s">
        <v>6447</v>
      </c>
      <c r="B463" s="145" t="s">
        <v>6748</v>
      </c>
      <c r="C463" s="145" t="str">
        <f>CHOOSE(Translations!$C$1+1,J463,K463,L463,)</f>
        <v>Non applicable</v>
      </c>
      <c r="D463" s="145"/>
      <c r="E463" s="145" t="s">
        <v>3572</v>
      </c>
      <c r="F463" s="146" t="s">
        <v>6749</v>
      </c>
      <c r="G463" s="145" t="str">
        <f t="shared" si="20"/>
        <v>MCI-00744|Non applicable</v>
      </c>
      <c r="H463" s="145" t="str">
        <f t="shared" si="21"/>
        <v>MCI-00744|MCI-00973</v>
      </c>
      <c r="I463" s="145" t="str">
        <f t="shared" si="22"/>
        <v>a1O1R000006c5mNUAQ</v>
      </c>
      <c r="J463" s="146" t="s">
        <v>372</v>
      </c>
      <c r="K463" s="146" t="s">
        <v>765</v>
      </c>
      <c r="L463" s="146" t="s">
        <v>1283</v>
      </c>
      <c r="M463" s="145" t="s">
        <v>2878</v>
      </c>
    </row>
    <row r="464" spans="1:13" s="9" customFormat="1" x14ac:dyDescent="0.25">
      <c r="A464" s="145" t="s">
        <v>6447</v>
      </c>
      <c r="B464" s="145" t="s">
        <v>6750</v>
      </c>
      <c r="C464" s="145" t="str">
        <f>CHOOSE(Translations!$C$1+1,J464,K464,L464,)</f>
        <v>Non applicable</v>
      </c>
      <c r="D464" s="145"/>
      <c r="E464" s="145" t="s">
        <v>3592</v>
      </c>
      <c r="F464" s="146" t="s">
        <v>6751</v>
      </c>
      <c r="G464" s="145" t="str">
        <f t="shared" si="20"/>
        <v>MCI-00745|Non applicable</v>
      </c>
      <c r="H464" s="145" t="str">
        <f t="shared" si="21"/>
        <v>MCI-00745|MCI-00974</v>
      </c>
      <c r="I464" s="145" t="str">
        <f t="shared" si="22"/>
        <v>a1O1R000006c5mOUAQ</v>
      </c>
      <c r="J464" s="146" t="s">
        <v>372</v>
      </c>
      <c r="K464" s="146" t="s">
        <v>765</v>
      </c>
      <c r="L464" s="146" t="s">
        <v>1283</v>
      </c>
      <c r="M464" s="145" t="s">
        <v>2878</v>
      </c>
    </row>
    <row r="465" spans="1:13" s="9" customFormat="1" x14ac:dyDescent="0.25">
      <c r="A465" s="145" t="s">
        <v>6447</v>
      </c>
      <c r="B465" s="145" t="s">
        <v>6752</v>
      </c>
      <c r="C465" s="145" t="str">
        <f>CHOOSE(Translations!$C$1+1,J465,K465,L465,)</f>
        <v>Non applicable</v>
      </c>
      <c r="D465" s="145"/>
      <c r="E465" s="145" t="s">
        <v>3582</v>
      </c>
      <c r="F465" s="146" t="s">
        <v>6753</v>
      </c>
      <c r="G465" s="145" t="str">
        <f t="shared" si="20"/>
        <v>MCI-00746|Non applicable</v>
      </c>
      <c r="H465" s="145" t="str">
        <f t="shared" si="21"/>
        <v>MCI-00746|MCI-00975</v>
      </c>
      <c r="I465" s="145" t="str">
        <f t="shared" si="22"/>
        <v>a1O1R000006c5mPUAQ</v>
      </c>
      <c r="J465" s="146" t="s">
        <v>372</v>
      </c>
      <c r="K465" s="146" t="s">
        <v>765</v>
      </c>
      <c r="L465" s="146" t="s">
        <v>1283</v>
      </c>
      <c r="M465" s="145" t="s">
        <v>2878</v>
      </c>
    </row>
    <row r="466" spans="1:13" s="9" customFormat="1" x14ac:dyDescent="0.25">
      <c r="A466" s="145" t="s">
        <v>6447</v>
      </c>
      <c r="B466" s="145" t="s">
        <v>6754</v>
      </c>
      <c r="C466" s="145" t="str">
        <f>CHOOSE(Translations!$C$1+1,J466,K466,L466,)</f>
        <v>Non applicable</v>
      </c>
      <c r="D466" s="145"/>
      <c r="E466" s="145" t="s">
        <v>3577</v>
      </c>
      <c r="F466" s="146" t="s">
        <v>6755</v>
      </c>
      <c r="G466" s="145" t="str">
        <f t="shared" si="20"/>
        <v>MCI-00747|Non applicable</v>
      </c>
      <c r="H466" s="145" t="str">
        <f t="shared" si="21"/>
        <v>MCI-00747|MCI-00976</v>
      </c>
      <c r="I466" s="145" t="str">
        <f t="shared" si="22"/>
        <v>a1O1R000006c5mQUAQ</v>
      </c>
      <c r="J466" s="146" t="s">
        <v>372</v>
      </c>
      <c r="K466" s="146" t="s">
        <v>765</v>
      </c>
      <c r="L466" s="146" t="s">
        <v>1283</v>
      </c>
      <c r="M466" s="145" t="s">
        <v>2878</v>
      </c>
    </row>
    <row r="467" spans="1:13" s="9" customFormat="1" x14ac:dyDescent="0.25">
      <c r="A467" s="145" t="s">
        <v>6447</v>
      </c>
      <c r="B467" s="145" t="s">
        <v>6756</v>
      </c>
      <c r="C467" s="145" t="str">
        <f>CHOOSE(Translations!$C$1+1,J467,K467,L467,)</f>
        <v>Non applicable</v>
      </c>
      <c r="D467" s="145"/>
      <c r="E467" s="145" t="s">
        <v>3587</v>
      </c>
      <c r="F467" s="146" t="s">
        <v>6757</v>
      </c>
      <c r="G467" s="145" t="str">
        <f t="shared" si="20"/>
        <v>MCI-00748|Non applicable</v>
      </c>
      <c r="H467" s="145" t="str">
        <f t="shared" si="21"/>
        <v>MCI-00748|MCI-00977</v>
      </c>
      <c r="I467" s="145" t="str">
        <f t="shared" si="22"/>
        <v>a1O1R000006c5mRUAQ</v>
      </c>
      <c r="J467" s="146" t="s">
        <v>372</v>
      </c>
      <c r="K467" s="146" t="s">
        <v>765</v>
      </c>
      <c r="L467" s="146" t="s">
        <v>1283</v>
      </c>
      <c r="M467" s="145" t="s">
        <v>2878</v>
      </c>
    </row>
    <row r="468" spans="1:13" s="9" customFormat="1" x14ac:dyDescent="0.25">
      <c r="A468" s="145" t="s">
        <v>6447</v>
      </c>
      <c r="B468" s="145" t="s">
        <v>6758</v>
      </c>
      <c r="C468" s="145" t="str">
        <f>CHOOSE(Translations!$C$1+1,J468,K468,L468,)</f>
        <v>Non applicable</v>
      </c>
      <c r="D468" s="145"/>
      <c r="E468" s="145" t="s">
        <v>3557</v>
      </c>
      <c r="F468" s="146" t="s">
        <v>6759</v>
      </c>
      <c r="G468" s="145" t="str">
        <f t="shared" si="20"/>
        <v>MCI-00749|Non applicable</v>
      </c>
      <c r="H468" s="145" t="str">
        <f t="shared" si="21"/>
        <v>MCI-00749|MCI-00978</v>
      </c>
      <c r="I468" s="145" t="str">
        <f t="shared" si="22"/>
        <v>a1O1R000006c5mSUAQ</v>
      </c>
      <c r="J468" s="146" t="s">
        <v>372</v>
      </c>
      <c r="K468" s="146" t="s">
        <v>765</v>
      </c>
      <c r="L468" s="146" t="s">
        <v>1283</v>
      </c>
      <c r="M468" s="145" t="s">
        <v>2878</v>
      </c>
    </row>
    <row r="469" spans="1:13" s="9" customFormat="1" x14ac:dyDescent="0.25">
      <c r="A469" s="145" t="s">
        <v>6447</v>
      </c>
      <c r="B469" s="145" t="s">
        <v>6760</v>
      </c>
      <c r="C469" s="145" t="str">
        <f>CHOOSE(Translations!$C$1+1,J469,K469,L469,)</f>
        <v>Non applicable</v>
      </c>
      <c r="D469" s="145"/>
      <c r="E469" s="145" t="s">
        <v>3617</v>
      </c>
      <c r="F469" s="146" t="s">
        <v>6761</v>
      </c>
      <c r="G469" s="145" t="str">
        <f t="shared" si="20"/>
        <v>MCI-00778|Non applicable</v>
      </c>
      <c r="H469" s="145" t="str">
        <f t="shared" si="21"/>
        <v>MCI-00778|MCI-01007</v>
      </c>
      <c r="I469" s="145" t="str">
        <f t="shared" si="22"/>
        <v>a1O1R000006c5mvUAA</v>
      </c>
      <c r="J469" s="146" t="s">
        <v>372</v>
      </c>
      <c r="K469" s="146" t="s">
        <v>765</v>
      </c>
      <c r="L469" s="146" t="s">
        <v>1283</v>
      </c>
      <c r="M469" s="145" t="s">
        <v>2878</v>
      </c>
    </row>
    <row r="470" spans="1:13" s="9" customFormat="1" x14ac:dyDescent="0.25">
      <c r="A470" s="145" t="s">
        <v>6447</v>
      </c>
      <c r="B470" s="145" t="s">
        <v>6762</v>
      </c>
      <c r="C470" s="145" t="str">
        <f>CHOOSE(Translations!$C$1+1,J470,K470,L470,)</f>
        <v>Non applicable</v>
      </c>
      <c r="D470" s="145"/>
      <c r="E470" s="145" t="s">
        <v>3622</v>
      </c>
      <c r="F470" s="146" t="s">
        <v>6763</v>
      </c>
      <c r="G470" s="145" t="str">
        <f t="shared" si="20"/>
        <v>MCI-00779|Non applicable</v>
      </c>
      <c r="H470" s="145" t="str">
        <f t="shared" si="21"/>
        <v>MCI-00779|MCI-01008</v>
      </c>
      <c r="I470" s="145" t="str">
        <f t="shared" si="22"/>
        <v>a1O1R000006c5mwUAA</v>
      </c>
      <c r="J470" s="146" t="s">
        <v>372</v>
      </c>
      <c r="K470" s="146" t="s">
        <v>765</v>
      </c>
      <c r="L470" s="146" t="s">
        <v>1283</v>
      </c>
      <c r="M470" s="145" t="s">
        <v>2878</v>
      </c>
    </row>
    <row r="471" spans="1:13" s="9" customFormat="1" x14ac:dyDescent="0.25">
      <c r="A471" s="145" t="s">
        <v>6447</v>
      </c>
      <c r="B471" s="145" t="s">
        <v>6764</v>
      </c>
      <c r="C471" s="145" t="str">
        <f>CHOOSE(Translations!$C$1+1,J471,K471,L471,)</f>
        <v>Non applicable</v>
      </c>
      <c r="D471" s="145"/>
      <c r="E471" s="145" t="s">
        <v>3632</v>
      </c>
      <c r="F471" s="146" t="s">
        <v>6765</v>
      </c>
      <c r="G471" s="145" t="str">
        <f t="shared" si="20"/>
        <v>MCI-00780|Non applicable</v>
      </c>
      <c r="H471" s="145" t="str">
        <f t="shared" si="21"/>
        <v>MCI-00780|MCI-01009</v>
      </c>
      <c r="I471" s="145" t="str">
        <f t="shared" si="22"/>
        <v>a1O1R000006c5mxUAA</v>
      </c>
      <c r="J471" s="146" t="s">
        <v>372</v>
      </c>
      <c r="K471" s="146" t="s">
        <v>765</v>
      </c>
      <c r="L471" s="146" t="s">
        <v>1283</v>
      </c>
      <c r="M471" s="145" t="s">
        <v>2878</v>
      </c>
    </row>
    <row r="472" spans="1:13" s="9" customFormat="1" x14ac:dyDescent="0.25">
      <c r="A472" s="145" t="s">
        <v>6447</v>
      </c>
      <c r="B472" s="145" t="s">
        <v>6766</v>
      </c>
      <c r="C472" s="145" t="str">
        <f>CHOOSE(Translations!$C$1+1,J472,K472,L472,)</f>
        <v>Non applicable</v>
      </c>
      <c r="D472" s="145"/>
      <c r="E472" s="145" t="s">
        <v>3647</v>
      </c>
      <c r="F472" s="146" t="s">
        <v>6767</v>
      </c>
      <c r="G472" s="145" t="str">
        <f t="shared" si="20"/>
        <v>MCI-00781|Non applicable</v>
      </c>
      <c r="H472" s="145" t="str">
        <f t="shared" si="21"/>
        <v>MCI-00781|MCI-01010</v>
      </c>
      <c r="I472" s="145" t="str">
        <f t="shared" si="22"/>
        <v>a1O1R000006c5myUAA</v>
      </c>
      <c r="J472" s="146" t="s">
        <v>372</v>
      </c>
      <c r="K472" s="146" t="s">
        <v>765</v>
      </c>
      <c r="L472" s="146" t="s">
        <v>1283</v>
      </c>
      <c r="M472" s="145" t="s">
        <v>2878</v>
      </c>
    </row>
    <row r="473" spans="1:13" s="9" customFormat="1" x14ac:dyDescent="0.25">
      <c r="A473" s="145" t="s">
        <v>6447</v>
      </c>
      <c r="B473" s="145" t="s">
        <v>6768</v>
      </c>
      <c r="C473" s="145" t="str">
        <f>CHOOSE(Translations!$C$1+1,J473,K473,L473,)</f>
        <v>Non applicable</v>
      </c>
      <c r="D473" s="145"/>
      <c r="E473" s="145" t="s">
        <v>3637</v>
      </c>
      <c r="F473" s="146" t="s">
        <v>6769</v>
      </c>
      <c r="G473" s="145" t="str">
        <f t="shared" si="20"/>
        <v>MCI-00782|Non applicable</v>
      </c>
      <c r="H473" s="145" t="str">
        <f t="shared" si="21"/>
        <v>MCI-00782|MCI-01011</v>
      </c>
      <c r="I473" s="145" t="str">
        <f t="shared" si="22"/>
        <v>a1O1R000006c5mzUAA</v>
      </c>
      <c r="J473" s="146" t="s">
        <v>372</v>
      </c>
      <c r="K473" s="146" t="s">
        <v>765</v>
      </c>
      <c r="L473" s="146" t="s">
        <v>1283</v>
      </c>
      <c r="M473" s="145" t="s">
        <v>2878</v>
      </c>
    </row>
    <row r="474" spans="1:13" s="9" customFormat="1" x14ac:dyDescent="0.25">
      <c r="A474" s="145" t="s">
        <v>6447</v>
      </c>
      <c r="B474" s="145" t="s">
        <v>6770</v>
      </c>
      <c r="C474" s="145" t="str">
        <f>CHOOSE(Translations!$C$1+1,J474,K474,L474,)</f>
        <v>Non applicable</v>
      </c>
      <c r="D474" s="145"/>
      <c r="E474" s="145" t="s">
        <v>3642</v>
      </c>
      <c r="F474" s="146" t="s">
        <v>6771</v>
      </c>
      <c r="G474" s="145" t="str">
        <f t="shared" si="20"/>
        <v>MCI-00783|Non applicable</v>
      </c>
      <c r="H474" s="145" t="str">
        <f t="shared" si="21"/>
        <v>MCI-00783|MCI-01012</v>
      </c>
      <c r="I474" s="145" t="str">
        <f t="shared" si="22"/>
        <v>a1O1R000006c5n0UAA</v>
      </c>
      <c r="J474" s="146" t="s">
        <v>372</v>
      </c>
      <c r="K474" s="146" t="s">
        <v>765</v>
      </c>
      <c r="L474" s="146" t="s">
        <v>1283</v>
      </c>
      <c r="M474" s="145" t="s">
        <v>2878</v>
      </c>
    </row>
    <row r="475" spans="1:13" s="9" customFormat="1" x14ac:dyDescent="0.25">
      <c r="A475" s="145" t="s">
        <v>6447</v>
      </c>
      <c r="B475" s="145" t="s">
        <v>6772</v>
      </c>
      <c r="C475" s="145" t="str">
        <f>CHOOSE(Translations!$C$1+1,J475,K475,L475,)</f>
        <v>Non applicable</v>
      </c>
      <c r="D475" s="145"/>
      <c r="E475" s="145" t="s">
        <v>3627</v>
      </c>
      <c r="F475" s="146" t="s">
        <v>6773</v>
      </c>
      <c r="G475" s="145" t="str">
        <f t="shared" si="20"/>
        <v>MCI-00784|Non applicable</v>
      </c>
      <c r="H475" s="145" t="str">
        <f t="shared" si="21"/>
        <v>MCI-00784|MCI-01013</v>
      </c>
      <c r="I475" s="145" t="str">
        <f t="shared" si="22"/>
        <v>a1O1R000006c5n1UAA</v>
      </c>
      <c r="J475" s="146" t="s">
        <v>372</v>
      </c>
      <c r="K475" s="146" t="s">
        <v>765</v>
      </c>
      <c r="L475" s="146" t="s">
        <v>1283</v>
      </c>
      <c r="M475" s="145" t="s">
        <v>2878</v>
      </c>
    </row>
    <row r="476" spans="1:13" s="9" customFormat="1" x14ac:dyDescent="0.25">
      <c r="A476" s="145" t="s">
        <v>6447</v>
      </c>
      <c r="B476" s="145" t="s">
        <v>6774</v>
      </c>
      <c r="C476" s="145" t="str">
        <f>CHOOSE(Translations!$C$1+1,J476,K476,L476,)</f>
        <v>Non applicable</v>
      </c>
      <c r="D476" s="145"/>
      <c r="E476" s="145" t="s">
        <v>3672</v>
      </c>
      <c r="F476" s="146" t="s">
        <v>6775</v>
      </c>
      <c r="G476" s="145" t="str">
        <f t="shared" si="20"/>
        <v>MCI-00785|Non applicable</v>
      </c>
      <c r="H476" s="145" t="str">
        <f t="shared" si="21"/>
        <v>MCI-00785|MCI-01014</v>
      </c>
      <c r="I476" s="145" t="str">
        <f t="shared" si="22"/>
        <v>a1O1R000006c5n2UAA</v>
      </c>
      <c r="J476" s="146" t="s">
        <v>372</v>
      </c>
      <c r="K476" s="146" t="s">
        <v>765</v>
      </c>
      <c r="L476" s="146" t="s">
        <v>1283</v>
      </c>
      <c r="M476" s="145" t="s">
        <v>2878</v>
      </c>
    </row>
    <row r="477" spans="1:13" s="9" customFormat="1" x14ac:dyDescent="0.25">
      <c r="A477" s="145" t="s">
        <v>6447</v>
      </c>
      <c r="B477" s="145" t="s">
        <v>6776</v>
      </c>
      <c r="C477" s="145" t="str">
        <f>CHOOSE(Translations!$C$1+1,J477,K477,L477,)</f>
        <v>Non applicable</v>
      </c>
      <c r="D477" s="145"/>
      <c r="E477" s="145" t="s">
        <v>3667</v>
      </c>
      <c r="F477" s="146" t="s">
        <v>6777</v>
      </c>
      <c r="G477" s="145" t="str">
        <f t="shared" si="20"/>
        <v>MCI-00786|Non applicable</v>
      </c>
      <c r="H477" s="145" t="str">
        <f t="shared" si="21"/>
        <v>MCI-00786|MCI-01015</v>
      </c>
      <c r="I477" s="145" t="str">
        <f t="shared" si="22"/>
        <v>a1O1R000006c5n3UAA</v>
      </c>
      <c r="J477" s="146" t="s">
        <v>372</v>
      </c>
      <c r="K477" s="146" t="s">
        <v>765</v>
      </c>
      <c r="L477" s="146" t="s">
        <v>1283</v>
      </c>
      <c r="M477" s="145" t="s">
        <v>2878</v>
      </c>
    </row>
    <row r="478" spans="1:13" s="9" customFormat="1" x14ac:dyDescent="0.25">
      <c r="A478" s="145" t="s">
        <v>6447</v>
      </c>
      <c r="B478" s="145" t="s">
        <v>6778</v>
      </c>
      <c r="C478" s="145" t="str">
        <f>CHOOSE(Translations!$C$1+1,J478,K478,L478,)</f>
        <v>Non applicable</v>
      </c>
      <c r="D478" s="145"/>
      <c r="E478" s="145" t="s">
        <v>3657</v>
      </c>
      <c r="F478" s="146" t="s">
        <v>6779</v>
      </c>
      <c r="G478" s="145" t="str">
        <f t="shared" si="20"/>
        <v>MCI-00787|Non applicable</v>
      </c>
      <c r="H478" s="145" t="str">
        <f t="shared" si="21"/>
        <v>MCI-00787|MCI-01016</v>
      </c>
      <c r="I478" s="145" t="str">
        <f t="shared" si="22"/>
        <v>a1O1R000006c5n4UAA</v>
      </c>
      <c r="J478" s="146" t="s">
        <v>372</v>
      </c>
      <c r="K478" s="146" t="s">
        <v>765</v>
      </c>
      <c r="L478" s="146" t="s">
        <v>1283</v>
      </c>
      <c r="M478" s="145" t="s">
        <v>2878</v>
      </c>
    </row>
    <row r="479" spans="1:13" s="9" customFormat="1" x14ac:dyDescent="0.25">
      <c r="A479" s="145" t="s">
        <v>6447</v>
      </c>
      <c r="B479" s="145" t="s">
        <v>6780</v>
      </c>
      <c r="C479" s="145" t="str">
        <f>CHOOSE(Translations!$C$1+1,J479,K479,L479,)</f>
        <v>Non applicable</v>
      </c>
      <c r="D479" s="145"/>
      <c r="E479" s="145" t="s">
        <v>3677</v>
      </c>
      <c r="F479" s="146" t="s">
        <v>6781</v>
      </c>
      <c r="G479" s="145" t="str">
        <f t="shared" si="20"/>
        <v>MCI-00788|Non applicable</v>
      </c>
      <c r="H479" s="145" t="str">
        <f t="shared" si="21"/>
        <v>MCI-00788|MCI-01017</v>
      </c>
      <c r="I479" s="145" t="str">
        <f t="shared" si="22"/>
        <v>a1O1R000006c5n5UAA</v>
      </c>
      <c r="J479" s="146" t="s">
        <v>372</v>
      </c>
      <c r="K479" s="146" t="s">
        <v>765</v>
      </c>
      <c r="L479" s="146" t="s">
        <v>1283</v>
      </c>
      <c r="M479" s="145" t="s">
        <v>2878</v>
      </c>
    </row>
    <row r="480" spans="1:13" s="9" customFormat="1" x14ac:dyDescent="0.25">
      <c r="A480" s="145" t="s">
        <v>6447</v>
      </c>
      <c r="B480" s="145" t="s">
        <v>6782</v>
      </c>
      <c r="C480" s="145" t="str">
        <f>CHOOSE(Translations!$C$1+1,J480,K480,L480,)</f>
        <v>Non applicable</v>
      </c>
      <c r="D480" s="145"/>
      <c r="E480" s="145" t="s">
        <v>3652</v>
      </c>
      <c r="F480" s="146" t="s">
        <v>6783</v>
      </c>
      <c r="G480" s="145" t="str">
        <f t="shared" si="20"/>
        <v>MCI-00789|Non applicable</v>
      </c>
      <c r="H480" s="145" t="str">
        <f t="shared" si="21"/>
        <v>MCI-00789|MCI-01018</v>
      </c>
      <c r="I480" s="145" t="str">
        <f t="shared" si="22"/>
        <v>a1O1R000006c5n6UAA</v>
      </c>
      <c r="J480" s="146" t="s">
        <v>372</v>
      </c>
      <c r="K480" s="146" t="s">
        <v>765</v>
      </c>
      <c r="L480" s="146" t="s">
        <v>1283</v>
      </c>
      <c r="M480" s="145" t="s">
        <v>2878</v>
      </c>
    </row>
    <row r="481" spans="1:13" s="9" customFormat="1" x14ac:dyDescent="0.25">
      <c r="A481" s="145" t="s">
        <v>6447</v>
      </c>
      <c r="B481" s="145" t="s">
        <v>6784</v>
      </c>
      <c r="C481" s="145" t="str">
        <f>CHOOSE(Translations!$C$1+1,J481,K481,L481,)</f>
        <v>Non applicable</v>
      </c>
      <c r="D481" s="145"/>
      <c r="E481" s="145" t="s">
        <v>3662</v>
      </c>
      <c r="F481" s="146" t="s">
        <v>6785</v>
      </c>
      <c r="G481" s="145" t="str">
        <f t="shared" si="20"/>
        <v>MCI-00790|Non applicable</v>
      </c>
      <c r="H481" s="145" t="str">
        <f t="shared" si="21"/>
        <v>MCI-00790|MCI-01019</v>
      </c>
      <c r="I481" s="145" t="str">
        <f t="shared" si="22"/>
        <v>a1O1R000006c5n7UAA</v>
      </c>
      <c r="J481" s="146" t="s">
        <v>372</v>
      </c>
      <c r="K481" s="146" t="s">
        <v>765</v>
      </c>
      <c r="L481" s="146" t="s">
        <v>1283</v>
      </c>
      <c r="M481" s="145" t="s">
        <v>2878</v>
      </c>
    </row>
    <row r="482" spans="1:13" s="9" customFormat="1" x14ac:dyDescent="0.25">
      <c r="A482" s="145" t="s">
        <v>6447</v>
      </c>
      <c r="B482" s="145" t="s">
        <v>6786</v>
      </c>
      <c r="C482" s="145" t="str">
        <f>CHOOSE(Translations!$C$1+1,J482,K482,L482,)</f>
        <v>Non applicable</v>
      </c>
      <c r="D482" s="145"/>
      <c r="E482" s="145" t="s">
        <v>3697</v>
      </c>
      <c r="F482" s="146" t="s">
        <v>6787</v>
      </c>
      <c r="G482" s="145" t="str">
        <f t="shared" si="20"/>
        <v>MCI-00791|Non applicable</v>
      </c>
      <c r="H482" s="145" t="str">
        <f t="shared" si="21"/>
        <v>MCI-00791|MCI-01020</v>
      </c>
      <c r="I482" s="145" t="str">
        <f t="shared" si="22"/>
        <v>a1O1R000006c5n8UAA</v>
      </c>
      <c r="J482" s="146" t="s">
        <v>372</v>
      </c>
      <c r="K482" s="146" t="s">
        <v>765</v>
      </c>
      <c r="L482" s="146" t="s">
        <v>1283</v>
      </c>
      <c r="M482" s="145" t="s">
        <v>2878</v>
      </c>
    </row>
    <row r="483" spans="1:13" s="9" customFormat="1" x14ac:dyDescent="0.25">
      <c r="A483" s="145" t="s">
        <v>6447</v>
      </c>
      <c r="B483" s="145" t="s">
        <v>6788</v>
      </c>
      <c r="C483" s="145" t="str">
        <f>CHOOSE(Translations!$C$1+1,J483,K483,L483,)</f>
        <v>Non applicable</v>
      </c>
      <c r="D483" s="145"/>
      <c r="E483" s="145" t="s">
        <v>3712</v>
      </c>
      <c r="F483" s="146" t="s">
        <v>6789</v>
      </c>
      <c r="G483" s="145" t="str">
        <f t="shared" si="20"/>
        <v>MCI-00792|Non applicable</v>
      </c>
      <c r="H483" s="145" t="str">
        <f t="shared" si="21"/>
        <v>MCI-00792|MCI-01021</v>
      </c>
      <c r="I483" s="145" t="str">
        <f t="shared" si="22"/>
        <v>a1O1R000006c5n9UAA</v>
      </c>
      <c r="J483" s="146" t="s">
        <v>372</v>
      </c>
      <c r="K483" s="146" t="s">
        <v>765</v>
      </c>
      <c r="L483" s="146" t="s">
        <v>1283</v>
      </c>
      <c r="M483" s="145" t="s">
        <v>2878</v>
      </c>
    </row>
    <row r="484" spans="1:13" s="9" customFormat="1" x14ac:dyDescent="0.25">
      <c r="A484" s="145" t="s">
        <v>6447</v>
      </c>
      <c r="B484" s="145" t="s">
        <v>6790</v>
      </c>
      <c r="C484" s="145" t="str">
        <f>CHOOSE(Translations!$C$1+1,J484,K484,L484,)</f>
        <v>Non applicable</v>
      </c>
      <c r="D484" s="145"/>
      <c r="E484" s="145" t="s">
        <v>3707</v>
      </c>
      <c r="F484" s="146" t="s">
        <v>6791</v>
      </c>
      <c r="G484" s="145" t="str">
        <f t="shared" si="20"/>
        <v>MCI-00793|Non applicable</v>
      </c>
      <c r="H484" s="145" t="str">
        <f t="shared" si="21"/>
        <v>MCI-00793|MCI-01022</v>
      </c>
      <c r="I484" s="145" t="str">
        <f t="shared" si="22"/>
        <v>a1O1R000006c5nAUAQ</v>
      </c>
      <c r="J484" s="146" t="s">
        <v>372</v>
      </c>
      <c r="K484" s="146" t="s">
        <v>765</v>
      </c>
      <c r="L484" s="146" t="s">
        <v>1283</v>
      </c>
      <c r="M484" s="145" t="s">
        <v>2878</v>
      </c>
    </row>
    <row r="485" spans="1:13" s="9" customFormat="1" x14ac:dyDescent="0.25">
      <c r="A485" s="145" t="s">
        <v>6447</v>
      </c>
      <c r="B485" s="145" t="s">
        <v>6792</v>
      </c>
      <c r="C485" s="145" t="str">
        <f>CHOOSE(Translations!$C$1+1,J485,K485,L485,)</f>
        <v>Non applicable</v>
      </c>
      <c r="D485" s="145"/>
      <c r="E485" s="145" t="s">
        <v>3702</v>
      </c>
      <c r="F485" s="146" t="s">
        <v>6793</v>
      </c>
      <c r="G485" s="145" t="str">
        <f t="shared" si="20"/>
        <v>MCI-00794|Non applicable</v>
      </c>
      <c r="H485" s="145" t="str">
        <f t="shared" si="21"/>
        <v>MCI-00794|MCI-01023</v>
      </c>
      <c r="I485" s="145" t="str">
        <f t="shared" si="22"/>
        <v>a1O1R000006c5nBUAQ</v>
      </c>
      <c r="J485" s="146" t="s">
        <v>372</v>
      </c>
      <c r="K485" s="146" t="s">
        <v>765</v>
      </c>
      <c r="L485" s="146" t="s">
        <v>1283</v>
      </c>
      <c r="M485" s="145" t="s">
        <v>2878</v>
      </c>
    </row>
    <row r="486" spans="1:13" s="9" customFormat="1" x14ac:dyDescent="0.25">
      <c r="A486" s="145" t="s">
        <v>6447</v>
      </c>
      <c r="B486" s="145" t="s">
        <v>6794</v>
      </c>
      <c r="C486" s="145" t="str">
        <f>CHOOSE(Translations!$C$1+1,J486,K486,L486,)</f>
        <v>Non applicable</v>
      </c>
      <c r="D486" s="145"/>
      <c r="E486" s="145" t="s">
        <v>3682</v>
      </c>
      <c r="F486" s="146" t="s">
        <v>6795</v>
      </c>
      <c r="G486" s="145" t="str">
        <f t="shared" si="20"/>
        <v>MCI-00795|Non applicable</v>
      </c>
      <c r="H486" s="145" t="str">
        <f t="shared" si="21"/>
        <v>MCI-00795|MCI-01024</v>
      </c>
      <c r="I486" s="145" t="str">
        <f t="shared" si="22"/>
        <v>a1O1R000006c5nCUAQ</v>
      </c>
      <c r="J486" s="146" t="s">
        <v>372</v>
      </c>
      <c r="K486" s="146" t="s">
        <v>765</v>
      </c>
      <c r="L486" s="146" t="s">
        <v>1283</v>
      </c>
      <c r="M486" s="145" t="s">
        <v>2878</v>
      </c>
    </row>
    <row r="487" spans="1:13" s="9" customFormat="1" x14ac:dyDescent="0.25">
      <c r="A487" s="145" t="s">
        <v>6447</v>
      </c>
      <c r="B487" s="145" t="s">
        <v>6796</v>
      </c>
      <c r="C487" s="145" t="str">
        <f>CHOOSE(Translations!$C$1+1,J487,K487,L487,)</f>
        <v>Non applicable</v>
      </c>
      <c r="D487" s="145"/>
      <c r="E487" s="145" t="s">
        <v>3692</v>
      </c>
      <c r="F487" s="146" t="s">
        <v>6797</v>
      </c>
      <c r="G487" s="145" t="str">
        <f t="shared" si="20"/>
        <v>MCI-00796|Non applicable</v>
      </c>
      <c r="H487" s="145" t="str">
        <f t="shared" si="21"/>
        <v>MCI-00796|MCI-01025</v>
      </c>
      <c r="I487" s="145" t="str">
        <f t="shared" si="22"/>
        <v>a1O1R000006c5nDUAQ</v>
      </c>
      <c r="J487" s="146" t="s">
        <v>372</v>
      </c>
      <c r="K487" s="146" t="s">
        <v>765</v>
      </c>
      <c r="L487" s="146" t="s">
        <v>1283</v>
      </c>
      <c r="M487" s="145" t="s">
        <v>2878</v>
      </c>
    </row>
    <row r="488" spans="1:13" s="9" customFormat="1" x14ac:dyDescent="0.25">
      <c r="A488" s="145" t="s">
        <v>6447</v>
      </c>
      <c r="B488" s="145" t="s">
        <v>6798</v>
      </c>
      <c r="C488" s="145" t="str">
        <f>CHOOSE(Translations!$C$1+1,J488,K488,L488,)</f>
        <v>Non applicable</v>
      </c>
      <c r="D488" s="145"/>
      <c r="E488" s="145" t="s">
        <v>3687</v>
      </c>
      <c r="F488" s="146" t="s">
        <v>6799</v>
      </c>
      <c r="G488" s="145" t="str">
        <f t="shared" si="20"/>
        <v>MCI-00797|Non applicable</v>
      </c>
      <c r="H488" s="145" t="str">
        <f t="shared" si="21"/>
        <v>MCI-00797|MCI-01026</v>
      </c>
      <c r="I488" s="145" t="str">
        <f t="shared" si="22"/>
        <v>a1O1R000006c5nEUAQ</v>
      </c>
      <c r="J488" s="146" t="s">
        <v>372</v>
      </c>
      <c r="K488" s="146" t="s">
        <v>765</v>
      </c>
      <c r="L488" s="146" t="s">
        <v>1283</v>
      </c>
      <c r="M488" s="145" t="s">
        <v>2878</v>
      </c>
    </row>
    <row r="489" spans="1:13" s="9" customFormat="1" x14ac:dyDescent="0.25">
      <c r="A489" s="145" t="s">
        <v>6447</v>
      </c>
      <c r="B489" s="145" t="s">
        <v>6800</v>
      </c>
      <c r="C489" s="145" t="str">
        <f>CHOOSE(Translations!$C$1+1,J489,K489,L489,)</f>
        <v>Non applicable</v>
      </c>
      <c r="D489" s="145"/>
      <c r="E489" s="145" t="s">
        <v>3717</v>
      </c>
      <c r="F489" s="146" t="s">
        <v>6801</v>
      </c>
      <c r="G489" s="145" t="str">
        <f t="shared" si="20"/>
        <v>MCI-00798|Non applicable</v>
      </c>
      <c r="H489" s="145" t="str">
        <f t="shared" si="21"/>
        <v>MCI-00798|MCI-01027</v>
      </c>
      <c r="I489" s="145" t="str">
        <f t="shared" si="22"/>
        <v>a1O1R000006c5nFUAQ</v>
      </c>
      <c r="J489" s="146" t="s">
        <v>372</v>
      </c>
      <c r="K489" s="146" t="s">
        <v>765</v>
      </c>
      <c r="L489" s="146" t="s">
        <v>1283</v>
      </c>
      <c r="M489" s="145" t="s">
        <v>2878</v>
      </c>
    </row>
    <row r="490" spans="1:13" s="9" customFormat="1" x14ac:dyDescent="0.25">
      <c r="A490" s="145" t="s">
        <v>6447</v>
      </c>
      <c r="B490" s="145" t="s">
        <v>6802</v>
      </c>
      <c r="C490" s="145" t="str">
        <f>CHOOSE(Translations!$C$1+1,J490,K490,L490,)</f>
        <v>Non applicable</v>
      </c>
      <c r="D490" s="145"/>
      <c r="E490" s="145" t="s">
        <v>3727</v>
      </c>
      <c r="F490" s="146" t="s">
        <v>6803</v>
      </c>
      <c r="G490" s="145" t="str">
        <f t="shared" si="20"/>
        <v>MCI-00799|Non applicable</v>
      </c>
      <c r="H490" s="145" t="str">
        <f t="shared" si="21"/>
        <v>MCI-00799|MCI-01028</v>
      </c>
      <c r="I490" s="145" t="str">
        <f t="shared" si="22"/>
        <v>a1O1R000006c5nGUAQ</v>
      </c>
      <c r="J490" s="146" t="s">
        <v>372</v>
      </c>
      <c r="K490" s="146" t="s">
        <v>765</v>
      </c>
      <c r="L490" s="146" t="s">
        <v>1283</v>
      </c>
      <c r="M490" s="145" t="s">
        <v>2878</v>
      </c>
    </row>
    <row r="491" spans="1:13" s="9" customFormat="1" x14ac:dyDescent="0.25">
      <c r="A491" s="145" t="s">
        <v>6447</v>
      </c>
      <c r="B491" s="145" t="s">
        <v>6804</v>
      </c>
      <c r="C491" s="145" t="str">
        <f>CHOOSE(Translations!$C$1+1,J491,K491,L491,)</f>
        <v>Non applicable</v>
      </c>
      <c r="D491" s="145"/>
      <c r="E491" s="145" t="s">
        <v>3722</v>
      </c>
      <c r="F491" s="146" t="s">
        <v>6805</v>
      </c>
      <c r="G491" s="145" t="str">
        <f t="shared" si="20"/>
        <v>MCI-00800|Non applicable</v>
      </c>
      <c r="H491" s="145" t="str">
        <f t="shared" si="21"/>
        <v>MCI-00800|MCI-01029</v>
      </c>
      <c r="I491" s="145" t="str">
        <f t="shared" si="22"/>
        <v>a1O1R000006c5nHUAQ</v>
      </c>
      <c r="J491" s="146" t="s">
        <v>372</v>
      </c>
      <c r="K491" s="146" t="s">
        <v>765</v>
      </c>
      <c r="L491" s="146" t="s">
        <v>1283</v>
      </c>
      <c r="M491" s="145" t="s">
        <v>2878</v>
      </c>
    </row>
    <row r="492" spans="1:13" s="9" customFormat="1" x14ac:dyDescent="0.25">
      <c r="A492" s="145" t="s">
        <v>6447</v>
      </c>
      <c r="B492" s="145" t="s">
        <v>6806</v>
      </c>
      <c r="C492" s="145" t="str">
        <f>CHOOSE(Translations!$C$1+1,J492,K492,L492,)</f>
        <v>Non applicable</v>
      </c>
      <c r="D492" s="145"/>
      <c r="E492" s="145" t="s">
        <v>3732</v>
      </c>
      <c r="F492" s="146" t="s">
        <v>6807</v>
      </c>
      <c r="G492" s="145" t="str">
        <f t="shared" si="20"/>
        <v>MCI-00801|Non applicable</v>
      </c>
      <c r="H492" s="145" t="str">
        <f t="shared" si="21"/>
        <v>MCI-00801|MCI-01030</v>
      </c>
      <c r="I492" s="145" t="str">
        <f t="shared" si="22"/>
        <v>a1O1R000006c5nIUAQ</v>
      </c>
      <c r="J492" s="146" t="s">
        <v>372</v>
      </c>
      <c r="K492" s="146" t="s">
        <v>765</v>
      </c>
      <c r="L492" s="146" t="s">
        <v>1283</v>
      </c>
      <c r="M492" s="145" t="s">
        <v>2878</v>
      </c>
    </row>
    <row r="493" spans="1:13" s="9" customFormat="1" x14ac:dyDescent="0.25">
      <c r="A493" s="145" t="s">
        <v>6447</v>
      </c>
      <c r="B493" s="145" t="s">
        <v>6808</v>
      </c>
      <c r="C493" s="145" t="str">
        <f>CHOOSE(Translations!$C$1+1,J493,K493,L493,)</f>
        <v>Non applicable</v>
      </c>
      <c r="D493" s="145"/>
      <c r="E493" s="145" t="s">
        <v>3737</v>
      </c>
      <c r="F493" s="146" t="s">
        <v>6809</v>
      </c>
      <c r="G493" s="145" t="str">
        <f t="shared" si="20"/>
        <v>MCI-00802|Non applicable</v>
      </c>
      <c r="H493" s="145" t="str">
        <f t="shared" si="21"/>
        <v>MCI-00802|MCI-01031</v>
      </c>
      <c r="I493" s="145" t="str">
        <f t="shared" si="22"/>
        <v>a1O1R000006c5nJUAQ</v>
      </c>
      <c r="J493" s="146" t="s">
        <v>372</v>
      </c>
      <c r="K493" s="146" t="s">
        <v>765</v>
      </c>
      <c r="L493" s="146" t="s">
        <v>1283</v>
      </c>
      <c r="M493" s="145" t="s">
        <v>2878</v>
      </c>
    </row>
    <row r="494" spans="1:13" s="9" customFormat="1" x14ac:dyDescent="0.25">
      <c r="A494" s="145" t="s">
        <v>6447</v>
      </c>
      <c r="B494" s="145" t="s">
        <v>6810</v>
      </c>
      <c r="C494" s="145" t="str">
        <f>CHOOSE(Translations!$C$1+1,J494,K494,L494,)</f>
        <v>Non applicable</v>
      </c>
      <c r="D494" s="145"/>
      <c r="E494" s="145" t="s">
        <v>3742</v>
      </c>
      <c r="F494" s="146" t="s">
        <v>6811</v>
      </c>
      <c r="G494" s="145" t="str">
        <f t="shared" si="20"/>
        <v>MCI-00803|Non applicable</v>
      </c>
      <c r="H494" s="145" t="str">
        <f t="shared" si="21"/>
        <v>MCI-00803|MCI-01032</v>
      </c>
      <c r="I494" s="145" t="str">
        <f t="shared" si="22"/>
        <v>a1O1R000006c5nKUAQ</v>
      </c>
      <c r="J494" s="146" t="s">
        <v>372</v>
      </c>
      <c r="K494" s="146" t="s">
        <v>765</v>
      </c>
      <c r="L494" s="146" t="s">
        <v>1283</v>
      </c>
      <c r="M494" s="145" t="s">
        <v>2878</v>
      </c>
    </row>
    <row r="495" spans="1:13" s="9" customFormat="1" x14ac:dyDescent="0.25">
      <c r="A495" s="145" t="s">
        <v>6447</v>
      </c>
      <c r="B495" s="145" t="s">
        <v>6812</v>
      </c>
      <c r="C495" s="145" t="str">
        <f>CHOOSE(Translations!$C$1+1,J495,K495,L495,)</f>
        <v>Non applicable</v>
      </c>
      <c r="D495" s="145"/>
      <c r="E495" s="145" t="s">
        <v>3747</v>
      </c>
      <c r="F495" s="146" t="s">
        <v>6813</v>
      </c>
      <c r="G495" s="145" t="str">
        <f t="shared" si="20"/>
        <v>MCI-00804|Non applicable</v>
      </c>
      <c r="H495" s="145" t="str">
        <f t="shared" si="21"/>
        <v>MCI-00804|MCI-01033</v>
      </c>
      <c r="I495" s="145" t="str">
        <f t="shared" si="22"/>
        <v>a1O1R000006c5nLUAQ</v>
      </c>
      <c r="J495" s="146" t="s">
        <v>372</v>
      </c>
      <c r="K495" s="146" t="s">
        <v>765</v>
      </c>
      <c r="L495" s="146" t="s">
        <v>1283</v>
      </c>
      <c r="M495" s="145" t="s">
        <v>2878</v>
      </c>
    </row>
    <row r="496" spans="1:13" s="9" customFormat="1" x14ac:dyDescent="0.25">
      <c r="A496" s="145" t="s">
        <v>6447</v>
      </c>
      <c r="B496" s="145" t="s">
        <v>6814</v>
      </c>
      <c r="C496" s="145" t="str">
        <f>CHOOSE(Translations!$C$1+1,J496,K496,L496,)</f>
        <v>Non applicable</v>
      </c>
      <c r="D496" s="145"/>
      <c r="E496" s="145" t="s">
        <v>3752</v>
      </c>
      <c r="F496" s="146" t="s">
        <v>6815</v>
      </c>
      <c r="G496" s="145" t="str">
        <f t="shared" si="20"/>
        <v>MCI-00805|Non applicable</v>
      </c>
      <c r="H496" s="145" t="str">
        <f t="shared" si="21"/>
        <v>MCI-00805|MCI-01034</v>
      </c>
      <c r="I496" s="145" t="str">
        <f t="shared" si="22"/>
        <v>a1O1R000006c5nMUAQ</v>
      </c>
      <c r="J496" s="146" t="s">
        <v>372</v>
      </c>
      <c r="K496" s="146" t="s">
        <v>765</v>
      </c>
      <c r="L496" s="146" t="s">
        <v>1283</v>
      </c>
      <c r="M496" s="145" t="s">
        <v>2878</v>
      </c>
    </row>
    <row r="497" spans="1:13" s="9" customFormat="1" x14ac:dyDescent="0.25">
      <c r="A497" s="145" t="s">
        <v>6447</v>
      </c>
      <c r="B497" s="145" t="s">
        <v>6816</v>
      </c>
      <c r="C497" s="145" t="str">
        <f>CHOOSE(Translations!$C$1+1,J497,K497,L497,)</f>
        <v>Non applicable</v>
      </c>
      <c r="D497" s="145"/>
      <c r="E497" s="145" t="s">
        <v>3757</v>
      </c>
      <c r="F497" s="146" t="s">
        <v>6817</v>
      </c>
      <c r="G497" s="145" t="str">
        <f t="shared" si="20"/>
        <v>MCI-00806|Non applicable</v>
      </c>
      <c r="H497" s="145" t="str">
        <f t="shared" si="21"/>
        <v>MCI-00806|MCI-01035</v>
      </c>
      <c r="I497" s="145" t="str">
        <f t="shared" si="22"/>
        <v>a1O1R000006c5nNUAQ</v>
      </c>
      <c r="J497" s="146" t="s">
        <v>372</v>
      </c>
      <c r="K497" s="146" t="s">
        <v>765</v>
      </c>
      <c r="L497" s="146" t="s">
        <v>1283</v>
      </c>
      <c r="M497" s="145" t="s">
        <v>2878</v>
      </c>
    </row>
    <row r="498" spans="1:13" s="9" customFormat="1" x14ac:dyDescent="0.25">
      <c r="A498" s="145" t="s">
        <v>6447</v>
      </c>
      <c r="B498" s="145" t="s">
        <v>6818</v>
      </c>
      <c r="C498" s="145" t="str">
        <f>CHOOSE(Translations!$C$1+1,J498,K498,L498,)</f>
        <v>Non applicable</v>
      </c>
      <c r="D498" s="145"/>
      <c r="E498" s="145" t="s">
        <v>3767</v>
      </c>
      <c r="F498" s="146" t="s">
        <v>6819</v>
      </c>
      <c r="G498" s="145" t="str">
        <f t="shared" si="20"/>
        <v>MCI-00807|Non applicable</v>
      </c>
      <c r="H498" s="145" t="str">
        <f t="shared" si="21"/>
        <v>MCI-00807|MCI-01036</v>
      </c>
      <c r="I498" s="145" t="str">
        <f t="shared" si="22"/>
        <v>a1O1R000006c5nOUAQ</v>
      </c>
      <c r="J498" s="146" t="s">
        <v>372</v>
      </c>
      <c r="K498" s="146" t="s">
        <v>765</v>
      </c>
      <c r="L498" s="146" t="s">
        <v>1283</v>
      </c>
      <c r="M498" s="145" t="s">
        <v>2878</v>
      </c>
    </row>
    <row r="499" spans="1:13" s="9" customFormat="1" x14ac:dyDescent="0.25">
      <c r="A499" s="145" t="s">
        <v>6447</v>
      </c>
      <c r="B499" s="145" t="s">
        <v>6820</v>
      </c>
      <c r="C499" s="145" t="str">
        <f>CHOOSE(Translations!$C$1+1,J499,K499,L499,)</f>
        <v>Non applicable</v>
      </c>
      <c r="D499" s="145"/>
      <c r="E499" s="145" t="s">
        <v>3762</v>
      </c>
      <c r="F499" s="146" t="s">
        <v>6821</v>
      </c>
      <c r="G499" s="145" t="str">
        <f t="shared" si="20"/>
        <v>MCI-00808|Non applicable</v>
      </c>
      <c r="H499" s="145" t="str">
        <f t="shared" si="21"/>
        <v>MCI-00808|MCI-01037</v>
      </c>
      <c r="I499" s="145" t="str">
        <f t="shared" si="22"/>
        <v>a1O1R000006c5nPUAQ</v>
      </c>
      <c r="J499" s="146" t="s">
        <v>372</v>
      </c>
      <c r="K499" s="146" t="s">
        <v>765</v>
      </c>
      <c r="L499" s="146" t="s">
        <v>1283</v>
      </c>
      <c r="M499" s="145" t="s">
        <v>2878</v>
      </c>
    </row>
    <row r="500" spans="1:13" s="9" customFormat="1" x14ac:dyDescent="0.25">
      <c r="A500" s="145" t="s">
        <v>6447</v>
      </c>
      <c r="B500" s="145" t="s">
        <v>6822</v>
      </c>
      <c r="C500" s="145" t="str">
        <f>CHOOSE(Translations!$C$1+1,J500,K500,L500,)</f>
        <v>Non applicable</v>
      </c>
      <c r="D500" s="145"/>
      <c r="E500" s="145" t="s">
        <v>3787</v>
      </c>
      <c r="F500" s="146" t="s">
        <v>6823</v>
      </c>
      <c r="G500" s="145" t="str">
        <f t="shared" si="20"/>
        <v>MCI-00809|Non applicable</v>
      </c>
      <c r="H500" s="145" t="str">
        <f t="shared" si="21"/>
        <v>MCI-00809|MCI-01038</v>
      </c>
      <c r="I500" s="145" t="str">
        <f t="shared" si="22"/>
        <v>a1O1R000006c5nQUAQ</v>
      </c>
      <c r="J500" s="146" t="s">
        <v>372</v>
      </c>
      <c r="K500" s="146" t="s">
        <v>765</v>
      </c>
      <c r="L500" s="146" t="s">
        <v>1283</v>
      </c>
      <c r="M500" s="145" t="s">
        <v>2878</v>
      </c>
    </row>
    <row r="501" spans="1:13" s="9" customFormat="1" x14ac:dyDescent="0.25">
      <c r="A501" s="145" t="s">
        <v>6447</v>
      </c>
      <c r="B501" s="145" t="s">
        <v>6824</v>
      </c>
      <c r="C501" s="145" t="str">
        <f>CHOOSE(Translations!$C$1+1,J501,K501,L501,)</f>
        <v>Non applicable</v>
      </c>
      <c r="D501" s="145"/>
      <c r="E501" s="145" t="s">
        <v>3777</v>
      </c>
      <c r="F501" s="146" t="s">
        <v>6825</v>
      </c>
      <c r="G501" s="145" t="str">
        <f t="shared" si="20"/>
        <v>MCI-00810|Non applicable</v>
      </c>
      <c r="H501" s="145" t="str">
        <f t="shared" si="21"/>
        <v>MCI-00810|MCI-01039</v>
      </c>
      <c r="I501" s="145" t="str">
        <f t="shared" si="22"/>
        <v>a1O1R000006c5nRUAQ</v>
      </c>
      <c r="J501" s="146" t="s">
        <v>372</v>
      </c>
      <c r="K501" s="146" t="s">
        <v>765</v>
      </c>
      <c r="L501" s="146" t="s">
        <v>1283</v>
      </c>
      <c r="M501" s="145" t="s">
        <v>2878</v>
      </c>
    </row>
    <row r="502" spans="1:13" s="9" customFormat="1" x14ac:dyDescent="0.25">
      <c r="A502" s="145" t="s">
        <v>6447</v>
      </c>
      <c r="B502" s="145" t="s">
        <v>6826</v>
      </c>
      <c r="C502" s="145" t="str">
        <f>CHOOSE(Translations!$C$1+1,J502,K502,L502,)</f>
        <v>Non applicable</v>
      </c>
      <c r="D502" s="145"/>
      <c r="E502" s="145" t="s">
        <v>3792</v>
      </c>
      <c r="F502" s="146" t="s">
        <v>6827</v>
      </c>
      <c r="G502" s="145" t="str">
        <f t="shared" si="20"/>
        <v>MCI-00811|Non applicable</v>
      </c>
      <c r="H502" s="145" t="str">
        <f t="shared" si="21"/>
        <v>MCI-00811|MCI-01040</v>
      </c>
      <c r="I502" s="145" t="str">
        <f t="shared" si="22"/>
        <v>a1O1R000006c5nSUAQ</v>
      </c>
      <c r="J502" s="146" t="s">
        <v>372</v>
      </c>
      <c r="K502" s="146" t="s">
        <v>765</v>
      </c>
      <c r="L502" s="146" t="s">
        <v>1283</v>
      </c>
      <c r="M502" s="145" t="s">
        <v>2878</v>
      </c>
    </row>
    <row r="503" spans="1:13" s="9" customFormat="1" x14ac:dyDescent="0.25">
      <c r="A503" s="145" t="s">
        <v>6447</v>
      </c>
      <c r="B503" s="145" t="s">
        <v>6828</v>
      </c>
      <c r="C503" s="145" t="str">
        <f>CHOOSE(Translations!$C$1+1,J503,K503,L503,)</f>
        <v>Non applicable</v>
      </c>
      <c r="D503" s="145"/>
      <c r="E503" s="145" t="s">
        <v>3772</v>
      </c>
      <c r="F503" s="146" t="s">
        <v>6829</v>
      </c>
      <c r="G503" s="145" t="str">
        <f t="shared" si="20"/>
        <v>MCI-00812|Non applicable</v>
      </c>
      <c r="H503" s="145" t="str">
        <f t="shared" si="21"/>
        <v>MCI-00812|MCI-01041</v>
      </c>
      <c r="I503" s="145" t="str">
        <f t="shared" si="22"/>
        <v>a1O1R000006c5nTUAQ</v>
      </c>
      <c r="J503" s="146" t="s">
        <v>372</v>
      </c>
      <c r="K503" s="146" t="s">
        <v>765</v>
      </c>
      <c r="L503" s="146" t="s">
        <v>1283</v>
      </c>
      <c r="M503" s="145" t="s">
        <v>2878</v>
      </c>
    </row>
    <row r="504" spans="1:13" s="9" customFormat="1" x14ac:dyDescent="0.25">
      <c r="A504" s="145" t="s">
        <v>6447</v>
      </c>
      <c r="B504" s="145" t="s">
        <v>6830</v>
      </c>
      <c r="C504" s="145" t="str">
        <f>CHOOSE(Translations!$C$1+1,J504,K504,L504,)</f>
        <v>Non applicable</v>
      </c>
      <c r="D504" s="145"/>
      <c r="E504" s="145" t="s">
        <v>3782</v>
      </c>
      <c r="F504" s="146" t="s">
        <v>6831</v>
      </c>
      <c r="G504" s="145" t="str">
        <f t="shared" si="20"/>
        <v>MCI-00813|Non applicable</v>
      </c>
      <c r="H504" s="145" t="str">
        <f t="shared" si="21"/>
        <v>MCI-00813|MCI-01042</v>
      </c>
      <c r="I504" s="145" t="str">
        <f t="shared" si="22"/>
        <v>a1O1R000006c5nUUAQ</v>
      </c>
      <c r="J504" s="146" t="s">
        <v>372</v>
      </c>
      <c r="K504" s="146" t="s">
        <v>765</v>
      </c>
      <c r="L504" s="146" t="s">
        <v>1283</v>
      </c>
      <c r="M504" s="145" t="s">
        <v>2878</v>
      </c>
    </row>
    <row r="505" spans="1:13" s="9" customFormat="1" x14ac:dyDescent="0.25">
      <c r="A505" s="145" t="s">
        <v>6447</v>
      </c>
      <c r="B505" s="145" t="s">
        <v>6832</v>
      </c>
      <c r="C505" s="145" t="str">
        <f>CHOOSE(Translations!$C$1+1,J505,K505,L505,)</f>
        <v>Non applicable</v>
      </c>
      <c r="D505" s="145"/>
      <c r="E505" s="145" t="s">
        <v>3797</v>
      </c>
      <c r="F505" s="146" t="s">
        <v>6833</v>
      </c>
      <c r="G505" s="145" t="str">
        <f t="shared" si="20"/>
        <v>MCI-00814|Non applicable</v>
      </c>
      <c r="H505" s="145" t="str">
        <f t="shared" si="21"/>
        <v>MCI-00814|MCI-01043</v>
      </c>
      <c r="I505" s="145" t="str">
        <f t="shared" si="22"/>
        <v>a1O1R000006c5nVUAQ</v>
      </c>
      <c r="J505" s="146" t="s">
        <v>372</v>
      </c>
      <c r="K505" s="146" t="s">
        <v>765</v>
      </c>
      <c r="L505" s="146" t="s">
        <v>1283</v>
      </c>
      <c r="M505" s="145" t="s">
        <v>2878</v>
      </c>
    </row>
    <row r="508" spans="1:13" x14ac:dyDescent="0.25">
      <c r="A508" s="179" t="s">
        <v>316</v>
      </c>
    </row>
    <row r="509" spans="1:13" x14ac:dyDescent="0.25">
      <c r="A509" s="145" t="s">
        <v>283</v>
      </c>
      <c r="B509" s="145" t="s">
        <v>48</v>
      </c>
      <c r="C509" s="145" t="s">
        <v>453</v>
      </c>
      <c r="D509" s="145" t="s">
        <v>285</v>
      </c>
      <c r="E509" s="145" t="s">
        <v>107</v>
      </c>
      <c r="F509" s="145" t="s">
        <v>310</v>
      </c>
      <c r="G509" s="145" t="s">
        <v>43</v>
      </c>
      <c r="H509" s="145" t="s">
        <v>451</v>
      </c>
      <c r="I509" s="145" t="s">
        <v>449</v>
      </c>
    </row>
    <row r="510" spans="1:13" hidden="1" x14ac:dyDescent="0.25">
      <c r="A510" s="145" t="s">
        <v>282</v>
      </c>
      <c r="B510" s="145" t="s">
        <v>47</v>
      </c>
      <c r="C510" s="145" t="str">
        <f>CHOOSE(Translations!$C$1+1,G510,H510,I510)</f>
        <v>[Name - FR]</v>
      </c>
      <c r="D510" s="145" t="s">
        <v>284</v>
      </c>
      <c r="E510" s="146" t="s">
        <v>79</v>
      </c>
      <c r="F510" s="145" t="s">
        <v>102</v>
      </c>
      <c r="G510" s="146" t="s">
        <v>66</v>
      </c>
      <c r="H510" s="146" t="s">
        <v>450</v>
      </c>
      <c r="I510" s="146" t="s">
        <v>448</v>
      </c>
    </row>
    <row r="511" spans="1:13" s="9" customFormat="1" x14ac:dyDescent="0.25">
      <c r="A511" s="145" t="s">
        <v>6447</v>
      </c>
      <c r="B511" s="145" t="s">
        <v>6834</v>
      </c>
      <c r="C511" s="145" t="str">
        <f>CHOOSE(Translations!$C$1+1,G511,H511,I511)</f>
        <v>Hommes dans des contextes à forte prévalence</v>
      </c>
      <c r="D511" s="145" t="s">
        <v>2878</v>
      </c>
      <c r="E511" s="146" t="s">
        <v>6835</v>
      </c>
      <c r="F511" s="145" t="s">
        <v>3196</v>
      </c>
      <c r="G511" s="146" t="s">
        <v>6450</v>
      </c>
      <c r="H511" s="146" t="s">
        <v>6451</v>
      </c>
      <c r="I511" s="146" t="s">
        <v>6452</v>
      </c>
    </row>
    <row r="512" spans="1:13" s="9" customFormat="1" x14ac:dyDescent="0.25">
      <c r="A512" s="145" t="s">
        <v>6447</v>
      </c>
      <c r="B512" s="145" t="s">
        <v>6836</v>
      </c>
      <c r="C512" s="145" t="str">
        <f>CHOOSE(Translations!$C$1+1,G512,H512,I512)</f>
        <v>Hommes ayant des rapports sexuels avec des hommes</v>
      </c>
      <c r="D512" s="145" t="s">
        <v>2878</v>
      </c>
      <c r="E512" s="146" t="s">
        <v>6837</v>
      </c>
      <c r="F512" s="145" t="s">
        <v>2095</v>
      </c>
      <c r="G512" s="146" t="s">
        <v>6455</v>
      </c>
      <c r="H512" s="146" t="s">
        <v>6456</v>
      </c>
      <c r="I512" s="146" t="s">
        <v>1956</v>
      </c>
    </row>
    <row r="513" spans="1:9" s="9" customFormat="1" x14ac:dyDescent="0.25">
      <c r="A513" s="145" t="s">
        <v>6447</v>
      </c>
      <c r="B513" s="145" t="s">
        <v>6838</v>
      </c>
      <c r="C513" s="145" t="str">
        <f>CHOOSE(Translations!$C$1+1,G513,H513,I513)</f>
        <v>Personnes transgenres</v>
      </c>
      <c r="D513" s="145" t="s">
        <v>2878</v>
      </c>
      <c r="E513" s="146" t="s">
        <v>6839</v>
      </c>
      <c r="F513" s="145" t="s">
        <v>2103</v>
      </c>
      <c r="G513" s="146" t="s">
        <v>6464</v>
      </c>
      <c r="H513" s="146" t="s">
        <v>6465</v>
      </c>
      <c r="I513" s="146" t="s">
        <v>6466</v>
      </c>
    </row>
    <row r="514" spans="1:9" s="9" customFormat="1" x14ac:dyDescent="0.25">
      <c r="A514" s="145" t="s">
        <v>6447</v>
      </c>
      <c r="B514" s="145" t="s">
        <v>6840</v>
      </c>
      <c r="C514" s="145" t="str">
        <f>CHOOSE(Translations!$C$1+1,G514,H514,I514)</f>
        <v>Professionnels du sexe et leurs clients</v>
      </c>
      <c r="D514" s="145" t="s">
        <v>2878</v>
      </c>
      <c r="E514" s="146" t="s">
        <v>6841</v>
      </c>
      <c r="F514" s="145" t="s">
        <v>2111</v>
      </c>
      <c r="G514" s="146" t="s">
        <v>6459</v>
      </c>
      <c r="H514" s="146" t="s">
        <v>6460</v>
      </c>
      <c r="I514" s="146" t="s">
        <v>6461</v>
      </c>
    </row>
    <row r="515" spans="1:9" s="9" customFormat="1" x14ac:dyDescent="0.25">
      <c r="A515" s="145" t="s">
        <v>6447</v>
      </c>
      <c r="B515" s="145" t="s">
        <v>6842</v>
      </c>
      <c r="C515" s="145" t="str">
        <f>CHOOSE(Translations!$C$1+1,G515,H515,I515)</f>
        <v>Personnes qui s’injectent des drogues et leurs partenaires</v>
      </c>
      <c r="D515" s="145" t="s">
        <v>2878</v>
      </c>
      <c r="E515" s="146" t="s">
        <v>6843</v>
      </c>
      <c r="F515" s="145" t="s">
        <v>2125</v>
      </c>
      <c r="G515" s="146" t="s">
        <v>6469</v>
      </c>
      <c r="H515" s="146" t="s">
        <v>6470</v>
      </c>
      <c r="I515" s="146" t="s">
        <v>6471</v>
      </c>
    </row>
    <row r="516" spans="1:9" s="9" customFormat="1" x14ac:dyDescent="0.25">
      <c r="A516" s="145" t="s">
        <v>6447</v>
      </c>
      <c r="B516" s="145" t="s">
        <v>6844</v>
      </c>
      <c r="C516" s="145" t="str">
        <f>CHOOSE(Translations!$C$1+1,G516,H516,I516)</f>
        <v>Autres populations vulnérables</v>
      </c>
      <c r="D516" s="145" t="s">
        <v>2878</v>
      </c>
      <c r="E516" s="146" t="s">
        <v>6845</v>
      </c>
      <c r="F516" s="145" t="s">
        <v>3161</v>
      </c>
      <c r="G516" s="146" t="s">
        <v>6479</v>
      </c>
      <c r="H516" s="146" t="s">
        <v>6480</v>
      </c>
      <c r="I516" s="146" t="s">
        <v>6481</v>
      </c>
    </row>
    <row r="517" spans="1:9" s="9" customFormat="1" x14ac:dyDescent="0.25">
      <c r="A517" s="145" t="s">
        <v>6447</v>
      </c>
      <c r="B517" s="145" t="s">
        <v>6846</v>
      </c>
      <c r="C517" s="145" t="str">
        <f>CHOOSE(Translations!$C$1+1,G517,H517,I517)</f>
        <v>Personnes en détention ou se trouvant dans d’autres lieux fermés</v>
      </c>
      <c r="D517" s="145" t="s">
        <v>2878</v>
      </c>
      <c r="E517" s="146" t="s">
        <v>6847</v>
      </c>
      <c r="F517" s="145" t="s">
        <v>3166</v>
      </c>
      <c r="G517" s="146" t="s">
        <v>6474</v>
      </c>
      <c r="H517" s="146" t="s">
        <v>6475</v>
      </c>
      <c r="I517" s="146" t="s">
        <v>6476</v>
      </c>
    </row>
    <row r="518" spans="1:9" s="9" customFormat="1" x14ac:dyDescent="0.25">
      <c r="A518" s="145" t="s">
        <v>6447</v>
      </c>
      <c r="B518" s="145" t="s">
        <v>6848</v>
      </c>
      <c r="C518" s="145" t="str">
        <f>CHOOSE(Translations!$C$1+1,G518,H518,I518)</f>
        <v>Personnes qui s’injectent des drogues et leurs partenaires</v>
      </c>
      <c r="D518" s="145" t="s">
        <v>2878</v>
      </c>
      <c r="E518" s="146" t="s">
        <v>6849</v>
      </c>
      <c r="F518" s="145" t="s">
        <v>3171</v>
      </c>
      <c r="G518" s="146" t="s">
        <v>6469</v>
      </c>
      <c r="H518" s="146" t="s">
        <v>6470</v>
      </c>
      <c r="I518" s="146" t="s">
        <v>6471</v>
      </c>
    </row>
    <row r="519" spans="1:9" s="9" customFormat="1" x14ac:dyDescent="0.25">
      <c r="A519" s="145" t="s">
        <v>6447</v>
      </c>
      <c r="B519" s="145" t="s">
        <v>6850</v>
      </c>
      <c r="C519" s="145" t="str">
        <f>CHOOSE(Translations!$C$1+1,G519,H519,I519)</f>
        <v>Personnes qui s’injectent des drogues et leurs partenaires</v>
      </c>
      <c r="D519" s="145" t="s">
        <v>2878</v>
      </c>
      <c r="E519" s="146" t="s">
        <v>6851</v>
      </c>
      <c r="F519" s="145" t="s">
        <v>3176</v>
      </c>
      <c r="G519" s="146" t="s">
        <v>6469</v>
      </c>
      <c r="H519" s="146" t="s">
        <v>6470</v>
      </c>
      <c r="I519" s="146" t="s">
        <v>6471</v>
      </c>
    </row>
    <row r="520" spans="1:9" s="9" customFormat="1" x14ac:dyDescent="0.25">
      <c r="A520" s="145" t="s">
        <v>6447</v>
      </c>
      <c r="B520" s="145" t="s">
        <v>6852</v>
      </c>
      <c r="C520" s="145" t="str">
        <f>CHOOSE(Translations!$C$1+1,G520,H520,I520)</f>
        <v>Hommes ayant des rapports sexuels avec des hommes</v>
      </c>
      <c r="D520" s="145" t="s">
        <v>2878</v>
      </c>
      <c r="E520" s="146" t="s">
        <v>6853</v>
      </c>
      <c r="F520" s="145" t="s">
        <v>3181</v>
      </c>
      <c r="G520" s="146" t="s">
        <v>6455</v>
      </c>
      <c r="H520" s="146" t="s">
        <v>6456</v>
      </c>
      <c r="I520" s="146" t="s">
        <v>1956</v>
      </c>
    </row>
    <row r="521" spans="1:9" s="9" customFormat="1" x14ac:dyDescent="0.25">
      <c r="A521" s="145" t="s">
        <v>6447</v>
      </c>
      <c r="B521" s="145" t="s">
        <v>6854</v>
      </c>
      <c r="C521" s="145" t="str">
        <f>CHOOSE(Translations!$C$1+1,G521,H521,I521)</f>
        <v>Personnes transgenres</v>
      </c>
      <c r="D521" s="145" t="s">
        <v>2878</v>
      </c>
      <c r="E521" s="146" t="s">
        <v>6855</v>
      </c>
      <c r="F521" s="145" t="s">
        <v>3186</v>
      </c>
      <c r="G521" s="146" t="s">
        <v>6464</v>
      </c>
      <c r="H521" s="146" t="s">
        <v>6465</v>
      </c>
      <c r="I521" s="146" t="s">
        <v>6466</v>
      </c>
    </row>
    <row r="522" spans="1:9" s="9" customFormat="1" x14ac:dyDescent="0.25">
      <c r="A522" s="145" t="s">
        <v>6447</v>
      </c>
      <c r="B522" s="145" t="s">
        <v>6856</v>
      </c>
      <c r="C522" s="145" t="str">
        <f>CHOOSE(Translations!$C$1+1,G522,H522,I522)</f>
        <v>Professionnels du sexe et leurs clients</v>
      </c>
      <c r="D522" s="145" t="s">
        <v>2878</v>
      </c>
      <c r="E522" s="146" t="s">
        <v>6857</v>
      </c>
      <c r="F522" s="145" t="s">
        <v>3191</v>
      </c>
      <c r="G522" s="146" t="s">
        <v>6459</v>
      </c>
      <c r="H522" s="146" t="s">
        <v>6460</v>
      </c>
      <c r="I522" s="146" t="s">
        <v>6461</v>
      </c>
    </row>
    <row r="523" spans="1:9" s="9" customFormat="1" x14ac:dyDescent="0.25">
      <c r="A523" s="145" t="s">
        <v>6447</v>
      </c>
      <c r="B523" s="145" t="s">
        <v>6858</v>
      </c>
      <c r="C523" s="145" t="str">
        <f>CHOOSE(Translations!$C$1+1,G523,H523,I523)</f>
        <v>Adolescentes et jeunes femmes dans des contextes à forte prévalence</v>
      </c>
      <c r="D523" s="145" t="s">
        <v>2878</v>
      </c>
      <c r="E523" s="146" t="s">
        <v>6859</v>
      </c>
      <c r="F523" s="145" t="s">
        <v>2139</v>
      </c>
      <c r="G523" s="146" t="s">
        <v>6484</v>
      </c>
      <c r="H523" s="146" t="s">
        <v>6485</v>
      </c>
      <c r="I523" s="146" t="s">
        <v>6486</v>
      </c>
    </row>
    <row r="524" spans="1:9" s="9" customFormat="1" x14ac:dyDescent="0.25">
      <c r="A524" s="145" t="s">
        <v>6447</v>
      </c>
      <c r="B524" s="145" t="s">
        <v>6860</v>
      </c>
      <c r="C524" s="145" t="str">
        <f>CHOOSE(Translations!$C$1+1,G524,H524,I524)</f>
        <v>Adolescentes et jeunes femmes dans des contextes à forte prévalence</v>
      </c>
      <c r="D524" s="145" t="s">
        <v>2878</v>
      </c>
      <c r="E524" s="146" t="s">
        <v>6861</v>
      </c>
      <c r="F524" s="145" t="s">
        <v>2147</v>
      </c>
      <c r="G524" s="146" t="s">
        <v>6484</v>
      </c>
      <c r="H524" s="146" t="s">
        <v>6485</v>
      </c>
      <c r="I524" s="146" t="s">
        <v>6486</v>
      </c>
    </row>
    <row r="525" spans="1:9" s="9" customFormat="1" x14ac:dyDescent="0.25">
      <c r="A525" s="145" t="s">
        <v>6447</v>
      </c>
      <c r="B525" s="145" t="s">
        <v>6862</v>
      </c>
      <c r="C525" s="145" t="str">
        <f>CHOOSE(Translations!$C$1+1,G525,H525,I525)</f>
        <v>Adolescentes et jeunes femmes dans des contextes à forte prévalence</v>
      </c>
      <c r="D525" s="145" t="s">
        <v>2878</v>
      </c>
      <c r="E525" s="146" t="s">
        <v>6863</v>
      </c>
      <c r="F525" s="145" t="s">
        <v>2155</v>
      </c>
      <c r="G525" s="146" t="s">
        <v>6484</v>
      </c>
      <c r="H525" s="146" t="s">
        <v>6485</v>
      </c>
      <c r="I525" s="146" t="s">
        <v>6486</v>
      </c>
    </row>
    <row r="526" spans="1:9" s="9" customFormat="1" x14ac:dyDescent="0.25">
      <c r="A526" s="145" t="s">
        <v>6447</v>
      </c>
      <c r="B526" s="145" t="s">
        <v>6864</v>
      </c>
      <c r="C526" s="145" t="str">
        <f>CHOOSE(Translations!$C$1+1,G526,H526,I526)</f>
        <v>Adolescentes et jeunes femmes dans des contextes à forte prévalence</v>
      </c>
      <c r="D526" s="145" t="s">
        <v>2878</v>
      </c>
      <c r="E526" s="146" t="s">
        <v>6865</v>
      </c>
      <c r="F526" s="145" t="s">
        <v>3204</v>
      </c>
      <c r="G526" s="146" t="s">
        <v>6484</v>
      </c>
      <c r="H526" s="146" t="s">
        <v>6485</v>
      </c>
      <c r="I526" s="146" t="s">
        <v>6486</v>
      </c>
    </row>
    <row r="527" spans="1:9" s="9" customFormat="1" x14ac:dyDescent="0.25">
      <c r="A527" s="145" t="s">
        <v>6447</v>
      </c>
      <c r="B527" s="145" t="s">
        <v>6866</v>
      </c>
      <c r="C527" s="145" t="str">
        <f>CHOOSE(Translations!$C$1+1,G527,H527,I527)</f>
        <v>Non applicable</v>
      </c>
      <c r="D527" s="145" t="s">
        <v>2878</v>
      </c>
      <c r="E527" s="146" t="s">
        <v>6867</v>
      </c>
      <c r="F527" s="145" t="s">
        <v>2165</v>
      </c>
      <c r="G527" s="146" t="s">
        <v>372</v>
      </c>
      <c r="H527" s="146" t="s">
        <v>765</v>
      </c>
      <c r="I527" s="146" t="s">
        <v>1283</v>
      </c>
    </row>
    <row r="528" spans="1:9" s="9" customFormat="1" x14ac:dyDescent="0.25">
      <c r="A528" s="145" t="s">
        <v>6447</v>
      </c>
      <c r="B528" s="145" t="s">
        <v>6868</v>
      </c>
      <c r="C528" s="145" t="str">
        <f>CHOOSE(Translations!$C$1+1,G528,H528,I528)</f>
        <v>Non applicable</v>
      </c>
      <c r="D528" s="145" t="s">
        <v>2878</v>
      </c>
      <c r="E528" s="146" t="s">
        <v>6869</v>
      </c>
      <c r="F528" s="145" t="s">
        <v>3210</v>
      </c>
      <c r="G528" s="146" t="s">
        <v>372</v>
      </c>
      <c r="H528" s="146" t="s">
        <v>765</v>
      </c>
      <c r="I528" s="146" t="s">
        <v>1283</v>
      </c>
    </row>
    <row r="529" spans="1:9" s="9" customFormat="1" x14ac:dyDescent="0.25">
      <c r="A529" s="145" t="s">
        <v>6447</v>
      </c>
      <c r="B529" s="145" t="s">
        <v>6870</v>
      </c>
      <c r="C529" s="145" t="str">
        <f>CHOOSE(Translations!$C$1+1,G529,H529,I529)</f>
        <v>Non applicable</v>
      </c>
      <c r="D529" s="145" t="s">
        <v>2878</v>
      </c>
      <c r="E529" s="146" t="s">
        <v>6871</v>
      </c>
      <c r="F529" s="145" t="s">
        <v>2182</v>
      </c>
      <c r="G529" s="146" t="s">
        <v>372</v>
      </c>
      <c r="H529" s="146" t="s">
        <v>765</v>
      </c>
      <c r="I529" s="146" t="s">
        <v>1283</v>
      </c>
    </row>
    <row r="530" spans="1:9" s="9" customFormat="1" x14ac:dyDescent="0.25">
      <c r="A530" s="145" t="s">
        <v>6447</v>
      </c>
      <c r="B530" s="145" t="s">
        <v>6872</v>
      </c>
      <c r="C530" s="145" t="str">
        <f>CHOOSE(Translations!$C$1+1,G530,H530,I530)</f>
        <v>Non applicable</v>
      </c>
      <c r="D530" s="145" t="s">
        <v>2878</v>
      </c>
      <c r="E530" s="146" t="s">
        <v>6873</v>
      </c>
      <c r="F530" s="145" t="s">
        <v>3216</v>
      </c>
      <c r="G530" s="146" t="s">
        <v>372</v>
      </c>
      <c r="H530" s="146" t="s">
        <v>765</v>
      </c>
      <c r="I530" s="146" t="s">
        <v>1283</v>
      </c>
    </row>
    <row r="531" spans="1:9" s="9" customFormat="1" x14ac:dyDescent="0.25">
      <c r="A531" s="145" t="s">
        <v>6447</v>
      </c>
      <c r="B531" s="145" t="s">
        <v>6874</v>
      </c>
      <c r="C531" s="145" t="str">
        <f>CHOOSE(Translations!$C$1+1,G531,H531,I531)</f>
        <v>Adolescentes et jeunes femmes dans des contextes à forte prévalence</v>
      </c>
      <c r="D531" s="145" t="s">
        <v>2878</v>
      </c>
      <c r="E531" s="146" t="s">
        <v>6875</v>
      </c>
      <c r="F531" s="145" t="s">
        <v>2195</v>
      </c>
      <c r="G531" s="146" t="s">
        <v>6484</v>
      </c>
      <c r="H531" s="146" t="s">
        <v>6485</v>
      </c>
      <c r="I531" s="146" t="s">
        <v>6486</v>
      </c>
    </row>
    <row r="532" spans="1:9" s="9" customFormat="1" x14ac:dyDescent="0.25">
      <c r="A532" s="145" t="s">
        <v>6447</v>
      </c>
      <c r="B532" s="145" t="s">
        <v>6876</v>
      </c>
      <c r="C532" s="145" t="str">
        <f>CHOOSE(Translations!$C$1+1,G532,H532,I532)</f>
        <v>Hommes ayant des rapports sexuels avec des hommes</v>
      </c>
      <c r="D532" s="145" t="s">
        <v>2878</v>
      </c>
      <c r="E532" s="146" t="s">
        <v>6877</v>
      </c>
      <c r="F532" s="145" t="s">
        <v>2210</v>
      </c>
      <c r="G532" s="146" t="s">
        <v>6455</v>
      </c>
      <c r="H532" s="146" t="s">
        <v>6456</v>
      </c>
      <c r="I532" s="146" t="s">
        <v>1956</v>
      </c>
    </row>
    <row r="533" spans="1:9" s="9" customFormat="1" x14ac:dyDescent="0.25">
      <c r="A533" s="145" t="s">
        <v>6447</v>
      </c>
      <c r="B533" s="145" t="s">
        <v>6878</v>
      </c>
      <c r="C533" s="145" t="str">
        <f>CHOOSE(Translations!$C$1+1,G533,H533,I533)</f>
        <v>Personnes transgenres</v>
      </c>
      <c r="D533" s="145" t="s">
        <v>2878</v>
      </c>
      <c r="E533" s="146" t="s">
        <v>6879</v>
      </c>
      <c r="F533" s="145" t="s">
        <v>2222</v>
      </c>
      <c r="G533" s="146" t="s">
        <v>6464</v>
      </c>
      <c r="H533" s="146" t="s">
        <v>6465</v>
      </c>
      <c r="I533" s="146" t="s">
        <v>6466</v>
      </c>
    </row>
    <row r="534" spans="1:9" s="9" customFormat="1" x14ac:dyDescent="0.25">
      <c r="A534" s="145" t="s">
        <v>6447</v>
      </c>
      <c r="B534" s="145" t="s">
        <v>6880</v>
      </c>
      <c r="C534" s="145" t="str">
        <f>CHOOSE(Translations!$C$1+1,G534,H534,I534)</f>
        <v>Professionnels du sexe et leurs clients</v>
      </c>
      <c r="D534" s="145" t="s">
        <v>2878</v>
      </c>
      <c r="E534" s="146" t="s">
        <v>6881</v>
      </c>
      <c r="F534" s="145" t="s">
        <v>2234</v>
      </c>
      <c r="G534" s="146" t="s">
        <v>6459</v>
      </c>
      <c r="H534" s="146" t="s">
        <v>6460</v>
      </c>
      <c r="I534" s="146" t="s">
        <v>6461</v>
      </c>
    </row>
    <row r="535" spans="1:9" s="9" customFormat="1" x14ac:dyDescent="0.25">
      <c r="A535" s="145" t="s">
        <v>6447</v>
      </c>
      <c r="B535" s="145" t="s">
        <v>6882</v>
      </c>
      <c r="C535" s="145" t="str">
        <f>CHOOSE(Translations!$C$1+1,G535,H535,I535)</f>
        <v>Personnes qui s’injectent des drogues et leurs partenaires</v>
      </c>
      <c r="D535" s="145" t="s">
        <v>2878</v>
      </c>
      <c r="E535" s="146" t="s">
        <v>6883</v>
      </c>
      <c r="F535" s="145" t="s">
        <v>2252</v>
      </c>
      <c r="G535" s="146" t="s">
        <v>6469</v>
      </c>
      <c r="H535" s="146" t="s">
        <v>6470</v>
      </c>
      <c r="I535" s="146" t="s">
        <v>6471</v>
      </c>
    </row>
    <row r="536" spans="1:9" s="9" customFormat="1" x14ac:dyDescent="0.25">
      <c r="A536" s="145" t="s">
        <v>6447</v>
      </c>
      <c r="B536" s="145" t="s">
        <v>6884</v>
      </c>
      <c r="C536" s="145" t="str">
        <f>CHOOSE(Translations!$C$1+1,G536,H536,I536)</f>
        <v>Autres populations vulnérables</v>
      </c>
      <c r="D536" s="145" t="s">
        <v>2878</v>
      </c>
      <c r="E536" s="146" t="s">
        <v>6885</v>
      </c>
      <c r="F536" s="145" t="s">
        <v>2270</v>
      </c>
      <c r="G536" s="146" t="s">
        <v>6479</v>
      </c>
      <c r="H536" s="146" t="s">
        <v>6480</v>
      </c>
      <c r="I536" s="146" t="s">
        <v>6481</v>
      </c>
    </row>
    <row r="537" spans="1:9" s="9" customFormat="1" x14ac:dyDescent="0.25">
      <c r="A537" s="145" t="s">
        <v>6447</v>
      </c>
      <c r="B537" s="145" t="s">
        <v>6886</v>
      </c>
      <c r="C537" s="145" t="str">
        <f>CHOOSE(Translations!$C$1+1,G537,H537,I537)</f>
        <v>Personnes en détention ou se trouvant dans d’autres lieux fermés</v>
      </c>
      <c r="D537" s="145" t="s">
        <v>2878</v>
      </c>
      <c r="E537" s="146" t="s">
        <v>6887</v>
      </c>
      <c r="F537" s="145" t="s">
        <v>2278</v>
      </c>
      <c r="G537" s="146" t="s">
        <v>6474</v>
      </c>
      <c r="H537" s="146" t="s">
        <v>6475</v>
      </c>
      <c r="I537" s="146" t="s">
        <v>6476</v>
      </c>
    </row>
    <row r="538" spans="1:9" s="9" customFormat="1" x14ac:dyDescent="0.25">
      <c r="A538" s="145" t="s">
        <v>6447</v>
      </c>
      <c r="B538" s="145" t="s">
        <v>6888</v>
      </c>
      <c r="C538" s="145" t="str">
        <f>CHOOSE(Translations!$C$1+1,G538,H538,I538)</f>
        <v>Groupes de population non spécifiés</v>
      </c>
      <c r="D538" s="145" t="s">
        <v>2878</v>
      </c>
      <c r="E538" s="146" t="s">
        <v>6889</v>
      </c>
      <c r="F538" s="145" t="s">
        <v>2286</v>
      </c>
      <c r="G538" s="146" t="s">
        <v>6599</v>
      </c>
      <c r="H538" s="146" t="s">
        <v>6600</v>
      </c>
      <c r="I538" s="146" t="s">
        <v>6601</v>
      </c>
    </row>
    <row r="539" spans="1:9" s="9" customFormat="1" x14ac:dyDescent="0.25">
      <c r="A539" s="145" t="s">
        <v>6447</v>
      </c>
      <c r="B539" s="145" t="s">
        <v>6890</v>
      </c>
      <c r="C539" s="145" t="str">
        <f>CHOOSE(Translations!$C$1+1,G539,H539,I539)</f>
        <v>Groupes de population non spécifiés</v>
      </c>
      <c r="D539" s="145" t="s">
        <v>2878</v>
      </c>
      <c r="E539" s="146" t="s">
        <v>6891</v>
      </c>
      <c r="F539" s="145" t="s">
        <v>2339</v>
      </c>
      <c r="G539" s="146" t="s">
        <v>6599</v>
      </c>
      <c r="H539" s="146" t="s">
        <v>6600</v>
      </c>
      <c r="I539" s="146" t="s">
        <v>6601</v>
      </c>
    </row>
    <row r="540" spans="1:9" s="9" customFormat="1" x14ac:dyDescent="0.25">
      <c r="A540" s="145" t="s">
        <v>6447</v>
      </c>
      <c r="B540" s="145" t="s">
        <v>6892</v>
      </c>
      <c r="C540" s="145" t="str">
        <f>CHOOSE(Translations!$C$1+1,G540,H540,I540)</f>
        <v>Toutes les personnes vivant avec le VIH</v>
      </c>
      <c r="D540" s="145" t="s">
        <v>2878</v>
      </c>
      <c r="E540" s="146" t="s">
        <v>6893</v>
      </c>
      <c r="F540" s="145" t="s">
        <v>2357</v>
      </c>
      <c r="G540" s="146" t="s">
        <v>6675</v>
      </c>
      <c r="H540" s="146" t="s">
        <v>6676</v>
      </c>
      <c r="I540" s="146" t="s">
        <v>6677</v>
      </c>
    </row>
    <row r="541" spans="1:9" s="9" customFormat="1" x14ac:dyDescent="0.25">
      <c r="A541" s="145" t="s">
        <v>6447</v>
      </c>
      <c r="B541" s="145" t="s">
        <v>6894</v>
      </c>
      <c r="C541" s="145" t="str">
        <f>CHOOSE(Translations!$C$1+1,G541,H541,I541)</f>
        <v>Adultes vivant avec le VIH (15 ans et plus)</v>
      </c>
      <c r="D541" s="145" t="s">
        <v>2878</v>
      </c>
      <c r="E541" s="146" t="s">
        <v>6895</v>
      </c>
      <c r="F541" s="145" t="s">
        <v>2415</v>
      </c>
      <c r="G541" s="146" t="s">
        <v>6680</v>
      </c>
      <c r="H541" s="146" t="s">
        <v>6681</v>
      </c>
      <c r="I541" s="146" t="s">
        <v>6682</v>
      </c>
    </row>
    <row r="542" spans="1:9" s="9" customFormat="1" x14ac:dyDescent="0.25">
      <c r="A542" s="145" t="s">
        <v>6447</v>
      </c>
      <c r="B542" s="145" t="s">
        <v>6896</v>
      </c>
      <c r="C542" s="145" t="str">
        <f>CHOOSE(Translations!$C$1+1,G542,H542,I542)</f>
        <v>Enfants vivant avec le VIH (moins de 15 ans)</v>
      </c>
      <c r="D542" s="145" t="s">
        <v>2878</v>
      </c>
      <c r="E542" s="146" t="s">
        <v>6897</v>
      </c>
      <c r="F542" s="145" t="s">
        <v>2451</v>
      </c>
      <c r="G542" s="146" t="s">
        <v>6685</v>
      </c>
      <c r="H542" s="146" t="s">
        <v>6686</v>
      </c>
      <c r="I542" s="146" t="s">
        <v>6687</v>
      </c>
    </row>
    <row r="543" spans="1:9" s="9" customFormat="1" x14ac:dyDescent="0.25">
      <c r="A543" s="145" t="s">
        <v>6447</v>
      </c>
      <c r="B543" s="145" t="s">
        <v>6898</v>
      </c>
      <c r="C543" s="145" t="str">
        <f>CHOOSE(Translations!$C$1+1,G543,H543,I543)</f>
        <v>Non applicable</v>
      </c>
      <c r="D543" s="145" t="s">
        <v>2878</v>
      </c>
      <c r="E543" s="146" t="s">
        <v>6899</v>
      </c>
      <c r="F543" s="145" t="s">
        <v>2585</v>
      </c>
      <c r="G543" s="146" t="s">
        <v>372</v>
      </c>
      <c r="H543" s="146" t="s">
        <v>765</v>
      </c>
      <c r="I543" s="146" t="s">
        <v>1283</v>
      </c>
    </row>
    <row r="544" spans="1:9" s="9" customFormat="1" x14ac:dyDescent="0.25">
      <c r="A544" s="145" t="s">
        <v>6447</v>
      </c>
      <c r="B544" s="145" t="s">
        <v>6900</v>
      </c>
      <c r="C544" s="145" t="str">
        <f>CHOOSE(Translations!$C$1+1,G544,H544,I544)</f>
        <v>Non applicable</v>
      </c>
      <c r="D544" s="145" t="s">
        <v>2878</v>
      </c>
      <c r="E544" s="146" t="s">
        <v>6901</v>
      </c>
      <c r="F544" s="145" t="s">
        <v>2601</v>
      </c>
      <c r="G544" s="146" t="s">
        <v>372</v>
      </c>
      <c r="H544" s="146" t="s">
        <v>765</v>
      </c>
      <c r="I544" s="146" t="s">
        <v>1283</v>
      </c>
    </row>
    <row r="545" spans="1:9" s="9" customFormat="1" x14ac:dyDescent="0.25">
      <c r="A545" s="145" t="s">
        <v>6447</v>
      </c>
      <c r="B545" s="145" t="s">
        <v>6902</v>
      </c>
      <c r="C545" s="145" t="str">
        <f>CHOOSE(Translations!$C$1+1,G545,H545,I545)</f>
        <v>Non applicable</v>
      </c>
      <c r="D545" s="145" t="s">
        <v>2878</v>
      </c>
      <c r="E545" s="146" t="s">
        <v>6903</v>
      </c>
      <c r="F545" s="145" t="s">
        <v>2615</v>
      </c>
      <c r="G545" s="146" t="s">
        <v>372</v>
      </c>
      <c r="H545" s="146" t="s">
        <v>765</v>
      </c>
      <c r="I545" s="146" t="s">
        <v>1283</v>
      </c>
    </row>
    <row r="546" spans="1:9" s="9" customFormat="1" x14ac:dyDescent="0.25">
      <c r="A546" s="145" t="s">
        <v>6447</v>
      </c>
      <c r="B546" s="145" t="s">
        <v>6904</v>
      </c>
      <c r="C546" s="145" t="str">
        <f>CHOOSE(Translations!$C$1+1,G546,H546,I546)</f>
        <v>Non applicable</v>
      </c>
      <c r="D546" s="145" t="s">
        <v>2878</v>
      </c>
      <c r="E546" s="146" t="s">
        <v>6905</v>
      </c>
      <c r="F546" s="145" t="s">
        <v>3261</v>
      </c>
      <c r="G546" s="146" t="s">
        <v>372</v>
      </c>
      <c r="H546" s="146" t="s">
        <v>765</v>
      </c>
      <c r="I546" s="146" t="s">
        <v>1283</v>
      </c>
    </row>
    <row r="547" spans="1:9" s="9" customFormat="1" x14ac:dyDescent="0.25">
      <c r="A547" s="145" t="s">
        <v>6447</v>
      </c>
      <c r="B547" s="145" t="s">
        <v>6906</v>
      </c>
      <c r="C547" s="145" t="str">
        <f>CHOOSE(Translations!$C$1+1,G547,H547,I547)</f>
        <v>Non applicable</v>
      </c>
      <c r="D547" s="145" t="s">
        <v>2878</v>
      </c>
      <c r="E547" s="146" t="s">
        <v>6907</v>
      </c>
      <c r="F547" s="145" t="s">
        <v>3267</v>
      </c>
      <c r="G547" s="146" t="s">
        <v>372</v>
      </c>
      <c r="H547" s="146" t="s">
        <v>765</v>
      </c>
      <c r="I547" s="146" t="s">
        <v>1283</v>
      </c>
    </row>
    <row r="548" spans="1:9" s="9" customFormat="1" x14ac:dyDescent="0.25">
      <c r="A548" s="145" t="s">
        <v>6447</v>
      </c>
      <c r="B548" s="145" t="s">
        <v>6908</v>
      </c>
      <c r="C548" s="145" t="str">
        <f>CHOOSE(Translations!$C$1+1,G548,H548,I548)</f>
        <v>Non applicable</v>
      </c>
      <c r="D548" s="145" t="s">
        <v>2878</v>
      </c>
      <c r="E548" s="146" t="s">
        <v>6909</v>
      </c>
      <c r="F548" s="145" t="s">
        <v>3272</v>
      </c>
      <c r="G548" s="146" t="s">
        <v>372</v>
      </c>
      <c r="H548" s="146" t="s">
        <v>765</v>
      </c>
      <c r="I548" s="146" t="s">
        <v>1283</v>
      </c>
    </row>
    <row r="549" spans="1:9" s="9" customFormat="1" x14ac:dyDescent="0.25">
      <c r="A549" s="145" t="s">
        <v>6447</v>
      </c>
      <c r="B549" s="145" t="s">
        <v>6910</v>
      </c>
      <c r="C549" s="145" t="str">
        <f>CHOOSE(Translations!$C$1+1,G549,H549,I549)</f>
        <v>Non applicable</v>
      </c>
      <c r="D549" s="145" t="s">
        <v>2878</v>
      </c>
      <c r="E549" s="146" t="s">
        <v>6911</v>
      </c>
      <c r="F549" s="145" t="s">
        <v>3277</v>
      </c>
      <c r="G549" s="146" t="s">
        <v>372</v>
      </c>
      <c r="H549" s="146" t="s">
        <v>765</v>
      </c>
      <c r="I549" s="146" t="s">
        <v>1283</v>
      </c>
    </row>
    <row r="550" spans="1:9" s="9" customFormat="1" x14ac:dyDescent="0.25">
      <c r="A550" s="145" t="s">
        <v>6447</v>
      </c>
      <c r="B550" s="145" t="s">
        <v>6912</v>
      </c>
      <c r="C550" s="145" t="str">
        <f>CHOOSE(Translations!$C$1+1,G550,H550,I550)</f>
        <v>Non applicable</v>
      </c>
      <c r="D550" s="145" t="s">
        <v>2878</v>
      </c>
      <c r="E550" s="146" t="s">
        <v>6913</v>
      </c>
      <c r="F550" s="145" t="s">
        <v>3282</v>
      </c>
      <c r="G550" s="146" t="s">
        <v>372</v>
      </c>
      <c r="H550" s="146" t="s">
        <v>765</v>
      </c>
      <c r="I550" s="146" t="s">
        <v>1283</v>
      </c>
    </row>
    <row r="551" spans="1:9" s="9" customFormat="1" x14ac:dyDescent="0.25">
      <c r="A551" s="145" t="s">
        <v>6447</v>
      </c>
      <c r="B551" s="145" t="s">
        <v>6914</v>
      </c>
      <c r="C551" s="145" t="str">
        <f>CHOOSE(Translations!$C$1+1,G551,H551,I551)</f>
        <v>Non applicable</v>
      </c>
      <c r="D551" s="145" t="s">
        <v>2878</v>
      </c>
      <c r="E551" s="146" t="s">
        <v>6915</v>
      </c>
      <c r="F551" s="145" t="s">
        <v>2770</v>
      </c>
      <c r="G551" s="146" t="s">
        <v>372</v>
      </c>
      <c r="H551" s="146" t="s">
        <v>765</v>
      </c>
      <c r="I551" s="146" t="s">
        <v>1283</v>
      </c>
    </row>
    <row r="552" spans="1:9" s="9" customFormat="1" x14ac:dyDescent="0.25">
      <c r="A552" s="145" t="s">
        <v>6447</v>
      </c>
      <c r="B552" s="145" t="s">
        <v>6916</v>
      </c>
      <c r="C552" s="145" t="str">
        <f>CHOOSE(Translations!$C$1+1,G552,H552,I552)</f>
        <v>Non applicable</v>
      </c>
      <c r="D552" s="145" t="s">
        <v>2878</v>
      </c>
      <c r="E552" s="146" t="s">
        <v>6917</v>
      </c>
      <c r="F552" s="145" t="s">
        <v>2797</v>
      </c>
      <c r="G552" s="146" t="s">
        <v>372</v>
      </c>
      <c r="H552" s="146" t="s">
        <v>765</v>
      </c>
      <c r="I552" s="146" t="s">
        <v>1283</v>
      </c>
    </row>
    <row r="553" spans="1:9" s="9" customFormat="1" x14ac:dyDescent="0.25">
      <c r="A553" s="145" t="s">
        <v>6447</v>
      </c>
      <c r="B553" s="145" t="s">
        <v>6918</v>
      </c>
      <c r="C553" s="145" t="str">
        <f>CHOOSE(Translations!$C$1+1,G553,H553,I553)</f>
        <v>Non applicable</v>
      </c>
      <c r="D553" s="145" t="s">
        <v>2878</v>
      </c>
      <c r="E553" s="146" t="s">
        <v>6919</v>
      </c>
      <c r="F553" s="145" t="s">
        <v>3289</v>
      </c>
      <c r="G553" s="146" t="s">
        <v>372</v>
      </c>
      <c r="H553" s="146" t="s">
        <v>765</v>
      </c>
      <c r="I553" s="146" t="s">
        <v>1283</v>
      </c>
    </row>
    <row r="554" spans="1:9" s="9" customFormat="1" x14ac:dyDescent="0.25">
      <c r="A554" s="145" t="s">
        <v>6447</v>
      </c>
      <c r="B554" s="145" t="s">
        <v>6920</v>
      </c>
      <c r="C554" s="145" t="str">
        <f>CHOOSE(Translations!$C$1+1,G554,H554,I554)</f>
        <v>Non applicable</v>
      </c>
      <c r="D554" s="145" t="s">
        <v>2878</v>
      </c>
      <c r="E554" s="146" t="s">
        <v>6921</v>
      </c>
      <c r="F554" s="145" t="s">
        <v>3294</v>
      </c>
      <c r="G554" s="146" t="s">
        <v>372</v>
      </c>
      <c r="H554" s="146" t="s">
        <v>765</v>
      </c>
      <c r="I554" s="146" t="s">
        <v>1283</v>
      </c>
    </row>
    <row r="555" spans="1:9" s="9" customFormat="1" x14ac:dyDescent="0.25">
      <c r="A555" s="145" t="s">
        <v>6447</v>
      </c>
      <c r="B555" s="145" t="s">
        <v>6922</v>
      </c>
      <c r="C555" s="145" t="str">
        <f>CHOOSE(Translations!$C$1+1,G555,H555,I555)</f>
        <v>Non applicable</v>
      </c>
      <c r="D555" s="145" t="s">
        <v>2878</v>
      </c>
      <c r="E555" s="146" t="s">
        <v>6923</v>
      </c>
      <c r="F555" s="145" t="s">
        <v>3299</v>
      </c>
      <c r="G555" s="146" t="s">
        <v>372</v>
      </c>
      <c r="H555" s="146" t="s">
        <v>765</v>
      </c>
      <c r="I555" s="146" t="s">
        <v>1283</v>
      </c>
    </row>
    <row r="556" spans="1:9" s="9" customFormat="1" x14ac:dyDescent="0.25">
      <c r="A556" s="145" t="s">
        <v>6447</v>
      </c>
      <c r="B556" s="145" t="s">
        <v>6924</v>
      </c>
      <c r="C556" s="145" t="str">
        <f>CHOOSE(Translations!$C$1+1,G556,H556,I556)</f>
        <v>Non applicable</v>
      </c>
      <c r="D556" s="145" t="s">
        <v>2878</v>
      </c>
      <c r="E556" s="146" t="s">
        <v>6925</v>
      </c>
      <c r="F556" s="145" t="s">
        <v>2809</v>
      </c>
      <c r="G556" s="146" t="s">
        <v>372</v>
      </c>
      <c r="H556" s="146" t="s">
        <v>765</v>
      </c>
      <c r="I556" s="146" t="s">
        <v>1283</v>
      </c>
    </row>
    <row r="557" spans="1:9" s="9" customFormat="1" x14ac:dyDescent="0.25">
      <c r="A557" s="145" t="s">
        <v>6447</v>
      </c>
      <c r="B557" s="145" t="s">
        <v>6926</v>
      </c>
      <c r="C557" s="145" t="str">
        <f>CHOOSE(Translations!$C$1+1,G557,H557,I557)</f>
        <v>Non applicable</v>
      </c>
      <c r="D557" s="145" t="s">
        <v>2878</v>
      </c>
      <c r="E557" s="146" t="s">
        <v>6927</v>
      </c>
      <c r="F557" s="145" t="s">
        <v>2823</v>
      </c>
      <c r="G557" s="146" t="s">
        <v>372</v>
      </c>
      <c r="H557" s="146" t="s">
        <v>765</v>
      </c>
      <c r="I557" s="146" t="s">
        <v>1283</v>
      </c>
    </row>
    <row r="558" spans="1:9" s="9" customFormat="1" x14ac:dyDescent="0.25">
      <c r="A558" s="145" t="s">
        <v>6447</v>
      </c>
      <c r="B558" s="145" t="s">
        <v>6928</v>
      </c>
      <c r="C558" s="145" t="str">
        <f>CHOOSE(Translations!$C$1+1,G558,H558,I558)</f>
        <v>Non applicable</v>
      </c>
      <c r="D558" s="145" t="s">
        <v>2878</v>
      </c>
      <c r="E558" s="146" t="s">
        <v>6929</v>
      </c>
      <c r="F558" s="145" t="s">
        <v>3306</v>
      </c>
      <c r="G558" s="146" t="s">
        <v>372</v>
      </c>
      <c r="H558" s="146" t="s">
        <v>765</v>
      </c>
      <c r="I558" s="146" t="s">
        <v>1283</v>
      </c>
    </row>
    <row r="559" spans="1:9" s="9" customFormat="1" x14ac:dyDescent="0.25">
      <c r="A559" s="145" t="s">
        <v>6447</v>
      </c>
      <c r="B559" s="145" t="s">
        <v>6930</v>
      </c>
      <c r="C559" s="145" t="str">
        <f>CHOOSE(Translations!$C$1+1,G559,H559,I559)</f>
        <v>Non applicable</v>
      </c>
      <c r="D559" s="145" t="s">
        <v>2878</v>
      </c>
      <c r="E559" s="146" t="s">
        <v>6931</v>
      </c>
      <c r="F559" s="145" t="s">
        <v>3311</v>
      </c>
      <c r="G559" s="146" t="s">
        <v>372</v>
      </c>
      <c r="H559" s="146" t="s">
        <v>765</v>
      </c>
      <c r="I559" s="146" t="s">
        <v>1283</v>
      </c>
    </row>
    <row r="560" spans="1:9" s="9" customFormat="1" x14ac:dyDescent="0.25">
      <c r="A560" s="145" t="s">
        <v>6447</v>
      </c>
      <c r="B560" s="145" t="s">
        <v>6932</v>
      </c>
      <c r="C560" s="145" t="str">
        <f>CHOOSE(Translations!$C$1+1,G560,H560,I560)</f>
        <v>Non applicable</v>
      </c>
      <c r="D560" s="145" t="s">
        <v>2878</v>
      </c>
      <c r="E560" s="146" t="s">
        <v>6933</v>
      </c>
      <c r="F560" s="145" t="s">
        <v>3316</v>
      </c>
      <c r="G560" s="146" t="s">
        <v>372</v>
      </c>
      <c r="H560" s="146" t="s">
        <v>765</v>
      </c>
      <c r="I560" s="146" t="s">
        <v>1283</v>
      </c>
    </row>
    <row r="561" spans="1:9" s="9" customFormat="1" x14ac:dyDescent="0.25">
      <c r="A561" s="145" t="s">
        <v>6447</v>
      </c>
      <c r="B561" s="145" t="s">
        <v>6934</v>
      </c>
      <c r="C561" s="145" t="str">
        <f>CHOOSE(Translations!$C$1+1,G561,H561,I561)</f>
        <v>Non applicable</v>
      </c>
      <c r="D561" s="145" t="s">
        <v>2878</v>
      </c>
      <c r="E561" s="146" t="s">
        <v>6935</v>
      </c>
      <c r="F561" s="145" t="s">
        <v>3321</v>
      </c>
      <c r="G561" s="146" t="s">
        <v>372</v>
      </c>
      <c r="H561" s="146" t="s">
        <v>765</v>
      </c>
      <c r="I561" s="146" t="s">
        <v>1283</v>
      </c>
    </row>
    <row r="562" spans="1:9" s="9" customFormat="1" x14ac:dyDescent="0.25">
      <c r="A562" s="145" t="s">
        <v>6447</v>
      </c>
      <c r="B562" s="145" t="s">
        <v>6936</v>
      </c>
      <c r="C562" s="145" t="str">
        <f>CHOOSE(Translations!$C$1+1,G562,H562,I562)</f>
        <v>Non applicable</v>
      </c>
      <c r="D562" s="145" t="s">
        <v>2878</v>
      </c>
      <c r="E562" s="146" t="s">
        <v>6937</v>
      </c>
      <c r="F562" s="145" t="s">
        <v>2837</v>
      </c>
      <c r="G562" s="146" t="s">
        <v>372</v>
      </c>
      <c r="H562" s="146" t="s">
        <v>765</v>
      </c>
      <c r="I562" s="146" t="s">
        <v>1283</v>
      </c>
    </row>
    <row r="563" spans="1:9" s="9" customFormat="1" x14ac:dyDescent="0.25">
      <c r="A563" s="145" t="s">
        <v>6447</v>
      </c>
      <c r="B563" s="145" t="s">
        <v>6938</v>
      </c>
      <c r="C563" s="145" t="str">
        <f>CHOOSE(Translations!$C$1+1,G563,H563,I563)</f>
        <v>Non applicable</v>
      </c>
      <c r="D563" s="145" t="s">
        <v>2878</v>
      </c>
      <c r="E563" s="146" t="s">
        <v>6939</v>
      </c>
      <c r="F563" s="145" t="s">
        <v>3327</v>
      </c>
      <c r="G563" s="146" t="s">
        <v>372</v>
      </c>
      <c r="H563" s="146" t="s">
        <v>765</v>
      </c>
      <c r="I563" s="146" t="s">
        <v>1283</v>
      </c>
    </row>
    <row r="564" spans="1:9" s="9" customFormat="1" x14ac:dyDescent="0.25">
      <c r="A564" s="145" t="s">
        <v>6447</v>
      </c>
      <c r="B564" s="145" t="s">
        <v>6940</v>
      </c>
      <c r="C564" s="145" t="str">
        <f>CHOOSE(Translations!$C$1+1,G564,H564,I564)</f>
        <v>Non applicable</v>
      </c>
      <c r="D564" s="145" t="s">
        <v>2878</v>
      </c>
      <c r="E564" s="146" t="s">
        <v>6941</v>
      </c>
      <c r="F564" s="145" t="s">
        <v>3332</v>
      </c>
      <c r="G564" s="146" t="s">
        <v>372</v>
      </c>
      <c r="H564" s="146" t="s">
        <v>765</v>
      </c>
      <c r="I564" s="146" t="s">
        <v>1283</v>
      </c>
    </row>
    <row r="565" spans="1:9" s="9" customFormat="1" x14ac:dyDescent="0.25">
      <c r="A565" s="145" t="s">
        <v>6447</v>
      </c>
      <c r="B565" s="145" t="s">
        <v>6942</v>
      </c>
      <c r="C565" s="145" t="str">
        <f>CHOOSE(Translations!$C$1+1,G565,H565,I565)</f>
        <v>Non applicable</v>
      </c>
      <c r="D565" s="145" t="s">
        <v>2878</v>
      </c>
      <c r="E565" s="146" t="s">
        <v>6943</v>
      </c>
      <c r="F565" s="145" t="s">
        <v>3337</v>
      </c>
      <c r="G565" s="146" t="s">
        <v>372</v>
      </c>
      <c r="H565" s="146" t="s">
        <v>765</v>
      </c>
      <c r="I565" s="146" t="s">
        <v>1283</v>
      </c>
    </row>
    <row r="566" spans="1:9" s="9" customFormat="1" x14ac:dyDescent="0.25">
      <c r="A566" s="145" t="s">
        <v>6447</v>
      </c>
      <c r="B566" s="145" t="s">
        <v>6944</v>
      </c>
      <c r="C566" s="145" t="str">
        <f>CHOOSE(Translations!$C$1+1,G566,H566,I566)</f>
        <v>Non applicable</v>
      </c>
      <c r="D566" s="145" t="s">
        <v>2878</v>
      </c>
      <c r="E566" s="146" t="s">
        <v>6945</v>
      </c>
      <c r="F566" s="145" t="s">
        <v>3342</v>
      </c>
      <c r="G566" s="146" t="s">
        <v>372</v>
      </c>
      <c r="H566" s="146" t="s">
        <v>765</v>
      </c>
      <c r="I566" s="146" t="s">
        <v>1283</v>
      </c>
    </row>
    <row r="567" spans="1:9" s="9" customFormat="1" x14ac:dyDescent="0.25">
      <c r="A567" s="145" t="s">
        <v>6447</v>
      </c>
      <c r="B567" s="145" t="s">
        <v>6946</v>
      </c>
      <c r="C567" s="145" t="str">
        <f>CHOOSE(Translations!$C$1+1,G567,H567,I567)</f>
        <v>Non applicable</v>
      </c>
      <c r="D567" s="145" t="s">
        <v>2878</v>
      </c>
      <c r="E567" s="146" t="s">
        <v>6947</v>
      </c>
      <c r="F567" s="145" t="s">
        <v>3347</v>
      </c>
      <c r="G567" s="146" t="s">
        <v>372</v>
      </c>
      <c r="H567" s="146" t="s">
        <v>765</v>
      </c>
      <c r="I567" s="146" t="s">
        <v>1283</v>
      </c>
    </row>
    <row r="568" spans="1:9" s="9" customFormat="1" x14ac:dyDescent="0.25">
      <c r="A568" s="145" t="s">
        <v>6447</v>
      </c>
      <c r="B568" s="145" t="s">
        <v>6948</v>
      </c>
      <c r="C568" s="145" t="str">
        <f>CHOOSE(Translations!$C$1+1,G568,H568,I568)</f>
        <v>Non applicable</v>
      </c>
      <c r="D568" s="145" t="s">
        <v>2878</v>
      </c>
      <c r="E568" s="146" t="s">
        <v>6949</v>
      </c>
      <c r="F568" s="145" t="s">
        <v>2862</v>
      </c>
      <c r="G568" s="146" t="s">
        <v>372</v>
      </c>
      <c r="H568" s="146" t="s">
        <v>765</v>
      </c>
      <c r="I568" s="146" t="s">
        <v>1283</v>
      </c>
    </row>
  </sheetData>
  <dataValidations count="4">
    <dataValidation type="custom" allowBlank="1" showInputMessage="1" showErrorMessage="1" errorTitle="X-Author for Excel" error="Id and Lookup fields are not editable." promptTitle="X-Author for Excel" sqref="G4:G17 G21:G57 G123:H156 G61:G119 E160:E250 A510:B568 A331:B505 C272:C317 A261 C264 C259:C260" xr:uid="{00000000-0002-0000-1000-000000000000}">
      <formula1>""</formula1>
    </dataValidation>
    <dataValidation type="list" allowBlank="1" showInputMessage="1" showErrorMessage="1" errorTitle="X-Author for Excel" error="Please select either TRUE or FALSE from the dropdown." promptTitle="X-Author for Excel" sqref="B327 J61:J119" xr:uid="{8222F3D9-3C03-4B4E-B6F0-ABA6B68F85BF}">
      <formula1>"TRUE,FALSE"</formula1>
    </dataValidation>
    <dataValidation type="list" allowBlank="1" showInputMessage="1" showErrorMessage="1" errorTitle="X-Author for Excel" error="Please select a value from the drop-down." promptTitle="X-Author for Excel" sqref="B324" xr:uid="{FC63CA7F-C505-4865-B66B-4C30ED56F6D0}">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123:P149 K61:K119" xr:uid="{32400DD9-4A4E-4235-87D8-B87987B03501}">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AQ307"/>
  <sheetViews>
    <sheetView showGridLines="0" topLeftCell="M1" zoomScale="80" zoomScaleNormal="80" workbookViewId="0">
      <selection activeCell="G17" sqref="G17:G18"/>
    </sheetView>
  </sheetViews>
  <sheetFormatPr defaultRowHeight="15.6" x14ac:dyDescent="0.3"/>
  <cols>
    <col min="1" max="1" width="18.69921875" customWidth="1"/>
    <col min="2" max="2" width="30.69921875" customWidth="1"/>
    <col min="3" max="3" width="30.69921875" style="176" customWidth="1"/>
    <col min="4" max="4" width="16.69921875" customWidth="1"/>
    <col min="5" max="5" width="20.19921875" customWidth="1"/>
    <col min="6" max="6" width="16.09765625" customWidth="1"/>
    <col min="7" max="7" width="30.69921875" style="176" customWidth="1"/>
    <col min="8" max="8" width="40.69921875" customWidth="1"/>
    <col min="9" max="9" width="30.69921875" customWidth="1"/>
    <col min="10" max="10" width="20.69921875" customWidth="1"/>
    <col min="11" max="11" width="16.19921875" customWidth="1"/>
    <col min="12" max="12" width="20.19921875" customWidth="1"/>
    <col min="13" max="13" width="21.5" customWidth="1"/>
    <col min="14" max="14" width="16.19921875" customWidth="1"/>
    <col min="15" max="15" width="15.59765625" customWidth="1"/>
    <col min="16" max="16" width="19.59765625" customWidth="1"/>
    <col min="17" max="17" width="20.59765625" customWidth="1"/>
    <col min="18" max="18" width="15.19921875" customWidth="1"/>
    <col min="19" max="19" width="14.5" customWidth="1"/>
    <col min="20" max="20" width="13" customWidth="1"/>
    <col min="21" max="21" width="12.19921875" customWidth="1"/>
    <col min="22" max="22" width="16.19921875" customWidth="1"/>
    <col min="23" max="23" width="11.69921875" customWidth="1"/>
    <col min="24" max="24" width="13.09765625" customWidth="1"/>
    <col min="25" max="25" width="13.19921875" customWidth="1"/>
    <col min="26" max="26" width="15.19921875" customWidth="1"/>
    <col min="27" max="27" width="58.09765625" customWidth="1"/>
    <col min="28" max="29" width="30.59765625" customWidth="1"/>
    <col min="30" max="30" width="50.59765625" customWidth="1"/>
    <col min="31" max="31" width="14.69921875" hidden="1" customWidth="1"/>
    <col min="32" max="32" width="12.59765625" hidden="1" customWidth="1"/>
    <col min="33" max="33" width="12.8984375" hidden="1" customWidth="1"/>
    <col min="34" max="34" width="31.3984375" hidden="1" customWidth="1"/>
    <col min="35" max="35" width="28" hidden="1" customWidth="1"/>
    <col min="36" max="36" width="25.59765625" hidden="1" customWidth="1"/>
    <col min="37" max="37" width="12.5" hidden="1" customWidth="1"/>
    <col min="38" max="38" width="12.3984375" hidden="1" customWidth="1"/>
  </cols>
  <sheetData>
    <row r="1" spans="1:43" ht="15.6" customHeight="1" x14ac:dyDescent="0.3">
      <c r="A1" s="591" t="str">
        <f ca="1">Translations!A36</f>
        <v>Cadre de performance - Indicateurs d'impact - Section B</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row>
    <row r="2" spans="1:43" ht="15.6" customHeight="1" x14ac:dyDescent="0.3">
      <c r="A2" s="593"/>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row>
    <row r="3" spans="1:43" s="155" customFormat="1" x14ac:dyDescent="0.3">
      <c r="A3" s="159"/>
      <c r="B3" s="159"/>
      <c r="C3" s="159"/>
      <c r="D3" s="159"/>
      <c r="E3" s="159"/>
      <c r="F3" s="159"/>
      <c r="G3" s="159"/>
      <c r="H3" s="160"/>
      <c r="I3" s="158"/>
      <c r="J3" s="158"/>
      <c r="K3" s="158"/>
      <c r="L3" s="158"/>
      <c r="M3" s="158"/>
      <c r="N3" s="158"/>
      <c r="O3" s="158"/>
      <c r="P3" s="158"/>
      <c r="Q3" s="158"/>
      <c r="R3" s="158"/>
      <c r="S3" s="158"/>
      <c r="T3" s="158"/>
      <c r="U3" s="158"/>
      <c r="V3" s="158"/>
      <c r="W3" s="158"/>
      <c r="X3" s="158"/>
      <c r="Y3" s="158"/>
      <c r="Z3" s="158"/>
      <c r="AA3" s="161"/>
    </row>
    <row r="4" spans="1:43" s="156" customFormat="1" ht="16.2" thickBot="1" x14ac:dyDescent="0.35">
      <c r="A4" s="159"/>
      <c r="B4" s="159"/>
      <c r="C4" s="159"/>
      <c r="D4" s="159"/>
      <c r="E4" s="159"/>
      <c r="F4" s="159"/>
      <c r="G4" s="210" t="s">
        <v>254</v>
      </c>
      <c r="H4" s="160"/>
      <c r="I4" s="158"/>
      <c r="J4" s="158"/>
      <c r="K4" s="158"/>
      <c r="L4" s="158"/>
      <c r="M4" s="158"/>
      <c r="N4" s="158"/>
      <c r="O4" s="158"/>
      <c r="P4" s="158"/>
      <c r="Q4" s="158"/>
      <c r="R4" s="158"/>
      <c r="S4" s="158"/>
      <c r="T4" s="158"/>
      <c r="U4" s="158"/>
      <c r="V4" s="158"/>
      <c r="W4" s="158"/>
      <c r="X4" s="158"/>
      <c r="Y4" s="158"/>
      <c r="Z4" s="158"/>
      <c r="AA4" s="161"/>
    </row>
    <row r="5" spans="1:43" s="156" customFormat="1" ht="16.2" thickBot="1" x14ac:dyDescent="0.35">
      <c r="A5" s="225" t="str">
        <f ca="1">Translations!A12</f>
        <v>Navigation de page</v>
      </c>
      <c r="B5" s="177" t="str">
        <f ca="1">Translations!A48</f>
        <v>Instructions</v>
      </c>
      <c r="C5" s="159"/>
      <c r="D5" s="159"/>
      <c r="E5" s="159"/>
      <c r="F5" s="159"/>
      <c r="G5" s="159"/>
      <c r="H5" s="160"/>
      <c r="I5" s="158"/>
      <c r="J5" s="158"/>
      <c r="K5" s="158"/>
      <c r="L5" s="158"/>
      <c r="M5" s="158"/>
      <c r="N5" s="158"/>
      <c r="O5" s="158"/>
      <c r="P5" s="158"/>
      <c r="Q5" s="158"/>
      <c r="R5" s="158"/>
      <c r="S5" s="158"/>
      <c r="T5" s="158"/>
      <c r="U5" s="158"/>
      <c r="V5" s="158"/>
      <c r="W5" s="158"/>
      <c r="X5" s="158"/>
      <c r="Y5" s="158"/>
      <c r="Z5" s="158"/>
      <c r="AA5" s="161"/>
    </row>
    <row r="6" spans="1:43" s="157" customFormat="1" x14ac:dyDescent="0.3">
      <c r="A6" s="159"/>
      <c r="B6" s="159"/>
      <c r="C6" s="339"/>
      <c r="D6" s="159"/>
      <c r="E6" s="159"/>
      <c r="F6" s="159"/>
      <c r="G6" s="159"/>
      <c r="H6" s="160"/>
      <c r="I6" s="158"/>
      <c r="J6" s="158"/>
      <c r="K6" s="203">
        <v>2</v>
      </c>
      <c r="L6" s="158"/>
      <c r="M6" s="158"/>
      <c r="N6" s="158"/>
      <c r="O6" s="203">
        <v>3</v>
      </c>
      <c r="P6" s="158"/>
      <c r="Q6" s="158"/>
      <c r="R6" s="158"/>
      <c r="S6" s="203">
        <v>4</v>
      </c>
      <c r="T6" s="158"/>
      <c r="U6" s="158"/>
      <c r="V6" s="158"/>
      <c r="W6" s="203">
        <v>5</v>
      </c>
      <c r="X6" s="158"/>
      <c r="Y6" s="158"/>
      <c r="Z6" s="158"/>
      <c r="AA6" s="161"/>
    </row>
    <row r="7" spans="1:43" x14ac:dyDescent="0.3">
      <c r="A7" s="595"/>
      <c r="B7" s="596"/>
      <c r="C7" s="596"/>
      <c r="D7" s="596"/>
      <c r="E7" s="596"/>
      <c r="F7" s="596"/>
      <c r="G7" s="596"/>
      <c r="H7" s="596"/>
      <c r="I7" s="596"/>
      <c r="J7" s="597"/>
      <c r="K7" s="598">
        <f ca="1">IFERROR(IF(YEAR(INDEX('Overview - Section A'!$A$46:$A$53,MATCH(K6,'Overview - Section A'!$B$46:$B$53,0)))&lt;=YEAR('Overview - Section A'!$E$11),YEAR(INDEX('Overview - Section A'!$A$46:$A$53,MATCH($K$6,'Overview - Section A'!$B$46:$B$53,0))),""),"")</f>
        <v>2021</v>
      </c>
      <c r="L7" s="599"/>
      <c r="M7" s="599"/>
      <c r="N7" s="600"/>
      <c r="O7" s="595">
        <f ca="1">IFERROR(IF(K7+1&lt;=YEAR('Overview - Section A'!$E$11),K7+1,""),"")</f>
        <v>2022</v>
      </c>
      <c r="P7" s="596"/>
      <c r="Q7" s="596"/>
      <c r="R7" s="597"/>
      <c r="S7" s="595">
        <f ca="1">IFERROR(IF(O7+1&lt;=YEAR('Overview - Section A'!$E$11),O7+1,""),"")</f>
        <v>2023</v>
      </c>
      <c r="T7" s="596"/>
      <c r="U7" s="596"/>
      <c r="V7" s="597"/>
      <c r="W7" s="595" t="str">
        <f ca="1">IFERROR(IF(S7+1&lt;=YEAR('Overview - Section A'!$E$11),S7+1,""),"")</f>
        <v/>
      </c>
      <c r="X7" s="596"/>
      <c r="Y7" s="596"/>
      <c r="Z7" s="597"/>
      <c r="AA7" s="154"/>
      <c r="AB7" s="154"/>
      <c r="AC7" s="154"/>
      <c r="AD7" s="154"/>
      <c r="AK7" s="205"/>
      <c r="AL7" s="205">
        <v>2021</v>
      </c>
      <c r="AM7" s="205">
        <v>2022</v>
      </c>
      <c r="AN7" s="205">
        <v>2023</v>
      </c>
      <c r="AO7" s="205">
        <v>2024</v>
      </c>
      <c r="AP7" s="205">
        <v>2025</v>
      </c>
      <c r="AQ7" s="205">
        <v>2026</v>
      </c>
    </row>
    <row r="8" spans="1:43" ht="58.95" customHeight="1" x14ac:dyDescent="0.3">
      <c r="A8" s="245" t="str">
        <f ca="1">Translations!A37</f>
        <v xml:space="preserve">Numéro de l'indicateurs d’impact </v>
      </c>
      <c r="B8" s="245" t="str">
        <f ca="1">Translations!A38</f>
        <v>Indicateur standard</v>
      </c>
      <c r="C8" s="245" t="str">
        <f ca="1">Translations!A39</f>
        <v>Indicateur personnalisé</v>
      </c>
      <c r="D8" s="246" t="str">
        <f ca="1">Translations!A40</f>
        <v>Référence #N
Référence #D</v>
      </c>
      <c r="E8" s="245" t="str">
        <f ca="1">Translations!A41</f>
        <v>Référence %</v>
      </c>
      <c r="F8" s="245" t="s">
        <v>440</v>
      </c>
      <c r="G8" s="245" t="s">
        <v>442</v>
      </c>
      <c r="H8" s="245" t="str">
        <f ca="1">Translations!A51</f>
        <v>Désaggrégation obligatoire</v>
      </c>
      <c r="I8" s="245" t="s">
        <v>820</v>
      </c>
      <c r="J8" s="245" t="s">
        <v>410</v>
      </c>
      <c r="K8" s="245" t="s">
        <v>8010</v>
      </c>
      <c r="L8" s="245" t="str">
        <f ca="1">Translations!$A$63</f>
        <v>Cible %</v>
      </c>
      <c r="M8" s="245" t="str">
        <f ca="1">Translations!$A$56</f>
        <v>Date de remise du rapport</v>
      </c>
      <c r="N8" s="245" t="str">
        <f ca="1">Translations!$A$57</f>
        <v>Marquer si la cible est à déterminer “TBD”</v>
      </c>
      <c r="O8" s="245" t="str">
        <f ca="1">Translations!$A$54&amp;CHAR(10)&amp;Translations!$A$55</f>
        <v>Cible N#
Cible D#</v>
      </c>
      <c r="P8" s="245" t="str">
        <f ca="1">Translations!$A$63</f>
        <v>Cible %</v>
      </c>
      <c r="Q8" s="245" t="s">
        <v>423</v>
      </c>
      <c r="R8" s="245" t="s">
        <v>540</v>
      </c>
      <c r="S8" s="245" t="s">
        <v>8010</v>
      </c>
      <c r="T8" s="245" t="str">
        <f ca="1">Translations!$A$63</f>
        <v>Cible %</v>
      </c>
      <c r="U8" s="245" t="str">
        <f ca="1">Translations!$A$56</f>
        <v>Date de remise du rapport</v>
      </c>
      <c r="V8" s="245" t="str">
        <f ca="1">Translations!$A$57</f>
        <v>Marquer si la cible est à déterminer “TBD”</v>
      </c>
      <c r="W8" s="245" t="str">
        <f ca="1">Translations!$A$54&amp;CHAR(10)&amp;Translations!$A$55</f>
        <v>Cible N#
Cible D#</v>
      </c>
      <c r="X8" s="245" t="str">
        <f ca="1">Translations!$A$63</f>
        <v>Cible %</v>
      </c>
      <c r="Y8" s="245" t="str">
        <f ca="1">Translations!$A$56</f>
        <v>Date de remise du rapport</v>
      </c>
      <c r="Z8" s="245" t="str">
        <f ca="1">Translations!$A$57</f>
        <v>Marquer si la cible est à déterminer “TBD”</v>
      </c>
      <c r="AA8" s="245" t="str">
        <f ca="1">Translations!$A$58</f>
        <v>Commentaires</v>
      </c>
      <c r="AB8" s="245" t="str">
        <f ca="1">Translations!A39 &amp; " (EN)"</f>
        <v>Indicateur personnalisé (EN)</v>
      </c>
      <c r="AC8" s="245" t="s">
        <v>302</v>
      </c>
      <c r="AD8" s="245" t="str">
        <f ca="1">Translations!$A$58 &amp; " (EN)"</f>
        <v>Commentaires (EN)</v>
      </c>
      <c r="AH8" t="s">
        <v>340</v>
      </c>
      <c r="AI8" s="232" t="s">
        <v>1238</v>
      </c>
      <c r="AJ8" s="232" t="s">
        <v>1239</v>
      </c>
    </row>
    <row r="9" spans="1:43" ht="30" customHeight="1" x14ac:dyDescent="0.3">
      <c r="A9" s="581">
        <v>1</v>
      </c>
      <c r="B9" s="577" t="s">
        <v>1573</v>
      </c>
      <c r="C9" s="577"/>
      <c r="D9" s="195">
        <v>12187</v>
      </c>
      <c r="E9" s="583" t="str">
        <f ca="1">IF(OR(INDIRECT("'update Helper'!D"&amp;AJ9)=0,D9&lt;&gt;0,D10&lt;&gt;0),IF(IFERROR((D9/D10),"")="","",(D9/D10)),INDIRECT("'update Helper'!D"&amp;AJ9)/100)</f>
        <v/>
      </c>
      <c r="F9" s="579">
        <v>2019</v>
      </c>
      <c r="G9" s="590" t="s">
        <v>8020</v>
      </c>
      <c r="H9" s="584" t="str">
        <f>AE9</f>
        <v>Sexe,Age</v>
      </c>
      <c r="I9" s="579" t="s">
        <v>3808</v>
      </c>
      <c r="J9" s="579" t="s">
        <v>1358</v>
      </c>
      <c r="K9" s="195">
        <v>9166</v>
      </c>
      <c r="L9" s="573" t="str">
        <f ca="1">IF(OR(INDIRECT("'update Helper'!K"&amp;AI9)=0,K9&lt;&gt;0,K10&lt;&gt;0),IF(IFERROR((K9/K10),"")="","",(K9/K10)),INDIRECT("'update Helper'!K"&amp;AI9)/100)</f>
        <v/>
      </c>
      <c r="M9" s="575">
        <v>44742</v>
      </c>
      <c r="N9" s="577"/>
      <c r="O9" s="195">
        <v>7670</v>
      </c>
      <c r="P9" s="573" t="str">
        <f ca="1">IF(OR(INDIRECT("'update Helper'!K"&amp;AI9+1)=0,O9&lt;&gt;0,O10&lt;&gt;0),IF(IFERROR((O9/O10),"")="","",(O9/O10)),INDIRECT("'update Helper'!K"&amp;AI9+1)/100)</f>
        <v/>
      </c>
      <c r="Q9" s="575">
        <v>45107</v>
      </c>
      <c r="R9" s="577"/>
      <c r="S9" s="195">
        <v>6174</v>
      </c>
      <c r="T9" s="573" t="str">
        <f ca="1">IF(OR(INDIRECT("'update Helper'!K"&amp;AI9+2)=0,S9&lt;&gt;0,S10&lt;&gt;0),IF(IFERROR((S9/S10),"")="","",(S9/S10)),INDIRECT("'update Helper'!K"&amp;AI9+2)/100)</f>
        <v/>
      </c>
      <c r="U9" s="575">
        <v>45473</v>
      </c>
      <c r="V9" s="577"/>
      <c r="W9" s="195"/>
      <c r="X9" s="573" t="str">
        <f ca="1">IF(OR(INDIRECT("'update Helper'!K"&amp;AI9+3)=0,W9&lt;&gt;0,W10&lt;&gt;0),IF(IFERROR((W9/W10),"")="","",(W9/W10)),INDIRECT("'update Helper'!K"&amp;AI9+3)/100)</f>
        <v/>
      </c>
      <c r="Y9" s="575"/>
      <c r="Z9" s="577"/>
      <c r="AA9" s="577" t="s">
        <v>8022</v>
      </c>
      <c r="AB9" s="579"/>
      <c r="AC9" s="586" t="s">
        <v>8020</v>
      </c>
      <c r="AD9" s="588" t="s">
        <v>8027</v>
      </c>
      <c r="AE9" t="str">
        <f t="array" ref="AE9">IFERROR(IF(INDEX('Reference Records'!$D$4:$D$18,MATCH(LEFT(B9,255),LEFT('Reference Records'!$C$4:$C$18,255),0))=0,"",INDEX('Reference Records'!$D$4:$D$18,MATCH(LEFT(B9,255),LEFT('Reference Records'!$C$4:$C$18,255),0))),"")</f>
        <v>Sexe,Age</v>
      </c>
      <c r="AF9" s="572" t="str">
        <f>IF(H9&lt;&gt;"",B9&amp;C9,"")</f>
        <v>HIV I-14 Nombre de nouvelles infections par le VIH pour 1000 habitants non infectés</v>
      </c>
      <c r="AG9" s="572" t="b">
        <f>IF(OR(B9&lt;&gt;"",C9&lt;&gt;""),TRUE,FALSE)</f>
        <v>1</v>
      </c>
      <c r="AH9" s="206" t="str">
        <f t="array" ref="AH9">IFERROR(IF(INDEX('Reference Records'!$G$4:$G$18,MATCH(LEFT(B9,255),LEFT('Reference Records'!$C$4:$C$18,255),0))=0,"",INDEX('Reference Records'!$G$4:$G$18,MATCH(LEFT(B9,255),LEFT('Reference Records'!$C$4:$C$18,255),0))),"")</f>
        <v>a1J1R000008lToLUAU</v>
      </c>
      <c r="AI9">
        <f>ROW(Impact_indicator_targets___section_B)+3</f>
        <v>40</v>
      </c>
      <c r="AJ9">
        <f>ROW(Impact_indicator___section_B)+3</f>
        <v>4</v>
      </c>
      <c r="AK9" t="str">
        <f ca="1">IF(INDIRECT("'update Helper'!O"&amp;AJ9)=0,"",IFERROR(VLOOKUP(INDIRECT("'update Helper'!O"&amp;AJ9),'Account Role'!A$1:B$28,2,0),IFERROR(VLOOKUP(INDIRECT("'update Helper'!N"&amp;AJ9),'Overview - Section A'!J$25:K90,3,0),"")))</f>
        <v/>
      </c>
      <c r="AL9" t="str">
        <f ca="1">IFERROR(IF(INDIRECT("'update Helper'!O"&amp;AJ9)=0,"",IFERROR(VLOOKUP(INDIRECT("'update Helper'!O"&amp;AJ9),'Account Role'!A$1:B$28,2,0),IFERROR(VLOOKUP(INDIRECT("'update Helper'!N"&amp;AJ9),'Overview - Section A'!J$25:P90,7,0),""))),"")</f>
        <v/>
      </c>
    </row>
    <row r="10" spans="1:43" ht="30" customHeight="1" x14ac:dyDescent="0.3">
      <c r="A10" s="582"/>
      <c r="B10" s="578"/>
      <c r="C10" s="578"/>
      <c r="D10" s="195"/>
      <c r="E10" s="574"/>
      <c r="F10" s="580"/>
      <c r="G10" s="578"/>
      <c r="H10" s="585"/>
      <c r="I10" s="580"/>
      <c r="J10" s="580"/>
      <c r="K10" s="195"/>
      <c r="L10" s="574"/>
      <c r="M10" s="576"/>
      <c r="N10" s="578"/>
      <c r="O10" s="195"/>
      <c r="P10" s="574"/>
      <c r="Q10" s="576"/>
      <c r="R10" s="578"/>
      <c r="S10" s="195"/>
      <c r="T10" s="574"/>
      <c r="U10" s="576"/>
      <c r="V10" s="578"/>
      <c r="W10" s="195"/>
      <c r="X10" s="574"/>
      <c r="Y10" s="576"/>
      <c r="Z10" s="578"/>
      <c r="AA10" s="578"/>
      <c r="AB10" s="580"/>
      <c r="AC10" s="587"/>
      <c r="AD10" s="589"/>
      <c r="AF10" s="572"/>
      <c r="AG10" s="572"/>
      <c r="AH10" s="206"/>
    </row>
    <row r="11" spans="1:43" s="232" customFormat="1" ht="30" customHeight="1" x14ac:dyDescent="0.3">
      <c r="A11" s="581">
        <v>2</v>
      </c>
      <c r="B11" s="577" t="s">
        <v>1593</v>
      </c>
      <c r="C11" s="577"/>
      <c r="D11" s="195">
        <v>12893</v>
      </c>
      <c r="E11" s="583" t="str">
        <f t="shared" ref="E11" ca="1" si="0">IF(OR(INDIRECT("'update Helper'!D"&amp;AJ11)=0,D11&lt;&gt;0,D12&lt;&gt;0),IF(IFERROR((D11/D12),"")="","",(D11/D12)),INDIRECT("'update Helper'!D"&amp;AJ11)/100)</f>
        <v/>
      </c>
      <c r="F11" s="579">
        <v>2019</v>
      </c>
      <c r="G11" s="590" t="s">
        <v>8020</v>
      </c>
      <c r="H11" s="584" t="str">
        <f>AE11</f>
        <v>Age,Sexe</v>
      </c>
      <c r="I11" s="579" t="s">
        <v>3808</v>
      </c>
      <c r="J11" s="579" t="s">
        <v>1358</v>
      </c>
      <c r="K11" s="195">
        <v>9849</v>
      </c>
      <c r="L11" s="573" t="str">
        <f t="shared" ref="L11" ca="1" si="1">IF(OR(INDIRECT("'update Helper'!K"&amp;AI11)=0,K11&lt;&gt;0,K12&lt;&gt;0),IF(IFERROR((K11/K12),"")="","",(K11/K12)),INDIRECT("'update Helper'!K"&amp;AI11)/100)</f>
        <v/>
      </c>
      <c r="M11" s="575">
        <v>44742</v>
      </c>
      <c r="N11" s="577"/>
      <c r="O11" s="195">
        <v>9352</v>
      </c>
      <c r="P11" s="573" t="str">
        <f t="shared" ref="P11" ca="1" si="2">IF(OR(INDIRECT("'update Helper'!K"&amp;AI11+1)=0,O11&lt;&gt;0,O12&lt;&gt;0),IF(IFERROR((O11/O12),"")="","",(O11/O12)),INDIRECT("'update Helper'!K"&amp;AI11+1)/100)</f>
        <v/>
      </c>
      <c r="Q11" s="575">
        <v>45107</v>
      </c>
      <c r="R11" s="577"/>
      <c r="S11" s="195">
        <v>8973</v>
      </c>
      <c r="T11" s="573" t="str">
        <f t="shared" ref="T11" ca="1" si="3">IF(OR(INDIRECT("'update Helper'!K"&amp;AI11+2)=0,S11&lt;&gt;0,S12&lt;&gt;0),IF(IFERROR((S11/S12),"")="","",(S11/S12)),INDIRECT("'update Helper'!K"&amp;AI11+2)/100)</f>
        <v/>
      </c>
      <c r="U11" s="575">
        <v>45473</v>
      </c>
      <c r="V11" s="577"/>
      <c r="W11" s="195"/>
      <c r="X11" s="573" t="str">
        <f t="shared" ref="X11" ca="1" si="4">IF(OR(INDIRECT("'update Helper'!K"&amp;AI11+3)=0,W11&lt;&gt;0,W12&lt;&gt;0),IF(IFERROR((W11/W12),"")="","",(W11/W12)),INDIRECT("'update Helper'!K"&amp;AI11+3)/100)</f>
        <v/>
      </c>
      <c r="Y11" s="575"/>
      <c r="Z11" s="577"/>
      <c r="AA11" s="577" t="s">
        <v>8023</v>
      </c>
      <c r="AB11" s="579"/>
      <c r="AC11" s="586" t="s">
        <v>8020</v>
      </c>
      <c r="AD11" s="588" t="s">
        <v>8028</v>
      </c>
      <c r="AE11" s="232" t="str">
        <f t="array" ref="AE11">IFERROR(IF(INDEX('Reference Records'!$D$4:$D$18,MATCH(LEFT(B11,255),LEFT('Reference Records'!$C$4:$C$18,255),0))=0,"",INDEX('Reference Records'!$D$4:$D$18,MATCH(LEFT(B11,255),LEFT('Reference Records'!$C$4:$C$18,255),0))),"")</f>
        <v>Age,Sexe</v>
      </c>
      <c r="AF11" s="572" t="str">
        <f>IF(H11&lt;&gt;"",B11&amp;C11,"")</f>
        <v>HIV I-4 Nombre de décès liés au sida pour 100,000 habitants</v>
      </c>
      <c r="AG11" s="572" t="b">
        <f>IF(OR(B11&lt;&gt;"",C11&lt;&gt;""),TRUE,FALSE)</f>
        <v>1</v>
      </c>
      <c r="AH11" s="206" t="str">
        <f t="array" ref="AH11">IFERROR(IF(INDEX('Reference Records'!$G$4:$G$18,MATCH(LEFT(B11,255),LEFT('Reference Records'!$C$4:$C$18,255),0))=0,"",INDEX('Reference Records'!$G$4:$G$18,MATCH(LEFT(B11,255),LEFT('Reference Records'!$C$4:$C$18,255),0))),"")</f>
        <v>a1J1R000008lToMUAU</v>
      </c>
      <c r="AI11" s="163">
        <f ca="1">AI9+'update Helper'!$W$2</f>
        <v>46</v>
      </c>
      <c r="AJ11" s="232">
        <f>AJ9+1</f>
        <v>5</v>
      </c>
      <c r="AL11" s="232" t="str">
        <f ca="1">IFERROR(IF(INDIRECT("'update Helper'!O"&amp;AJ11)=0,"",IFERROR(VLOOKUP(INDIRECT("'update Helper'!O"&amp;AJ11),'Account Role'!A$1:B$28,2,0),IFERROR(VLOOKUP(INDIRECT("'update Helper'!N"&amp;AJ11),'Overview - Section A'!J$25:P92,7,0),""))),"")</f>
        <v/>
      </c>
    </row>
    <row r="12" spans="1:43" s="232" customFormat="1" ht="30" customHeight="1" x14ac:dyDescent="0.3">
      <c r="A12" s="582"/>
      <c r="B12" s="578"/>
      <c r="C12" s="578"/>
      <c r="D12" s="195"/>
      <c r="E12" s="574"/>
      <c r="F12" s="580"/>
      <c r="G12" s="578"/>
      <c r="H12" s="585"/>
      <c r="I12" s="580"/>
      <c r="J12" s="580"/>
      <c r="K12" s="195"/>
      <c r="L12" s="574"/>
      <c r="M12" s="576"/>
      <c r="N12" s="578"/>
      <c r="O12" s="195"/>
      <c r="P12" s="574"/>
      <c r="Q12" s="576"/>
      <c r="R12" s="578"/>
      <c r="S12" s="195"/>
      <c r="T12" s="574"/>
      <c r="U12" s="576"/>
      <c r="V12" s="578"/>
      <c r="W12" s="195"/>
      <c r="X12" s="574"/>
      <c r="Y12" s="576"/>
      <c r="Z12" s="578"/>
      <c r="AA12" s="578"/>
      <c r="AB12" s="580"/>
      <c r="AC12" s="587"/>
      <c r="AD12" s="589"/>
      <c r="AF12" s="572"/>
      <c r="AG12" s="572"/>
      <c r="AH12" s="206"/>
    </row>
    <row r="13" spans="1:43" s="232" customFormat="1" ht="30" customHeight="1" x14ac:dyDescent="0.3">
      <c r="A13" s="581">
        <v>3</v>
      </c>
      <c r="B13" s="577" t="s">
        <v>2893</v>
      </c>
      <c r="C13" s="577"/>
      <c r="D13" s="195"/>
      <c r="E13" s="583">
        <v>0.1013</v>
      </c>
      <c r="F13" s="579">
        <v>2019</v>
      </c>
      <c r="G13" s="577" t="s">
        <v>8020</v>
      </c>
      <c r="H13" s="584" t="str">
        <f>AE13</f>
        <v/>
      </c>
      <c r="I13" s="579" t="s">
        <v>3808</v>
      </c>
      <c r="J13" s="579" t="s">
        <v>1358</v>
      </c>
      <c r="K13" s="195"/>
      <c r="L13" s="573">
        <v>6.0499999999999998E-2</v>
      </c>
      <c r="M13" s="575">
        <v>44742</v>
      </c>
      <c r="N13" s="577"/>
      <c r="O13" s="195"/>
      <c r="P13" s="573">
        <v>5.04E-2</v>
      </c>
      <c r="Q13" s="575">
        <v>45107</v>
      </c>
      <c r="R13" s="577"/>
      <c r="S13" s="195"/>
      <c r="T13" s="573">
        <v>4.02E-2</v>
      </c>
      <c r="U13" s="575">
        <v>45473</v>
      </c>
      <c r="V13" s="577"/>
      <c r="W13" s="195"/>
      <c r="X13" s="573" t="str">
        <f t="shared" ref="X13" ca="1" si="5">IF(OR(INDIRECT("'update Helper'!K"&amp;AI13+3)=0,W13&lt;&gt;0,W14&lt;&gt;0),IF(IFERROR((W13/W14),"")="","",(W13/W14)),INDIRECT("'update Helper'!K"&amp;AI13+3)/100)</f>
        <v/>
      </c>
      <c r="Y13" s="575"/>
      <c r="Z13" s="577"/>
      <c r="AA13" s="590" t="s">
        <v>8024</v>
      </c>
      <c r="AB13" s="579"/>
      <c r="AC13" s="586" t="s">
        <v>8020</v>
      </c>
      <c r="AD13" s="588" t="s">
        <v>8029</v>
      </c>
      <c r="AE13" s="232" t="str">
        <f t="array" ref="AE13">IFERROR(IF(INDEX('Reference Records'!$D$4:$D$18,MATCH(LEFT(B13,255),LEFT('Reference Records'!$C$4:$C$18,255),0))=0,"",INDEX('Reference Records'!$D$4:$D$18,MATCH(LEFT(B13,255),LEFT('Reference Records'!$C$4:$C$18,255),0))),"")</f>
        <v/>
      </c>
      <c r="AF13" s="572" t="str">
        <f>IF(H13&lt;&gt;"",B13&amp;C13,"")</f>
        <v/>
      </c>
      <c r="AG13" s="572" t="b">
        <f>IF(OR(B13&lt;&gt;"",C13&lt;&gt;""),TRUE,FALSE)</f>
        <v>1</v>
      </c>
      <c r="AH13" s="206" t="str">
        <f t="array" ref="AH13">IFERROR(IF(INDEX('Reference Records'!$G$4:$G$18,MATCH(LEFT(B13,255),LEFT('Reference Records'!$C$4:$C$18,255),0))=0,"",INDEX('Reference Records'!$G$4:$G$18,MATCH(LEFT(B13,255),LEFT('Reference Records'!$C$4:$C$18,255),0))),"")</f>
        <v>a1J1R000008lToNUAU</v>
      </c>
      <c r="AI13" s="163">
        <f ca="1">AI11+'update Helper'!$W$2</f>
        <v>52</v>
      </c>
      <c r="AJ13" s="232">
        <f t="shared" ref="AJ13" si="6">AJ11+1</f>
        <v>6</v>
      </c>
      <c r="AL13" s="232" t="str">
        <f ca="1">IFERROR(IF(INDIRECT("'update Helper'!O"&amp;AJ13)=0,"",IFERROR(VLOOKUP(INDIRECT("'update Helper'!O"&amp;AJ13),'Account Role'!A$1:B$28,2,0),IFERROR(VLOOKUP(INDIRECT("'update Helper'!N"&amp;AJ13),'Overview - Section A'!J$25:P94,7,0),""))),"")</f>
        <v/>
      </c>
    </row>
    <row r="14" spans="1:43" s="232" customFormat="1" ht="30" customHeight="1" x14ac:dyDescent="0.3">
      <c r="A14" s="582"/>
      <c r="B14" s="578"/>
      <c r="C14" s="578"/>
      <c r="D14" s="195"/>
      <c r="E14" s="574"/>
      <c r="F14" s="580"/>
      <c r="G14" s="578"/>
      <c r="H14" s="585"/>
      <c r="I14" s="580"/>
      <c r="J14" s="580"/>
      <c r="K14" s="195"/>
      <c r="L14" s="574"/>
      <c r="M14" s="576"/>
      <c r="N14" s="578"/>
      <c r="O14" s="195"/>
      <c r="P14" s="574"/>
      <c r="Q14" s="576"/>
      <c r="R14" s="578"/>
      <c r="S14" s="195"/>
      <c r="T14" s="574"/>
      <c r="U14" s="576"/>
      <c r="V14" s="578"/>
      <c r="W14" s="195"/>
      <c r="X14" s="574"/>
      <c r="Y14" s="576"/>
      <c r="Z14" s="578"/>
      <c r="AA14" s="578"/>
      <c r="AB14" s="580"/>
      <c r="AC14" s="587"/>
      <c r="AD14" s="589"/>
      <c r="AF14" s="572"/>
      <c r="AG14" s="572"/>
      <c r="AH14" s="206"/>
    </row>
    <row r="15" spans="1:43" s="232" customFormat="1" ht="30" customHeight="1" x14ac:dyDescent="0.3">
      <c r="A15" s="581">
        <v>4</v>
      </c>
      <c r="B15" s="577" t="s">
        <v>2914</v>
      </c>
      <c r="C15" s="577"/>
      <c r="D15" s="195">
        <v>10</v>
      </c>
      <c r="E15" s="583" t="str">
        <f t="shared" ref="E15" ca="1" si="7">IF(OR(INDIRECT("'update Helper'!D"&amp;AJ15)=0,D15&lt;&gt;0,D16&lt;&gt;0),IF(IFERROR((D15/D16),"")="","",(D15/D16)),INDIRECT("'update Helper'!D"&amp;AJ15)/100)</f>
        <v/>
      </c>
      <c r="F15" s="579">
        <v>2018</v>
      </c>
      <c r="G15" s="577" t="s">
        <v>8021</v>
      </c>
      <c r="H15" s="584" t="str">
        <f>AE15</f>
        <v/>
      </c>
      <c r="I15" s="579" t="s">
        <v>3808</v>
      </c>
      <c r="J15" s="579" t="s">
        <v>1358</v>
      </c>
      <c r="K15" s="195">
        <v>8.0000000000000002E-3</v>
      </c>
      <c r="L15" s="573" t="str">
        <f t="shared" ref="L15" ca="1" si="8">IF(OR(INDIRECT("'update Helper'!K"&amp;AI15)=0,K15&lt;&gt;0,K16&lt;&gt;0),IF(IFERROR((K15/K16),"")="","",(K15/K16)),INDIRECT("'update Helper'!K"&amp;AI15)/100)</f>
        <v/>
      </c>
      <c r="M15" s="575">
        <v>44742</v>
      </c>
      <c r="N15" s="577"/>
      <c r="O15" s="195">
        <v>8.0000000000000002E-3</v>
      </c>
      <c r="P15" s="573" t="str">
        <f t="shared" ref="P15" ca="1" si="9">IF(OR(INDIRECT("'update Helper'!K"&amp;AI15+1)=0,O15&lt;&gt;0,O16&lt;&gt;0),IF(IFERROR((O15/O16),"")="","",(O15/O16)),INDIRECT("'update Helper'!K"&amp;AI15+1)/100)</f>
        <v/>
      </c>
      <c r="Q15" s="575">
        <v>45107</v>
      </c>
      <c r="R15" s="577"/>
      <c r="S15" s="195">
        <v>7.0000000000000001E-3</v>
      </c>
      <c r="T15" s="573" t="str">
        <f t="shared" ref="T15" ca="1" si="10">IF(OR(INDIRECT("'update Helper'!K"&amp;AI15+2)=0,S15&lt;&gt;0,S16&lt;&gt;0),IF(IFERROR((S15/S16),"")="","",(S15/S16)),INDIRECT("'update Helper'!K"&amp;AI15+2)/100)</f>
        <v/>
      </c>
      <c r="U15" s="575">
        <v>45473</v>
      </c>
      <c r="V15" s="577"/>
      <c r="W15" s="195"/>
      <c r="X15" s="573" t="str">
        <f t="shared" ref="X15" ca="1" si="11">IF(OR(INDIRECT("'update Helper'!K"&amp;AI15+3)=0,W15&lt;&gt;0,W16&lt;&gt;0),IF(IFERROR((W15/W16),"")="","",(W15/W16)),INDIRECT("'update Helper'!K"&amp;AI15+3)/100)</f>
        <v/>
      </c>
      <c r="Y15" s="575"/>
      <c r="Z15" s="577"/>
      <c r="AA15" s="590" t="s">
        <v>8025</v>
      </c>
      <c r="AB15" s="579"/>
      <c r="AC15" s="586" t="s">
        <v>8026</v>
      </c>
      <c r="AD15" s="588" t="s">
        <v>8030</v>
      </c>
      <c r="AE15" s="232" t="str">
        <f t="array" ref="AE15">IFERROR(IF(INDEX('Reference Records'!$D$4:$D$18,MATCH(LEFT(B15,255),LEFT('Reference Records'!$C$4:$C$18,255),0))=0,"",INDEX('Reference Records'!$D$4:$D$18,MATCH(LEFT(B15,255),LEFT('Reference Records'!$C$4:$C$18,255),0))),"")</f>
        <v/>
      </c>
      <c r="AF15" s="572" t="str">
        <f>IF(H15&lt;&gt;"",B15&amp;C15,"")</f>
        <v/>
      </c>
      <c r="AG15" s="572" t="b">
        <f>IF(OR(B15&lt;&gt;"",C15&lt;&gt;""),TRUE,FALSE)</f>
        <v>1</v>
      </c>
      <c r="AH15" s="206" t="str">
        <f t="array" ref="AH15">IFERROR(IF(INDEX('Reference Records'!$G$4:$G$18,MATCH(LEFT(B15,255),LEFT('Reference Records'!$C$4:$C$18,255),0))=0,"",INDEX('Reference Records'!$G$4:$G$18,MATCH(LEFT(B15,255),LEFT('Reference Records'!$C$4:$C$18,255),0))),"")</f>
        <v>a1J1R000008lToWUAU</v>
      </c>
      <c r="AI15" s="163">
        <f ca="1">AI13+'update Helper'!$W$2</f>
        <v>58</v>
      </c>
      <c r="AJ15" s="232">
        <f t="shared" ref="AJ15" si="12">AJ13+1</f>
        <v>7</v>
      </c>
      <c r="AL15" s="232" t="str">
        <f ca="1">IFERROR(IF(INDIRECT("'update Helper'!O"&amp;AJ15)=0,"",IFERROR(VLOOKUP(INDIRECT("'update Helper'!O"&amp;AJ15),'Account Role'!A$1:B$28,2,0),IFERROR(VLOOKUP(INDIRECT("'update Helper'!N"&amp;AJ15),'Overview - Section A'!J$25:P96,7,0),""))),"")</f>
        <v/>
      </c>
    </row>
    <row r="16" spans="1:43" s="232" customFormat="1" ht="30" customHeight="1" x14ac:dyDescent="0.3">
      <c r="A16" s="582"/>
      <c r="B16" s="578"/>
      <c r="C16" s="578"/>
      <c r="D16" s="195"/>
      <c r="E16" s="574"/>
      <c r="F16" s="580"/>
      <c r="G16" s="578"/>
      <c r="H16" s="585"/>
      <c r="I16" s="580"/>
      <c r="J16" s="580"/>
      <c r="K16" s="195"/>
      <c r="L16" s="574"/>
      <c r="M16" s="576"/>
      <c r="N16" s="578"/>
      <c r="O16" s="195"/>
      <c r="P16" s="574"/>
      <c r="Q16" s="576"/>
      <c r="R16" s="578"/>
      <c r="S16" s="195"/>
      <c r="T16" s="574"/>
      <c r="U16" s="576"/>
      <c r="V16" s="578"/>
      <c r="W16" s="195"/>
      <c r="X16" s="574"/>
      <c r="Y16" s="576"/>
      <c r="Z16" s="578"/>
      <c r="AA16" s="578"/>
      <c r="AB16" s="580"/>
      <c r="AC16" s="587"/>
      <c r="AD16" s="589"/>
      <c r="AF16" s="572"/>
      <c r="AG16" s="572"/>
      <c r="AH16" s="206"/>
    </row>
    <row r="17" spans="1:38" s="232" customFormat="1" ht="30" customHeight="1" x14ac:dyDescent="0.3">
      <c r="A17" s="581">
        <v>5</v>
      </c>
      <c r="B17" s="577"/>
      <c r="C17" s="577"/>
      <c r="D17" s="195"/>
      <c r="E17" s="583" t="str">
        <f t="shared" ref="E17" ca="1" si="13">IF(OR(INDIRECT("'update Helper'!D"&amp;AJ17)=0,D17&lt;&gt;0,D18&lt;&gt;0),IF(IFERROR((D17/D18),"")="","",(D17/D18)),INDIRECT("'update Helper'!D"&amp;AJ17)/100)</f>
        <v/>
      </c>
      <c r="F17" s="579"/>
      <c r="G17" s="577"/>
      <c r="H17" s="584" t="str">
        <f>AE17</f>
        <v/>
      </c>
      <c r="I17" s="579"/>
      <c r="J17" s="579"/>
      <c r="K17" s="195"/>
      <c r="L17" s="573" t="str">
        <f t="shared" ref="L17" ca="1" si="14">IF(OR(INDIRECT("'update Helper'!K"&amp;AI17)=0,K17&lt;&gt;0,K18&lt;&gt;0),IF(IFERROR((K17/K18),"")="","",(K17/K18)),INDIRECT("'update Helper'!K"&amp;AI17)/100)</f>
        <v/>
      </c>
      <c r="M17" s="575"/>
      <c r="N17" s="577"/>
      <c r="O17" s="195"/>
      <c r="P17" s="573" t="str">
        <f t="shared" ref="P17" ca="1" si="15">IF(OR(INDIRECT("'update Helper'!K"&amp;AI17+1)=0,O17&lt;&gt;0,O18&lt;&gt;0),IF(IFERROR((O17/O18),"")="","",(O17/O18)),INDIRECT("'update Helper'!K"&amp;AI17+1)/100)</f>
        <v/>
      </c>
      <c r="Q17" s="575"/>
      <c r="R17" s="577"/>
      <c r="S17" s="195"/>
      <c r="T17" s="573" t="str">
        <f t="shared" ref="T17" ca="1" si="16">IF(OR(INDIRECT("'update Helper'!K"&amp;AI17+2)=0,S17&lt;&gt;0,S18&lt;&gt;0),IF(IFERROR((S17/S18),"")="","",(S17/S18)),INDIRECT("'update Helper'!K"&amp;AI17+2)/100)</f>
        <v/>
      </c>
      <c r="U17" s="575"/>
      <c r="V17" s="577"/>
      <c r="W17" s="195"/>
      <c r="X17" s="573" t="str">
        <f t="shared" ref="X17" ca="1" si="17">IF(OR(INDIRECT("'update Helper'!K"&amp;AI17+3)=0,W17&lt;&gt;0,W18&lt;&gt;0),IF(IFERROR((W17/W18),"")="","",(W17/W18)),INDIRECT("'update Helper'!K"&amp;AI17+3)/100)</f>
        <v/>
      </c>
      <c r="Y17" s="575"/>
      <c r="Z17" s="577"/>
      <c r="AA17" s="577"/>
      <c r="AB17" s="579"/>
      <c r="AC17" s="579"/>
      <c r="AD17" s="579"/>
      <c r="AE17" s="232" t="str">
        <f t="array" ref="AE17">IFERROR(IF(INDEX('Reference Records'!$D$4:$D$18,MATCH(LEFT(B17,255),LEFT('Reference Records'!$C$4:$C$18,255),0))=0,"",INDEX('Reference Records'!$D$4:$D$18,MATCH(LEFT(B17,255),LEFT('Reference Records'!$C$4:$C$18,255),0))),"")</f>
        <v/>
      </c>
      <c r="AF17" s="572" t="str">
        <f>IF(H17&lt;&gt;"",B17&amp;C17,"")</f>
        <v/>
      </c>
      <c r="AG17" s="572" t="b">
        <f>IF(OR(B17&lt;&gt;"",C17&lt;&gt;""),TRUE,FALSE)</f>
        <v>0</v>
      </c>
      <c r="AH17" s="206" t="str">
        <f t="array" ref="AH17">IFERROR(IF(INDEX('Reference Records'!$G$4:$G$18,MATCH(LEFT(B17,255),LEFT('Reference Records'!$C$4:$C$18,255),0))=0,"",INDEX('Reference Records'!$G$4:$G$18,MATCH(LEFT(B17,255),LEFT('Reference Records'!$C$4:$C$18,255),0))),"")</f>
        <v/>
      </c>
      <c r="AI17" s="163">
        <f ca="1">AI15+'update Helper'!$W$2</f>
        <v>64</v>
      </c>
      <c r="AJ17" s="232">
        <f t="shared" ref="AJ17" si="18">AJ15+1</f>
        <v>8</v>
      </c>
      <c r="AL17" s="232" t="str">
        <f ca="1">IFERROR(IF(INDIRECT("'update Helper'!O"&amp;AJ17)=0,"",IFERROR(VLOOKUP(INDIRECT("'update Helper'!O"&amp;AJ17),'Account Role'!A$1:B$28,2,0),IFERROR(VLOOKUP(INDIRECT("'update Helper'!N"&amp;AJ17),'Overview - Section A'!J$25:P98,7,0),""))),"")</f>
        <v/>
      </c>
    </row>
    <row r="18" spans="1:38" s="232" customFormat="1" ht="30" customHeight="1" x14ac:dyDescent="0.3">
      <c r="A18" s="582"/>
      <c r="B18" s="578"/>
      <c r="C18" s="578"/>
      <c r="D18" s="195"/>
      <c r="E18" s="574"/>
      <c r="F18" s="580"/>
      <c r="G18" s="578"/>
      <c r="H18" s="585"/>
      <c r="I18" s="580"/>
      <c r="J18" s="580"/>
      <c r="K18" s="195"/>
      <c r="L18" s="574"/>
      <c r="M18" s="576"/>
      <c r="N18" s="578"/>
      <c r="O18" s="195"/>
      <c r="P18" s="574"/>
      <c r="Q18" s="576"/>
      <c r="R18" s="578"/>
      <c r="S18" s="195"/>
      <c r="T18" s="574"/>
      <c r="U18" s="576"/>
      <c r="V18" s="578"/>
      <c r="W18" s="195"/>
      <c r="X18" s="574"/>
      <c r="Y18" s="576"/>
      <c r="Z18" s="578"/>
      <c r="AA18" s="578"/>
      <c r="AB18" s="580"/>
      <c r="AC18" s="580"/>
      <c r="AD18" s="580"/>
      <c r="AF18" s="572"/>
      <c r="AG18" s="572"/>
      <c r="AH18" s="206"/>
    </row>
    <row r="19" spans="1:38" s="232" customFormat="1" ht="30" customHeight="1" x14ac:dyDescent="0.3">
      <c r="A19" s="581">
        <v>6</v>
      </c>
      <c r="B19" s="577"/>
      <c r="C19" s="577"/>
      <c r="D19" s="195"/>
      <c r="E19" s="583" t="str">
        <f t="shared" ref="E19" ca="1" si="19">IF(OR(INDIRECT("'update Helper'!D"&amp;AJ19)=0,D19&lt;&gt;0,D20&lt;&gt;0),IF(IFERROR((D19/D20),"")="","",(D19/D20)),INDIRECT("'update Helper'!D"&amp;AJ19)/100)</f>
        <v/>
      </c>
      <c r="F19" s="579"/>
      <c r="G19" s="577"/>
      <c r="H19" s="584" t="str">
        <f>AE19</f>
        <v/>
      </c>
      <c r="I19" s="579"/>
      <c r="J19" s="579"/>
      <c r="K19" s="195"/>
      <c r="L19" s="573" t="str">
        <f t="shared" ref="L19" ca="1" si="20">IF(OR(INDIRECT("'update Helper'!K"&amp;AI19)=0,K19&lt;&gt;0,K20&lt;&gt;0),IF(IFERROR((K19/K20),"")="","",(K19/K20)),INDIRECT("'update Helper'!K"&amp;AI19)/100)</f>
        <v/>
      </c>
      <c r="M19" s="575"/>
      <c r="N19" s="577"/>
      <c r="O19" s="195"/>
      <c r="P19" s="573" t="str">
        <f t="shared" ref="P19" ca="1" si="21">IF(OR(INDIRECT("'update Helper'!K"&amp;AI19+1)=0,O19&lt;&gt;0,O20&lt;&gt;0),IF(IFERROR((O19/O20),"")="","",(O19/O20)),INDIRECT("'update Helper'!K"&amp;AI19+1)/100)</f>
        <v/>
      </c>
      <c r="Q19" s="575"/>
      <c r="R19" s="577"/>
      <c r="S19" s="195"/>
      <c r="T19" s="573" t="str">
        <f t="shared" ref="T19" ca="1" si="22">IF(OR(INDIRECT("'update Helper'!K"&amp;AI19+2)=0,S19&lt;&gt;0,S20&lt;&gt;0),IF(IFERROR((S19/S20),"")="","",(S19/S20)),INDIRECT("'update Helper'!K"&amp;AI19+2)/100)</f>
        <v/>
      </c>
      <c r="U19" s="575"/>
      <c r="V19" s="577"/>
      <c r="W19" s="195"/>
      <c r="X19" s="573" t="str">
        <f t="shared" ref="X19" ca="1" si="23">IF(OR(INDIRECT("'update Helper'!K"&amp;AI19+3)=0,W19&lt;&gt;0,W20&lt;&gt;0),IF(IFERROR((W19/W20),"")="","",(W19/W20)),INDIRECT("'update Helper'!K"&amp;AI19+3)/100)</f>
        <v/>
      </c>
      <c r="Y19" s="575"/>
      <c r="Z19" s="577"/>
      <c r="AA19" s="577"/>
      <c r="AB19" s="579"/>
      <c r="AC19" s="579"/>
      <c r="AD19" s="579"/>
      <c r="AE19" s="232" t="str">
        <f t="array" ref="AE19">IFERROR(IF(INDEX('Reference Records'!$D$4:$D$18,MATCH(LEFT(B19,255),LEFT('Reference Records'!$C$4:$C$18,255),0))=0,"",INDEX('Reference Records'!$D$4:$D$18,MATCH(LEFT(B19,255),LEFT('Reference Records'!$C$4:$C$18,255),0))),"")</f>
        <v/>
      </c>
      <c r="AF19" s="572" t="str">
        <f>IF(H19&lt;&gt;"",B19&amp;C19,"")</f>
        <v/>
      </c>
      <c r="AG19" s="572" t="b">
        <f>IF(OR(B19&lt;&gt;"",C19&lt;&gt;""),TRUE,FALSE)</f>
        <v>0</v>
      </c>
      <c r="AH19" s="206" t="str">
        <f t="array" ref="AH19">IFERROR(IF(INDEX('Reference Records'!$G$4:$G$18,MATCH(LEFT(B19,255),LEFT('Reference Records'!$C$4:$C$18,255),0))=0,"",INDEX('Reference Records'!$G$4:$G$18,MATCH(LEFT(B19,255),LEFT('Reference Records'!$C$4:$C$18,255),0))),"")</f>
        <v/>
      </c>
      <c r="AI19" s="163">
        <f ca="1">AI17+'update Helper'!$W$2</f>
        <v>70</v>
      </c>
      <c r="AJ19" s="232">
        <f t="shared" ref="AJ19" si="24">AJ17+1</f>
        <v>9</v>
      </c>
      <c r="AL19" s="232" t="str">
        <f ca="1">IFERROR(IF(INDIRECT("'update Helper'!O"&amp;AJ19)=0,"",IFERROR(VLOOKUP(INDIRECT("'update Helper'!O"&amp;AJ19),'Account Role'!A$1:B$28,2,0),IFERROR(VLOOKUP(INDIRECT("'update Helper'!N"&amp;AJ19),'Overview - Section A'!J$25:P100,7,0),""))),"")</f>
        <v/>
      </c>
    </row>
    <row r="20" spans="1:38" s="232" customFormat="1" ht="30" customHeight="1" x14ac:dyDescent="0.3">
      <c r="A20" s="582"/>
      <c r="B20" s="578"/>
      <c r="C20" s="578"/>
      <c r="D20" s="195"/>
      <c r="E20" s="574"/>
      <c r="F20" s="580"/>
      <c r="G20" s="578"/>
      <c r="H20" s="585"/>
      <c r="I20" s="580"/>
      <c r="J20" s="580"/>
      <c r="K20" s="195"/>
      <c r="L20" s="574"/>
      <c r="M20" s="576"/>
      <c r="N20" s="578"/>
      <c r="O20" s="195"/>
      <c r="P20" s="574"/>
      <c r="Q20" s="576"/>
      <c r="R20" s="578"/>
      <c r="S20" s="195"/>
      <c r="T20" s="574"/>
      <c r="U20" s="576"/>
      <c r="V20" s="578"/>
      <c r="W20" s="195"/>
      <c r="X20" s="574"/>
      <c r="Y20" s="576"/>
      <c r="Z20" s="578"/>
      <c r="AA20" s="578"/>
      <c r="AB20" s="580"/>
      <c r="AC20" s="580"/>
      <c r="AD20" s="580"/>
      <c r="AF20" s="572"/>
      <c r="AG20" s="572"/>
      <c r="AH20" s="206"/>
    </row>
    <row r="21" spans="1:38" s="232" customFormat="1" ht="30" customHeight="1" x14ac:dyDescent="0.3">
      <c r="A21" s="581">
        <v>7</v>
      </c>
      <c r="B21" s="577"/>
      <c r="C21" s="577"/>
      <c r="D21" s="195"/>
      <c r="E21" s="583" t="str">
        <f t="shared" ref="E21" ca="1" si="25">IF(OR(INDIRECT("'update Helper'!D"&amp;AJ21)=0,D21&lt;&gt;0,D22&lt;&gt;0),IF(IFERROR((D21/D22),"")="","",(D21/D22)),INDIRECT("'update Helper'!D"&amp;AJ21)/100)</f>
        <v/>
      </c>
      <c r="F21" s="579"/>
      <c r="G21" s="577"/>
      <c r="H21" s="584" t="str">
        <f>AE21</f>
        <v/>
      </c>
      <c r="I21" s="579"/>
      <c r="J21" s="579"/>
      <c r="K21" s="195"/>
      <c r="L21" s="573" t="str">
        <f t="shared" ref="L21" ca="1" si="26">IF(OR(INDIRECT("'update Helper'!K"&amp;AI21)=0,K21&lt;&gt;0,K22&lt;&gt;0),IF(IFERROR((K21/K22),"")="","",(K21/K22)),INDIRECT("'update Helper'!K"&amp;AI21)/100)</f>
        <v/>
      </c>
      <c r="M21" s="575"/>
      <c r="N21" s="577"/>
      <c r="O21" s="195"/>
      <c r="P21" s="573" t="str">
        <f t="shared" ref="P21" ca="1" si="27">IF(OR(INDIRECT("'update Helper'!K"&amp;AI21+1)=0,O21&lt;&gt;0,O22&lt;&gt;0),IF(IFERROR((O21/O22),"")="","",(O21/O22)),INDIRECT("'update Helper'!K"&amp;AI21+1)/100)</f>
        <v/>
      </c>
      <c r="Q21" s="575"/>
      <c r="R21" s="577"/>
      <c r="S21" s="195"/>
      <c r="T21" s="573" t="str">
        <f t="shared" ref="T21" ca="1" si="28">IF(OR(INDIRECT("'update Helper'!K"&amp;AI21+2)=0,S21&lt;&gt;0,S22&lt;&gt;0),IF(IFERROR((S21/S22),"")="","",(S21/S22)),INDIRECT("'update Helper'!K"&amp;AI21+2)/100)</f>
        <v/>
      </c>
      <c r="U21" s="575"/>
      <c r="V21" s="577"/>
      <c r="W21" s="195"/>
      <c r="X21" s="573" t="str">
        <f t="shared" ref="X21" ca="1" si="29">IF(OR(INDIRECT("'update Helper'!K"&amp;AI21+3)=0,W21&lt;&gt;0,W22&lt;&gt;0),IF(IFERROR((W21/W22),"")="","",(W21/W22)),INDIRECT("'update Helper'!K"&amp;AI21+3)/100)</f>
        <v/>
      </c>
      <c r="Y21" s="575"/>
      <c r="Z21" s="577"/>
      <c r="AA21" s="577"/>
      <c r="AB21" s="579"/>
      <c r="AC21" s="579"/>
      <c r="AD21" s="579"/>
      <c r="AE21" s="232" t="str">
        <f t="array" ref="AE21">IFERROR(IF(INDEX('Reference Records'!$D$4:$D$18,MATCH(LEFT(B21,255),LEFT('Reference Records'!$C$4:$C$18,255),0))=0,"",INDEX('Reference Records'!$D$4:$D$18,MATCH(LEFT(B21,255),LEFT('Reference Records'!$C$4:$C$18,255),0))),"")</f>
        <v/>
      </c>
      <c r="AF21" s="572" t="str">
        <f>IF(H21&lt;&gt;"",B21&amp;C21,"")</f>
        <v/>
      </c>
      <c r="AG21" s="572" t="b">
        <f>IF(OR(B21&lt;&gt;"",C21&lt;&gt;""),TRUE,FALSE)</f>
        <v>0</v>
      </c>
      <c r="AH21" s="206" t="str">
        <f t="array" ref="AH21">IFERROR(IF(INDEX('Reference Records'!$G$4:$G$18,MATCH(LEFT(B21,255),LEFT('Reference Records'!$C$4:$C$18,255),0))=0,"",INDEX('Reference Records'!$G$4:$G$18,MATCH(LEFT(B21,255),LEFT('Reference Records'!$C$4:$C$18,255),0))),"")</f>
        <v/>
      </c>
      <c r="AI21" s="163">
        <f ca="1">AI19+'update Helper'!$W$2</f>
        <v>76</v>
      </c>
      <c r="AJ21" s="232">
        <f t="shared" ref="AJ21" si="30">AJ19+1</f>
        <v>10</v>
      </c>
      <c r="AL21" s="232" t="str">
        <f ca="1">IFERROR(IF(INDIRECT("'update Helper'!O"&amp;AJ21)=0,"",IFERROR(VLOOKUP(INDIRECT("'update Helper'!O"&amp;AJ21),'Account Role'!A$1:B$28,2,0),IFERROR(VLOOKUP(INDIRECT("'update Helper'!N"&amp;AJ21),'Overview - Section A'!J$25:P117,7,0),""))),"")</f>
        <v/>
      </c>
    </row>
    <row r="22" spans="1:38" s="232" customFormat="1" ht="30" customHeight="1" x14ac:dyDescent="0.3">
      <c r="A22" s="582"/>
      <c r="B22" s="578"/>
      <c r="C22" s="578"/>
      <c r="D22" s="195"/>
      <c r="E22" s="574"/>
      <c r="F22" s="580"/>
      <c r="G22" s="578"/>
      <c r="H22" s="585"/>
      <c r="I22" s="580"/>
      <c r="J22" s="580"/>
      <c r="K22" s="195"/>
      <c r="L22" s="574"/>
      <c r="M22" s="576"/>
      <c r="N22" s="578"/>
      <c r="O22" s="195"/>
      <c r="P22" s="574"/>
      <c r="Q22" s="576"/>
      <c r="R22" s="578"/>
      <c r="S22" s="195"/>
      <c r="T22" s="574"/>
      <c r="U22" s="576"/>
      <c r="V22" s="578"/>
      <c r="W22" s="195"/>
      <c r="X22" s="574"/>
      <c r="Y22" s="576"/>
      <c r="Z22" s="578"/>
      <c r="AA22" s="578"/>
      <c r="AB22" s="580"/>
      <c r="AC22" s="580"/>
      <c r="AD22" s="580"/>
      <c r="AF22" s="572"/>
      <c r="AG22" s="572"/>
      <c r="AH22" s="206"/>
    </row>
    <row r="23" spans="1:38" s="232" customFormat="1" ht="30" customHeight="1" x14ac:dyDescent="0.3">
      <c r="A23" s="581">
        <v>8</v>
      </c>
      <c r="B23" s="577"/>
      <c r="C23" s="577"/>
      <c r="D23" s="195"/>
      <c r="E23" s="583" t="str">
        <f t="shared" ref="E23" ca="1" si="31">IF(OR(INDIRECT("'update Helper'!D"&amp;AJ23)=0,D23&lt;&gt;0,D24&lt;&gt;0),IF(IFERROR((D23/D24),"")="","",(D23/D24)),INDIRECT("'update Helper'!D"&amp;AJ23)/100)</f>
        <v/>
      </c>
      <c r="F23" s="579"/>
      <c r="G23" s="577"/>
      <c r="H23" s="584" t="str">
        <f>AE23</f>
        <v/>
      </c>
      <c r="I23" s="579"/>
      <c r="J23" s="579"/>
      <c r="K23" s="195"/>
      <c r="L23" s="573" t="str">
        <f t="shared" ref="L23" ca="1" si="32">IF(OR(INDIRECT("'update Helper'!K"&amp;AI23)=0,K23&lt;&gt;0,K24&lt;&gt;0),IF(IFERROR((K23/K24),"")="","",(K23/K24)),INDIRECT("'update Helper'!K"&amp;AI23)/100)</f>
        <v/>
      </c>
      <c r="M23" s="575"/>
      <c r="N23" s="577"/>
      <c r="O23" s="195"/>
      <c r="P23" s="573" t="str">
        <f t="shared" ref="P23" ca="1" si="33">IF(OR(INDIRECT("'update Helper'!K"&amp;AI23+1)=0,O23&lt;&gt;0,O24&lt;&gt;0),IF(IFERROR((O23/O24),"")="","",(O23/O24)),INDIRECT("'update Helper'!K"&amp;AI23+1)/100)</f>
        <v/>
      </c>
      <c r="Q23" s="575"/>
      <c r="R23" s="577"/>
      <c r="S23" s="195"/>
      <c r="T23" s="573" t="str">
        <f t="shared" ref="T23" ca="1" si="34">IF(OR(INDIRECT("'update Helper'!K"&amp;AI23+2)=0,S23&lt;&gt;0,S24&lt;&gt;0),IF(IFERROR((S23/S24),"")="","",(S23/S24)),INDIRECT("'update Helper'!K"&amp;AI23+2)/100)</f>
        <v/>
      </c>
      <c r="U23" s="575"/>
      <c r="V23" s="577"/>
      <c r="W23" s="195"/>
      <c r="X23" s="573" t="str">
        <f t="shared" ref="X23" ca="1" si="35">IF(OR(INDIRECT("'update Helper'!K"&amp;AI23+3)=0,W23&lt;&gt;0,W24&lt;&gt;0),IF(IFERROR((W23/W24),"")="","",(W23/W24)),INDIRECT("'update Helper'!K"&amp;AI23+3)/100)</f>
        <v/>
      </c>
      <c r="Y23" s="575"/>
      <c r="Z23" s="577"/>
      <c r="AA23" s="577"/>
      <c r="AB23" s="579"/>
      <c r="AC23" s="579"/>
      <c r="AD23" s="579"/>
      <c r="AE23" s="232" t="str">
        <f t="array" ref="AE23">IFERROR(IF(INDEX('Reference Records'!$D$4:$D$18,MATCH(LEFT(B23,255),LEFT('Reference Records'!$C$4:$C$18,255),0))=0,"",INDEX('Reference Records'!$D$4:$D$18,MATCH(LEFT(B23,255),LEFT('Reference Records'!$C$4:$C$18,255),0))),"")</f>
        <v/>
      </c>
      <c r="AF23" s="572" t="str">
        <f>IF(H23&lt;&gt;"",B23&amp;C23,"")</f>
        <v/>
      </c>
      <c r="AG23" s="572" t="b">
        <f>IF(OR(B23&lt;&gt;"",C23&lt;&gt;""),TRUE,FALSE)</f>
        <v>0</v>
      </c>
      <c r="AH23" s="206" t="str">
        <f t="array" ref="AH23">IFERROR(IF(INDEX('Reference Records'!$G$4:$G$18,MATCH(LEFT(B23,255),LEFT('Reference Records'!$C$4:$C$18,255),0))=0,"",INDEX('Reference Records'!$G$4:$G$18,MATCH(LEFT(B23,255),LEFT('Reference Records'!$C$4:$C$18,255),0))),"")</f>
        <v/>
      </c>
      <c r="AI23" s="163">
        <f ca="1">AI21+'update Helper'!$W$2</f>
        <v>82</v>
      </c>
      <c r="AJ23" s="232">
        <f t="shared" ref="AJ23" si="36">AJ21+1</f>
        <v>11</v>
      </c>
      <c r="AL23" s="232" t="str">
        <f ca="1">IFERROR(IF(INDIRECT("'update Helper'!O"&amp;AJ23)=0,"",IFERROR(VLOOKUP(INDIRECT("'update Helper'!O"&amp;AJ23),'Account Role'!A$1:B$28,2,0),IFERROR(VLOOKUP(INDIRECT("'update Helper'!N"&amp;AJ23),'Overview - Section A'!J$25:P119,7,0),""))),"")</f>
        <v/>
      </c>
    </row>
    <row r="24" spans="1:38" s="232" customFormat="1" ht="30" customHeight="1" x14ac:dyDescent="0.3">
      <c r="A24" s="582"/>
      <c r="B24" s="578"/>
      <c r="C24" s="578"/>
      <c r="D24" s="195"/>
      <c r="E24" s="574"/>
      <c r="F24" s="580"/>
      <c r="G24" s="578"/>
      <c r="H24" s="585"/>
      <c r="I24" s="580"/>
      <c r="J24" s="580"/>
      <c r="K24" s="195"/>
      <c r="L24" s="574"/>
      <c r="M24" s="576"/>
      <c r="N24" s="578"/>
      <c r="O24" s="195"/>
      <c r="P24" s="574"/>
      <c r="Q24" s="576"/>
      <c r="R24" s="578"/>
      <c r="S24" s="195"/>
      <c r="T24" s="574"/>
      <c r="U24" s="576"/>
      <c r="V24" s="578"/>
      <c r="W24" s="195"/>
      <c r="X24" s="574"/>
      <c r="Y24" s="576"/>
      <c r="Z24" s="578"/>
      <c r="AA24" s="578"/>
      <c r="AB24" s="580"/>
      <c r="AC24" s="580"/>
      <c r="AD24" s="580"/>
      <c r="AF24" s="572"/>
      <c r="AG24" s="572"/>
      <c r="AH24" s="206"/>
    </row>
    <row r="25" spans="1:38" s="232" customFormat="1" ht="30" customHeight="1" x14ac:dyDescent="0.3">
      <c r="A25" s="581">
        <v>9</v>
      </c>
      <c r="B25" s="577"/>
      <c r="C25" s="577"/>
      <c r="D25" s="195"/>
      <c r="E25" s="583" t="str">
        <f t="shared" ref="E25" ca="1" si="37">IF(OR(INDIRECT("'update Helper'!D"&amp;AJ25)=0,D25&lt;&gt;0,D26&lt;&gt;0),IF(IFERROR((D25/D26),"")="","",(D25/D26)),INDIRECT("'update Helper'!D"&amp;AJ25)/100)</f>
        <v/>
      </c>
      <c r="F25" s="579"/>
      <c r="G25" s="577"/>
      <c r="H25" s="584" t="str">
        <f>AE25</f>
        <v/>
      </c>
      <c r="I25" s="579"/>
      <c r="J25" s="579"/>
      <c r="K25" s="195"/>
      <c r="L25" s="573" t="str">
        <f t="shared" ref="L25" ca="1" si="38">IF(OR(INDIRECT("'update Helper'!K"&amp;AI25)=0,K25&lt;&gt;0,K26&lt;&gt;0),IF(IFERROR((K25/K26),"")="","",(K25/K26)),INDIRECT("'update Helper'!K"&amp;AI25)/100)</f>
        <v/>
      </c>
      <c r="M25" s="575"/>
      <c r="N25" s="577"/>
      <c r="O25" s="195"/>
      <c r="P25" s="573" t="str">
        <f t="shared" ref="P25" ca="1" si="39">IF(OR(INDIRECT("'update Helper'!K"&amp;AI25+1)=0,O25&lt;&gt;0,O26&lt;&gt;0),IF(IFERROR((O25/O26),"")="","",(O25/O26)),INDIRECT("'update Helper'!K"&amp;AI25+1)/100)</f>
        <v/>
      </c>
      <c r="Q25" s="575"/>
      <c r="R25" s="577"/>
      <c r="S25" s="195"/>
      <c r="T25" s="573" t="str">
        <f t="shared" ref="T25" ca="1" si="40">IF(OR(INDIRECT("'update Helper'!K"&amp;AI25+2)=0,S25&lt;&gt;0,S26&lt;&gt;0),IF(IFERROR((S25/S26),"")="","",(S25/S26)),INDIRECT("'update Helper'!K"&amp;AI25+2)/100)</f>
        <v/>
      </c>
      <c r="U25" s="575"/>
      <c r="V25" s="577"/>
      <c r="W25" s="195"/>
      <c r="X25" s="573" t="str">
        <f t="shared" ref="X25" ca="1" si="41">IF(OR(INDIRECT("'update Helper'!K"&amp;AI25+3)=0,W25&lt;&gt;0,W26&lt;&gt;0),IF(IFERROR((W25/W26),"")="","",(W25/W26)),INDIRECT("'update Helper'!K"&amp;AI25+3)/100)</f>
        <v/>
      </c>
      <c r="Y25" s="575"/>
      <c r="Z25" s="577"/>
      <c r="AA25" s="577"/>
      <c r="AB25" s="579"/>
      <c r="AC25" s="579"/>
      <c r="AD25" s="579"/>
      <c r="AE25" s="232" t="str">
        <f t="array" ref="AE25">IFERROR(IF(INDEX('Reference Records'!$D$4:$D$18,MATCH(LEFT(B25,255),LEFT('Reference Records'!$C$4:$C$18,255),0))=0,"",INDEX('Reference Records'!$D$4:$D$18,MATCH(LEFT(B25,255),LEFT('Reference Records'!$C$4:$C$18,255),0))),"")</f>
        <v/>
      </c>
      <c r="AF25" s="572" t="str">
        <f>IF(H25&lt;&gt;"",B25&amp;C25,"")</f>
        <v/>
      </c>
      <c r="AG25" s="572" t="b">
        <f>IF(OR(B25&lt;&gt;"",C25&lt;&gt;""),TRUE,FALSE)</f>
        <v>0</v>
      </c>
      <c r="AH25" s="206" t="str">
        <f t="array" ref="AH25">IFERROR(IF(INDEX('Reference Records'!$G$4:$G$18,MATCH(LEFT(B25,255),LEFT('Reference Records'!$C$4:$C$18,255),0))=0,"",INDEX('Reference Records'!$G$4:$G$18,MATCH(LEFT(B25,255),LEFT('Reference Records'!$C$4:$C$18,255),0))),"")</f>
        <v/>
      </c>
      <c r="AI25" s="163">
        <f ca="1">AI23+'update Helper'!$W$2</f>
        <v>88</v>
      </c>
      <c r="AJ25" s="232">
        <f t="shared" ref="AJ25" si="42">AJ23+1</f>
        <v>12</v>
      </c>
      <c r="AL25" s="232" t="str">
        <f ca="1">IFERROR(IF(INDIRECT("'update Helper'!O"&amp;AJ25)=0,"",IFERROR(VLOOKUP(INDIRECT("'update Helper'!O"&amp;AJ25),'Account Role'!A$1:B$28,2,0),IFERROR(VLOOKUP(INDIRECT("'update Helper'!N"&amp;AJ25),'Overview - Section A'!J$25:P121,7,0),""))),"")</f>
        <v/>
      </c>
    </row>
    <row r="26" spans="1:38" s="232" customFormat="1" ht="30" customHeight="1" x14ac:dyDescent="0.3">
      <c r="A26" s="582"/>
      <c r="B26" s="578"/>
      <c r="C26" s="578"/>
      <c r="D26" s="195"/>
      <c r="E26" s="574"/>
      <c r="F26" s="580"/>
      <c r="G26" s="578"/>
      <c r="H26" s="585"/>
      <c r="I26" s="580"/>
      <c r="J26" s="580"/>
      <c r="K26" s="195"/>
      <c r="L26" s="574"/>
      <c r="M26" s="576"/>
      <c r="N26" s="578"/>
      <c r="O26" s="195"/>
      <c r="P26" s="574"/>
      <c r="Q26" s="576"/>
      <c r="R26" s="578"/>
      <c r="S26" s="195"/>
      <c r="T26" s="574"/>
      <c r="U26" s="576"/>
      <c r="V26" s="578"/>
      <c r="W26" s="195"/>
      <c r="X26" s="574"/>
      <c r="Y26" s="576"/>
      <c r="Z26" s="578"/>
      <c r="AA26" s="578"/>
      <c r="AB26" s="580"/>
      <c r="AC26" s="580"/>
      <c r="AD26" s="580"/>
      <c r="AF26" s="572"/>
      <c r="AG26" s="572"/>
      <c r="AH26" s="206"/>
    </row>
    <row r="27" spans="1:38" s="232" customFormat="1" ht="30" customHeight="1" x14ac:dyDescent="0.3">
      <c r="A27" s="581">
        <v>10</v>
      </c>
      <c r="B27" s="577"/>
      <c r="C27" s="577"/>
      <c r="D27" s="195"/>
      <c r="E27" s="583" t="str">
        <f t="shared" ref="E27" ca="1" si="43">IF(OR(INDIRECT("'update Helper'!D"&amp;AJ27)=0,D27&lt;&gt;0,D28&lt;&gt;0),IF(IFERROR((D27/D28),"")="","",(D27/D28)),INDIRECT("'update Helper'!D"&amp;AJ27)/100)</f>
        <v/>
      </c>
      <c r="F27" s="579"/>
      <c r="G27" s="577"/>
      <c r="H27" s="584" t="str">
        <f>AE27</f>
        <v/>
      </c>
      <c r="I27" s="579"/>
      <c r="J27" s="579"/>
      <c r="K27" s="195"/>
      <c r="L27" s="573" t="str">
        <f t="shared" ref="L27" ca="1" si="44">IF(OR(INDIRECT("'update Helper'!K"&amp;AI27)=0,K27&lt;&gt;0,K28&lt;&gt;0),IF(IFERROR((K27/K28),"")="","",(K27/K28)),INDIRECT("'update Helper'!K"&amp;AI27)/100)</f>
        <v/>
      </c>
      <c r="M27" s="575"/>
      <c r="N27" s="577"/>
      <c r="O27" s="195"/>
      <c r="P27" s="573" t="str">
        <f t="shared" ref="P27" ca="1" si="45">IF(OR(INDIRECT("'update Helper'!K"&amp;AI27+1)=0,O27&lt;&gt;0,O28&lt;&gt;0),IF(IFERROR((O27/O28),"")="","",(O27/O28)),INDIRECT("'update Helper'!K"&amp;AI27+1)/100)</f>
        <v/>
      </c>
      <c r="Q27" s="575"/>
      <c r="R27" s="577"/>
      <c r="S27" s="195"/>
      <c r="T27" s="573" t="str">
        <f t="shared" ref="T27" ca="1" si="46">IF(OR(INDIRECT("'update Helper'!K"&amp;AI27+2)=0,S27&lt;&gt;0,S28&lt;&gt;0),IF(IFERROR((S27/S28),"")="","",(S27/S28)),INDIRECT("'update Helper'!K"&amp;AI27+2)/100)</f>
        <v/>
      </c>
      <c r="U27" s="575"/>
      <c r="V27" s="577"/>
      <c r="W27" s="195"/>
      <c r="X27" s="573" t="str">
        <f t="shared" ref="X27" ca="1" si="47">IF(OR(INDIRECT("'update Helper'!K"&amp;AI27+3)=0,W27&lt;&gt;0,W28&lt;&gt;0),IF(IFERROR((W27/W28),"")="","",(W27/W28)),INDIRECT("'update Helper'!K"&amp;AI27+3)/100)</f>
        <v/>
      </c>
      <c r="Y27" s="575"/>
      <c r="Z27" s="577"/>
      <c r="AA27" s="577"/>
      <c r="AB27" s="579"/>
      <c r="AC27" s="579"/>
      <c r="AD27" s="579"/>
      <c r="AE27" s="232" t="str">
        <f t="array" ref="AE27">IFERROR(IF(INDEX('Reference Records'!$D$4:$D$18,MATCH(LEFT(B27,255),LEFT('Reference Records'!$C$4:$C$18,255),0))=0,"",INDEX('Reference Records'!$D$4:$D$18,MATCH(LEFT(B27,255),LEFT('Reference Records'!$C$4:$C$18,255),0))),"")</f>
        <v/>
      </c>
      <c r="AF27" s="572" t="str">
        <f>IF(H27&lt;&gt;"",B27&amp;C27,"")</f>
        <v/>
      </c>
      <c r="AG27" s="572" t="b">
        <f>IF(OR(B27&lt;&gt;"",C27&lt;&gt;""),TRUE,FALSE)</f>
        <v>0</v>
      </c>
      <c r="AH27" s="206" t="str">
        <f t="array" ref="AH27">IFERROR(IF(INDEX('Reference Records'!$G$4:$G$18,MATCH(LEFT(B27,255),LEFT('Reference Records'!$C$4:$C$18,255),0))=0,"",INDEX('Reference Records'!$G$4:$G$18,MATCH(LEFT(B27,255),LEFT('Reference Records'!$C$4:$C$18,255),0))),"")</f>
        <v/>
      </c>
      <c r="AI27" s="163">
        <f ca="1">AI25+'update Helper'!$W$2</f>
        <v>94</v>
      </c>
      <c r="AJ27" s="232">
        <f t="shared" ref="AJ27" si="48">AJ25+1</f>
        <v>13</v>
      </c>
      <c r="AL27" s="232" t="str">
        <f ca="1">IFERROR(IF(INDIRECT("'update Helper'!O"&amp;AJ27)=0,"",IFERROR(VLOOKUP(INDIRECT("'update Helper'!O"&amp;AJ27),'Account Role'!A$1:B$28,2,0),IFERROR(VLOOKUP(INDIRECT("'update Helper'!N"&amp;AJ27),'Overview - Section A'!J$25:P123,7,0),""))),"")</f>
        <v/>
      </c>
    </row>
    <row r="28" spans="1:38" s="232" customFormat="1" ht="30" customHeight="1" x14ac:dyDescent="0.3">
      <c r="A28" s="582"/>
      <c r="B28" s="578"/>
      <c r="C28" s="578"/>
      <c r="D28" s="195"/>
      <c r="E28" s="574"/>
      <c r="F28" s="580"/>
      <c r="G28" s="578"/>
      <c r="H28" s="585"/>
      <c r="I28" s="580"/>
      <c r="J28" s="580"/>
      <c r="K28" s="195"/>
      <c r="L28" s="574"/>
      <c r="M28" s="576"/>
      <c r="N28" s="578"/>
      <c r="O28" s="195"/>
      <c r="P28" s="574"/>
      <c r="Q28" s="576"/>
      <c r="R28" s="578"/>
      <c r="S28" s="195"/>
      <c r="T28" s="574"/>
      <c r="U28" s="576"/>
      <c r="V28" s="578"/>
      <c r="W28" s="195"/>
      <c r="X28" s="574"/>
      <c r="Y28" s="576"/>
      <c r="Z28" s="578"/>
      <c r="AA28" s="578"/>
      <c r="AB28" s="580"/>
      <c r="AC28" s="580"/>
      <c r="AD28" s="580"/>
      <c r="AF28" s="572"/>
      <c r="AG28" s="572"/>
      <c r="AH28" s="206"/>
    </row>
    <row r="29" spans="1:38" s="232" customFormat="1" ht="30" customHeight="1" x14ac:dyDescent="0.3">
      <c r="A29" s="581">
        <v>11</v>
      </c>
      <c r="B29" s="577"/>
      <c r="C29" s="577"/>
      <c r="D29" s="195"/>
      <c r="E29" s="583" t="str">
        <f t="shared" ref="E29" ca="1" si="49">IF(OR(INDIRECT("'update Helper'!D"&amp;AJ29)=0,D29&lt;&gt;0,D30&lt;&gt;0),IF(IFERROR((D29/D30),"")="","",(D29/D30)),INDIRECT("'update Helper'!D"&amp;AJ29)/100)</f>
        <v/>
      </c>
      <c r="F29" s="579"/>
      <c r="G29" s="577"/>
      <c r="H29" s="584" t="str">
        <f>AE29</f>
        <v/>
      </c>
      <c r="I29" s="579"/>
      <c r="J29" s="579"/>
      <c r="K29" s="195"/>
      <c r="L29" s="573" t="str">
        <f t="shared" ref="L29" ca="1" si="50">IF(OR(INDIRECT("'update Helper'!K"&amp;AI29)=0,K29&lt;&gt;0,K30&lt;&gt;0),IF(IFERROR((K29/K30),"")="","",(K29/K30)),INDIRECT("'update Helper'!K"&amp;AI29)/100)</f>
        <v/>
      </c>
      <c r="M29" s="575"/>
      <c r="N29" s="577"/>
      <c r="O29" s="195"/>
      <c r="P29" s="573" t="str">
        <f t="shared" ref="P29" ca="1" si="51">IF(OR(INDIRECT("'update Helper'!K"&amp;AI29+1)=0,O29&lt;&gt;0,O30&lt;&gt;0),IF(IFERROR((O29/O30),"")="","",(O29/O30)),INDIRECT("'update Helper'!K"&amp;AI29+1)/100)</f>
        <v/>
      </c>
      <c r="Q29" s="575"/>
      <c r="R29" s="577"/>
      <c r="S29" s="195"/>
      <c r="T29" s="573" t="str">
        <f t="shared" ref="T29" ca="1" si="52">IF(OR(INDIRECT("'update Helper'!K"&amp;AI29+2)=0,S29&lt;&gt;0,S30&lt;&gt;0),IF(IFERROR((S29/S30),"")="","",(S29/S30)),INDIRECT("'update Helper'!K"&amp;AI29+2)/100)</f>
        <v/>
      </c>
      <c r="U29" s="575"/>
      <c r="V29" s="577"/>
      <c r="W29" s="195"/>
      <c r="X29" s="573" t="str">
        <f t="shared" ref="X29" ca="1" si="53">IF(OR(INDIRECT("'update Helper'!K"&amp;AI29+3)=0,W29&lt;&gt;0,W30&lt;&gt;0),IF(IFERROR((W29/W30),"")="","",(W29/W30)),INDIRECT("'update Helper'!K"&amp;AI29+3)/100)</f>
        <v/>
      </c>
      <c r="Y29" s="575"/>
      <c r="Z29" s="577"/>
      <c r="AA29" s="577"/>
      <c r="AB29" s="579"/>
      <c r="AC29" s="579"/>
      <c r="AD29" s="579"/>
      <c r="AE29" s="232" t="str">
        <f t="array" ref="AE29">IFERROR(IF(INDEX('Reference Records'!$D$4:$D$18,MATCH(LEFT(B29,255),LEFT('Reference Records'!$C$4:$C$18,255),0))=0,"",INDEX('Reference Records'!$D$4:$D$18,MATCH(LEFT(B29,255),LEFT('Reference Records'!$C$4:$C$18,255),0))),"")</f>
        <v/>
      </c>
      <c r="AF29" s="572" t="str">
        <f>IF(H29&lt;&gt;"",B29&amp;C29,"")</f>
        <v/>
      </c>
      <c r="AG29" s="572" t="b">
        <f>IF(OR(B29&lt;&gt;"",C29&lt;&gt;""),TRUE,FALSE)</f>
        <v>0</v>
      </c>
      <c r="AH29" s="206" t="str">
        <f t="array" ref="AH29">IFERROR(IF(INDEX('Reference Records'!$G$4:$G$18,MATCH(LEFT(B29,255),LEFT('Reference Records'!$C$4:$C$18,255),0))=0,"",INDEX('Reference Records'!$G$4:$G$18,MATCH(LEFT(B29,255),LEFT('Reference Records'!$C$4:$C$18,255),0))),"")</f>
        <v/>
      </c>
      <c r="AI29" s="163">
        <f ca="1">AI27+'update Helper'!$W$2</f>
        <v>100</v>
      </c>
      <c r="AJ29" s="232">
        <f t="shared" ref="AJ29" si="54">AJ27+1</f>
        <v>14</v>
      </c>
      <c r="AL29" s="232" t="str">
        <f ca="1">IFERROR(IF(INDIRECT("'update Helper'!O"&amp;AJ29)=0,"",IFERROR(VLOOKUP(INDIRECT("'update Helper'!O"&amp;AJ29),'Account Role'!A$1:B$28,2,0),IFERROR(VLOOKUP(INDIRECT("'update Helper'!N"&amp;AJ29),'Overview - Section A'!J$25:P175,7,0),""))),"")</f>
        <v/>
      </c>
    </row>
    <row r="30" spans="1:38" s="232" customFormat="1" ht="30" customHeight="1" x14ac:dyDescent="0.3">
      <c r="A30" s="582"/>
      <c r="B30" s="578"/>
      <c r="C30" s="578"/>
      <c r="D30" s="195"/>
      <c r="E30" s="574"/>
      <c r="F30" s="580"/>
      <c r="G30" s="578"/>
      <c r="H30" s="585"/>
      <c r="I30" s="580"/>
      <c r="J30" s="580"/>
      <c r="K30" s="195"/>
      <c r="L30" s="574"/>
      <c r="M30" s="576"/>
      <c r="N30" s="578"/>
      <c r="O30" s="195"/>
      <c r="P30" s="574"/>
      <c r="Q30" s="576"/>
      <c r="R30" s="578"/>
      <c r="S30" s="195"/>
      <c r="T30" s="574"/>
      <c r="U30" s="576"/>
      <c r="V30" s="578"/>
      <c r="W30" s="195"/>
      <c r="X30" s="574"/>
      <c r="Y30" s="576"/>
      <c r="Z30" s="578"/>
      <c r="AA30" s="578"/>
      <c r="AB30" s="580"/>
      <c r="AC30" s="580"/>
      <c r="AD30" s="580"/>
      <c r="AF30" s="572"/>
      <c r="AG30" s="572"/>
      <c r="AH30" s="206"/>
    </row>
    <row r="31" spans="1:38" s="232" customFormat="1" ht="30" customHeight="1" x14ac:dyDescent="0.3">
      <c r="A31" s="581">
        <v>12</v>
      </c>
      <c r="B31" s="577"/>
      <c r="C31" s="577"/>
      <c r="D31" s="195"/>
      <c r="E31" s="583" t="str">
        <f t="shared" ref="E31" ca="1" si="55">IF(OR(INDIRECT("'update Helper'!D"&amp;AJ31)=0,D31&lt;&gt;0,D32&lt;&gt;0),IF(IFERROR((D31/D32),"")="","",(D31/D32)),INDIRECT("'update Helper'!D"&amp;AJ31)/100)</f>
        <v/>
      </c>
      <c r="F31" s="579"/>
      <c r="G31" s="577"/>
      <c r="H31" s="584" t="str">
        <f>AE31</f>
        <v/>
      </c>
      <c r="I31" s="579"/>
      <c r="J31" s="579"/>
      <c r="K31" s="195"/>
      <c r="L31" s="573" t="str">
        <f t="shared" ref="L31" ca="1" si="56">IF(OR(INDIRECT("'update Helper'!K"&amp;AI31)=0,K31&lt;&gt;0,K32&lt;&gt;0),IF(IFERROR((K31/K32),"")="","",(K31/K32)),INDIRECT("'update Helper'!K"&amp;AI31)/100)</f>
        <v/>
      </c>
      <c r="M31" s="575"/>
      <c r="N31" s="577"/>
      <c r="O31" s="195"/>
      <c r="P31" s="573" t="str">
        <f t="shared" ref="P31" ca="1" si="57">IF(OR(INDIRECT("'update Helper'!K"&amp;AI31+1)=0,O31&lt;&gt;0,O32&lt;&gt;0),IF(IFERROR((O31/O32),"")="","",(O31/O32)),INDIRECT("'update Helper'!K"&amp;AI31+1)/100)</f>
        <v/>
      </c>
      <c r="Q31" s="575"/>
      <c r="R31" s="577"/>
      <c r="S31" s="195"/>
      <c r="T31" s="573" t="str">
        <f t="shared" ref="T31" ca="1" si="58">IF(OR(INDIRECT("'update Helper'!K"&amp;AI31+2)=0,S31&lt;&gt;0,S32&lt;&gt;0),IF(IFERROR((S31/S32),"")="","",(S31/S32)),INDIRECT("'update Helper'!K"&amp;AI31+2)/100)</f>
        <v/>
      </c>
      <c r="U31" s="575"/>
      <c r="V31" s="577"/>
      <c r="W31" s="195"/>
      <c r="X31" s="573" t="str">
        <f t="shared" ref="X31" ca="1" si="59">IF(OR(INDIRECT("'update Helper'!K"&amp;AI31+3)=0,W31&lt;&gt;0,W32&lt;&gt;0),IF(IFERROR((W31/W32),"")="","",(W31/W32)),INDIRECT("'update Helper'!K"&amp;AI31+3)/100)</f>
        <v/>
      </c>
      <c r="Y31" s="575"/>
      <c r="Z31" s="577"/>
      <c r="AA31" s="577"/>
      <c r="AB31" s="579"/>
      <c r="AC31" s="579"/>
      <c r="AD31" s="579"/>
      <c r="AE31" s="232" t="str">
        <f t="array" ref="AE31">IFERROR(IF(INDEX('Reference Records'!$D$4:$D$18,MATCH(LEFT(B31,255),LEFT('Reference Records'!$C$4:$C$18,255),0))=0,"",INDEX('Reference Records'!$D$4:$D$18,MATCH(LEFT(B31,255),LEFT('Reference Records'!$C$4:$C$18,255),0))),"")</f>
        <v/>
      </c>
      <c r="AF31" s="572" t="str">
        <f>IF(H31&lt;&gt;"",B31&amp;C31,"")</f>
        <v/>
      </c>
      <c r="AG31" s="572" t="b">
        <f>IF(OR(B31&lt;&gt;"",C31&lt;&gt;""),TRUE,FALSE)</f>
        <v>0</v>
      </c>
      <c r="AH31" s="206" t="str">
        <f t="array" ref="AH31">IFERROR(IF(INDEX('Reference Records'!$G$4:$G$18,MATCH(LEFT(B31,255),LEFT('Reference Records'!$C$4:$C$18,255),0))=0,"",INDEX('Reference Records'!$G$4:$G$18,MATCH(LEFT(B31,255),LEFT('Reference Records'!$C$4:$C$18,255),0))),"")</f>
        <v/>
      </c>
      <c r="AI31" s="163">
        <f ca="1">AI29+'update Helper'!$W$2</f>
        <v>106</v>
      </c>
      <c r="AJ31" s="232">
        <f t="shared" ref="AJ31" si="60">AJ29+1</f>
        <v>15</v>
      </c>
      <c r="AL31" s="232" t="str">
        <f ca="1">IFERROR(IF(INDIRECT("'update Helper'!O"&amp;AJ31)=0,"",IFERROR(VLOOKUP(INDIRECT("'update Helper'!O"&amp;AJ31),'Account Role'!A$1:B$28,2,0),IFERROR(VLOOKUP(INDIRECT("'update Helper'!N"&amp;AJ31),'Overview - Section A'!J$25:P177,7,0),""))),"")</f>
        <v/>
      </c>
    </row>
    <row r="32" spans="1:38" s="232" customFormat="1" ht="30" customHeight="1" x14ac:dyDescent="0.3">
      <c r="A32" s="582"/>
      <c r="B32" s="578"/>
      <c r="C32" s="578"/>
      <c r="D32" s="195"/>
      <c r="E32" s="574"/>
      <c r="F32" s="580"/>
      <c r="G32" s="578"/>
      <c r="H32" s="585"/>
      <c r="I32" s="580"/>
      <c r="J32" s="580"/>
      <c r="K32" s="195"/>
      <c r="L32" s="574"/>
      <c r="M32" s="576"/>
      <c r="N32" s="578"/>
      <c r="O32" s="195"/>
      <c r="P32" s="574"/>
      <c r="Q32" s="576"/>
      <c r="R32" s="578"/>
      <c r="S32" s="195"/>
      <c r="T32" s="574"/>
      <c r="U32" s="576"/>
      <c r="V32" s="578"/>
      <c r="W32" s="195"/>
      <c r="X32" s="574"/>
      <c r="Y32" s="576"/>
      <c r="Z32" s="578"/>
      <c r="AA32" s="578"/>
      <c r="AB32" s="580"/>
      <c r="AC32" s="580"/>
      <c r="AD32" s="580"/>
      <c r="AF32" s="572"/>
      <c r="AG32" s="572"/>
      <c r="AH32" s="206"/>
    </row>
    <row r="33" spans="1:43" s="232" customFormat="1" ht="30" customHeight="1" x14ac:dyDescent="0.3">
      <c r="A33" s="581">
        <v>13</v>
      </c>
      <c r="B33" s="577"/>
      <c r="C33" s="577"/>
      <c r="D33" s="195"/>
      <c r="E33" s="583" t="str">
        <f t="shared" ref="E33" ca="1" si="61">IF(OR(INDIRECT("'update Helper'!D"&amp;AJ33)=0,D33&lt;&gt;0,D34&lt;&gt;0),IF(IFERROR((D33/D34),"")="","",(D33/D34)),INDIRECT("'update Helper'!D"&amp;AJ33)/100)</f>
        <v/>
      </c>
      <c r="F33" s="579"/>
      <c r="G33" s="577"/>
      <c r="H33" s="584" t="str">
        <f>AE33</f>
        <v/>
      </c>
      <c r="I33" s="579"/>
      <c r="J33" s="579"/>
      <c r="K33" s="195"/>
      <c r="L33" s="573" t="str">
        <f t="shared" ref="L33" ca="1" si="62">IF(OR(INDIRECT("'update Helper'!K"&amp;AI33)=0,K33&lt;&gt;0,K34&lt;&gt;0),IF(IFERROR((K33/K34),"")="","",(K33/K34)),INDIRECT("'update Helper'!K"&amp;AI33)/100)</f>
        <v/>
      </c>
      <c r="M33" s="575"/>
      <c r="N33" s="577"/>
      <c r="O33" s="195"/>
      <c r="P33" s="573" t="str">
        <f t="shared" ref="P33" ca="1" si="63">IF(OR(INDIRECT("'update Helper'!K"&amp;AI33+1)=0,O33&lt;&gt;0,O34&lt;&gt;0),IF(IFERROR((O33/O34),"")="","",(O33/O34)),INDIRECT("'update Helper'!K"&amp;AI33+1)/100)</f>
        <v/>
      </c>
      <c r="Q33" s="575"/>
      <c r="R33" s="577"/>
      <c r="S33" s="195"/>
      <c r="T33" s="573" t="str">
        <f t="shared" ref="T33" ca="1" si="64">IF(OR(INDIRECT("'update Helper'!K"&amp;AI33+2)=0,S33&lt;&gt;0,S34&lt;&gt;0),IF(IFERROR((S33/S34),"")="","",(S33/S34)),INDIRECT("'update Helper'!K"&amp;AI33+2)/100)</f>
        <v/>
      </c>
      <c r="U33" s="575"/>
      <c r="V33" s="577"/>
      <c r="W33" s="195"/>
      <c r="X33" s="573" t="str">
        <f t="shared" ref="X33" ca="1" si="65">IF(OR(INDIRECT("'update Helper'!K"&amp;AI33+3)=0,W33&lt;&gt;0,W34&lt;&gt;0),IF(IFERROR((W33/W34),"")="","",(W33/W34)),INDIRECT("'update Helper'!K"&amp;AI33+3)/100)</f>
        <v/>
      </c>
      <c r="Y33" s="575"/>
      <c r="Z33" s="577"/>
      <c r="AA33" s="577"/>
      <c r="AB33" s="579"/>
      <c r="AC33" s="579"/>
      <c r="AD33" s="579"/>
      <c r="AE33" s="232" t="str">
        <f t="array" ref="AE33">IFERROR(IF(INDEX('Reference Records'!$D$4:$D$18,MATCH(LEFT(B33,255),LEFT('Reference Records'!$C$4:$C$18,255),0))=0,"",INDEX('Reference Records'!$D$4:$D$18,MATCH(LEFT(B33,255),LEFT('Reference Records'!$C$4:$C$18,255),0))),"")</f>
        <v/>
      </c>
      <c r="AF33" s="572" t="str">
        <f>IF(H33&lt;&gt;"",B33&amp;C33,"")</f>
        <v/>
      </c>
      <c r="AG33" s="572" t="b">
        <f>IF(OR(B33&lt;&gt;"",C33&lt;&gt;""),TRUE,FALSE)</f>
        <v>0</v>
      </c>
      <c r="AH33" s="206" t="str">
        <f t="array" ref="AH33">IFERROR(IF(INDEX('Reference Records'!$G$4:$G$18,MATCH(LEFT(B33,255),LEFT('Reference Records'!$C$4:$C$18,255),0))=0,"",INDEX('Reference Records'!$G$4:$G$18,MATCH(LEFT(B33,255),LEFT('Reference Records'!$C$4:$C$18,255),0))),"")</f>
        <v/>
      </c>
      <c r="AI33" s="163">
        <f ca="1">AI31+'update Helper'!$W$2</f>
        <v>112</v>
      </c>
      <c r="AJ33" s="232">
        <f t="shared" ref="AJ33" si="66">AJ31+1</f>
        <v>16</v>
      </c>
      <c r="AL33" s="232" t="str">
        <f ca="1">IFERROR(IF(INDIRECT("'update Helper'!O"&amp;AJ33)=0,"",IFERROR(VLOOKUP(INDIRECT("'update Helper'!O"&amp;AJ33),'Account Role'!A$1:B$28,2,0),IFERROR(VLOOKUP(INDIRECT("'update Helper'!N"&amp;AJ33),'Overview - Section A'!J$25:P179,7,0),""))),"")</f>
        <v/>
      </c>
    </row>
    <row r="34" spans="1:43" s="232" customFormat="1" ht="30" customHeight="1" x14ac:dyDescent="0.3">
      <c r="A34" s="582"/>
      <c r="B34" s="578"/>
      <c r="C34" s="578"/>
      <c r="D34" s="195"/>
      <c r="E34" s="574"/>
      <c r="F34" s="580"/>
      <c r="G34" s="578"/>
      <c r="H34" s="585"/>
      <c r="I34" s="580"/>
      <c r="J34" s="580"/>
      <c r="K34" s="195"/>
      <c r="L34" s="574"/>
      <c r="M34" s="576"/>
      <c r="N34" s="578"/>
      <c r="O34" s="195"/>
      <c r="P34" s="574"/>
      <c r="Q34" s="576"/>
      <c r="R34" s="578"/>
      <c r="S34" s="195"/>
      <c r="T34" s="574"/>
      <c r="U34" s="576"/>
      <c r="V34" s="578"/>
      <c r="W34" s="195"/>
      <c r="X34" s="574"/>
      <c r="Y34" s="576"/>
      <c r="Z34" s="578"/>
      <c r="AA34" s="578"/>
      <c r="AB34" s="580"/>
      <c r="AC34" s="580"/>
      <c r="AD34" s="580"/>
      <c r="AF34" s="572"/>
      <c r="AG34" s="572"/>
      <c r="AH34" s="206"/>
    </row>
    <row r="35" spans="1:43" s="232" customFormat="1" ht="30" customHeight="1" x14ac:dyDescent="0.3">
      <c r="A35" s="581">
        <v>14</v>
      </c>
      <c r="B35" s="577"/>
      <c r="C35" s="577"/>
      <c r="D35" s="195"/>
      <c r="E35" s="583" t="str">
        <f t="shared" ref="E35" ca="1" si="67">IF(OR(INDIRECT("'update Helper'!D"&amp;AJ35)=0,D35&lt;&gt;0,D36&lt;&gt;0),IF(IFERROR((D35/D36),"")="","",(D35/D36)),INDIRECT("'update Helper'!D"&amp;AJ35)/100)</f>
        <v/>
      </c>
      <c r="F35" s="579"/>
      <c r="G35" s="577"/>
      <c r="H35" s="584" t="str">
        <f>AE35</f>
        <v/>
      </c>
      <c r="I35" s="579"/>
      <c r="J35" s="579"/>
      <c r="K35" s="195"/>
      <c r="L35" s="573" t="str">
        <f t="shared" ref="L35" ca="1" si="68">IF(OR(INDIRECT("'update Helper'!K"&amp;AI35)=0,K35&lt;&gt;0,K36&lt;&gt;0),IF(IFERROR((K35/K36),"")="","",(K35/K36)),INDIRECT("'update Helper'!K"&amp;AI35)/100)</f>
        <v/>
      </c>
      <c r="M35" s="575"/>
      <c r="N35" s="577"/>
      <c r="O35" s="195"/>
      <c r="P35" s="573" t="str">
        <f t="shared" ref="P35" ca="1" si="69">IF(OR(INDIRECT("'update Helper'!K"&amp;AI35+1)=0,O35&lt;&gt;0,O36&lt;&gt;0),IF(IFERROR((O35/O36),"")="","",(O35/O36)),INDIRECT("'update Helper'!K"&amp;AI35+1)/100)</f>
        <v/>
      </c>
      <c r="Q35" s="575"/>
      <c r="R35" s="577"/>
      <c r="S35" s="195"/>
      <c r="T35" s="573" t="str">
        <f t="shared" ref="T35" ca="1" si="70">IF(OR(INDIRECT("'update Helper'!K"&amp;AI35+2)=0,S35&lt;&gt;0,S36&lt;&gt;0),IF(IFERROR((S35/S36),"")="","",(S35/S36)),INDIRECT("'update Helper'!K"&amp;AI35+2)/100)</f>
        <v/>
      </c>
      <c r="U35" s="575"/>
      <c r="V35" s="577"/>
      <c r="W35" s="195"/>
      <c r="X35" s="573" t="str">
        <f t="shared" ref="X35" ca="1" si="71">IF(OR(INDIRECT("'update Helper'!K"&amp;AI35+3)=0,W35&lt;&gt;0,W36&lt;&gt;0),IF(IFERROR((W35/W36),"")="","",(W35/W36)),INDIRECT("'update Helper'!K"&amp;AI35+3)/100)</f>
        <v/>
      </c>
      <c r="Y35" s="575"/>
      <c r="Z35" s="577"/>
      <c r="AA35" s="577"/>
      <c r="AB35" s="579"/>
      <c r="AC35" s="579"/>
      <c r="AD35" s="579"/>
      <c r="AE35" s="232" t="str">
        <f t="array" ref="AE35">IFERROR(IF(INDEX('Reference Records'!$D$4:$D$18,MATCH(LEFT(B35,255),LEFT('Reference Records'!$C$4:$C$18,255),0))=0,"",INDEX('Reference Records'!$D$4:$D$18,MATCH(LEFT(B35,255),LEFT('Reference Records'!$C$4:$C$18,255),0))),"")</f>
        <v/>
      </c>
      <c r="AF35" s="572" t="str">
        <f>IF(H35&lt;&gt;"",B35&amp;C35,"")</f>
        <v/>
      </c>
      <c r="AG35" s="572" t="b">
        <f>IF(OR(B35&lt;&gt;"",C35&lt;&gt;""),TRUE,FALSE)</f>
        <v>0</v>
      </c>
      <c r="AH35" s="206" t="str">
        <f t="array" ref="AH35">IFERROR(IF(INDEX('Reference Records'!$G$4:$G$18,MATCH(LEFT(B35,255),LEFT('Reference Records'!$C$4:$C$18,255),0))=0,"",INDEX('Reference Records'!$G$4:$G$18,MATCH(LEFT(B35,255),LEFT('Reference Records'!$C$4:$C$18,255),0))),"")</f>
        <v/>
      </c>
      <c r="AI35" s="163">
        <f ca="1">AI33+'update Helper'!$W$2</f>
        <v>118</v>
      </c>
      <c r="AJ35" s="232">
        <f t="shared" ref="AJ35" si="72">AJ33+1</f>
        <v>17</v>
      </c>
      <c r="AL35" s="232" t="str">
        <f ca="1">IFERROR(IF(INDIRECT("'update Helper'!O"&amp;AJ35)=0,"",IFERROR(VLOOKUP(INDIRECT("'update Helper'!O"&amp;AJ35),'Account Role'!A$1:B$28,2,0),IFERROR(VLOOKUP(INDIRECT("'update Helper'!N"&amp;AJ35),'Overview - Section A'!J$25:P181,7,0),""))),"")</f>
        <v/>
      </c>
    </row>
    <row r="36" spans="1:43" s="232" customFormat="1" ht="30" customHeight="1" x14ac:dyDescent="0.3">
      <c r="A36" s="582"/>
      <c r="B36" s="578"/>
      <c r="C36" s="578"/>
      <c r="D36" s="195"/>
      <c r="E36" s="574"/>
      <c r="F36" s="580"/>
      <c r="G36" s="578"/>
      <c r="H36" s="585"/>
      <c r="I36" s="580"/>
      <c r="J36" s="580"/>
      <c r="K36" s="195"/>
      <c r="L36" s="574"/>
      <c r="M36" s="576"/>
      <c r="N36" s="578"/>
      <c r="O36" s="195"/>
      <c r="P36" s="574"/>
      <c r="Q36" s="576"/>
      <c r="R36" s="578"/>
      <c r="S36" s="195"/>
      <c r="T36" s="574"/>
      <c r="U36" s="576"/>
      <c r="V36" s="578"/>
      <c r="W36" s="195"/>
      <c r="X36" s="574"/>
      <c r="Y36" s="576"/>
      <c r="Z36" s="578"/>
      <c r="AA36" s="578"/>
      <c r="AB36" s="580"/>
      <c r="AC36" s="580"/>
      <c r="AD36" s="580"/>
      <c r="AF36" s="572"/>
      <c r="AG36" s="572"/>
      <c r="AH36" s="206"/>
    </row>
    <row r="37" spans="1:43" s="232" customFormat="1" ht="30" customHeight="1" x14ac:dyDescent="0.3">
      <c r="A37" s="581">
        <v>15</v>
      </c>
      <c r="B37" s="577"/>
      <c r="C37" s="577"/>
      <c r="D37" s="195"/>
      <c r="E37" s="583" t="str">
        <f t="shared" ref="E37" ca="1" si="73">IF(OR(INDIRECT("'update Helper'!D"&amp;AJ37)=0,D37&lt;&gt;0,D38&lt;&gt;0),IF(IFERROR((D37/D38),"")="","",(D37/D38)),INDIRECT("'update Helper'!D"&amp;AJ37)/100)</f>
        <v/>
      </c>
      <c r="F37" s="579"/>
      <c r="G37" s="577"/>
      <c r="H37" s="584" t="str">
        <f>AE37</f>
        <v/>
      </c>
      <c r="I37" s="579"/>
      <c r="J37" s="579"/>
      <c r="K37" s="195"/>
      <c r="L37" s="573" t="str">
        <f t="shared" ref="L37" ca="1" si="74">IF(OR(INDIRECT("'update Helper'!K"&amp;AI37)=0,K37&lt;&gt;0,K38&lt;&gt;0),IF(IFERROR((K37/K38),"")="","",(K37/K38)),INDIRECT("'update Helper'!K"&amp;AI37)/100)</f>
        <v/>
      </c>
      <c r="M37" s="575"/>
      <c r="N37" s="577"/>
      <c r="O37" s="195"/>
      <c r="P37" s="573" t="str">
        <f t="shared" ref="P37" ca="1" si="75">IF(OR(INDIRECT("'update Helper'!K"&amp;AI37+1)=0,O37&lt;&gt;0,O38&lt;&gt;0),IF(IFERROR((O37/O38),"")="","",(O37/O38)),INDIRECT("'update Helper'!K"&amp;AI37+1)/100)</f>
        <v/>
      </c>
      <c r="Q37" s="575"/>
      <c r="R37" s="577"/>
      <c r="S37" s="195"/>
      <c r="T37" s="573" t="str">
        <f t="shared" ref="T37" ca="1" si="76">IF(OR(INDIRECT("'update Helper'!K"&amp;AI37+2)=0,S37&lt;&gt;0,S38&lt;&gt;0),IF(IFERROR((S37/S38),"")="","",(S37/S38)),INDIRECT("'update Helper'!K"&amp;AI37+2)/100)</f>
        <v/>
      </c>
      <c r="U37" s="575"/>
      <c r="V37" s="577"/>
      <c r="W37" s="195"/>
      <c r="X37" s="573" t="str">
        <f t="shared" ref="X37" ca="1" si="77">IF(OR(INDIRECT("'update Helper'!K"&amp;AI37+3)=0,W37&lt;&gt;0,W38&lt;&gt;0),IF(IFERROR((W37/W38),"")="","",(W37/W38)),INDIRECT("'update Helper'!K"&amp;AI37+3)/100)</f>
        <v/>
      </c>
      <c r="Y37" s="575"/>
      <c r="Z37" s="577"/>
      <c r="AA37" s="577"/>
      <c r="AB37" s="579"/>
      <c r="AC37" s="579"/>
      <c r="AD37" s="579"/>
      <c r="AE37" s="232" t="str">
        <f t="array" ref="AE37">IFERROR(IF(INDEX('Reference Records'!$D$4:$D$18,MATCH(LEFT(B37,255),LEFT('Reference Records'!$C$4:$C$18,255),0))=0,"",INDEX('Reference Records'!$D$4:$D$18,MATCH(LEFT(B37,255),LEFT('Reference Records'!$C$4:$C$18,255),0))),"")</f>
        <v/>
      </c>
      <c r="AF37" s="572" t="str">
        <f>IF(H37&lt;&gt;"",B37&amp;C37,"")</f>
        <v/>
      </c>
      <c r="AG37" s="572" t="b">
        <f>IF(OR(B37&lt;&gt;"",C37&lt;&gt;""),TRUE,FALSE)</f>
        <v>0</v>
      </c>
      <c r="AH37" s="206" t="str">
        <f t="array" ref="AH37">IFERROR(IF(INDEX('Reference Records'!$G$4:$G$18,MATCH(LEFT(B37,255),LEFT('Reference Records'!$C$4:$C$18,255),0))=0,"",INDEX('Reference Records'!$G$4:$G$18,MATCH(LEFT(B37,255),LEFT('Reference Records'!$C$4:$C$18,255),0))),"")</f>
        <v/>
      </c>
      <c r="AI37" s="163">
        <f ca="1">AI35+'update Helper'!$W$2</f>
        <v>124</v>
      </c>
      <c r="AJ37" s="232">
        <f t="shared" ref="AJ37" si="78">AJ35+1</f>
        <v>18</v>
      </c>
      <c r="AL37" s="232" t="str">
        <f ca="1">IFERROR(IF(INDIRECT("'update Helper'!O"&amp;AJ37)=0,"",IFERROR(VLOOKUP(INDIRECT("'update Helper'!O"&amp;AJ37),'Account Role'!A$1:B$28,2,0),IFERROR(VLOOKUP(INDIRECT("'update Helper'!N"&amp;AJ37),'Overview - Section A'!J$25:P183,7,0),""))),"")</f>
        <v/>
      </c>
    </row>
    <row r="38" spans="1:43" s="232" customFormat="1" ht="30" customHeight="1" x14ac:dyDescent="0.3">
      <c r="A38" s="582"/>
      <c r="B38" s="578"/>
      <c r="C38" s="578"/>
      <c r="D38" s="195"/>
      <c r="E38" s="574"/>
      <c r="F38" s="580"/>
      <c r="G38" s="578"/>
      <c r="H38" s="585"/>
      <c r="I38" s="580"/>
      <c r="J38" s="580"/>
      <c r="K38" s="195"/>
      <c r="L38" s="574"/>
      <c r="M38" s="576"/>
      <c r="N38" s="578"/>
      <c r="O38" s="195"/>
      <c r="P38" s="574"/>
      <c r="Q38" s="576"/>
      <c r="R38" s="578"/>
      <c r="S38" s="195"/>
      <c r="T38" s="574"/>
      <c r="U38" s="576"/>
      <c r="V38" s="578"/>
      <c r="W38" s="195"/>
      <c r="X38" s="574"/>
      <c r="Y38" s="576"/>
      <c r="Z38" s="578"/>
      <c r="AA38" s="578"/>
      <c r="AB38" s="580"/>
      <c r="AC38" s="580"/>
      <c r="AD38" s="580"/>
      <c r="AF38" s="572"/>
      <c r="AG38" s="572"/>
      <c r="AH38" s="206"/>
    </row>
    <row r="39" spans="1:43" s="232" customFormat="1" ht="30" customHeight="1" x14ac:dyDescent="0.3">
      <c r="D39" s="163"/>
    </row>
    <row r="40" spans="1:43" s="232" customFormat="1" ht="30" customHeight="1" x14ac:dyDescent="0.3">
      <c r="D40" s="163"/>
    </row>
    <row r="41" spans="1:43" s="232" customFormat="1" ht="30" customHeight="1" x14ac:dyDescent="0.3">
      <c r="D41" s="163"/>
    </row>
    <row r="42" spans="1:43" s="232" customFormat="1" ht="30" customHeight="1" x14ac:dyDescent="0.3">
      <c r="D42" s="163"/>
    </row>
    <row r="43" spans="1:43" s="232" customFormat="1" ht="30" customHeight="1" x14ac:dyDescent="0.3">
      <c r="D43" s="163"/>
    </row>
    <row r="44" spans="1:43" s="232" customFormat="1" ht="30" customHeight="1" x14ac:dyDescent="0.3">
      <c r="D44" s="163"/>
    </row>
    <row r="45" spans="1:43" s="232" customFormat="1" ht="30" customHeight="1" x14ac:dyDescent="0.3">
      <c r="D45" s="163"/>
    </row>
    <row r="46" spans="1:43" s="232" customFormat="1" ht="30" customHeight="1" x14ac:dyDescent="0.3">
      <c r="D46" s="163"/>
    </row>
    <row r="47" spans="1:43" s="232" customFormat="1" ht="30" customHeight="1" x14ac:dyDescent="0.3">
      <c r="A47"/>
      <c r="B47"/>
      <c r="C47" s="176"/>
      <c r="D47" s="163"/>
      <c r="AB47"/>
      <c r="AC47"/>
      <c r="AD47"/>
      <c r="AE47"/>
      <c r="AF47"/>
      <c r="AG47"/>
      <c r="AH47"/>
      <c r="AI47"/>
      <c r="AJ47"/>
      <c r="AK47"/>
      <c r="AL47"/>
      <c r="AM47"/>
      <c r="AN47"/>
      <c r="AO47"/>
      <c r="AP47"/>
      <c r="AQ47"/>
    </row>
    <row r="48" spans="1:43" s="232" customFormat="1" ht="30" customHeight="1" x14ac:dyDescent="0.3">
      <c r="A48"/>
      <c r="B48"/>
      <c r="C48" s="176"/>
      <c r="D48" s="163"/>
      <c r="AB48"/>
      <c r="AC48"/>
      <c r="AD48"/>
      <c r="AE48"/>
      <c r="AF48"/>
      <c r="AG48"/>
      <c r="AH48"/>
      <c r="AI48"/>
      <c r="AJ48"/>
      <c r="AK48"/>
      <c r="AL48"/>
      <c r="AM48"/>
      <c r="AN48"/>
      <c r="AO48"/>
      <c r="AP48"/>
      <c r="AQ48"/>
    </row>
    <row r="49" spans="1:43" s="232" customFormat="1" ht="30" customHeight="1" x14ac:dyDescent="0.3">
      <c r="A49"/>
      <c r="B49"/>
      <c r="C49" s="176"/>
      <c r="D49" s="163"/>
      <c r="AB49"/>
      <c r="AC49"/>
      <c r="AD49"/>
      <c r="AE49"/>
      <c r="AF49"/>
      <c r="AG49"/>
      <c r="AH49"/>
      <c r="AI49"/>
      <c r="AJ49"/>
      <c r="AK49"/>
      <c r="AL49"/>
      <c r="AM49"/>
      <c r="AN49"/>
      <c r="AO49"/>
      <c r="AP49"/>
      <c r="AQ49"/>
    </row>
    <row r="50" spans="1:43" s="232" customFormat="1" ht="30" customHeight="1" x14ac:dyDescent="0.3">
      <c r="A50"/>
      <c r="B50"/>
      <c r="C50" s="176"/>
      <c r="D50" s="163"/>
      <c r="AB50"/>
      <c r="AC50"/>
      <c r="AD50"/>
      <c r="AE50"/>
      <c r="AF50"/>
      <c r="AG50"/>
      <c r="AH50"/>
      <c r="AI50"/>
      <c r="AJ50"/>
      <c r="AK50"/>
      <c r="AL50"/>
      <c r="AM50"/>
      <c r="AN50"/>
      <c r="AO50"/>
      <c r="AP50"/>
      <c r="AQ50"/>
    </row>
    <row r="51" spans="1:43" ht="30" customHeight="1" x14ac:dyDescent="0.3">
      <c r="D51" s="163"/>
    </row>
    <row r="52" spans="1:43" ht="30" customHeight="1" x14ac:dyDescent="0.3">
      <c r="D52" s="163"/>
    </row>
    <row r="53" spans="1:43" ht="30" customHeight="1" x14ac:dyDescent="0.3">
      <c r="D53" s="163"/>
    </row>
    <row r="54" spans="1:43" ht="30" customHeight="1" x14ac:dyDescent="0.3">
      <c r="D54" s="163"/>
    </row>
    <row r="55" spans="1:43" ht="30" customHeight="1" x14ac:dyDescent="0.3">
      <c r="D55" s="163"/>
    </row>
    <row r="56" spans="1:43" ht="30" customHeight="1" x14ac:dyDescent="0.3">
      <c r="D56" s="163"/>
    </row>
    <row r="57" spans="1:43" ht="30" customHeight="1" x14ac:dyDescent="0.3">
      <c r="D57" s="163"/>
    </row>
    <row r="58" spans="1:43" ht="30" customHeight="1" x14ac:dyDescent="0.3">
      <c r="D58" s="163"/>
    </row>
    <row r="59" spans="1:43" ht="30" customHeight="1" x14ac:dyDescent="0.3">
      <c r="D59" s="163"/>
    </row>
    <row r="60" spans="1:43" ht="30" customHeight="1" x14ac:dyDescent="0.3">
      <c r="D60" s="163"/>
    </row>
    <row r="61" spans="1:43" ht="30" customHeight="1" x14ac:dyDescent="0.3">
      <c r="D61" s="163"/>
    </row>
    <row r="62" spans="1:43" ht="30" customHeight="1" x14ac:dyDescent="0.3">
      <c r="D62" s="163"/>
    </row>
    <row r="63" spans="1:43" ht="30" customHeight="1" x14ac:dyDescent="0.3">
      <c r="D63" s="163"/>
    </row>
    <row r="64" spans="1:43" ht="30" customHeight="1" x14ac:dyDescent="0.3">
      <c r="D64" s="163"/>
    </row>
    <row r="65" spans="4:4" ht="30" customHeight="1" x14ac:dyDescent="0.3">
      <c r="D65" s="163"/>
    </row>
    <row r="66" spans="4:4" ht="30" customHeight="1" x14ac:dyDescent="0.3">
      <c r="D66" s="163"/>
    </row>
    <row r="67" spans="4:4" ht="30" customHeight="1" x14ac:dyDescent="0.3">
      <c r="D67" s="163"/>
    </row>
    <row r="68" spans="4:4" ht="30" customHeight="1" x14ac:dyDescent="0.3">
      <c r="D68" s="163"/>
    </row>
    <row r="69" spans="4:4" ht="30" customHeight="1" x14ac:dyDescent="0.3">
      <c r="D69" s="163"/>
    </row>
    <row r="70" spans="4:4" ht="30" customHeight="1" x14ac:dyDescent="0.3">
      <c r="D70" s="163"/>
    </row>
    <row r="71" spans="4:4" ht="30" customHeight="1" x14ac:dyDescent="0.3">
      <c r="D71" s="163"/>
    </row>
    <row r="72" spans="4:4" ht="30" customHeight="1" x14ac:dyDescent="0.3">
      <c r="D72" s="163"/>
    </row>
    <row r="73" spans="4:4" ht="30" customHeight="1" x14ac:dyDescent="0.3">
      <c r="D73" s="163"/>
    </row>
    <row r="74" spans="4:4" ht="30" customHeight="1" x14ac:dyDescent="0.3">
      <c r="D74" s="163"/>
    </row>
    <row r="75" spans="4:4" ht="30" customHeight="1" x14ac:dyDescent="0.3">
      <c r="D75" s="163"/>
    </row>
    <row r="76" spans="4:4" ht="30" customHeight="1" x14ac:dyDescent="0.3">
      <c r="D76" s="163"/>
    </row>
    <row r="77" spans="4:4" ht="30" customHeight="1" x14ac:dyDescent="0.3">
      <c r="D77" s="163"/>
    </row>
    <row r="78" spans="4:4" ht="30" customHeight="1" x14ac:dyDescent="0.3">
      <c r="D78" s="163"/>
    </row>
    <row r="79" spans="4:4" ht="30" customHeight="1" x14ac:dyDescent="0.3">
      <c r="D79" s="163"/>
    </row>
    <row r="80" spans="4:4" ht="30" customHeight="1" x14ac:dyDescent="0.3">
      <c r="D80" s="163"/>
    </row>
    <row r="81" spans="4:4" ht="30" customHeight="1" x14ac:dyDescent="0.3">
      <c r="D81" s="163"/>
    </row>
    <row r="82" spans="4:4" ht="30" customHeight="1" x14ac:dyDescent="0.3">
      <c r="D82" s="163"/>
    </row>
    <row r="83" spans="4:4" ht="30" customHeight="1" x14ac:dyDescent="0.3">
      <c r="D83" s="163"/>
    </row>
    <row r="84" spans="4:4" ht="30" customHeight="1" x14ac:dyDescent="0.3">
      <c r="D84" s="163"/>
    </row>
    <row r="85" spans="4:4" ht="30" customHeight="1" x14ac:dyDescent="0.3">
      <c r="D85" s="163"/>
    </row>
    <row r="86" spans="4:4" ht="30" customHeight="1" x14ac:dyDescent="0.3">
      <c r="D86" s="163"/>
    </row>
    <row r="87" spans="4:4" ht="30" customHeight="1" x14ac:dyDescent="0.3">
      <c r="D87" s="163"/>
    </row>
    <row r="88" spans="4:4" ht="30" customHeight="1" x14ac:dyDescent="0.3">
      <c r="D88" s="163"/>
    </row>
    <row r="89" spans="4:4" ht="30" customHeight="1" x14ac:dyDescent="0.3">
      <c r="D89" s="163"/>
    </row>
    <row r="90" spans="4:4" ht="30" customHeight="1" x14ac:dyDescent="0.3">
      <c r="D90" s="163"/>
    </row>
    <row r="91" spans="4:4" ht="30" customHeight="1" x14ac:dyDescent="0.3">
      <c r="D91" s="163"/>
    </row>
    <row r="92" spans="4:4" ht="30" customHeight="1" x14ac:dyDescent="0.3">
      <c r="D92" s="163"/>
    </row>
    <row r="93" spans="4:4" ht="30" customHeight="1" x14ac:dyDescent="0.3">
      <c r="D93" s="163"/>
    </row>
    <row r="94" spans="4:4" ht="30" customHeight="1" x14ac:dyDescent="0.3">
      <c r="D94" s="163"/>
    </row>
    <row r="95" spans="4:4" ht="30" customHeight="1" x14ac:dyDescent="0.3">
      <c r="D95" s="163"/>
    </row>
    <row r="96" spans="4:4" ht="30" customHeight="1" x14ac:dyDescent="0.3">
      <c r="D96" s="163"/>
    </row>
    <row r="97" spans="4:4" ht="30" customHeight="1" x14ac:dyDescent="0.3">
      <c r="D97" s="163"/>
    </row>
    <row r="98" spans="4:4" ht="30" customHeight="1" x14ac:dyDescent="0.3">
      <c r="D98" s="163"/>
    </row>
    <row r="99" spans="4:4" ht="30" customHeight="1" x14ac:dyDescent="0.3">
      <c r="D99" s="163"/>
    </row>
    <row r="100" spans="4:4" ht="30" customHeight="1" x14ac:dyDescent="0.3">
      <c r="D100" s="163"/>
    </row>
    <row r="101" spans="4:4" x14ac:dyDescent="0.3">
      <c r="D101" s="163"/>
    </row>
    <row r="102" spans="4:4" x14ac:dyDescent="0.3">
      <c r="D102" s="163"/>
    </row>
    <row r="103" spans="4:4" x14ac:dyDescent="0.3">
      <c r="D103" s="163"/>
    </row>
    <row r="104" spans="4:4" x14ac:dyDescent="0.3">
      <c r="D104" s="163"/>
    </row>
    <row r="105" spans="4:4" x14ac:dyDescent="0.3">
      <c r="D105" s="163"/>
    </row>
    <row r="106" spans="4:4" x14ac:dyDescent="0.3">
      <c r="D106" s="163"/>
    </row>
    <row r="107" spans="4:4" x14ac:dyDescent="0.3">
      <c r="D107" s="163"/>
    </row>
    <row r="108" spans="4:4" x14ac:dyDescent="0.3">
      <c r="D108" s="163"/>
    </row>
    <row r="109" spans="4:4" x14ac:dyDescent="0.3">
      <c r="D109" s="163"/>
    </row>
    <row r="110" spans="4:4" x14ac:dyDescent="0.3">
      <c r="D110" s="163"/>
    </row>
    <row r="111" spans="4:4" x14ac:dyDescent="0.3">
      <c r="D111" s="163"/>
    </row>
    <row r="112" spans="4:4" x14ac:dyDescent="0.3">
      <c r="D112" s="163"/>
    </row>
    <row r="113" spans="4:4" x14ac:dyDescent="0.3">
      <c r="D113" s="163"/>
    </row>
    <row r="114" spans="4:4" x14ac:dyDescent="0.3">
      <c r="D114" s="163"/>
    </row>
    <row r="115" spans="4:4" x14ac:dyDescent="0.3">
      <c r="D115" s="163"/>
    </row>
    <row r="116" spans="4:4" x14ac:dyDescent="0.3">
      <c r="D116" s="163"/>
    </row>
    <row r="117" spans="4:4" x14ac:dyDescent="0.3">
      <c r="D117" s="163"/>
    </row>
    <row r="118" spans="4:4" x14ac:dyDescent="0.3">
      <c r="D118" s="163"/>
    </row>
    <row r="119" spans="4:4" x14ac:dyDescent="0.3">
      <c r="D119" s="163"/>
    </row>
    <row r="120" spans="4:4" x14ac:dyDescent="0.3">
      <c r="D120" s="163"/>
    </row>
    <row r="121" spans="4:4" x14ac:dyDescent="0.3">
      <c r="D121" s="163"/>
    </row>
    <row r="122" spans="4:4" x14ac:dyDescent="0.3">
      <c r="D122" s="163"/>
    </row>
    <row r="123" spans="4:4" x14ac:dyDescent="0.3">
      <c r="D123" s="163"/>
    </row>
    <row r="124" spans="4:4" x14ac:dyDescent="0.3">
      <c r="D124" s="163"/>
    </row>
    <row r="125" spans="4:4" x14ac:dyDescent="0.3">
      <c r="D125" s="163"/>
    </row>
    <row r="126" spans="4:4" x14ac:dyDescent="0.3">
      <c r="D126" s="163"/>
    </row>
    <row r="127" spans="4:4" x14ac:dyDescent="0.3">
      <c r="D127" s="163"/>
    </row>
    <row r="128" spans="4:4" x14ac:dyDescent="0.3">
      <c r="D128" s="163"/>
    </row>
    <row r="129" spans="4:4" x14ac:dyDescent="0.3">
      <c r="D129" s="163"/>
    </row>
    <row r="130" spans="4:4" x14ac:dyDescent="0.3">
      <c r="D130" s="163"/>
    </row>
    <row r="131" spans="4:4" x14ac:dyDescent="0.3">
      <c r="D131" s="163"/>
    </row>
    <row r="132" spans="4:4" x14ac:dyDescent="0.3">
      <c r="D132" s="163"/>
    </row>
    <row r="133" spans="4:4" x14ac:dyDescent="0.3">
      <c r="D133" s="163"/>
    </row>
    <row r="134" spans="4:4" x14ac:dyDescent="0.3">
      <c r="D134" s="163"/>
    </row>
    <row r="135" spans="4:4" x14ac:dyDescent="0.3">
      <c r="D135" s="163"/>
    </row>
    <row r="136" spans="4:4" x14ac:dyDescent="0.3">
      <c r="D136" s="163"/>
    </row>
    <row r="137" spans="4:4" x14ac:dyDescent="0.3">
      <c r="D137" s="163"/>
    </row>
    <row r="138" spans="4:4" x14ac:dyDescent="0.3">
      <c r="D138" s="163"/>
    </row>
    <row r="139" spans="4:4" x14ac:dyDescent="0.3">
      <c r="D139" s="163"/>
    </row>
    <row r="140" spans="4:4" x14ac:dyDescent="0.3">
      <c r="D140" s="163"/>
    </row>
    <row r="141" spans="4:4" x14ac:dyDescent="0.3">
      <c r="D141" s="163"/>
    </row>
    <row r="142" spans="4:4" x14ac:dyDescent="0.3">
      <c r="D142" s="163"/>
    </row>
    <row r="143" spans="4:4" x14ac:dyDescent="0.3">
      <c r="D143" s="163"/>
    </row>
    <row r="144" spans="4:4" x14ac:dyDescent="0.3">
      <c r="D144" s="163"/>
    </row>
    <row r="145" spans="4:4" x14ac:dyDescent="0.3">
      <c r="D145" s="163"/>
    </row>
    <row r="146" spans="4:4" x14ac:dyDescent="0.3">
      <c r="D146" s="163"/>
    </row>
    <row r="147" spans="4:4" x14ac:dyDescent="0.3">
      <c r="D147" s="163"/>
    </row>
    <row r="148" spans="4:4" x14ac:dyDescent="0.3">
      <c r="D148" s="163"/>
    </row>
    <row r="149" spans="4:4" x14ac:dyDescent="0.3">
      <c r="D149" s="163"/>
    </row>
    <row r="150" spans="4:4" x14ac:dyDescent="0.3">
      <c r="D150" s="163"/>
    </row>
    <row r="151" spans="4:4" x14ac:dyDescent="0.3">
      <c r="D151" s="163"/>
    </row>
    <row r="152" spans="4:4" x14ac:dyDescent="0.3">
      <c r="D152" s="163"/>
    </row>
    <row r="153" spans="4:4" x14ac:dyDescent="0.3">
      <c r="D153" s="163"/>
    </row>
    <row r="154" spans="4:4" x14ac:dyDescent="0.3">
      <c r="D154" s="163"/>
    </row>
    <row r="155" spans="4:4" x14ac:dyDescent="0.3">
      <c r="D155" s="163"/>
    </row>
    <row r="156" spans="4:4" x14ac:dyDescent="0.3">
      <c r="D156" s="163"/>
    </row>
    <row r="157" spans="4:4" x14ac:dyDescent="0.3">
      <c r="D157" s="163"/>
    </row>
    <row r="158" spans="4:4" x14ac:dyDescent="0.3">
      <c r="D158" s="163"/>
    </row>
    <row r="159" spans="4:4" x14ac:dyDescent="0.3">
      <c r="D159" s="163"/>
    </row>
    <row r="160" spans="4:4" x14ac:dyDescent="0.3">
      <c r="D160" s="163"/>
    </row>
    <row r="161" spans="4:4" x14ac:dyDescent="0.3">
      <c r="D161" s="163"/>
    </row>
    <row r="162" spans="4:4" x14ac:dyDescent="0.3">
      <c r="D162" s="163"/>
    </row>
    <row r="163" spans="4:4" x14ac:dyDescent="0.3">
      <c r="D163" s="163"/>
    </row>
    <row r="164" spans="4:4" x14ac:dyDescent="0.3">
      <c r="D164" s="163"/>
    </row>
    <row r="165" spans="4:4" x14ac:dyDescent="0.3">
      <c r="D165" s="163"/>
    </row>
    <row r="166" spans="4:4" x14ac:dyDescent="0.3">
      <c r="D166" s="163"/>
    </row>
    <row r="167" spans="4:4" x14ac:dyDescent="0.3">
      <c r="D167" s="163"/>
    </row>
    <row r="168" spans="4:4" x14ac:dyDescent="0.3">
      <c r="D168" s="163"/>
    </row>
    <row r="169" spans="4:4" x14ac:dyDescent="0.3">
      <c r="D169" s="163"/>
    </row>
    <row r="170" spans="4:4" x14ac:dyDescent="0.3">
      <c r="D170" s="163"/>
    </row>
    <row r="171" spans="4:4" x14ac:dyDescent="0.3">
      <c r="D171" s="163"/>
    </row>
    <row r="172" spans="4:4" x14ac:dyDescent="0.3">
      <c r="D172" s="163"/>
    </row>
    <row r="173" spans="4:4" x14ac:dyDescent="0.3">
      <c r="D173" s="163"/>
    </row>
    <row r="174" spans="4:4" x14ac:dyDescent="0.3">
      <c r="D174" s="163"/>
    </row>
    <row r="175" spans="4:4" x14ac:dyDescent="0.3">
      <c r="D175" s="163"/>
    </row>
    <row r="176" spans="4:4" x14ac:dyDescent="0.3">
      <c r="D176" s="163"/>
    </row>
    <row r="177" spans="4:4" x14ac:dyDescent="0.3">
      <c r="D177" s="163"/>
    </row>
    <row r="178" spans="4:4" x14ac:dyDescent="0.3">
      <c r="D178" s="163"/>
    </row>
    <row r="179" spans="4:4" x14ac:dyDescent="0.3">
      <c r="D179" s="163"/>
    </row>
    <row r="180" spans="4:4" x14ac:dyDescent="0.3">
      <c r="D180" s="163"/>
    </row>
    <row r="181" spans="4:4" x14ac:dyDescent="0.3">
      <c r="D181" s="163"/>
    </row>
    <row r="182" spans="4:4" x14ac:dyDescent="0.3">
      <c r="D182" s="163"/>
    </row>
    <row r="183" spans="4:4" x14ac:dyDescent="0.3">
      <c r="D183" s="163"/>
    </row>
    <row r="184" spans="4:4" x14ac:dyDescent="0.3">
      <c r="D184" s="163"/>
    </row>
    <row r="185" spans="4:4" x14ac:dyDescent="0.3">
      <c r="D185" s="163"/>
    </row>
    <row r="186" spans="4:4" x14ac:dyDescent="0.3">
      <c r="D186" s="163"/>
    </row>
    <row r="187" spans="4:4" x14ac:dyDescent="0.3">
      <c r="D187" s="163"/>
    </row>
    <row r="188" spans="4:4" x14ac:dyDescent="0.3">
      <c r="D188" s="163"/>
    </row>
    <row r="189" spans="4:4" x14ac:dyDescent="0.3">
      <c r="D189" s="163"/>
    </row>
    <row r="190" spans="4:4" x14ac:dyDescent="0.3">
      <c r="D190" s="163"/>
    </row>
    <row r="191" spans="4:4" x14ac:dyDescent="0.3">
      <c r="D191" s="163"/>
    </row>
    <row r="192" spans="4:4" x14ac:dyDescent="0.3">
      <c r="D192" s="163"/>
    </row>
    <row r="193" spans="4:4" x14ac:dyDescent="0.3">
      <c r="D193" s="163"/>
    </row>
    <row r="194" spans="4:4" x14ac:dyDescent="0.3">
      <c r="D194" s="163"/>
    </row>
    <row r="195" spans="4:4" x14ac:dyDescent="0.3">
      <c r="D195" s="163"/>
    </row>
    <row r="196" spans="4:4" x14ac:dyDescent="0.3">
      <c r="D196" s="163"/>
    </row>
    <row r="197" spans="4:4" x14ac:dyDescent="0.3">
      <c r="D197" s="163"/>
    </row>
    <row r="198" spans="4:4" x14ac:dyDescent="0.3">
      <c r="D198" s="163"/>
    </row>
    <row r="199" spans="4:4" x14ac:dyDescent="0.3">
      <c r="D199" s="163"/>
    </row>
    <row r="200" spans="4:4" x14ac:dyDescent="0.3">
      <c r="D200" s="163"/>
    </row>
    <row r="201" spans="4:4" x14ac:dyDescent="0.3">
      <c r="D201" s="163"/>
    </row>
    <row r="202" spans="4:4" x14ac:dyDescent="0.3">
      <c r="D202" s="163"/>
    </row>
    <row r="203" spans="4:4" x14ac:dyDescent="0.3">
      <c r="D203" s="163"/>
    </row>
    <row r="204" spans="4:4" x14ac:dyDescent="0.3">
      <c r="D204" s="163"/>
    </row>
    <row r="205" spans="4:4" x14ac:dyDescent="0.3">
      <c r="D205" s="163"/>
    </row>
    <row r="206" spans="4:4" x14ac:dyDescent="0.3">
      <c r="D206" s="163"/>
    </row>
    <row r="207" spans="4:4" x14ac:dyDescent="0.3">
      <c r="D207" s="163"/>
    </row>
    <row r="208" spans="4:4" x14ac:dyDescent="0.3">
      <c r="D208" s="163"/>
    </row>
    <row r="209" spans="4:4" x14ac:dyDescent="0.3">
      <c r="D209" s="163"/>
    </row>
    <row r="210" spans="4:4" x14ac:dyDescent="0.3">
      <c r="D210" s="163"/>
    </row>
    <row r="211" spans="4:4" x14ac:dyDescent="0.3">
      <c r="D211" s="163"/>
    </row>
    <row r="212" spans="4:4" x14ac:dyDescent="0.3">
      <c r="D212" s="163"/>
    </row>
    <row r="213" spans="4:4" x14ac:dyDescent="0.3">
      <c r="D213" s="163"/>
    </row>
    <row r="214" spans="4:4" x14ac:dyDescent="0.3">
      <c r="D214" s="163"/>
    </row>
    <row r="215" spans="4:4" x14ac:dyDescent="0.3">
      <c r="D215" s="163"/>
    </row>
    <row r="216" spans="4:4" x14ac:dyDescent="0.3">
      <c r="D216" s="163"/>
    </row>
    <row r="217" spans="4:4" x14ac:dyDescent="0.3">
      <c r="D217" s="163"/>
    </row>
    <row r="218" spans="4:4" x14ac:dyDescent="0.3">
      <c r="D218" s="163"/>
    </row>
    <row r="219" spans="4:4" x14ac:dyDescent="0.3">
      <c r="D219" s="163"/>
    </row>
    <row r="220" spans="4:4" x14ac:dyDescent="0.3">
      <c r="D220" s="163"/>
    </row>
    <row r="221" spans="4:4" x14ac:dyDescent="0.3">
      <c r="D221" s="163"/>
    </row>
    <row r="222" spans="4:4" x14ac:dyDescent="0.3">
      <c r="D222" s="163"/>
    </row>
    <row r="223" spans="4:4" x14ac:dyDescent="0.3">
      <c r="D223" s="163"/>
    </row>
    <row r="224" spans="4:4" x14ac:dyDescent="0.3">
      <c r="D224" s="163"/>
    </row>
    <row r="225" spans="4:4" x14ac:dyDescent="0.3">
      <c r="D225" s="163"/>
    </row>
    <row r="226" spans="4:4" x14ac:dyDescent="0.3">
      <c r="D226" s="163"/>
    </row>
    <row r="227" spans="4:4" x14ac:dyDescent="0.3">
      <c r="D227" s="163"/>
    </row>
    <row r="228" spans="4:4" x14ac:dyDescent="0.3">
      <c r="D228" s="163"/>
    </row>
    <row r="229" spans="4:4" x14ac:dyDescent="0.3">
      <c r="D229" s="163"/>
    </row>
    <row r="230" spans="4:4" x14ac:dyDescent="0.3">
      <c r="D230" s="163"/>
    </row>
    <row r="231" spans="4:4" x14ac:dyDescent="0.3">
      <c r="D231" s="163"/>
    </row>
    <row r="232" spans="4:4" x14ac:dyDescent="0.3">
      <c r="D232" s="163"/>
    </row>
    <row r="233" spans="4:4" x14ac:dyDescent="0.3">
      <c r="D233" s="163"/>
    </row>
    <row r="234" spans="4:4" x14ac:dyDescent="0.3">
      <c r="D234" s="163"/>
    </row>
    <row r="235" spans="4:4" x14ac:dyDescent="0.3">
      <c r="D235" s="163"/>
    </row>
    <row r="236" spans="4:4" x14ac:dyDescent="0.3">
      <c r="D236" s="163"/>
    </row>
    <row r="237" spans="4:4" x14ac:dyDescent="0.3">
      <c r="D237" s="163"/>
    </row>
    <row r="238" spans="4:4" x14ac:dyDescent="0.3">
      <c r="D238" s="163"/>
    </row>
    <row r="239" spans="4:4" x14ac:dyDescent="0.3">
      <c r="D239" s="163"/>
    </row>
    <row r="240" spans="4:4" x14ac:dyDescent="0.3">
      <c r="D240" s="163"/>
    </row>
    <row r="241" spans="4:4" x14ac:dyDescent="0.3">
      <c r="D241" s="163"/>
    </row>
    <row r="242" spans="4:4" x14ac:dyDescent="0.3">
      <c r="D242" s="163"/>
    </row>
    <row r="243" spans="4:4" x14ac:dyDescent="0.3">
      <c r="D243" s="163"/>
    </row>
    <row r="244" spans="4:4" x14ac:dyDescent="0.3">
      <c r="D244" s="163"/>
    </row>
    <row r="245" spans="4:4" x14ac:dyDescent="0.3">
      <c r="D245" s="163"/>
    </row>
    <row r="246" spans="4:4" x14ac:dyDescent="0.3">
      <c r="D246" s="163"/>
    </row>
    <row r="247" spans="4:4" x14ac:dyDescent="0.3">
      <c r="D247" s="163"/>
    </row>
    <row r="248" spans="4:4" x14ac:dyDescent="0.3">
      <c r="D248" s="163"/>
    </row>
    <row r="249" spans="4:4" x14ac:dyDescent="0.3">
      <c r="D249" s="163"/>
    </row>
    <row r="250" spans="4:4" x14ac:dyDescent="0.3">
      <c r="D250" s="163"/>
    </row>
    <row r="251" spans="4:4" x14ac:dyDescent="0.3">
      <c r="D251" s="163"/>
    </row>
    <row r="252" spans="4:4" x14ac:dyDescent="0.3">
      <c r="D252" s="163"/>
    </row>
    <row r="253" spans="4:4" x14ac:dyDescent="0.3">
      <c r="D253" s="163"/>
    </row>
    <row r="254" spans="4:4" x14ac:dyDescent="0.3">
      <c r="D254" s="163"/>
    </row>
    <row r="255" spans="4:4" x14ac:dyDescent="0.3">
      <c r="D255" s="163"/>
    </row>
    <row r="256" spans="4:4" x14ac:dyDescent="0.3">
      <c r="D256" s="163"/>
    </row>
    <row r="257" spans="4:4" x14ac:dyDescent="0.3">
      <c r="D257" s="163"/>
    </row>
    <row r="258" spans="4:4" x14ac:dyDescent="0.3">
      <c r="D258" s="163"/>
    </row>
    <row r="259" spans="4:4" x14ac:dyDescent="0.3">
      <c r="D259" s="163"/>
    </row>
    <row r="260" spans="4:4" x14ac:dyDescent="0.3">
      <c r="D260" s="163"/>
    </row>
    <row r="261" spans="4:4" x14ac:dyDescent="0.3">
      <c r="D261" s="163"/>
    </row>
    <row r="262" spans="4:4" x14ac:dyDescent="0.3">
      <c r="D262" s="163"/>
    </row>
    <row r="263" spans="4:4" x14ac:dyDescent="0.3">
      <c r="D263" s="163"/>
    </row>
    <row r="264" spans="4:4" x14ac:dyDescent="0.3">
      <c r="D264" s="163"/>
    </row>
    <row r="265" spans="4:4" x14ac:dyDescent="0.3">
      <c r="D265" s="163"/>
    </row>
    <row r="266" spans="4:4" x14ac:dyDescent="0.3">
      <c r="D266" s="163"/>
    </row>
    <row r="267" spans="4:4" x14ac:dyDescent="0.3">
      <c r="D267" s="163"/>
    </row>
    <row r="268" spans="4:4" x14ac:dyDescent="0.3">
      <c r="D268" s="163"/>
    </row>
    <row r="269" spans="4:4" x14ac:dyDescent="0.3">
      <c r="D269" s="163"/>
    </row>
    <row r="270" spans="4:4" x14ac:dyDescent="0.3">
      <c r="D270" s="163"/>
    </row>
    <row r="271" spans="4:4" x14ac:dyDescent="0.3">
      <c r="D271" s="163"/>
    </row>
    <row r="272" spans="4:4" x14ac:dyDescent="0.3">
      <c r="D272" s="163"/>
    </row>
    <row r="273" spans="4:4" x14ac:dyDescent="0.3">
      <c r="D273" s="163"/>
    </row>
    <row r="274" spans="4:4" x14ac:dyDescent="0.3">
      <c r="D274" s="163"/>
    </row>
    <row r="275" spans="4:4" x14ac:dyDescent="0.3">
      <c r="D275" s="163"/>
    </row>
    <row r="276" spans="4:4" x14ac:dyDescent="0.3">
      <c r="D276" s="163"/>
    </row>
    <row r="277" spans="4:4" x14ac:dyDescent="0.3">
      <c r="D277" s="163"/>
    </row>
    <row r="278" spans="4:4" x14ac:dyDescent="0.3">
      <c r="D278" s="163"/>
    </row>
    <row r="279" spans="4:4" x14ac:dyDescent="0.3">
      <c r="D279" s="163"/>
    </row>
    <row r="280" spans="4:4" x14ac:dyDescent="0.3">
      <c r="D280" s="163"/>
    </row>
    <row r="281" spans="4:4" x14ac:dyDescent="0.3">
      <c r="D281" s="163"/>
    </row>
    <row r="282" spans="4:4" x14ac:dyDescent="0.3">
      <c r="D282" s="163"/>
    </row>
    <row r="283" spans="4:4" x14ac:dyDescent="0.3">
      <c r="D283" s="163"/>
    </row>
    <row r="284" spans="4:4" x14ac:dyDescent="0.3">
      <c r="D284" s="163"/>
    </row>
    <row r="285" spans="4:4" x14ac:dyDescent="0.3">
      <c r="D285" s="163"/>
    </row>
    <row r="286" spans="4:4" x14ac:dyDescent="0.3">
      <c r="D286" s="163"/>
    </row>
    <row r="287" spans="4:4" x14ac:dyDescent="0.3">
      <c r="D287" s="163"/>
    </row>
    <row r="288" spans="4:4" x14ac:dyDescent="0.3">
      <c r="D288" s="163"/>
    </row>
    <row r="289" spans="4:4" x14ac:dyDescent="0.3">
      <c r="D289" s="163"/>
    </row>
    <row r="290" spans="4:4" x14ac:dyDescent="0.3">
      <c r="D290" s="163"/>
    </row>
    <row r="291" spans="4:4" x14ac:dyDescent="0.3">
      <c r="D291" s="163"/>
    </row>
    <row r="292" spans="4:4" x14ac:dyDescent="0.3">
      <c r="D292" s="163"/>
    </row>
    <row r="293" spans="4:4" x14ac:dyDescent="0.3">
      <c r="D293" s="163"/>
    </row>
    <row r="294" spans="4:4" x14ac:dyDescent="0.3">
      <c r="D294" s="163"/>
    </row>
    <row r="295" spans="4:4" x14ac:dyDescent="0.3">
      <c r="D295" s="163"/>
    </row>
    <row r="296" spans="4:4" x14ac:dyDescent="0.3">
      <c r="D296" s="163"/>
    </row>
    <row r="297" spans="4:4" x14ac:dyDescent="0.3">
      <c r="D297" s="163"/>
    </row>
    <row r="298" spans="4:4" x14ac:dyDescent="0.3">
      <c r="D298" s="163"/>
    </row>
    <row r="299" spans="4:4" x14ac:dyDescent="0.3">
      <c r="D299" s="163"/>
    </row>
    <row r="300" spans="4:4" x14ac:dyDescent="0.3">
      <c r="D300" s="163"/>
    </row>
    <row r="301" spans="4:4" x14ac:dyDescent="0.3">
      <c r="D301" s="163"/>
    </row>
    <row r="302" spans="4:4" x14ac:dyDescent="0.3">
      <c r="D302" s="163"/>
    </row>
    <row r="303" spans="4:4" x14ac:dyDescent="0.3">
      <c r="D303" s="163"/>
    </row>
    <row r="304" spans="4:4" x14ac:dyDescent="0.3">
      <c r="D304" s="163"/>
    </row>
    <row r="305" spans="4:4" x14ac:dyDescent="0.3">
      <c r="D305" s="163"/>
    </row>
    <row r="306" spans="4:4" x14ac:dyDescent="0.3">
      <c r="D306" s="163"/>
    </row>
    <row r="307" spans="4:4" x14ac:dyDescent="0.3">
      <c r="D307" s="163"/>
    </row>
  </sheetData>
  <sheetProtection password="FB8C" sheet="1" objects="1" scenarios="1" formatCells="0" formatColumns="0" formatRows="0"/>
  <dataConsolidate/>
  <mergeCells count="412">
    <mergeCell ref="A1:I2"/>
    <mergeCell ref="J1:AA2"/>
    <mergeCell ref="AG9:AG10"/>
    <mergeCell ref="AB9:AB10"/>
    <mergeCell ref="AC9:AC10"/>
    <mergeCell ref="AD9:AD10"/>
    <mergeCell ref="Z9:Z10"/>
    <mergeCell ref="J9:J10"/>
    <mergeCell ref="G9:G10"/>
    <mergeCell ref="F9:F10"/>
    <mergeCell ref="AF9:AF10"/>
    <mergeCell ref="E9:E10"/>
    <mergeCell ref="A7:J7"/>
    <mergeCell ref="A9:A10"/>
    <mergeCell ref="B9:B10"/>
    <mergeCell ref="C9:C10"/>
    <mergeCell ref="I9:I10"/>
    <mergeCell ref="K7:N7"/>
    <mergeCell ref="O7:R7"/>
    <mergeCell ref="Q9:Q10"/>
    <mergeCell ref="S7:V7"/>
    <mergeCell ref="W7:Z7"/>
    <mergeCell ref="AA9:AA10"/>
    <mergeCell ref="P9:P10"/>
    <mergeCell ref="A11:A12"/>
    <mergeCell ref="B11:B12"/>
    <mergeCell ref="C11:C12"/>
    <mergeCell ref="E11:E12"/>
    <mergeCell ref="F11:F12"/>
    <mergeCell ref="G11:G12"/>
    <mergeCell ref="H11:H12"/>
    <mergeCell ref="I11:I12"/>
    <mergeCell ref="J11:J12"/>
    <mergeCell ref="U11:U12"/>
    <mergeCell ref="V11:V12"/>
    <mergeCell ref="X11:X12"/>
    <mergeCell ref="Y11:Y12"/>
    <mergeCell ref="Z11:Z12"/>
    <mergeCell ref="AB11:AB12"/>
    <mergeCell ref="AC11:AC12"/>
    <mergeCell ref="H9:H10"/>
    <mergeCell ref="L11:L12"/>
    <mergeCell ref="M11:M12"/>
    <mergeCell ref="N11:N12"/>
    <mergeCell ref="P11:P12"/>
    <mergeCell ref="Q11:Q12"/>
    <mergeCell ref="R11:R12"/>
    <mergeCell ref="AA11:AA12"/>
    <mergeCell ref="N9:N10"/>
    <mergeCell ref="M9:M10"/>
    <mergeCell ref="L9:L10"/>
    <mergeCell ref="X9:X10"/>
    <mergeCell ref="Y9:Y10"/>
    <mergeCell ref="V9:V10"/>
    <mergeCell ref="U9:U10"/>
    <mergeCell ref="R9:R10"/>
    <mergeCell ref="T9:T10"/>
    <mergeCell ref="V13:V14"/>
    <mergeCell ref="X15:X16"/>
    <mergeCell ref="Y15:Y16"/>
    <mergeCell ref="AD11:AD12"/>
    <mergeCell ref="AF11:AF12"/>
    <mergeCell ref="AG11:AG12"/>
    <mergeCell ref="A13:A14"/>
    <mergeCell ref="B13:B14"/>
    <mergeCell ref="C13:C14"/>
    <mergeCell ref="E13:E14"/>
    <mergeCell ref="F13:F14"/>
    <mergeCell ref="G13:G14"/>
    <mergeCell ref="H13:H14"/>
    <mergeCell ref="I13:I14"/>
    <mergeCell ref="J13:J14"/>
    <mergeCell ref="L13:L14"/>
    <mergeCell ref="M13:M14"/>
    <mergeCell ref="N13:N14"/>
    <mergeCell ref="P13:P14"/>
    <mergeCell ref="Q13:Q14"/>
    <mergeCell ref="R13:R14"/>
    <mergeCell ref="T13:T14"/>
    <mergeCell ref="T11:T12"/>
    <mergeCell ref="AG13:AG14"/>
    <mergeCell ref="L15:L16"/>
    <mergeCell ref="M15:M16"/>
    <mergeCell ref="N15:N16"/>
    <mergeCell ref="P15:P16"/>
    <mergeCell ref="Q15:Q16"/>
    <mergeCell ref="R15:R16"/>
    <mergeCell ref="T15:T16"/>
    <mergeCell ref="U15:U16"/>
    <mergeCell ref="U13:U14"/>
    <mergeCell ref="A15:A16"/>
    <mergeCell ref="B15:B16"/>
    <mergeCell ref="C15:C16"/>
    <mergeCell ref="E15:E16"/>
    <mergeCell ref="F15:F16"/>
    <mergeCell ref="G15:G16"/>
    <mergeCell ref="H15:H16"/>
    <mergeCell ref="I15:I16"/>
    <mergeCell ref="J15:J16"/>
    <mergeCell ref="Z15:Z16"/>
    <mergeCell ref="AB15:AB16"/>
    <mergeCell ref="AC15:AC16"/>
    <mergeCell ref="AD15:AD16"/>
    <mergeCell ref="AF15:AF16"/>
    <mergeCell ref="AF13:AF14"/>
    <mergeCell ref="X13:X14"/>
    <mergeCell ref="Y13:Y14"/>
    <mergeCell ref="Z13:Z14"/>
    <mergeCell ref="AB13:AB14"/>
    <mergeCell ref="AC13:AC14"/>
    <mergeCell ref="AD13:AD14"/>
    <mergeCell ref="AA15:AA16"/>
    <mergeCell ref="AA13:AA14"/>
    <mergeCell ref="Z17:Z18"/>
    <mergeCell ref="X19:X20"/>
    <mergeCell ref="Y19:Y20"/>
    <mergeCell ref="AG15:AG16"/>
    <mergeCell ref="A17:A18"/>
    <mergeCell ref="B17:B18"/>
    <mergeCell ref="C17:C18"/>
    <mergeCell ref="E17:E18"/>
    <mergeCell ref="F17:F18"/>
    <mergeCell ref="G17:G18"/>
    <mergeCell ref="H17:H18"/>
    <mergeCell ref="I17:I18"/>
    <mergeCell ref="J17:J18"/>
    <mergeCell ref="L17:L18"/>
    <mergeCell ref="M17:M18"/>
    <mergeCell ref="N17:N18"/>
    <mergeCell ref="P17:P18"/>
    <mergeCell ref="Q17:Q18"/>
    <mergeCell ref="R17:R18"/>
    <mergeCell ref="T17:T18"/>
    <mergeCell ref="U17:U18"/>
    <mergeCell ref="V17:V18"/>
    <mergeCell ref="V15:V16"/>
    <mergeCell ref="AG17:AG18"/>
    <mergeCell ref="L19:L20"/>
    <mergeCell ref="M19:M20"/>
    <mergeCell ref="N19:N20"/>
    <mergeCell ref="P19:P20"/>
    <mergeCell ref="Q19:Q20"/>
    <mergeCell ref="R19:R20"/>
    <mergeCell ref="T19:T20"/>
    <mergeCell ref="X17:X18"/>
    <mergeCell ref="Y17:Y18"/>
    <mergeCell ref="A19:A20"/>
    <mergeCell ref="B19:B20"/>
    <mergeCell ref="C19:C20"/>
    <mergeCell ref="E19:E20"/>
    <mergeCell ref="F19:F20"/>
    <mergeCell ref="G19:G20"/>
    <mergeCell ref="H19:H20"/>
    <mergeCell ref="I19:I20"/>
    <mergeCell ref="J19:J20"/>
    <mergeCell ref="AD17:AD18"/>
    <mergeCell ref="AF17:AF18"/>
    <mergeCell ref="AA17:AA18"/>
    <mergeCell ref="AB17:AB18"/>
    <mergeCell ref="AC17:AC18"/>
    <mergeCell ref="AA19:AA20"/>
    <mergeCell ref="AB19:AB20"/>
    <mergeCell ref="AC19:AC20"/>
    <mergeCell ref="AD19:AD20"/>
    <mergeCell ref="AF19:AF20"/>
    <mergeCell ref="AG19:AG20"/>
    <mergeCell ref="A21:A22"/>
    <mergeCell ref="B21:B22"/>
    <mergeCell ref="C21:C22"/>
    <mergeCell ref="E21:E22"/>
    <mergeCell ref="F21:F22"/>
    <mergeCell ref="G21:G22"/>
    <mergeCell ref="H21:H22"/>
    <mergeCell ref="I21:I22"/>
    <mergeCell ref="J21:J22"/>
    <mergeCell ref="L21:L22"/>
    <mergeCell ref="M21:M22"/>
    <mergeCell ref="N21:N22"/>
    <mergeCell ref="P21:P22"/>
    <mergeCell ref="U19:U20"/>
    <mergeCell ref="V19:V20"/>
    <mergeCell ref="Q21:Q22"/>
    <mergeCell ref="R21:R22"/>
    <mergeCell ref="T21:T22"/>
    <mergeCell ref="U21:U22"/>
    <mergeCell ref="V21:V22"/>
    <mergeCell ref="Z19:Z20"/>
    <mergeCell ref="AG21:AG22"/>
    <mergeCell ref="AA21:AA22"/>
    <mergeCell ref="A23:A24"/>
    <mergeCell ref="B23:B24"/>
    <mergeCell ref="C23:C24"/>
    <mergeCell ref="E23:E24"/>
    <mergeCell ref="F23:F24"/>
    <mergeCell ref="G23:G24"/>
    <mergeCell ref="H23:H24"/>
    <mergeCell ref="I23:I24"/>
    <mergeCell ref="J23:J24"/>
    <mergeCell ref="AG23:AG24"/>
    <mergeCell ref="V23:V24"/>
    <mergeCell ref="X23:X24"/>
    <mergeCell ref="X21:X22"/>
    <mergeCell ref="L23:L24"/>
    <mergeCell ref="M23:M24"/>
    <mergeCell ref="N23:N24"/>
    <mergeCell ref="P23:P24"/>
    <mergeCell ref="Q23:Q24"/>
    <mergeCell ref="R23:R24"/>
    <mergeCell ref="T23:T24"/>
    <mergeCell ref="U23:U24"/>
    <mergeCell ref="Y23:Y24"/>
    <mergeCell ref="Z23:Z24"/>
    <mergeCell ref="AA23:AA24"/>
    <mergeCell ref="AF21:AF22"/>
    <mergeCell ref="Y21:Y22"/>
    <mergeCell ref="Z21:Z22"/>
    <mergeCell ref="AB21:AB22"/>
    <mergeCell ref="AC21:AC22"/>
    <mergeCell ref="AD21:AD22"/>
    <mergeCell ref="AB23:AB24"/>
    <mergeCell ref="AC23:AC24"/>
    <mergeCell ref="AD23:AD24"/>
    <mergeCell ref="AF23:AF24"/>
    <mergeCell ref="L25:L26"/>
    <mergeCell ref="M25:M26"/>
    <mergeCell ref="N25:N26"/>
    <mergeCell ref="P25:P26"/>
    <mergeCell ref="Q25:Q26"/>
    <mergeCell ref="A27:A28"/>
    <mergeCell ref="B27:B28"/>
    <mergeCell ref="C27:C28"/>
    <mergeCell ref="E27:E28"/>
    <mergeCell ref="F27:F28"/>
    <mergeCell ref="G27:G28"/>
    <mergeCell ref="H27:H28"/>
    <mergeCell ref="I27:I28"/>
    <mergeCell ref="A25:A26"/>
    <mergeCell ref="B25:B26"/>
    <mergeCell ref="C25:C26"/>
    <mergeCell ref="E25:E26"/>
    <mergeCell ref="F25:F26"/>
    <mergeCell ref="G25:G26"/>
    <mergeCell ref="H25:H26"/>
    <mergeCell ref="I25:I26"/>
    <mergeCell ref="J25:J26"/>
    <mergeCell ref="J27:J28"/>
    <mergeCell ref="L27:L28"/>
    <mergeCell ref="AF27:AF28"/>
    <mergeCell ref="AG27:AG28"/>
    <mergeCell ref="AG25:AG26"/>
    <mergeCell ref="R25:R26"/>
    <mergeCell ref="T25:T26"/>
    <mergeCell ref="U25:U26"/>
    <mergeCell ref="V25:V26"/>
    <mergeCell ref="X25:X26"/>
    <mergeCell ref="Y25:Y26"/>
    <mergeCell ref="Z25:Z26"/>
    <mergeCell ref="R27:R28"/>
    <mergeCell ref="T27:T28"/>
    <mergeCell ref="U27:U28"/>
    <mergeCell ref="V27:V28"/>
    <mergeCell ref="X27:X28"/>
    <mergeCell ref="Z27:Z28"/>
    <mergeCell ref="Y27:Y28"/>
    <mergeCell ref="AA27:AA28"/>
    <mergeCell ref="AB27:AB28"/>
    <mergeCell ref="AA25:AA26"/>
    <mergeCell ref="AB25:AB26"/>
    <mergeCell ref="AC25:AC26"/>
    <mergeCell ref="AD25:AD26"/>
    <mergeCell ref="AF25:AF26"/>
    <mergeCell ref="A29:A30"/>
    <mergeCell ref="B29:B30"/>
    <mergeCell ref="C29:C30"/>
    <mergeCell ref="E29:E30"/>
    <mergeCell ref="F29:F30"/>
    <mergeCell ref="G29:G30"/>
    <mergeCell ref="H29:H30"/>
    <mergeCell ref="I29:I30"/>
    <mergeCell ref="J29:J30"/>
    <mergeCell ref="M27:M28"/>
    <mergeCell ref="N27:N28"/>
    <mergeCell ref="P27:P28"/>
    <mergeCell ref="Q27:Q28"/>
    <mergeCell ref="AA29:AA30"/>
    <mergeCell ref="AB29:AB30"/>
    <mergeCell ref="AC29:AC30"/>
    <mergeCell ref="AC27:AC28"/>
    <mergeCell ref="AD29:AD30"/>
    <mergeCell ref="AD27:AD28"/>
    <mergeCell ref="AF29:AF30"/>
    <mergeCell ref="M29:M30"/>
    <mergeCell ref="N29:N30"/>
    <mergeCell ref="P29:P30"/>
    <mergeCell ref="AG29:AG30"/>
    <mergeCell ref="T29:T30"/>
    <mergeCell ref="U29:U30"/>
    <mergeCell ref="V29:V30"/>
    <mergeCell ref="X29:X30"/>
    <mergeCell ref="Y29:Y30"/>
    <mergeCell ref="Z29:Z30"/>
    <mergeCell ref="A31:A32"/>
    <mergeCell ref="B31:B32"/>
    <mergeCell ref="C31:C32"/>
    <mergeCell ref="E31:E32"/>
    <mergeCell ref="F31:F32"/>
    <mergeCell ref="G31:G32"/>
    <mergeCell ref="H31:H32"/>
    <mergeCell ref="I31:I32"/>
    <mergeCell ref="J31:J32"/>
    <mergeCell ref="AA31:AA32"/>
    <mergeCell ref="L31:L32"/>
    <mergeCell ref="M31:M32"/>
    <mergeCell ref="N31:N32"/>
    <mergeCell ref="P31:P32"/>
    <mergeCell ref="Q31:Q32"/>
    <mergeCell ref="R31:R32"/>
    <mergeCell ref="L29:L30"/>
    <mergeCell ref="Q29:Q30"/>
    <mergeCell ref="R29:R30"/>
    <mergeCell ref="Z33:Z34"/>
    <mergeCell ref="AA33:AA34"/>
    <mergeCell ref="AB31:AB32"/>
    <mergeCell ref="L33:L34"/>
    <mergeCell ref="M33:M34"/>
    <mergeCell ref="N33:N34"/>
    <mergeCell ref="P33:P34"/>
    <mergeCell ref="Q33:Q34"/>
    <mergeCell ref="AC33:AC34"/>
    <mergeCell ref="AD33:AD34"/>
    <mergeCell ref="AF33:AF34"/>
    <mergeCell ref="AG33:AG34"/>
    <mergeCell ref="R33:R34"/>
    <mergeCell ref="T33:T34"/>
    <mergeCell ref="U33:U34"/>
    <mergeCell ref="V33:V34"/>
    <mergeCell ref="X33:X34"/>
    <mergeCell ref="AB33:AB34"/>
    <mergeCell ref="Y33:Y34"/>
    <mergeCell ref="AC31:AC32"/>
    <mergeCell ref="AD31:AD32"/>
    <mergeCell ref="AF31:AF32"/>
    <mergeCell ref="AG31:AG32"/>
    <mergeCell ref="T31:T32"/>
    <mergeCell ref="U31:U32"/>
    <mergeCell ref="V31:V32"/>
    <mergeCell ref="X31:X32"/>
    <mergeCell ref="Y31:Y32"/>
    <mergeCell ref="Z31:Z32"/>
    <mergeCell ref="A33:A34"/>
    <mergeCell ref="B33:B34"/>
    <mergeCell ref="C33:C34"/>
    <mergeCell ref="E33:E34"/>
    <mergeCell ref="F33:F34"/>
    <mergeCell ref="G33:G34"/>
    <mergeCell ref="H33:H34"/>
    <mergeCell ref="I33:I34"/>
    <mergeCell ref="J33:J34"/>
    <mergeCell ref="N35:N36"/>
    <mergeCell ref="P35:P36"/>
    <mergeCell ref="Q35:Q36"/>
    <mergeCell ref="R35:R36"/>
    <mergeCell ref="AF35:AF36"/>
    <mergeCell ref="AG35:AG36"/>
    <mergeCell ref="T35:T36"/>
    <mergeCell ref="U35:U36"/>
    <mergeCell ref="V35:V36"/>
    <mergeCell ref="X35:X36"/>
    <mergeCell ref="Y35:Y36"/>
    <mergeCell ref="Z35:Z36"/>
    <mergeCell ref="A35:A36"/>
    <mergeCell ref="B35:B36"/>
    <mergeCell ref="C35:C36"/>
    <mergeCell ref="E35:E36"/>
    <mergeCell ref="F35:F36"/>
    <mergeCell ref="G35:G36"/>
    <mergeCell ref="H35:H36"/>
    <mergeCell ref="I35:I36"/>
    <mergeCell ref="J35:J36"/>
    <mergeCell ref="A37:A38"/>
    <mergeCell ref="B37:B38"/>
    <mergeCell ref="C37:C38"/>
    <mergeCell ref="E37:E38"/>
    <mergeCell ref="F37:F38"/>
    <mergeCell ref="G37:G38"/>
    <mergeCell ref="H37:H38"/>
    <mergeCell ref="I37:I38"/>
    <mergeCell ref="J37:J38"/>
    <mergeCell ref="AF37:AF38"/>
    <mergeCell ref="AG37:AG38"/>
    <mergeCell ref="X37:X38"/>
    <mergeCell ref="Y37:Y38"/>
    <mergeCell ref="Z37:Z38"/>
    <mergeCell ref="L35:L36"/>
    <mergeCell ref="M35:M36"/>
    <mergeCell ref="AA37:AA38"/>
    <mergeCell ref="AB37:AB38"/>
    <mergeCell ref="AC37:AC38"/>
    <mergeCell ref="AD37:AD38"/>
    <mergeCell ref="L37:L38"/>
    <mergeCell ref="M37:M38"/>
    <mergeCell ref="N37:N38"/>
    <mergeCell ref="P37:P38"/>
    <mergeCell ref="Q37:Q38"/>
    <mergeCell ref="R37:R38"/>
    <mergeCell ref="T37:T38"/>
    <mergeCell ref="U37:U38"/>
    <mergeCell ref="V37:V38"/>
    <mergeCell ref="AA35:AA36"/>
    <mergeCell ref="AB35:AB36"/>
    <mergeCell ref="AC35:AC36"/>
    <mergeCell ref="AD35:AD36"/>
  </mergeCells>
  <conditionalFormatting sqref="H9 A9 A7 O7 S7 W7 A11 A13 A15 A17 A19 A21 A23 A25 A27 A29 A31 A33 A35 A37">
    <cfRule type="expression" dxfId="1357" priority="1030">
      <formula>#REF!="Yes"</formula>
    </cfRule>
  </conditionalFormatting>
  <conditionalFormatting sqref="A7 O7 S7 W7">
    <cfRule type="expression" dxfId="1356" priority="1029">
      <formula>$AE7:$AE9="[Record ID]"</formula>
    </cfRule>
  </conditionalFormatting>
  <conditionalFormatting sqref="K7">
    <cfRule type="expression" dxfId="1355" priority="1027">
      <formula>$AE7:$AE9="[Record ID]"</formula>
    </cfRule>
  </conditionalFormatting>
  <conditionalFormatting sqref="K7">
    <cfRule type="expression" dxfId="1354" priority="1026">
      <formula>#REF!="Yes"</formula>
    </cfRule>
  </conditionalFormatting>
  <conditionalFormatting sqref="AA7">
    <cfRule type="expression" dxfId="1353" priority="1017">
      <formula>$AE7:$AE9="[Record ID]"</formula>
    </cfRule>
  </conditionalFormatting>
  <conditionalFormatting sqref="AA7">
    <cfRule type="expression" dxfId="1352" priority="1016">
      <formula>#REF!="Yes"</formula>
    </cfRule>
  </conditionalFormatting>
  <conditionalFormatting sqref="A9 H9 H11 H13 H15 H17 H19 H21 H23 H25 H27 H29 H31 H33 H35 H37">
    <cfRule type="expression" dxfId="1351" priority="1174">
      <formula>$AE9:$AE10="[Record ID]"</formula>
    </cfRule>
  </conditionalFormatting>
  <conditionalFormatting sqref="AB7">
    <cfRule type="expression" dxfId="1350" priority="351">
      <formula>$AE7:$AE9="[Record ID]"</formula>
    </cfRule>
  </conditionalFormatting>
  <conditionalFormatting sqref="AB7">
    <cfRule type="expression" dxfId="1349" priority="350">
      <formula>#REF!="Yes"</formula>
    </cfRule>
  </conditionalFormatting>
  <conditionalFormatting sqref="AC7">
    <cfRule type="expression" dxfId="1348" priority="349">
      <formula>$AE7:$AE9="[Record ID]"</formula>
    </cfRule>
  </conditionalFormatting>
  <conditionalFormatting sqref="AC7">
    <cfRule type="expression" dxfId="1347" priority="348">
      <formula>#REF!="Yes"</formula>
    </cfRule>
  </conditionalFormatting>
  <conditionalFormatting sqref="AD7">
    <cfRule type="expression" dxfId="1346" priority="347">
      <formula>$AE7:$AE9="[Record ID]"</formula>
    </cfRule>
  </conditionalFormatting>
  <conditionalFormatting sqref="AD7">
    <cfRule type="expression" dxfId="1345" priority="346">
      <formula>#REF!="Yes"</formula>
    </cfRule>
  </conditionalFormatting>
  <conditionalFormatting sqref="B8:C8">
    <cfRule type="expression" dxfId="1344" priority="345">
      <formula>AND($B1048539&lt;&gt;"",$C1048539&lt;&gt;"")</formula>
    </cfRule>
  </conditionalFormatting>
  <conditionalFormatting sqref="B9:C38">
    <cfRule type="expression" dxfId="1343" priority="344">
      <formula>AND($B9&lt;&gt;"",$C9&lt;&gt;"")</formula>
    </cfRule>
  </conditionalFormatting>
  <conditionalFormatting sqref="K17:N38 L9:L16 N9:N16">
    <cfRule type="expression" dxfId="1342" priority="325">
      <formula>AND(OR($K9&lt;&gt;"",$K10&lt;&gt;"",$L9&lt;&gt;""),$N9="TBD")</formula>
    </cfRule>
  </conditionalFormatting>
  <conditionalFormatting sqref="K18 K20 K22 K24 K26 K28 K30 K32 K34 K36 K38">
    <cfRule type="expression" dxfId="1341" priority="326">
      <formula>AND(OR($K18&lt;&gt;"",$K19&lt;&gt;"",$L18&lt;&gt;""),$N18="TBD")</formula>
    </cfRule>
  </conditionalFormatting>
  <conditionalFormatting sqref="O17:R38 P9:P16 R9:R16">
    <cfRule type="expression" dxfId="1340" priority="323">
      <formula>AND(OR($O9&lt;&gt;"",$O10&lt;&gt;"",$P9&lt;&gt;""),$R9="TBD")</formula>
    </cfRule>
  </conditionalFormatting>
  <conditionalFormatting sqref="O18 O20 O22 O24 O26 O28 O30 O32 O34 O36 O38">
    <cfRule type="expression" dxfId="1339" priority="324">
      <formula>AND(OR($O17&lt;&gt;"",$O18&lt;&gt;"",$P17&lt;&gt;""),$R17="TBD")</formula>
    </cfRule>
  </conditionalFormatting>
  <conditionalFormatting sqref="S17:V38 T9:T16 V9:V16">
    <cfRule type="expression" dxfId="1338" priority="321">
      <formula>AND(OR($S9&lt;&gt;"",$S10&lt;&gt;"",$T9&lt;&gt;""),$V9="TBD")</formula>
    </cfRule>
  </conditionalFormatting>
  <conditionalFormatting sqref="S18 S20 S22 S24 S26 S28 S30 S32 S34 S36 S38">
    <cfRule type="expression" dxfId="1337" priority="322">
      <formula>AND(OR($S17&lt;&gt;"",$S18&lt;&gt;"",$T17&lt;&gt;""),$V17="TBD")</formula>
    </cfRule>
  </conditionalFormatting>
  <conditionalFormatting sqref="W9:Z38">
    <cfRule type="expression" dxfId="1336" priority="319">
      <formula>AND(OR($W9&lt;&gt;"",$W10&lt;&gt;"",$X9&lt;&gt;""),$Z9="TBD")</formula>
    </cfRule>
  </conditionalFormatting>
  <conditionalFormatting sqref="W10 W12 W14 W16 W18 W20 W22 W24 W26 W28 W30 W32 W34 W36 W38">
    <cfRule type="expression" dxfId="1335" priority="320">
      <formula>AND(OR($W9&lt;&gt;"",$W10&lt;&gt;"",$X9&lt;&gt;""),$Z9="TBD")</formula>
    </cfRule>
  </conditionalFormatting>
  <conditionalFormatting sqref="H11">
    <cfRule type="expression" dxfId="1334" priority="316">
      <formula>#REF!="Yes"</formula>
    </cfRule>
  </conditionalFormatting>
  <conditionalFormatting sqref="A11">
    <cfRule type="expression" dxfId="1333" priority="318">
      <formula>$AE11:$AE12="[Record ID]"</formula>
    </cfRule>
  </conditionalFormatting>
  <conditionalFormatting sqref="H13">
    <cfRule type="expression" dxfId="1332" priority="304">
      <formula>#REF!="Yes"</formula>
    </cfRule>
  </conditionalFormatting>
  <conditionalFormatting sqref="A13">
    <cfRule type="expression" dxfId="1331" priority="306">
      <formula>$AE13:$AE14="[Record ID]"</formula>
    </cfRule>
  </conditionalFormatting>
  <conditionalFormatting sqref="H15">
    <cfRule type="expression" dxfId="1330" priority="292">
      <formula>#REF!="Yes"</formula>
    </cfRule>
  </conditionalFormatting>
  <conditionalFormatting sqref="A15">
    <cfRule type="expression" dxfId="1329" priority="294">
      <formula>$AE15:$AE16="[Record ID]"</formula>
    </cfRule>
  </conditionalFormatting>
  <conditionalFormatting sqref="H17">
    <cfRule type="expression" dxfId="1328" priority="280">
      <formula>#REF!="Yes"</formula>
    </cfRule>
  </conditionalFormatting>
  <conditionalFormatting sqref="A17">
    <cfRule type="expression" dxfId="1327" priority="282">
      <formula>$AE17:$AE18="[Record ID]"</formula>
    </cfRule>
  </conditionalFormatting>
  <conditionalFormatting sqref="H19">
    <cfRule type="expression" dxfId="1326" priority="268">
      <formula>#REF!="Yes"</formula>
    </cfRule>
  </conditionalFormatting>
  <conditionalFormatting sqref="A19">
    <cfRule type="expression" dxfId="1325" priority="270">
      <formula>$AE19:$AE20="[Record ID]"</formula>
    </cfRule>
  </conditionalFormatting>
  <conditionalFormatting sqref="H21">
    <cfRule type="expression" dxfId="1324" priority="256">
      <formula>#REF!="Yes"</formula>
    </cfRule>
  </conditionalFormatting>
  <conditionalFormatting sqref="A21">
    <cfRule type="expression" dxfId="1323" priority="258">
      <formula>$AE21:$AE22="[Record ID]"</formula>
    </cfRule>
  </conditionalFormatting>
  <conditionalFormatting sqref="H23">
    <cfRule type="expression" dxfId="1322" priority="244">
      <formula>#REF!="Yes"</formula>
    </cfRule>
  </conditionalFormatting>
  <conditionalFormatting sqref="A23">
    <cfRule type="expression" dxfId="1321" priority="246">
      <formula>$AE23:$AE24="[Record ID]"</formula>
    </cfRule>
  </conditionalFormatting>
  <conditionalFormatting sqref="H25">
    <cfRule type="expression" dxfId="1320" priority="232">
      <formula>#REF!="Yes"</formula>
    </cfRule>
  </conditionalFormatting>
  <conditionalFormatting sqref="A25">
    <cfRule type="expression" dxfId="1319" priority="234">
      <formula>$AE25:$AE26="[Record ID]"</formula>
    </cfRule>
  </conditionalFormatting>
  <conditionalFormatting sqref="H27">
    <cfRule type="expression" dxfId="1318" priority="220">
      <formula>#REF!="Yes"</formula>
    </cfRule>
  </conditionalFormatting>
  <conditionalFormatting sqref="A27">
    <cfRule type="expression" dxfId="1317" priority="222">
      <formula>$AE27:$AE28="[Record ID]"</formula>
    </cfRule>
  </conditionalFormatting>
  <conditionalFormatting sqref="H29">
    <cfRule type="expression" dxfId="1316" priority="208">
      <formula>#REF!="Yes"</formula>
    </cfRule>
  </conditionalFormatting>
  <conditionalFormatting sqref="A29">
    <cfRule type="expression" dxfId="1315" priority="210">
      <formula>$AE29:$AE30="[Record ID]"</formula>
    </cfRule>
  </conditionalFormatting>
  <conditionalFormatting sqref="H31">
    <cfRule type="expression" dxfId="1314" priority="196">
      <formula>#REF!="Yes"</formula>
    </cfRule>
  </conditionalFormatting>
  <conditionalFormatting sqref="A31">
    <cfRule type="expression" dxfId="1313" priority="198">
      <formula>$AE31:$AE32="[Record ID]"</formula>
    </cfRule>
  </conditionalFormatting>
  <conditionalFormatting sqref="H33">
    <cfRule type="expression" dxfId="1312" priority="184">
      <formula>#REF!="Yes"</formula>
    </cfRule>
  </conditionalFormatting>
  <conditionalFormatting sqref="A33">
    <cfRule type="expression" dxfId="1311" priority="186">
      <formula>$AE33:$AE34="[Record ID]"</formula>
    </cfRule>
  </conditionalFormatting>
  <conditionalFormatting sqref="H35">
    <cfRule type="expression" dxfId="1310" priority="172">
      <formula>#REF!="Yes"</formula>
    </cfRule>
  </conditionalFormatting>
  <conditionalFormatting sqref="A35">
    <cfRule type="expression" dxfId="1309" priority="174">
      <formula>$AE35:$AE36="[Record ID]"</formula>
    </cfRule>
  </conditionalFormatting>
  <conditionalFormatting sqref="H37">
    <cfRule type="expression" dxfId="1308" priority="160">
      <formula>#REF!="Yes"</formula>
    </cfRule>
  </conditionalFormatting>
  <conditionalFormatting sqref="A37">
    <cfRule type="expression" dxfId="1307" priority="162">
      <formula>$AE37:$AE38="[Record ID]"</formula>
    </cfRule>
  </conditionalFormatting>
  <conditionalFormatting sqref="K9:K10">
    <cfRule type="expression" dxfId="1306" priority="39">
      <formula>AND(OR($T9&lt;&gt;"",$T10&lt;&gt;"",$U9&lt;&gt;""),$W9="TBD")</formula>
    </cfRule>
  </conditionalFormatting>
  <conditionalFormatting sqref="K10">
    <cfRule type="expression" dxfId="1305" priority="40">
      <formula>AND(OR($T10&lt;&gt;"",$T11&lt;&gt;"",$U10&lt;&gt;""),$W10="TBD")</formula>
    </cfRule>
  </conditionalFormatting>
  <conditionalFormatting sqref="K11:K12">
    <cfRule type="expression" dxfId="1304" priority="37">
      <formula>AND(OR($T11&lt;&gt;"",$T12&lt;&gt;"",$U11&lt;&gt;""),$W11="TBD")</formula>
    </cfRule>
  </conditionalFormatting>
  <conditionalFormatting sqref="K12">
    <cfRule type="expression" dxfId="1303" priority="38">
      <formula>AND(OR($T12&lt;&gt;"",$T13&lt;&gt;"",$U12&lt;&gt;""),$W12="TBD")</formula>
    </cfRule>
  </conditionalFormatting>
  <conditionalFormatting sqref="K13:K14">
    <cfRule type="expression" dxfId="1302" priority="35">
      <formula>AND(OR($T13&lt;&gt;"",$T14&lt;&gt;"",$U13&lt;&gt;""),$W13="TBD")</formula>
    </cfRule>
  </conditionalFormatting>
  <conditionalFormatting sqref="K14">
    <cfRule type="expression" dxfId="1301" priority="36">
      <formula>AND(OR($T14&lt;&gt;"",$T15&lt;&gt;"",$U14&lt;&gt;""),$W14="TBD")</formula>
    </cfRule>
  </conditionalFormatting>
  <conditionalFormatting sqref="K15:K16">
    <cfRule type="expression" dxfId="1300" priority="33">
      <formula>AND(OR($T15&lt;&gt;"",$T16&lt;&gt;"",$U15&lt;&gt;""),$W15="TBD")</formula>
    </cfRule>
  </conditionalFormatting>
  <conditionalFormatting sqref="K16">
    <cfRule type="expression" dxfId="1299" priority="34">
      <formula>AND(OR($T16&lt;&gt;"",$T17&lt;&gt;"",$U16&lt;&gt;""),$W16="TBD")</formula>
    </cfRule>
  </conditionalFormatting>
  <conditionalFormatting sqref="K9">
    <cfRule type="expression" dxfId="1298" priority="32">
      <formula>AND(OR($T9&lt;&gt;"",$T10&lt;&gt;"",$U9&lt;&gt;""),$W9="TBD")</formula>
    </cfRule>
  </conditionalFormatting>
  <conditionalFormatting sqref="K11">
    <cfRule type="expression" dxfId="1297" priority="31">
      <formula>AND(OR($T11&lt;&gt;"",$T12&lt;&gt;"",$U11&lt;&gt;""),$W11="TBD")</formula>
    </cfRule>
  </conditionalFormatting>
  <conditionalFormatting sqref="M11:M12">
    <cfRule type="expression" dxfId="1296" priority="30">
      <formula>AND(OR($T11&lt;&gt;"",$T12&lt;&gt;"",$U11&lt;&gt;""),$W11="TBD")</formula>
    </cfRule>
  </conditionalFormatting>
  <conditionalFormatting sqref="M13:M14">
    <cfRule type="expression" dxfId="1295" priority="29">
      <formula>AND(OR($T13&lt;&gt;"",$T14&lt;&gt;"",$U13&lt;&gt;""),$W13="TBD")</formula>
    </cfRule>
  </conditionalFormatting>
  <conditionalFormatting sqref="M15:M16">
    <cfRule type="expression" dxfId="1294" priority="28">
      <formula>AND(OR($T15&lt;&gt;"",$T16&lt;&gt;"",$U15&lt;&gt;""),$W15="TBD")</formula>
    </cfRule>
  </conditionalFormatting>
  <conditionalFormatting sqref="M9:M10">
    <cfRule type="expression" dxfId="1293" priority="27">
      <formula>AND(OR($AD9&lt;&gt;"",$AD10&lt;&gt;"",$AE9&lt;&gt;""),$AG9="TBD")</formula>
    </cfRule>
  </conditionalFormatting>
  <conditionalFormatting sqref="O9:O10">
    <cfRule type="expression" dxfId="1292" priority="25">
      <formula>AND(OR($Y9&lt;&gt;"",$Y10&lt;&gt;"",$Z9&lt;&gt;""),$AB9="TBD")</formula>
    </cfRule>
  </conditionalFormatting>
  <conditionalFormatting sqref="O10">
    <cfRule type="expression" dxfId="1291" priority="26">
      <formula>AND(OR($Y9&lt;&gt;"",$Y10&lt;&gt;"",$Z9&lt;&gt;""),$AB9="TBD")</formula>
    </cfRule>
  </conditionalFormatting>
  <conditionalFormatting sqref="O11:O12">
    <cfRule type="expression" dxfId="1290" priority="23">
      <formula>AND(OR($Y11&lt;&gt;"",$Y12&lt;&gt;"",$Z11&lt;&gt;""),$AB11="TBD")</formula>
    </cfRule>
  </conditionalFormatting>
  <conditionalFormatting sqref="O12">
    <cfRule type="expression" dxfId="1289" priority="24">
      <formula>AND(OR($Y11&lt;&gt;"",$Y12&lt;&gt;"",$Z11&lt;&gt;""),$AB11="TBD")</formula>
    </cfRule>
  </conditionalFormatting>
  <conditionalFormatting sqref="O13:O14">
    <cfRule type="expression" dxfId="1288" priority="21">
      <formula>AND(OR($Y13&lt;&gt;"",$Y14&lt;&gt;"",$Z13&lt;&gt;""),$AB13="TBD")</formula>
    </cfRule>
  </conditionalFormatting>
  <conditionalFormatting sqref="O14">
    <cfRule type="expression" dxfId="1287" priority="22">
      <formula>AND(OR($Y13&lt;&gt;"",$Y14&lt;&gt;"",$Z13&lt;&gt;""),$AB13="TBD")</formula>
    </cfRule>
  </conditionalFormatting>
  <conditionalFormatting sqref="O15:O16">
    <cfRule type="expression" dxfId="1286" priority="19">
      <formula>AND(OR($Y15&lt;&gt;"",$Y16&lt;&gt;"",$Z15&lt;&gt;""),$AB15="TBD")</formula>
    </cfRule>
  </conditionalFormatting>
  <conditionalFormatting sqref="O16">
    <cfRule type="expression" dxfId="1285" priority="20">
      <formula>AND(OR($Y15&lt;&gt;"",$Y16&lt;&gt;"",$Z15&lt;&gt;""),$AB15="TBD")</formula>
    </cfRule>
  </conditionalFormatting>
  <conditionalFormatting sqref="O9">
    <cfRule type="expression" dxfId="1284" priority="18">
      <formula>AND(OR($Y8&lt;&gt;"",$Y9&lt;&gt;"",$Z8&lt;&gt;""),$AB8="TBD")</formula>
    </cfRule>
  </conditionalFormatting>
  <conditionalFormatting sqref="O11">
    <cfRule type="expression" dxfId="1283" priority="17">
      <formula>AND(OR($Y10&lt;&gt;"",$Y11&lt;&gt;"",$Z10&lt;&gt;""),$AB10="TBD")</formula>
    </cfRule>
  </conditionalFormatting>
  <conditionalFormatting sqref="Q9:Q10">
    <cfRule type="expression" dxfId="1282" priority="16">
      <formula>AND(OR($Y9&lt;&gt;"",$Y10&lt;&gt;"",$Z9&lt;&gt;""),$AB9="TBD")</formula>
    </cfRule>
  </conditionalFormatting>
  <conditionalFormatting sqref="Q11:Q12">
    <cfRule type="expression" dxfId="1281" priority="15">
      <formula>AND(OR($Y11&lt;&gt;"",$Y12&lt;&gt;"",$Z11&lt;&gt;""),$AB11="TBD")</formula>
    </cfRule>
  </conditionalFormatting>
  <conditionalFormatting sqref="Q13:Q14">
    <cfRule type="expression" dxfId="1280" priority="14">
      <formula>AND(OR($Y13&lt;&gt;"",$Y14&lt;&gt;"",$Z13&lt;&gt;""),$AB13="TBD")</formula>
    </cfRule>
  </conditionalFormatting>
  <conditionalFormatting sqref="Q15:Q16">
    <cfRule type="expression" dxfId="1279" priority="13">
      <formula>AND(OR($T15&lt;&gt;"",$T16&lt;&gt;"",$U15&lt;&gt;""),$W15="TBD")</formula>
    </cfRule>
  </conditionalFormatting>
  <conditionalFormatting sqref="S9:S10">
    <cfRule type="expression" dxfId="1278" priority="11">
      <formula>AND(OR($AD9&lt;&gt;"",$AD10&lt;&gt;"",$AE9&lt;&gt;""),$AG9="TBD")</formula>
    </cfRule>
  </conditionalFormatting>
  <conditionalFormatting sqref="S10">
    <cfRule type="expression" dxfId="1277" priority="12">
      <formula>AND(OR($AD9&lt;&gt;"",$AD10&lt;&gt;"",$AE9&lt;&gt;""),$AG9="TBD")</formula>
    </cfRule>
  </conditionalFormatting>
  <conditionalFormatting sqref="S11:S12">
    <cfRule type="expression" dxfId="1276" priority="9">
      <formula>AND(OR($AD11&lt;&gt;"",$AD12&lt;&gt;"",$AE11&lt;&gt;""),$AG11="TBD")</formula>
    </cfRule>
  </conditionalFormatting>
  <conditionalFormatting sqref="S12">
    <cfRule type="expression" dxfId="1275" priority="10">
      <formula>AND(OR($AD11&lt;&gt;"",$AD12&lt;&gt;"",$AE11&lt;&gt;""),$AG11="TBD")</formula>
    </cfRule>
  </conditionalFormatting>
  <conditionalFormatting sqref="S13:S14">
    <cfRule type="expression" dxfId="1274" priority="7">
      <formula>AND(OR($AD13&lt;&gt;"",$AD14&lt;&gt;"",$AE13&lt;&gt;""),$AG13="TBD")</formula>
    </cfRule>
  </conditionalFormatting>
  <conditionalFormatting sqref="S14">
    <cfRule type="expression" dxfId="1273" priority="8">
      <formula>AND(OR($AD13&lt;&gt;"",$AD14&lt;&gt;"",$AE13&lt;&gt;""),$AG13="TBD")</formula>
    </cfRule>
  </conditionalFormatting>
  <conditionalFormatting sqref="S15:S16">
    <cfRule type="expression" dxfId="1272" priority="5">
      <formula>AND(OR($AD15&lt;&gt;"",$AD16&lt;&gt;"",$AE15&lt;&gt;""),$AG15="TBD")</formula>
    </cfRule>
  </conditionalFormatting>
  <conditionalFormatting sqref="S16">
    <cfRule type="expression" dxfId="1271" priority="6">
      <formula>AND(OR($AD15&lt;&gt;"",$AD16&lt;&gt;"",$AE15&lt;&gt;""),$AG15="TBD")</formula>
    </cfRule>
  </conditionalFormatting>
  <conditionalFormatting sqref="U15:U16">
    <cfRule type="expression" dxfId="1270" priority="4">
      <formula>AND(OR($T15&lt;&gt;"",$T16&lt;&gt;"",$U15&lt;&gt;""),$W15="TBD")</formula>
    </cfRule>
  </conditionalFormatting>
  <conditionalFormatting sqref="U13:U14">
    <cfRule type="expression" dxfId="1269" priority="3">
      <formula>AND(OR($T13&lt;&gt;"",$T14&lt;&gt;"",$U13&lt;&gt;""),$W13="TBD")</formula>
    </cfRule>
  </conditionalFormatting>
  <conditionalFormatting sqref="U11:U12">
    <cfRule type="expression" dxfId="1268" priority="2">
      <formula>AND(OR($T11&lt;&gt;"",$T12&lt;&gt;"",$U11&lt;&gt;""),$W11="TBD")</formula>
    </cfRule>
  </conditionalFormatting>
  <conditionalFormatting sqref="U9:U10">
    <cfRule type="expression" dxfId="1267" priority="1">
      <formula>AND(OR($T9&lt;&gt;"",$T10&lt;&gt;"",$U9&lt;&gt;""),$W9="TBD")</formula>
    </cfRule>
  </conditionalFormatting>
  <dataValidations count="11">
    <dataValidation type="list" allowBlank="1" showInputMessage="1" showErrorMessage="1" sqref="B9:B38" xr:uid="{BA1EC651-6158-4FF8-A0A1-E2C70D5BABB7}">
      <formula1>ImpactIndicator</formula1>
    </dataValidation>
    <dataValidation type="list" allowBlank="1" showInputMessage="1" showErrorMessage="1" sqref="J9:J38" xr:uid="{613445A1-2307-4502-ADCC-AE86F0070C58}">
      <formula1>Country</formula1>
    </dataValidation>
    <dataValidation type="decimal" operator="greaterThan" allowBlank="1" showInputMessage="1" showErrorMessage="1" sqref="D9:D307 E9:E38 O9:P38 S9:T38 K9:L38 W9:X38" xr:uid="{14B9D462-DE6A-49B5-A090-8017AB18E731}">
      <formula1>0</formula1>
    </dataValidation>
    <dataValidation type="textLength" allowBlank="1" showInputMessage="1" showErrorMessage="1" sqref="G9:G38" xr:uid="{F4EDE257-9E3C-4EAC-8089-466E3C8B81C2}">
      <formula1>0</formula1>
      <formula2>4000</formula2>
    </dataValidation>
    <dataValidation type="textLength" allowBlank="1" showInputMessage="1" showErrorMessage="1" sqref="AA9:AA38 AC9:AD38" xr:uid="{FA145D8E-23D5-4037-B473-A3EB3939375A}">
      <formula1>0</formula1>
      <formula2>32768</formula2>
    </dataValidation>
    <dataValidation type="list" allowBlank="1" showInputMessage="1" showErrorMessage="1" sqref="F9:F38" xr:uid="{F03D85C9-4D9C-4227-B352-E9E37BFA07A5}">
      <formula1>baseline_validation</formula1>
    </dataValidation>
    <dataValidation type="custom" allowBlank="1" showErrorMessage="1" errorTitle="Indicator" error="Cannot enter both Standard and Custom indicators on the same line" sqref="C9:C38" xr:uid="{4C46DEA1-0301-4B68-AED4-58C54A99970E}">
      <formula1>B9=""</formula1>
    </dataValidation>
    <dataValidation type="date" operator="greaterThan" allowBlank="1" showInputMessage="1" showErrorMessage="1" sqref="Y9:Y38 Q9:Q38 M9:M38" xr:uid="{5E76E885-4BAD-4E8A-AFC2-171E6EFBBF9F}">
      <formula1>36526</formula1>
    </dataValidation>
    <dataValidation type="date" errorStyle="information" operator="greaterThan" allowBlank="1" showInputMessage="1" showErrorMessage="1" sqref="U9:U38" xr:uid="{B6D547FF-3536-4CB6-A19A-BE3BA3D2E4EA}">
      <formula1>36526</formula1>
    </dataValidation>
    <dataValidation type="list" allowBlank="1" showInputMessage="1" showErrorMessage="1" sqref="I9:I38" xr:uid="{72E711BD-E9DD-4C26-8B83-A91C25CC7563}">
      <formula1>MergedAndDistinctPR</formula1>
    </dataValidation>
    <dataValidation type="custom" allowBlank="1" showInputMessage="1" showErrorMessage="1" errorTitle="Indicator" error="Cannot enter both Standard and Custom indicators on the same line" sqref="AB9:AB38" xr:uid="{7A68A76E-B2C7-476B-8062-A6C8553FE35B}">
      <formula1>B9=""</formula1>
    </dataValidation>
  </dataValidations>
  <hyperlinks>
    <hyperlink ref="B5" location="'Instructions-FR'!InstructionB" display="'Instructions-FR'!InstructionB" xr:uid="{6BAD1EA6-C2D7-4CF9-8FAF-6D1CF08F06E4}"/>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392" id="{87669369-EAA4-4B0D-933B-BF190EED13FF}">
            <xm:f>'Overview - Section A'!$T$3="English"</xm:f>
            <x14:dxf>
              <font>
                <color theme="1"/>
              </font>
              <fill>
                <patternFill>
                  <bgColor rgb="FF8DB4E2"/>
                </patternFill>
              </fill>
            </x14:dxf>
          </x14:cfRule>
          <xm:sqref>C8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A0ED607-3013-4D41-BC82-7F505E220D16}">
          <x14:formula1>
            <xm:f>IF(OR($K9&lt;&gt;"",$K10&lt;&gt;"",$L9&lt;&gt;""),INDIRECT("FakeRange"),Setup!A$29)</xm:f>
          </x14:formula1>
          <xm:sqref>N9:N38</xm:sqref>
        </x14:dataValidation>
        <x14:dataValidation type="list" allowBlank="1" showInputMessage="1" showErrorMessage="1" xr:uid="{4AF2955E-E91E-47F7-95CD-8BCDF026650A}">
          <x14:formula1>
            <xm:f>IF(OR($O9&lt;&gt;"",$O10&lt;&gt;"",$P9&lt;&gt;""),INDIRECT("FakeRange"),Setup!A$29)</xm:f>
          </x14:formula1>
          <xm:sqref>R9:R38</xm:sqref>
        </x14:dataValidation>
        <x14:dataValidation type="list" operator="greaterThan" allowBlank="1" showInputMessage="1" showErrorMessage="1" xr:uid="{AB7E989A-A9AF-4F6A-83B7-D63B7031720D}">
          <x14:formula1>
            <xm:f>IF(OR($S9&lt;&gt;"",$S10&lt;&gt;"",$T9&lt;&gt;""),INDIRECT("FakeRange"),Setup!A$29)</xm:f>
          </x14:formula1>
          <xm:sqref>V9:V38</xm:sqref>
        </x14:dataValidation>
        <x14:dataValidation type="list" allowBlank="1" showInputMessage="1" showErrorMessage="1" xr:uid="{AA577BD7-7791-42E7-9678-F900C9E434FC}">
          <x14:formula1>
            <xm:f>IF(OR($W9&lt;&gt;"",$W10&lt;&gt;"",$X9&lt;&gt;""),INDIRECT("FakeRange"),Setup!A$29)</xm:f>
          </x14:formula1>
          <xm:sqref>Z9:Z38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G3912"/>
  <sheetViews>
    <sheetView topLeftCell="B1" zoomScale="71" zoomScaleNormal="71" workbookViewId="0">
      <selection activeCell="A2842" sqref="A2842"/>
    </sheetView>
  </sheetViews>
  <sheetFormatPr defaultColWidth="8.796875" defaultRowHeight="15.6" x14ac:dyDescent="0.3"/>
  <cols>
    <col min="1" max="1" width="33.3984375" style="486" customWidth="1"/>
    <col min="2" max="2" width="14.5" style="486" customWidth="1"/>
    <col min="3" max="3" width="27" style="486" customWidth="1"/>
    <col min="4" max="4" width="42" style="486" customWidth="1"/>
    <col min="5" max="5" width="27.8984375" style="486" customWidth="1"/>
    <col min="6" max="6" width="23.69921875" style="486" customWidth="1"/>
    <col min="7" max="7" width="33.69921875" style="486" customWidth="1"/>
    <col min="8" max="8" width="24.5" style="486" customWidth="1"/>
    <col min="9" max="9" width="42.69921875" style="486" customWidth="1"/>
    <col min="10" max="10" width="47.8984375" style="486" customWidth="1"/>
    <col min="11" max="11" width="31.19921875" style="486" customWidth="1"/>
    <col min="12" max="12" width="26.59765625" style="486" customWidth="1"/>
    <col min="13" max="13" width="33.8984375" style="486" customWidth="1"/>
    <col min="14" max="14" width="35" style="486" customWidth="1"/>
    <col min="15" max="15" width="21.19921875" style="486" customWidth="1"/>
    <col min="16" max="16" width="47.3984375" style="486" customWidth="1"/>
    <col min="17" max="17" width="29" style="486" customWidth="1"/>
    <col min="18" max="18" width="32.69921875" style="486" customWidth="1"/>
    <col min="19" max="19" width="33.3984375" style="486" customWidth="1"/>
    <col min="20" max="20" width="37.59765625" style="486" customWidth="1"/>
    <col min="21" max="21" width="30.59765625" style="486" bestFit="1" customWidth="1"/>
    <col min="22" max="22" width="34.09765625" style="486" bestFit="1" customWidth="1"/>
    <col min="23" max="23" width="35.69921875" style="486" bestFit="1" customWidth="1"/>
    <col min="24" max="26" width="8.796875" style="486"/>
    <col min="27" max="27" width="34.3984375" style="486" customWidth="1"/>
    <col min="28" max="28" width="31.296875" style="486" customWidth="1"/>
    <col min="29" max="16384" width="8.796875" style="486"/>
  </cols>
  <sheetData>
    <row r="1" spans="1:31" x14ac:dyDescent="0.3">
      <c r="A1" s="485" t="s">
        <v>331</v>
      </c>
      <c r="W1" s="486" t="s">
        <v>1240</v>
      </c>
      <c r="X1" s="486" t="s">
        <v>1241</v>
      </c>
      <c r="Y1" s="486" t="s">
        <v>1242</v>
      </c>
      <c r="Z1" s="486" t="s">
        <v>1243</v>
      </c>
      <c r="AC1" s="486" t="s">
        <v>1272</v>
      </c>
      <c r="AD1" s="486" t="s">
        <v>1289</v>
      </c>
      <c r="AE1" s="486" t="s">
        <v>1290</v>
      </c>
    </row>
    <row r="2" spans="1:31" x14ac:dyDescent="0.3">
      <c r="A2" s="487"/>
      <c r="B2" s="488">
        <f>IF(_xlfn.ISFORMULA(E1),B1+1,2)</f>
        <v>2</v>
      </c>
      <c r="C2" s="487" t="s">
        <v>48</v>
      </c>
      <c r="D2" s="487" t="s">
        <v>4</v>
      </c>
      <c r="E2" s="487" t="s">
        <v>3</v>
      </c>
      <c r="F2" s="487" t="s">
        <v>2</v>
      </c>
      <c r="G2" s="487" t="s">
        <v>18</v>
      </c>
      <c r="H2" s="487" t="s">
        <v>29</v>
      </c>
      <c r="I2" s="487">
        <v>-25</v>
      </c>
      <c r="J2" s="488" t="s">
        <v>332</v>
      </c>
      <c r="K2" s="487" t="s">
        <v>11</v>
      </c>
      <c r="L2" s="487" t="s">
        <v>10</v>
      </c>
      <c r="M2" s="487" t="s">
        <v>142</v>
      </c>
      <c r="N2" s="487" t="s">
        <v>354</v>
      </c>
      <c r="O2" s="487" t="s">
        <v>188</v>
      </c>
      <c r="P2" s="487" t="s">
        <v>472</v>
      </c>
      <c r="Q2" s="487" t="s">
        <v>473</v>
      </c>
      <c r="R2" s="487" t="s">
        <v>474</v>
      </c>
      <c r="S2" s="487" t="s">
        <v>1249</v>
      </c>
      <c r="T2" s="487" t="s">
        <v>1251</v>
      </c>
      <c r="U2" s="487">
        <v>-1</v>
      </c>
      <c r="V2" s="487" t="s">
        <v>71</v>
      </c>
      <c r="W2" s="489">
        <f ca="1">IFERROR(MAX(P$39:P220)/MAX(F$39:F220),0)</f>
        <v>6</v>
      </c>
      <c r="X2" s="489">
        <f ca="1">IFERROR(MAX(P$259:P440)/MAX(F$259:F440),0)</f>
        <v>6</v>
      </c>
      <c r="Y2" s="489">
        <f ca="1">IFERROR(MAX(P$511:P872)/MAX(F$511:F872),0)</f>
        <v>6</v>
      </c>
      <c r="Z2" s="486">
        <f ca="1">IFERROR(MAX(P$2362:P3323)/MAX(C$2362:C3323),0)</f>
        <v>6</v>
      </c>
      <c r="AC2" s="486">
        <f>COUNTA(D258:D440)-1</f>
        <v>90</v>
      </c>
      <c r="AD2" s="486">
        <f>IFERROR((MAX(P$510:P872))/AE2,0)</f>
        <v>6</v>
      </c>
      <c r="AE2" s="486">
        <f>(COUNTA(C444:C506)-2)/2</f>
        <v>30</v>
      </c>
    </row>
    <row r="3" spans="1:31" ht="109.2" hidden="1" x14ac:dyDescent="0.3">
      <c r="A3" s="487" t="b">
        <f ca="1">IF(AND(OR(L3&lt;&gt;"",M3&lt;&gt;""),OR(D3&lt;&gt;"",E3&lt;&gt;"",F3&lt;&gt;"")),TRUE,FALSE)</f>
        <v>1</v>
      </c>
      <c r="B3" s="488">
        <f>IF(_xlfn.ISFORMULA(E3),B2+1,2)</f>
        <v>3</v>
      </c>
      <c r="C3" s="487" t="str">
        <f>IFERROR(INDEX(C$2:C3,B3,1),"")</f>
        <v/>
      </c>
      <c r="D3" s="490" t="str">
        <f ca="1">IFERROR(IF(INDIRECT("'Impact Indicators - Section B '!E"&amp;$I3)=0,"",INDIRECT("'Impact Indicators - Section B '!E"&amp;$I3)*100),"")</f>
        <v/>
      </c>
      <c r="E3" s="491" t="str">
        <f ca="1">IFERROR(IF(INDIRECT("'Impact Indicators - Section B '!D"&amp;$I3+1)=0,"",INDIRECT("'Impact Indicators - Section B '!D"&amp;$I3+1)),"")</f>
        <v/>
      </c>
      <c r="F3" s="492">
        <f ca="1">IFERROR(IF(INDIRECT("'Impact Indicators - Section B '!D"&amp;$I3)=0,"",INDIRECT("'Impact Indicators - Section B '!D"&amp;$I3)),"")</f>
        <v>12187</v>
      </c>
      <c r="G3" s="493" t="str">
        <f ca="1">IFERROR(IF(INDIRECT("'Impact Indicators - Section B '!AC"&amp;$I3)=0,"",INDIRECT("'Impact Indicators - Section B '!AC"&amp;$I3)),"")</f>
        <v>Spectrum 2020</v>
      </c>
      <c r="H3" s="493">
        <f ca="1">IFERROR(IF(INDIRECT("'Impact Indicators - Section B '!F"&amp;$I3)=0,"",INDIRECT("'Impact Indicators - Section B '!F"&amp;$I3)),"")</f>
        <v>2019</v>
      </c>
      <c r="I3" s="488">
        <f>IF(B3=3,9,I2+2)</f>
        <v>9</v>
      </c>
      <c r="J3" s="493" t="str">
        <f ca="1">IFERROR(IF(INDIRECT("'Impact Indicators - Section B '!AD"&amp;$I3)=0,"",INDIRECT("'Impact Indicators - Section B '!AD"&amp;$I3)),"")</f>
        <v>The 2021-2025 NSP targets for new infections are 9,166 in 2021, 7,670 in 2022 and 6,174 in 2023.
Data will be collected from spectrum.
Reporting will be done in 2022 and 2023 for the targets of 2021 and 2022.</v>
      </c>
      <c r="K3" s="487" t="str">
        <f ca="1">IFERROR(IF(INDIRECT("'Impact Indicators - Section B '!J"&amp;$I3)=0,"",INDIRECT("'Impact Indicators - Section B '!J"&amp;$I3)),"")</f>
        <v>Côte d'Ivoire</v>
      </c>
      <c r="L3" s="493" t="str">
        <f ca="1">IFERROR(IF(INDIRECT("'Impact Indicators - Section B '!AB"&amp;$I3)=0,"",INDIRECT("'Impact Indicators - Section B '!AB"&amp;$I3)),"")</f>
        <v/>
      </c>
      <c r="M3" s="487" t="str">
        <f ca="1">IFERROR(VLOOKUP(INDIRECT("'Impact Indicators - Section B '!AH"&amp;$I3),'Reference Records'!$G$4:$H$16,2,0),"")</f>
        <v>IOR-00080</v>
      </c>
      <c r="N3" s="487" t="s">
        <v>353</v>
      </c>
      <c r="O3" s="493" t="str">
        <f ca="1">IFERROR(VLOOKUP(INDIRECT("'Impact Indicators - Section B '!I"&amp;$I3),'Overview - Section A'!M$29:P40,4,0),IFERROR(VLOOKUP(INDIRECT("'Impact Indicators - Section B '!I"&amp;$I3),'Overview - Section A'!E$26:I28,5,0),""))</f>
        <v>a123p000005UjbKAAS</v>
      </c>
      <c r="P3" s="493" t="str">
        <f ca="1">IFERROR(IF(INDIRECT("'Impact Indicators - Section B '!C"&amp;$I3)=0,"",INDIRECT("'Impact Indicators - Section B '!C"&amp;$I3)),"")</f>
        <v/>
      </c>
      <c r="Q3" s="493" t="str">
        <f ca="1">IFERROR(IF(INDIRECT("'Impact Indicators - Section B '!G"&amp;$I3)=0,"",INDIRECT("'Impact Indicators - Section B '!G"&amp;$I3)),"")</f>
        <v>Spectrum 2020</v>
      </c>
      <c r="R3" s="494" t="str">
        <f ca="1">IFERROR(IF(INDIRECT("'Impact Indicators - Section B '!AA"&amp;$I3)=0,"",INDIRECT("'Impact Indicators - Section B '!AA"&amp;$I3)),"")</f>
        <v xml:space="preserve">Les cibles du PSN 2021-2025 des nouvelles infections sont 9 166 en 2021, 7670 en 2022 et 6174 en 2023. 
Les données seront collectées à partir de spectrum 
Le rapportage se fera en 2022 et 2023 pour les cibles de 2021 et 2022. </v>
      </c>
      <c r="S3" s="493" t="s">
        <v>1248</v>
      </c>
      <c r="T3" s="493" t="s">
        <v>1250</v>
      </c>
      <c r="U3" s="487">
        <f>IF(NOT(_xlfn.ISFORMULA(H3)),U2+1,0)</f>
        <v>0</v>
      </c>
      <c r="V3" s="487" t="s">
        <v>1288</v>
      </c>
      <c r="W3" s="486" t="s">
        <v>1291</v>
      </c>
    </row>
    <row r="4" spans="1:31" x14ac:dyDescent="0.3">
      <c r="A4" s="487" t="b">
        <v>0</v>
      </c>
      <c r="B4" s="488">
        <f t="shared" ref="B4:B33" si="0">IF(_xlfn.ISFORMULA(E4),B3+1,2)</f>
        <v>2</v>
      </c>
      <c r="C4" s="487" t="s">
        <v>6950</v>
      </c>
      <c r="D4" s="490"/>
      <c r="E4" s="491"/>
      <c r="F4" s="492"/>
      <c r="G4" s="493"/>
      <c r="H4" s="493"/>
      <c r="I4" s="488">
        <f t="shared" ref="I4:I33" si="1">IF(B4=3,9,I3+2)</f>
        <v>11</v>
      </c>
      <c r="J4" s="493"/>
      <c r="K4" s="487"/>
      <c r="L4" s="493"/>
      <c r="M4" s="487"/>
      <c r="N4" s="487"/>
      <c r="O4" s="493"/>
      <c r="P4" s="493"/>
      <c r="Q4" s="493"/>
      <c r="R4" s="494"/>
      <c r="S4" s="493"/>
      <c r="T4" s="493"/>
      <c r="U4" s="487">
        <f t="shared" ref="U4:U33" si="2">IF(NOT(_xlfn.ISFORMULA(H4)),U3+1,0)</f>
        <v>1</v>
      </c>
      <c r="V4" s="487" t="b">
        <v>0</v>
      </c>
    </row>
    <row r="5" spans="1:31" x14ac:dyDescent="0.3">
      <c r="A5" s="487" t="b">
        <v>0</v>
      </c>
      <c r="B5" s="488">
        <f t="shared" si="0"/>
        <v>2</v>
      </c>
      <c r="C5" s="487" t="s">
        <v>6951</v>
      </c>
      <c r="D5" s="490"/>
      <c r="E5" s="491"/>
      <c r="F5" s="492"/>
      <c r="G5" s="493"/>
      <c r="H5" s="493"/>
      <c r="I5" s="488">
        <f t="shared" si="1"/>
        <v>13</v>
      </c>
      <c r="J5" s="493"/>
      <c r="K5" s="487"/>
      <c r="L5" s="493"/>
      <c r="M5" s="487"/>
      <c r="N5" s="487"/>
      <c r="O5" s="493"/>
      <c r="P5" s="493"/>
      <c r="Q5" s="493"/>
      <c r="R5" s="494"/>
      <c r="S5" s="493"/>
      <c r="T5" s="493"/>
      <c r="U5" s="487">
        <f t="shared" si="2"/>
        <v>2</v>
      </c>
      <c r="V5" s="487" t="b">
        <v>0</v>
      </c>
    </row>
    <row r="6" spans="1:31" x14ac:dyDescent="0.3">
      <c r="A6" s="487" t="b">
        <v>0</v>
      </c>
      <c r="B6" s="488">
        <f t="shared" si="0"/>
        <v>2</v>
      </c>
      <c r="C6" s="487" t="s">
        <v>6952</v>
      </c>
      <c r="D6" s="490"/>
      <c r="E6" s="491"/>
      <c r="F6" s="492"/>
      <c r="G6" s="493"/>
      <c r="H6" s="493"/>
      <c r="I6" s="488">
        <f t="shared" si="1"/>
        <v>15</v>
      </c>
      <c r="J6" s="493"/>
      <c r="K6" s="487"/>
      <c r="L6" s="493"/>
      <c r="M6" s="487"/>
      <c r="N6" s="487"/>
      <c r="O6" s="493"/>
      <c r="P6" s="493"/>
      <c r="Q6" s="493"/>
      <c r="R6" s="494"/>
      <c r="S6" s="493"/>
      <c r="T6" s="493"/>
      <c r="U6" s="487">
        <f t="shared" si="2"/>
        <v>3</v>
      </c>
      <c r="V6" s="487" t="b">
        <v>0</v>
      </c>
    </row>
    <row r="7" spans="1:31" x14ac:dyDescent="0.3">
      <c r="A7" s="487" t="b">
        <v>0</v>
      </c>
      <c r="B7" s="488">
        <f t="shared" si="0"/>
        <v>2</v>
      </c>
      <c r="C7" s="487" t="s">
        <v>6953</v>
      </c>
      <c r="D7" s="490"/>
      <c r="E7" s="491"/>
      <c r="F7" s="492"/>
      <c r="G7" s="493"/>
      <c r="H7" s="493"/>
      <c r="I7" s="488">
        <f t="shared" si="1"/>
        <v>17</v>
      </c>
      <c r="J7" s="493"/>
      <c r="K7" s="487"/>
      <c r="L7" s="493"/>
      <c r="M7" s="487"/>
      <c r="N7" s="487"/>
      <c r="O7" s="493"/>
      <c r="P7" s="493"/>
      <c r="Q7" s="493"/>
      <c r="R7" s="494"/>
      <c r="S7" s="493"/>
      <c r="T7" s="493"/>
      <c r="U7" s="487">
        <f t="shared" si="2"/>
        <v>4</v>
      </c>
      <c r="V7" s="487" t="b">
        <v>0</v>
      </c>
    </row>
    <row r="8" spans="1:31" x14ac:dyDescent="0.3">
      <c r="A8" s="487" t="b">
        <v>0</v>
      </c>
      <c r="B8" s="488">
        <f t="shared" si="0"/>
        <v>2</v>
      </c>
      <c r="C8" s="487" t="s">
        <v>6954</v>
      </c>
      <c r="D8" s="490"/>
      <c r="E8" s="491"/>
      <c r="F8" s="492"/>
      <c r="G8" s="493"/>
      <c r="H8" s="493"/>
      <c r="I8" s="488">
        <f t="shared" si="1"/>
        <v>19</v>
      </c>
      <c r="J8" s="493"/>
      <c r="K8" s="487"/>
      <c r="L8" s="493"/>
      <c r="M8" s="487"/>
      <c r="N8" s="487"/>
      <c r="O8" s="493"/>
      <c r="P8" s="493"/>
      <c r="Q8" s="493"/>
      <c r="R8" s="494"/>
      <c r="S8" s="493"/>
      <c r="T8" s="493"/>
      <c r="U8" s="487">
        <f t="shared" si="2"/>
        <v>5</v>
      </c>
      <c r="V8" s="487" t="b">
        <v>0</v>
      </c>
    </row>
    <row r="9" spans="1:31" x14ac:dyDescent="0.3">
      <c r="A9" s="487" t="b">
        <v>0</v>
      </c>
      <c r="B9" s="488">
        <f t="shared" si="0"/>
        <v>2</v>
      </c>
      <c r="C9" s="487" t="s">
        <v>6955</v>
      </c>
      <c r="D9" s="490"/>
      <c r="E9" s="491"/>
      <c r="F9" s="492"/>
      <c r="G9" s="493"/>
      <c r="H9" s="493"/>
      <c r="I9" s="488">
        <f t="shared" si="1"/>
        <v>21</v>
      </c>
      <c r="J9" s="493"/>
      <c r="K9" s="487"/>
      <c r="L9" s="493"/>
      <c r="M9" s="487"/>
      <c r="N9" s="487"/>
      <c r="O9" s="493"/>
      <c r="P9" s="493"/>
      <c r="Q9" s="493"/>
      <c r="R9" s="494"/>
      <c r="S9" s="493"/>
      <c r="T9" s="493"/>
      <c r="U9" s="487">
        <f t="shared" si="2"/>
        <v>6</v>
      </c>
      <c r="V9" s="487" t="b">
        <v>0</v>
      </c>
    </row>
    <row r="10" spans="1:31" x14ac:dyDescent="0.3">
      <c r="A10" s="487" t="b">
        <v>0</v>
      </c>
      <c r="B10" s="488">
        <f t="shared" si="0"/>
        <v>2</v>
      </c>
      <c r="C10" s="487" t="s">
        <v>6956</v>
      </c>
      <c r="D10" s="490"/>
      <c r="E10" s="491"/>
      <c r="F10" s="492"/>
      <c r="G10" s="493"/>
      <c r="H10" s="493"/>
      <c r="I10" s="488">
        <f t="shared" si="1"/>
        <v>23</v>
      </c>
      <c r="J10" s="493"/>
      <c r="K10" s="487"/>
      <c r="L10" s="493"/>
      <c r="M10" s="487"/>
      <c r="N10" s="487"/>
      <c r="O10" s="493"/>
      <c r="P10" s="493"/>
      <c r="Q10" s="493"/>
      <c r="R10" s="494"/>
      <c r="S10" s="493"/>
      <c r="T10" s="493"/>
      <c r="U10" s="487">
        <f t="shared" si="2"/>
        <v>7</v>
      </c>
      <c r="V10" s="487" t="b">
        <v>0</v>
      </c>
    </row>
    <row r="11" spans="1:31" x14ac:dyDescent="0.3">
      <c r="A11" s="487" t="b">
        <v>0</v>
      </c>
      <c r="B11" s="488">
        <f t="shared" si="0"/>
        <v>2</v>
      </c>
      <c r="C11" s="487" t="s">
        <v>6957</v>
      </c>
      <c r="D11" s="490"/>
      <c r="E11" s="491"/>
      <c r="F11" s="492"/>
      <c r="G11" s="493"/>
      <c r="H11" s="493"/>
      <c r="I11" s="488">
        <f t="shared" si="1"/>
        <v>25</v>
      </c>
      <c r="J11" s="493"/>
      <c r="K11" s="487"/>
      <c r="L11" s="493"/>
      <c r="M11" s="487"/>
      <c r="N11" s="487"/>
      <c r="O11" s="493"/>
      <c r="P11" s="493"/>
      <c r="Q11" s="493"/>
      <c r="R11" s="494"/>
      <c r="S11" s="493"/>
      <c r="T11" s="493"/>
      <c r="U11" s="487">
        <f t="shared" si="2"/>
        <v>8</v>
      </c>
      <c r="V11" s="487" t="b">
        <v>0</v>
      </c>
    </row>
    <row r="12" spans="1:31" x14ac:dyDescent="0.3">
      <c r="A12" s="487" t="b">
        <v>0</v>
      </c>
      <c r="B12" s="488">
        <f t="shared" si="0"/>
        <v>2</v>
      </c>
      <c r="C12" s="487" t="s">
        <v>6958</v>
      </c>
      <c r="D12" s="490"/>
      <c r="E12" s="491"/>
      <c r="F12" s="492"/>
      <c r="G12" s="493"/>
      <c r="H12" s="493"/>
      <c r="I12" s="488">
        <f t="shared" si="1"/>
        <v>27</v>
      </c>
      <c r="J12" s="493"/>
      <c r="K12" s="487"/>
      <c r="L12" s="493"/>
      <c r="M12" s="487"/>
      <c r="N12" s="487"/>
      <c r="O12" s="493"/>
      <c r="P12" s="493"/>
      <c r="Q12" s="493"/>
      <c r="R12" s="494"/>
      <c r="S12" s="493"/>
      <c r="T12" s="493"/>
      <c r="U12" s="487">
        <f t="shared" si="2"/>
        <v>9</v>
      </c>
      <c r="V12" s="487" t="b">
        <v>0</v>
      </c>
    </row>
    <row r="13" spans="1:31" x14ac:dyDescent="0.3">
      <c r="A13" s="487" t="b">
        <v>0</v>
      </c>
      <c r="B13" s="488">
        <f t="shared" si="0"/>
        <v>2</v>
      </c>
      <c r="C13" s="487" t="s">
        <v>6959</v>
      </c>
      <c r="D13" s="490"/>
      <c r="E13" s="491"/>
      <c r="F13" s="492"/>
      <c r="G13" s="493"/>
      <c r="H13" s="493"/>
      <c r="I13" s="488">
        <f t="shared" si="1"/>
        <v>29</v>
      </c>
      <c r="J13" s="493"/>
      <c r="K13" s="487"/>
      <c r="L13" s="493"/>
      <c r="M13" s="487"/>
      <c r="N13" s="487"/>
      <c r="O13" s="493"/>
      <c r="P13" s="493"/>
      <c r="Q13" s="493"/>
      <c r="R13" s="494"/>
      <c r="S13" s="493"/>
      <c r="T13" s="493"/>
      <c r="U13" s="487">
        <f t="shared" si="2"/>
        <v>10</v>
      </c>
      <c r="V13" s="487" t="b">
        <v>0</v>
      </c>
    </row>
    <row r="14" spans="1:31" x14ac:dyDescent="0.3">
      <c r="A14" s="487" t="b">
        <v>0</v>
      </c>
      <c r="B14" s="488">
        <f t="shared" si="0"/>
        <v>2</v>
      </c>
      <c r="C14" s="487" t="s">
        <v>6960</v>
      </c>
      <c r="D14" s="490"/>
      <c r="E14" s="491"/>
      <c r="F14" s="492"/>
      <c r="G14" s="493"/>
      <c r="H14" s="493"/>
      <c r="I14" s="488">
        <f t="shared" si="1"/>
        <v>31</v>
      </c>
      <c r="J14" s="493"/>
      <c r="K14" s="487"/>
      <c r="L14" s="493"/>
      <c r="M14" s="487"/>
      <c r="N14" s="487"/>
      <c r="O14" s="493"/>
      <c r="P14" s="493"/>
      <c r="Q14" s="493"/>
      <c r="R14" s="494"/>
      <c r="S14" s="493"/>
      <c r="T14" s="493"/>
      <c r="U14" s="487">
        <f t="shared" si="2"/>
        <v>11</v>
      </c>
      <c r="V14" s="487" t="b">
        <v>0</v>
      </c>
    </row>
    <row r="15" spans="1:31" x14ac:dyDescent="0.3">
      <c r="A15" s="487" t="b">
        <v>0</v>
      </c>
      <c r="B15" s="488">
        <f t="shared" si="0"/>
        <v>2</v>
      </c>
      <c r="C15" s="487" t="s">
        <v>6961</v>
      </c>
      <c r="D15" s="490"/>
      <c r="E15" s="491"/>
      <c r="F15" s="492"/>
      <c r="G15" s="493"/>
      <c r="H15" s="493"/>
      <c r="I15" s="488">
        <f t="shared" si="1"/>
        <v>33</v>
      </c>
      <c r="J15" s="493"/>
      <c r="K15" s="487"/>
      <c r="L15" s="493"/>
      <c r="M15" s="487"/>
      <c r="N15" s="487"/>
      <c r="O15" s="493"/>
      <c r="P15" s="493"/>
      <c r="Q15" s="493"/>
      <c r="R15" s="494"/>
      <c r="S15" s="493"/>
      <c r="T15" s="493"/>
      <c r="U15" s="487">
        <f t="shared" si="2"/>
        <v>12</v>
      </c>
      <c r="V15" s="487" t="b">
        <v>0</v>
      </c>
    </row>
    <row r="16" spans="1:31" x14ac:dyDescent="0.3">
      <c r="A16" s="487" t="b">
        <v>0</v>
      </c>
      <c r="B16" s="488">
        <f t="shared" si="0"/>
        <v>2</v>
      </c>
      <c r="C16" s="487" t="s">
        <v>6962</v>
      </c>
      <c r="D16" s="490"/>
      <c r="E16" s="491"/>
      <c r="F16" s="492"/>
      <c r="G16" s="493"/>
      <c r="H16" s="493"/>
      <c r="I16" s="488">
        <f t="shared" si="1"/>
        <v>35</v>
      </c>
      <c r="J16" s="493"/>
      <c r="K16" s="487"/>
      <c r="L16" s="493"/>
      <c r="M16" s="487"/>
      <c r="N16" s="487"/>
      <c r="O16" s="493"/>
      <c r="P16" s="493"/>
      <c r="Q16" s="493"/>
      <c r="R16" s="494"/>
      <c r="S16" s="493"/>
      <c r="T16" s="493"/>
      <c r="U16" s="487">
        <f t="shared" si="2"/>
        <v>13</v>
      </c>
      <c r="V16" s="487" t="b">
        <v>0</v>
      </c>
    </row>
    <row r="17" spans="1:22" x14ac:dyDescent="0.3">
      <c r="A17" s="487" t="b">
        <v>0</v>
      </c>
      <c r="B17" s="488">
        <f t="shared" si="0"/>
        <v>2</v>
      </c>
      <c r="C17" s="487" t="s">
        <v>6963</v>
      </c>
      <c r="D17" s="490"/>
      <c r="E17" s="491"/>
      <c r="F17" s="492"/>
      <c r="G17" s="493"/>
      <c r="H17" s="493"/>
      <c r="I17" s="488">
        <f t="shared" si="1"/>
        <v>37</v>
      </c>
      <c r="J17" s="493"/>
      <c r="K17" s="487"/>
      <c r="L17" s="493"/>
      <c r="M17" s="487"/>
      <c r="N17" s="487"/>
      <c r="O17" s="493"/>
      <c r="P17" s="493"/>
      <c r="Q17" s="493"/>
      <c r="R17" s="494"/>
      <c r="S17" s="493"/>
      <c r="T17" s="493"/>
      <c r="U17" s="487">
        <f t="shared" si="2"/>
        <v>14</v>
      </c>
      <c r="V17" s="487" t="b">
        <v>0</v>
      </c>
    </row>
    <row r="18" spans="1:22" x14ac:dyDescent="0.3">
      <c r="A18" s="487" t="b">
        <v>0</v>
      </c>
      <c r="B18" s="488">
        <f t="shared" si="0"/>
        <v>2</v>
      </c>
      <c r="C18" s="487" t="s">
        <v>6964</v>
      </c>
      <c r="D18" s="490"/>
      <c r="E18" s="491"/>
      <c r="F18" s="492"/>
      <c r="G18" s="493"/>
      <c r="H18" s="493"/>
      <c r="I18" s="488">
        <f t="shared" si="1"/>
        <v>39</v>
      </c>
      <c r="J18" s="493"/>
      <c r="K18" s="487"/>
      <c r="L18" s="493"/>
      <c r="M18" s="487"/>
      <c r="N18" s="487"/>
      <c r="O18" s="493"/>
      <c r="P18" s="493"/>
      <c r="Q18" s="493"/>
      <c r="R18" s="494"/>
      <c r="S18" s="493"/>
      <c r="T18" s="493"/>
      <c r="U18" s="487">
        <f t="shared" si="2"/>
        <v>15</v>
      </c>
      <c r="V18" s="487" t="b">
        <v>0</v>
      </c>
    </row>
    <row r="19" spans="1:22" ht="109.2" x14ac:dyDescent="0.3">
      <c r="A19" s="487" t="b">
        <f t="shared" ref="A19:A33" ca="1" si="3">IF(AND(OR(L19&lt;&gt;"",M19&lt;&gt;""),OR(D19&lt;&gt;"",E19&lt;&gt;"",F19&lt;&gt;"")),TRUE,FALSE)</f>
        <v>1</v>
      </c>
      <c r="B19" s="488">
        <f t="shared" si="0"/>
        <v>3</v>
      </c>
      <c r="C19" s="500" t="str">
        <f>IFERROR(INDEX(C$2:C19,B19,1),"")</f>
        <v>a1I3p00000JOgmwEAD</v>
      </c>
      <c r="D19" s="490" t="str">
        <f t="shared" ref="D19:D33" ca="1" si="4">IFERROR(IF(INDIRECT("'Impact Indicators - Section B '!E"&amp;$I19)=0,"",INDIRECT("'Impact Indicators - Section B '!E"&amp;$I19)*100),"")</f>
        <v/>
      </c>
      <c r="E19" s="491" t="str">
        <f t="shared" ref="E19:E33" ca="1" si="5">IFERROR(IF(INDIRECT("'Impact Indicators - Section B '!D"&amp;$I19+1)=0,"",INDIRECT("'Impact Indicators - Section B '!D"&amp;$I19+1)),"")</f>
        <v/>
      </c>
      <c r="F19" s="492">
        <f t="shared" ref="F19:F33" ca="1" si="6">IFERROR(IF(INDIRECT("'Impact Indicators - Section B '!D"&amp;$I19)=0,"",INDIRECT("'Impact Indicators - Section B '!D"&amp;$I19)),"")</f>
        <v>12187</v>
      </c>
      <c r="G19" s="493" t="str">
        <f t="shared" ref="G19:G33" ca="1" si="7">IFERROR(IF(INDIRECT("'Impact Indicators - Section B '!AC"&amp;$I19)=0,"",INDIRECT("'Impact Indicators - Section B '!AC"&amp;$I19)),"")</f>
        <v>Spectrum 2020</v>
      </c>
      <c r="H19" s="493">
        <f t="shared" ref="H19:H33" ca="1" si="8">IFERROR(IF(INDIRECT("'Impact Indicators - Section B '!F"&amp;$I19)=0,"",INDIRECT("'Impact Indicators - Section B '!F"&amp;$I19)),"")</f>
        <v>2019</v>
      </c>
      <c r="I19" s="488">
        <f t="shared" si="1"/>
        <v>9</v>
      </c>
      <c r="J19" s="493" t="str">
        <f t="shared" ref="J19:J33" ca="1" si="9">IFERROR(IF(INDIRECT("'Impact Indicators - Section B '!AD"&amp;$I19)=0,"",INDIRECT("'Impact Indicators - Section B '!AD"&amp;$I19)),"")</f>
        <v>The 2021-2025 NSP targets for new infections are 9,166 in 2021, 7,670 in 2022 and 6,174 in 2023.
Data will be collected from spectrum.
Reporting will be done in 2022 and 2023 for the targets of 2021 and 2022.</v>
      </c>
      <c r="K19" s="487" t="str">
        <f t="shared" ref="K19:K33" ca="1" si="10">IFERROR(IF(INDIRECT("'Impact Indicators - Section B '!J"&amp;$I19)=0,"",INDIRECT("'Impact Indicators - Section B '!J"&amp;$I19)),"")</f>
        <v>Côte d'Ivoire</v>
      </c>
      <c r="L19" s="493" t="str">
        <f t="shared" ref="L19:L33" ca="1" si="11">IFERROR(IF(INDIRECT("'Impact Indicators - Section B '!AB"&amp;$I19)=0,"",INDIRECT("'Impact Indicators - Section B '!AB"&amp;$I19)),"")</f>
        <v/>
      </c>
      <c r="M19" s="487" t="str">
        <f ca="1">IFERROR(VLOOKUP(INDIRECT("'Impact Indicators - Section B '!AH"&amp;$I19),'Reference Records'!$G$4:$H$16,2,0),"")</f>
        <v>IOR-00080</v>
      </c>
      <c r="N19" s="487"/>
      <c r="O19" s="493" t="str">
        <f ca="1">IFERROR(VLOOKUP(INDIRECT("'Impact Indicators - Section B '!I"&amp;$I19),'Overview - Section A'!M$29:P56,4,0),IFERROR(VLOOKUP(INDIRECT("'Impact Indicators - Section B '!I"&amp;$I19),'Overview - Section A'!E$26:I44,5,0),""))</f>
        <v>a123p000005UjbKAAS</v>
      </c>
      <c r="P19" s="493" t="str">
        <f t="shared" ref="P19:P33" ca="1" si="12">IFERROR(IF(INDIRECT("'Impact Indicators - Section B '!C"&amp;$I19)=0,"",INDIRECT("'Impact Indicators - Section B '!C"&amp;$I19)),"")</f>
        <v/>
      </c>
      <c r="Q19" s="493" t="str">
        <f t="shared" ref="Q19:Q33" ca="1" si="13">IFERROR(IF(INDIRECT("'Impact Indicators - Section B '!G"&amp;$I19)=0,"",INDIRECT("'Impact Indicators - Section B '!G"&amp;$I19)),"")</f>
        <v>Spectrum 2020</v>
      </c>
      <c r="R19" s="494" t="str">
        <f t="shared" ref="R19:R33" ca="1" si="14">IFERROR(IF(INDIRECT("'Impact Indicators - Section B '!AA"&amp;$I19)=0,"",INDIRECT("'Impact Indicators - Section B '!AA"&amp;$I19)),"")</f>
        <v xml:space="preserve">Les cibles du PSN 2021-2025 des nouvelles infections sont 9 166 en 2021, 7670 en 2022 et 6174 en 2023. 
Les données seront collectées à partir de spectrum 
Le rapportage se fera en 2022 et 2023 pour les cibles de 2021 et 2022. </v>
      </c>
      <c r="S19" s="493"/>
      <c r="T19" s="493"/>
      <c r="U19" s="487">
        <f t="shared" si="2"/>
        <v>0</v>
      </c>
      <c r="V19" s="487"/>
    </row>
    <row r="20" spans="1:22" ht="109.2" x14ac:dyDescent="0.3">
      <c r="A20" s="487" t="b">
        <f t="shared" ca="1" si="3"/>
        <v>1</v>
      </c>
      <c r="B20" s="488">
        <f t="shared" si="0"/>
        <v>4</v>
      </c>
      <c r="C20" s="500" t="str">
        <f>IFERROR(INDEX(C$2:C20,B20,1),"")</f>
        <v>a1I3p00000JOgmxEAD</v>
      </c>
      <c r="D20" s="490" t="str">
        <f t="shared" ca="1" si="4"/>
        <v/>
      </c>
      <c r="E20" s="491" t="str">
        <f t="shared" ca="1" si="5"/>
        <v/>
      </c>
      <c r="F20" s="492">
        <f t="shared" ca="1" si="6"/>
        <v>12893</v>
      </c>
      <c r="G20" s="493" t="str">
        <f t="shared" ca="1" si="7"/>
        <v>Spectrum 2020</v>
      </c>
      <c r="H20" s="493">
        <f t="shared" ca="1" si="8"/>
        <v>2019</v>
      </c>
      <c r="I20" s="488">
        <f t="shared" si="1"/>
        <v>11</v>
      </c>
      <c r="J20" s="493" t="str">
        <f t="shared" ca="1" si="9"/>
        <v>The 2021-2025 NSP targets of AIDS deaths are 9,849 in 2021, 9,352 in 2022 and 8,973 in 2023.
Reporting will be done in 2022 and 2023 for the targets of 2021 and 2022.
Data will be collected from spectrum.</v>
      </c>
      <c r="K20" s="487" t="str">
        <f t="shared" ca="1" si="10"/>
        <v>Côte d'Ivoire</v>
      </c>
      <c r="L20" s="493" t="str">
        <f t="shared" ca="1" si="11"/>
        <v/>
      </c>
      <c r="M20" s="487" t="str">
        <f ca="1">IFERROR(VLOOKUP(INDIRECT("'Impact Indicators - Section B '!AH"&amp;$I20),'Reference Records'!$G$4:$H$16,2,0),"")</f>
        <v>IOR-00081</v>
      </c>
      <c r="N20" s="487"/>
      <c r="O20" s="493" t="str">
        <f ca="1">IFERROR(VLOOKUP(INDIRECT("'Impact Indicators - Section B '!I"&amp;$I20),'Overview - Section A'!M$29:P57,4,0),IFERROR(VLOOKUP(INDIRECT("'Impact Indicators - Section B '!I"&amp;$I20),'Overview - Section A'!E$26:I45,5,0),""))</f>
        <v>a123p000005UjbKAAS</v>
      </c>
      <c r="P20" s="493" t="str">
        <f t="shared" ca="1" si="12"/>
        <v/>
      </c>
      <c r="Q20" s="493" t="str">
        <f t="shared" ca="1" si="13"/>
        <v>Spectrum 2020</v>
      </c>
      <c r="R20" s="494" t="str">
        <f t="shared" ca="1" si="14"/>
        <v xml:space="preserve">Les cibles du PSN 2021-2025 des décès dûs au sida sont 9849 en 2021, 9352 en 2022 et 8973 en 2023. 
Le rapportage se fera en 2022 et 2023 pour les cibles de 2021 et 2022. 
Les données seront collectées à partir de spectrum  </v>
      </c>
      <c r="S20" s="493"/>
      <c r="T20" s="493"/>
      <c r="U20" s="487">
        <f t="shared" si="2"/>
        <v>0</v>
      </c>
      <c r="V20" s="487"/>
    </row>
    <row r="21" spans="1:22" ht="140.4" x14ac:dyDescent="0.3">
      <c r="A21" s="487" t="b">
        <f t="shared" ca="1" si="3"/>
        <v>1</v>
      </c>
      <c r="B21" s="488">
        <f t="shared" si="0"/>
        <v>5</v>
      </c>
      <c r="C21" s="500" t="str">
        <f>IFERROR(INDEX(C$2:C21,B21,1),"")</f>
        <v>a1I3p00000JOgmyEAD</v>
      </c>
      <c r="D21" s="490">
        <f t="shared" ca="1" si="4"/>
        <v>10.130000000000001</v>
      </c>
      <c r="E21" s="491" t="str">
        <f t="shared" ca="1" si="5"/>
        <v/>
      </c>
      <c r="F21" s="492" t="str">
        <f t="shared" ca="1" si="6"/>
        <v/>
      </c>
      <c r="G21" s="493" t="str">
        <f t="shared" ca="1" si="7"/>
        <v>Spectrum 2020</v>
      </c>
      <c r="H21" s="493">
        <f t="shared" ca="1" si="8"/>
        <v>2019</v>
      </c>
      <c r="I21" s="488">
        <f t="shared" si="1"/>
        <v>13</v>
      </c>
      <c r="J21" s="493" t="str">
        <f t="shared" ca="1" si="9"/>
        <v>The NSP targets for the mother-to-child HIV transmission rate including breastfeeding period are 6.05% in 2021, 5.04% in 2022 and 4.02% in 2023.
Reporting will be done in 2022 and 2023 for the targets of 2021 and 2022.
Data will be collected from spectrum.</v>
      </c>
      <c r="K21" s="487" t="str">
        <f t="shared" ca="1" si="10"/>
        <v>Côte d'Ivoire</v>
      </c>
      <c r="L21" s="493" t="str">
        <f t="shared" ca="1" si="11"/>
        <v/>
      </c>
      <c r="M21" s="487" t="str">
        <f ca="1">IFERROR(VLOOKUP(INDIRECT("'Impact Indicators - Section B '!AH"&amp;$I21),'Reference Records'!$G$4:$H$16,2,0),"")</f>
        <v>IOR-00082</v>
      </c>
      <c r="N21" s="487"/>
      <c r="O21" s="493" t="str">
        <f ca="1">IFERROR(VLOOKUP(INDIRECT("'Impact Indicators - Section B '!I"&amp;$I21),'Overview - Section A'!M$29:P58,4,0),IFERROR(VLOOKUP(INDIRECT("'Impact Indicators - Section B '!I"&amp;$I21),'Overview - Section A'!E$26:I46,5,0),""))</f>
        <v>a123p000005UjbKAAS</v>
      </c>
      <c r="P21" s="493" t="str">
        <f t="shared" ca="1" si="12"/>
        <v/>
      </c>
      <c r="Q21" s="493" t="str">
        <f t="shared" ca="1" si="13"/>
        <v>Spectrum 2020</v>
      </c>
      <c r="R21" s="494" t="str">
        <f t="shared" ca="1" si="14"/>
        <v xml:space="preserve">Les cibles du PSN du taux de transmissiondu VIH de la mère à l'enfant y compris la période d'allaitement sont de 6,05% en 2021, 5,04% en 2022 et 4,02% en 2023. 
Le rapportage se fera en 2022 et 2023 pour les cibles de 2021 et 2022. 
Les données seront collectées à partir de spectrum  </v>
      </c>
      <c r="S21" s="493"/>
      <c r="T21" s="493"/>
      <c r="U21" s="487">
        <f t="shared" si="2"/>
        <v>0</v>
      </c>
      <c r="V21" s="487"/>
    </row>
    <row r="22" spans="1:22" ht="218.4" x14ac:dyDescent="0.3">
      <c r="A22" s="487" t="b">
        <f t="shared" ca="1" si="3"/>
        <v>1</v>
      </c>
      <c r="B22" s="488">
        <f t="shared" si="0"/>
        <v>6</v>
      </c>
      <c r="C22" s="500" t="str">
        <f>IFERROR(INDEX(C$2:C22,B22,1),"")</f>
        <v>a1I3p00000JOgmzEAD</v>
      </c>
      <c r="D22" s="490" t="str">
        <f t="shared" ca="1" si="4"/>
        <v/>
      </c>
      <c r="E22" s="491" t="str">
        <f t="shared" ca="1" si="5"/>
        <v/>
      </c>
      <c r="F22" s="492">
        <f t="shared" ca="1" si="6"/>
        <v>10</v>
      </c>
      <c r="G22" s="493" t="str">
        <f t="shared" ca="1" si="7"/>
        <v>Data are extracted from the WHO website (www.who.int/tb/data)
WHO country profile</v>
      </c>
      <c r="H22" s="493">
        <f t="shared" ca="1" si="8"/>
        <v>2018</v>
      </c>
      <c r="I22" s="488">
        <f t="shared" si="1"/>
        <v>15</v>
      </c>
      <c r="J22" s="493" t="str">
        <f t="shared" ca="1" si="9"/>
        <v>The basic data gives 10 deaths per 100,000 inhabitants, ie 2,500 deaths for 24,867,843. According to the 2021-2025 NSP, HIV-related mortality must be reduced by 50%. 8 deaths are projected in 2021, 8 deaths in 2022 and 7 deaths in 2023 per 100,000 inhabitants.
Reporting will be done in 2022 and 2023 for the targets of 2021 and 2022.
Data will be populated from the WHO country profile.</v>
      </c>
      <c r="K22" s="487" t="str">
        <f t="shared" ca="1" si="10"/>
        <v>Côte d'Ivoire</v>
      </c>
      <c r="L22" s="493" t="str">
        <f t="shared" ca="1" si="11"/>
        <v/>
      </c>
      <c r="M22" s="487" t="str">
        <f ca="1">IFERROR(VLOOKUP(INDIRECT("'Impact Indicators - Section B '!AH"&amp;$I22),'Reference Records'!$G$4:$H$16,2,0),"")</f>
        <v>IOR-00091</v>
      </c>
      <c r="N22" s="487"/>
      <c r="O22" s="493" t="str">
        <f ca="1">IFERROR(VLOOKUP(INDIRECT("'Impact Indicators - Section B '!I"&amp;$I22),'Overview - Section A'!M$29:P59,4,0),IFERROR(VLOOKUP(INDIRECT("'Impact Indicators - Section B '!I"&amp;$I22),'Overview - Section A'!E$26:I47,5,0),""))</f>
        <v>a123p000005UjbKAAS</v>
      </c>
      <c r="P22" s="493" t="str">
        <f t="shared" ca="1" si="12"/>
        <v/>
      </c>
      <c r="Q22" s="493" t="str">
        <f t="shared" ca="1" si="13"/>
        <v xml:space="preserve">Les données sont extraites du site de l'OMS (www.who.int/tb/data)
Profil pays OMS </v>
      </c>
      <c r="R22" s="494" t="str">
        <f t="shared" ca="1" si="14"/>
        <v xml:space="preserve">Les données de base donne 10 décès pour 100 000 habitants soit 2 500 décès pour 24 867 843. Selon le PSN 2021-2025, il faut réduire de 50% la mortalité liée au VIH. Les projections donnent 8 décès pour 2021, 8 décès pour 2022 et 7 décès en 2023 pour 100 000 habitants
Le rapportage se fera en 2022 et 2023 pour les cibles de 2021 et 2022. 
Les données seront renseignées à partir du profil pays de l'OMS . 
</v>
      </c>
      <c r="S22" s="493"/>
      <c r="T22" s="493"/>
      <c r="U22" s="487">
        <f t="shared" si="2"/>
        <v>0</v>
      </c>
      <c r="V22" s="487"/>
    </row>
    <row r="23" spans="1:22" x14ac:dyDescent="0.3">
      <c r="A23" s="487" t="b">
        <f t="shared" ca="1" si="3"/>
        <v>0</v>
      </c>
      <c r="B23" s="488">
        <f t="shared" si="0"/>
        <v>7</v>
      </c>
      <c r="C23" s="500" t="str">
        <f>IFERROR(INDEX(C$2:C23,B23,1),"")</f>
        <v>a1I3p00000JOgn0EAD</v>
      </c>
      <c r="D23" s="490" t="str">
        <f t="shared" ca="1" si="4"/>
        <v/>
      </c>
      <c r="E23" s="491" t="str">
        <f t="shared" ca="1" si="5"/>
        <v/>
      </c>
      <c r="F23" s="492" t="str">
        <f t="shared" ca="1" si="6"/>
        <v/>
      </c>
      <c r="G23" s="493" t="str">
        <f t="shared" ca="1" si="7"/>
        <v/>
      </c>
      <c r="H23" s="493" t="str">
        <f t="shared" ca="1" si="8"/>
        <v/>
      </c>
      <c r="I23" s="488">
        <f t="shared" si="1"/>
        <v>17</v>
      </c>
      <c r="J23" s="493" t="str">
        <f t="shared" ca="1" si="9"/>
        <v/>
      </c>
      <c r="K23" s="487" t="str">
        <f t="shared" ca="1" si="10"/>
        <v/>
      </c>
      <c r="L23" s="493" t="str">
        <f t="shared" ca="1" si="11"/>
        <v/>
      </c>
      <c r="M23" s="487" t="str">
        <f ca="1">IFERROR(VLOOKUP(INDIRECT("'Impact Indicators - Section B '!AH"&amp;$I23),'Reference Records'!$G$4:$H$16,2,0),"")</f>
        <v/>
      </c>
      <c r="N23" s="487"/>
      <c r="O23" s="493" t="str">
        <f ca="1">IFERROR(VLOOKUP(INDIRECT("'Impact Indicators - Section B '!I"&amp;$I23),'Overview - Section A'!M$29:P60,4,0),IFERROR(VLOOKUP(INDIRECT("'Impact Indicators - Section B '!I"&amp;$I23),'Overview - Section A'!E$26:I48,5,0),""))</f>
        <v/>
      </c>
      <c r="P23" s="493" t="str">
        <f t="shared" ca="1" si="12"/>
        <v/>
      </c>
      <c r="Q23" s="493" t="str">
        <f t="shared" ca="1" si="13"/>
        <v/>
      </c>
      <c r="R23" s="494" t="str">
        <f t="shared" ca="1" si="14"/>
        <v/>
      </c>
      <c r="S23" s="493"/>
      <c r="T23" s="493"/>
      <c r="U23" s="487">
        <f t="shared" si="2"/>
        <v>0</v>
      </c>
      <c r="V23" s="487"/>
    </row>
    <row r="24" spans="1:22" x14ac:dyDescent="0.3">
      <c r="A24" s="487" t="b">
        <f t="shared" ca="1" si="3"/>
        <v>0</v>
      </c>
      <c r="B24" s="488">
        <f t="shared" si="0"/>
        <v>8</v>
      </c>
      <c r="C24" s="500" t="str">
        <f>IFERROR(INDEX(C$2:C24,B24,1),"")</f>
        <v>a1I3p00000JOgn1EAD</v>
      </c>
      <c r="D24" s="490" t="str">
        <f t="shared" ca="1" si="4"/>
        <v/>
      </c>
      <c r="E24" s="491" t="str">
        <f t="shared" ca="1" si="5"/>
        <v/>
      </c>
      <c r="F24" s="492" t="str">
        <f t="shared" ca="1" si="6"/>
        <v/>
      </c>
      <c r="G24" s="493" t="str">
        <f t="shared" ca="1" si="7"/>
        <v/>
      </c>
      <c r="H24" s="493" t="str">
        <f t="shared" ca="1" si="8"/>
        <v/>
      </c>
      <c r="I24" s="488">
        <f t="shared" si="1"/>
        <v>19</v>
      </c>
      <c r="J24" s="493" t="str">
        <f t="shared" ca="1" si="9"/>
        <v/>
      </c>
      <c r="K24" s="487" t="str">
        <f t="shared" ca="1" si="10"/>
        <v/>
      </c>
      <c r="L24" s="493" t="str">
        <f t="shared" ca="1" si="11"/>
        <v/>
      </c>
      <c r="M24" s="487" t="str">
        <f ca="1">IFERROR(VLOOKUP(INDIRECT("'Impact Indicators - Section B '!AH"&amp;$I24),'Reference Records'!$G$4:$H$16,2,0),"")</f>
        <v/>
      </c>
      <c r="N24" s="487"/>
      <c r="O24" s="493" t="str">
        <f ca="1">IFERROR(VLOOKUP(INDIRECT("'Impact Indicators - Section B '!I"&amp;$I24),'Overview - Section A'!M$29:P61,4,0),IFERROR(VLOOKUP(INDIRECT("'Impact Indicators - Section B '!I"&amp;$I24),'Overview - Section A'!E$26:I49,5,0),""))</f>
        <v/>
      </c>
      <c r="P24" s="493" t="str">
        <f t="shared" ca="1" si="12"/>
        <v/>
      </c>
      <c r="Q24" s="493" t="str">
        <f t="shared" ca="1" si="13"/>
        <v/>
      </c>
      <c r="R24" s="494" t="str">
        <f t="shared" ca="1" si="14"/>
        <v/>
      </c>
      <c r="S24" s="493"/>
      <c r="T24" s="493"/>
      <c r="U24" s="487">
        <f t="shared" si="2"/>
        <v>0</v>
      </c>
      <c r="V24" s="487"/>
    </row>
    <row r="25" spans="1:22" x14ac:dyDescent="0.3">
      <c r="A25" s="487" t="b">
        <f t="shared" ca="1" si="3"/>
        <v>0</v>
      </c>
      <c r="B25" s="488">
        <f t="shared" si="0"/>
        <v>9</v>
      </c>
      <c r="C25" s="500" t="str">
        <f>IFERROR(INDEX(C$2:C25,B25,1),"")</f>
        <v>a1I3p00000JOgn2EAD</v>
      </c>
      <c r="D25" s="490" t="str">
        <f t="shared" ca="1" si="4"/>
        <v/>
      </c>
      <c r="E25" s="491" t="str">
        <f t="shared" ca="1" si="5"/>
        <v/>
      </c>
      <c r="F25" s="492" t="str">
        <f t="shared" ca="1" si="6"/>
        <v/>
      </c>
      <c r="G25" s="493" t="str">
        <f t="shared" ca="1" si="7"/>
        <v/>
      </c>
      <c r="H25" s="493" t="str">
        <f t="shared" ca="1" si="8"/>
        <v/>
      </c>
      <c r="I25" s="488">
        <f t="shared" si="1"/>
        <v>21</v>
      </c>
      <c r="J25" s="493" t="str">
        <f t="shared" ca="1" si="9"/>
        <v/>
      </c>
      <c r="K25" s="487" t="str">
        <f t="shared" ca="1" si="10"/>
        <v/>
      </c>
      <c r="L25" s="493" t="str">
        <f t="shared" ca="1" si="11"/>
        <v/>
      </c>
      <c r="M25" s="487" t="str">
        <f ca="1">IFERROR(VLOOKUP(INDIRECT("'Impact Indicators - Section B '!AH"&amp;$I25),'Reference Records'!$G$4:$H$16,2,0),"")</f>
        <v/>
      </c>
      <c r="N25" s="487"/>
      <c r="O25" s="493" t="str">
        <f ca="1">IFERROR(VLOOKUP(INDIRECT("'Impact Indicators - Section B '!I"&amp;$I25),'Overview - Section A'!M$29:P62,4,0),IFERROR(VLOOKUP(INDIRECT("'Impact Indicators - Section B '!I"&amp;$I25),'Overview - Section A'!E$26:I50,5,0),""))</f>
        <v/>
      </c>
      <c r="P25" s="493" t="str">
        <f t="shared" ca="1" si="12"/>
        <v/>
      </c>
      <c r="Q25" s="493" t="str">
        <f t="shared" ca="1" si="13"/>
        <v/>
      </c>
      <c r="R25" s="494" t="str">
        <f t="shared" ca="1" si="14"/>
        <v/>
      </c>
      <c r="S25" s="493"/>
      <c r="T25" s="493"/>
      <c r="U25" s="487">
        <f t="shared" si="2"/>
        <v>0</v>
      </c>
      <c r="V25" s="487"/>
    </row>
    <row r="26" spans="1:22" x14ac:dyDescent="0.3">
      <c r="A26" s="487" t="b">
        <f t="shared" ca="1" si="3"/>
        <v>0</v>
      </c>
      <c r="B26" s="488">
        <f t="shared" si="0"/>
        <v>10</v>
      </c>
      <c r="C26" s="500" t="str">
        <f>IFERROR(INDEX(C$2:C26,B26,1),"")</f>
        <v>a1I3p00000JOgn3EAD</v>
      </c>
      <c r="D26" s="490" t="str">
        <f t="shared" ca="1" si="4"/>
        <v/>
      </c>
      <c r="E26" s="491" t="str">
        <f t="shared" ca="1" si="5"/>
        <v/>
      </c>
      <c r="F26" s="492" t="str">
        <f t="shared" ca="1" si="6"/>
        <v/>
      </c>
      <c r="G26" s="493" t="str">
        <f t="shared" ca="1" si="7"/>
        <v/>
      </c>
      <c r="H26" s="493" t="str">
        <f t="shared" ca="1" si="8"/>
        <v/>
      </c>
      <c r="I26" s="488">
        <f t="shared" si="1"/>
        <v>23</v>
      </c>
      <c r="J26" s="493" t="str">
        <f t="shared" ca="1" si="9"/>
        <v/>
      </c>
      <c r="K26" s="487" t="str">
        <f t="shared" ca="1" si="10"/>
        <v/>
      </c>
      <c r="L26" s="493" t="str">
        <f t="shared" ca="1" si="11"/>
        <v/>
      </c>
      <c r="M26" s="487" t="str">
        <f ca="1">IFERROR(VLOOKUP(INDIRECT("'Impact Indicators - Section B '!AH"&amp;$I26),'Reference Records'!$G$4:$H$16,2,0),"")</f>
        <v/>
      </c>
      <c r="N26" s="487"/>
      <c r="O26" s="493" t="str">
        <f ca="1">IFERROR(VLOOKUP(INDIRECT("'Impact Indicators - Section B '!I"&amp;$I26),'Overview - Section A'!M$29:P63,4,0),IFERROR(VLOOKUP(INDIRECT("'Impact Indicators - Section B '!I"&amp;$I26),'Overview - Section A'!E$26:I51,5,0),""))</f>
        <v/>
      </c>
      <c r="P26" s="493" t="str">
        <f t="shared" ca="1" si="12"/>
        <v/>
      </c>
      <c r="Q26" s="493" t="str">
        <f t="shared" ca="1" si="13"/>
        <v/>
      </c>
      <c r="R26" s="494" t="str">
        <f t="shared" ca="1" si="14"/>
        <v/>
      </c>
      <c r="S26" s="493"/>
      <c r="T26" s="493"/>
      <c r="U26" s="487">
        <f t="shared" si="2"/>
        <v>0</v>
      </c>
      <c r="V26" s="487"/>
    </row>
    <row r="27" spans="1:22" x14ac:dyDescent="0.3">
      <c r="A27" s="487" t="b">
        <f t="shared" ca="1" si="3"/>
        <v>0</v>
      </c>
      <c r="B27" s="488">
        <f t="shared" si="0"/>
        <v>11</v>
      </c>
      <c r="C27" s="500" t="str">
        <f>IFERROR(INDEX(C$2:C27,B27,1),"")</f>
        <v>a1I3p00000JOgn4EAD</v>
      </c>
      <c r="D27" s="490" t="str">
        <f t="shared" ca="1" si="4"/>
        <v/>
      </c>
      <c r="E27" s="491" t="str">
        <f t="shared" ca="1" si="5"/>
        <v/>
      </c>
      <c r="F27" s="492" t="str">
        <f t="shared" ca="1" si="6"/>
        <v/>
      </c>
      <c r="G27" s="493" t="str">
        <f t="shared" ca="1" si="7"/>
        <v/>
      </c>
      <c r="H27" s="493" t="str">
        <f t="shared" ca="1" si="8"/>
        <v/>
      </c>
      <c r="I27" s="488">
        <f t="shared" si="1"/>
        <v>25</v>
      </c>
      <c r="J27" s="493" t="str">
        <f t="shared" ca="1" si="9"/>
        <v/>
      </c>
      <c r="K27" s="487" t="str">
        <f t="shared" ca="1" si="10"/>
        <v/>
      </c>
      <c r="L27" s="493" t="str">
        <f t="shared" ca="1" si="11"/>
        <v/>
      </c>
      <c r="M27" s="487" t="str">
        <f ca="1">IFERROR(VLOOKUP(INDIRECT("'Impact Indicators - Section B '!AH"&amp;$I27),'Reference Records'!$G$4:$H$16,2,0),"")</f>
        <v/>
      </c>
      <c r="N27" s="487"/>
      <c r="O27" s="493" t="str">
        <f ca="1">IFERROR(VLOOKUP(INDIRECT("'Impact Indicators - Section B '!I"&amp;$I27),'Overview - Section A'!M$29:P64,4,0),IFERROR(VLOOKUP(INDIRECT("'Impact Indicators - Section B '!I"&amp;$I27),'Overview - Section A'!E$26:I52,5,0),""))</f>
        <v/>
      </c>
      <c r="P27" s="493" t="str">
        <f t="shared" ca="1" si="12"/>
        <v/>
      </c>
      <c r="Q27" s="493" t="str">
        <f t="shared" ca="1" si="13"/>
        <v/>
      </c>
      <c r="R27" s="494" t="str">
        <f t="shared" ca="1" si="14"/>
        <v/>
      </c>
      <c r="S27" s="493"/>
      <c r="T27" s="493"/>
      <c r="U27" s="487">
        <f t="shared" si="2"/>
        <v>0</v>
      </c>
      <c r="V27" s="487"/>
    </row>
    <row r="28" spans="1:22" x14ac:dyDescent="0.3">
      <c r="A28" s="487" t="b">
        <f t="shared" ca="1" si="3"/>
        <v>0</v>
      </c>
      <c r="B28" s="488">
        <f t="shared" si="0"/>
        <v>12</v>
      </c>
      <c r="C28" s="500" t="str">
        <f>IFERROR(INDEX(C$2:C28,B28,1),"")</f>
        <v>a1I3p00000JOgn5EAD</v>
      </c>
      <c r="D28" s="490" t="str">
        <f t="shared" ca="1" si="4"/>
        <v/>
      </c>
      <c r="E28" s="491" t="str">
        <f t="shared" ca="1" si="5"/>
        <v/>
      </c>
      <c r="F28" s="492" t="str">
        <f t="shared" ca="1" si="6"/>
        <v/>
      </c>
      <c r="G28" s="493" t="str">
        <f t="shared" ca="1" si="7"/>
        <v/>
      </c>
      <c r="H28" s="493" t="str">
        <f t="shared" ca="1" si="8"/>
        <v/>
      </c>
      <c r="I28" s="488">
        <f t="shared" si="1"/>
        <v>27</v>
      </c>
      <c r="J28" s="493" t="str">
        <f t="shared" ca="1" si="9"/>
        <v/>
      </c>
      <c r="K28" s="487" t="str">
        <f t="shared" ca="1" si="10"/>
        <v/>
      </c>
      <c r="L28" s="493" t="str">
        <f t="shared" ca="1" si="11"/>
        <v/>
      </c>
      <c r="M28" s="487" t="str">
        <f ca="1">IFERROR(VLOOKUP(INDIRECT("'Impact Indicators - Section B '!AH"&amp;$I28),'Reference Records'!$G$4:$H$16,2,0),"")</f>
        <v/>
      </c>
      <c r="N28" s="487"/>
      <c r="O28" s="493" t="str">
        <f ca="1">IFERROR(VLOOKUP(INDIRECT("'Impact Indicators - Section B '!I"&amp;$I28),'Overview - Section A'!M$29:P65,4,0),IFERROR(VLOOKUP(INDIRECT("'Impact Indicators - Section B '!I"&amp;$I28),'Overview - Section A'!E$26:I53,5,0),""))</f>
        <v/>
      </c>
      <c r="P28" s="493" t="str">
        <f t="shared" ca="1" si="12"/>
        <v/>
      </c>
      <c r="Q28" s="493" t="str">
        <f t="shared" ca="1" si="13"/>
        <v/>
      </c>
      <c r="R28" s="494" t="str">
        <f t="shared" ca="1" si="14"/>
        <v/>
      </c>
      <c r="S28" s="493"/>
      <c r="T28" s="493"/>
      <c r="U28" s="487">
        <f t="shared" si="2"/>
        <v>0</v>
      </c>
      <c r="V28" s="487"/>
    </row>
    <row r="29" spans="1:22" x14ac:dyDescent="0.3">
      <c r="A29" s="487" t="b">
        <f t="shared" ca="1" si="3"/>
        <v>0</v>
      </c>
      <c r="B29" s="488">
        <f t="shared" si="0"/>
        <v>13</v>
      </c>
      <c r="C29" s="500" t="str">
        <f>IFERROR(INDEX(C$2:C29,B29,1),"")</f>
        <v>a1I3p00000JOgn6EAD</v>
      </c>
      <c r="D29" s="490" t="str">
        <f t="shared" ca="1" si="4"/>
        <v/>
      </c>
      <c r="E29" s="491" t="str">
        <f t="shared" ca="1" si="5"/>
        <v/>
      </c>
      <c r="F29" s="492" t="str">
        <f t="shared" ca="1" si="6"/>
        <v/>
      </c>
      <c r="G29" s="493" t="str">
        <f t="shared" ca="1" si="7"/>
        <v/>
      </c>
      <c r="H29" s="493" t="str">
        <f t="shared" ca="1" si="8"/>
        <v/>
      </c>
      <c r="I29" s="488">
        <f t="shared" si="1"/>
        <v>29</v>
      </c>
      <c r="J29" s="493" t="str">
        <f t="shared" ca="1" si="9"/>
        <v/>
      </c>
      <c r="K29" s="487" t="str">
        <f t="shared" ca="1" si="10"/>
        <v/>
      </c>
      <c r="L29" s="493" t="str">
        <f t="shared" ca="1" si="11"/>
        <v/>
      </c>
      <c r="M29" s="487" t="str">
        <f ca="1">IFERROR(VLOOKUP(INDIRECT("'Impact Indicators - Section B '!AH"&amp;$I29),'Reference Records'!$G$4:$H$16,2,0),"")</f>
        <v/>
      </c>
      <c r="N29" s="487"/>
      <c r="O29" s="493" t="str">
        <f ca="1">IFERROR(VLOOKUP(INDIRECT("'Impact Indicators - Section B '!I"&amp;$I29),'Overview - Section A'!M$29:P66,4,0),IFERROR(VLOOKUP(INDIRECT("'Impact Indicators - Section B '!I"&amp;$I29),'Overview - Section A'!E$26:I54,5,0),""))</f>
        <v/>
      </c>
      <c r="P29" s="493" t="str">
        <f t="shared" ca="1" si="12"/>
        <v/>
      </c>
      <c r="Q29" s="493" t="str">
        <f t="shared" ca="1" si="13"/>
        <v/>
      </c>
      <c r="R29" s="494" t="str">
        <f t="shared" ca="1" si="14"/>
        <v/>
      </c>
      <c r="S29" s="493"/>
      <c r="T29" s="493"/>
      <c r="U29" s="487">
        <f t="shared" si="2"/>
        <v>0</v>
      </c>
      <c r="V29" s="487"/>
    </row>
    <row r="30" spans="1:22" x14ac:dyDescent="0.3">
      <c r="A30" s="487" t="b">
        <f t="shared" ca="1" si="3"/>
        <v>0</v>
      </c>
      <c r="B30" s="488">
        <f t="shared" si="0"/>
        <v>14</v>
      </c>
      <c r="C30" s="500" t="str">
        <f>IFERROR(INDEX(C$2:C30,B30,1),"")</f>
        <v>a1I3p00000JOgn7EAD</v>
      </c>
      <c r="D30" s="490" t="str">
        <f t="shared" ca="1" si="4"/>
        <v/>
      </c>
      <c r="E30" s="491" t="str">
        <f t="shared" ca="1" si="5"/>
        <v/>
      </c>
      <c r="F30" s="492" t="str">
        <f t="shared" ca="1" si="6"/>
        <v/>
      </c>
      <c r="G30" s="493" t="str">
        <f t="shared" ca="1" si="7"/>
        <v/>
      </c>
      <c r="H30" s="493" t="str">
        <f t="shared" ca="1" si="8"/>
        <v/>
      </c>
      <c r="I30" s="488">
        <f t="shared" si="1"/>
        <v>31</v>
      </c>
      <c r="J30" s="493" t="str">
        <f t="shared" ca="1" si="9"/>
        <v/>
      </c>
      <c r="K30" s="487" t="str">
        <f t="shared" ca="1" si="10"/>
        <v/>
      </c>
      <c r="L30" s="493" t="str">
        <f t="shared" ca="1" si="11"/>
        <v/>
      </c>
      <c r="M30" s="487" t="str">
        <f ca="1">IFERROR(VLOOKUP(INDIRECT("'Impact Indicators - Section B '!AH"&amp;$I30),'Reference Records'!$G$4:$H$16,2,0),"")</f>
        <v/>
      </c>
      <c r="N30" s="487"/>
      <c r="O30" s="493" t="str">
        <f ca="1">IFERROR(VLOOKUP(INDIRECT("'Impact Indicators - Section B '!I"&amp;$I30),'Overview - Section A'!M$29:P67,4,0),IFERROR(VLOOKUP(INDIRECT("'Impact Indicators - Section B '!I"&amp;$I30),'Overview - Section A'!E$26:I55,5,0),""))</f>
        <v/>
      </c>
      <c r="P30" s="493" t="str">
        <f t="shared" ca="1" si="12"/>
        <v/>
      </c>
      <c r="Q30" s="493" t="str">
        <f t="shared" ca="1" si="13"/>
        <v/>
      </c>
      <c r="R30" s="494" t="str">
        <f t="shared" ca="1" si="14"/>
        <v/>
      </c>
      <c r="S30" s="493"/>
      <c r="T30" s="493"/>
      <c r="U30" s="487">
        <f t="shared" si="2"/>
        <v>0</v>
      </c>
      <c r="V30" s="487"/>
    </row>
    <row r="31" spans="1:22" x14ac:dyDescent="0.3">
      <c r="A31" s="487" t="b">
        <f t="shared" ca="1" si="3"/>
        <v>0</v>
      </c>
      <c r="B31" s="488">
        <f t="shared" si="0"/>
        <v>15</v>
      </c>
      <c r="C31" s="500" t="str">
        <f>IFERROR(INDEX(C$2:C31,B31,1),"")</f>
        <v>a1I3p00000JOgn8EAD</v>
      </c>
      <c r="D31" s="490" t="str">
        <f t="shared" ca="1" si="4"/>
        <v/>
      </c>
      <c r="E31" s="491" t="str">
        <f t="shared" ca="1" si="5"/>
        <v/>
      </c>
      <c r="F31" s="492" t="str">
        <f t="shared" ca="1" si="6"/>
        <v/>
      </c>
      <c r="G31" s="493" t="str">
        <f t="shared" ca="1" si="7"/>
        <v/>
      </c>
      <c r="H31" s="493" t="str">
        <f t="shared" ca="1" si="8"/>
        <v/>
      </c>
      <c r="I31" s="488">
        <f t="shared" si="1"/>
        <v>33</v>
      </c>
      <c r="J31" s="493" t="str">
        <f t="shared" ca="1" si="9"/>
        <v/>
      </c>
      <c r="K31" s="487" t="str">
        <f t="shared" ca="1" si="10"/>
        <v/>
      </c>
      <c r="L31" s="493" t="str">
        <f t="shared" ca="1" si="11"/>
        <v/>
      </c>
      <c r="M31" s="487" t="str">
        <f ca="1">IFERROR(VLOOKUP(INDIRECT("'Impact Indicators - Section B '!AH"&amp;$I31),'Reference Records'!$G$4:$H$16,2,0),"")</f>
        <v/>
      </c>
      <c r="N31" s="487"/>
      <c r="O31" s="493" t="str">
        <f ca="1">IFERROR(VLOOKUP(INDIRECT("'Impact Indicators - Section B '!I"&amp;$I31),'Overview - Section A'!M$29:P68,4,0),IFERROR(VLOOKUP(INDIRECT("'Impact Indicators - Section B '!I"&amp;$I31),'Overview - Section A'!E$26:I56,5,0),""))</f>
        <v/>
      </c>
      <c r="P31" s="493" t="str">
        <f t="shared" ca="1" si="12"/>
        <v/>
      </c>
      <c r="Q31" s="493" t="str">
        <f t="shared" ca="1" si="13"/>
        <v/>
      </c>
      <c r="R31" s="494" t="str">
        <f t="shared" ca="1" si="14"/>
        <v/>
      </c>
      <c r="S31" s="493"/>
      <c r="T31" s="493"/>
      <c r="U31" s="487">
        <f t="shared" si="2"/>
        <v>0</v>
      </c>
      <c r="V31" s="487"/>
    </row>
    <row r="32" spans="1:22" x14ac:dyDescent="0.3">
      <c r="A32" s="487" t="b">
        <f t="shared" ca="1" si="3"/>
        <v>0</v>
      </c>
      <c r="B32" s="488">
        <f t="shared" si="0"/>
        <v>16</v>
      </c>
      <c r="C32" s="500" t="str">
        <f>IFERROR(INDEX(C$2:C32,B32,1),"")</f>
        <v>a1I3p00000JOgn9EAD</v>
      </c>
      <c r="D32" s="490" t="str">
        <f t="shared" ca="1" si="4"/>
        <v/>
      </c>
      <c r="E32" s="491" t="str">
        <f t="shared" ca="1" si="5"/>
        <v/>
      </c>
      <c r="F32" s="492" t="str">
        <f t="shared" ca="1" si="6"/>
        <v/>
      </c>
      <c r="G32" s="493" t="str">
        <f t="shared" ca="1" si="7"/>
        <v/>
      </c>
      <c r="H32" s="493" t="str">
        <f t="shared" ca="1" si="8"/>
        <v/>
      </c>
      <c r="I32" s="488">
        <f t="shared" si="1"/>
        <v>35</v>
      </c>
      <c r="J32" s="493" t="str">
        <f t="shared" ca="1" si="9"/>
        <v/>
      </c>
      <c r="K32" s="487" t="str">
        <f t="shared" ca="1" si="10"/>
        <v/>
      </c>
      <c r="L32" s="493" t="str">
        <f t="shared" ca="1" si="11"/>
        <v/>
      </c>
      <c r="M32" s="487" t="str">
        <f ca="1">IFERROR(VLOOKUP(INDIRECT("'Impact Indicators - Section B '!AH"&amp;$I32),'Reference Records'!$G$4:$H$16,2,0),"")</f>
        <v/>
      </c>
      <c r="N32" s="487"/>
      <c r="O32" s="493" t="str">
        <f ca="1">IFERROR(VLOOKUP(INDIRECT("'Impact Indicators - Section B '!I"&amp;$I32),'Overview - Section A'!M$29:P69,4,0),IFERROR(VLOOKUP(INDIRECT("'Impact Indicators - Section B '!I"&amp;$I32),'Overview - Section A'!E$26:I57,5,0),""))</f>
        <v/>
      </c>
      <c r="P32" s="493" t="str">
        <f t="shared" ca="1" si="12"/>
        <v/>
      </c>
      <c r="Q32" s="493" t="str">
        <f t="shared" ca="1" si="13"/>
        <v/>
      </c>
      <c r="R32" s="494" t="str">
        <f t="shared" ca="1" si="14"/>
        <v/>
      </c>
      <c r="S32" s="493"/>
      <c r="T32" s="493"/>
      <c r="U32" s="487">
        <f t="shared" si="2"/>
        <v>0</v>
      </c>
      <c r="V32" s="487"/>
    </row>
    <row r="33" spans="1:22" x14ac:dyDescent="0.3">
      <c r="A33" s="487" t="b">
        <f t="shared" ca="1" si="3"/>
        <v>0</v>
      </c>
      <c r="B33" s="488">
        <f t="shared" si="0"/>
        <v>17</v>
      </c>
      <c r="C33" s="500" t="str">
        <f>IFERROR(INDEX(C$2:C33,B33,1),"")</f>
        <v>a1I3p00000JOgnAEAT</v>
      </c>
      <c r="D33" s="490" t="str">
        <f t="shared" ca="1" si="4"/>
        <v/>
      </c>
      <c r="E33" s="491" t="str">
        <f t="shared" ca="1" si="5"/>
        <v/>
      </c>
      <c r="F33" s="492" t="str">
        <f t="shared" ca="1" si="6"/>
        <v/>
      </c>
      <c r="G33" s="493" t="str">
        <f t="shared" ca="1" si="7"/>
        <v/>
      </c>
      <c r="H33" s="493" t="str">
        <f t="shared" ca="1" si="8"/>
        <v/>
      </c>
      <c r="I33" s="488">
        <f t="shared" si="1"/>
        <v>37</v>
      </c>
      <c r="J33" s="493" t="str">
        <f t="shared" ca="1" si="9"/>
        <v/>
      </c>
      <c r="K33" s="487" t="str">
        <f t="shared" ca="1" si="10"/>
        <v/>
      </c>
      <c r="L33" s="493" t="str">
        <f t="shared" ca="1" si="11"/>
        <v/>
      </c>
      <c r="M33" s="487" t="str">
        <f ca="1">IFERROR(VLOOKUP(INDIRECT("'Impact Indicators - Section B '!AH"&amp;$I33),'Reference Records'!$G$4:$H$16,2,0),"")</f>
        <v/>
      </c>
      <c r="N33" s="487"/>
      <c r="O33" s="493" t="str">
        <f ca="1">IFERROR(VLOOKUP(INDIRECT("'Impact Indicators - Section B '!I"&amp;$I33),'Overview - Section A'!M$29:P70,4,0),IFERROR(VLOOKUP(INDIRECT("'Impact Indicators - Section B '!I"&amp;$I33),'Overview - Section A'!E$26:I58,5,0),""))</f>
        <v/>
      </c>
      <c r="P33" s="493" t="str">
        <f t="shared" ca="1" si="12"/>
        <v/>
      </c>
      <c r="Q33" s="493" t="str">
        <f t="shared" ca="1" si="13"/>
        <v/>
      </c>
      <c r="R33" s="494" t="str">
        <f t="shared" ca="1" si="14"/>
        <v/>
      </c>
      <c r="S33" s="493"/>
      <c r="T33" s="493"/>
      <c r="U33" s="487">
        <f t="shared" si="2"/>
        <v>0</v>
      </c>
      <c r="V33" s="487"/>
    </row>
    <row r="34" spans="1:22" x14ac:dyDescent="0.3">
      <c r="A34" s="495"/>
      <c r="B34" s="496"/>
      <c r="C34" s="489"/>
      <c r="D34" s="489"/>
      <c r="E34" s="489"/>
      <c r="R34" s="495"/>
    </row>
    <row r="37" spans="1:22" x14ac:dyDescent="0.3">
      <c r="A37" s="497" t="s">
        <v>330</v>
      </c>
      <c r="D37" s="498"/>
    </row>
    <row r="38" spans="1:22" x14ac:dyDescent="0.3">
      <c r="A38" s="487" t="s">
        <v>46</v>
      </c>
      <c r="B38" s="501"/>
      <c r="C38" s="487" t="s">
        <v>48</v>
      </c>
      <c r="D38" s="487" t="s">
        <v>343</v>
      </c>
      <c r="E38" s="487" t="s">
        <v>344</v>
      </c>
      <c r="F38" s="487" t="s">
        <v>20</v>
      </c>
      <c r="G38" s="487"/>
      <c r="H38" s="487" t="s">
        <v>249</v>
      </c>
      <c r="I38" s="487" t="s">
        <v>7</v>
      </c>
      <c r="J38" s="487" t="s">
        <v>6</v>
      </c>
      <c r="K38" s="487" t="s">
        <v>8</v>
      </c>
      <c r="L38" s="487" t="s">
        <v>149</v>
      </c>
      <c r="M38" s="487" t="s">
        <v>26</v>
      </c>
      <c r="N38" s="487" t="s">
        <v>109</v>
      </c>
      <c r="O38" s="487" t="s">
        <v>386</v>
      </c>
      <c r="P38" s="487">
        <v>-1</v>
      </c>
      <c r="Q38" s="487"/>
      <c r="R38" s="487"/>
      <c r="S38" s="487"/>
      <c r="T38" s="487" t="s">
        <v>71</v>
      </c>
    </row>
    <row r="39" spans="1:22" hidden="1" x14ac:dyDescent="0.3">
      <c r="A39" s="487" t="b">
        <f ca="1">IF(AND(OR(I39&lt;&gt;"",J39&lt;&gt;"",K39&lt;&gt;""),L39&lt;&gt;""),TRUE,FALSE)</f>
        <v>0</v>
      </c>
      <c r="B39" s="501"/>
      <c r="C39" s="487" t="str">
        <f ca="1">O39</f>
        <v/>
      </c>
      <c r="D39" s="487"/>
      <c r="E39" s="487">
        <f ca="1">COUNTIF(F34:F39,F39)</f>
        <v>5</v>
      </c>
      <c r="F39" s="502" t="str">
        <f ca="1">IFERROR(IF(COUNTA($D$37:$D39)=1,"",OFFSET($F37,-COUNTA($D$37:$D39)+3,0)),"")</f>
        <v/>
      </c>
      <c r="G39" s="487"/>
      <c r="H39" s="487" t="str">
        <f ca="1">IF(F39=1,9,IF(E38=MAX(E37:E39),H37+2,H38))</f>
        <v>row number</v>
      </c>
      <c r="I39" s="503">
        <f ca="1">IFERROR(CHOOSE(E39,IFERROR(IF(INDIRECT("'Impact Indicators - Section B '!K"&amp;H39+1)=0,"",INDIRECT("'Impact Indicators - Section B '!K"&amp;H39+1)),""),IFERROR(IF(INDIRECT("'Impact Indicators - Section B '!O"&amp;H39+1)=0,"",INDIRECT("'Impact Indicators - Section B '!O"&amp;H39+1)),""),IFERROR(IF(INDIRECT("'Impact Indicators - Section B '!S"&amp;H39+1)=0,"",INDIRECT("'Impact Indicators - Section B '!S"&amp;H39+1)),""),IFERROR(IF(INDIRECT("'Impact Indicators - Section B '!W"&amp;H39+1)=0,"",INDIRECT("'Impact Indicators - Section B '!W"&amp;H39+1)),""),),"")</f>
        <v>0</v>
      </c>
      <c r="J39" s="503">
        <f ca="1">IFERROR(CHOOSE(E39,IFERROR(IF(INDIRECT("'Impact Indicators - Section B '!K"&amp;H39)=0,"",INDIRECT("'Impact Indicators - Section B '!K"&amp;H39)),""),IFERROR(IF(INDIRECT("'Impact Indicators - Section B '!O"&amp;H39)=0,"",INDIRECT("'Impact Indicators - Section B '!O"&amp;H39)),""),IFERROR(IF(INDIRECT("'Impact Indicators - Section B '!S"&amp;H39)=0,"",INDIRECT("'Impact Indicators - Section B '!S"&amp;H39)),""),IFERROR(IF(INDIRECT("'Impact Indicators - Section B '!W"&amp;H39)=0,"",INDIRECT("'Impact Indicators - Section B '!W"&amp;H39)),""),),"")</f>
        <v>0</v>
      </c>
      <c r="K39" s="490">
        <f ca="1">IFERROR(CHOOSE(E39,IFERROR(IF(INDIRECT("'Impact Indicators - Section B '!L"&amp;H39)=0,"",INDIRECT("'Impact Indicators - Section B '!L"&amp;H39)*100),""),IFERROR(IF(INDIRECT("'Impact Indicators - Section B '!P"&amp;H39)=0,"",INDIRECT("'Impact Indicators - Section B '!P"&amp;H39)*100),""),IFERROR(IF(INDIRECT("'Impact Indicators - Section B '!T"&amp;H39)=0,"",INDIRECT("'Impact Indicators - Section B '!T"&amp;H39)*100),""),IFERROR(IF(INDIRECT("'Impact Indicators - Section B '!X"&amp;H39)=0,"",INDIRECT("'Impact Indicators - Section B '!X"&amp;H39)*100),""),),"")</f>
        <v>0</v>
      </c>
      <c r="L39" s="493" t="str">
        <f ca="1">IFERROR(CHOOSE(E39,'Impact Indicators - Section B '!$K$7,'Impact Indicators - Section B '!$O$7,'Impact Indicators - Section B '!$S$7,'Impact Indicators - Section B '!$W$7),"")</f>
        <v/>
      </c>
      <c r="M39" s="504">
        <f ca="1">IFERROR(CHOOSE(E39,IFERROR(IF(INDIRECT("'Impact Indicators - Section B '!M"&amp;H39)=0,"",INDIRECT("'Impact Indicators - Section B '!M"&amp;H39)),""),IFERROR(IF(INDIRECT("'Impact Indicators - Section B '!Q"&amp;H39)=0,"",INDIRECT("'Impact Indicators - Section B '!Q"&amp;H39)),""),IFERROR(IF(INDIRECT("'Impact Indicators - Section B '!U"&amp;H39)=0,"",INDIRECT("'Impact Indicators - Section B '!U"&amp;H39)),""),IFERROR(IF(INDIRECT("'Impact Indicators - Section B '!Y"&amp;H39)=0,"",INDIRECT("'Impact Indicators - Section B '!Y"&amp;H39)),""),),"")</f>
        <v>0</v>
      </c>
      <c r="N39" s="493" t="str">
        <f ca="1">IFERROR(CHOOSE(E39,IFERROR(IF(INDIRECT("'Impact Indicators - Section B '!N"&amp;H39)=0,"",INDIRECT("'Impact Indicators - Section B '!N"&amp;H39)),""),IFERROR(IF(INDIRECT("'Impact Indicators - Section B '!R"&amp;H39)=0,"",INDIRECT("'Impact Indicators - Section B '!R"&amp;H39)),""),IFERROR(IF(INDIRECT("'Impact Indicators - Section B '!V"&amp;H39)=0,"",INDIRECT("'Impact Indicators - Section B '!V"&amp;H39)),""),IFERROR(IF(INDIRECT("'Impact Indicators - Section B '!Z"&amp;H39)=0,"",INDIRECT("'Impact Indicators - Section B '!Z"&amp;H39)),"")),"")</f>
        <v/>
      </c>
      <c r="O39" s="487" t="str">
        <f ca="1">IFERROR(IF(COUNTA($D$37:$D39)=1,"",OFFSET($C37,-COUNTA($D$37:$D39)+3,0)),"")</f>
        <v/>
      </c>
      <c r="P39" s="487">
        <f>IF(NOT(_xlfn.ISFORMULA(I39)),P38+1,0)</f>
        <v>0</v>
      </c>
      <c r="Q39" s="487"/>
      <c r="R39" s="487"/>
      <c r="S39" s="487"/>
      <c r="T39" s="487" t="b">
        <f ca="1">IF(A39=TRUE,TRUE,FALSE)</f>
        <v>0</v>
      </c>
    </row>
    <row r="40" spans="1:22" x14ac:dyDescent="0.3">
      <c r="A40" s="487" t="b">
        <v>0</v>
      </c>
      <c r="B40" s="501"/>
      <c r="C40" s="487" t="s">
        <v>6965</v>
      </c>
      <c r="D40" s="487" t="s">
        <v>3866</v>
      </c>
      <c r="E40" s="487">
        <f t="shared" ref="E40:E103" ca="1" si="15">COUNTIF(F35:F40,F40)</f>
        <v>1</v>
      </c>
      <c r="F40" s="502">
        <v>1</v>
      </c>
      <c r="G40" s="487"/>
      <c r="H40" s="487">
        <f t="shared" ref="H40:H103" si="16">IF(F40=1,9,IF(E39=MAX(E38:E40),H38+2,H39))</f>
        <v>9</v>
      </c>
      <c r="I40" s="503"/>
      <c r="J40" s="503"/>
      <c r="K40" s="490"/>
      <c r="L40" s="493"/>
      <c r="M40" s="504"/>
      <c r="N40" s="493"/>
      <c r="O40" s="487" t="str">
        <f ca="1">IFERROR(IF(COUNTA($D$37:$D40)=1,"",OFFSET($C38,-COUNTA($D$37:$D40)+3,0)),"")</f>
        <v/>
      </c>
      <c r="P40" s="487">
        <f t="shared" ref="P40:P103" si="17">IF(NOT(_xlfn.ISFORMULA(I40)),P39+1,0)</f>
        <v>1</v>
      </c>
      <c r="Q40" s="487"/>
      <c r="R40" s="487"/>
      <c r="S40" s="487"/>
      <c r="T40" s="487" t="b">
        <v>0</v>
      </c>
    </row>
    <row r="41" spans="1:22" x14ac:dyDescent="0.3">
      <c r="A41" s="487" t="b">
        <v>0</v>
      </c>
      <c r="B41" s="501"/>
      <c r="C41" s="487" t="s">
        <v>6966</v>
      </c>
      <c r="D41" s="487" t="s">
        <v>3866</v>
      </c>
      <c r="E41" s="487">
        <f t="shared" ca="1" si="15"/>
        <v>2</v>
      </c>
      <c r="F41" s="502">
        <v>1</v>
      </c>
      <c r="G41" s="487"/>
      <c r="H41" s="487">
        <f t="shared" si="16"/>
        <v>9</v>
      </c>
      <c r="I41" s="503"/>
      <c r="J41" s="503"/>
      <c r="K41" s="490"/>
      <c r="L41" s="493"/>
      <c r="M41" s="504"/>
      <c r="N41" s="493"/>
      <c r="O41" s="487" t="str">
        <f ca="1">IFERROR(IF(COUNTA($D$37:$D41)=1,"",OFFSET($C39,-COUNTA($D$37:$D41)+3,0)),"")</f>
        <v/>
      </c>
      <c r="P41" s="487">
        <f t="shared" si="17"/>
        <v>2</v>
      </c>
      <c r="Q41" s="487"/>
      <c r="R41" s="487"/>
      <c r="S41" s="487"/>
      <c r="T41" s="487" t="b">
        <v>0</v>
      </c>
    </row>
    <row r="42" spans="1:22" x14ac:dyDescent="0.3">
      <c r="A42" s="487" t="b">
        <v>0</v>
      </c>
      <c r="B42" s="501"/>
      <c r="C42" s="487" t="s">
        <v>6967</v>
      </c>
      <c r="D42" s="487" t="s">
        <v>3866</v>
      </c>
      <c r="E42" s="487">
        <f t="shared" ca="1" si="15"/>
        <v>3</v>
      </c>
      <c r="F42" s="502">
        <v>1</v>
      </c>
      <c r="G42" s="487"/>
      <c r="H42" s="487">
        <f t="shared" si="16"/>
        <v>9</v>
      </c>
      <c r="I42" s="503"/>
      <c r="J42" s="503"/>
      <c r="K42" s="490"/>
      <c r="L42" s="493"/>
      <c r="M42" s="504"/>
      <c r="N42" s="493"/>
      <c r="O42" s="487" t="str">
        <f ca="1">IFERROR(IF(COUNTA($D$37:$D42)=1,"",OFFSET($C40,-COUNTA($D$37:$D42)+3,0)),"")</f>
        <v/>
      </c>
      <c r="P42" s="487">
        <f t="shared" si="17"/>
        <v>3</v>
      </c>
      <c r="Q42" s="487"/>
      <c r="R42" s="487"/>
      <c r="S42" s="487"/>
      <c r="T42" s="487" t="b">
        <v>0</v>
      </c>
    </row>
    <row r="43" spans="1:22" x14ac:dyDescent="0.3">
      <c r="A43" s="487" t="b">
        <v>0</v>
      </c>
      <c r="B43" s="501"/>
      <c r="C43" s="487" t="s">
        <v>6968</v>
      </c>
      <c r="D43" s="487" t="s">
        <v>3866</v>
      </c>
      <c r="E43" s="487">
        <f t="shared" ca="1" si="15"/>
        <v>4</v>
      </c>
      <c r="F43" s="502">
        <v>1</v>
      </c>
      <c r="G43" s="487"/>
      <c r="H43" s="487">
        <f t="shared" si="16"/>
        <v>9</v>
      </c>
      <c r="I43" s="503"/>
      <c r="J43" s="503"/>
      <c r="K43" s="490"/>
      <c r="L43" s="493"/>
      <c r="M43" s="504"/>
      <c r="N43" s="493"/>
      <c r="O43" s="487" t="str">
        <f ca="1">IFERROR(IF(COUNTA($D$37:$D43)=1,"",OFFSET($C41,-COUNTA($D$37:$D43)+3,0)),"")</f>
        <v/>
      </c>
      <c r="P43" s="487">
        <f t="shared" si="17"/>
        <v>4</v>
      </c>
      <c r="Q43" s="487"/>
      <c r="R43" s="487"/>
      <c r="S43" s="487"/>
      <c r="T43" s="487" t="b">
        <v>0</v>
      </c>
    </row>
    <row r="44" spans="1:22" x14ac:dyDescent="0.3">
      <c r="A44" s="487" t="b">
        <v>0</v>
      </c>
      <c r="B44" s="501"/>
      <c r="C44" s="487" t="s">
        <v>6969</v>
      </c>
      <c r="D44" s="487" t="s">
        <v>3866</v>
      </c>
      <c r="E44" s="487">
        <f t="shared" ca="1" si="15"/>
        <v>5</v>
      </c>
      <c r="F44" s="502">
        <v>1</v>
      </c>
      <c r="G44" s="487"/>
      <c r="H44" s="487">
        <f t="shared" si="16"/>
        <v>9</v>
      </c>
      <c r="I44" s="503"/>
      <c r="J44" s="503"/>
      <c r="K44" s="490"/>
      <c r="L44" s="493"/>
      <c r="M44" s="504"/>
      <c r="N44" s="493"/>
      <c r="O44" s="487" t="str">
        <f ca="1">IFERROR(IF(COUNTA($D$37:$D44)=1,"",OFFSET($C42,-COUNTA($D$37:$D44)+3,0)),"")</f>
        <v/>
      </c>
      <c r="P44" s="487">
        <f t="shared" si="17"/>
        <v>5</v>
      </c>
      <c r="Q44" s="487"/>
      <c r="R44" s="487"/>
      <c r="S44" s="487"/>
      <c r="T44" s="487" t="b">
        <v>0</v>
      </c>
    </row>
    <row r="45" spans="1:22" x14ac:dyDescent="0.3">
      <c r="A45" s="487" t="b">
        <v>0</v>
      </c>
      <c r="B45" s="501"/>
      <c r="C45" s="487" t="s">
        <v>6970</v>
      </c>
      <c r="D45" s="487" t="s">
        <v>3866</v>
      </c>
      <c r="E45" s="487">
        <f t="shared" si="15"/>
        <v>6</v>
      </c>
      <c r="F45" s="502">
        <v>1</v>
      </c>
      <c r="G45" s="487"/>
      <c r="H45" s="487">
        <f t="shared" si="16"/>
        <v>9</v>
      </c>
      <c r="I45" s="503"/>
      <c r="J45" s="503"/>
      <c r="K45" s="490"/>
      <c r="L45" s="493"/>
      <c r="M45" s="504"/>
      <c r="N45" s="493"/>
      <c r="O45" s="487" t="str">
        <f ca="1">IFERROR(IF(COUNTA($D$37:$D45)=1,"",OFFSET($C43,-COUNTA($D$37:$D45)+3,0)),"")</f>
        <v/>
      </c>
      <c r="P45" s="487">
        <f t="shared" si="17"/>
        <v>6</v>
      </c>
      <c r="Q45" s="487"/>
      <c r="R45" s="487"/>
      <c r="S45" s="487"/>
      <c r="T45" s="487" t="b">
        <v>0</v>
      </c>
    </row>
    <row r="46" spans="1:22" x14ac:dyDescent="0.3">
      <c r="A46" s="487" t="b">
        <v>0</v>
      </c>
      <c r="B46" s="501"/>
      <c r="C46" s="487" t="s">
        <v>6971</v>
      </c>
      <c r="D46" s="487" t="s">
        <v>3887</v>
      </c>
      <c r="E46" s="487">
        <f t="shared" si="15"/>
        <v>1</v>
      </c>
      <c r="F46" s="502">
        <v>2</v>
      </c>
      <c r="G46" s="487"/>
      <c r="H46" s="487">
        <f t="shared" ca="1" si="16"/>
        <v>11</v>
      </c>
      <c r="I46" s="503"/>
      <c r="J46" s="503"/>
      <c r="K46" s="490"/>
      <c r="L46" s="493"/>
      <c r="M46" s="504"/>
      <c r="N46" s="493"/>
      <c r="O46" s="487" t="str">
        <f ca="1">IFERROR(IF(COUNTA($D$37:$D46)=1,"",OFFSET($C44,-COUNTA($D$37:$D46)+3,0)),"")</f>
        <v/>
      </c>
      <c r="P46" s="487">
        <f t="shared" si="17"/>
        <v>7</v>
      </c>
      <c r="Q46" s="487"/>
      <c r="R46" s="487"/>
      <c r="S46" s="487"/>
      <c r="T46" s="487" t="b">
        <v>0</v>
      </c>
    </row>
    <row r="47" spans="1:22" x14ac:dyDescent="0.3">
      <c r="A47" s="487" t="b">
        <v>0</v>
      </c>
      <c r="B47" s="501"/>
      <c r="C47" s="487" t="s">
        <v>6972</v>
      </c>
      <c r="D47" s="487" t="s">
        <v>3887</v>
      </c>
      <c r="E47" s="487">
        <f t="shared" si="15"/>
        <v>2</v>
      </c>
      <c r="F47" s="502">
        <v>2</v>
      </c>
      <c r="G47" s="487"/>
      <c r="H47" s="487">
        <f t="shared" ca="1" si="16"/>
        <v>11</v>
      </c>
      <c r="I47" s="503"/>
      <c r="J47" s="503"/>
      <c r="K47" s="490"/>
      <c r="L47" s="493"/>
      <c r="M47" s="504"/>
      <c r="N47" s="493"/>
      <c r="O47" s="487" t="str">
        <f ca="1">IFERROR(IF(COUNTA($D$37:$D47)=1,"",OFFSET($C45,-COUNTA($D$37:$D47)+3,0)),"")</f>
        <v/>
      </c>
      <c r="P47" s="487">
        <f t="shared" si="17"/>
        <v>8</v>
      </c>
      <c r="Q47" s="487"/>
      <c r="R47" s="487"/>
      <c r="S47" s="487"/>
      <c r="T47" s="487" t="b">
        <v>0</v>
      </c>
    </row>
    <row r="48" spans="1:22" x14ac:dyDescent="0.3">
      <c r="A48" s="487" t="b">
        <v>0</v>
      </c>
      <c r="B48" s="501"/>
      <c r="C48" s="487" t="s">
        <v>6973</v>
      </c>
      <c r="D48" s="487" t="s">
        <v>3887</v>
      </c>
      <c r="E48" s="487">
        <f t="shared" si="15"/>
        <v>3</v>
      </c>
      <c r="F48" s="502">
        <v>2</v>
      </c>
      <c r="G48" s="487"/>
      <c r="H48" s="487">
        <f t="shared" ca="1" si="16"/>
        <v>11</v>
      </c>
      <c r="I48" s="503"/>
      <c r="J48" s="503"/>
      <c r="K48" s="490"/>
      <c r="L48" s="493"/>
      <c r="M48" s="504"/>
      <c r="N48" s="493"/>
      <c r="O48" s="487" t="str">
        <f ca="1">IFERROR(IF(COUNTA($D$37:$D48)=1,"",OFFSET($C46,-COUNTA($D$37:$D48)+3,0)),"")</f>
        <v/>
      </c>
      <c r="P48" s="487">
        <f t="shared" si="17"/>
        <v>9</v>
      </c>
      <c r="Q48" s="487"/>
      <c r="R48" s="487"/>
      <c r="S48" s="487"/>
      <c r="T48" s="487" t="b">
        <v>0</v>
      </c>
    </row>
    <row r="49" spans="1:20" x14ac:dyDescent="0.3">
      <c r="A49" s="487" t="b">
        <v>0</v>
      </c>
      <c r="B49" s="501"/>
      <c r="C49" s="487" t="s">
        <v>6974</v>
      </c>
      <c r="D49" s="487" t="s">
        <v>3887</v>
      </c>
      <c r="E49" s="487">
        <f t="shared" si="15"/>
        <v>4</v>
      </c>
      <c r="F49" s="502">
        <v>2</v>
      </c>
      <c r="G49" s="487"/>
      <c r="H49" s="487">
        <f t="shared" ca="1" si="16"/>
        <v>11</v>
      </c>
      <c r="I49" s="503"/>
      <c r="J49" s="503"/>
      <c r="K49" s="490"/>
      <c r="L49" s="493"/>
      <c r="M49" s="504"/>
      <c r="N49" s="493"/>
      <c r="O49" s="487" t="str">
        <f ca="1">IFERROR(IF(COUNTA($D$37:$D49)=1,"",OFFSET($C47,-COUNTA($D$37:$D49)+3,0)),"")</f>
        <v/>
      </c>
      <c r="P49" s="487">
        <f t="shared" si="17"/>
        <v>10</v>
      </c>
      <c r="Q49" s="487"/>
      <c r="R49" s="487"/>
      <c r="S49" s="487"/>
      <c r="T49" s="487" t="b">
        <v>0</v>
      </c>
    </row>
    <row r="50" spans="1:20" x14ac:dyDescent="0.3">
      <c r="A50" s="487" t="b">
        <v>0</v>
      </c>
      <c r="B50" s="501"/>
      <c r="C50" s="487" t="s">
        <v>6975</v>
      </c>
      <c r="D50" s="487" t="s">
        <v>3887</v>
      </c>
      <c r="E50" s="487">
        <f t="shared" si="15"/>
        <v>5</v>
      </c>
      <c r="F50" s="502">
        <v>2</v>
      </c>
      <c r="G50" s="487"/>
      <c r="H50" s="487">
        <f t="shared" ca="1" si="16"/>
        <v>11</v>
      </c>
      <c r="I50" s="503"/>
      <c r="J50" s="503"/>
      <c r="K50" s="490"/>
      <c r="L50" s="493"/>
      <c r="M50" s="504"/>
      <c r="N50" s="493"/>
      <c r="O50" s="487" t="str">
        <f ca="1">IFERROR(IF(COUNTA($D$37:$D50)=1,"",OFFSET($C48,-COUNTA($D$37:$D50)+3,0)),"")</f>
        <v/>
      </c>
      <c r="P50" s="487">
        <f t="shared" si="17"/>
        <v>11</v>
      </c>
      <c r="Q50" s="487"/>
      <c r="R50" s="487"/>
      <c r="S50" s="487"/>
      <c r="T50" s="487" t="b">
        <v>0</v>
      </c>
    </row>
    <row r="51" spans="1:20" x14ac:dyDescent="0.3">
      <c r="A51" s="487" t="b">
        <v>0</v>
      </c>
      <c r="B51" s="501"/>
      <c r="C51" s="487" t="s">
        <v>6976</v>
      </c>
      <c r="D51" s="487" t="s">
        <v>3887</v>
      </c>
      <c r="E51" s="487">
        <f t="shared" si="15"/>
        <v>6</v>
      </c>
      <c r="F51" s="502">
        <v>2</v>
      </c>
      <c r="G51" s="487"/>
      <c r="H51" s="487">
        <f t="shared" ca="1" si="16"/>
        <v>11</v>
      </c>
      <c r="I51" s="503"/>
      <c r="J51" s="503"/>
      <c r="K51" s="490"/>
      <c r="L51" s="493"/>
      <c r="M51" s="504"/>
      <c r="N51" s="493"/>
      <c r="O51" s="487" t="str">
        <f ca="1">IFERROR(IF(COUNTA($D$37:$D51)=1,"",OFFSET($C49,-COUNTA($D$37:$D51)+3,0)),"")</f>
        <v/>
      </c>
      <c r="P51" s="487">
        <f t="shared" si="17"/>
        <v>12</v>
      </c>
      <c r="Q51" s="487"/>
      <c r="R51" s="487"/>
      <c r="S51" s="487"/>
      <c r="T51" s="487" t="b">
        <v>0</v>
      </c>
    </row>
    <row r="52" spans="1:20" x14ac:dyDescent="0.3">
      <c r="A52" s="487" t="b">
        <v>0</v>
      </c>
      <c r="B52" s="501"/>
      <c r="C52" s="487" t="s">
        <v>6977</v>
      </c>
      <c r="D52" s="487" t="s">
        <v>3908</v>
      </c>
      <c r="E52" s="487">
        <f t="shared" si="15"/>
        <v>1</v>
      </c>
      <c r="F52" s="502">
        <v>3</v>
      </c>
      <c r="G52" s="487"/>
      <c r="H52" s="487">
        <f t="shared" ca="1" si="16"/>
        <v>13</v>
      </c>
      <c r="I52" s="503"/>
      <c r="J52" s="503"/>
      <c r="K52" s="490"/>
      <c r="L52" s="493"/>
      <c r="M52" s="504"/>
      <c r="N52" s="493"/>
      <c r="O52" s="487" t="str">
        <f ca="1">IFERROR(IF(COUNTA($D$37:$D52)=1,"",OFFSET($C50,-COUNTA($D$37:$D52)+3,0)),"")</f>
        <v/>
      </c>
      <c r="P52" s="487">
        <f t="shared" si="17"/>
        <v>13</v>
      </c>
      <c r="Q52" s="487"/>
      <c r="R52" s="487"/>
      <c r="S52" s="487"/>
      <c r="T52" s="487" t="b">
        <v>0</v>
      </c>
    </row>
    <row r="53" spans="1:20" x14ac:dyDescent="0.3">
      <c r="A53" s="487" t="b">
        <v>0</v>
      </c>
      <c r="B53" s="501"/>
      <c r="C53" s="487" t="s">
        <v>6978</v>
      </c>
      <c r="D53" s="487" t="s">
        <v>3908</v>
      </c>
      <c r="E53" s="487">
        <f t="shared" si="15"/>
        <v>2</v>
      </c>
      <c r="F53" s="502">
        <v>3</v>
      </c>
      <c r="G53" s="487"/>
      <c r="H53" s="487">
        <f t="shared" ca="1" si="16"/>
        <v>13</v>
      </c>
      <c r="I53" s="503"/>
      <c r="J53" s="503"/>
      <c r="K53" s="490"/>
      <c r="L53" s="493"/>
      <c r="M53" s="504"/>
      <c r="N53" s="493"/>
      <c r="O53" s="487" t="str">
        <f ca="1">IFERROR(IF(COUNTA($D$37:$D53)=1,"",OFFSET($C51,-COUNTA($D$37:$D53)+3,0)),"")</f>
        <v/>
      </c>
      <c r="P53" s="487">
        <f t="shared" si="17"/>
        <v>14</v>
      </c>
      <c r="Q53" s="487"/>
      <c r="R53" s="487"/>
      <c r="S53" s="487"/>
      <c r="T53" s="487" t="b">
        <v>0</v>
      </c>
    </row>
    <row r="54" spans="1:20" x14ac:dyDescent="0.3">
      <c r="A54" s="487" t="b">
        <v>0</v>
      </c>
      <c r="B54" s="501"/>
      <c r="C54" s="487" t="s">
        <v>6979</v>
      </c>
      <c r="D54" s="487" t="s">
        <v>3908</v>
      </c>
      <c r="E54" s="487">
        <f t="shared" si="15"/>
        <v>3</v>
      </c>
      <c r="F54" s="502">
        <v>3</v>
      </c>
      <c r="G54" s="487"/>
      <c r="H54" s="487">
        <f t="shared" ca="1" si="16"/>
        <v>13</v>
      </c>
      <c r="I54" s="503"/>
      <c r="J54" s="503"/>
      <c r="K54" s="490"/>
      <c r="L54" s="493"/>
      <c r="M54" s="504"/>
      <c r="N54" s="493"/>
      <c r="O54" s="487" t="str">
        <f ca="1">IFERROR(IF(COUNTA($D$37:$D54)=1,"",OFFSET($C52,-COUNTA($D$37:$D54)+3,0)),"")</f>
        <v/>
      </c>
      <c r="P54" s="487">
        <f t="shared" si="17"/>
        <v>15</v>
      </c>
      <c r="Q54" s="487"/>
      <c r="R54" s="487"/>
      <c r="S54" s="487"/>
      <c r="T54" s="487" t="b">
        <v>0</v>
      </c>
    </row>
    <row r="55" spans="1:20" x14ac:dyDescent="0.3">
      <c r="A55" s="487" t="b">
        <v>0</v>
      </c>
      <c r="B55" s="501"/>
      <c r="C55" s="487" t="s">
        <v>6980</v>
      </c>
      <c r="D55" s="487" t="s">
        <v>3908</v>
      </c>
      <c r="E55" s="487">
        <f t="shared" si="15"/>
        <v>4</v>
      </c>
      <c r="F55" s="502">
        <v>3</v>
      </c>
      <c r="G55" s="487"/>
      <c r="H55" s="487">
        <f t="shared" ca="1" si="16"/>
        <v>13</v>
      </c>
      <c r="I55" s="503"/>
      <c r="J55" s="503"/>
      <c r="K55" s="490"/>
      <c r="L55" s="493"/>
      <c r="M55" s="504"/>
      <c r="N55" s="493"/>
      <c r="O55" s="487" t="str">
        <f ca="1">IFERROR(IF(COUNTA($D$37:$D55)=1,"",OFFSET($C53,-COUNTA($D$37:$D55)+3,0)),"")</f>
        <v/>
      </c>
      <c r="P55" s="487">
        <f t="shared" si="17"/>
        <v>16</v>
      </c>
      <c r="Q55" s="487"/>
      <c r="R55" s="487"/>
      <c r="S55" s="487"/>
      <c r="T55" s="487" t="b">
        <v>0</v>
      </c>
    </row>
    <row r="56" spans="1:20" x14ac:dyDescent="0.3">
      <c r="A56" s="487" t="b">
        <v>0</v>
      </c>
      <c r="B56" s="501"/>
      <c r="C56" s="487" t="s">
        <v>6981</v>
      </c>
      <c r="D56" s="487" t="s">
        <v>3908</v>
      </c>
      <c r="E56" s="487">
        <f t="shared" si="15"/>
        <v>5</v>
      </c>
      <c r="F56" s="502">
        <v>3</v>
      </c>
      <c r="G56" s="487"/>
      <c r="H56" s="487">
        <f t="shared" ca="1" si="16"/>
        <v>13</v>
      </c>
      <c r="I56" s="503"/>
      <c r="J56" s="503"/>
      <c r="K56" s="490"/>
      <c r="L56" s="493"/>
      <c r="M56" s="504"/>
      <c r="N56" s="493"/>
      <c r="O56" s="487" t="str">
        <f ca="1">IFERROR(IF(COUNTA($D$37:$D56)=1,"",OFFSET($C54,-COUNTA($D$37:$D56)+3,0)),"")</f>
        <v/>
      </c>
      <c r="P56" s="487">
        <f t="shared" si="17"/>
        <v>17</v>
      </c>
      <c r="Q56" s="487"/>
      <c r="R56" s="487"/>
      <c r="S56" s="487"/>
      <c r="T56" s="487" t="b">
        <v>0</v>
      </c>
    </row>
    <row r="57" spans="1:20" x14ac:dyDescent="0.3">
      <c r="A57" s="487" t="b">
        <v>0</v>
      </c>
      <c r="B57" s="501"/>
      <c r="C57" s="487" t="s">
        <v>6982</v>
      </c>
      <c r="D57" s="487" t="s">
        <v>3908</v>
      </c>
      <c r="E57" s="487">
        <f t="shared" si="15"/>
        <v>6</v>
      </c>
      <c r="F57" s="502">
        <v>3</v>
      </c>
      <c r="G57" s="487"/>
      <c r="H57" s="487">
        <f t="shared" ca="1" si="16"/>
        <v>13</v>
      </c>
      <c r="I57" s="503"/>
      <c r="J57" s="503"/>
      <c r="K57" s="490"/>
      <c r="L57" s="493"/>
      <c r="M57" s="504"/>
      <c r="N57" s="493"/>
      <c r="O57" s="487" t="str">
        <f ca="1">IFERROR(IF(COUNTA($D$37:$D57)=1,"",OFFSET($C55,-COUNTA($D$37:$D57)+3,0)),"")</f>
        <v/>
      </c>
      <c r="P57" s="487">
        <f t="shared" si="17"/>
        <v>18</v>
      </c>
      <c r="Q57" s="487"/>
      <c r="R57" s="487"/>
      <c r="S57" s="487"/>
      <c r="T57" s="487" t="b">
        <v>0</v>
      </c>
    </row>
    <row r="58" spans="1:20" x14ac:dyDescent="0.3">
      <c r="A58" s="487" t="b">
        <v>0</v>
      </c>
      <c r="B58" s="501"/>
      <c r="C58" s="487" t="s">
        <v>6983</v>
      </c>
      <c r="D58" s="487" t="s">
        <v>3929</v>
      </c>
      <c r="E58" s="487">
        <f t="shared" si="15"/>
        <v>1</v>
      </c>
      <c r="F58" s="502">
        <v>4</v>
      </c>
      <c r="G58" s="487"/>
      <c r="H58" s="487">
        <f t="shared" ca="1" si="16"/>
        <v>15</v>
      </c>
      <c r="I58" s="503"/>
      <c r="J58" s="503"/>
      <c r="K58" s="490"/>
      <c r="L58" s="493"/>
      <c r="M58" s="504"/>
      <c r="N58" s="493"/>
      <c r="O58" s="487" t="str">
        <f ca="1">IFERROR(IF(COUNTA($D$37:$D58)=1,"",OFFSET($C56,-COUNTA($D$37:$D58)+3,0)),"")</f>
        <v/>
      </c>
      <c r="P58" s="487">
        <f t="shared" si="17"/>
        <v>19</v>
      </c>
      <c r="Q58" s="487"/>
      <c r="R58" s="487"/>
      <c r="S58" s="487"/>
      <c r="T58" s="487" t="b">
        <v>0</v>
      </c>
    </row>
    <row r="59" spans="1:20" x14ac:dyDescent="0.3">
      <c r="A59" s="487" t="b">
        <v>0</v>
      </c>
      <c r="B59" s="501"/>
      <c r="C59" s="487" t="s">
        <v>6984</v>
      </c>
      <c r="D59" s="487" t="s">
        <v>3929</v>
      </c>
      <c r="E59" s="487">
        <f t="shared" si="15"/>
        <v>2</v>
      </c>
      <c r="F59" s="502">
        <v>4</v>
      </c>
      <c r="G59" s="487"/>
      <c r="H59" s="487">
        <f t="shared" ca="1" si="16"/>
        <v>15</v>
      </c>
      <c r="I59" s="503"/>
      <c r="J59" s="503"/>
      <c r="K59" s="490"/>
      <c r="L59" s="493"/>
      <c r="M59" s="504"/>
      <c r="N59" s="493"/>
      <c r="O59" s="487" t="str">
        <f ca="1">IFERROR(IF(COUNTA($D$37:$D59)=1,"",OFFSET($C57,-COUNTA($D$37:$D59)+3,0)),"")</f>
        <v/>
      </c>
      <c r="P59" s="487">
        <f t="shared" si="17"/>
        <v>20</v>
      </c>
      <c r="Q59" s="487"/>
      <c r="R59" s="487"/>
      <c r="S59" s="487"/>
      <c r="T59" s="487" t="b">
        <v>0</v>
      </c>
    </row>
    <row r="60" spans="1:20" x14ac:dyDescent="0.3">
      <c r="A60" s="487" t="b">
        <v>0</v>
      </c>
      <c r="B60" s="501"/>
      <c r="C60" s="487" t="s">
        <v>6985</v>
      </c>
      <c r="D60" s="487" t="s">
        <v>3929</v>
      </c>
      <c r="E60" s="487">
        <f t="shared" si="15"/>
        <v>3</v>
      </c>
      <c r="F60" s="502">
        <v>4</v>
      </c>
      <c r="G60" s="487"/>
      <c r="H60" s="487">
        <f t="shared" ca="1" si="16"/>
        <v>15</v>
      </c>
      <c r="I60" s="503"/>
      <c r="J60" s="503"/>
      <c r="K60" s="490"/>
      <c r="L60" s="493"/>
      <c r="M60" s="504"/>
      <c r="N60" s="493"/>
      <c r="O60" s="487" t="str">
        <f ca="1">IFERROR(IF(COUNTA($D$37:$D60)=1,"",OFFSET($C58,-COUNTA($D$37:$D60)+3,0)),"")</f>
        <v/>
      </c>
      <c r="P60" s="487">
        <f t="shared" si="17"/>
        <v>21</v>
      </c>
      <c r="Q60" s="487"/>
      <c r="R60" s="487"/>
      <c r="S60" s="487"/>
      <c r="T60" s="487" t="b">
        <v>0</v>
      </c>
    </row>
    <row r="61" spans="1:20" x14ac:dyDescent="0.3">
      <c r="A61" s="487" t="b">
        <v>0</v>
      </c>
      <c r="B61" s="501"/>
      <c r="C61" s="487" t="s">
        <v>6986</v>
      </c>
      <c r="D61" s="487" t="s">
        <v>3929</v>
      </c>
      <c r="E61" s="487">
        <f t="shared" si="15"/>
        <v>4</v>
      </c>
      <c r="F61" s="502">
        <v>4</v>
      </c>
      <c r="G61" s="487"/>
      <c r="H61" s="487">
        <f t="shared" ca="1" si="16"/>
        <v>15</v>
      </c>
      <c r="I61" s="503"/>
      <c r="J61" s="503"/>
      <c r="K61" s="490"/>
      <c r="L61" s="493"/>
      <c r="M61" s="504"/>
      <c r="N61" s="493"/>
      <c r="O61" s="487" t="str">
        <f ca="1">IFERROR(IF(COUNTA($D$37:$D61)=1,"",OFFSET($C59,-COUNTA($D$37:$D61)+3,0)),"")</f>
        <v/>
      </c>
      <c r="P61" s="487">
        <f t="shared" si="17"/>
        <v>22</v>
      </c>
      <c r="Q61" s="487"/>
      <c r="R61" s="487"/>
      <c r="S61" s="487"/>
      <c r="T61" s="487" t="b">
        <v>0</v>
      </c>
    </row>
    <row r="62" spans="1:20" x14ac:dyDescent="0.3">
      <c r="A62" s="487" t="b">
        <v>0</v>
      </c>
      <c r="B62" s="501"/>
      <c r="C62" s="487" t="s">
        <v>6987</v>
      </c>
      <c r="D62" s="487" t="s">
        <v>3929</v>
      </c>
      <c r="E62" s="487">
        <f t="shared" si="15"/>
        <v>5</v>
      </c>
      <c r="F62" s="502">
        <v>4</v>
      </c>
      <c r="G62" s="487"/>
      <c r="H62" s="487">
        <f t="shared" ca="1" si="16"/>
        <v>15</v>
      </c>
      <c r="I62" s="503"/>
      <c r="J62" s="503"/>
      <c r="K62" s="490"/>
      <c r="L62" s="493"/>
      <c r="M62" s="504"/>
      <c r="N62" s="493"/>
      <c r="O62" s="487" t="str">
        <f ca="1">IFERROR(IF(COUNTA($D$37:$D62)=1,"",OFFSET($C60,-COUNTA($D$37:$D62)+3,0)),"")</f>
        <v/>
      </c>
      <c r="P62" s="487">
        <f t="shared" si="17"/>
        <v>23</v>
      </c>
      <c r="Q62" s="487"/>
      <c r="R62" s="487"/>
      <c r="S62" s="487"/>
      <c r="T62" s="487" t="b">
        <v>0</v>
      </c>
    </row>
    <row r="63" spans="1:20" x14ac:dyDescent="0.3">
      <c r="A63" s="487" t="b">
        <v>0</v>
      </c>
      <c r="B63" s="501"/>
      <c r="C63" s="487" t="s">
        <v>6988</v>
      </c>
      <c r="D63" s="487" t="s">
        <v>3929</v>
      </c>
      <c r="E63" s="487">
        <f t="shared" si="15"/>
        <v>6</v>
      </c>
      <c r="F63" s="502">
        <v>4</v>
      </c>
      <c r="G63" s="487"/>
      <c r="H63" s="487">
        <f t="shared" ca="1" si="16"/>
        <v>15</v>
      </c>
      <c r="I63" s="503"/>
      <c r="J63" s="503"/>
      <c r="K63" s="490"/>
      <c r="L63" s="493"/>
      <c r="M63" s="504"/>
      <c r="N63" s="493"/>
      <c r="O63" s="487" t="str">
        <f ca="1">IFERROR(IF(COUNTA($D$37:$D63)=1,"",OFFSET($C61,-COUNTA($D$37:$D63)+3,0)),"")</f>
        <v/>
      </c>
      <c r="P63" s="487">
        <f t="shared" si="17"/>
        <v>24</v>
      </c>
      <c r="Q63" s="487"/>
      <c r="R63" s="487"/>
      <c r="S63" s="487"/>
      <c r="T63" s="487" t="b">
        <v>0</v>
      </c>
    </row>
    <row r="64" spans="1:20" x14ac:dyDescent="0.3">
      <c r="A64" s="487" t="b">
        <v>0</v>
      </c>
      <c r="B64" s="501"/>
      <c r="C64" s="487" t="s">
        <v>6989</v>
      </c>
      <c r="D64" s="487" t="s">
        <v>3950</v>
      </c>
      <c r="E64" s="487">
        <f t="shared" si="15"/>
        <v>1</v>
      </c>
      <c r="F64" s="502">
        <v>5</v>
      </c>
      <c r="G64" s="487"/>
      <c r="H64" s="487">
        <f t="shared" ca="1" si="16"/>
        <v>17</v>
      </c>
      <c r="I64" s="503"/>
      <c r="J64" s="503"/>
      <c r="K64" s="490"/>
      <c r="L64" s="493"/>
      <c r="M64" s="504"/>
      <c r="N64" s="493"/>
      <c r="O64" s="487" t="str">
        <f ca="1">IFERROR(IF(COUNTA($D$37:$D64)=1,"",OFFSET($C62,-COUNTA($D$37:$D64)+3,0)),"")</f>
        <v/>
      </c>
      <c r="P64" s="487">
        <f t="shared" si="17"/>
        <v>25</v>
      </c>
      <c r="Q64" s="487"/>
      <c r="R64" s="487"/>
      <c r="S64" s="487"/>
      <c r="T64" s="487" t="b">
        <v>0</v>
      </c>
    </row>
    <row r="65" spans="1:20" x14ac:dyDescent="0.3">
      <c r="A65" s="487" t="b">
        <v>0</v>
      </c>
      <c r="B65" s="501"/>
      <c r="C65" s="487" t="s">
        <v>6990</v>
      </c>
      <c r="D65" s="487" t="s">
        <v>3950</v>
      </c>
      <c r="E65" s="487">
        <f t="shared" si="15"/>
        <v>2</v>
      </c>
      <c r="F65" s="502">
        <v>5</v>
      </c>
      <c r="G65" s="487"/>
      <c r="H65" s="487">
        <f t="shared" ca="1" si="16"/>
        <v>17</v>
      </c>
      <c r="I65" s="503"/>
      <c r="J65" s="503"/>
      <c r="K65" s="490"/>
      <c r="L65" s="493"/>
      <c r="M65" s="504"/>
      <c r="N65" s="493"/>
      <c r="O65" s="487" t="str">
        <f ca="1">IFERROR(IF(COUNTA($D$37:$D65)=1,"",OFFSET($C63,-COUNTA($D$37:$D65)+3,0)),"")</f>
        <v/>
      </c>
      <c r="P65" s="487">
        <f t="shared" si="17"/>
        <v>26</v>
      </c>
      <c r="Q65" s="487"/>
      <c r="R65" s="487"/>
      <c r="S65" s="487"/>
      <c r="T65" s="487" t="b">
        <v>0</v>
      </c>
    </row>
    <row r="66" spans="1:20" x14ac:dyDescent="0.3">
      <c r="A66" s="487" t="b">
        <v>0</v>
      </c>
      <c r="B66" s="501"/>
      <c r="C66" s="487" t="s">
        <v>6991</v>
      </c>
      <c r="D66" s="487" t="s">
        <v>3950</v>
      </c>
      <c r="E66" s="487">
        <f t="shared" si="15"/>
        <v>3</v>
      </c>
      <c r="F66" s="502">
        <v>5</v>
      </c>
      <c r="G66" s="487"/>
      <c r="H66" s="487">
        <f t="shared" ca="1" si="16"/>
        <v>17</v>
      </c>
      <c r="I66" s="503"/>
      <c r="J66" s="503"/>
      <c r="K66" s="490"/>
      <c r="L66" s="493"/>
      <c r="M66" s="504"/>
      <c r="N66" s="493"/>
      <c r="O66" s="487" t="str">
        <f ca="1">IFERROR(IF(COUNTA($D$37:$D66)=1,"",OFFSET($C64,-COUNTA($D$37:$D66)+3,0)),"")</f>
        <v/>
      </c>
      <c r="P66" s="487">
        <f t="shared" si="17"/>
        <v>27</v>
      </c>
      <c r="Q66" s="487"/>
      <c r="R66" s="487"/>
      <c r="S66" s="487"/>
      <c r="T66" s="487" t="b">
        <v>0</v>
      </c>
    </row>
    <row r="67" spans="1:20" x14ac:dyDescent="0.3">
      <c r="A67" s="487" t="b">
        <v>0</v>
      </c>
      <c r="B67" s="501"/>
      <c r="C67" s="487" t="s">
        <v>6992</v>
      </c>
      <c r="D67" s="487" t="s">
        <v>3950</v>
      </c>
      <c r="E67" s="487">
        <f t="shared" si="15"/>
        <v>4</v>
      </c>
      <c r="F67" s="502">
        <v>5</v>
      </c>
      <c r="G67" s="487"/>
      <c r="H67" s="487">
        <f t="shared" ca="1" si="16"/>
        <v>17</v>
      </c>
      <c r="I67" s="503"/>
      <c r="J67" s="503"/>
      <c r="K67" s="490"/>
      <c r="L67" s="493"/>
      <c r="M67" s="504"/>
      <c r="N67" s="493"/>
      <c r="O67" s="487" t="str">
        <f ca="1">IFERROR(IF(COUNTA($D$37:$D67)=1,"",OFFSET($C65,-COUNTA($D$37:$D67)+3,0)),"")</f>
        <v/>
      </c>
      <c r="P67" s="487">
        <f t="shared" si="17"/>
        <v>28</v>
      </c>
      <c r="Q67" s="487"/>
      <c r="R67" s="487"/>
      <c r="S67" s="487"/>
      <c r="T67" s="487" t="b">
        <v>0</v>
      </c>
    </row>
    <row r="68" spans="1:20" x14ac:dyDescent="0.3">
      <c r="A68" s="487" t="b">
        <v>0</v>
      </c>
      <c r="B68" s="501"/>
      <c r="C68" s="487" t="s">
        <v>6993</v>
      </c>
      <c r="D68" s="487" t="s">
        <v>3950</v>
      </c>
      <c r="E68" s="487">
        <f t="shared" si="15"/>
        <v>5</v>
      </c>
      <c r="F68" s="502">
        <v>5</v>
      </c>
      <c r="G68" s="487"/>
      <c r="H68" s="487">
        <f t="shared" ca="1" si="16"/>
        <v>17</v>
      </c>
      <c r="I68" s="503"/>
      <c r="J68" s="503"/>
      <c r="K68" s="490"/>
      <c r="L68" s="493"/>
      <c r="M68" s="504"/>
      <c r="N68" s="493"/>
      <c r="O68" s="487" t="str">
        <f ca="1">IFERROR(IF(COUNTA($D$37:$D68)=1,"",OFFSET($C66,-COUNTA($D$37:$D68)+3,0)),"")</f>
        <v/>
      </c>
      <c r="P68" s="487">
        <f t="shared" si="17"/>
        <v>29</v>
      </c>
      <c r="Q68" s="487"/>
      <c r="R68" s="487"/>
      <c r="S68" s="487"/>
      <c r="T68" s="487" t="b">
        <v>0</v>
      </c>
    </row>
    <row r="69" spans="1:20" x14ac:dyDescent="0.3">
      <c r="A69" s="487" t="b">
        <v>0</v>
      </c>
      <c r="B69" s="501"/>
      <c r="C69" s="487" t="s">
        <v>6994</v>
      </c>
      <c r="D69" s="487" t="s">
        <v>3950</v>
      </c>
      <c r="E69" s="487">
        <f t="shared" si="15"/>
        <v>6</v>
      </c>
      <c r="F69" s="502">
        <v>5</v>
      </c>
      <c r="G69" s="487"/>
      <c r="H69" s="487">
        <f t="shared" ca="1" si="16"/>
        <v>17</v>
      </c>
      <c r="I69" s="503"/>
      <c r="J69" s="503"/>
      <c r="K69" s="490"/>
      <c r="L69" s="493"/>
      <c r="M69" s="504"/>
      <c r="N69" s="493"/>
      <c r="O69" s="487" t="str">
        <f ca="1">IFERROR(IF(COUNTA($D$37:$D69)=1,"",OFFSET($C67,-COUNTA($D$37:$D69)+3,0)),"")</f>
        <v/>
      </c>
      <c r="P69" s="487">
        <f t="shared" si="17"/>
        <v>30</v>
      </c>
      <c r="Q69" s="487"/>
      <c r="R69" s="487"/>
      <c r="S69" s="487"/>
      <c r="T69" s="487" t="b">
        <v>0</v>
      </c>
    </row>
    <row r="70" spans="1:20" x14ac:dyDescent="0.3">
      <c r="A70" s="487" t="b">
        <v>0</v>
      </c>
      <c r="B70" s="501"/>
      <c r="C70" s="487" t="s">
        <v>6995</v>
      </c>
      <c r="D70" s="487" t="s">
        <v>3971</v>
      </c>
      <c r="E70" s="487">
        <f t="shared" si="15"/>
        <v>1</v>
      </c>
      <c r="F70" s="502">
        <v>6</v>
      </c>
      <c r="G70" s="487"/>
      <c r="H70" s="487">
        <f t="shared" ca="1" si="16"/>
        <v>19</v>
      </c>
      <c r="I70" s="503"/>
      <c r="J70" s="503"/>
      <c r="K70" s="490"/>
      <c r="L70" s="493"/>
      <c r="M70" s="504"/>
      <c r="N70" s="493"/>
      <c r="O70" s="487" t="str">
        <f ca="1">IFERROR(IF(COUNTA($D$37:$D70)=1,"",OFFSET($C68,-COUNTA($D$37:$D70)+3,0)),"")</f>
        <v/>
      </c>
      <c r="P70" s="487">
        <f t="shared" si="17"/>
        <v>31</v>
      </c>
      <c r="Q70" s="487"/>
      <c r="R70" s="487"/>
      <c r="S70" s="487"/>
      <c r="T70" s="487" t="b">
        <v>0</v>
      </c>
    </row>
    <row r="71" spans="1:20" x14ac:dyDescent="0.3">
      <c r="A71" s="487" t="b">
        <v>0</v>
      </c>
      <c r="B71" s="501"/>
      <c r="C71" s="487" t="s">
        <v>6996</v>
      </c>
      <c r="D71" s="487" t="s">
        <v>3971</v>
      </c>
      <c r="E71" s="487">
        <f t="shared" si="15"/>
        <v>2</v>
      </c>
      <c r="F71" s="502">
        <v>6</v>
      </c>
      <c r="G71" s="487"/>
      <c r="H71" s="487">
        <f t="shared" ca="1" si="16"/>
        <v>19</v>
      </c>
      <c r="I71" s="503"/>
      <c r="J71" s="503"/>
      <c r="K71" s="490"/>
      <c r="L71" s="493"/>
      <c r="M71" s="504"/>
      <c r="N71" s="493"/>
      <c r="O71" s="487" t="str">
        <f ca="1">IFERROR(IF(COUNTA($D$37:$D71)=1,"",OFFSET($C69,-COUNTA($D$37:$D71)+3,0)),"")</f>
        <v/>
      </c>
      <c r="P71" s="487">
        <f t="shared" si="17"/>
        <v>32</v>
      </c>
      <c r="Q71" s="487"/>
      <c r="R71" s="487"/>
      <c r="S71" s="487"/>
      <c r="T71" s="487" t="b">
        <v>0</v>
      </c>
    </row>
    <row r="72" spans="1:20" x14ac:dyDescent="0.3">
      <c r="A72" s="487" t="b">
        <v>0</v>
      </c>
      <c r="B72" s="501"/>
      <c r="C72" s="487" t="s">
        <v>6997</v>
      </c>
      <c r="D72" s="487" t="s">
        <v>3971</v>
      </c>
      <c r="E72" s="487">
        <f t="shared" si="15"/>
        <v>3</v>
      </c>
      <c r="F72" s="502">
        <v>6</v>
      </c>
      <c r="G72" s="487"/>
      <c r="H72" s="487">
        <f t="shared" ca="1" si="16"/>
        <v>19</v>
      </c>
      <c r="I72" s="503"/>
      <c r="J72" s="503"/>
      <c r="K72" s="490"/>
      <c r="L72" s="493"/>
      <c r="M72" s="504"/>
      <c r="N72" s="493"/>
      <c r="O72" s="487" t="str">
        <f ca="1">IFERROR(IF(COUNTA($D$37:$D72)=1,"",OFFSET($C70,-COUNTA($D$37:$D72)+3,0)),"")</f>
        <v/>
      </c>
      <c r="P72" s="487">
        <f t="shared" si="17"/>
        <v>33</v>
      </c>
      <c r="Q72" s="487"/>
      <c r="R72" s="487"/>
      <c r="S72" s="487"/>
      <c r="T72" s="487" t="b">
        <v>0</v>
      </c>
    </row>
    <row r="73" spans="1:20" x14ac:dyDescent="0.3">
      <c r="A73" s="487" t="b">
        <v>0</v>
      </c>
      <c r="B73" s="501"/>
      <c r="C73" s="487" t="s">
        <v>6998</v>
      </c>
      <c r="D73" s="487" t="s">
        <v>3971</v>
      </c>
      <c r="E73" s="487">
        <f t="shared" si="15"/>
        <v>4</v>
      </c>
      <c r="F73" s="502">
        <v>6</v>
      </c>
      <c r="G73" s="487"/>
      <c r="H73" s="487">
        <f t="shared" ca="1" si="16"/>
        <v>19</v>
      </c>
      <c r="I73" s="503"/>
      <c r="J73" s="503"/>
      <c r="K73" s="490"/>
      <c r="L73" s="493"/>
      <c r="M73" s="504"/>
      <c r="N73" s="493"/>
      <c r="O73" s="487" t="str">
        <f ca="1">IFERROR(IF(COUNTA($D$37:$D73)=1,"",OFFSET($C71,-COUNTA($D$37:$D73)+3,0)),"")</f>
        <v/>
      </c>
      <c r="P73" s="487">
        <f t="shared" si="17"/>
        <v>34</v>
      </c>
      <c r="Q73" s="487"/>
      <c r="R73" s="487"/>
      <c r="S73" s="487"/>
      <c r="T73" s="487" t="b">
        <v>0</v>
      </c>
    </row>
    <row r="74" spans="1:20" x14ac:dyDescent="0.3">
      <c r="A74" s="487" t="b">
        <v>0</v>
      </c>
      <c r="B74" s="501"/>
      <c r="C74" s="487" t="s">
        <v>6999</v>
      </c>
      <c r="D74" s="487" t="s">
        <v>3971</v>
      </c>
      <c r="E74" s="487">
        <f t="shared" si="15"/>
        <v>5</v>
      </c>
      <c r="F74" s="502">
        <v>6</v>
      </c>
      <c r="G74" s="487"/>
      <c r="H74" s="487">
        <f t="shared" ca="1" si="16"/>
        <v>19</v>
      </c>
      <c r="I74" s="503"/>
      <c r="J74" s="503"/>
      <c r="K74" s="490"/>
      <c r="L74" s="493"/>
      <c r="M74" s="504"/>
      <c r="N74" s="493"/>
      <c r="O74" s="487" t="str">
        <f ca="1">IFERROR(IF(COUNTA($D$37:$D74)=1,"",OFFSET($C72,-COUNTA($D$37:$D74)+3,0)),"")</f>
        <v/>
      </c>
      <c r="P74" s="487">
        <f t="shared" si="17"/>
        <v>35</v>
      </c>
      <c r="Q74" s="487"/>
      <c r="R74" s="487"/>
      <c r="S74" s="487"/>
      <c r="T74" s="487" t="b">
        <v>0</v>
      </c>
    </row>
    <row r="75" spans="1:20" x14ac:dyDescent="0.3">
      <c r="A75" s="487" t="b">
        <v>0</v>
      </c>
      <c r="B75" s="501"/>
      <c r="C75" s="487" t="s">
        <v>7000</v>
      </c>
      <c r="D75" s="487" t="s">
        <v>3971</v>
      </c>
      <c r="E75" s="487">
        <f t="shared" si="15"/>
        <v>6</v>
      </c>
      <c r="F75" s="502">
        <v>6</v>
      </c>
      <c r="G75" s="487"/>
      <c r="H75" s="487">
        <f t="shared" ca="1" si="16"/>
        <v>19</v>
      </c>
      <c r="I75" s="503"/>
      <c r="J75" s="503"/>
      <c r="K75" s="490"/>
      <c r="L75" s="493"/>
      <c r="M75" s="504"/>
      <c r="N75" s="493"/>
      <c r="O75" s="487" t="str">
        <f ca="1">IFERROR(IF(COUNTA($D$37:$D75)=1,"",OFFSET($C73,-COUNTA($D$37:$D75)+3,0)),"")</f>
        <v/>
      </c>
      <c r="P75" s="487">
        <f t="shared" si="17"/>
        <v>36</v>
      </c>
      <c r="Q75" s="487"/>
      <c r="R75" s="487"/>
      <c r="S75" s="487"/>
      <c r="T75" s="487" t="b">
        <v>0</v>
      </c>
    </row>
    <row r="76" spans="1:20" x14ac:dyDescent="0.3">
      <c r="A76" s="487" t="b">
        <v>0</v>
      </c>
      <c r="B76" s="501"/>
      <c r="C76" s="487" t="s">
        <v>7001</v>
      </c>
      <c r="D76" s="487" t="s">
        <v>3992</v>
      </c>
      <c r="E76" s="487">
        <f t="shared" si="15"/>
        <v>1</v>
      </c>
      <c r="F76" s="502">
        <v>7</v>
      </c>
      <c r="G76" s="487"/>
      <c r="H76" s="487">
        <f t="shared" ca="1" si="16"/>
        <v>21</v>
      </c>
      <c r="I76" s="503"/>
      <c r="J76" s="503"/>
      <c r="K76" s="490"/>
      <c r="L76" s="493"/>
      <c r="M76" s="504"/>
      <c r="N76" s="493"/>
      <c r="O76" s="487" t="str">
        <f ca="1">IFERROR(IF(COUNTA($D$37:$D76)=1,"",OFFSET($C74,-COUNTA($D$37:$D76)+3,0)),"")</f>
        <v/>
      </c>
      <c r="P76" s="487">
        <f t="shared" si="17"/>
        <v>37</v>
      </c>
      <c r="Q76" s="487"/>
      <c r="R76" s="487"/>
      <c r="S76" s="487"/>
      <c r="T76" s="487" t="b">
        <v>0</v>
      </c>
    </row>
    <row r="77" spans="1:20" x14ac:dyDescent="0.3">
      <c r="A77" s="487" t="b">
        <v>0</v>
      </c>
      <c r="B77" s="501"/>
      <c r="C77" s="487" t="s">
        <v>7002</v>
      </c>
      <c r="D77" s="487" t="s">
        <v>3992</v>
      </c>
      <c r="E77" s="487">
        <f t="shared" si="15"/>
        <v>2</v>
      </c>
      <c r="F77" s="502">
        <v>7</v>
      </c>
      <c r="G77" s="487"/>
      <c r="H77" s="487">
        <f t="shared" ca="1" si="16"/>
        <v>21</v>
      </c>
      <c r="I77" s="503"/>
      <c r="J77" s="503"/>
      <c r="K77" s="490"/>
      <c r="L77" s="493"/>
      <c r="M77" s="504"/>
      <c r="N77" s="493"/>
      <c r="O77" s="487" t="str">
        <f ca="1">IFERROR(IF(COUNTA($D$37:$D77)=1,"",OFFSET($C75,-COUNTA($D$37:$D77)+3,0)),"")</f>
        <v/>
      </c>
      <c r="P77" s="487">
        <f t="shared" si="17"/>
        <v>38</v>
      </c>
      <c r="Q77" s="487"/>
      <c r="R77" s="487"/>
      <c r="S77" s="487"/>
      <c r="T77" s="487" t="b">
        <v>0</v>
      </c>
    </row>
    <row r="78" spans="1:20" x14ac:dyDescent="0.3">
      <c r="A78" s="487" t="b">
        <v>0</v>
      </c>
      <c r="B78" s="501"/>
      <c r="C78" s="487" t="s">
        <v>7003</v>
      </c>
      <c r="D78" s="487" t="s">
        <v>3992</v>
      </c>
      <c r="E78" s="487">
        <f t="shared" si="15"/>
        <v>3</v>
      </c>
      <c r="F78" s="502">
        <v>7</v>
      </c>
      <c r="G78" s="487"/>
      <c r="H78" s="487">
        <f t="shared" ca="1" si="16"/>
        <v>21</v>
      </c>
      <c r="I78" s="503"/>
      <c r="J78" s="503"/>
      <c r="K78" s="490"/>
      <c r="L78" s="493"/>
      <c r="M78" s="504"/>
      <c r="N78" s="493"/>
      <c r="O78" s="487" t="str">
        <f ca="1">IFERROR(IF(COUNTA($D$37:$D78)=1,"",OFFSET($C76,-COUNTA($D$37:$D78)+3,0)),"")</f>
        <v/>
      </c>
      <c r="P78" s="487">
        <f t="shared" si="17"/>
        <v>39</v>
      </c>
      <c r="Q78" s="487"/>
      <c r="R78" s="487"/>
      <c r="S78" s="487"/>
      <c r="T78" s="487" t="b">
        <v>0</v>
      </c>
    </row>
    <row r="79" spans="1:20" x14ac:dyDescent="0.3">
      <c r="A79" s="487" t="b">
        <v>0</v>
      </c>
      <c r="B79" s="501"/>
      <c r="C79" s="487" t="s">
        <v>7004</v>
      </c>
      <c r="D79" s="487" t="s">
        <v>3992</v>
      </c>
      <c r="E79" s="487">
        <f t="shared" si="15"/>
        <v>4</v>
      </c>
      <c r="F79" s="502">
        <v>7</v>
      </c>
      <c r="G79" s="487"/>
      <c r="H79" s="487">
        <f t="shared" ca="1" si="16"/>
        <v>21</v>
      </c>
      <c r="I79" s="503"/>
      <c r="J79" s="503"/>
      <c r="K79" s="490"/>
      <c r="L79" s="493"/>
      <c r="M79" s="504"/>
      <c r="N79" s="493"/>
      <c r="O79" s="487" t="str">
        <f ca="1">IFERROR(IF(COUNTA($D$37:$D79)=1,"",OFFSET($C77,-COUNTA($D$37:$D79)+3,0)),"")</f>
        <v/>
      </c>
      <c r="P79" s="487">
        <f t="shared" si="17"/>
        <v>40</v>
      </c>
      <c r="Q79" s="487"/>
      <c r="R79" s="487"/>
      <c r="S79" s="487"/>
      <c r="T79" s="487" t="b">
        <v>0</v>
      </c>
    </row>
    <row r="80" spans="1:20" x14ac:dyDescent="0.3">
      <c r="A80" s="487" t="b">
        <v>0</v>
      </c>
      <c r="B80" s="501"/>
      <c r="C80" s="487" t="s">
        <v>7005</v>
      </c>
      <c r="D80" s="487" t="s">
        <v>3992</v>
      </c>
      <c r="E80" s="487">
        <f t="shared" si="15"/>
        <v>5</v>
      </c>
      <c r="F80" s="502">
        <v>7</v>
      </c>
      <c r="G80" s="487"/>
      <c r="H80" s="487">
        <f t="shared" ca="1" si="16"/>
        <v>21</v>
      </c>
      <c r="I80" s="503"/>
      <c r="J80" s="503"/>
      <c r="K80" s="490"/>
      <c r="L80" s="493"/>
      <c r="M80" s="504"/>
      <c r="N80" s="493"/>
      <c r="O80" s="487" t="str">
        <f ca="1">IFERROR(IF(COUNTA($D$37:$D80)=1,"",OFFSET($C78,-COUNTA($D$37:$D80)+3,0)),"")</f>
        <v/>
      </c>
      <c r="P80" s="487">
        <f t="shared" si="17"/>
        <v>41</v>
      </c>
      <c r="Q80" s="487"/>
      <c r="R80" s="487"/>
      <c r="S80" s="487"/>
      <c r="T80" s="487" t="b">
        <v>0</v>
      </c>
    </row>
    <row r="81" spans="1:20" x14ac:dyDescent="0.3">
      <c r="A81" s="487" t="b">
        <v>0</v>
      </c>
      <c r="B81" s="501"/>
      <c r="C81" s="487" t="s">
        <v>7006</v>
      </c>
      <c r="D81" s="487" t="s">
        <v>3992</v>
      </c>
      <c r="E81" s="487">
        <f t="shared" si="15"/>
        <v>6</v>
      </c>
      <c r="F81" s="502">
        <v>7</v>
      </c>
      <c r="G81" s="487"/>
      <c r="H81" s="487">
        <f t="shared" ca="1" si="16"/>
        <v>21</v>
      </c>
      <c r="I81" s="503"/>
      <c r="J81" s="503"/>
      <c r="K81" s="490"/>
      <c r="L81" s="493"/>
      <c r="M81" s="504"/>
      <c r="N81" s="493"/>
      <c r="O81" s="487" t="str">
        <f ca="1">IFERROR(IF(COUNTA($D$37:$D81)=1,"",OFFSET($C79,-COUNTA($D$37:$D81)+3,0)),"")</f>
        <v/>
      </c>
      <c r="P81" s="487">
        <f t="shared" si="17"/>
        <v>42</v>
      </c>
      <c r="Q81" s="487"/>
      <c r="R81" s="487"/>
      <c r="S81" s="487"/>
      <c r="T81" s="487" t="b">
        <v>0</v>
      </c>
    </row>
    <row r="82" spans="1:20" x14ac:dyDescent="0.3">
      <c r="A82" s="487" t="b">
        <v>0</v>
      </c>
      <c r="B82" s="501"/>
      <c r="C82" s="487" t="s">
        <v>7007</v>
      </c>
      <c r="D82" s="487" t="s">
        <v>4013</v>
      </c>
      <c r="E82" s="487">
        <f t="shared" si="15"/>
        <v>1</v>
      </c>
      <c r="F82" s="502">
        <v>8</v>
      </c>
      <c r="G82" s="487"/>
      <c r="H82" s="487">
        <f t="shared" ca="1" si="16"/>
        <v>23</v>
      </c>
      <c r="I82" s="503"/>
      <c r="J82" s="503"/>
      <c r="K82" s="490"/>
      <c r="L82" s="493"/>
      <c r="M82" s="504"/>
      <c r="N82" s="493"/>
      <c r="O82" s="487" t="str">
        <f ca="1">IFERROR(IF(COUNTA($D$37:$D82)=1,"",OFFSET($C80,-COUNTA($D$37:$D82)+3,0)),"")</f>
        <v/>
      </c>
      <c r="P82" s="487">
        <f t="shared" si="17"/>
        <v>43</v>
      </c>
      <c r="Q82" s="487"/>
      <c r="R82" s="487"/>
      <c r="S82" s="487"/>
      <c r="T82" s="487" t="b">
        <v>0</v>
      </c>
    </row>
    <row r="83" spans="1:20" x14ac:dyDescent="0.3">
      <c r="A83" s="487" t="b">
        <v>0</v>
      </c>
      <c r="B83" s="501"/>
      <c r="C83" s="487" t="s">
        <v>7008</v>
      </c>
      <c r="D83" s="487" t="s">
        <v>4013</v>
      </c>
      <c r="E83" s="487">
        <f t="shared" si="15"/>
        <v>2</v>
      </c>
      <c r="F83" s="502">
        <v>8</v>
      </c>
      <c r="G83" s="487"/>
      <c r="H83" s="487">
        <f t="shared" ca="1" si="16"/>
        <v>23</v>
      </c>
      <c r="I83" s="503"/>
      <c r="J83" s="503"/>
      <c r="K83" s="490"/>
      <c r="L83" s="493"/>
      <c r="M83" s="504"/>
      <c r="N83" s="493"/>
      <c r="O83" s="487" t="str">
        <f ca="1">IFERROR(IF(COUNTA($D$37:$D83)=1,"",OFFSET($C81,-COUNTA($D$37:$D83)+3,0)),"")</f>
        <v/>
      </c>
      <c r="P83" s="487">
        <f t="shared" si="17"/>
        <v>44</v>
      </c>
      <c r="Q83" s="487"/>
      <c r="R83" s="487"/>
      <c r="S83" s="487"/>
      <c r="T83" s="487" t="b">
        <v>0</v>
      </c>
    </row>
    <row r="84" spans="1:20" x14ac:dyDescent="0.3">
      <c r="A84" s="487" t="b">
        <v>0</v>
      </c>
      <c r="B84" s="501"/>
      <c r="C84" s="487" t="s">
        <v>7009</v>
      </c>
      <c r="D84" s="487" t="s">
        <v>4013</v>
      </c>
      <c r="E84" s="487">
        <f t="shared" si="15"/>
        <v>3</v>
      </c>
      <c r="F84" s="502">
        <v>8</v>
      </c>
      <c r="G84" s="487"/>
      <c r="H84" s="487">
        <f t="shared" ca="1" si="16"/>
        <v>23</v>
      </c>
      <c r="I84" s="503"/>
      <c r="J84" s="503"/>
      <c r="K84" s="490"/>
      <c r="L84" s="493"/>
      <c r="M84" s="504"/>
      <c r="N84" s="493"/>
      <c r="O84" s="487" t="str">
        <f ca="1">IFERROR(IF(COUNTA($D$37:$D84)=1,"",OFFSET($C82,-COUNTA($D$37:$D84)+3,0)),"")</f>
        <v/>
      </c>
      <c r="P84" s="487">
        <f t="shared" si="17"/>
        <v>45</v>
      </c>
      <c r="Q84" s="487"/>
      <c r="R84" s="487"/>
      <c r="S84" s="487"/>
      <c r="T84" s="487" t="b">
        <v>0</v>
      </c>
    </row>
    <row r="85" spans="1:20" x14ac:dyDescent="0.3">
      <c r="A85" s="487" t="b">
        <v>0</v>
      </c>
      <c r="B85" s="501"/>
      <c r="C85" s="487" t="s">
        <v>7010</v>
      </c>
      <c r="D85" s="487" t="s">
        <v>4013</v>
      </c>
      <c r="E85" s="487">
        <f t="shared" si="15"/>
        <v>4</v>
      </c>
      <c r="F85" s="502">
        <v>8</v>
      </c>
      <c r="G85" s="487"/>
      <c r="H85" s="487">
        <f t="shared" ca="1" si="16"/>
        <v>23</v>
      </c>
      <c r="I85" s="503"/>
      <c r="J85" s="503"/>
      <c r="K85" s="490"/>
      <c r="L85" s="493"/>
      <c r="M85" s="504"/>
      <c r="N85" s="493"/>
      <c r="O85" s="487" t="str">
        <f ca="1">IFERROR(IF(COUNTA($D$37:$D85)=1,"",OFFSET($C83,-COUNTA($D$37:$D85)+3,0)),"")</f>
        <v/>
      </c>
      <c r="P85" s="487">
        <f t="shared" si="17"/>
        <v>46</v>
      </c>
      <c r="Q85" s="487"/>
      <c r="R85" s="487"/>
      <c r="S85" s="487"/>
      <c r="T85" s="487" t="b">
        <v>0</v>
      </c>
    </row>
    <row r="86" spans="1:20" x14ac:dyDescent="0.3">
      <c r="A86" s="487" t="b">
        <v>0</v>
      </c>
      <c r="B86" s="501"/>
      <c r="C86" s="487" t="s">
        <v>7011</v>
      </c>
      <c r="D86" s="487" t="s">
        <v>4013</v>
      </c>
      <c r="E86" s="487">
        <f t="shared" si="15"/>
        <v>5</v>
      </c>
      <c r="F86" s="502">
        <v>8</v>
      </c>
      <c r="G86" s="487"/>
      <c r="H86" s="487">
        <f t="shared" ca="1" si="16"/>
        <v>23</v>
      </c>
      <c r="I86" s="503"/>
      <c r="J86" s="503"/>
      <c r="K86" s="490"/>
      <c r="L86" s="493"/>
      <c r="M86" s="504"/>
      <c r="N86" s="493"/>
      <c r="O86" s="487" t="str">
        <f ca="1">IFERROR(IF(COUNTA($D$37:$D86)=1,"",OFFSET($C84,-COUNTA($D$37:$D86)+3,0)),"")</f>
        <v/>
      </c>
      <c r="P86" s="487">
        <f t="shared" si="17"/>
        <v>47</v>
      </c>
      <c r="Q86" s="487"/>
      <c r="R86" s="487"/>
      <c r="S86" s="487"/>
      <c r="T86" s="487" t="b">
        <v>0</v>
      </c>
    </row>
    <row r="87" spans="1:20" x14ac:dyDescent="0.3">
      <c r="A87" s="487" t="b">
        <v>0</v>
      </c>
      <c r="B87" s="501"/>
      <c r="C87" s="487" t="s">
        <v>7012</v>
      </c>
      <c r="D87" s="487" t="s">
        <v>4013</v>
      </c>
      <c r="E87" s="487">
        <f t="shared" si="15"/>
        <v>6</v>
      </c>
      <c r="F87" s="502">
        <v>8</v>
      </c>
      <c r="G87" s="487"/>
      <c r="H87" s="487">
        <f t="shared" ca="1" si="16"/>
        <v>23</v>
      </c>
      <c r="I87" s="503"/>
      <c r="J87" s="503"/>
      <c r="K87" s="490"/>
      <c r="L87" s="493"/>
      <c r="M87" s="504"/>
      <c r="N87" s="493"/>
      <c r="O87" s="487" t="str">
        <f ca="1">IFERROR(IF(COUNTA($D$37:$D87)=1,"",OFFSET($C85,-COUNTA($D$37:$D87)+3,0)),"")</f>
        <v/>
      </c>
      <c r="P87" s="487">
        <f t="shared" si="17"/>
        <v>48</v>
      </c>
      <c r="Q87" s="487"/>
      <c r="R87" s="487"/>
      <c r="S87" s="487"/>
      <c r="T87" s="487" t="b">
        <v>0</v>
      </c>
    </row>
    <row r="88" spans="1:20" x14ac:dyDescent="0.3">
      <c r="A88" s="487" t="b">
        <v>0</v>
      </c>
      <c r="B88" s="501"/>
      <c r="C88" s="487" t="s">
        <v>7013</v>
      </c>
      <c r="D88" s="487" t="s">
        <v>4034</v>
      </c>
      <c r="E88" s="487">
        <f t="shared" si="15"/>
        <v>1</v>
      </c>
      <c r="F88" s="502">
        <v>9</v>
      </c>
      <c r="G88" s="487"/>
      <c r="H88" s="487">
        <f t="shared" ca="1" si="16"/>
        <v>25</v>
      </c>
      <c r="I88" s="503"/>
      <c r="J88" s="503"/>
      <c r="K88" s="490"/>
      <c r="L88" s="493"/>
      <c r="M88" s="504"/>
      <c r="N88" s="493"/>
      <c r="O88" s="487" t="str">
        <f ca="1">IFERROR(IF(COUNTA($D$37:$D88)=1,"",OFFSET($C86,-COUNTA($D$37:$D88)+3,0)),"")</f>
        <v/>
      </c>
      <c r="P88" s="487">
        <f t="shared" si="17"/>
        <v>49</v>
      </c>
      <c r="Q88" s="487"/>
      <c r="R88" s="487"/>
      <c r="S88" s="487"/>
      <c r="T88" s="487" t="b">
        <v>0</v>
      </c>
    </row>
    <row r="89" spans="1:20" x14ac:dyDescent="0.3">
      <c r="A89" s="487" t="b">
        <v>0</v>
      </c>
      <c r="B89" s="501"/>
      <c r="C89" s="487" t="s">
        <v>7014</v>
      </c>
      <c r="D89" s="487" t="s">
        <v>4034</v>
      </c>
      <c r="E89" s="487">
        <f t="shared" si="15"/>
        <v>2</v>
      </c>
      <c r="F89" s="502">
        <v>9</v>
      </c>
      <c r="G89" s="487"/>
      <c r="H89" s="487">
        <f t="shared" ca="1" si="16"/>
        <v>25</v>
      </c>
      <c r="I89" s="503"/>
      <c r="J89" s="503"/>
      <c r="K89" s="490"/>
      <c r="L89" s="493"/>
      <c r="M89" s="504"/>
      <c r="N89" s="493"/>
      <c r="O89" s="487" t="str">
        <f ca="1">IFERROR(IF(COUNTA($D$37:$D89)=1,"",OFFSET($C87,-COUNTA($D$37:$D89)+3,0)),"")</f>
        <v/>
      </c>
      <c r="P89" s="487">
        <f t="shared" si="17"/>
        <v>50</v>
      </c>
      <c r="Q89" s="487"/>
      <c r="R89" s="487"/>
      <c r="S89" s="487"/>
      <c r="T89" s="487" t="b">
        <v>0</v>
      </c>
    </row>
    <row r="90" spans="1:20" x14ac:dyDescent="0.3">
      <c r="A90" s="487" t="b">
        <v>0</v>
      </c>
      <c r="B90" s="501"/>
      <c r="C90" s="487" t="s">
        <v>7015</v>
      </c>
      <c r="D90" s="487" t="s">
        <v>4034</v>
      </c>
      <c r="E90" s="487">
        <f t="shared" si="15"/>
        <v>3</v>
      </c>
      <c r="F90" s="502">
        <v>9</v>
      </c>
      <c r="G90" s="487"/>
      <c r="H90" s="487">
        <f t="shared" ca="1" si="16"/>
        <v>25</v>
      </c>
      <c r="I90" s="503"/>
      <c r="J90" s="503"/>
      <c r="K90" s="490"/>
      <c r="L90" s="493"/>
      <c r="M90" s="504"/>
      <c r="N90" s="493"/>
      <c r="O90" s="487" t="str">
        <f ca="1">IFERROR(IF(COUNTA($D$37:$D90)=1,"",OFFSET($C88,-COUNTA($D$37:$D90)+3,0)),"")</f>
        <v/>
      </c>
      <c r="P90" s="487">
        <f t="shared" si="17"/>
        <v>51</v>
      </c>
      <c r="Q90" s="487"/>
      <c r="R90" s="487"/>
      <c r="S90" s="487"/>
      <c r="T90" s="487" t="b">
        <v>0</v>
      </c>
    </row>
    <row r="91" spans="1:20" x14ac:dyDescent="0.3">
      <c r="A91" s="487" t="b">
        <v>0</v>
      </c>
      <c r="B91" s="501"/>
      <c r="C91" s="487" t="s">
        <v>7016</v>
      </c>
      <c r="D91" s="487" t="s">
        <v>4034</v>
      </c>
      <c r="E91" s="487">
        <f t="shared" si="15"/>
        <v>4</v>
      </c>
      <c r="F91" s="502">
        <v>9</v>
      </c>
      <c r="G91" s="487"/>
      <c r="H91" s="487">
        <f t="shared" ca="1" si="16"/>
        <v>25</v>
      </c>
      <c r="I91" s="503"/>
      <c r="J91" s="503"/>
      <c r="K91" s="490"/>
      <c r="L91" s="493"/>
      <c r="M91" s="504"/>
      <c r="N91" s="493"/>
      <c r="O91" s="487" t="str">
        <f ca="1">IFERROR(IF(COUNTA($D$37:$D91)=1,"",OFFSET($C89,-COUNTA($D$37:$D91)+3,0)),"")</f>
        <v/>
      </c>
      <c r="P91" s="487">
        <f t="shared" si="17"/>
        <v>52</v>
      </c>
      <c r="Q91" s="487"/>
      <c r="R91" s="487"/>
      <c r="S91" s="487"/>
      <c r="T91" s="487" t="b">
        <v>0</v>
      </c>
    </row>
    <row r="92" spans="1:20" x14ac:dyDescent="0.3">
      <c r="A92" s="487" t="b">
        <v>0</v>
      </c>
      <c r="B92" s="501"/>
      <c r="C92" s="487" t="s">
        <v>7017</v>
      </c>
      <c r="D92" s="487" t="s">
        <v>4034</v>
      </c>
      <c r="E92" s="487">
        <f t="shared" si="15"/>
        <v>5</v>
      </c>
      <c r="F92" s="502">
        <v>9</v>
      </c>
      <c r="G92" s="487"/>
      <c r="H92" s="487">
        <f t="shared" ca="1" si="16"/>
        <v>25</v>
      </c>
      <c r="I92" s="503"/>
      <c r="J92" s="503"/>
      <c r="K92" s="490"/>
      <c r="L92" s="493"/>
      <c r="M92" s="504"/>
      <c r="N92" s="493"/>
      <c r="O92" s="487" t="str">
        <f ca="1">IFERROR(IF(COUNTA($D$37:$D92)=1,"",OFFSET($C90,-COUNTA($D$37:$D92)+3,0)),"")</f>
        <v/>
      </c>
      <c r="P92" s="487">
        <f t="shared" si="17"/>
        <v>53</v>
      </c>
      <c r="Q92" s="487"/>
      <c r="R92" s="487"/>
      <c r="S92" s="487"/>
      <c r="T92" s="487" t="b">
        <v>0</v>
      </c>
    </row>
    <row r="93" spans="1:20" x14ac:dyDescent="0.3">
      <c r="A93" s="487" t="b">
        <v>0</v>
      </c>
      <c r="B93" s="501"/>
      <c r="C93" s="487" t="s">
        <v>7018</v>
      </c>
      <c r="D93" s="487" t="s">
        <v>4034</v>
      </c>
      <c r="E93" s="487">
        <f t="shared" si="15"/>
        <v>6</v>
      </c>
      <c r="F93" s="502">
        <v>9</v>
      </c>
      <c r="G93" s="487"/>
      <c r="H93" s="487">
        <f t="shared" ca="1" si="16"/>
        <v>25</v>
      </c>
      <c r="I93" s="503"/>
      <c r="J93" s="503"/>
      <c r="K93" s="490"/>
      <c r="L93" s="493"/>
      <c r="M93" s="504"/>
      <c r="N93" s="493"/>
      <c r="O93" s="487" t="str">
        <f ca="1">IFERROR(IF(COUNTA($D$37:$D93)=1,"",OFFSET($C91,-COUNTA($D$37:$D93)+3,0)),"")</f>
        <v/>
      </c>
      <c r="P93" s="487">
        <f t="shared" si="17"/>
        <v>54</v>
      </c>
      <c r="Q93" s="487"/>
      <c r="R93" s="487"/>
      <c r="S93" s="487"/>
      <c r="T93" s="487" t="b">
        <v>0</v>
      </c>
    </row>
    <row r="94" spans="1:20" x14ac:dyDescent="0.3">
      <c r="A94" s="487" t="b">
        <v>0</v>
      </c>
      <c r="B94" s="501"/>
      <c r="C94" s="487" t="s">
        <v>7019</v>
      </c>
      <c r="D94" s="487" t="s">
        <v>4055</v>
      </c>
      <c r="E94" s="487">
        <f t="shared" si="15"/>
        <v>1</v>
      </c>
      <c r="F94" s="502">
        <v>10</v>
      </c>
      <c r="G94" s="487"/>
      <c r="H94" s="487">
        <f t="shared" ca="1" si="16"/>
        <v>27</v>
      </c>
      <c r="I94" s="503"/>
      <c r="J94" s="503"/>
      <c r="K94" s="490"/>
      <c r="L94" s="493"/>
      <c r="M94" s="504"/>
      <c r="N94" s="493"/>
      <c r="O94" s="487" t="str">
        <f ca="1">IFERROR(IF(COUNTA($D$37:$D94)=1,"",OFFSET($C92,-COUNTA($D$37:$D94)+3,0)),"")</f>
        <v/>
      </c>
      <c r="P94" s="487">
        <f t="shared" si="17"/>
        <v>55</v>
      </c>
      <c r="Q94" s="487"/>
      <c r="R94" s="487"/>
      <c r="S94" s="487"/>
      <c r="T94" s="487" t="b">
        <v>0</v>
      </c>
    </row>
    <row r="95" spans="1:20" x14ac:dyDescent="0.3">
      <c r="A95" s="487" t="b">
        <v>0</v>
      </c>
      <c r="B95" s="501"/>
      <c r="C95" s="487" t="s">
        <v>7020</v>
      </c>
      <c r="D95" s="487" t="s">
        <v>4055</v>
      </c>
      <c r="E95" s="487">
        <f t="shared" si="15"/>
        <v>2</v>
      </c>
      <c r="F95" s="502">
        <v>10</v>
      </c>
      <c r="G95" s="487"/>
      <c r="H95" s="487">
        <f t="shared" ca="1" si="16"/>
        <v>27</v>
      </c>
      <c r="I95" s="503"/>
      <c r="J95" s="503"/>
      <c r="K95" s="490"/>
      <c r="L95" s="493"/>
      <c r="M95" s="504"/>
      <c r="N95" s="493"/>
      <c r="O95" s="487" t="str">
        <f ca="1">IFERROR(IF(COUNTA($D$37:$D95)=1,"",OFFSET($C93,-COUNTA($D$37:$D95)+3,0)),"")</f>
        <v/>
      </c>
      <c r="P95" s="487">
        <f t="shared" si="17"/>
        <v>56</v>
      </c>
      <c r="Q95" s="487"/>
      <c r="R95" s="487"/>
      <c r="S95" s="487"/>
      <c r="T95" s="487" t="b">
        <v>0</v>
      </c>
    </row>
    <row r="96" spans="1:20" x14ac:dyDescent="0.3">
      <c r="A96" s="487" t="b">
        <v>0</v>
      </c>
      <c r="B96" s="501"/>
      <c r="C96" s="487" t="s">
        <v>7021</v>
      </c>
      <c r="D96" s="487" t="s">
        <v>4055</v>
      </c>
      <c r="E96" s="487">
        <f t="shared" si="15"/>
        <v>3</v>
      </c>
      <c r="F96" s="502">
        <v>10</v>
      </c>
      <c r="G96" s="487"/>
      <c r="H96" s="487">
        <f t="shared" ca="1" si="16"/>
        <v>27</v>
      </c>
      <c r="I96" s="503"/>
      <c r="J96" s="503"/>
      <c r="K96" s="490"/>
      <c r="L96" s="493"/>
      <c r="M96" s="504"/>
      <c r="N96" s="493"/>
      <c r="O96" s="487" t="str">
        <f ca="1">IFERROR(IF(COUNTA($D$37:$D96)=1,"",OFFSET($C94,-COUNTA($D$37:$D96)+3,0)),"")</f>
        <v/>
      </c>
      <c r="P96" s="487">
        <f t="shared" si="17"/>
        <v>57</v>
      </c>
      <c r="Q96" s="487"/>
      <c r="R96" s="487"/>
      <c r="S96" s="487"/>
      <c r="T96" s="487" t="b">
        <v>0</v>
      </c>
    </row>
    <row r="97" spans="1:20" x14ac:dyDescent="0.3">
      <c r="A97" s="487" t="b">
        <v>0</v>
      </c>
      <c r="B97" s="501"/>
      <c r="C97" s="487" t="s">
        <v>7022</v>
      </c>
      <c r="D97" s="487" t="s">
        <v>4055</v>
      </c>
      <c r="E97" s="487">
        <f t="shared" si="15"/>
        <v>4</v>
      </c>
      <c r="F97" s="502">
        <v>10</v>
      </c>
      <c r="G97" s="487"/>
      <c r="H97" s="487">
        <f t="shared" ca="1" si="16"/>
        <v>27</v>
      </c>
      <c r="I97" s="503"/>
      <c r="J97" s="503"/>
      <c r="K97" s="490"/>
      <c r="L97" s="493"/>
      <c r="M97" s="504"/>
      <c r="N97" s="493"/>
      <c r="O97" s="487" t="str">
        <f ca="1">IFERROR(IF(COUNTA($D$37:$D97)=1,"",OFFSET($C95,-COUNTA($D$37:$D97)+3,0)),"")</f>
        <v/>
      </c>
      <c r="P97" s="487">
        <f t="shared" si="17"/>
        <v>58</v>
      </c>
      <c r="Q97" s="487"/>
      <c r="R97" s="487"/>
      <c r="S97" s="487"/>
      <c r="T97" s="487" t="b">
        <v>0</v>
      </c>
    </row>
    <row r="98" spans="1:20" x14ac:dyDescent="0.3">
      <c r="A98" s="487" t="b">
        <v>0</v>
      </c>
      <c r="B98" s="501"/>
      <c r="C98" s="487" t="s">
        <v>7023</v>
      </c>
      <c r="D98" s="487" t="s">
        <v>4055</v>
      </c>
      <c r="E98" s="487">
        <f t="shared" si="15"/>
        <v>5</v>
      </c>
      <c r="F98" s="502">
        <v>10</v>
      </c>
      <c r="G98" s="487"/>
      <c r="H98" s="487">
        <f t="shared" ca="1" si="16"/>
        <v>27</v>
      </c>
      <c r="I98" s="503"/>
      <c r="J98" s="503"/>
      <c r="K98" s="490"/>
      <c r="L98" s="493"/>
      <c r="M98" s="504"/>
      <c r="N98" s="493"/>
      <c r="O98" s="487" t="str">
        <f ca="1">IFERROR(IF(COUNTA($D$37:$D98)=1,"",OFFSET($C96,-COUNTA($D$37:$D98)+3,0)),"")</f>
        <v/>
      </c>
      <c r="P98" s="487">
        <f t="shared" si="17"/>
        <v>59</v>
      </c>
      <c r="Q98" s="487"/>
      <c r="R98" s="487"/>
      <c r="S98" s="487"/>
      <c r="T98" s="487" t="b">
        <v>0</v>
      </c>
    </row>
    <row r="99" spans="1:20" x14ac:dyDescent="0.3">
      <c r="A99" s="487" t="b">
        <v>0</v>
      </c>
      <c r="B99" s="501"/>
      <c r="C99" s="487" t="s">
        <v>7024</v>
      </c>
      <c r="D99" s="487" t="s">
        <v>4055</v>
      </c>
      <c r="E99" s="487">
        <f t="shared" si="15"/>
        <v>6</v>
      </c>
      <c r="F99" s="502">
        <v>10</v>
      </c>
      <c r="G99" s="487"/>
      <c r="H99" s="487">
        <f t="shared" ca="1" si="16"/>
        <v>27</v>
      </c>
      <c r="I99" s="503"/>
      <c r="J99" s="503"/>
      <c r="K99" s="490"/>
      <c r="L99" s="493"/>
      <c r="M99" s="504"/>
      <c r="N99" s="493"/>
      <c r="O99" s="487" t="str">
        <f ca="1">IFERROR(IF(COUNTA($D$37:$D99)=1,"",OFFSET($C97,-COUNTA($D$37:$D99)+3,0)),"")</f>
        <v/>
      </c>
      <c r="P99" s="487">
        <f t="shared" si="17"/>
        <v>60</v>
      </c>
      <c r="Q99" s="487"/>
      <c r="R99" s="487"/>
      <c r="S99" s="487"/>
      <c r="T99" s="487" t="b">
        <v>0</v>
      </c>
    </row>
    <row r="100" spans="1:20" x14ac:dyDescent="0.3">
      <c r="A100" s="487" t="b">
        <v>0</v>
      </c>
      <c r="B100" s="501"/>
      <c r="C100" s="487" t="s">
        <v>7025</v>
      </c>
      <c r="D100" s="487" t="s">
        <v>4076</v>
      </c>
      <c r="E100" s="487">
        <f t="shared" si="15"/>
        <v>1</v>
      </c>
      <c r="F100" s="502">
        <v>11</v>
      </c>
      <c r="G100" s="487"/>
      <c r="H100" s="487">
        <f t="shared" ca="1" si="16"/>
        <v>29</v>
      </c>
      <c r="I100" s="503"/>
      <c r="J100" s="503"/>
      <c r="K100" s="490"/>
      <c r="L100" s="493"/>
      <c r="M100" s="504"/>
      <c r="N100" s="493"/>
      <c r="O100" s="487" t="str">
        <f ca="1">IFERROR(IF(COUNTA($D$37:$D100)=1,"",OFFSET($C98,-COUNTA($D$37:$D100)+3,0)),"")</f>
        <v/>
      </c>
      <c r="P100" s="487">
        <f t="shared" si="17"/>
        <v>61</v>
      </c>
      <c r="Q100" s="487"/>
      <c r="R100" s="487"/>
      <c r="S100" s="487"/>
      <c r="T100" s="487" t="b">
        <v>0</v>
      </c>
    </row>
    <row r="101" spans="1:20" x14ac:dyDescent="0.3">
      <c r="A101" s="487" t="b">
        <v>0</v>
      </c>
      <c r="B101" s="501"/>
      <c r="C101" s="487" t="s">
        <v>7026</v>
      </c>
      <c r="D101" s="487" t="s">
        <v>4076</v>
      </c>
      <c r="E101" s="487">
        <f t="shared" si="15"/>
        <v>2</v>
      </c>
      <c r="F101" s="502">
        <v>11</v>
      </c>
      <c r="G101" s="487"/>
      <c r="H101" s="487">
        <f t="shared" ca="1" si="16"/>
        <v>29</v>
      </c>
      <c r="I101" s="503"/>
      <c r="J101" s="503"/>
      <c r="K101" s="490"/>
      <c r="L101" s="493"/>
      <c r="M101" s="504"/>
      <c r="N101" s="493"/>
      <c r="O101" s="487" t="str">
        <f ca="1">IFERROR(IF(COUNTA($D$37:$D101)=1,"",OFFSET($C99,-COUNTA($D$37:$D101)+3,0)),"")</f>
        <v/>
      </c>
      <c r="P101" s="487">
        <f t="shared" si="17"/>
        <v>62</v>
      </c>
      <c r="Q101" s="487"/>
      <c r="R101" s="487"/>
      <c r="S101" s="487"/>
      <c r="T101" s="487" t="b">
        <v>0</v>
      </c>
    </row>
    <row r="102" spans="1:20" x14ac:dyDescent="0.3">
      <c r="A102" s="487" t="b">
        <v>0</v>
      </c>
      <c r="B102" s="501"/>
      <c r="C102" s="487" t="s">
        <v>7027</v>
      </c>
      <c r="D102" s="487" t="s">
        <v>4076</v>
      </c>
      <c r="E102" s="487">
        <f t="shared" si="15"/>
        <v>3</v>
      </c>
      <c r="F102" s="502">
        <v>11</v>
      </c>
      <c r="G102" s="487"/>
      <c r="H102" s="487">
        <f t="shared" ca="1" si="16"/>
        <v>29</v>
      </c>
      <c r="I102" s="503"/>
      <c r="J102" s="503"/>
      <c r="K102" s="490"/>
      <c r="L102" s="493"/>
      <c r="M102" s="504"/>
      <c r="N102" s="493"/>
      <c r="O102" s="487" t="str">
        <f ca="1">IFERROR(IF(COUNTA($D$37:$D102)=1,"",OFFSET($C100,-COUNTA($D$37:$D102)+3,0)),"")</f>
        <v/>
      </c>
      <c r="P102" s="487">
        <f t="shared" si="17"/>
        <v>63</v>
      </c>
      <c r="Q102" s="487"/>
      <c r="R102" s="487"/>
      <c r="S102" s="487"/>
      <c r="T102" s="487" t="b">
        <v>0</v>
      </c>
    </row>
    <row r="103" spans="1:20" x14ac:dyDescent="0.3">
      <c r="A103" s="487" t="b">
        <v>0</v>
      </c>
      <c r="B103" s="501"/>
      <c r="C103" s="487" t="s">
        <v>7028</v>
      </c>
      <c r="D103" s="487" t="s">
        <v>4076</v>
      </c>
      <c r="E103" s="487">
        <f t="shared" si="15"/>
        <v>4</v>
      </c>
      <c r="F103" s="502">
        <v>11</v>
      </c>
      <c r="G103" s="487"/>
      <c r="H103" s="487">
        <f t="shared" ca="1" si="16"/>
        <v>29</v>
      </c>
      <c r="I103" s="503"/>
      <c r="J103" s="503"/>
      <c r="K103" s="490"/>
      <c r="L103" s="493"/>
      <c r="M103" s="504"/>
      <c r="N103" s="493"/>
      <c r="O103" s="487" t="str">
        <f ca="1">IFERROR(IF(COUNTA($D$37:$D103)=1,"",OFFSET($C101,-COUNTA($D$37:$D103)+3,0)),"")</f>
        <v/>
      </c>
      <c r="P103" s="487">
        <f t="shared" si="17"/>
        <v>64</v>
      </c>
      <c r="Q103" s="487"/>
      <c r="R103" s="487"/>
      <c r="S103" s="487"/>
      <c r="T103" s="487" t="b">
        <v>0</v>
      </c>
    </row>
    <row r="104" spans="1:20" x14ac:dyDescent="0.3">
      <c r="A104" s="487" t="b">
        <v>0</v>
      </c>
      <c r="B104" s="501"/>
      <c r="C104" s="487" t="s">
        <v>7029</v>
      </c>
      <c r="D104" s="487" t="s">
        <v>4076</v>
      </c>
      <c r="E104" s="487">
        <f t="shared" ref="E104:E167" si="18">COUNTIF(F99:F104,F104)</f>
        <v>5</v>
      </c>
      <c r="F104" s="502">
        <v>11</v>
      </c>
      <c r="G104" s="487"/>
      <c r="H104" s="487">
        <f t="shared" ref="H104:H167" ca="1" si="19">IF(F104=1,9,IF(E103=MAX(E102:E104),H102+2,H103))</f>
        <v>29</v>
      </c>
      <c r="I104" s="503"/>
      <c r="J104" s="503"/>
      <c r="K104" s="490"/>
      <c r="L104" s="493"/>
      <c r="M104" s="504"/>
      <c r="N104" s="493"/>
      <c r="O104" s="487" t="str">
        <f ca="1">IFERROR(IF(COUNTA($D$37:$D104)=1,"",OFFSET($C102,-COUNTA($D$37:$D104)+3,0)),"")</f>
        <v/>
      </c>
      <c r="P104" s="487">
        <f t="shared" ref="P104:P167" si="20">IF(NOT(_xlfn.ISFORMULA(I104)),P103+1,0)</f>
        <v>65</v>
      </c>
      <c r="Q104" s="487"/>
      <c r="R104" s="487"/>
      <c r="S104" s="487"/>
      <c r="T104" s="487" t="b">
        <v>0</v>
      </c>
    </row>
    <row r="105" spans="1:20" x14ac:dyDescent="0.3">
      <c r="A105" s="487" t="b">
        <v>0</v>
      </c>
      <c r="B105" s="501"/>
      <c r="C105" s="487" t="s">
        <v>7030</v>
      </c>
      <c r="D105" s="487" t="s">
        <v>4076</v>
      </c>
      <c r="E105" s="487">
        <f t="shared" si="18"/>
        <v>6</v>
      </c>
      <c r="F105" s="502">
        <v>11</v>
      </c>
      <c r="G105" s="487"/>
      <c r="H105" s="487">
        <f t="shared" ca="1" si="19"/>
        <v>29</v>
      </c>
      <c r="I105" s="503"/>
      <c r="J105" s="503"/>
      <c r="K105" s="490"/>
      <c r="L105" s="493"/>
      <c r="M105" s="504"/>
      <c r="N105" s="493"/>
      <c r="O105" s="487" t="str">
        <f ca="1">IFERROR(IF(COUNTA($D$37:$D105)=1,"",OFFSET($C103,-COUNTA($D$37:$D105)+3,0)),"")</f>
        <v/>
      </c>
      <c r="P105" s="487">
        <f t="shared" si="20"/>
        <v>66</v>
      </c>
      <c r="Q105" s="487"/>
      <c r="R105" s="487"/>
      <c r="S105" s="487"/>
      <c r="T105" s="487" t="b">
        <v>0</v>
      </c>
    </row>
    <row r="106" spans="1:20" x14ac:dyDescent="0.3">
      <c r="A106" s="487" t="b">
        <v>0</v>
      </c>
      <c r="B106" s="501"/>
      <c r="C106" s="487" t="s">
        <v>7031</v>
      </c>
      <c r="D106" s="487" t="s">
        <v>4097</v>
      </c>
      <c r="E106" s="487">
        <f t="shared" si="18"/>
        <v>1</v>
      </c>
      <c r="F106" s="502">
        <v>12</v>
      </c>
      <c r="G106" s="487"/>
      <c r="H106" s="487">
        <f t="shared" ca="1" si="19"/>
        <v>31</v>
      </c>
      <c r="I106" s="503"/>
      <c r="J106" s="503"/>
      <c r="K106" s="490"/>
      <c r="L106" s="493"/>
      <c r="M106" s="504"/>
      <c r="N106" s="493"/>
      <c r="O106" s="487" t="str">
        <f ca="1">IFERROR(IF(COUNTA($D$37:$D106)=1,"",OFFSET($C104,-COUNTA($D$37:$D106)+3,0)),"")</f>
        <v/>
      </c>
      <c r="P106" s="487">
        <f t="shared" si="20"/>
        <v>67</v>
      </c>
      <c r="Q106" s="487"/>
      <c r="R106" s="487"/>
      <c r="S106" s="487"/>
      <c r="T106" s="487" t="b">
        <v>0</v>
      </c>
    </row>
    <row r="107" spans="1:20" x14ac:dyDescent="0.3">
      <c r="A107" s="487" t="b">
        <v>0</v>
      </c>
      <c r="B107" s="501"/>
      <c r="C107" s="487" t="s">
        <v>7032</v>
      </c>
      <c r="D107" s="487" t="s">
        <v>4097</v>
      </c>
      <c r="E107" s="487">
        <f t="shared" si="18"/>
        <v>2</v>
      </c>
      <c r="F107" s="502">
        <v>12</v>
      </c>
      <c r="G107" s="487"/>
      <c r="H107" s="487">
        <f t="shared" ca="1" si="19"/>
        <v>31</v>
      </c>
      <c r="I107" s="503"/>
      <c r="J107" s="503"/>
      <c r="K107" s="490"/>
      <c r="L107" s="493"/>
      <c r="M107" s="504"/>
      <c r="N107" s="493"/>
      <c r="O107" s="487" t="str">
        <f ca="1">IFERROR(IF(COUNTA($D$37:$D107)=1,"",OFFSET($C105,-COUNTA($D$37:$D107)+3,0)),"")</f>
        <v/>
      </c>
      <c r="P107" s="487">
        <f t="shared" si="20"/>
        <v>68</v>
      </c>
      <c r="Q107" s="487"/>
      <c r="R107" s="487"/>
      <c r="S107" s="487"/>
      <c r="T107" s="487" t="b">
        <v>0</v>
      </c>
    </row>
    <row r="108" spans="1:20" x14ac:dyDescent="0.3">
      <c r="A108" s="487" t="b">
        <v>0</v>
      </c>
      <c r="B108" s="501"/>
      <c r="C108" s="487" t="s">
        <v>7033</v>
      </c>
      <c r="D108" s="487" t="s">
        <v>4097</v>
      </c>
      <c r="E108" s="487">
        <f t="shared" si="18"/>
        <v>3</v>
      </c>
      <c r="F108" s="502">
        <v>12</v>
      </c>
      <c r="G108" s="487"/>
      <c r="H108" s="487">
        <f t="shared" ca="1" si="19"/>
        <v>31</v>
      </c>
      <c r="I108" s="503"/>
      <c r="J108" s="503"/>
      <c r="K108" s="490"/>
      <c r="L108" s="493"/>
      <c r="M108" s="504"/>
      <c r="N108" s="493"/>
      <c r="O108" s="487" t="str">
        <f ca="1">IFERROR(IF(COUNTA($D$37:$D108)=1,"",OFFSET($C106,-COUNTA($D$37:$D108)+3,0)),"")</f>
        <v/>
      </c>
      <c r="P108" s="487">
        <f t="shared" si="20"/>
        <v>69</v>
      </c>
      <c r="Q108" s="487"/>
      <c r="R108" s="487"/>
      <c r="S108" s="487"/>
      <c r="T108" s="487" t="b">
        <v>0</v>
      </c>
    </row>
    <row r="109" spans="1:20" x14ac:dyDescent="0.3">
      <c r="A109" s="487" t="b">
        <v>0</v>
      </c>
      <c r="B109" s="501"/>
      <c r="C109" s="487" t="s">
        <v>7034</v>
      </c>
      <c r="D109" s="487" t="s">
        <v>4097</v>
      </c>
      <c r="E109" s="487">
        <f t="shared" si="18"/>
        <v>4</v>
      </c>
      <c r="F109" s="502">
        <v>12</v>
      </c>
      <c r="G109" s="487"/>
      <c r="H109" s="487">
        <f t="shared" ca="1" si="19"/>
        <v>31</v>
      </c>
      <c r="I109" s="503"/>
      <c r="J109" s="503"/>
      <c r="K109" s="490"/>
      <c r="L109" s="493"/>
      <c r="M109" s="504"/>
      <c r="N109" s="493"/>
      <c r="O109" s="487" t="str">
        <f ca="1">IFERROR(IF(COUNTA($D$37:$D109)=1,"",OFFSET($C107,-COUNTA($D$37:$D109)+3,0)),"")</f>
        <v/>
      </c>
      <c r="P109" s="487">
        <f t="shared" si="20"/>
        <v>70</v>
      </c>
      <c r="Q109" s="487"/>
      <c r="R109" s="487"/>
      <c r="S109" s="487"/>
      <c r="T109" s="487" t="b">
        <v>0</v>
      </c>
    </row>
    <row r="110" spans="1:20" x14ac:dyDescent="0.3">
      <c r="A110" s="487" t="b">
        <v>0</v>
      </c>
      <c r="B110" s="501"/>
      <c r="C110" s="487" t="s">
        <v>7035</v>
      </c>
      <c r="D110" s="487" t="s">
        <v>4097</v>
      </c>
      <c r="E110" s="487">
        <f t="shared" si="18"/>
        <v>5</v>
      </c>
      <c r="F110" s="502">
        <v>12</v>
      </c>
      <c r="G110" s="487"/>
      <c r="H110" s="487">
        <f t="shared" ca="1" si="19"/>
        <v>31</v>
      </c>
      <c r="I110" s="503"/>
      <c r="J110" s="503"/>
      <c r="K110" s="490"/>
      <c r="L110" s="493"/>
      <c r="M110" s="504"/>
      <c r="N110" s="493"/>
      <c r="O110" s="487" t="str">
        <f ca="1">IFERROR(IF(COUNTA($D$37:$D110)=1,"",OFFSET($C108,-COUNTA($D$37:$D110)+3,0)),"")</f>
        <v/>
      </c>
      <c r="P110" s="487">
        <f t="shared" si="20"/>
        <v>71</v>
      </c>
      <c r="Q110" s="487"/>
      <c r="R110" s="487"/>
      <c r="S110" s="487"/>
      <c r="T110" s="487" t="b">
        <v>0</v>
      </c>
    </row>
    <row r="111" spans="1:20" x14ac:dyDescent="0.3">
      <c r="A111" s="487" t="b">
        <v>0</v>
      </c>
      <c r="B111" s="501"/>
      <c r="C111" s="487" t="s">
        <v>7036</v>
      </c>
      <c r="D111" s="487" t="s">
        <v>4097</v>
      </c>
      <c r="E111" s="487">
        <f t="shared" si="18"/>
        <v>6</v>
      </c>
      <c r="F111" s="502">
        <v>12</v>
      </c>
      <c r="G111" s="487"/>
      <c r="H111" s="487">
        <f t="shared" ca="1" si="19"/>
        <v>31</v>
      </c>
      <c r="I111" s="503"/>
      <c r="J111" s="503"/>
      <c r="K111" s="490"/>
      <c r="L111" s="493"/>
      <c r="M111" s="504"/>
      <c r="N111" s="493"/>
      <c r="O111" s="487" t="str">
        <f ca="1">IFERROR(IF(COUNTA($D$37:$D111)=1,"",OFFSET($C109,-COUNTA($D$37:$D111)+3,0)),"")</f>
        <v/>
      </c>
      <c r="P111" s="487">
        <f t="shared" si="20"/>
        <v>72</v>
      </c>
      <c r="Q111" s="487"/>
      <c r="R111" s="487"/>
      <c r="S111" s="487"/>
      <c r="T111" s="487" t="b">
        <v>0</v>
      </c>
    </row>
    <row r="112" spans="1:20" x14ac:dyDescent="0.3">
      <c r="A112" s="487" t="b">
        <v>0</v>
      </c>
      <c r="B112" s="501"/>
      <c r="C112" s="487" t="s">
        <v>7037</v>
      </c>
      <c r="D112" s="487" t="s">
        <v>4118</v>
      </c>
      <c r="E112" s="487">
        <f t="shared" si="18"/>
        <v>1</v>
      </c>
      <c r="F112" s="502">
        <v>13</v>
      </c>
      <c r="G112" s="487"/>
      <c r="H112" s="487">
        <f t="shared" ca="1" si="19"/>
        <v>33</v>
      </c>
      <c r="I112" s="503"/>
      <c r="J112" s="503"/>
      <c r="K112" s="490"/>
      <c r="L112" s="493"/>
      <c r="M112" s="504"/>
      <c r="N112" s="493"/>
      <c r="O112" s="487" t="str">
        <f ca="1">IFERROR(IF(COUNTA($D$37:$D112)=1,"",OFFSET($C110,-COUNTA($D$37:$D112)+3,0)),"")</f>
        <v/>
      </c>
      <c r="P112" s="487">
        <f t="shared" si="20"/>
        <v>73</v>
      </c>
      <c r="Q112" s="487"/>
      <c r="R112" s="487"/>
      <c r="S112" s="487"/>
      <c r="T112" s="487" t="b">
        <v>0</v>
      </c>
    </row>
    <row r="113" spans="1:20" x14ac:dyDescent="0.3">
      <c r="A113" s="487" t="b">
        <v>0</v>
      </c>
      <c r="B113" s="501"/>
      <c r="C113" s="487" t="s">
        <v>7038</v>
      </c>
      <c r="D113" s="487" t="s">
        <v>4118</v>
      </c>
      <c r="E113" s="487">
        <f t="shared" si="18"/>
        <v>2</v>
      </c>
      <c r="F113" s="502">
        <v>13</v>
      </c>
      <c r="G113" s="487"/>
      <c r="H113" s="487">
        <f t="shared" ca="1" si="19"/>
        <v>33</v>
      </c>
      <c r="I113" s="503"/>
      <c r="J113" s="503"/>
      <c r="K113" s="490"/>
      <c r="L113" s="493"/>
      <c r="M113" s="504"/>
      <c r="N113" s="493"/>
      <c r="O113" s="487" t="str">
        <f ca="1">IFERROR(IF(COUNTA($D$37:$D113)=1,"",OFFSET($C111,-COUNTA($D$37:$D113)+3,0)),"")</f>
        <v/>
      </c>
      <c r="P113" s="487">
        <f t="shared" si="20"/>
        <v>74</v>
      </c>
      <c r="Q113" s="487"/>
      <c r="R113" s="487"/>
      <c r="S113" s="487"/>
      <c r="T113" s="487" t="b">
        <v>0</v>
      </c>
    </row>
    <row r="114" spans="1:20" x14ac:dyDescent="0.3">
      <c r="A114" s="487" t="b">
        <v>0</v>
      </c>
      <c r="B114" s="501"/>
      <c r="C114" s="487" t="s">
        <v>7039</v>
      </c>
      <c r="D114" s="487" t="s">
        <v>4118</v>
      </c>
      <c r="E114" s="487">
        <f t="shared" si="18"/>
        <v>3</v>
      </c>
      <c r="F114" s="502">
        <v>13</v>
      </c>
      <c r="G114" s="487"/>
      <c r="H114" s="487">
        <f t="shared" ca="1" si="19"/>
        <v>33</v>
      </c>
      <c r="I114" s="503"/>
      <c r="J114" s="503"/>
      <c r="K114" s="490"/>
      <c r="L114" s="493"/>
      <c r="M114" s="504"/>
      <c r="N114" s="493"/>
      <c r="O114" s="487" t="str">
        <f ca="1">IFERROR(IF(COUNTA($D$37:$D114)=1,"",OFFSET($C112,-COUNTA($D$37:$D114)+3,0)),"")</f>
        <v/>
      </c>
      <c r="P114" s="487">
        <f t="shared" si="20"/>
        <v>75</v>
      </c>
      <c r="Q114" s="487"/>
      <c r="R114" s="487"/>
      <c r="S114" s="487"/>
      <c r="T114" s="487" t="b">
        <v>0</v>
      </c>
    </row>
    <row r="115" spans="1:20" x14ac:dyDescent="0.3">
      <c r="A115" s="487" t="b">
        <v>0</v>
      </c>
      <c r="B115" s="501"/>
      <c r="C115" s="487" t="s">
        <v>7040</v>
      </c>
      <c r="D115" s="487" t="s">
        <v>4118</v>
      </c>
      <c r="E115" s="487">
        <f t="shared" si="18"/>
        <v>4</v>
      </c>
      <c r="F115" s="502">
        <v>13</v>
      </c>
      <c r="G115" s="487"/>
      <c r="H115" s="487">
        <f t="shared" ca="1" si="19"/>
        <v>33</v>
      </c>
      <c r="I115" s="503"/>
      <c r="J115" s="503"/>
      <c r="K115" s="490"/>
      <c r="L115" s="493"/>
      <c r="M115" s="504"/>
      <c r="N115" s="493"/>
      <c r="O115" s="487" t="str">
        <f ca="1">IFERROR(IF(COUNTA($D$37:$D115)=1,"",OFFSET($C113,-COUNTA($D$37:$D115)+3,0)),"")</f>
        <v/>
      </c>
      <c r="P115" s="487">
        <f t="shared" si="20"/>
        <v>76</v>
      </c>
      <c r="Q115" s="487"/>
      <c r="R115" s="487"/>
      <c r="S115" s="487"/>
      <c r="T115" s="487" t="b">
        <v>0</v>
      </c>
    </row>
    <row r="116" spans="1:20" x14ac:dyDescent="0.3">
      <c r="A116" s="487" t="b">
        <v>0</v>
      </c>
      <c r="B116" s="501"/>
      <c r="C116" s="487" t="s">
        <v>7041</v>
      </c>
      <c r="D116" s="487" t="s">
        <v>4118</v>
      </c>
      <c r="E116" s="487">
        <f t="shared" si="18"/>
        <v>5</v>
      </c>
      <c r="F116" s="502">
        <v>13</v>
      </c>
      <c r="G116" s="487"/>
      <c r="H116" s="487">
        <f t="shared" ca="1" si="19"/>
        <v>33</v>
      </c>
      <c r="I116" s="503"/>
      <c r="J116" s="503"/>
      <c r="K116" s="490"/>
      <c r="L116" s="493"/>
      <c r="M116" s="504"/>
      <c r="N116" s="493"/>
      <c r="O116" s="487" t="str">
        <f ca="1">IFERROR(IF(COUNTA($D$37:$D116)=1,"",OFFSET($C114,-COUNTA($D$37:$D116)+3,0)),"")</f>
        <v/>
      </c>
      <c r="P116" s="487">
        <f t="shared" si="20"/>
        <v>77</v>
      </c>
      <c r="Q116" s="487"/>
      <c r="R116" s="487"/>
      <c r="S116" s="487"/>
      <c r="T116" s="487" t="b">
        <v>0</v>
      </c>
    </row>
    <row r="117" spans="1:20" x14ac:dyDescent="0.3">
      <c r="A117" s="487" t="b">
        <v>0</v>
      </c>
      <c r="B117" s="501"/>
      <c r="C117" s="487" t="s">
        <v>7042</v>
      </c>
      <c r="D117" s="487" t="s">
        <v>4118</v>
      </c>
      <c r="E117" s="487">
        <f t="shared" si="18"/>
        <v>6</v>
      </c>
      <c r="F117" s="502">
        <v>13</v>
      </c>
      <c r="G117" s="487"/>
      <c r="H117" s="487">
        <f t="shared" ca="1" si="19"/>
        <v>33</v>
      </c>
      <c r="I117" s="503"/>
      <c r="J117" s="503"/>
      <c r="K117" s="490"/>
      <c r="L117" s="493"/>
      <c r="M117" s="504"/>
      <c r="N117" s="493"/>
      <c r="O117" s="487" t="str">
        <f ca="1">IFERROR(IF(COUNTA($D$37:$D117)=1,"",OFFSET($C115,-COUNTA($D$37:$D117)+3,0)),"")</f>
        <v/>
      </c>
      <c r="P117" s="487">
        <f t="shared" si="20"/>
        <v>78</v>
      </c>
      <c r="Q117" s="487"/>
      <c r="R117" s="487"/>
      <c r="S117" s="487"/>
      <c r="T117" s="487" t="b">
        <v>0</v>
      </c>
    </row>
    <row r="118" spans="1:20" x14ac:dyDescent="0.3">
      <c r="A118" s="487" t="b">
        <v>0</v>
      </c>
      <c r="B118" s="501"/>
      <c r="C118" s="487" t="s">
        <v>7043</v>
      </c>
      <c r="D118" s="487" t="s">
        <v>4139</v>
      </c>
      <c r="E118" s="487">
        <f t="shared" si="18"/>
        <v>1</v>
      </c>
      <c r="F118" s="502">
        <v>14</v>
      </c>
      <c r="G118" s="487"/>
      <c r="H118" s="487">
        <f t="shared" ca="1" si="19"/>
        <v>35</v>
      </c>
      <c r="I118" s="503"/>
      <c r="J118" s="503"/>
      <c r="K118" s="490"/>
      <c r="L118" s="493"/>
      <c r="M118" s="504"/>
      <c r="N118" s="493"/>
      <c r="O118" s="487" t="str">
        <f ca="1">IFERROR(IF(COUNTA($D$37:$D118)=1,"",OFFSET($C116,-COUNTA($D$37:$D118)+3,0)),"")</f>
        <v/>
      </c>
      <c r="P118" s="487">
        <f t="shared" si="20"/>
        <v>79</v>
      </c>
      <c r="Q118" s="487"/>
      <c r="R118" s="487"/>
      <c r="S118" s="487"/>
      <c r="T118" s="487" t="b">
        <v>0</v>
      </c>
    </row>
    <row r="119" spans="1:20" x14ac:dyDescent="0.3">
      <c r="A119" s="487" t="b">
        <v>0</v>
      </c>
      <c r="B119" s="501"/>
      <c r="C119" s="487" t="s">
        <v>7044</v>
      </c>
      <c r="D119" s="487" t="s">
        <v>4139</v>
      </c>
      <c r="E119" s="487">
        <f t="shared" si="18"/>
        <v>2</v>
      </c>
      <c r="F119" s="502">
        <v>14</v>
      </c>
      <c r="G119" s="487"/>
      <c r="H119" s="487">
        <f t="shared" ca="1" si="19"/>
        <v>35</v>
      </c>
      <c r="I119" s="503"/>
      <c r="J119" s="503"/>
      <c r="K119" s="490"/>
      <c r="L119" s="493"/>
      <c r="M119" s="504"/>
      <c r="N119" s="493"/>
      <c r="O119" s="487" t="str">
        <f ca="1">IFERROR(IF(COUNTA($D$37:$D119)=1,"",OFFSET($C117,-COUNTA($D$37:$D119)+3,0)),"")</f>
        <v/>
      </c>
      <c r="P119" s="487">
        <f t="shared" si="20"/>
        <v>80</v>
      </c>
      <c r="Q119" s="487"/>
      <c r="R119" s="487"/>
      <c r="S119" s="487"/>
      <c r="T119" s="487" t="b">
        <v>0</v>
      </c>
    </row>
    <row r="120" spans="1:20" x14ac:dyDescent="0.3">
      <c r="A120" s="487" t="b">
        <v>0</v>
      </c>
      <c r="B120" s="501"/>
      <c r="C120" s="487" t="s">
        <v>7045</v>
      </c>
      <c r="D120" s="487" t="s">
        <v>4139</v>
      </c>
      <c r="E120" s="487">
        <f t="shared" si="18"/>
        <v>3</v>
      </c>
      <c r="F120" s="502">
        <v>14</v>
      </c>
      <c r="G120" s="487"/>
      <c r="H120" s="487">
        <f t="shared" ca="1" si="19"/>
        <v>35</v>
      </c>
      <c r="I120" s="503"/>
      <c r="J120" s="503"/>
      <c r="K120" s="490"/>
      <c r="L120" s="493"/>
      <c r="M120" s="504"/>
      <c r="N120" s="493"/>
      <c r="O120" s="487" t="str">
        <f ca="1">IFERROR(IF(COUNTA($D$37:$D120)=1,"",OFFSET($C118,-COUNTA($D$37:$D120)+3,0)),"")</f>
        <v/>
      </c>
      <c r="P120" s="487">
        <f t="shared" si="20"/>
        <v>81</v>
      </c>
      <c r="Q120" s="487"/>
      <c r="R120" s="487"/>
      <c r="S120" s="487"/>
      <c r="T120" s="487" t="b">
        <v>0</v>
      </c>
    </row>
    <row r="121" spans="1:20" x14ac:dyDescent="0.3">
      <c r="A121" s="487" t="b">
        <v>0</v>
      </c>
      <c r="B121" s="501"/>
      <c r="C121" s="487" t="s">
        <v>7046</v>
      </c>
      <c r="D121" s="487" t="s">
        <v>4139</v>
      </c>
      <c r="E121" s="487">
        <f t="shared" si="18"/>
        <v>4</v>
      </c>
      <c r="F121" s="502">
        <v>14</v>
      </c>
      <c r="G121" s="487"/>
      <c r="H121" s="487">
        <f t="shared" ca="1" si="19"/>
        <v>35</v>
      </c>
      <c r="I121" s="503"/>
      <c r="J121" s="503"/>
      <c r="K121" s="490"/>
      <c r="L121" s="493"/>
      <c r="M121" s="504"/>
      <c r="N121" s="493"/>
      <c r="O121" s="487" t="str">
        <f ca="1">IFERROR(IF(COUNTA($D$37:$D121)=1,"",OFFSET($C119,-COUNTA($D$37:$D121)+3,0)),"")</f>
        <v/>
      </c>
      <c r="P121" s="487">
        <f t="shared" si="20"/>
        <v>82</v>
      </c>
      <c r="Q121" s="487"/>
      <c r="R121" s="487"/>
      <c r="S121" s="487"/>
      <c r="T121" s="487" t="b">
        <v>0</v>
      </c>
    </row>
    <row r="122" spans="1:20" x14ac:dyDescent="0.3">
      <c r="A122" s="487" t="b">
        <v>0</v>
      </c>
      <c r="B122" s="501"/>
      <c r="C122" s="487" t="s">
        <v>7047</v>
      </c>
      <c r="D122" s="487" t="s">
        <v>4139</v>
      </c>
      <c r="E122" s="487">
        <f t="shared" si="18"/>
        <v>5</v>
      </c>
      <c r="F122" s="502">
        <v>14</v>
      </c>
      <c r="G122" s="487"/>
      <c r="H122" s="487">
        <f t="shared" ca="1" si="19"/>
        <v>35</v>
      </c>
      <c r="I122" s="503"/>
      <c r="J122" s="503"/>
      <c r="K122" s="490"/>
      <c r="L122" s="493"/>
      <c r="M122" s="504"/>
      <c r="N122" s="493"/>
      <c r="O122" s="487" t="str">
        <f ca="1">IFERROR(IF(COUNTA($D$37:$D122)=1,"",OFFSET($C120,-COUNTA($D$37:$D122)+3,0)),"")</f>
        <v/>
      </c>
      <c r="P122" s="487">
        <f t="shared" si="20"/>
        <v>83</v>
      </c>
      <c r="Q122" s="487"/>
      <c r="R122" s="487"/>
      <c r="S122" s="487"/>
      <c r="T122" s="487" t="b">
        <v>0</v>
      </c>
    </row>
    <row r="123" spans="1:20" x14ac:dyDescent="0.3">
      <c r="A123" s="487" t="b">
        <v>0</v>
      </c>
      <c r="B123" s="501"/>
      <c r="C123" s="487" t="s">
        <v>7048</v>
      </c>
      <c r="D123" s="487" t="s">
        <v>4139</v>
      </c>
      <c r="E123" s="487">
        <f t="shared" si="18"/>
        <v>6</v>
      </c>
      <c r="F123" s="502">
        <v>14</v>
      </c>
      <c r="G123" s="487"/>
      <c r="H123" s="487">
        <f t="shared" ca="1" si="19"/>
        <v>35</v>
      </c>
      <c r="I123" s="503"/>
      <c r="J123" s="503"/>
      <c r="K123" s="490"/>
      <c r="L123" s="493"/>
      <c r="M123" s="504"/>
      <c r="N123" s="493"/>
      <c r="O123" s="487" t="str">
        <f ca="1">IFERROR(IF(COUNTA($D$37:$D123)=1,"",OFFSET($C121,-COUNTA($D$37:$D123)+3,0)),"")</f>
        <v/>
      </c>
      <c r="P123" s="487">
        <f t="shared" si="20"/>
        <v>84</v>
      </c>
      <c r="Q123" s="487"/>
      <c r="R123" s="487"/>
      <c r="S123" s="487"/>
      <c r="T123" s="487" t="b">
        <v>0</v>
      </c>
    </row>
    <row r="124" spans="1:20" x14ac:dyDescent="0.3">
      <c r="A124" s="487" t="b">
        <v>0</v>
      </c>
      <c r="B124" s="501"/>
      <c r="C124" s="487" t="s">
        <v>7049</v>
      </c>
      <c r="D124" s="487" t="s">
        <v>4160</v>
      </c>
      <c r="E124" s="487">
        <f t="shared" si="18"/>
        <v>1</v>
      </c>
      <c r="F124" s="502">
        <v>15</v>
      </c>
      <c r="G124" s="487"/>
      <c r="H124" s="487">
        <f t="shared" ca="1" si="19"/>
        <v>37</v>
      </c>
      <c r="I124" s="503"/>
      <c r="J124" s="503"/>
      <c r="K124" s="490"/>
      <c r="L124" s="493"/>
      <c r="M124" s="504"/>
      <c r="N124" s="493"/>
      <c r="O124" s="487" t="str">
        <f ca="1">IFERROR(IF(COUNTA($D$37:$D124)=1,"",OFFSET($C122,-COUNTA($D$37:$D124)+3,0)),"")</f>
        <v/>
      </c>
      <c r="P124" s="487">
        <f t="shared" si="20"/>
        <v>85</v>
      </c>
      <c r="Q124" s="487"/>
      <c r="R124" s="487"/>
      <c r="S124" s="487"/>
      <c r="T124" s="487" t="b">
        <v>0</v>
      </c>
    </row>
    <row r="125" spans="1:20" x14ac:dyDescent="0.3">
      <c r="A125" s="487" t="b">
        <v>0</v>
      </c>
      <c r="B125" s="501"/>
      <c r="C125" s="487" t="s">
        <v>7050</v>
      </c>
      <c r="D125" s="487" t="s">
        <v>4160</v>
      </c>
      <c r="E125" s="487">
        <f t="shared" si="18"/>
        <v>2</v>
      </c>
      <c r="F125" s="502">
        <v>15</v>
      </c>
      <c r="G125" s="487"/>
      <c r="H125" s="487">
        <f t="shared" ca="1" si="19"/>
        <v>37</v>
      </c>
      <c r="I125" s="503"/>
      <c r="J125" s="503"/>
      <c r="K125" s="490"/>
      <c r="L125" s="493"/>
      <c r="M125" s="504"/>
      <c r="N125" s="493"/>
      <c r="O125" s="487" t="str">
        <f ca="1">IFERROR(IF(COUNTA($D$37:$D125)=1,"",OFFSET($C123,-COUNTA($D$37:$D125)+3,0)),"")</f>
        <v/>
      </c>
      <c r="P125" s="487">
        <f t="shared" si="20"/>
        <v>86</v>
      </c>
      <c r="Q125" s="487"/>
      <c r="R125" s="487"/>
      <c r="S125" s="487"/>
      <c r="T125" s="487" t="b">
        <v>0</v>
      </c>
    </row>
    <row r="126" spans="1:20" x14ac:dyDescent="0.3">
      <c r="A126" s="487" t="b">
        <v>0</v>
      </c>
      <c r="B126" s="501"/>
      <c r="C126" s="487" t="s">
        <v>7051</v>
      </c>
      <c r="D126" s="487" t="s">
        <v>4160</v>
      </c>
      <c r="E126" s="487">
        <f t="shared" si="18"/>
        <v>3</v>
      </c>
      <c r="F126" s="502">
        <v>15</v>
      </c>
      <c r="G126" s="487"/>
      <c r="H126" s="487">
        <f t="shared" ca="1" si="19"/>
        <v>37</v>
      </c>
      <c r="I126" s="503"/>
      <c r="J126" s="503"/>
      <c r="K126" s="490"/>
      <c r="L126" s="493"/>
      <c r="M126" s="504"/>
      <c r="N126" s="493"/>
      <c r="O126" s="487" t="str">
        <f ca="1">IFERROR(IF(COUNTA($D$37:$D126)=1,"",OFFSET($C124,-COUNTA($D$37:$D126)+3,0)),"")</f>
        <v/>
      </c>
      <c r="P126" s="487">
        <f t="shared" si="20"/>
        <v>87</v>
      </c>
      <c r="Q126" s="487"/>
      <c r="R126" s="487"/>
      <c r="S126" s="487"/>
      <c r="T126" s="487" t="b">
        <v>0</v>
      </c>
    </row>
    <row r="127" spans="1:20" x14ac:dyDescent="0.3">
      <c r="A127" s="487" t="b">
        <v>0</v>
      </c>
      <c r="B127" s="501"/>
      <c r="C127" s="487" t="s">
        <v>7052</v>
      </c>
      <c r="D127" s="487" t="s">
        <v>4160</v>
      </c>
      <c r="E127" s="487">
        <f t="shared" si="18"/>
        <v>4</v>
      </c>
      <c r="F127" s="502">
        <v>15</v>
      </c>
      <c r="G127" s="487"/>
      <c r="H127" s="487">
        <f t="shared" ca="1" si="19"/>
        <v>37</v>
      </c>
      <c r="I127" s="503"/>
      <c r="J127" s="503"/>
      <c r="K127" s="490"/>
      <c r="L127" s="493"/>
      <c r="M127" s="504"/>
      <c r="N127" s="493"/>
      <c r="O127" s="487" t="str">
        <f ca="1">IFERROR(IF(COUNTA($D$37:$D127)=1,"",OFFSET($C125,-COUNTA($D$37:$D127)+3,0)),"")</f>
        <v/>
      </c>
      <c r="P127" s="487">
        <f t="shared" si="20"/>
        <v>88</v>
      </c>
      <c r="Q127" s="487"/>
      <c r="R127" s="487"/>
      <c r="S127" s="487"/>
      <c r="T127" s="487" t="b">
        <v>0</v>
      </c>
    </row>
    <row r="128" spans="1:20" x14ac:dyDescent="0.3">
      <c r="A128" s="487" t="b">
        <v>0</v>
      </c>
      <c r="B128" s="501"/>
      <c r="C128" s="487" t="s">
        <v>7053</v>
      </c>
      <c r="D128" s="487" t="s">
        <v>4160</v>
      </c>
      <c r="E128" s="487">
        <f t="shared" si="18"/>
        <v>5</v>
      </c>
      <c r="F128" s="502">
        <v>15</v>
      </c>
      <c r="G128" s="487"/>
      <c r="H128" s="487">
        <f t="shared" ca="1" si="19"/>
        <v>37</v>
      </c>
      <c r="I128" s="503"/>
      <c r="J128" s="503"/>
      <c r="K128" s="490"/>
      <c r="L128" s="493"/>
      <c r="M128" s="504"/>
      <c r="N128" s="493"/>
      <c r="O128" s="487" t="str">
        <f ca="1">IFERROR(IF(COUNTA($D$37:$D128)=1,"",OFFSET($C126,-COUNTA($D$37:$D128)+3,0)),"")</f>
        <v/>
      </c>
      <c r="P128" s="487">
        <f t="shared" si="20"/>
        <v>89</v>
      </c>
      <c r="Q128" s="487"/>
      <c r="R128" s="487"/>
      <c r="S128" s="487"/>
      <c r="T128" s="487" t="b">
        <v>0</v>
      </c>
    </row>
    <row r="129" spans="1:20" x14ac:dyDescent="0.3">
      <c r="A129" s="487" t="b">
        <v>0</v>
      </c>
      <c r="B129" s="501"/>
      <c r="C129" s="487" t="s">
        <v>7054</v>
      </c>
      <c r="D129" s="487" t="s">
        <v>4160</v>
      </c>
      <c r="E129" s="487">
        <f t="shared" si="18"/>
        <v>6</v>
      </c>
      <c r="F129" s="502">
        <v>15</v>
      </c>
      <c r="G129" s="487"/>
      <c r="H129" s="487">
        <f t="shared" ca="1" si="19"/>
        <v>37</v>
      </c>
      <c r="I129" s="503"/>
      <c r="J129" s="503"/>
      <c r="K129" s="490"/>
      <c r="L129" s="493"/>
      <c r="M129" s="504"/>
      <c r="N129" s="493"/>
      <c r="O129" s="487" t="str">
        <f ca="1">IFERROR(IF(COUNTA($D$37:$D129)=1,"",OFFSET($C127,-COUNTA($D$37:$D129)+3,0)),"")</f>
        <v/>
      </c>
      <c r="P129" s="487">
        <f t="shared" si="20"/>
        <v>90</v>
      </c>
      <c r="Q129" s="487"/>
      <c r="R129" s="487"/>
      <c r="S129" s="487"/>
      <c r="T129" s="487" t="b">
        <v>0</v>
      </c>
    </row>
    <row r="130" spans="1:20" x14ac:dyDescent="0.3">
      <c r="A130" s="487" t="b">
        <f t="shared" ref="A130:A193" ca="1" si="21">IF(AND(OR(I130&lt;&gt;"",J130&lt;&gt;"",K130&lt;&gt;""),L130&lt;&gt;""),TRUE,FALSE)</f>
        <v>1</v>
      </c>
      <c r="B130" s="501"/>
      <c r="C130" s="500" t="str">
        <f t="shared" ref="C130:C193" ca="1" si="22">O130</f>
        <v>a1H3p000002KtDzEAK</v>
      </c>
      <c r="D130" s="487"/>
      <c r="E130" s="487">
        <f t="shared" ca="1" si="18"/>
        <v>1</v>
      </c>
      <c r="F130" s="502">
        <f ca="1">IFERROR(IF(COUNTA($D$37:$D130)=1,"",OFFSET($F128,-COUNTA($D$37:$D130)+3,0)),"")</f>
        <v>1</v>
      </c>
      <c r="G130" s="487"/>
      <c r="H130" s="487">
        <f t="shared" ca="1" si="19"/>
        <v>9</v>
      </c>
      <c r="I130" s="503" t="str">
        <f t="shared" ref="I130:I193" ca="1" si="23">IFERROR(CHOOSE(E130,IFERROR(IF(INDIRECT("'Impact Indicators - Section B '!K"&amp;H130+1)=0,"",INDIRECT("'Impact Indicators - Section B '!K"&amp;H130+1)),""),IFERROR(IF(INDIRECT("'Impact Indicators - Section B '!O"&amp;H130+1)=0,"",INDIRECT("'Impact Indicators - Section B '!O"&amp;H130+1)),""),IFERROR(IF(INDIRECT("'Impact Indicators - Section B '!S"&amp;H130+1)=0,"",INDIRECT("'Impact Indicators - Section B '!S"&amp;H130+1)),""),IFERROR(IF(INDIRECT("'Impact Indicators - Section B '!W"&amp;H130+1)=0,"",INDIRECT("'Impact Indicators - Section B '!W"&amp;H130+1)),""),),"")</f>
        <v/>
      </c>
      <c r="J130" s="503">
        <f t="shared" ref="J130:J193" ca="1" si="24">IFERROR(CHOOSE(E130,IFERROR(IF(INDIRECT("'Impact Indicators - Section B '!K"&amp;H130)=0,"",INDIRECT("'Impact Indicators - Section B '!K"&amp;H130)),""),IFERROR(IF(INDIRECT("'Impact Indicators - Section B '!O"&amp;H130)=0,"",INDIRECT("'Impact Indicators - Section B '!O"&amp;H130)),""),IFERROR(IF(INDIRECT("'Impact Indicators - Section B '!S"&amp;H130)=0,"",INDIRECT("'Impact Indicators - Section B '!S"&amp;H130)),""),IFERROR(IF(INDIRECT("'Impact Indicators - Section B '!W"&amp;H130)=0,"",INDIRECT("'Impact Indicators - Section B '!W"&amp;H130)),""),),"")</f>
        <v>9166</v>
      </c>
      <c r="K130" s="490" t="str">
        <f t="shared" ref="K130:K193" ca="1" si="25">IFERROR(CHOOSE(E130,IFERROR(IF(INDIRECT("'Impact Indicators - Section B '!L"&amp;H130)=0,"",INDIRECT("'Impact Indicators - Section B '!L"&amp;H130)*100),""),IFERROR(IF(INDIRECT("'Impact Indicators - Section B '!P"&amp;H130)=0,"",INDIRECT("'Impact Indicators - Section B '!P"&amp;H130)*100),""),IFERROR(IF(INDIRECT("'Impact Indicators - Section B '!T"&amp;H130)=0,"",INDIRECT("'Impact Indicators - Section B '!T"&amp;H130)*100),""),IFERROR(IF(INDIRECT("'Impact Indicators - Section B '!X"&amp;H130)=0,"",INDIRECT("'Impact Indicators - Section B '!X"&amp;H130)*100),""),),"")</f>
        <v/>
      </c>
      <c r="L130" s="493">
        <f ca="1">IFERROR(CHOOSE(E130,'Impact Indicators - Section B '!$K$7,'Impact Indicators - Section B '!$O$7,'Impact Indicators - Section B '!$S$7,'Impact Indicators - Section B '!$W$7),"")</f>
        <v>2021</v>
      </c>
      <c r="M130" s="504">
        <f t="shared" ref="M130:M193" ca="1" si="26">IFERROR(CHOOSE(E130,IFERROR(IF(INDIRECT("'Impact Indicators - Section B '!M"&amp;H130)=0,"",INDIRECT("'Impact Indicators - Section B '!M"&amp;H130)),""),IFERROR(IF(INDIRECT("'Impact Indicators - Section B '!Q"&amp;H130)=0,"",INDIRECT("'Impact Indicators - Section B '!Q"&amp;H130)),""),IFERROR(IF(INDIRECT("'Impact Indicators - Section B '!U"&amp;H130)=0,"",INDIRECT("'Impact Indicators - Section B '!U"&amp;H130)),""),IFERROR(IF(INDIRECT("'Impact Indicators - Section B '!Y"&amp;H130)=0,"",INDIRECT("'Impact Indicators - Section B '!Y"&amp;H130)),""),),"")</f>
        <v>44742</v>
      </c>
      <c r="N130" s="493" t="str">
        <f t="shared" ref="N130:N193" ca="1" si="27">IFERROR(CHOOSE(E130,IFERROR(IF(INDIRECT("'Impact Indicators - Section B '!N"&amp;H130)=0,"",INDIRECT("'Impact Indicators - Section B '!N"&amp;H130)),""),IFERROR(IF(INDIRECT("'Impact Indicators - Section B '!R"&amp;H130)=0,"",INDIRECT("'Impact Indicators - Section B '!R"&amp;H130)),""),IFERROR(IF(INDIRECT("'Impact Indicators - Section B '!V"&amp;H130)=0,"",INDIRECT("'Impact Indicators - Section B '!V"&amp;H130)),""),IFERROR(IF(INDIRECT("'Impact Indicators - Section B '!Z"&amp;H130)=0,"",INDIRECT("'Impact Indicators - Section B '!Z"&amp;H130)),"")),"")</f>
        <v/>
      </c>
      <c r="O130" s="487" t="str">
        <f ca="1">IFERROR(IF(COUNTA($D$37:$D130)=1,"",OFFSET($C128,-COUNTA($D$37:$D130)+3,0)),"")</f>
        <v>a1H3p000002KtDzEAK</v>
      </c>
      <c r="P130" s="487">
        <f t="shared" si="20"/>
        <v>0</v>
      </c>
      <c r="Q130" s="487"/>
      <c r="R130" s="487"/>
      <c r="S130" s="487"/>
      <c r="T130" s="487" t="b">
        <f t="shared" ref="T130:T193" ca="1" si="28">IF(A130=TRUE,TRUE,FALSE)</f>
        <v>1</v>
      </c>
    </row>
    <row r="131" spans="1:20" x14ac:dyDescent="0.3">
      <c r="A131" s="487" t="b">
        <f t="shared" ca="1" si="21"/>
        <v>1</v>
      </c>
      <c r="B131" s="501"/>
      <c r="C131" s="500" t="str">
        <f t="shared" ca="1" si="22"/>
        <v>a1H3p000002KtEEEA0</v>
      </c>
      <c r="D131" s="487"/>
      <c r="E131" s="487">
        <f t="shared" ca="1" si="18"/>
        <v>2</v>
      </c>
      <c r="F131" s="502">
        <f ca="1">IFERROR(IF(COUNTA($D$37:$D131)=1,"",OFFSET($F129,-COUNTA($D$37:$D131)+3,0)),"")</f>
        <v>1</v>
      </c>
      <c r="G131" s="487"/>
      <c r="H131" s="487">
        <f t="shared" ca="1" si="19"/>
        <v>9</v>
      </c>
      <c r="I131" s="503" t="str">
        <f t="shared" ca="1" si="23"/>
        <v/>
      </c>
      <c r="J131" s="503">
        <f t="shared" ca="1" si="24"/>
        <v>7670</v>
      </c>
      <c r="K131" s="490" t="str">
        <f t="shared" ca="1" si="25"/>
        <v/>
      </c>
      <c r="L131" s="493">
        <f ca="1">IFERROR(CHOOSE(E131,'Impact Indicators - Section B '!$K$7,'Impact Indicators - Section B '!$O$7,'Impact Indicators - Section B '!$S$7,'Impact Indicators - Section B '!$W$7),"")</f>
        <v>2022</v>
      </c>
      <c r="M131" s="504">
        <f t="shared" ca="1" si="26"/>
        <v>45107</v>
      </c>
      <c r="N131" s="493" t="str">
        <f t="shared" ca="1" si="27"/>
        <v/>
      </c>
      <c r="O131" s="487" t="str">
        <f ca="1">IFERROR(IF(COUNTA($D$37:$D131)=1,"",OFFSET($C129,-COUNTA($D$37:$D131)+3,0)),"")</f>
        <v>a1H3p000002KtEEEA0</v>
      </c>
      <c r="P131" s="487">
        <f t="shared" si="20"/>
        <v>0</v>
      </c>
      <c r="Q131" s="487"/>
      <c r="R131" s="487"/>
      <c r="S131" s="487"/>
      <c r="T131" s="487" t="b">
        <f t="shared" ca="1" si="28"/>
        <v>1</v>
      </c>
    </row>
    <row r="132" spans="1:20" x14ac:dyDescent="0.3">
      <c r="A132" s="487" t="b">
        <f t="shared" ca="1" si="21"/>
        <v>1</v>
      </c>
      <c r="B132" s="501"/>
      <c r="C132" s="500" t="str">
        <f t="shared" ca="1" si="22"/>
        <v>a1H3p000002KtETEA0</v>
      </c>
      <c r="D132" s="487"/>
      <c r="E132" s="487">
        <f t="shared" ca="1" si="18"/>
        <v>3</v>
      </c>
      <c r="F132" s="502">
        <f ca="1">IFERROR(IF(COUNTA($D$37:$D132)=1,"",OFFSET($F130,-COUNTA($D$37:$D132)+3,0)),"")</f>
        <v>1</v>
      </c>
      <c r="G132" s="487"/>
      <c r="H132" s="487">
        <f t="shared" ca="1" si="19"/>
        <v>9</v>
      </c>
      <c r="I132" s="503" t="str">
        <f t="shared" ca="1" si="23"/>
        <v/>
      </c>
      <c r="J132" s="503">
        <f t="shared" ca="1" si="24"/>
        <v>6174</v>
      </c>
      <c r="K132" s="490" t="str">
        <f t="shared" ca="1" si="25"/>
        <v/>
      </c>
      <c r="L132" s="493">
        <f ca="1">IFERROR(CHOOSE(E132,'Impact Indicators - Section B '!$K$7,'Impact Indicators - Section B '!$O$7,'Impact Indicators - Section B '!$S$7,'Impact Indicators - Section B '!$W$7),"")</f>
        <v>2023</v>
      </c>
      <c r="M132" s="504">
        <f t="shared" ca="1" si="26"/>
        <v>45473</v>
      </c>
      <c r="N132" s="493" t="str">
        <f t="shared" ca="1" si="27"/>
        <v/>
      </c>
      <c r="O132" s="487" t="str">
        <f ca="1">IFERROR(IF(COUNTA($D$37:$D132)=1,"",OFFSET($C130,-COUNTA($D$37:$D132)+3,0)),"")</f>
        <v>a1H3p000002KtETEA0</v>
      </c>
      <c r="P132" s="487">
        <f t="shared" si="20"/>
        <v>0</v>
      </c>
      <c r="Q132" s="487"/>
      <c r="R132" s="487"/>
      <c r="S132" s="487"/>
      <c r="T132" s="487" t="b">
        <f t="shared" ca="1" si="28"/>
        <v>1</v>
      </c>
    </row>
    <row r="133" spans="1:20" x14ac:dyDescent="0.3">
      <c r="A133" s="487" t="b">
        <f t="shared" ca="1" si="21"/>
        <v>0</v>
      </c>
      <c r="B133" s="501"/>
      <c r="C133" s="500" t="str">
        <f t="shared" ca="1" si="22"/>
        <v>a1H3p000002KtEiEAK</v>
      </c>
      <c r="D133" s="487"/>
      <c r="E133" s="487">
        <f t="shared" ca="1" si="18"/>
        <v>4</v>
      </c>
      <c r="F133" s="502">
        <f ca="1">IFERROR(IF(COUNTA($D$37:$D133)=1,"",OFFSET($F131,-COUNTA($D$37:$D133)+3,0)),"")</f>
        <v>1</v>
      </c>
      <c r="G133" s="487"/>
      <c r="H133" s="487">
        <f t="shared" ca="1" si="19"/>
        <v>9</v>
      </c>
      <c r="I133" s="503" t="str">
        <f t="shared" ca="1" si="23"/>
        <v/>
      </c>
      <c r="J133" s="503" t="str">
        <f t="shared" ca="1" si="24"/>
        <v/>
      </c>
      <c r="K133" s="490" t="str">
        <f t="shared" ca="1" si="25"/>
        <v/>
      </c>
      <c r="L133" s="493" t="str">
        <f ca="1">IFERROR(CHOOSE(E133,'Impact Indicators - Section B '!$K$7,'Impact Indicators - Section B '!$O$7,'Impact Indicators - Section B '!$S$7,'Impact Indicators - Section B '!$W$7),"")</f>
        <v/>
      </c>
      <c r="M133" s="504" t="str">
        <f t="shared" ca="1" si="26"/>
        <v/>
      </c>
      <c r="N133" s="493" t="str">
        <f t="shared" ca="1" si="27"/>
        <v/>
      </c>
      <c r="O133" s="487" t="str">
        <f ca="1">IFERROR(IF(COUNTA($D$37:$D133)=1,"",OFFSET($C131,-COUNTA($D$37:$D133)+3,0)),"")</f>
        <v>a1H3p000002KtEiEAK</v>
      </c>
      <c r="P133" s="487">
        <f t="shared" si="20"/>
        <v>0</v>
      </c>
      <c r="Q133" s="487"/>
      <c r="R133" s="487"/>
      <c r="S133" s="487"/>
      <c r="T133" s="487" t="b">
        <f t="shared" ca="1" si="28"/>
        <v>0</v>
      </c>
    </row>
    <row r="134" spans="1:20" x14ac:dyDescent="0.3">
      <c r="A134" s="487" t="b">
        <f t="shared" ca="1" si="21"/>
        <v>0</v>
      </c>
      <c r="B134" s="501"/>
      <c r="C134" s="500" t="str">
        <f t="shared" ca="1" si="22"/>
        <v>a1H3p000002KtExEAK</v>
      </c>
      <c r="D134" s="487"/>
      <c r="E134" s="487">
        <f t="shared" ca="1" si="18"/>
        <v>5</v>
      </c>
      <c r="F134" s="502">
        <f ca="1">IFERROR(IF(COUNTA($D$37:$D134)=1,"",OFFSET($F132,-COUNTA($D$37:$D134)+3,0)),"")</f>
        <v>1</v>
      </c>
      <c r="G134" s="487"/>
      <c r="H134" s="487">
        <f t="shared" ca="1" si="19"/>
        <v>9</v>
      </c>
      <c r="I134" s="503">
        <f t="shared" ca="1" si="23"/>
        <v>0</v>
      </c>
      <c r="J134" s="503">
        <f t="shared" ca="1" si="24"/>
        <v>0</v>
      </c>
      <c r="K134" s="490">
        <f t="shared" ca="1" si="25"/>
        <v>0</v>
      </c>
      <c r="L134" s="493" t="str">
        <f ca="1">IFERROR(CHOOSE(E134,'Impact Indicators - Section B '!$K$7,'Impact Indicators - Section B '!$O$7,'Impact Indicators - Section B '!$S$7,'Impact Indicators - Section B '!$W$7),"")</f>
        <v/>
      </c>
      <c r="M134" s="504">
        <f t="shared" ca="1" si="26"/>
        <v>0</v>
      </c>
      <c r="N134" s="493" t="str">
        <f t="shared" ca="1" si="27"/>
        <v/>
      </c>
      <c r="O134" s="487" t="str">
        <f ca="1">IFERROR(IF(COUNTA($D$37:$D134)=1,"",OFFSET($C132,-COUNTA($D$37:$D134)+3,0)),"")</f>
        <v>a1H3p000002KtExEAK</v>
      </c>
      <c r="P134" s="487">
        <f t="shared" si="20"/>
        <v>0</v>
      </c>
      <c r="Q134" s="487"/>
      <c r="R134" s="487"/>
      <c r="S134" s="487"/>
      <c r="T134" s="487" t="b">
        <f t="shared" ca="1" si="28"/>
        <v>0</v>
      </c>
    </row>
    <row r="135" spans="1:20" x14ac:dyDescent="0.3">
      <c r="A135" s="487" t="b">
        <f t="shared" ca="1" si="21"/>
        <v>0</v>
      </c>
      <c r="B135" s="501"/>
      <c r="C135" s="500" t="str">
        <f t="shared" ca="1" si="22"/>
        <v>a1H3p000002KtFCEA0</v>
      </c>
      <c r="D135" s="487"/>
      <c r="E135" s="487">
        <f t="shared" ca="1" si="18"/>
        <v>6</v>
      </c>
      <c r="F135" s="502">
        <f ca="1">IFERROR(IF(COUNTA($D$37:$D135)=1,"",OFFSET($F133,-COUNTA($D$37:$D135)+3,0)),"")</f>
        <v>1</v>
      </c>
      <c r="G135" s="487"/>
      <c r="H135" s="487">
        <f t="shared" ca="1" si="19"/>
        <v>9</v>
      </c>
      <c r="I135" s="503" t="str">
        <f t="shared" ca="1" si="23"/>
        <v/>
      </c>
      <c r="J135" s="503" t="str">
        <f t="shared" ca="1" si="24"/>
        <v/>
      </c>
      <c r="K135" s="490" t="str">
        <f t="shared" ca="1" si="25"/>
        <v/>
      </c>
      <c r="L135" s="493" t="str">
        <f ca="1">IFERROR(CHOOSE(E135,'Impact Indicators - Section B '!$K$7,'Impact Indicators - Section B '!$O$7,'Impact Indicators - Section B '!$S$7,'Impact Indicators - Section B '!$W$7),"")</f>
        <v/>
      </c>
      <c r="M135" s="504" t="str">
        <f t="shared" ca="1" si="26"/>
        <v/>
      </c>
      <c r="N135" s="493" t="str">
        <f t="shared" ca="1" si="27"/>
        <v/>
      </c>
      <c r="O135" s="487" t="str">
        <f ca="1">IFERROR(IF(COUNTA($D$37:$D135)=1,"",OFFSET($C133,-COUNTA($D$37:$D135)+3,0)),"")</f>
        <v>a1H3p000002KtFCEA0</v>
      </c>
      <c r="P135" s="487">
        <f t="shared" si="20"/>
        <v>0</v>
      </c>
      <c r="Q135" s="487"/>
      <c r="R135" s="487"/>
      <c r="S135" s="487"/>
      <c r="T135" s="487" t="b">
        <f t="shared" ca="1" si="28"/>
        <v>0</v>
      </c>
    </row>
    <row r="136" spans="1:20" x14ac:dyDescent="0.3">
      <c r="A136" s="487" t="b">
        <f t="shared" ca="1" si="21"/>
        <v>1</v>
      </c>
      <c r="B136" s="501"/>
      <c r="C136" s="500" t="str">
        <f t="shared" ca="1" si="22"/>
        <v>a1H3p000002KtE0EAK</v>
      </c>
      <c r="D136" s="487"/>
      <c r="E136" s="487">
        <f t="shared" ca="1" si="18"/>
        <v>1</v>
      </c>
      <c r="F136" s="502">
        <f ca="1">IFERROR(IF(COUNTA($D$37:$D136)=1,"",OFFSET($F134,-COUNTA($D$37:$D136)+3,0)),"")</f>
        <v>2</v>
      </c>
      <c r="G136" s="487"/>
      <c r="H136" s="487">
        <f t="shared" ca="1" si="19"/>
        <v>11</v>
      </c>
      <c r="I136" s="503" t="str">
        <f t="shared" ca="1" si="23"/>
        <v/>
      </c>
      <c r="J136" s="503">
        <f t="shared" ca="1" si="24"/>
        <v>9849</v>
      </c>
      <c r="K136" s="490" t="str">
        <f t="shared" ca="1" si="25"/>
        <v/>
      </c>
      <c r="L136" s="493">
        <f ca="1">IFERROR(CHOOSE(E136,'Impact Indicators - Section B '!$K$7,'Impact Indicators - Section B '!$O$7,'Impact Indicators - Section B '!$S$7,'Impact Indicators - Section B '!$W$7),"")</f>
        <v>2021</v>
      </c>
      <c r="M136" s="504">
        <f t="shared" ca="1" si="26"/>
        <v>44742</v>
      </c>
      <c r="N136" s="493" t="str">
        <f t="shared" ca="1" si="27"/>
        <v/>
      </c>
      <c r="O136" s="487" t="str">
        <f ca="1">IFERROR(IF(COUNTA($D$37:$D136)=1,"",OFFSET($C134,-COUNTA($D$37:$D136)+3,0)),"")</f>
        <v>a1H3p000002KtE0EAK</v>
      </c>
      <c r="P136" s="487">
        <f t="shared" si="20"/>
        <v>0</v>
      </c>
      <c r="Q136" s="487"/>
      <c r="R136" s="487"/>
      <c r="S136" s="487"/>
      <c r="T136" s="487" t="b">
        <f t="shared" ca="1" si="28"/>
        <v>1</v>
      </c>
    </row>
    <row r="137" spans="1:20" x14ac:dyDescent="0.3">
      <c r="A137" s="487" t="b">
        <f t="shared" ca="1" si="21"/>
        <v>1</v>
      </c>
      <c r="B137" s="501"/>
      <c r="C137" s="500" t="str">
        <f t="shared" ca="1" si="22"/>
        <v>a1H3p000002KtEFEA0</v>
      </c>
      <c r="D137" s="487"/>
      <c r="E137" s="487">
        <f t="shared" ca="1" si="18"/>
        <v>2</v>
      </c>
      <c r="F137" s="502">
        <f ca="1">IFERROR(IF(COUNTA($D$37:$D137)=1,"",OFFSET($F135,-COUNTA($D$37:$D137)+3,0)),"")</f>
        <v>2</v>
      </c>
      <c r="G137" s="487"/>
      <c r="H137" s="487">
        <f t="shared" ca="1" si="19"/>
        <v>11</v>
      </c>
      <c r="I137" s="503" t="str">
        <f t="shared" ca="1" si="23"/>
        <v/>
      </c>
      <c r="J137" s="503">
        <f t="shared" ca="1" si="24"/>
        <v>9352</v>
      </c>
      <c r="K137" s="490" t="str">
        <f t="shared" ca="1" si="25"/>
        <v/>
      </c>
      <c r="L137" s="493">
        <f ca="1">IFERROR(CHOOSE(E137,'Impact Indicators - Section B '!$K$7,'Impact Indicators - Section B '!$O$7,'Impact Indicators - Section B '!$S$7,'Impact Indicators - Section B '!$W$7),"")</f>
        <v>2022</v>
      </c>
      <c r="M137" s="504">
        <f t="shared" ca="1" si="26"/>
        <v>45107</v>
      </c>
      <c r="N137" s="493" t="str">
        <f t="shared" ca="1" si="27"/>
        <v/>
      </c>
      <c r="O137" s="487" t="str">
        <f ca="1">IFERROR(IF(COUNTA($D$37:$D137)=1,"",OFFSET($C135,-COUNTA($D$37:$D137)+3,0)),"")</f>
        <v>a1H3p000002KtEFEA0</v>
      </c>
      <c r="P137" s="487">
        <f t="shared" si="20"/>
        <v>0</v>
      </c>
      <c r="Q137" s="487"/>
      <c r="R137" s="487"/>
      <c r="S137" s="487"/>
      <c r="T137" s="487" t="b">
        <f t="shared" ca="1" si="28"/>
        <v>1</v>
      </c>
    </row>
    <row r="138" spans="1:20" x14ac:dyDescent="0.3">
      <c r="A138" s="487" t="b">
        <f t="shared" ca="1" si="21"/>
        <v>1</v>
      </c>
      <c r="B138" s="501"/>
      <c r="C138" s="500" t="str">
        <f t="shared" ca="1" si="22"/>
        <v>a1H3p000002KtEUEA0</v>
      </c>
      <c r="D138" s="487"/>
      <c r="E138" s="487">
        <f t="shared" ca="1" si="18"/>
        <v>3</v>
      </c>
      <c r="F138" s="502">
        <f ca="1">IFERROR(IF(COUNTA($D$37:$D138)=1,"",OFFSET($F136,-COUNTA($D$37:$D138)+3,0)),"")</f>
        <v>2</v>
      </c>
      <c r="G138" s="487"/>
      <c r="H138" s="487">
        <f t="shared" ca="1" si="19"/>
        <v>11</v>
      </c>
      <c r="I138" s="503" t="str">
        <f t="shared" ca="1" si="23"/>
        <v/>
      </c>
      <c r="J138" s="503">
        <f t="shared" ca="1" si="24"/>
        <v>8973</v>
      </c>
      <c r="K138" s="490" t="str">
        <f t="shared" ca="1" si="25"/>
        <v/>
      </c>
      <c r="L138" s="493">
        <f ca="1">IFERROR(CHOOSE(E138,'Impact Indicators - Section B '!$K$7,'Impact Indicators - Section B '!$O$7,'Impact Indicators - Section B '!$S$7,'Impact Indicators - Section B '!$W$7),"")</f>
        <v>2023</v>
      </c>
      <c r="M138" s="504">
        <f t="shared" ca="1" si="26"/>
        <v>45473</v>
      </c>
      <c r="N138" s="493" t="str">
        <f t="shared" ca="1" si="27"/>
        <v/>
      </c>
      <c r="O138" s="487" t="str">
        <f ca="1">IFERROR(IF(COUNTA($D$37:$D138)=1,"",OFFSET($C136,-COUNTA($D$37:$D138)+3,0)),"")</f>
        <v>a1H3p000002KtEUEA0</v>
      </c>
      <c r="P138" s="487">
        <f t="shared" si="20"/>
        <v>0</v>
      </c>
      <c r="Q138" s="487"/>
      <c r="R138" s="487"/>
      <c r="S138" s="487"/>
      <c r="T138" s="487" t="b">
        <f t="shared" ca="1" si="28"/>
        <v>1</v>
      </c>
    </row>
    <row r="139" spans="1:20" x14ac:dyDescent="0.3">
      <c r="A139" s="487" t="b">
        <f t="shared" ca="1" si="21"/>
        <v>0</v>
      </c>
      <c r="B139" s="501"/>
      <c r="C139" s="500" t="str">
        <f t="shared" ca="1" si="22"/>
        <v>a1H3p000002KtEjEAK</v>
      </c>
      <c r="D139" s="487"/>
      <c r="E139" s="487">
        <f t="shared" ca="1" si="18"/>
        <v>4</v>
      </c>
      <c r="F139" s="502">
        <f ca="1">IFERROR(IF(COUNTA($D$37:$D139)=1,"",OFFSET($F137,-COUNTA($D$37:$D139)+3,0)),"")</f>
        <v>2</v>
      </c>
      <c r="G139" s="487"/>
      <c r="H139" s="487">
        <f t="shared" ca="1" si="19"/>
        <v>11</v>
      </c>
      <c r="I139" s="503" t="str">
        <f t="shared" ca="1" si="23"/>
        <v/>
      </c>
      <c r="J139" s="503" t="str">
        <f t="shared" ca="1" si="24"/>
        <v/>
      </c>
      <c r="K139" s="490" t="str">
        <f t="shared" ca="1" si="25"/>
        <v/>
      </c>
      <c r="L139" s="493" t="str">
        <f ca="1">IFERROR(CHOOSE(E139,'Impact Indicators - Section B '!$K$7,'Impact Indicators - Section B '!$O$7,'Impact Indicators - Section B '!$S$7,'Impact Indicators - Section B '!$W$7),"")</f>
        <v/>
      </c>
      <c r="M139" s="504" t="str">
        <f t="shared" ca="1" si="26"/>
        <v/>
      </c>
      <c r="N139" s="493" t="str">
        <f t="shared" ca="1" si="27"/>
        <v/>
      </c>
      <c r="O139" s="487" t="str">
        <f ca="1">IFERROR(IF(COUNTA($D$37:$D139)=1,"",OFFSET($C137,-COUNTA($D$37:$D139)+3,0)),"")</f>
        <v>a1H3p000002KtEjEAK</v>
      </c>
      <c r="P139" s="487">
        <f t="shared" si="20"/>
        <v>0</v>
      </c>
      <c r="Q139" s="487"/>
      <c r="R139" s="487"/>
      <c r="S139" s="487"/>
      <c r="T139" s="487" t="b">
        <f t="shared" ca="1" si="28"/>
        <v>0</v>
      </c>
    </row>
    <row r="140" spans="1:20" x14ac:dyDescent="0.3">
      <c r="A140" s="487" t="b">
        <f t="shared" ca="1" si="21"/>
        <v>0</v>
      </c>
      <c r="B140" s="501"/>
      <c r="C140" s="500" t="str">
        <f t="shared" ca="1" si="22"/>
        <v>a1H3p000002KtEyEAK</v>
      </c>
      <c r="D140" s="487"/>
      <c r="E140" s="487">
        <f t="shared" ca="1" si="18"/>
        <v>5</v>
      </c>
      <c r="F140" s="502">
        <f ca="1">IFERROR(IF(COUNTA($D$37:$D140)=1,"",OFFSET($F138,-COUNTA($D$37:$D140)+3,0)),"")</f>
        <v>2</v>
      </c>
      <c r="G140" s="487"/>
      <c r="H140" s="487">
        <f t="shared" ca="1" si="19"/>
        <v>11</v>
      </c>
      <c r="I140" s="503">
        <f t="shared" ca="1" si="23"/>
        <v>0</v>
      </c>
      <c r="J140" s="503">
        <f t="shared" ca="1" si="24"/>
        <v>0</v>
      </c>
      <c r="K140" s="490">
        <f t="shared" ca="1" si="25"/>
        <v>0</v>
      </c>
      <c r="L140" s="493" t="str">
        <f ca="1">IFERROR(CHOOSE(E140,'Impact Indicators - Section B '!$K$7,'Impact Indicators - Section B '!$O$7,'Impact Indicators - Section B '!$S$7,'Impact Indicators - Section B '!$W$7),"")</f>
        <v/>
      </c>
      <c r="M140" s="504">
        <f t="shared" ca="1" si="26"/>
        <v>0</v>
      </c>
      <c r="N140" s="493" t="str">
        <f t="shared" ca="1" si="27"/>
        <v/>
      </c>
      <c r="O140" s="487" t="str">
        <f ca="1">IFERROR(IF(COUNTA($D$37:$D140)=1,"",OFFSET($C138,-COUNTA($D$37:$D140)+3,0)),"")</f>
        <v>a1H3p000002KtEyEAK</v>
      </c>
      <c r="P140" s="487">
        <f t="shared" si="20"/>
        <v>0</v>
      </c>
      <c r="Q140" s="487"/>
      <c r="R140" s="487"/>
      <c r="S140" s="487"/>
      <c r="T140" s="487" t="b">
        <f t="shared" ca="1" si="28"/>
        <v>0</v>
      </c>
    </row>
    <row r="141" spans="1:20" x14ac:dyDescent="0.3">
      <c r="A141" s="487" t="b">
        <f t="shared" ca="1" si="21"/>
        <v>0</v>
      </c>
      <c r="B141" s="501"/>
      <c r="C141" s="500" t="str">
        <f t="shared" ca="1" si="22"/>
        <v>a1H3p000002KtFDEA0</v>
      </c>
      <c r="D141" s="487"/>
      <c r="E141" s="487">
        <f t="shared" ca="1" si="18"/>
        <v>6</v>
      </c>
      <c r="F141" s="502">
        <f ca="1">IFERROR(IF(COUNTA($D$37:$D141)=1,"",OFFSET($F139,-COUNTA($D$37:$D141)+3,0)),"")</f>
        <v>2</v>
      </c>
      <c r="G141" s="487"/>
      <c r="H141" s="487">
        <f t="shared" ca="1" si="19"/>
        <v>11</v>
      </c>
      <c r="I141" s="503" t="str">
        <f t="shared" ca="1" si="23"/>
        <v/>
      </c>
      <c r="J141" s="503" t="str">
        <f t="shared" ca="1" si="24"/>
        <v/>
      </c>
      <c r="K141" s="490" t="str">
        <f t="shared" ca="1" si="25"/>
        <v/>
      </c>
      <c r="L141" s="493" t="str">
        <f ca="1">IFERROR(CHOOSE(E141,'Impact Indicators - Section B '!$K$7,'Impact Indicators - Section B '!$O$7,'Impact Indicators - Section B '!$S$7,'Impact Indicators - Section B '!$W$7),"")</f>
        <v/>
      </c>
      <c r="M141" s="504" t="str">
        <f t="shared" ca="1" si="26"/>
        <v/>
      </c>
      <c r="N141" s="493" t="str">
        <f t="shared" ca="1" si="27"/>
        <v/>
      </c>
      <c r="O141" s="487" t="str">
        <f ca="1">IFERROR(IF(COUNTA($D$37:$D141)=1,"",OFFSET($C139,-COUNTA($D$37:$D141)+3,0)),"")</f>
        <v>a1H3p000002KtFDEA0</v>
      </c>
      <c r="P141" s="487">
        <f t="shared" si="20"/>
        <v>0</v>
      </c>
      <c r="Q141" s="487"/>
      <c r="R141" s="487"/>
      <c r="S141" s="487"/>
      <c r="T141" s="487" t="b">
        <f t="shared" ca="1" si="28"/>
        <v>0</v>
      </c>
    </row>
    <row r="142" spans="1:20" x14ac:dyDescent="0.3">
      <c r="A142" s="487" t="b">
        <f t="shared" ca="1" si="21"/>
        <v>1</v>
      </c>
      <c r="B142" s="501"/>
      <c r="C142" s="500" t="str">
        <f t="shared" ca="1" si="22"/>
        <v>a1H3p000002KtE1EAK</v>
      </c>
      <c r="D142" s="487"/>
      <c r="E142" s="487">
        <f t="shared" ca="1" si="18"/>
        <v>1</v>
      </c>
      <c r="F142" s="502">
        <f ca="1">IFERROR(IF(COUNTA($D$37:$D142)=1,"",OFFSET($F140,-COUNTA($D$37:$D142)+3,0)),"")</f>
        <v>3</v>
      </c>
      <c r="G142" s="487"/>
      <c r="H142" s="487">
        <f t="shared" ca="1" si="19"/>
        <v>13</v>
      </c>
      <c r="I142" s="503" t="str">
        <f t="shared" ca="1" si="23"/>
        <v/>
      </c>
      <c r="J142" s="503" t="str">
        <f t="shared" ca="1" si="24"/>
        <v/>
      </c>
      <c r="K142" s="490">
        <f t="shared" ca="1" si="25"/>
        <v>6.05</v>
      </c>
      <c r="L142" s="493">
        <f ca="1">IFERROR(CHOOSE(E142,'Impact Indicators - Section B '!$K$7,'Impact Indicators - Section B '!$O$7,'Impact Indicators - Section B '!$S$7,'Impact Indicators - Section B '!$W$7),"")</f>
        <v>2021</v>
      </c>
      <c r="M142" s="504">
        <f t="shared" ca="1" si="26"/>
        <v>44742</v>
      </c>
      <c r="N142" s="493" t="str">
        <f t="shared" ca="1" si="27"/>
        <v/>
      </c>
      <c r="O142" s="487" t="str">
        <f ca="1">IFERROR(IF(COUNTA($D$37:$D142)=1,"",OFFSET($C140,-COUNTA($D$37:$D142)+3,0)),"")</f>
        <v>a1H3p000002KtE1EAK</v>
      </c>
      <c r="P142" s="487">
        <f t="shared" si="20"/>
        <v>0</v>
      </c>
      <c r="Q142" s="487"/>
      <c r="R142" s="487"/>
      <c r="S142" s="487"/>
      <c r="T142" s="487" t="b">
        <f t="shared" ca="1" si="28"/>
        <v>1</v>
      </c>
    </row>
    <row r="143" spans="1:20" x14ac:dyDescent="0.3">
      <c r="A143" s="487" t="b">
        <f t="shared" ca="1" si="21"/>
        <v>1</v>
      </c>
      <c r="B143" s="501"/>
      <c r="C143" s="500" t="str">
        <f t="shared" ca="1" si="22"/>
        <v>a1H3p000002KtEGEA0</v>
      </c>
      <c r="D143" s="487"/>
      <c r="E143" s="487">
        <f t="shared" ca="1" si="18"/>
        <v>2</v>
      </c>
      <c r="F143" s="502">
        <f ca="1">IFERROR(IF(COUNTA($D$37:$D143)=1,"",OFFSET($F141,-COUNTA($D$37:$D143)+3,0)),"")</f>
        <v>3</v>
      </c>
      <c r="G143" s="487"/>
      <c r="H143" s="487">
        <f t="shared" ca="1" si="19"/>
        <v>13</v>
      </c>
      <c r="I143" s="503" t="str">
        <f t="shared" ca="1" si="23"/>
        <v/>
      </c>
      <c r="J143" s="503" t="str">
        <f t="shared" ca="1" si="24"/>
        <v/>
      </c>
      <c r="K143" s="490">
        <f t="shared" ca="1" si="25"/>
        <v>5.04</v>
      </c>
      <c r="L143" s="493">
        <f ca="1">IFERROR(CHOOSE(E143,'Impact Indicators - Section B '!$K$7,'Impact Indicators - Section B '!$O$7,'Impact Indicators - Section B '!$S$7,'Impact Indicators - Section B '!$W$7),"")</f>
        <v>2022</v>
      </c>
      <c r="M143" s="504">
        <f t="shared" ca="1" si="26"/>
        <v>45107</v>
      </c>
      <c r="N143" s="493" t="str">
        <f t="shared" ca="1" si="27"/>
        <v/>
      </c>
      <c r="O143" s="487" t="str">
        <f ca="1">IFERROR(IF(COUNTA($D$37:$D143)=1,"",OFFSET($C141,-COUNTA($D$37:$D143)+3,0)),"")</f>
        <v>a1H3p000002KtEGEA0</v>
      </c>
      <c r="P143" s="487">
        <f t="shared" si="20"/>
        <v>0</v>
      </c>
      <c r="Q143" s="487"/>
      <c r="R143" s="487"/>
      <c r="S143" s="487"/>
      <c r="T143" s="487" t="b">
        <f t="shared" ca="1" si="28"/>
        <v>1</v>
      </c>
    </row>
    <row r="144" spans="1:20" x14ac:dyDescent="0.3">
      <c r="A144" s="487" t="b">
        <f t="shared" ca="1" si="21"/>
        <v>1</v>
      </c>
      <c r="B144" s="501"/>
      <c r="C144" s="500" t="str">
        <f t="shared" ca="1" si="22"/>
        <v>a1H3p000002KtEVEA0</v>
      </c>
      <c r="D144" s="487"/>
      <c r="E144" s="487">
        <f t="shared" ca="1" si="18"/>
        <v>3</v>
      </c>
      <c r="F144" s="502">
        <f ca="1">IFERROR(IF(COUNTA($D$37:$D144)=1,"",OFFSET($F142,-COUNTA($D$37:$D144)+3,0)),"")</f>
        <v>3</v>
      </c>
      <c r="G144" s="487"/>
      <c r="H144" s="487">
        <f t="shared" ca="1" si="19"/>
        <v>13</v>
      </c>
      <c r="I144" s="503" t="str">
        <f t="shared" ca="1" si="23"/>
        <v/>
      </c>
      <c r="J144" s="503" t="str">
        <f t="shared" ca="1" si="24"/>
        <v/>
      </c>
      <c r="K144" s="490">
        <f t="shared" ca="1" si="25"/>
        <v>4.0199999999999996</v>
      </c>
      <c r="L144" s="493">
        <f ca="1">IFERROR(CHOOSE(E144,'Impact Indicators - Section B '!$K$7,'Impact Indicators - Section B '!$O$7,'Impact Indicators - Section B '!$S$7,'Impact Indicators - Section B '!$W$7),"")</f>
        <v>2023</v>
      </c>
      <c r="M144" s="504">
        <f t="shared" ca="1" si="26"/>
        <v>45473</v>
      </c>
      <c r="N144" s="493" t="str">
        <f t="shared" ca="1" si="27"/>
        <v/>
      </c>
      <c r="O144" s="487" t="str">
        <f ca="1">IFERROR(IF(COUNTA($D$37:$D144)=1,"",OFFSET($C142,-COUNTA($D$37:$D144)+3,0)),"")</f>
        <v>a1H3p000002KtEVEA0</v>
      </c>
      <c r="P144" s="487">
        <f t="shared" si="20"/>
        <v>0</v>
      </c>
      <c r="Q144" s="487"/>
      <c r="R144" s="487"/>
      <c r="S144" s="487"/>
      <c r="T144" s="487" t="b">
        <f t="shared" ca="1" si="28"/>
        <v>1</v>
      </c>
    </row>
    <row r="145" spans="1:20" x14ac:dyDescent="0.3">
      <c r="A145" s="487" t="b">
        <f t="shared" ca="1" si="21"/>
        <v>0</v>
      </c>
      <c r="B145" s="501"/>
      <c r="C145" s="500" t="str">
        <f t="shared" ca="1" si="22"/>
        <v>a1H3p000002KtEkEAK</v>
      </c>
      <c r="D145" s="487"/>
      <c r="E145" s="487">
        <f t="shared" ca="1" si="18"/>
        <v>4</v>
      </c>
      <c r="F145" s="502">
        <f ca="1">IFERROR(IF(COUNTA($D$37:$D145)=1,"",OFFSET($F143,-COUNTA($D$37:$D145)+3,0)),"")</f>
        <v>3</v>
      </c>
      <c r="G145" s="487"/>
      <c r="H145" s="487">
        <f t="shared" ca="1" si="19"/>
        <v>13</v>
      </c>
      <c r="I145" s="503" t="str">
        <f t="shared" ca="1" si="23"/>
        <v/>
      </c>
      <c r="J145" s="503" t="str">
        <f t="shared" ca="1" si="24"/>
        <v/>
      </c>
      <c r="K145" s="490" t="str">
        <f t="shared" ca="1" si="25"/>
        <v/>
      </c>
      <c r="L145" s="493" t="str">
        <f ca="1">IFERROR(CHOOSE(E145,'Impact Indicators - Section B '!$K$7,'Impact Indicators - Section B '!$O$7,'Impact Indicators - Section B '!$S$7,'Impact Indicators - Section B '!$W$7),"")</f>
        <v/>
      </c>
      <c r="M145" s="504" t="str">
        <f t="shared" ca="1" si="26"/>
        <v/>
      </c>
      <c r="N145" s="493" t="str">
        <f t="shared" ca="1" si="27"/>
        <v/>
      </c>
      <c r="O145" s="487" t="str">
        <f ca="1">IFERROR(IF(COUNTA($D$37:$D145)=1,"",OFFSET($C143,-COUNTA($D$37:$D145)+3,0)),"")</f>
        <v>a1H3p000002KtEkEAK</v>
      </c>
      <c r="P145" s="487">
        <f t="shared" si="20"/>
        <v>0</v>
      </c>
      <c r="Q145" s="487"/>
      <c r="R145" s="487"/>
      <c r="S145" s="487"/>
      <c r="T145" s="487" t="b">
        <f t="shared" ca="1" si="28"/>
        <v>0</v>
      </c>
    </row>
    <row r="146" spans="1:20" x14ac:dyDescent="0.3">
      <c r="A146" s="487" t="b">
        <f t="shared" ca="1" si="21"/>
        <v>0</v>
      </c>
      <c r="B146" s="501"/>
      <c r="C146" s="500" t="str">
        <f t="shared" ca="1" si="22"/>
        <v>a1H3p000002KtEzEAK</v>
      </c>
      <c r="D146" s="487"/>
      <c r="E146" s="487">
        <f t="shared" ca="1" si="18"/>
        <v>5</v>
      </c>
      <c r="F146" s="502">
        <f ca="1">IFERROR(IF(COUNTA($D$37:$D146)=1,"",OFFSET($F144,-COUNTA($D$37:$D146)+3,0)),"")</f>
        <v>3</v>
      </c>
      <c r="G146" s="487"/>
      <c r="H146" s="487">
        <f t="shared" ca="1" si="19"/>
        <v>13</v>
      </c>
      <c r="I146" s="503">
        <f t="shared" ca="1" si="23"/>
        <v>0</v>
      </c>
      <c r="J146" s="503">
        <f t="shared" ca="1" si="24"/>
        <v>0</v>
      </c>
      <c r="K146" s="490">
        <f t="shared" ca="1" si="25"/>
        <v>0</v>
      </c>
      <c r="L146" s="493" t="str">
        <f ca="1">IFERROR(CHOOSE(E146,'Impact Indicators - Section B '!$K$7,'Impact Indicators - Section B '!$O$7,'Impact Indicators - Section B '!$S$7,'Impact Indicators - Section B '!$W$7),"")</f>
        <v/>
      </c>
      <c r="M146" s="504">
        <f t="shared" ca="1" si="26"/>
        <v>0</v>
      </c>
      <c r="N146" s="493" t="str">
        <f t="shared" ca="1" si="27"/>
        <v/>
      </c>
      <c r="O146" s="487" t="str">
        <f ca="1">IFERROR(IF(COUNTA($D$37:$D146)=1,"",OFFSET($C144,-COUNTA($D$37:$D146)+3,0)),"")</f>
        <v>a1H3p000002KtEzEAK</v>
      </c>
      <c r="P146" s="487">
        <f t="shared" si="20"/>
        <v>0</v>
      </c>
      <c r="Q146" s="487"/>
      <c r="R146" s="487"/>
      <c r="S146" s="487"/>
      <c r="T146" s="487" t="b">
        <f t="shared" ca="1" si="28"/>
        <v>0</v>
      </c>
    </row>
    <row r="147" spans="1:20" x14ac:dyDescent="0.3">
      <c r="A147" s="487" t="b">
        <f t="shared" ca="1" si="21"/>
        <v>0</v>
      </c>
      <c r="B147" s="501"/>
      <c r="C147" s="500" t="str">
        <f t="shared" ca="1" si="22"/>
        <v>a1H3p000002KtFEEA0</v>
      </c>
      <c r="D147" s="487"/>
      <c r="E147" s="487">
        <f t="shared" ca="1" si="18"/>
        <v>6</v>
      </c>
      <c r="F147" s="502">
        <f ca="1">IFERROR(IF(COUNTA($D$37:$D147)=1,"",OFFSET($F145,-COUNTA($D$37:$D147)+3,0)),"")</f>
        <v>3</v>
      </c>
      <c r="G147" s="487"/>
      <c r="H147" s="487">
        <f t="shared" ca="1" si="19"/>
        <v>13</v>
      </c>
      <c r="I147" s="503" t="str">
        <f t="shared" ca="1" si="23"/>
        <v/>
      </c>
      <c r="J147" s="503" t="str">
        <f t="shared" ca="1" si="24"/>
        <v/>
      </c>
      <c r="K147" s="490" t="str">
        <f t="shared" ca="1" si="25"/>
        <v/>
      </c>
      <c r="L147" s="493" t="str">
        <f ca="1">IFERROR(CHOOSE(E147,'Impact Indicators - Section B '!$K$7,'Impact Indicators - Section B '!$O$7,'Impact Indicators - Section B '!$S$7,'Impact Indicators - Section B '!$W$7),"")</f>
        <v/>
      </c>
      <c r="M147" s="504" t="str">
        <f t="shared" ca="1" si="26"/>
        <v/>
      </c>
      <c r="N147" s="493" t="str">
        <f t="shared" ca="1" si="27"/>
        <v/>
      </c>
      <c r="O147" s="487" t="str">
        <f ca="1">IFERROR(IF(COUNTA($D$37:$D147)=1,"",OFFSET($C145,-COUNTA($D$37:$D147)+3,0)),"")</f>
        <v>a1H3p000002KtFEEA0</v>
      </c>
      <c r="P147" s="487">
        <f t="shared" si="20"/>
        <v>0</v>
      </c>
      <c r="Q147" s="487"/>
      <c r="R147" s="487"/>
      <c r="S147" s="487"/>
      <c r="T147" s="487" t="b">
        <f t="shared" ca="1" si="28"/>
        <v>0</v>
      </c>
    </row>
    <row r="148" spans="1:20" x14ac:dyDescent="0.3">
      <c r="A148" s="487" t="b">
        <f t="shared" ca="1" si="21"/>
        <v>1</v>
      </c>
      <c r="B148" s="501"/>
      <c r="C148" s="500" t="str">
        <f t="shared" ca="1" si="22"/>
        <v>a1H3p000002KtE2EAK</v>
      </c>
      <c r="D148" s="487"/>
      <c r="E148" s="487">
        <f t="shared" ca="1" si="18"/>
        <v>1</v>
      </c>
      <c r="F148" s="502">
        <f ca="1">IFERROR(IF(COUNTA($D$37:$D148)=1,"",OFFSET($F146,-COUNTA($D$37:$D148)+3,0)),"")</f>
        <v>4</v>
      </c>
      <c r="G148" s="487"/>
      <c r="H148" s="487">
        <f t="shared" ca="1" si="19"/>
        <v>15</v>
      </c>
      <c r="I148" s="503" t="str">
        <f t="shared" ca="1" si="23"/>
        <v/>
      </c>
      <c r="J148" s="503">
        <f t="shared" ca="1" si="24"/>
        <v>8.0000000000000002E-3</v>
      </c>
      <c r="K148" s="490" t="str">
        <f t="shared" ca="1" si="25"/>
        <v/>
      </c>
      <c r="L148" s="493">
        <f ca="1">IFERROR(CHOOSE(E148,'Impact Indicators - Section B '!$K$7,'Impact Indicators - Section B '!$O$7,'Impact Indicators - Section B '!$S$7,'Impact Indicators - Section B '!$W$7),"")</f>
        <v>2021</v>
      </c>
      <c r="M148" s="504">
        <f t="shared" ca="1" si="26"/>
        <v>44742</v>
      </c>
      <c r="N148" s="493" t="str">
        <f t="shared" ca="1" si="27"/>
        <v/>
      </c>
      <c r="O148" s="487" t="str">
        <f ca="1">IFERROR(IF(COUNTA($D$37:$D148)=1,"",OFFSET($C146,-COUNTA($D$37:$D148)+3,0)),"")</f>
        <v>a1H3p000002KtE2EAK</v>
      </c>
      <c r="P148" s="487">
        <f t="shared" si="20"/>
        <v>0</v>
      </c>
      <c r="Q148" s="487"/>
      <c r="R148" s="487"/>
      <c r="S148" s="487"/>
      <c r="T148" s="487" t="b">
        <f t="shared" ca="1" si="28"/>
        <v>1</v>
      </c>
    </row>
    <row r="149" spans="1:20" x14ac:dyDescent="0.3">
      <c r="A149" s="487" t="b">
        <f t="shared" ca="1" si="21"/>
        <v>1</v>
      </c>
      <c r="B149" s="501"/>
      <c r="C149" s="500" t="str">
        <f t="shared" ca="1" si="22"/>
        <v>a1H3p000002KtEHEA0</v>
      </c>
      <c r="D149" s="487"/>
      <c r="E149" s="487">
        <f t="shared" ca="1" si="18"/>
        <v>2</v>
      </c>
      <c r="F149" s="502">
        <f ca="1">IFERROR(IF(COUNTA($D$37:$D149)=1,"",OFFSET($F147,-COUNTA($D$37:$D149)+3,0)),"")</f>
        <v>4</v>
      </c>
      <c r="G149" s="487"/>
      <c r="H149" s="487">
        <f t="shared" ca="1" si="19"/>
        <v>15</v>
      </c>
      <c r="I149" s="503" t="str">
        <f t="shared" ca="1" si="23"/>
        <v/>
      </c>
      <c r="J149" s="503">
        <f t="shared" ca="1" si="24"/>
        <v>8.0000000000000002E-3</v>
      </c>
      <c r="K149" s="490" t="str">
        <f t="shared" ca="1" si="25"/>
        <v/>
      </c>
      <c r="L149" s="493">
        <f ca="1">IFERROR(CHOOSE(E149,'Impact Indicators - Section B '!$K$7,'Impact Indicators - Section B '!$O$7,'Impact Indicators - Section B '!$S$7,'Impact Indicators - Section B '!$W$7),"")</f>
        <v>2022</v>
      </c>
      <c r="M149" s="504">
        <f t="shared" ca="1" si="26"/>
        <v>45107</v>
      </c>
      <c r="N149" s="493" t="str">
        <f t="shared" ca="1" si="27"/>
        <v/>
      </c>
      <c r="O149" s="487" t="str">
        <f ca="1">IFERROR(IF(COUNTA($D$37:$D149)=1,"",OFFSET($C147,-COUNTA($D$37:$D149)+3,0)),"")</f>
        <v>a1H3p000002KtEHEA0</v>
      </c>
      <c r="P149" s="487">
        <f t="shared" si="20"/>
        <v>0</v>
      </c>
      <c r="Q149" s="487"/>
      <c r="R149" s="487"/>
      <c r="S149" s="487"/>
      <c r="T149" s="487" t="b">
        <f t="shared" ca="1" si="28"/>
        <v>1</v>
      </c>
    </row>
    <row r="150" spans="1:20" x14ac:dyDescent="0.3">
      <c r="A150" s="487" t="b">
        <f t="shared" ca="1" si="21"/>
        <v>1</v>
      </c>
      <c r="B150" s="501"/>
      <c r="C150" s="500" t="str">
        <f t="shared" ca="1" si="22"/>
        <v>a1H3p000002KtEWEA0</v>
      </c>
      <c r="D150" s="487"/>
      <c r="E150" s="487">
        <f t="shared" ca="1" si="18"/>
        <v>3</v>
      </c>
      <c r="F150" s="502">
        <f ca="1">IFERROR(IF(COUNTA($D$37:$D150)=1,"",OFFSET($F148,-COUNTA($D$37:$D150)+3,0)),"")</f>
        <v>4</v>
      </c>
      <c r="G150" s="487"/>
      <c r="H150" s="487">
        <f t="shared" ca="1" si="19"/>
        <v>15</v>
      </c>
      <c r="I150" s="503" t="str">
        <f t="shared" ca="1" si="23"/>
        <v/>
      </c>
      <c r="J150" s="503">
        <f t="shared" ca="1" si="24"/>
        <v>7.0000000000000001E-3</v>
      </c>
      <c r="K150" s="490" t="str">
        <f t="shared" ca="1" si="25"/>
        <v/>
      </c>
      <c r="L150" s="493">
        <f ca="1">IFERROR(CHOOSE(E150,'Impact Indicators - Section B '!$K$7,'Impact Indicators - Section B '!$O$7,'Impact Indicators - Section B '!$S$7,'Impact Indicators - Section B '!$W$7),"")</f>
        <v>2023</v>
      </c>
      <c r="M150" s="504">
        <f t="shared" ca="1" si="26"/>
        <v>45473</v>
      </c>
      <c r="N150" s="493" t="str">
        <f t="shared" ca="1" si="27"/>
        <v/>
      </c>
      <c r="O150" s="487" t="str">
        <f ca="1">IFERROR(IF(COUNTA($D$37:$D150)=1,"",OFFSET($C148,-COUNTA($D$37:$D150)+3,0)),"")</f>
        <v>a1H3p000002KtEWEA0</v>
      </c>
      <c r="P150" s="487">
        <f t="shared" si="20"/>
        <v>0</v>
      </c>
      <c r="Q150" s="487"/>
      <c r="R150" s="487"/>
      <c r="S150" s="487"/>
      <c r="T150" s="487" t="b">
        <f t="shared" ca="1" si="28"/>
        <v>1</v>
      </c>
    </row>
    <row r="151" spans="1:20" x14ac:dyDescent="0.3">
      <c r="A151" s="487" t="b">
        <f t="shared" ca="1" si="21"/>
        <v>0</v>
      </c>
      <c r="B151" s="501"/>
      <c r="C151" s="500" t="str">
        <f t="shared" ca="1" si="22"/>
        <v>a1H3p000002KtElEAK</v>
      </c>
      <c r="D151" s="487"/>
      <c r="E151" s="487">
        <f t="shared" ca="1" si="18"/>
        <v>4</v>
      </c>
      <c r="F151" s="502">
        <f ca="1">IFERROR(IF(COUNTA($D$37:$D151)=1,"",OFFSET($F149,-COUNTA($D$37:$D151)+3,0)),"")</f>
        <v>4</v>
      </c>
      <c r="G151" s="487"/>
      <c r="H151" s="487">
        <f t="shared" ca="1" si="19"/>
        <v>15</v>
      </c>
      <c r="I151" s="503" t="str">
        <f t="shared" ca="1" si="23"/>
        <v/>
      </c>
      <c r="J151" s="503" t="str">
        <f t="shared" ca="1" si="24"/>
        <v/>
      </c>
      <c r="K151" s="490" t="str">
        <f t="shared" ca="1" si="25"/>
        <v/>
      </c>
      <c r="L151" s="493" t="str">
        <f ca="1">IFERROR(CHOOSE(E151,'Impact Indicators - Section B '!$K$7,'Impact Indicators - Section B '!$O$7,'Impact Indicators - Section B '!$S$7,'Impact Indicators - Section B '!$W$7),"")</f>
        <v/>
      </c>
      <c r="M151" s="504" t="str">
        <f t="shared" ca="1" si="26"/>
        <v/>
      </c>
      <c r="N151" s="493" t="str">
        <f t="shared" ca="1" si="27"/>
        <v/>
      </c>
      <c r="O151" s="487" t="str">
        <f ca="1">IFERROR(IF(COUNTA($D$37:$D151)=1,"",OFFSET($C149,-COUNTA($D$37:$D151)+3,0)),"")</f>
        <v>a1H3p000002KtElEAK</v>
      </c>
      <c r="P151" s="487">
        <f t="shared" si="20"/>
        <v>0</v>
      </c>
      <c r="Q151" s="487"/>
      <c r="R151" s="487"/>
      <c r="S151" s="487"/>
      <c r="T151" s="487" t="b">
        <f t="shared" ca="1" si="28"/>
        <v>0</v>
      </c>
    </row>
    <row r="152" spans="1:20" x14ac:dyDescent="0.3">
      <c r="A152" s="487" t="b">
        <f t="shared" ca="1" si="21"/>
        <v>0</v>
      </c>
      <c r="B152" s="501"/>
      <c r="C152" s="500" t="str">
        <f t="shared" ca="1" si="22"/>
        <v>a1H3p000002KtF0EAK</v>
      </c>
      <c r="D152" s="487"/>
      <c r="E152" s="487">
        <f t="shared" ca="1" si="18"/>
        <v>5</v>
      </c>
      <c r="F152" s="502">
        <f ca="1">IFERROR(IF(COUNTA($D$37:$D152)=1,"",OFFSET($F150,-COUNTA($D$37:$D152)+3,0)),"")</f>
        <v>4</v>
      </c>
      <c r="G152" s="487"/>
      <c r="H152" s="487">
        <f t="shared" ca="1" si="19"/>
        <v>15</v>
      </c>
      <c r="I152" s="503">
        <f t="shared" ca="1" si="23"/>
        <v>0</v>
      </c>
      <c r="J152" s="503">
        <f t="shared" ca="1" si="24"/>
        <v>0</v>
      </c>
      <c r="K152" s="490">
        <f t="shared" ca="1" si="25"/>
        <v>0</v>
      </c>
      <c r="L152" s="493" t="str">
        <f ca="1">IFERROR(CHOOSE(E152,'Impact Indicators - Section B '!$K$7,'Impact Indicators - Section B '!$O$7,'Impact Indicators - Section B '!$S$7,'Impact Indicators - Section B '!$W$7),"")</f>
        <v/>
      </c>
      <c r="M152" s="504">
        <f t="shared" ca="1" si="26"/>
        <v>0</v>
      </c>
      <c r="N152" s="493" t="str">
        <f t="shared" ca="1" si="27"/>
        <v/>
      </c>
      <c r="O152" s="487" t="str">
        <f ca="1">IFERROR(IF(COUNTA($D$37:$D152)=1,"",OFFSET($C150,-COUNTA($D$37:$D152)+3,0)),"")</f>
        <v>a1H3p000002KtF0EAK</v>
      </c>
      <c r="P152" s="487">
        <f t="shared" si="20"/>
        <v>0</v>
      </c>
      <c r="Q152" s="487"/>
      <c r="R152" s="487"/>
      <c r="S152" s="487"/>
      <c r="T152" s="487" t="b">
        <f t="shared" ca="1" si="28"/>
        <v>0</v>
      </c>
    </row>
    <row r="153" spans="1:20" x14ac:dyDescent="0.3">
      <c r="A153" s="487" t="b">
        <f t="shared" ca="1" si="21"/>
        <v>0</v>
      </c>
      <c r="B153" s="501"/>
      <c r="C153" s="500" t="str">
        <f t="shared" ca="1" si="22"/>
        <v>a1H3p000002KtFFEA0</v>
      </c>
      <c r="D153" s="487"/>
      <c r="E153" s="487">
        <f t="shared" ca="1" si="18"/>
        <v>6</v>
      </c>
      <c r="F153" s="502">
        <f ca="1">IFERROR(IF(COUNTA($D$37:$D153)=1,"",OFFSET($F151,-COUNTA($D$37:$D153)+3,0)),"")</f>
        <v>4</v>
      </c>
      <c r="G153" s="487"/>
      <c r="H153" s="487">
        <f t="shared" ca="1" si="19"/>
        <v>15</v>
      </c>
      <c r="I153" s="503" t="str">
        <f t="shared" ca="1" si="23"/>
        <v/>
      </c>
      <c r="J153" s="503" t="str">
        <f t="shared" ca="1" si="24"/>
        <v/>
      </c>
      <c r="K153" s="490" t="str">
        <f t="shared" ca="1" si="25"/>
        <v/>
      </c>
      <c r="L153" s="493" t="str">
        <f ca="1">IFERROR(CHOOSE(E153,'Impact Indicators - Section B '!$K$7,'Impact Indicators - Section B '!$O$7,'Impact Indicators - Section B '!$S$7,'Impact Indicators - Section B '!$W$7),"")</f>
        <v/>
      </c>
      <c r="M153" s="504" t="str">
        <f t="shared" ca="1" si="26"/>
        <v/>
      </c>
      <c r="N153" s="493" t="str">
        <f t="shared" ca="1" si="27"/>
        <v/>
      </c>
      <c r="O153" s="487" t="str">
        <f ca="1">IFERROR(IF(COUNTA($D$37:$D153)=1,"",OFFSET($C151,-COUNTA($D$37:$D153)+3,0)),"")</f>
        <v>a1H3p000002KtFFEA0</v>
      </c>
      <c r="P153" s="487">
        <f t="shared" si="20"/>
        <v>0</v>
      </c>
      <c r="Q153" s="487"/>
      <c r="R153" s="487"/>
      <c r="S153" s="487"/>
      <c r="T153" s="487" t="b">
        <f t="shared" ca="1" si="28"/>
        <v>0</v>
      </c>
    </row>
    <row r="154" spans="1:20" x14ac:dyDescent="0.3">
      <c r="A154" s="487" t="b">
        <f t="shared" ca="1" si="21"/>
        <v>0</v>
      </c>
      <c r="B154" s="501"/>
      <c r="C154" s="500" t="str">
        <f t="shared" ca="1" si="22"/>
        <v>a1H3p000002KtE3EAK</v>
      </c>
      <c r="D154" s="487"/>
      <c r="E154" s="487">
        <f t="shared" ca="1" si="18"/>
        <v>1</v>
      </c>
      <c r="F154" s="502">
        <f ca="1">IFERROR(IF(COUNTA($D$37:$D154)=1,"",OFFSET($F152,-COUNTA($D$37:$D154)+3,0)),"")</f>
        <v>5</v>
      </c>
      <c r="G154" s="487"/>
      <c r="H154" s="487">
        <f t="shared" ca="1" si="19"/>
        <v>17</v>
      </c>
      <c r="I154" s="503" t="str">
        <f t="shared" ca="1" si="23"/>
        <v/>
      </c>
      <c r="J154" s="503" t="str">
        <f t="shared" ca="1" si="24"/>
        <v/>
      </c>
      <c r="K154" s="490" t="str">
        <f t="shared" ca="1" si="25"/>
        <v/>
      </c>
      <c r="L154" s="493">
        <f ca="1">IFERROR(CHOOSE(E154,'Impact Indicators - Section B '!$K$7,'Impact Indicators - Section B '!$O$7,'Impact Indicators - Section B '!$S$7,'Impact Indicators - Section B '!$W$7),"")</f>
        <v>2021</v>
      </c>
      <c r="M154" s="504" t="str">
        <f t="shared" ca="1" si="26"/>
        <v/>
      </c>
      <c r="N154" s="493" t="str">
        <f t="shared" ca="1" si="27"/>
        <v/>
      </c>
      <c r="O154" s="487" t="str">
        <f ca="1">IFERROR(IF(COUNTA($D$37:$D154)=1,"",OFFSET($C152,-COUNTA($D$37:$D154)+3,0)),"")</f>
        <v>a1H3p000002KtE3EAK</v>
      </c>
      <c r="P154" s="487">
        <f t="shared" si="20"/>
        <v>0</v>
      </c>
      <c r="Q154" s="487"/>
      <c r="R154" s="487"/>
      <c r="S154" s="487"/>
      <c r="T154" s="487" t="b">
        <f t="shared" ca="1" si="28"/>
        <v>0</v>
      </c>
    </row>
    <row r="155" spans="1:20" x14ac:dyDescent="0.3">
      <c r="A155" s="487" t="b">
        <f t="shared" ca="1" si="21"/>
        <v>0</v>
      </c>
      <c r="B155" s="501"/>
      <c r="C155" s="500" t="str">
        <f t="shared" ca="1" si="22"/>
        <v>a1H3p000002KtEIEA0</v>
      </c>
      <c r="D155" s="487"/>
      <c r="E155" s="487">
        <f t="shared" ca="1" si="18"/>
        <v>2</v>
      </c>
      <c r="F155" s="502">
        <f ca="1">IFERROR(IF(COUNTA($D$37:$D155)=1,"",OFFSET($F153,-COUNTA($D$37:$D155)+3,0)),"")</f>
        <v>5</v>
      </c>
      <c r="G155" s="487"/>
      <c r="H155" s="487">
        <f t="shared" ca="1" si="19"/>
        <v>17</v>
      </c>
      <c r="I155" s="503" t="str">
        <f t="shared" ca="1" si="23"/>
        <v/>
      </c>
      <c r="J155" s="503" t="str">
        <f t="shared" ca="1" si="24"/>
        <v/>
      </c>
      <c r="K155" s="490" t="str">
        <f t="shared" ca="1" si="25"/>
        <v/>
      </c>
      <c r="L155" s="493">
        <f ca="1">IFERROR(CHOOSE(E155,'Impact Indicators - Section B '!$K$7,'Impact Indicators - Section B '!$O$7,'Impact Indicators - Section B '!$S$7,'Impact Indicators - Section B '!$W$7),"")</f>
        <v>2022</v>
      </c>
      <c r="M155" s="504" t="str">
        <f t="shared" ca="1" si="26"/>
        <v/>
      </c>
      <c r="N155" s="493" t="str">
        <f t="shared" ca="1" si="27"/>
        <v/>
      </c>
      <c r="O155" s="487" t="str">
        <f ca="1">IFERROR(IF(COUNTA($D$37:$D155)=1,"",OFFSET($C153,-COUNTA($D$37:$D155)+3,0)),"")</f>
        <v>a1H3p000002KtEIEA0</v>
      </c>
      <c r="P155" s="487">
        <f t="shared" si="20"/>
        <v>0</v>
      </c>
      <c r="Q155" s="487"/>
      <c r="R155" s="487"/>
      <c r="S155" s="487"/>
      <c r="T155" s="487" t="b">
        <f t="shared" ca="1" si="28"/>
        <v>0</v>
      </c>
    </row>
    <row r="156" spans="1:20" x14ac:dyDescent="0.3">
      <c r="A156" s="487" t="b">
        <f t="shared" ca="1" si="21"/>
        <v>0</v>
      </c>
      <c r="B156" s="501"/>
      <c r="C156" s="500" t="str">
        <f t="shared" ca="1" si="22"/>
        <v>a1H3p000002KtEXEA0</v>
      </c>
      <c r="D156" s="487"/>
      <c r="E156" s="487">
        <f t="shared" ca="1" si="18"/>
        <v>3</v>
      </c>
      <c r="F156" s="502">
        <f ca="1">IFERROR(IF(COUNTA($D$37:$D156)=1,"",OFFSET($F154,-COUNTA($D$37:$D156)+3,0)),"")</f>
        <v>5</v>
      </c>
      <c r="G156" s="487"/>
      <c r="H156" s="487">
        <f t="shared" ca="1" si="19"/>
        <v>17</v>
      </c>
      <c r="I156" s="503" t="str">
        <f t="shared" ca="1" si="23"/>
        <v/>
      </c>
      <c r="J156" s="503" t="str">
        <f t="shared" ca="1" si="24"/>
        <v/>
      </c>
      <c r="K156" s="490" t="str">
        <f t="shared" ca="1" si="25"/>
        <v/>
      </c>
      <c r="L156" s="493">
        <f ca="1">IFERROR(CHOOSE(E156,'Impact Indicators - Section B '!$K$7,'Impact Indicators - Section B '!$O$7,'Impact Indicators - Section B '!$S$7,'Impact Indicators - Section B '!$W$7),"")</f>
        <v>2023</v>
      </c>
      <c r="M156" s="504" t="str">
        <f t="shared" ca="1" si="26"/>
        <v/>
      </c>
      <c r="N156" s="493" t="str">
        <f t="shared" ca="1" si="27"/>
        <v/>
      </c>
      <c r="O156" s="487" t="str">
        <f ca="1">IFERROR(IF(COUNTA($D$37:$D156)=1,"",OFFSET($C154,-COUNTA($D$37:$D156)+3,0)),"")</f>
        <v>a1H3p000002KtEXEA0</v>
      </c>
      <c r="P156" s="487">
        <f t="shared" si="20"/>
        <v>0</v>
      </c>
      <c r="Q156" s="487"/>
      <c r="R156" s="487"/>
      <c r="S156" s="487"/>
      <c r="T156" s="487" t="b">
        <f t="shared" ca="1" si="28"/>
        <v>0</v>
      </c>
    </row>
    <row r="157" spans="1:20" x14ac:dyDescent="0.3">
      <c r="A157" s="487" t="b">
        <f t="shared" ca="1" si="21"/>
        <v>0</v>
      </c>
      <c r="B157" s="501"/>
      <c r="C157" s="500" t="str">
        <f t="shared" ca="1" si="22"/>
        <v>a1H3p000002KtEmEAK</v>
      </c>
      <c r="D157" s="487"/>
      <c r="E157" s="487">
        <f t="shared" ca="1" si="18"/>
        <v>4</v>
      </c>
      <c r="F157" s="502">
        <f ca="1">IFERROR(IF(COUNTA($D$37:$D157)=1,"",OFFSET($F155,-COUNTA($D$37:$D157)+3,0)),"")</f>
        <v>5</v>
      </c>
      <c r="G157" s="487"/>
      <c r="H157" s="487">
        <f t="shared" ca="1" si="19"/>
        <v>17</v>
      </c>
      <c r="I157" s="503" t="str">
        <f t="shared" ca="1" si="23"/>
        <v/>
      </c>
      <c r="J157" s="503" t="str">
        <f t="shared" ca="1" si="24"/>
        <v/>
      </c>
      <c r="K157" s="490" t="str">
        <f t="shared" ca="1" si="25"/>
        <v/>
      </c>
      <c r="L157" s="493" t="str">
        <f ca="1">IFERROR(CHOOSE(E157,'Impact Indicators - Section B '!$K$7,'Impact Indicators - Section B '!$O$7,'Impact Indicators - Section B '!$S$7,'Impact Indicators - Section B '!$W$7),"")</f>
        <v/>
      </c>
      <c r="M157" s="504" t="str">
        <f t="shared" ca="1" si="26"/>
        <v/>
      </c>
      <c r="N157" s="493" t="str">
        <f t="shared" ca="1" si="27"/>
        <v/>
      </c>
      <c r="O157" s="487" t="str">
        <f ca="1">IFERROR(IF(COUNTA($D$37:$D157)=1,"",OFFSET($C155,-COUNTA($D$37:$D157)+3,0)),"")</f>
        <v>a1H3p000002KtEmEAK</v>
      </c>
      <c r="P157" s="487">
        <f t="shared" si="20"/>
        <v>0</v>
      </c>
      <c r="Q157" s="487"/>
      <c r="R157" s="487"/>
      <c r="S157" s="487"/>
      <c r="T157" s="487" t="b">
        <f t="shared" ca="1" si="28"/>
        <v>0</v>
      </c>
    </row>
    <row r="158" spans="1:20" x14ac:dyDescent="0.3">
      <c r="A158" s="487" t="b">
        <f t="shared" ca="1" si="21"/>
        <v>0</v>
      </c>
      <c r="B158" s="501"/>
      <c r="C158" s="500" t="str">
        <f t="shared" ca="1" si="22"/>
        <v>a1H3p000002KtF1EAK</v>
      </c>
      <c r="D158" s="487"/>
      <c r="E158" s="487">
        <f t="shared" ca="1" si="18"/>
        <v>5</v>
      </c>
      <c r="F158" s="502">
        <f ca="1">IFERROR(IF(COUNTA($D$37:$D158)=1,"",OFFSET($F156,-COUNTA($D$37:$D158)+3,0)),"")</f>
        <v>5</v>
      </c>
      <c r="G158" s="487"/>
      <c r="H158" s="487">
        <f t="shared" ca="1" si="19"/>
        <v>17</v>
      </c>
      <c r="I158" s="503">
        <f t="shared" ca="1" si="23"/>
        <v>0</v>
      </c>
      <c r="J158" s="503">
        <f t="shared" ca="1" si="24"/>
        <v>0</v>
      </c>
      <c r="K158" s="490">
        <f t="shared" ca="1" si="25"/>
        <v>0</v>
      </c>
      <c r="L158" s="493" t="str">
        <f ca="1">IFERROR(CHOOSE(E158,'Impact Indicators - Section B '!$K$7,'Impact Indicators - Section B '!$O$7,'Impact Indicators - Section B '!$S$7,'Impact Indicators - Section B '!$W$7),"")</f>
        <v/>
      </c>
      <c r="M158" s="504">
        <f t="shared" ca="1" si="26"/>
        <v>0</v>
      </c>
      <c r="N158" s="493" t="str">
        <f t="shared" ca="1" si="27"/>
        <v/>
      </c>
      <c r="O158" s="487" t="str">
        <f ca="1">IFERROR(IF(COUNTA($D$37:$D158)=1,"",OFFSET($C156,-COUNTA($D$37:$D158)+3,0)),"")</f>
        <v>a1H3p000002KtF1EAK</v>
      </c>
      <c r="P158" s="487">
        <f t="shared" si="20"/>
        <v>0</v>
      </c>
      <c r="Q158" s="487"/>
      <c r="R158" s="487"/>
      <c r="S158" s="487"/>
      <c r="T158" s="487" t="b">
        <f t="shared" ca="1" si="28"/>
        <v>0</v>
      </c>
    </row>
    <row r="159" spans="1:20" x14ac:dyDescent="0.3">
      <c r="A159" s="487" t="b">
        <f t="shared" ca="1" si="21"/>
        <v>0</v>
      </c>
      <c r="B159" s="501"/>
      <c r="C159" s="500" t="str">
        <f t="shared" ca="1" si="22"/>
        <v>a1H3p000002KtFGEA0</v>
      </c>
      <c r="D159" s="487"/>
      <c r="E159" s="487">
        <f t="shared" ca="1" si="18"/>
        <v>6</v>
      </c>
      <c r="F159" s="502">
        <f ca="1">IFERROR(IF(COUNTA($D$37:$D159)=1,"",OFFSET($F157,-COUNTA($D$37:$D159)+3,0)),"")</f>
        <v>5</v>
      </c>
      <c r="G159" s="487"/>
      <c r="H159" s="487">
        <f t="shared" ca="1" si="19"/>
        <v>17</v>
      </c>
      <c r="I159" s="503" t="str">
        <f t="shared" ca="1" si="23"/>
        <v/>
      </c>
      <c r="J159" s="503" t="str">
        <f t="shared" ca="1" si="24"/>
        <v/>
      </c>
      <c r="K159" s="490" t="str">
        <f t="shared" ca="1" si="25"/>
        <v/>
      </c>
      <c r="L159" s="493" t="str">
        <f ca="1">IFERROR(CHOOSE(E159,'Impact Indicators - Section B '!$K$7,'Impact Indicators - Section B '!$O$7,'Impact Indicators - Section B '!$S$7,'Impact Indicators - Section B '!$W$7),"")</f>
        <v/>
      </c>
      <c r="M159" s="504" t="str">
        <f t="shared" ca="1" si="26"/>
        <v/>
      </c>
      <c r="N159" s="493" t="str">
        <f t="shared" ca="1" si="27"/>
        <v/>
      </c>
      <c r="O159" s="487" t="str">
        <f ca="1">IFERROR(IF(COUNTA($D$37:$D159)=1,"",OFFSET($C157,-COUNTA($D$37:$D159)+3,0)),"")</f>
        <v>a1H3p000002KtFGEA0</v>
      </c>
      <c r="P159" s="487">
        <f t="shared" si="20"/>
        <v>0</v>
      </c>
      <c r="Q159" s="487"/>
      <c r="R159" s="487"/>
      <c r="S159" s="487"/>
      <c r="T159" s="487" t="b">
        <f t="shared" ca="1" si="28"/>
        <v>0</v>
      </c>
    </row>
    <row r="160" spans="1:20" x14ac:dyDescent="0.3">
      <c r="A160" s="487" t="b">
        <f t="shared" ca="1" si="21"/>
        <v>0</v>
      </c>
      <c r="B160" s="501"/>
      <c r="C160" s="500" t="str">
        <f t="shared" ca="1" si="22"/>
        <v>a1H3p000002KtE4EAK</v>
      </c>
      <c r="D160" s="487"/>
      <c r="E160" s="487">
        <f t="shared" ca="1" si="18"/>
        <v>1</v>
      </c>
      <c r="F160" s="502">
        <f ca="1">IFERROR(IF(COUNTA($D$37:$D160)=1,"",OFFSET($F158,-COUNTA($D$37:$D160)+3,0)),"")</f>
        <v>6</v>
      </c>
      <c r="G160" s="487"/>
      <c r="H160" s="487">
        <f t="shared" ca="1" si="19"/>
        <v>19</v>
      </c>
      <c r="I160" s="503" t="str">
        <f t="shared" ca="1" si="23"/>
        <v/>
      </c>
      <c r="J160" s="503" t="str">
        <f t="shared" ca="1" si="24"/>
        <v/>
      </c>
      <c r="K160" s="490" t="str">
        <f t="shared" ca="1" si="25"/>
        <v/>
      </c>
      <c r="L160" s="493">
        <f ca="1">IFERROR(CHOOSE(E160,'Impact Indicators - Section B '!$K$7,'Impact Indicators - Section B '!$O$7,'Impact Indicators - Section B '!$S$7,'Impact Indicators - Section B '!$W$7),"")</f>
        <v>2021</v>
      </c>
      <c r="M160" s="504" t="str">
        <f t="shared" ca="1" si="26"/>
        <v/>
      </c>
      <c r="N160" s="493" t="str">
        <f t="shared" ca="1" si="27"/>
        <v/>
      </c>
      <c r="O160" s="487" t="str">
        <f ca="1">IFERROR(IF(COUNTA($D$37:$D160)=1,"",OFFSET($C158,-COUNTA($D$37:$D160)+3,0)),"")</f>
        <v>a1H3p000002KtE4EAK</v>
      </c>
      <c r="P160" s="487">
        <f t="shared" si="20"/>
        <v>0</v>
      </c>
      <c r="Q160" s="487"/>
      <c r="R160" s="487"/>
      <c r="S160" s="487"/>
      <c r="T160" s="487" t="b">
        <f t="shared" ca="1" si="28"/>
        <v>0</v>
      </c>
    </row>
    <row r="161" spans="1:20" x14ac:dyDescent="0.3">
      <c r="A161" s="487" t="b">
        <f t="shared" ca="1" si="21"/>
        <v>0</v>
      </c>
      <c r="B161" s="501"/>
      <c r="C161" s="500" t="str">
        <f t="shared" ca="1" si="22"/>
        <v>a1H3p000002KtEJEA0</v>
      </c>
      <c r="D161" s="487"/>
      <c r="E161" s="487">
        <f t="shared" ca="1" si="18"/>
        <v>2</v>
      </c>
      <c r="F161" s="502">
        <f ca="1">IFERROR(IF(COUNTA($D$37:$D161)=1,"",OFFSET($F159,-COUNTA($D$37:$D161)+3,0)),"")</f>
        <v>6</v>
      </c>
      <c r="G161" s="487"/>
      <c r="H161" s="487">
        <f t="shared" ca="1" si="19"/>
        <v>19</v>
      </c>
      <c r="I161" s="503" t="str">
        <f t="shared" ca="1" si="23"/>
        <v/>
      </c>
      <c r="J161" s="503" t="str">
        <f t="shared" ca="1" si="24"/>
        <v/>
      </c>
      <c r="K161" s="490" t="str">
        <f t="shared" ca="1" si="25"/>
        <v/>
      </c>
      <c r="L161" s="493">
        <f ca="1">IFERROR(CHOOSE(E161,'Impact Indicators - Section B '!$K$7,'Impact Indicators - Section B '!$O$7,'Impact Indicators - Section B '!$S$7,'Impact Indicators - Section B '!$W$7),"")</f>
        <v>2022</v>
      </c>
      <c r="M161" s="504" t="str">
        <f t="shared" ca="1" si="26"/>
        <v/>
      </c>
      <c r="N161" s="493" t="str">
        <f t="shared" ca="1" si="27"/>
        <v/>
      </c>
      <c r="O161" s="487" t="str">
        <f ca="1">IFERROR(IF(COUNTA($D$37:$D161)=1,"",OFFSET($C159,-COUNTA($D$37:$D161)+3,0)),"")</f>
        <v>a1H3p000002KtEJEA0</v>
      </c>
      <c r="P161" s="487">
        <f t="shared" si="20"/>
        <v>0</v>
      </c>
      <c r="Q161" s="487"/>
      <c r="R161" s="487"/>
      <c r="S161" s="487"/>
      <c r="T161" s="487" t="b">
        <f t="shared" ca="1" si="28"/>
        <v>0</v>
      </c>
    </row>
    <row r="162" spans="1:20" x14ac:dyDescent="0.3">
      <c r="A162" s="487" t="b">
        <f t="shared" ca="1" si="21"/>
        <v>0</v>
      </c>
      <c r="B162" s="501"/>
      <c r="C162" s="500" t="str">
        <f t="shared" ca="1" si="22"/>
        <v>a1H3p000002KtEYEA0</v>
      </c>
      <c r="D162" s="487"/>
      <c r="E162" s="487">
        <f t="shared" ca="1" si="18"/>
        <v>3</v>
      </c>
      <c r="F162" s="502">
        <f ca="1">IFERROR(IF(COUNTA($D$37:$D162)=1,"",OFFSET($F160,-COUNTA($D$37:$D162)+3,0)),"")</f>
        <v>6</v>
      </c>
      <c r="G162" s="487"/>
      <c r="H162" s="487">
        <f t="shared" ca="1" si="19"/>
        <v>19</v>
      </c>
      <c r="I162" s="503" t="str">
        <f t="shared" ca="1" si="23"/>
        <v/>
      </c>
      <c r="J162" s="503" t="str">
        <f t="shared" ca="1" si="24"/>
        <v/>
      </c>
      <c r="K162" s="490" t="str">
        <f t="shared" ca="1" si="25"/>
        <v/>
      </c>
      <c r="L162" s="493">
        <f ca="1">IFERROR(CHOOSE(E162,'Impact Indicators - Section B '!$K$7,'Impact Indicators - Section B '!$O$7,'Impact Indicators - Section B '!$S$7,'Impact Indicators - Section B '!$W$7),"")</f>
        <v>2023</v>
      </c>
      <c r="M162" s="504" t="str">
        <f t="shared" ca="1" si="26"/>
        <v/>
      </c>
      <c r="N162" s="493" t="str">
        <f t="shared" ca="1" si="27"/>
        <v/>
      </c>
      <c r="O162" s="487" t="str">
        <f ca="1">IFERROR(IF(COUNTA($D$37:$D162)=1,"",OFFSET($C160,-COUNTA($D$37:$D162)+3,0)),"")</f>
        <v>a1H3p000002KtEYEA0</v>
      </c>
      <c r="P162" s="487">
        <f t="shared" si="20"/>
        <v>0</v>
      </c>
      <c r="Q162" s="487"/>
      <c r="R162" s="487"/>
      <c r="S162" s="487"/>
      <c r="T162" s="487" t="b">
        <f t="shared" ca="1" si="28"/>
        <v>0</v>
      </c>
    </row>
    <row r="163" spans="1:20" x14ac:dyDescent="0.3">
      <c r="A163" s="487" t="b">
        <f t="shared" ca="1" si="21"/>
        <v>0</v>
      </c>
      <c r="B163" s="501"/>
      <c r="C163" s="500" t="str">
        <f t="shared" ca="1" si="22"/>
        <v>a1H3p000002KtEnEAK</v>
      </c>
      <c r="D163" s="487"/>
      <c r="E163" s="487">
        <f t="shared" ca="1" si="18"/>
        <v>4</v>
      </c>
      <c r="F163" s="502">
        <f ca="1">IFERROR(IF(COUNTA($D$37:$D163)=1,"",OFFSET($F161,-COUNTA($D$37:$D163)+3,0)),"")</f>
        <v>6</v>
      </c>
      <c r="G163" s="487"/>
      <c r="H163" s="487">
        <f t="shared" ca="1" si="19"/>
        <v>19</v>
      </c>
      <c r="I163" s="503" t="str">
        <f t="shared" ca="1" si="23"/>
        <v/>
      </c>
      <c r="J163" s="503" t="str">
        <f t="shared" ca="1" si="24"/>
        <v/>
      </c>
      <c r="K163" s="490" t="str">
        <f t="shared" ca="1" si="25"/>
        <v/>
      </c>
      <c r="L163" s="493" t="str">
        <f ca="1">IFERROR(CHOOSE(E163,'Impact Indicators - Section B '!$K$7,'Impact Indicators - Section B '!$O$7,'Impact Indicators - Section B '!$S$7,'Impact Indicators - Section B '!$W$7),"")</f>
        <v/>
      </c>
      <c r="M163" s="504" t="str">
        <f t="shared" ca="1" si="26"/>
        <v/>
      </c>
      <c r="N163" s="493" t="str">
        <f t="shared" ca="1" si="27"/>
        <v/>
      </c>
      <c r="O163" s="487" t="str">
        <f ca="1">IFERROR(IF(COUNTA($D$37:$D163)=1,"",OFFSET($C161,-COUNTA($D$37:$D163)+3,0)),"")</f>
        <v>a1H3p000002KtEnEAK</v>
      </c>
      <c r="P163" s="487">
        <f t="shared" si="20"/>
        <v>0</v>
      </c>
      <c r="Q163" s="487"/>
      <c r="R163" s="487"/>
      <c r="S163" s="487"/>
      <c r="T163" s="487" t="b">
        <f t="shared" ca="1" si="28"/>
        <v>0</v>
      </c>
    </row>
    <row r="164" spans="1:20" x14ac:dyDescent="0.3">
      <c r="A164" s="487" t="b">
        <f t="shared" ca="1" si="21"/>
        <v>0</v>
      </c>
      <c r="B164" s="501"/>
      <c r="C164" s="500" t="str">
        <f t="shared" ca="1" si="22"/>
        <v>a1H3p000002KtF2EAK</v>
      </c>
      <c r="D164" s="487"/>
      <c r="E164" s="487">
        <f t="shared" ca="1" si="18"/>
        <v>5</v>
      </c>
      <c r="F164" s="502">
        <f ca="1">IFERROR(IF(COUNTA($D$37:$D164)=1,"",OFFSET($F162,-COUNTA($D$37:$D164)+3,0)),"")</f>
        <v>6</v>
      </c>
      <c r="G164" s="487"/>
      <c r="H164" s="487">
        <f t="shared" ca="1" si="19"/>
        <v>19</v>
      </c>
      <c r="I164" s="503">
        <f t="shared" ca="1" si="23"/>
        <v>0</v>
      </c>
      <c r="J164" s="503">
        <f t="shared" ca="1" si="24"/>
        <v>0</v>
      </c>
      <c r="K164" s="490">
        <f t="shared" ca="1" si="25"/>
        <v>0</v>
      </c>
      <c r="L164" s="493" t="str">
        <f ca="1">IFERROR(CHOOSE(E164,'Impact Indicators - Section B '!$K$7,'Impact Indicators - Section B '!$O$7,'Impact Indicators - Section B '!$S$7,'Impact Indicators - Section B '!$W$7),"")</f>
        <v/>
      </c>
      <c r="M164" s="504">
        <f t="shared" ca="1" si="26"/>
        <v>0</v>
      </c>
      <c r="N164" s="493" t="str">
        <f t="shared" ca="1" si="27"/>
        <v/>
      </c>
      <c r="O164" s="487" t="str">
        <f ca="1">IFERROR(IF(COUNTA($D$37:$D164)=1,"",OFFSET($C162,-COUNTA($D$37:$D164)+3,0)),"")</f>
        <v>a1H3p000002KtF2EAK</v>
      </c>
      <c r="P164" s="487">
        <f t="shared" si="20"/>
        <v>0</v>
      </c>
      <c r="Q164" s="487"/>
      <c r="R164" s="487"/>
      <c r="S164" s="487"/>
      <c r="T164" s="487" t="b">
        <f t="shared" ca="1" si="28"/>
        <v>0</v>
      </c>
    </row>
    <row r="165" spans="1:20" x14ac:dyDescent="0.3">
      <c r="A165" s="487" t="b">
        <f t="shared" ca="1" si="21"/>
        <v>0</v>
      </c>
      <c r="B165" s="501"/>
      <c r="C165" s="500" t="str">
        <f t="shared" ca="1" si="22"/>
        <v>a1H3p000002KtFHEA0</v>
      </c>
      <c r="D165" s="487"/>
      <c r="E165" s="487">
        <f t="shared" ca="1" si="18"/>
        <v>6</v>
      </c>
      <c r="F165" s="502">
        <f ca="1">IFERROR(IF(COUNTA($D$37:$D165)=1,"",OFFSET($F163,-COUNTA($D$37:$D165)+3,0)),"")</f>
        <v>6</v>
      </c>
      <c r="G165" s="487"/>
      <c r="H165" s="487">
        <f t="shared" ca="1" si="19"/>
        <v>19</v>
      </c>
      <c r="I165" s="503" t="str">
        <f t="shared" ca="1" si="23"/>
        <v/>
      </c>
      <c r="J165" s="503" t="str">
        <f t="shared" ca="1" si="24"/>
        <v/>
      </c>
      <c r="K165" s="490" t="str">
        <f t="shared" ca="1" si="25"/>
        <v/>
      </c>
      <c r="L165" s="493" t="str">
        <f ca="1">IFERROR(CHOOSE(E165,'Impact Indicators - Section B '!$K$7,'Impact Indicators - Section B '!$O$7,'Impact Indicators - Section B '!$S$7,'Impact Indicators - Section B '!$W$7),"")</f>
        <v/>
      </c>
      <c r="M165" s="504" t="str">
        <f t="shared" ca="1" si="26"/>
        <v/>
      </c>
      <c r="N165" s="493" t="str">
        <f t="shared" ca="1" si="27"/>
        <v/>
      </c>
      <c r="O165" s="487" t="str">
        <f ca="1">IFERROR(IF(COUNTA($D$37:$D165)=1,"",OFFSET($C163,-COUNTA($D$37:$D165)+3,0)),"")</f>
        <v>a1H3p000002KtFHEA0</v>
      </c>
      <c r="P165" s="487">
        <f t="shared" si="20"/>
        <v>0</v>
      </c>
      <c r="Q165" s="487"/>
      <c r="R165" s="487"/>
      <c r="S165" s="487"/>
      <c r="T165" s="487" t="b">
        <f t="shared" ca="1" si="28"/>
        <v>0</v>
      </c>
    </row>
    <row r="166" spans="1:20" x14ac:dyDescent="0.3">
      <c r="A166" s="487" t="b">
        <f t="shared" ca="1" si="21"/>
        <v>0</v>
      </c>
      <c r="B166" s="501"/>
      <c r="C166" s="500" t="str">
        <f t="shared" ca="1" si="22"/>
        <v>a1H3p000002KtE5EAK</v>
      </c>
      <c r="D166" s="487"/>
      <c r="E166" s="487">
        <f t="shared" ca="1" si="18"/>
        <v>1</v>
      </c>
      <c r="F166" s="502">
        <f ca="1">IFERROR(IF(COUNTA($D$37:$D166)=1,"",OFFSET($F164,-COUNTA($D$37:$D166)+3,0)),"")</f>
        <v>7</v>
      </c>
      <c r="G166" s="487"/>
      <c r="H166" s="487">
        <f t="shared" ca="1" si="19"/>
        <v>21</v>
      </c>
      <c r="I166" s="503" t="str">
        <f t="shared" ca="1" si="23"/>
        <v/>
      </c>
      <c r="J166" s="503" t="str">
        <f t="shared" ca="1" si="24"/>
        <v/>
      </c>
      <c r="K166" s="490" t="str">
        <f t="shared" ca="1" si="25"/>
        <v/>
      </c>
      <c r="L166" s="493">
        <f ca="1">IFERROR(CHOOSE(E166,'Impact Indicators - Section B '!$K$7,'Impact Indicators - Section B '!$O$7,'Impact Indicators - Section B '!$S$7,'Impact Indicators - Section B '!$W$7),"")</f>
        <v>2021</v>
      </c>
      <c r="M166" s="504" t="str">
        <f t="shared" ca="1" si="26"/>
        <v/>
      </c>
      <c r="N166" s="493" t="str">
        <f t="shared" ca="1" si="27"/>
        <v/>
      </c>
      <c r="O166" s="487" t="str">
        <f ca="1">IFERROR(IF(COUNTA($D$37:$D166)=1,"",OFFSET($C164,-COUNTA($D$37:$D166)+3,0)),"")</f>
        <v>a1H3p000002KtE5EAK</v>
      </c>
      <c r="P166" s="487">
        <f t="shared" si="20"/>
        <v>0</v>
      </c>
      <c r="Q166" s="487"/>
      <c r="R166" s="487"/>
      <c r="S166" s="487"/>
      <c r="T166" s="487" t="b">
        <f t="shared" ca="1" si="28"/>
        <v>0</v>
      </c>
    </row>
    <row r="167" spans="1:20" x14ac:dyDescent="0.3">
      <c r="A167" s="487" t="b">
        <f t="shared" ca="1" si="21"/>
        <v>0</v>
      </c>
      <c r="B167" s="501"/>
      <c r="C167" s="500" t="str">
        <f t="shared" ca="1" si="22"/>
        <v>a1H3p000002KtEKEA0</v>
      </c>
      <c r="D167" s="487"/>
      <c r="E167" s="487">
        <f t="shared" ca="1" si="18"/>
        <v>2</v>
      </c>
      <c r="F167" s="502">
        <f ca="1">IFERROR(IF(COUNTA($D$37:$D167)=1,"",OFFSET($F165,-COUNTA($D$37:$D167)+3,0)),"")</f>
        <v>7</v>
      </c>
      <c r="G167" s="487"/>
      <c r="H167" s="487">
        <f t="shared" ca="1" si="19"/>
        <v>21</v>
      </c>
      <c r="I167" s="503" t="str">
        <f t="shared" ca="1" si="23"/>
        <v/>
      </c>
      <c r="J167" s="503" t="str">
        <f t="shared" ca="1" si="24"/>
        <v/>
      </c>
      <c r="K167" s="490" t="str">
        <f t="shared" ca="1" si="25"/>
        <v/>
      </c>
      <c r="L167" s="493">
        <f ca="1">IFERROR(CHOOSE(E167,'Impact Indicators - Section B '!$K$7,'Impact Indicators - Section B '!$O$7,'Impact Indicators - Section B '!$S$7,'Impact Indicators - Section B '!$W$7),"")</f>
        <v>2022</v>
      </c>
      <c r="M167" s="504" t="str">
        <f t="shared" ca="1" si="26"/>
        <v/>
      </c>
      <c r="N167" s="493" t="str">
        <f t="shared" ca="1" si="27"/>
        <v/>
      </c>
      <c r="O167" s="487" t="str">
        <f ca="1">IFERROR(IF(COUNTA($D$37:$D167)=1,"",OFFSET($C165,-COUNTA($D$37:$D167)+3,0)),"")</f>
        <v>a1H3p000002KtEKEA0</v>
      </c>
      <c r="P167" s="487">
        <f t="shared" si="20"/>
        <v>0</v>
      </c>
      <c r="Q167" s="487"/>
      <c r="R167" s="487"/>
      <c r="S167" s="487"/>
      <c r="T167" s="487" t="b">
        <f t="shared" ca="1" si="28"/>
        <v>0</v>
      </c>
    </row>
    <row r="168" spans="1:20" x14ac:dyDescent="0.3">
      <c r="A168" s="487" t="b">
        <f t="shared" ca="1" si="21"/>
        <v>0</v>
      </c>
      <c r="B168" s="501"/>
      <c r="C168" s="500" t="str">
        <f t="shared" ca="1" si="22"/>
        <v>a1H3p000002KtEZEA0</v>
      </c>
      <c r="D168" s="487"/>
      <c r="E168" s="487">
        <f t="shared" ref="E168:E219" ca="1" si="29">COUNTIF(F163:F168,F168)</f>
        <v>3</v>
      </c>
      <c r="F168" s="502">
        <f ca="1">IFERROR(IF(COUNTA($D$37:$D168)=1,"",OFFSET($F166,-COUNTA($D$37:$D168)+3,0)),"")</f>
        <v>7</v>
      </c>
      <c r="G168" s="487"/>
      <c r="H168" s="487">
        <f t="shared" ref="H168:H219" ca="1" si="30">IF(F168=1,9,IF(E167=MAX(E166:E168),H166+2,H167))</f>
        <v>21</v>
      </c>
      <c r="I168" s="503" t="str">
        <f t="shared" ca="1" si="23"/>
        <v/>
      </c>
      <c r="J168" s="503" t="str">
        <f t="shared" ca="1" si="24"/>
        <v/>
      </c>
      <c r="K168" s="490" t="str">
        <f t="shared" ca="1" si="25"/>
        <v/>
      </c>
      <c r="L168" s="493">
        <f ca="1">IFERROR(CHOOSE(E168,'Impact Indicators - Section B '!$K$7,'Impact Indicators - Section B '!$O$7,'Impact Indicators - Section B '!$S$7,'Impact Indicators - Section B '!$W$7),"")</f>
        <v>2023</v>
      </c>
      <c r="M168" s="504" t="str">
        <f t="shared" ca="1" si="26"/>
        <v/>
      </c>
      <c r="N168" s="493" t="str">
        <f t="shared" ca="1" si="27"/>
        <v/>
      </c>
      <c r="O168" s="487" t="str">
        <f ca="1">IFERROR(IF(COUNTA($D$37:$D168)=1,"",OFFSET($C166,-COUNTA($D$37:$D168)+3,0)),"")</f>
        <v>a1H3p000002KtEZEA0</v>
      </c>
      <c r="P168" s="487">
        <f t="shared" ref="P168:P219" si="31">IF(NOT(_xlfn.ISFORMULA(I168)),P167+1,0)</f>
        <v>0</v>
      </c>
      <c r="Q168" s="487"/>
      <c r="R168" s="487"/>
      <c r="S168" s="487"/>
      <c r="T168" s="487" t="b">
        <f t="shared" ca="1" si="28"/>
        <v>0</v>
      </c>
    </row>
    <row r="169" spans="1:20" x14ac:dyDescent="0.3">
      <c r="A169" s="487" t="b">
        <f t="shared" ca="1" si="21"/>
        <v>0</v>
      </c>
      <c r="B169" s="501"/>
      <c r="C169" s="500" t="str">
        <f t="shared" ca="1" si="22"/>
        <v>a1H3p000002KtEoEAK</v>
      </c>
      <c r="D169" s="487"/>
      <c r="E169" s="487">
        <f t="shared" ca="1" si="29"/>
        <v>4</v>
      </c>
      <c r="F169" s="502">
        <f ca="1">IFERROR(IF(COUNTA($D$37:$D169)=1,"",OFFSET($F167,-COUNTA($D$37:$D169)+3,0)),"")</f>
        <v>7</v>
      </c>
      <c r="G169" s="487"/>
      <c r="H169" s="487">
        <f t="shared" ca="1" si="30"/>
        <v>21</v>
      </c>
      <c r="I169" s="503" t="str">
        <f t="shared" ca="1" si="23"/>
        <v/>
      </c>
      <c r="J169" s="503" t="str">
        <f t="shared" ca="1" si="24"/>
        <v/>
      </c>
      <c r="K169" s="490" t="str">
        <f t="shared" ca="1" si="25"/>
        <v/>
      </c>
      <c r="L169" s="493" t="str">
        <f ca="1">IFERROR(CHOOSE(E169,'Impact Indicators - Section B '!$K$7,'Impact Indicators - Section B '!$O$7,'Impact Indicators - Section B '!$S$7,'Impact Indicators - Section B '!$W$7),"")</f>
        <v/>
      </c>
      <c r="M169" s="504" t="str">
        <f t="shared" ca="1" si="26"/>
        <v/>
      </c>
      <c r="N169" s="493" t="str">
        <f t="shared" ca="1" si="27"/>
        <v/>
      </c>
      <c r="O169" s="487" t="str">
        <f ca="1">IFERROR(IF(COUNTA($D$37:$D169)=1,"",OFFSET($C167,-COUNTA($D$37:$D169)+3,0)),"")</f>
        <v>a1H3p000002KtEoEAK</v>
      </c>
      <c r="P169" s="487">
        <f t="shared" si="31"/>
        <v>0</v>
      </c>
      <c r="Q169" s="487"/>
      <c r="R169" s="487"/>
      <c r="S169" s="487"/>
      <c r="T169" s="487" t="b">
        <f t="shared" ca="1" si="28"/>
        <v>0</v>
      </c>
    </row>
    <row r="170" spans="1:20" x14ac:dyDescent="0.3">
      <c r="A170" s="487" t="b">
        <f t="shared" ca="1" si="21"/>
        <v>0</v>
      </c>
      <c r="B170" s="501"/>
      <c r="C170" s="500" t="str">
        <f t="shared" ca="1" si="22"/>
        <v>a1H3p000002KtF3EAK</v>
      </c>
      <c r="D170" s="487"/>
      <c r="E170" s="487">
        <f t="shared" ca="1" si="29"/>
        <v>5</v>
      </c>
      <c r="F170" s="502">
        <f ca="1">IFERROR(IF(COUNTA($D$37:$D170)=1,"",OFFSET($F168,-COUNTA($D$37:$D170)+3,0)),"")</f>
        <v>7</v>
      </c>
      <c r="G170" s="487"/>
      <c r="H170" s="487">
        <f t="shared" ca="1" si="30"/>
        <v>21</v>
      </c>
      <c r="I170" s="503">
        <f t="shared" ca="1" si="23"/>
        <v>0</v>
      </c>
      <c r="J170" s="503">
        <f t="shared" ca="1" si="24"/>
        <v>0</v>
      </c>
      <c r="K170" s="490">
        <f t="shared" ca="1" si="25"/>
        <v>0</v>
      </c>
      <c r="L170" s="493" t="str">
        <f ca="1">IFERROR(CHOOSE(E170,'Impact Indicators - Section B '!$K$7,'Impact Indicators - Section B '!$O$7,'Impact Indicators - Section B '!$S$7,'Impact Indicators - Section B '!$W$7),"")</f>
        <v/>
      </c>
      <c r="M170" s="504">
        <f t="shared" ca="1" si="26"/>
        <v>0</v>
      </c>
      <c r="N170" s="493" t="str">
        <f t="shared" ca="1" si="27"/>
        <v/>
      </c>
      <c r="O170" s="487" t="str">
        <f ca="1">IFERROR(IF(COUNTA($D$37:$D170)=1,"",OFFSET($C168,-COUNTA($D$37:$D170)+3,0)),"")</f>
        <v>a1H3p000002KtF3EAK</v>
      </c>
      <c r="P170" s="487">
        <f t="shared" si="31"/>
        <v>0</v>
      </c>
      <c r="Q170" s="487"/>
      <c r="R170" s="487"/>
      <c r="S170" s="487"/>
      <c r="T170" s="487" t="b">
        <f t="shared" ca="1" si="28"/>
        <v>0</v>
      </c>
    </row>
    <row r="171" spans="1:20" x14ac:dyDescent="0.3">
      <c r="A171" s="487" t="b">
        <f t="shared" ca="1" si="21"/>
        <v>0</v>
      </c>
      <c r="B171" s="501"/>
      <c r="C171" s="500" t="str">
        <f t="shared" ca="1" si="22"/>
        <v>a1H3p000002KtFIEA0</v>
      </c>
      <c r="D171" s="487"/>
      <c r="E171" s="487">
        <f t="shared" ca="1" si="29"/>
        <v>6</v>
      </c>
      <c r="F171" s="502">
        <f ca="1">IFERROR(IF(COUNTA($D$37:$D171)=1,"",OFFSET($F169,-COUNTA($D$37:$D171)+3,0)),"")</f>
        <v>7</v>
      </c>
      <c r="G171" s="487"/>
      <c r="H171" s="487">
        <f t="shared" ca="1" si="30"/>
        <v>21</v>
      </c>
      <c r="I171" s="503" t="str">
        <f t="shared" ca="1" si="23"/>
        <v/>
      </c>
      <c r="J171" s="503" t="str">
        <f t="shared" ca="1" si="24"/>
        <v/>
      </c>
      <c r="K171" s="490" t="str">
        <f t="shared" ca="1" si="25"/>
        <v/>
      </c>
      <c r="L171" s="493" t="str">
        <f ca="1">IFERROR(CHOOSE(E171,'Impact Indicators - Section B '!$K$7,'Impact Indicators - Section B '!$O$7,'Impact Indicators - Section B '!$S$7,'Impact Indicators - Section B '!$W$7),"")</f>
        <v/>
      </c>
      <c r="M171" s="504" t="str">
        <f t="shared" ca="1" si="26"/>
        <v/>
      </c>
      <c r="N171" s="493" t="str">
        <f t="shared" ca="1" si="27"/>
        <v/>
      </c>
      <c r="O171" s="487" t="str">
        <f ca="1">IFERROR(IF(COUNTA($D$37:$D171)=1,"",OFFSET($C169,-COUNTA($D$37:$D171)+3,0)),"")</f>
        <v>a1H3p000002KtFIEA0</v>
      </c>
      <c r="P171" s="487">
        <f t="shared" si="31"/>
        <v>0</v>
      </c>
      <c r="Q171" s="487"/>
      <c r="R171" s="487"/>
      <c r="S171" s="487"/>
      <c r="T171" s="487" t="b">
        <f t="shared" ca="1" si="28"/>
        <v>0</v>
      </c>
    </row>
    <row r="172" spans="1:20" x14ac:dyDescent="0.3">
      <c r="A172" s="487" t="b">
        <f t="shared" ca="1" si="21"/>
        <v>0</v>
      </c>
      <c r="B172" s="501"/>
      <c r="C172" s="500" t="str">
        <f t="shared" ca="1" si="22"/>
        <v>a1H3p000002KtE6EAK</v>
      </c>
      <c r="D172" s="487"/>
      <c r="E172" s="487">
        <f t="shared" ca="1" si="29"/>
        <v>1</v>
      </c>
      <c r="F172" s="502">
        <f ca="1">IFERROR(IF(COUNTA($D$37:$D172)=1,"",OFFSET($F170,-COUNTA($D$37:$D172)+3,0)),"")</f>
        <v>8</v>
      </c>
      <c r="G172" s="487"/>
      <c r="H172" s="487">
        <f t="shared" ca="1" si="30"/>
        <v>23</v>
      </c>
      <c r="I172" s="503" t="str">
        <f t="shared" ca="1" si="23"/>
        <v/>
      </c>
      <c r="J172" s="503" t="str">
        <f t="shared" ca="1" si="24"/>
        <v/>
      </c>
      <c r="K172" s="490" t="str">
        <f t="shared" ca="1" si="25"/>
        <v/>
      </c>
      <c r="L172" s="493">
        <f ca="1">IFERROR(CHOOSE(E172,'Impact Indicators - Section B '!$K$7,'Impact Indicators - Section B '!$O$7,'Impact Indicators - Section B '!$S$7,'Impact Indicators - Section B '!$W$7),"")</f>
        <v>2021</v>
      </c>
      <c r="M172" s="504" t="str">
        <f t="shared" ca="1" si="26"/>
        <v/>
      </c>
      <c r="N172" s="493" t="str">
        <f t="shared" ca="1" si="27"/>
        <v/>
      </c>
      <c r="O172" s="487" t="str">
        <f ca="1">IFERROR(IF(COUNTA($D$37:$D172)=1,"",OFFSET($C170,-COUNTA($D$37:$D172)+3,0)),"")</f>
        <v>a1H3p000002KtE6EAK</v>
      </c>
      <c r="P172" s="487">
        <f t="shared" si="31"/>
        <v>0</v>
      </c>
      <c r="Q172" s="487"/>
      <c r="R172" s="487"/>
      <c r="S172" s="487"/>
      <c r="T172" s="487" t="b">
        <f t="shared" ca="1" si="28"/>
        <v>0</v>
      </c>
    </row>
    <row r="173" spans="1:20" x14ac:dyDescent="0.3">
      <c r="A173" s="487" t="b">
        <f t="shared" ca="1" si="21"/>
        <v>0</v>
      </c>
      <c r="B173" s="501"/>
      <c r="C173" s="500" t="str">
        <f t="shared" ca="1" si="22"/>
        <v>a1H3p000002KtELEA0</v>
      </c>
      <c r="D173" s="487"/>
      <c r="E173" s="487">
        <f t="shared" ca="1" si="29"/>
        <v>2</v>
      </c>
      <c r="F173" s="502">
        <f ca="1">IFERROR(IF(COUNTA($D$37:$D173)=1,"",OFFSET($F171,-COUNTA($D$37:$D173)+3,0)),"")</f>
        <v>8</v>
      </c>
      <c r="G173" s="487"/>
      <c r="H173" s="487">
        <f t="shared" ca="1" si="30"/>
        <v>23</v>
      </c>
      <c r="I173" s="503" t="str">
        <f t="shared" ca="1" si="23"/>
        <v/>
      </c>
      <c r="J173" s="503" t="str">
        <f t="shared" ca="1" si="24"/>
        <v/>
      </c>
      <c r="K173" s="490" t="str">
        <f t="shared" ca="1" si="25"/>
        <v/>
      </c>
      <c r="L173" s="493">
        <f ca="1">IFERROR(CHOOSE(E173,'Impact Indicators - Section B '!$K$7,'Impact Indicators - Section B '!$O$7,'Impact Indicators - Section B '!$S$7,'Impact Indicators - Section B '!$W$7),"")</f>
        <v>2022</v>
      </c>
      <c r="M173" s="504" t="str">
        <f t="shared" ca="1" si="26"/>
        <v/>
      </c>
      <c r="N173" s="493" t="str">
        <f t="shared" ca="1" si="27"/>
        <v/>
      </c>
      <c r="O173" s="487" t="str">
        <f ca="1">IFERROR(IF(COUNTA($D$37:$D173)=1,"",OFFSET($C171,-COUNTA($D$37:$D173)+3,0)),"")</f>
        <v>a1H3p000002KtELEA0</v>
      </c>
      <c r="P173" s="487">
        <f t="shared" si="31"/>
        <v>0</v>
      </c>
      <c r="Q173" s="487"/>
      <c r="R173" s="487"/>
      <c r="S173" s="487"/>
      <c r="T173" s="487" t="b">
        <f t="shared" ca="1" si="28"/>
        <v>0</v>
      </c>
    </row>
    <row r="174" spans="1:20" x14ac:dyDescent="0.3">
      <c r="A174" s="487" t="b">
        <f t="shared" ca="1" si="21"/>
        <v>0</v>
      </c>
      <c r="B174" s="501"/>
      <c r="C174" s="500" t="str">
        <f t="shared" ca="1" si="22"/>
        <v>a1H3p000002KtEaEAK</v>
      </c>
      <c r="D174" s="487"/>
      <c r="E174" s="487">
        <f t="shared" ca="1" si="29"/>
        <v>3</v>
      </c>
      <c r="F174" s="502">
        <f ca="1">IFERROR(IF(COUNTA($D$37:$D174)=1,"",OFFSET($F172,-COUNTA($D$37:$D174)+3,0)),"")</f>
        <v>8</v>
      </c>
      <c r="G174" s="487"/>
      <c r="H174" s="487">
        <f t="shared" ca="1" si="30"/>
        <v>23</v>
      </c>
      <c r="I174" s="503" t="str">
        <f t="shared" ca="1" si="23"/>
        <v/>
      </c>
      <c r="J174" s="503" t="str">
        <f t="shared" ca="1" si="24"/>
        <v/>
      </c>
      <c r="K174" s="490" t="str">
        <f t="shared" ca="1" si="25"/>
        <v/>
      </c>
      <c r="L174" s="493">
        <f ca="1">IFERROR(CHOOSE(E174,'Impact Indicators - Section B '!$K$7,'Impact Indicators - Section B '!$O$7,'Impact Indicators - Section B '!$S$7,'Impact Indicators - Section B '!$W$7),"")</f>
        <v>2023</v>
      </c>
      <c r="M174" s="504" t="str">
        <f t="shared" ca="1" si="26"/>
        <v/>
      </c>
      <c r="N174" s="493" t="str">
        <f t="shared" ca="1" si="27"/>
        <v/>
      </c>
      <c r="O174" s="487" t="str">
        <f ca="1">IFERROR(IF(COUNTA($D$37:$D174)=1,"",OFFSET($C172,-COUNTA($D$37:$D174)+3,0)),"")</f>
        <v>a1H3p000002KtEaEAK</v>
      </c>
      <c r="P174" s="487">
        <f t="shared" si="31"/>
        <v>0</v>
      </c>
      <c r="Q174" s="487"/>
      <c r="R174" s="487"/>
      <c r="S174" s="487"/>
      <c r="T174" s="487" t="b">
        <f t="shared" ca="1" si="28"/>
        <v>0</v>
      </c>
    </row>
    <row r="175" spans="1:20" x14ac:dyDescent="0.3">
      <c r="A175" s="487" t="b">
        <f t="shared" ca="1" si="21"/>
        <v>0</v>
      </c>
      <c r="B175" s="501"/>
      <c r="C175" s="500" t="str">
        <f t="shared" ca="1" si="22"/>
        <v>a1H3p000002KtEpEAK</v>
      </c>
      <c r="D175" s="487"/>
      <c r="E175" s="487">
        <f t="shared" ca="1" si="29"/>
        <v>4</v>
      </c>
      <c r="F175" s="502">
        <f ca="1">IFERROR(IF(COUNTA($D$37:$D175)=1,"",OFFSET($F173,-COUNTA($D$37:$D175)+3,0)),"")</f>
        <v>8</v>
      </c>
      <c r="G175" s="487"/>
      <c r="H175" s="487">
        <f t="shared" ca="1" si="30"/>
        <v>23</v>
      </c>
      <c r="I175" s="503" t="str">
        <f t="shared" ca="1" si="23"/>
        <v/>
      </c>
      <c r="J175" s="503" t="str">
        <f t="shared" ca="1" si="24"/>
        <v/>
      </c>
      <c r="K175" s="490" t="str">
        <f t="shared" ca="1" si="25"/>
        <v/>
      </c>
      <c r="L175" s="493" t="str">
        <f ca="1">IFERROR(CHOOSE(E175,'Impact Indicators - Section B '!$K$7,'Impact Indicators - Section B '!$O$7,'Impact Indicators - Section B '!$S$7,'Impact Indicators - Section B '!$W$7),"")</f>
        <v/>
      </c>
      <c r="M175" s="504" t="str">
        <f t="shared" ca="1" si="26"/>
        <v/>
      </c>
      <c r="N175" s="493" t="str">
        <f t="shared" ca="1" si="27"/>
        <v/>
      </c>
      <c r="O175" s="487" t="str">
        <f ca="1">IFERROR(IF(COUNTA($D$37:$D175)=1,"",OFFSET($C173,-COUNTA($D$37:$D175)+3,0)),"")</f>
        <v>a1H3p000002KtEpEAK</v>
      </c>
      <c r="P175" s="487">
        <f t="shared" si="31"/>
        <v>0</v>
      </c>
      <c r="Q175" s="487"/>
      <c r="R175" s="487"/>
      <c r="S175" s="487"/>
      <c r="T175" s="487" t="b">
        <f t="shared" ca="1" si="28"/>
        <v>0</v>
      </c>
    </row>
    <row r="176" spans="1:20" x14ac:dyDescent="0.3">
      <c r="A176" s="487" t="b">
        <f t="shared" ca="1" si="21"/>
        <v>0</v>
      </c>
      <c r="B176" s="501"/>
      <c r="C176" s="500" t="str">
        <f t="shared" ca="1" si="22"/>
        <v>a1H3p000002KtF4EAK</v>
      </c>
      <c r="D176" s="487"/>
      <c r="E176" s="487">
        <f t="shared" ca="1" si="29"/>
        <v>5</v>
      </c>
      <c r="F176" s="502">
        <f ca="1">IFERROR(IF(COUNTA($D$37:$D176)=1,"",OFFSET($F174,-COUNTA($D$37:$D176)+3,0)),"")</f>
        <v>8</v>
      </c>
      <c r="G176" s="487"/>
      <c r="H176" s="487">
        <f t="shared" ca="1" si="30"/>
        <v>23</v>
      </c>
      <c r="I176" s="503">
        <f t="shared" ca="1" si="23"/>
        <v>0</v>
      </c>
      <c r="J176" s="503">
        <f t="shared" ca="1" si="24"/>
        <v>0</v>
      </c>
      <c r="K176" s="490">
        <f t="shared" ca="1" si="25"/>
        <v>0</v>
      </c>
      <c r="L176" s="493" t="str">
        <f ca="1">IFERROR(CHOOSE(E176,'Impact Indicators - Section B '!$K$7,'Impact Indicators - Section B '!$O$7,'Impact Indicators - Section B '!$S$7,'Impact Indicators - Section B '!$W$7),"")</f>
        <v/>
      </c>
      <c r="M176" s="504">
        <f t="shared" ca="1" si="26"/>
        <v>0</v>
      </c>
      <c r="N176" s="493" t="str">
        <f t="shared" ca="1" si="27"/>
        <v/>
      </c>
      <c r="O176" s="487" t="str">
        <f ca="1">IFERROR(IF(COUNTA($D$37:$D176)=1,"",OFFSET($C174,-COUNTA($D$37:$D176)+3,0)),"")</f>
        <v>a1H3p000002KtF4EAK</v>
      </c>
      <c r="P176" s="487">
        <f t="shared" si="31"/>
        <v>0</v>
      </c>
      <c r="Q176" s="487"/>
      <c r="R176" s="487"/>
      <c r="S176" s="487"/>
      <c r="T176" s="487" t="b">
        <f t="shared" ca="1" si="28"/>
        <v>0</v>
      </c>
    </row>
    <row r="177" spans="1:20" x14ac:dyDescent="0.3">
      <c r="A177" s="487" t="b">
        <f t="shared" ca="1" si="21"/>
        <v>0</v>
      </c>
      <c r="B177" s="501"/>
      <c r="C177" s="500" t="str">
        <f t="shared" ca="1" si="22"/>
        <v>a1H3p000002KtFJEA0</v>
      </c>
      <c r="D177" s="487"/>
      <c r="E177" s="487">
        <f t="shared" ca="1" si="29"/>
        <v>6</v>
      </c>
      <c r="F177" s="502">
        <f ca="1">IFERROR(IF(COUNTA($D$37:$D177)=1,"",OFFSET($F175,-COUNTA($D$37:$D177)+3,0)),"")</f>
        <v>8</v>
      </c>
      <c r="G177" s="487"/>
      <c r="H177" s="487">
        <f t="shared" ca="1" si="30"/>
        <v>23</v>
      </c>
      <c r="I177" s="503" t="str">
        <f t="shared" ca="1" si="23"/>
        <v/>
      </c>
      <c r="J177" s="503" t="str">
        <f t="shared" ca="1" si="24"/>
        <v/>
      </c>
      <c r="K177" s="490" t="str">
        <f t="shared" ca="1" si="25"/>
        <v/>
      </c>
      <c r="L177" s="493" t="str">
        <f ca="1">IFERROR(CHOOSE(E177,'Impact Indicators - Section B '!$K$7,'Impact Indicators - Section B '!$O$7,'Impact Indicators - Section B '!$S$7,'Impact Indicators - Section B '!$W$7),"")</f>
        <v/>
      </c>
      <c r="M177" s="504" t="str">
        <f t="shared" ca="1" si="26"/>
        <v/>
      </c>
      <c r="N177" s="493" t="str">
        <f t="shared" ca="1" si="27"/>
        <v/>
      </c>
      <c r="O177" s="487" t="str">
        <f ca="1">IFERROR(IF(COUNTA($D$37:$D177)=1,"",OFFSET($C175,-COUNTA($D$37:$D177)+3,0)),"")</f>
        <v>a1H3p000002KtFJEA0</v>
      </c>
      <c r="P177" s="487">
        <f t="shared" si="31"/>
        <v>0</v>
      </c>
      <c r="Q177" s="487"/>
      <c r="R177" s="487"/>
      <c r="S177" s="487"/>
      <c r="T177" s="487" t="b">
        <f t="shared" ca="1" si="28"/>
        <v>0</v>
      </c>
    </row>
    <row r="178" spans="1:20" x14ac:dyDescent="0.3">
      <c r="A178" s="487" t="b">
        <f t="shared" ca="1" si="21"/>
        <v>0</v>
      </c>
      <c r="B178" s="501"/>
      <c r="C178" s="500" t="str">
        <f t="shared" ca="1" si="22"/>
        <v>a1H3p000002KtE7EAK</v>
      </c>
      <c r="D178" s="487"/>
      <c r="E178" s="487">
        <f t="shared" ca="1" si="29"/>
        <v>1</v>
      </c>
      <c r="F178" s="502">
        <f ca="1">IFERROR(IF(COUNTA($D$37:$D178)=1,"",OFFSET($F176,-COUNTA($D$37:$D178)+3,0)),"")</f>
        <v>9</v>
      </c>
      <c r="G178" s="487"/>
      <c r="H178" s="487">
        <f t="shared" ca="1" si="30"/>
        <v>25</v>
      </c>
      <c r="I178" s="503" t="str">
        <f t="shared" ca="1" si="23"/>
        <v/>
      </c>
      <c r="J178" s="503" t="str">
        <f t="shared" ca="1" si="24"/>
        <v/>
      </c>
      <c r="K178" s="490" t="str">
        <f t="shared" ca="1" si="25"/>
        <v/>
      </c>
      <c r="L178" s="493">
        <f ca="1">IFERROR(CHOOSE(E178,'Impact Indicators - Section B '!$K$7,'Impact Indicators - Section B '!$O$7,'Impact Indicators - Section B '!$S$7,'Impact Indicators - Section B '!$W$7),"")</f>
        <v>2021</v>
      </c>
      <c r="M178" s="504" t="str">
        <f t="shared" ca="1" si="26"/>
        <v/>
      </c>
      <c r="N178" s="493" t="str">
        <f t="shared" ca="1" si="27"/>
        <v/>
      </c>
      <c r="O178" s="487" t="str">
        <f ca="1">IFERROR(IF(COUNTA($D$37:$D178)=1,"",OFFSET($C176,-COUNTA($D$37:$D178)+3,0)),"")</f>
        <v>a1H3p000002KtE7EAK</v>
      </c>
      <c r="P178" s="487">
        <f t="shared" si="31"/>
        <v>0</v>
      </c>
      <c r="Q178" s="487"/>
      <c r="R178" s="487"/>
      <c r="S178" s="487"/>
      <c r="T178" s="487" t="b">
        <f t="shared" ca="1" si="28"/>
        <v>0</v>
      </c>
    </row>
    <row r="179" spans="1:20" x14ac:dyDescent="0.3">
      <c r="A179" s="487" t="b">
        <f t="shared" ca="1" si="21"/>
        <v>0</v>
      </c>
      <c r="B179" s="501"/>
      <c r="C179" s="500" t="str">
        <f t="shared" ca="1" si="22"/>
        <v>a1H3p000002KtEMEA0</v>
      </c>
      <c r="D179" s="487"/>
      <c r="E179" s="487">
        <f t="shared" ca="1" si="29"/>
        <v>2</v>
      </c>
      <c r="F179" s="502">
        <f ca="1">IFERROR(IF(COUNTA($D$37:$D179)=1,"",OFFSET($F177,-COUNTA($D$37:$D179)+3,0)),"")</f>
        <v>9</v>
      </c>
      <c r="G179" s="487"/>
      <c r="H179" s="487">
        <f t="shared" ca="1" si="30"/>
        <v>25</v>
      </c>
      <c r="I179" s="503" t="str">
        <f t="shared" ca="1" si="23"/>
        <v/>
      </c>
      <c r="J179" s="503" t="str">
        <f t="shared" ca="1" si="24"/>
        <v/>
      </c>
      <c r="K179" s="490" t="str">
        <f t="shared" ca="1" si="25"/>
        <v/>
      </c>
      <c r="L179" s="493">
        <f ca="1">IFERROR(CHOOSE(E179,'Impact Indicators - Section B '!$K$7,'Impact Indicators - Section B '!$O$7,'Impact Indicators - Section B '!$S$7,'Impact Indicators - Section B '!$W$7),"")</f>
        <v>2022</v>
      </c>
      <c r="M179" s="504" t="str">
        <f t="shared" ca="1" si="26"/>
        <v/>
      </c>
      <c r="N179" s="493" t="str">
        <f t="shared" ca="1" si="27"/>
        <v/>
      </c>
      <c r="O179" s="487" t="str">
        <f ca="1">IFERROR(IF(COUNTA($D$37:$D179)=1,"",OFFSET($C177,-COUNTA($D$37:$D179)+3,0)),"")</f>
        <v>a1H3p000002KtEMEA0</v>
      </c>
      <c r="P179" s="487">
        <f t="shared" si="31"/>
        <v>0</v>
      </c>
      <c r="Q179" s="487"/>
      <c r="R179" s="487"/>
      <c r="S179" s="487"/>
      <c r="T179" s="487" t="b">
        <f t="shared" ca="1" si="28"/>
        <v>0</v>
      </c>
    </row>
    <row r="180" spans="1:20" x14ac:dyDescent="0.3">
      <c r="A180" s="487" t="b">
        <f t="shared" ca="1" si="21"/>
        <v>0</v>
      </c>
      <c r="B180" s="501"/>
      <c r="C180" s="500" t="str">
        <f t="shared" ca="1" si="22"/>
        <v>a1H3p000002KtEbEAK</v>
      </c>
      <c r="D180" s="487"/>
      <c r="E180" s="487">
        <f t="shared" ca="1" si="29"/>
        <v>3</v>
      </c>
      <c r="F180" s="502">
        <f ca="1">IFERROR(IF(COUNTA($D$37:$D180)=1,"",OFFSET($F178,-COUNTA($D$37:$D180)+3,0)),"")</f>
        <v>9</v>
      </c>
      <c r="G180" s="487"/>
      <c r="H180" s="487">
        <f t="shared" ca="1" si="30"/>
        <v>25</v>
      </c>
      <c r="I180" s="503" t="str">
        <f t="shared" ca="1" si="23"/>
        <v/>
      </c>
      <c r="J180" s="503" t="str">
        <f t="shared" ca="1" si="24"/>
        <v/>
      </c>
      <c r="K180" s="490" t="str">
        <f t="shared" ca="1" si="25"/>
        <v/>
      </c>
      <c r="L180" s="493">
        <f ca="1">IFERROR(CHOOSE(E180,'Impact Indicators - Section B '!$K$7,'Impact Indicators - Section B '!$O$7,'Impact Indicators - Section B '!$S$7,'Impact Indicators - Section B '!$W$7),"")</f>
        <v>2023</v>
      </c>
      <c r="M180" s="504" t="str">
        <f t="shared" ca="1" si="26"/>
        <v/>
      </c>
      <c r="N180" s="493" t="str">
        <f t="shared" ca="1" si="27"/>
        <v/>
      </c>
      <c r="O180" s="487" t="str">
        <f ca="1">IFERROR(IF(COUNTA($D$37:$D180)=1,"",OFFSET($C178,-COUNTA($D$37:$D180)+3,0)),"")</f>
        <v>a1H3p000002KtEbEAK</v>
      </c>
      <c r="P180" s="487">
        <f t="shared" si="31"/>
        <v>0</v>
      </c>
      <c r="Q180" s="487"/>
      <c r="R180" s="487"/>
      <c r="S180" s="487"/>
      <c r="T180" s="487" t="b">
        <f t="shared" ca="1" si="28"/>
        <v>0</v>
      </c>
    </row>
    <row r="181" spans="1:20" x14ac:dyDescent="0.3">
      <c r="A181" s="487" t="b">
        <f t="shared" ca="1" si="21"/>
        <v>0</v>
      </c>
      <c r="B181" s="501"/>
      <c r="C181" s="500" t="str">
        <f t="shared" ca="1" si="22"/>
        <v>a1H3p000002KtEqEAK</v>
      </c>
      <c r="D181" s="487"/>
      <c r="E181" s="487">
        <f t="shared" ca="1" si="29"/>
        <v>4</v>
      </c>
      <c r="F181" s="502">
        <f ca="1">IFERROR(IF(COUNTA($D$37:$D181)=1,"",OFFSET($F179,-COUNTA($D$37:$D181)+3,0)),"")</f>
        <v>9</v>
      </c>
      <c r="G181" s="487"/>
      <c r="H181" s="487">
        <f t="shared" ca="1" si="30"/>
        <v>25</v>
      </c>
      <c r="I181" s="503" t="str">
        <f t="shared" ca="1" si="23"/>
        <v/>
      </c>
      <c r="J181" s="503" t="str">
        <f t="shared" ca="1" si="24"/>
        <v/>
      </c>
      <c r="K181" s="490" t="str">
        <f t="shared" ca="1" si="25"/>
        <v/>
      </c>
      <c r="L181" s="493" t="str">
        <f ca="1">IFERROR(CHOOSE(E181,'Impact Indicators - Section B '!$K$7,'Impact Indicators - Section B '!$O$7,'Impact Indicators - Section B '!$S$7,'Impact Indicators - Section B '!$W$7),"")</f>
        <v/>
      </c>
      <c r="M181" s="504" t="str">
        <f t="shared" ca="1" si="26"/>
        <v/>
      </c>
      <c r="N181" s="493" t="str">
        <f t="shared" ca="1" si="27"/>
        <v/>
      </c>
      <c r="O181" s="487" t="str">
        <f ca="1">IFERROR(IF(COUNTA($D$37:$D181)=1,"",OFFSET($C179,-COUNTA($D$37:$D181)+3,0)),"")</f>
        <v>a1H3p000002KtEqEAK</v>
      </c>
      <c r="P181" s="487">
        <f t="shared" si="31"/>
        <v>0</v>
      </c>
      <c r="Q181" s="487"/>
      <c r="R181" s="487"/>
      <c r="S181" s="487"/>
      <c r="T181" s="487" t="b">
        <f t="shared" ca="1" si="28"/>
        <v>0</v>
      </c>
    </row>
    <row r="182" spans="1:20" x14ac:dyDescent="0.3">
      <c r="A182" s="487" t="b">
        <f t="shared" ca="1" si="21"/>
        <v>0</v>
      </c>
      <c r="B182" s="501"/>
      <c r="C182" s="500" t="str">
        <f t="shared" ca="1" si="22"/>
        <v>a1H3p000002KtF5EAK</v>
      </c>
      <c r="D182" s="487"/>
      <c r="E182" s="487">
        <f t="shared" ca="1" si="29"/>
        <v>5</v>
      </c>
      <c r="F182" s="502">
        <f ca="1">IFERROR(IF(COUNTA($D$37:$D182)=1,"",OFFSET($F180,-COUNTA($D$37:$D182)+3,0)),"")</f>
        <v>9</v>
      </c>
      <c r="G182" s="487"/>
      <c r="H182" s="487">
        <f t="shared" ca="1" si="30"/>
        <v>25</v>
      </c>
      <c r="I182" s="503">
        <f t="shared" ca="1" si="23"/>
        <v>0</v>
      </c>
      <c r="J182" s="503">
        <f t="shared" ca="1" si="24"/>
        <v>0</v>
      </c>
      <c r="K182" s="490">
        <f t="shared" ca="1" si="25"/>
        <v>0</v>
      </c>
      <c r="L182" s="493" t="str">
        <f ca="1">IFERROR(CHOOSE(E182,'Impact Indicators - Section B '!$K$7,'Impact Indicators - Section B '!$O$7,'Impact Indicators - Section B '!$S$7,'Impact Indicators - Section B '!$W$7),"")</f>
        <v/>
      </c>
      <c r="M182" s="504">
        <f t="shared" ca="1" si="26"/>
        <v>0</v>
      </c>
      <c r="N182" s="493" t="str">
        <f t="shared" ca="1" si="27"/>
        <v/>
      </c>
      <c r="O182" s="487" t="str">
        <f ca="1">IFERROR(IF(COUNTA($D$37:$D182)=1,"",OFFSET($C180,-COUNTA($D$37:$D182)+3,0)),"")</f>
        <v>a1H3p000002KtF5EAK</v>
      </c>
      <c r="P182" s="487">
        <f t="shared" si="31"/>
        <v>0</v>
      </c>
      <c r="Q182" s="487"/>
      <c r="R182" s="487"/>
      <c r="S182" s="487"/>
      <c r="T182" s="487" t="b">
        <f t="shared" ca="1" si="28"/>
        <v>0</v>
      </c>
    </row>
    <row r="183" spans="1:20" x14ac:dyDescent="0.3">
      <c r="A183" s="487" t="b">
        <f t="shared" ca="1" si="21"/>
        <v>0</v>
      </c>
      <c r="B183" s="501"/>
      <c r="C183" s="500" t="str">
        <f t="shared" ca="1" si="22"/>
        <v>a1H3p000002KtFKEA0</v>
      </c>
      <c r="D183" s="487"/>
      <c r="E183" s="487">
        <f t="shared" ca="1" si="29"/>
        <v>6</v>
      </c>
      <c r="F183" s="502">
        <f ca="1">IFERROR(IF(COUNTA($D$37:$D183)=1,"",OFFSET($F181,-COUNTA($D$37:$D183)+3,0)),"")</f>
        <v>9</v>
      </c>
      <c r="G183" s="487"/>
      <c r="H183" s="487">
        <f t="shared" ca="1" si="30"/>
        <v>25</v>
      </c>
      <c r="I183" s="503" t="str">
        <f t="shared" ca="1" si="23"/>
        <v/>
      </c>
      <c r="J183" s="503" t="str">
        <f t="shared" ca="1" si="24"/>
        <v/>
      </c>
      <c r="K183" s="490" t="str">
        <f t="shared" ca="1" si="25"/>
        <v/>
      </c>
      <c r="L183" s="493" t="str">
        <f ca="1">IFERROR(CHOOSE(E183,'Impact Indicators - Section B '!$K$7,'Impact Indicators - Section B '!$O$7,'Impact Indicators - Section B '!$S$7,'Impact Indicators - Section B '!$W$7),"")</f>
        <v/>
      </c>
      <c r="M183" s="504" t="str">
        <f t="shared" ca="1" si="26"/>
        <v/>
      </c>
      <c r="N183" s="493" t="str">
        <f t="shared" ca="1" si="27"/>
        <v/>
      </c>
      <c r="O183" s="487" t="str">
        <f ca="1">IFERROR(IF(COUNTA($D$37:$D183)=1,"",OFFSET($C181,-COUNTA($D$37:$D183)+3,0)),"")</f>
        <v>a1H3p000002KtFKEA0</v>
      </c>
      <c r="P183" s="487">
        <f t="shared" si="31"/>
        <v>0</v>
      </c>
      <c r="Q183" s="487"/>
      <c r="R183" s="487"/>
      <c r="S183" s="487"/>
      <c r="T183" s="487" t="b">
        <f t="shared" ca="1" si="28"/>
        <v>0</v>
      </c>
    </row>
    <row r="184" spans="1:20" x14ac:dyDescent="0.3">
      <c r="A184" s="487" t="b">
        <f t="shared" ca="1" si="21"/>
        <v>0</v>
      </c>
      <c r="B184" s="501"/>
      <c r="C184" s="500" t="str">
        <f t="shared" ca="1" si="22"/>
        <v>a1H3p000002KtE8EAK</v>
      </c>
      <c r="D184" s="487"/>
      <c r="E184" s="487">
        <f t="shared" ca="1" si="29"/>
        <v>1</v>
      </c>
      <c r="F184" s="502">
        <f ca="1">IFERROR(IF(COUNTA($D$37:$D184)=1,"",OFFSET($F182,-COUNTA($D$37:$D184)+3,0)),"")</f>
        <v>10</v>
      </c>
      <c r="G184" s="487"/>
      <c r="H184" s="487">
        <f t="shared" ca="1" si="30"/>
        <v>27</v>
      </c>
      <c r="I184" s="503" t="str">
        <f t="shared" ca="1" si="23"/>
        <v/>
      </c>
      <c r="J184" s="503" t="str">
        <f t="shared" ca="1" si="24"/>
        <v/>
      </c>
      <c r="K184" s="490" t="str">
        <f t="shared" ca="1" si="25"/>
        <v/>
      </c>
      <c r="L184" s="493">
        <f ca="1">IFERROR(CHOOSE(E184,'Impact Indicators - Section B '!$K$7,'Impact Indicators - Section B '!$O$7,'Impact Indicators - Section B '!$S$7,'Impact Indicators - Section B '!$W$7),"")</f>
        <v>2021</v>
      </c>
      <c r="M184" s="504" t="str">
        <f t="shared" ca="1" si="26"/>
        <v/>
      </c>
      <c r="N184" s="493" t="str">
        <f t="shared" ca="1" si="27"/>
        <v/>
      </c>
      <c r="O184" s="487" t="str">
        <f ca="1">IFERROR(IF(COUNTA($D$37:$D184)=1,"",OFFSET($C182,-COUNTA($D$37:$D184)+3,0)),"")</f>
        <v>a1H3p000002KtE8EAK</v>
      </c>
      <c r="P184" s="487">
        <f t="shared" si="31"/>
        <v>0</v>
      </c>
      <c r="Q184" s="487"/>
      <c r="R184" s="487"/>
      <c r="S184" s="487"/>
      <c r="T184" s="487" t="b">
        <f t="shared" ca="1" si="28"/>
        <v>0</v>
      </c>
    </row>
    <row r="185" spans="1:20" x14ac:dyDescent="0.3">
      <c r="A185" s="487" t="b">
        <f t="shared" ca="1" si="21"/>
        <v>0</v>
      </c>
      <c r="B185" s="501"/>
      <c r="C185" s="500" t="str">
        <f t="shared" ca="1" si="22"/>
        <v>a1H3p000002KtENEA0</v>
      </c>
      <c r="D185" s="487"/>
      <c r="E185" s="487">
        <f t="shared" ca="1" si="29"/>
        <v>2</v>
      </c>
      <c r="F185" s="502">
        <f ca="1">IFERROR(IF(COUNTA($D$37:$D185)=1,"",OFFSET($F183,-COUNTA($D$37:$D185)+3,0)),"")</f>
        <v>10</v>
      </c>
      <c r="G185" s="487"/>
      <c r="H185" s="487">
        <f t="shared" ca="1" si="30"/>
        <v>27</v>
      </c>
      <c r="I185" s="503" t="str">
        <f t="shared" ca="1" si="23"/>
        <v/>
      </c>
      <c r="J185" s="503" t="str">
        <f t="shared" ca="1" si="24"/>
        <v/>
      </c>
      <c r="K185" s="490" t="str">
        <f t="shared" ca="1" si="25"/>
        <v/>
      </c>
      <c r="L185" s="493">
        <f ca="1">IFERROR(CHOOSE(E185,'Impact Indicators - Section B '!$K$7,'Impact Indicators - Section B '!$O$7,'Impact Indicators - Section B '!$S$7,'Impact Indicators - Section B '!$W$7),"")</f>
        <v>2022</v>
      </c>
      <c r="M185" s="504" t="str">
        <f t="shared" ca="1" si="26"/>
        <v/>
      </c>
      <c r="N185" s="493" t="str">
        <f t="shared" ca="1" si="27"/>
        <v/>
      </c>
      <c r="O185" s="487" t="str">
        <f ca="1">IFERROR(IF(COUNTA($D$37:$D185)=1,"",OFFSET($C183,-COUNTA($D$37:$D185)+3,0)),"")</f>
        <v>a1H3p000002KtENEA0</v>
      </c>
      <c r="P185" s="487">
        <f t="shared" si="31"/>
        <v>0</v>
      </c>
      <c r="Q185" s="487"/>
      <c r="R185" s="487"/>
      <c r="S185" s="487"/>
      <c r="T185" s="487" t="b">
        <f t="shared" ca="1" si="28"/>
        <v>0</v>
      </c>
    </row>
    <row r="186" spans="1:20" x14ac:dyDescent="0.3">
      <c r="A186" s="487" t="b">
        <f t="shared" ca="1" si="21"/>
        <v>0</v>
      </c>
      <c r="B186" s="501"/>
      <c r="C186" s="500" t="str">
        <f t="shared" ca="1" si="22"/>
        <v>a1H3p000002KtEcEAK</v>
      </c>
      <c r="D186" s="487"/>
      <c r="E186" s="487">
        <f t="shared" ca="1" si="29"/>
        <v>3</v>
      </c>
      <c r="F186" s="502">
        <f ca="1">IFERROR(IF(COUNTA($D$37:$D186)=1,"",OFFSET($F184,-COUNTA($D$37:$D186)+3,0)),"")</f>
        <v>10</v>
      </c>
      <c r="G186" s="487"/>
      <c r="H186" s="487">
        <f t="shared" ca="1" si="30"/>
        <v>27</v>
      </c>
      <c r="I186" s="503" t="str">
        <f t="shared" ca="1" si="23"/>
        <v/>
      </c>
      <c r="J186" s="503" t="str">
        <f t="shared" ca="1" si="24"/>
        <v/>
      </c>
      <c r="K186" s="490" t="str">
        <f t="shared" ca="1" si="25"/>
        <v/>
      </c>
      <c r="L186" s="493">
        <f ca="1">IFERROR(CHOOSE(E186,'Impact Indicators - Section B '!$K$7,'Impact Indicators - Section B '!$O$7,'Impact Indicators - Section B '!$S$7,'Impact Indicators - Section B '!$W$7),"")</f>
        <v>2023</v>
      </c>
      <c r="M186" s="504" t="str">
        <f t="shared" ca="1" si="26"/>
        <v/>
      </c>
      <c r="N186" s="493" t="str">
        <f t="shared" ca="1" si="27"/>
        <v/>
      </c>
      <c r="O186" s="487" t="str">
        <f ca="1">IFERROR(IF(COUNTA($D$37:$D186)=1,"",OFFSET($C184,-COUNTA($D$37:$D186)+3,0)),"")</f>
        <v>a1H3p000002KtEcEAK</v>
      </c>
      <c r="P186" s="487">
        <f t="shared" si="31"/>
        <v>0</v>
      </c>
      <c r="Q186" s="487"/>
      <c r="R186" s="487"/>
      <c r="S186" s="487"/>
      <c r="T186" s="487" t="b">
        <f t="shared" ca="1" si="28"/>
        <v>0</v>
      </c>
    </row>
    <row r="187" spans="1:20" x14ac:dyDescent="0.3">
      <c r="A187" s="487" t="b">
        <f t="shared" ca="1" si="21"/>
        <v>0</v>
      </c>
      <c r="B187" s="501"/>
      <c r="C187" s="500" t="str">
        <f t="shared" ca="1" si="22"/>
        <v>a1H3p000002KtErEAK</v>
      </c>
      <c r="D187" s="487"/>
      <c r="E187" s="487">
        <f t="shared" ca="1" si="29"/>
        <v>4</v>
      </c>
      <c r="F187" s="502">
        <f ca="1">IFERROR(IF(COUNTA($D$37:$D187)=1,"",OFFSET($F185,-COUNTA($D$37:$D187)+3,0)),"")</f>
        <v>10</v>
      </c>
      <c r="G187" s="487"/>
      <c r="H187" s="487">
        <f t="shared" ca="1" si="30"/>
        <v>27</v>
      </c>
      <c r="I187" s="503" t="str">
        <f t="shared" ca="1" si="23"/>
        <v/>
      </c>
      <c r="J187" s="503" t="str">
        <f t="shared" ca="1" si="24"/>
        <v/>
      </c>
      <c r="K187" s="490" t="str">
        <f t="shared" ca="1" si="25"/>
        <v/>
      </c>
      <c r="L187" s="493" t="str">
        <f ca="1">IFERROR(CHOOSE(E187,'Impact Indicators - Section B '!$K$7,'Impact Indicators - Section B '!$O$7,'Impact Indicators - Section B '!$S$7,'Impact Indicators - Section B '!$W$7),"")</f>
        <v/>
      </c>
      <c r="M187" s="504" t="str">
        <f t="shared" ca="1" si="26"/>
        <v/>
      </c>
      <c r="N187" s="493" t="str">
        <f t="shared" ca="1" si="27"/>
        <v/>
      </c>
      <c r="O187" s="487" t="str">
        <f ca="1">IFERROR(IF(COUNTA($D$37:$D187)=1,"",OFFSET($C185,-COUNTA($D$37:$D187)+3,0)),"")</f>
        <v>a1H3p000002KtErEAK</v>
      </c>
      <c r="P187" s="487">
        <f t="shared" si="31"/>
        <v>0</v>
      </c>
      <c r="Q187" s="487"/>
      <c r="R187" s="487"/>
      <c r="S187" s="487"/>
      <c r="T187" s="487" t="b">
        <f t="shared" ca="1" si="28"/>
        <v>0</v>
      </c>
    </row>
    <row r="188" spans="1:20" x14ac:dyDescent="0.3">
      <c r="A188" s="487" t="b">
        <f t="shared" ca="1" si="21"/>
        <v>0</v>
      </c>
      <c r="B188" s="501"/>
      <c r="C188" s="500" t="str">
        <f t="shared" ca="1" si="22"/>
        <v>a1H3p000002KtF6EAK</v>
      </c>
      <c r="D188" s="487"/>
      <c r="E188" s="487">
        <f t="shared" ca="1" si="29"/>
        <v>5</v>
      </c>
      <c r="F188" s="502">
        <f ca="1">IFERROR(IF(COUNTA($D$37:$D188)=1,"",OFFSET($F186,-COUNTA($D$37:$D188)+3,0)),"")</f>
        <v>10</v>
      </c>
      <c r="G188" s="487"/>
      <c r="H188" s="487">
        <f t="shared" ca="1" si="30"/>
        <v>27</v>
      </c>
      <c r="I188" s="503">
        <f t="shared" ca="1" si="23"/>
        <v>0</v>
      </c>
      <c r="J188" s="503">
        <f t="shared" ca="1" si="24"/>
        <v>0</v>
      </c>
      <c r="K188" s="490">
        <f t="shared" ca="1" si="25"/>
        <v>0</v>
      </c>
      <c r="L188" s="493" t="str">
        <f ca="1">IFERROR(CHOOSE(E188,'Impact Indicators - Section B '!$K$7,'Impact Indicators - Section B '!$O$7,'Impact Indicators - Section B '!$S$7,'Impact Indicators - Section B '!$W$7),"")</f>
        <v/>
      </c>
      <c r="M188" s="504">
        <f t="shared" ca="1" si="26"/>
        <v>0</v>
      </c>
      <c r="N188" s="493" t="str">
        <f t="shared" ca="1" si="27"/>
        <v/>
      </c>
      <c r="O188" s="487" t="str">
        <f ca="1">IFERROR(IF(COUNTA($D$37:$D188)=1,"",OFFSET($C186,-COUNTA($D$37:$D188)+3,0)),"")</f>
        <v>a1H3p000002KtF6EAK</v>
      </c>
      <c r="P188" s="487">
        <f t="shared" si="31"/>
        <v>0</v>
      </c>
      <c r="Q188" s="487"/>
      <c r="R188" s="487"/>
      <c r="S188" s="487"/>
      <c r="T188" s="487" t="b">
        <f t="shared" ca="1" si="28"/>
        <v>0</v>
      </c>
    </row>
    <row r="189" spans="1:20" x14ac:dyDescent="0.3">
      <c r="A189" s="487" t="b">
        <f t="shared" ca="1" si="21"/>
        <v>0</v>
      </c>
      <c r="B189" s="501"/>
      <c r="C189" s="500" t="str">
        <f t="shared" ca="1" si="22"/>
        <v>a1H3p000002KtFLEA0</v>
      </c>
      <c r="D189" s="487"/>
      <c r="E189" s="487">
        <f t="shared" ca="1" si="29"/>
        <v>6</v>
      </c>
      <c r="F189" s="502">
        <f ca="1">IFERROR(IF(COUNTA($D$37:$D189)=1,"",OFFSET($F187,-COUNTA($D$37:$D189)+3,0)),"")</f>
        <v>10</v>
      </c>
      <c r="G189" s="487"/>
      <c r="H189" s="487">
        <f t="shared" ca="1" si="30"/>
        <v>27</v>
      </c>
      <c r="I189" s="503" t="str">
        <f t="shared" ca="1" si="23"/>
        <v/>
      </c>
      <c r="J189" s="503" t="str">
        <f t="shared" ca="1" si="24"/>
        <v/>
      </c>
      <c r="K189" s="490" t="str">
        <f t="shared" ca="1" si="25"/>
        <v/>
      </c>
      <c r="L189" s="493" t="str">
        <f ca="1">IFERROR(CHOOSE(E189,'Impact Indicators - Section B '!$K$7,'Impact Indicators - Section B '!$O$7,'Impact Indicators - Section B '!$S$7,'Impact Indicators - Section B '!$W$7),"")</f>
        <v/>
      </c>
      <c r="M189" s="504" t="str">
        <f t="shared" ca="1" si="26"/>
        <v/>
      </c>
      <c r="N189" s="493" t="str">
        <f t="shared" ca="1" si="27"/>
        <v/>
      </c>
      <c r="O189" s="487" t="str">
        <f ca="1">IFERROR(IF(COUNTA($D$37:$D189)=1,"",OFFSET($C187,-COUNTA($D$37:$D189)+3,0)),"")</f>
        <v>a1H3p000002KtFLEA0</v>
      </c>
      <c r="P189" s="487">
        <f t="shared" si="31"/>
        <v>0</v>
      </c>
      <c r="Q189" s="487"/>
      <c r="R189" s="487"/>
      <c r="S189" s="487"/>
      <c r="T189" s="487" t="b">
        <f t="shared" ca="1" si="28"/>
        <v>0</v>
      </c>
    </row>
    <row r="190" spans="1:20" x14ac:dyDescent="0.3">
      <c r="A190" s="487" t="b">
        <f t="shared" ca="1" si="21"/>
        <v>0</v>
      </c>
      <c r="B190" s="501"/>
      <c r="C190" s="500" t="str">
        <f t="shared" ca="1" si="22"/>
        <v>a1H3p000002KtE9EAK</v>
      </c>
      <c r="D190" s="487"/>
      <c r="E190" s="487">
        <f t="shared" ca="1" si="29"/>
        <v>1</v>
      </c>
      <c r="F190" s="502">
        <f ca="1">IFERROR(IF(COUNTA($D$37:$D190)=1,"",OFFSET($F188,-COUNTA($D$37:$D190)+3,0)),"")</f>
        <v>11</v>
      </c>
      <c r="G190" s="487"/>
      <c r="H190" s="487">
        <f t="shared" ca="1" si="30"/>
        <v>29</v>
      </c>
      <c r="I190" s="503" t="str">
        <f t="shared" ca="1" si="23"/>
        <v/>
      </c>
      <c r="J190" s="503" t="str">
        <f t="shared" ca="1" si="24"/>
        <v/>
      </c>
      <c r="K190" s="490" t="str">
        <f t="shared" ca="1" si="25"/>
        <v/>
      </c>
      <c r="L190" s="493">
        <f ca="1">IFERROR(CHOOSE(E190,'Impact Indicators - Section B '!$K$7,'Impact Indicators - Section B '!$O$7,'Impact Indicators - Section B '!$S$7,'Impact Indicators - Section B '!$W$7),"")</f>
        <v>2021</v>
      </c>
      <c r="M190" s="504" t="str">
        <f t="shared" ca="1" si="26"/>
        <v/>
      </c>
      <c r="N190" s="493" t="str">
        <f t="shared" ca="1" si="27"/>
        <v/>
      </c>
      <c r="O190" s="487" t="str">
        <f ca="1">IFERROR(IF(COUNTA($D$37:$D190)=1,"",OFFSET($C188,-COUNTA($D$37:$D190)+3,0)),"")</f>
        <v>a1H3p000002KtE9EAK</v>
      </c>
      <c r="P190" s="487">
        <f t="shared" si="31"/>
        <v>0</v>
      </c>
      <c r="Q190" s="487"/>
      <c r="R190" s="487"/>
      <c r="S190" s="487"/>
      <c r="T190" s="487" t="b">
        <f t="shared" ca="1" si="28"/>
        <v>0</v>
      </c>
    </row>
    <row r="191" spans="1:20" x14ac:dyDescent="0.3">
      <c r="A191" s="487" t="b">
        <f t="shared" ca="1" si="21"/>
        <v>0</v>
      </c>
      <c r="B191" s="501"/>
      <c r="C191" s="500" t="str">
        <f t="shared" ca="1" si="22"/>
        <v>a1H3p000002KtEOEA0</v>
      </c>
      <c r="D191" s="487"/>
      <c r="E191" s="487">
        <f t="shared" ca="1" si="29"/>
        <v>2</v>
      </c>
      <c r="F191" s="502">
        <f ca="1">IFERROR(IF(COUNTA($D$37:$D191)=1,"",OFFSET($F189,-COUNTA($D$37:$D191)+3,0)),"")</f>
        <v>11</v>
      </c>
      <c r="G191" s="487"/>
      <c r="H191" s="487">
        <f t="shared" ca="1" si="30"/>
        <v>29</v>
      </c>
      <c r="I191" s="503" t="str">
        <f t="shared" ca="1" si="23"/>
        <v/>
      </c>
      <c r="J191" s="503" t="str">
        <f t="shared" ca="1" si="24"/>
        <v/>
      </c>
      <c r="K191" s="490" t="str">
        <f t="shared" ca="1" si="25"/>
        <v/>
      </c>
      <c r="L191" s="493">
        <f ca="1">IFERROR(CHOOSE(E191,'Impact Indicators - Section B '!$K$7,'Impact Indicators - Section B '!$O$7,'Impact Indicators - Section B '!$S$7,'Impact Indicators - Section B '!$W$7),"")</f>
        <v>2022</v>
      </c>
      <c r="M191" s="504" t="str">
        <f t="shared" ca="1" si="26"/>
        <v/>
      </c>
      <c r="N191" s="493" t="str">
        <f t="shared" ca="1" si="27"/>
        <v/>
      </c>
      <c r="O191" s="487" t="str">
        <f ca="1">IFERROR(IF(COUNTA($D$37:$D191)=1,"",OFFSET($C189,-COUNTA($D$37:$D191)+3,0)),"")</f>
        <v>a1H3p000002KtEOEA0</v>
      </c>
      <c r="P191" s="487">
        <f t="shared" si="31"/>
        <v>0</v>
      </c>
      <c r="Q191" s="487"/>
      <c r="R191" s="487"/>
      <c r="S191" s="487"/>
      <c r="T191" s="487" t="b">
        <f t="shared" ca="1" si="28"/>
        <v>0</v>
      </c>
    </row>
    <row r="192" spans="1:20" x14ac:dyDescent="0.3">
      <c r="A192" s="487" t="b">
        <f t="shared" ca="1" si="21"/>
        <v>0</v>
      </c>
      <c r="B192" s="501"/>
      <c r="C192" s="500" t="str">
        <f t="shared" ca="1" si="22"/>
        <v>a1H3p000002KtEdEAK</v>
      </c>
      <c r="D192" s="487"/>
      <c r="E192" s="487">
        <f t="shared" ca="1" si="29"/>
        <v>3</v>
      </c>
      <c r="F192" s="502">
        <f ca="1">IFERROR(IF(COUNTA($D$37:$D192)=1,"",OFFSET($F190,-COUNTA($D$37:$D192)+3,0)),"")</f>
        <v>11</v>
      </c>
      <c r="G192" s="487"/>
      <c r="H192" s="487">
        <f t="shared" ca="1" si="30"/>
        <v>29</v>
      </c>
      <c r="I192" s="503" t="str">
        <f t="shared" ca="1" si="23"/>
        <v/>
      </c>
      <c r="J192" s="503" t="str">
        <f t="shared" ca="1" si="24"/>
        <v/>
      </c>
      <c r="K192" s="490" t="str">
        <f t="shared" ca="1" si="25"/>
        <v/>
      </c>
      <c r="L192" s="493">
        <f ca="1">IFERROR(CHOOSE(E192,'Impact Indicators - Section B '!$K$7,'Impact Indicators - Section B '!$O$7,'Impact Indicators - Section B '!$S$7,'Impact Indicators - Section B '!$W$7),"")</f>
        <v>2023</v>
      </c>
      <c r="M192" s="504" t="str">
        <f t="shared" ca="1" si="26"/>
        <v/>
      </c>
      <c r="N192" s="493" t="str">
        <f t="shared" ca="1" si="27"/>
        <v/>
      </c>
      <c r="O192" s="487" t="str">
        <f ca="1">IFERROR(IF(COUNTA($D$37:$D192)=1,"",OFFSET($C190,-COUNTA($D$37:$D192)+3,0)),"")</f>
        <v>a1H3p000002KtEdEAK</v>
      </c>
      <c r="P192" s="487">
        <f t="shared" si="31"/>
        <v>0</v>
      </c>
      <c r="Q192" s="487"/>
      <c r="R192" s="487"/>
      <c r="S192" s="487"/>
      <c r="T192" s="487" t="b">
        <f t="shared" ca="1" si="28"/>
        <v>0</v>
      </c>
    </row>
    <row r="193" spans="1:20" x14ac:dyDescent="0.3">
      <c r="A193" s="487" t="b">
        <f t="shared" ca="1" si="21"/>
        <v>0</v>
      </c>
      <c r="B193" s="501"/>
      <c r="C193" s="500" t="str">
        <f t="shared" ca="1" si="22"/>
        <v>a1H3p000002KtEsEAK</v>
      </c>
      <c r="D193" s="487"/>
      <c r="E193" s="487">
        <f t="shared" ca="1" si="29"/>
        <v>4</v>
      </c>
      <c r="F193" s="502">
        <f ca="1">IFERROR(IF(COUNTA($D$37:$D193)=1,"",OFFSET($F191,-COUNTA($D$37:$D193)+3,0)),"")</f>
        <v>11</v>
      </c>
      <c r="G193" s="487"/>
      <c r="H193" s="487">
        <f t="shared" ca="1" si="30"/>
        <v>29</v>
      </c>
      <c r="I193" s="503" t="str">
        <f t="shared" ca="1" si="23"/>
        <v/>
      </c>
      <c r="J193" s="503" t="str">
        <f t="shared" ca="1" si="24"/>
        <v/>
      </c>
      <c r="K193" s="490" t="str">
        <f t="shared" ca="1" si="25"/>
        <v/>
      </c>
      <c r="L193" s="493" t="str">
        <f ca="1">IFERROR(CHOOSE(E193,'Impact Indicators - Section B '!$K$7,'Impact Indicators - Section B '!$O$7,'Impact Indicators - Section B '!$S$7,'Impact Indicators - Section B '!$W$7),"")</f>
        <v/>
      </c>
      <c r="M193" s="504" t="str">
        <f t="shared" ca="1" si="26"/>
        <v/>
      </c>
      <c r="N193" s="493" t="str">
        <f t="shared" ca="1" si="27"/>
        <v/>
      </c>
      <c r="O193" s="487" t="str">
        <f ca="1">IFERROR(IF(COUNTA($D$37:$D193)=1,"",OFFSET($C191,-COUNTA($D$37:$D193)+3,0)),"")</f>
        <v>a1H3p000002KtEsEAK</v>
      </c>
      <c r="P193" s="487">
        <f t="shared" si="31"/>
        <v>0</v>
      </c>
      <c r="Q193" s="487"/>
      <c r="R193" s="487"/>
      <c r="S193" s="487"/>
      <c r="T193" s="487" t="b">
        <f t="shared" ca="1" si="28"/>
        <v>0</v>
      </c>
    </row>
    <row r="194" spans="1:20" x14ac:dyDescent="0.3">
      <c r="A194" s="487" t="b">
        <f t="shared" ref="A194:A219" ca="1" si="32">IF(AND(OR(I194&lt;&gt;"",J194&lt;&gt;"",K194&lt;&gt;""),L194&lt;&gt;""),TRUE,FALSE)</f>
        <v>0</v>
      </c>
      <c r="B194" s="501"/>
      <c r="C194" s="500" t="str">
        <f t="shared" ref="C194:C219" ca="1" si="33">O194</f>
        <v>a1H3p000002KtF7EAK</v>
      </c>
      <c r="D194" s="487"/>
      <c r="E194" s="487">
        <f t="shared" ca="1" si="29"/>
        <v>5</v>
      </c>
      <c r="F194" s="502">
        <f ca="1">IFERROR(IF(COUNTA($D$37:$D194)=1,"",OFFSET($F192,-COUNTA($D$37:$D194)+3,0)),"")</f>
        <v>11</v>
      </c>
      <c r="G194" s="487"/>
      <c r="H194" s="487">
        <f t="shared" ca="1" si="30"/>
        <v>29</v>
      </c>
      <c r="I194" s="503">
        <f t="shared" ref="I194:I219" ca="1" si="34">IFERROR(CHOOSE(E194,IFERROR(IF(INDIRECT("'Impact Indicators - Section B '!K"&amp;H194+1)=0,"",INDIRECT("'Impact Indicators - Section B '!K"&amp;H194+1)),""),IFERROR(IF(INDIRECT("'Impact Indicators - Section B '!O"&amp;H194+1)=0,"",INDIRECT("'Impact Indicators - Section B '!O"&amp;H194+1)),""),IFERROR(IF(INDIRECT("'Impact Indicators - Section B '!S"&amp;H194+1)=0,"",INDIRECT("'Impact Indicators - Section B '!S"&amp;H194+1)),""),IFERROR(IF(INDIRECT("'Impact Indicators - Section B '!W"&amp;H194+1)=0,"",INDIRECT("'Impact Indicators - Section B '!W"&amp;H194+1)),""),),"")</f>
        <v>0</v>
      </c>
      <c r="J194" s="503">
        <f t="shared" ref="J194:J219" ca="1" si="35">IFERROR(CHOOSE(E194,IFERROR(IF(INDIRECT("'Impact Indicators - Section B '!K"&amp;H194)=0,"",INDIRECT("'Impact Indicators - Section B '!K"&amp;H194)),""),IFERROR(IF(INDIRECT("'Impact Indicators - Section B '!O"&amp;H194)=0,"",INDIRECT("'Impact Indicators - Section B '!O"&amp;H194)),""),IFERROR(IF(INDIRECT("'Impact Indicators - Section B '!S"&amp;H194)=0,"",INDIRECT("'Impact Indicators - Section B '!S"&amp;H194)),""),IFERROR(IF(INDIRECT("'Impact Indicators - Section B '!W"&amp;H194)=0,"",INDIRECT("'Impact Indicators - Section B '!W"&amp;H194)),""),),"")</f>
        <v>0</v>
      </c>
      <c r="K194" s="490">
        <f t="shared" ref="K194:K219" ca="1" si="36">IFERROR(CHOOSE(E194,IFERROR(IF(INDIRECT("'Impact Indicators - Section B '!L"&amp;H194)=0,"",INDIRECT("'Impact Indicators - Section B '!L"&amp;H194)*100),""),IFERROR(IF(INDIRECT("'Impact Indicators - Section B '!P"&amp;H194)=0,"",INDIRECT("'Impact Indicators - Section B '!P"&amp;H194)*100),""),IFERROR(IF(INDIRECT("'Impact Indicators - Section B '!T"&amp;H194)=0,"",INDIRECT("'Impact Indicators - Section B '!T"&amp;H194)*100),""),IFERROR(IF(INDIRECT("'Impact Indicators - Section B '!X"&amp;H194)=0,"",INDIRECT("'Impact Indicators - Section B '!X"&amp;H194)*100),""),),"")</f>
        <v>0</v>
      </c>
      <c r="L194" s="493" t="str">
        <f ca="1">IFERROR(CHOOSE(E194,'Impact Indicators - Section B '!$K$7,'Impact Indicators - Section B '!$O$7,'Impact Indicators - Section B '!$S$7,'Impact Indicators - Section B '!$W$7),"")</f>
        <v/>
      </c>
      <c r="M194" s="504">
        <f t="shared" ref="M194:M219" ca="1" si="37">IFERROR(CHOOSE(E194,IFERROR(IF(INDIRECT("'Impact Indicators - Section B '!M"&amp;H194)=0,"",INDIRECT("'Impact Indicators - Section B '!M"&amp;H194)),""),IFERROR(IF(INDIRECT("'Impact Indicators - Section B '!Q"&amp;H194)=0,"",INDIRECT("'Impact Indicators - Section B '!Q"&amp;H194)),""),IFERROR(IF(INDIRECT("'Impact Indicators - Section B '!U"&amp;H194)=0,"",INDIRECT("'Impact Indicators - Section B '!U"&amp;H194)),""),IFERROR(IF(INDIRECT("'Impact Indicators - Section B '!Y"&amp;H194)=0,"",INDIRECT("'Impact Indicators - Section B '!Y"&amp;H194)),""),),"")</f>
        <v>0</v>
      </c>
      <c r="N194" s="493" t="str">
        <f t="shared" ref="N194:N219" ca="1" si="38">IFERROR(CHOOSE(E194,IFERROR(IF(INDIRECT("'Impact Indicators - Section B '!N"&amp;H194)=0,"",INDIRECT("'Impact Indicators - Section B '!N"&amp;H194)),""),IFERROR(IF(INDIRECT("'Impact Indicators - Section B '!R"&amp;H194)=0,"",INDIRECT("'Impact Indicators - Section B '!R"&amp;H194)),""),IFERROR(IF(INDIRECT("'Impact Indicators - Section B '!V"&amp;H194)=0,"",INDIRECT("'Impact Indicators - Section B '!V"&amp;H194)),""),IFERROR(IF(INDIRECT("'Impact Indicators - Section B '!Z"&amp;H194)=0,"",INDIRECT("'Impact Indicators - Section B '!Z"&amp;H194)),"")),"")</f>
        <v/>
      </c>
      <c r="O194" s="487" t="str">
        <f ca="1">IFERROR(IF(COUNTA($D$37:$D194)=1,"",OFFSET($C192,-COUNTA($D$37:$D194)+3,0)),"")</f>
        <v>a1H3p000002KtF7EAK</v>
      </c>
      <c r="P194" s="487">
        <f t="shared" si="31"/>
        <v>0</v>
      </c>
      <c r="Q194" s="487"/>
      <c r="R194" s="487"/>
      <c r="S194" s="487"/>
      <c r="T194" s="487" t="b">
        <f t="shared" ref="T194:T219" ca="1" si="39">IF(A194=TRUE,TRUE,FALSE)</f>
        <v>0</v>
      </c>
    </row>
    <row r="195" spans="1:20" x14ac:dyDescent="0.3">
      <c r="A195" s="487" t="b">
        <f t="shared" ca="1" si="32"/>
        <v>0</v>
      </c>
      <c r="B195" s="501"/>
      <c r="C195" s="500" t="str">
        <f t="shared" ca="1" si="33"/>
        <v>a1H3p000002KtFMEA0</v>
      </c>
      <c r="D195" s="487"/>
      <c r="E195" s="487">
        <f t="shared" ca="1" si="29"/>
        <v>6</v>
      </c>
      <c r="F195" s="502">
        <f ca="1">IFERROR(IF(COUNTA($D$37:$D195)=1,"",OFFSET($F193,-COUNTA($D$37:$D195)+3,0)),"")</f>
        <v>11</v>
      </c>
      <c r="G195" s="487"/>
      <c r="H195" s="487">
        <f t="shared" ca="1" si="30"/>
        <v>29</v>
      </c>
      <c r="I195" s="503" t="str">
        <f t="shared" ca="1" si="34"/>
        <v/>
      </c>
      <c r="J195" s="503" t="str">
        <f t="shared" ca="1" si="35"/>
        <v/>
      </c>
      <c r="K195" s="490" t="str">
        <f t="shared" ca="1" si="36"/>
        <v/>
      </c>
      <c r="L195" s="493" t="str">
        <f ca="1">IFERROR(CHOOSE(E195,'Impact Indicators - Section B '!$K$7,'Impact Indicators - Section B '!$O$7,'Impact Indicators - Section B '!$S$7,'Impact Indicators - Section B '!$W$7),"")</f>
        <v/>
      </c>
      <c r="M195" s="504" t="str">
        <f t="shared" ca="1" si="37"/>
        <v/>
      </c>
      <c r="N195" s="493" t="str">
        <f t="shared" ca="1" si="38"/>
        <v/>
      </c>
      <c r="O195" s="487" t="str">
        <f ca="1">IFERROR(IF(COUNTA($D$37:$D195)=1,"",OFFSET($C193,-COUNTA($D$37:$D195)+3,0)),"")</f>
        <v>a1H3p000002KtFMEA0</v>
      </c>
      <c r="P195" s="487">
        <f t="shared" si="31"/>
        <v>0</v>
      </c>
      <c r="Q195" s="487"/>
      <c r="R195" s="487"/>
      <c r="S195" s="487"/>
      <c r="T195" s="487" t="b">
        <f t="shared" ca="1" si="39"/>
        <v>0</v>
      </c>
    </row>
    <row r="196" spans="1:20" x14ac:dyDescent="0.3">
      <c r="A196" s="487" t="b">
        <f t="shared" ca="1" si="32"/>
        <v>0</v>
      </c>
      <c r="B196" s="501"/>
      <c r="C196" s="500" t="str">
        <f t="shared" ca="1" si="33"/>
        <v>a1H3p000002KtEAEA0</v>
      </c>
      <c r="D196" s="487"/>
      <c r="E196" s="487">
        <f t="shared" ca="1" si="29"/>
        <v>1</v>
      </c>
      <c r="F196" s="502">
        <f ca="1">IFERROR(IF(COUNTA($D$37:$D196)=1,"",OFFSET($F194,-COUNTA($D$37:$D196)+3,0)),"")</f>
        <v>12</v>
      </c>
      <c r="G196" s="487"/>
      <c r="H196" s="487">
        <f t="shared" ca="1" si="30"/>
        <v>31</v>
      </c>
      <c r="I196" s="503" t="str">
        <f t="shared" ca="1" si="34"/>
        <v/>
      </c>
      <c r="J196" s="503" t="str">
        <f t="shared" ca="1" si="35"/>
        <v/>
      </c>
      <c r="K196" s="490" t="str">
        <f t="shared" ca="1" si="36"/>
        <v/>
      </c>
      <c r="L196" s="493">
        <f ca="1">IFERROR(CHOOSE(E196,'Impact Indicators - Section B '!$K$7,'Impact Indicators - Section B '!$O$7,'Impact Indicators - Section B '!$S$7,'Impact Indicators - Section B '!$W$7),"")</f>
        <v>2021</v>
      </c>
      <c r="M196" s="504" t="str">
        <f t="shared" ca="1" si="37"/>
        <v/>
      </c>
      <c r="N196" s="493" t="str">
        <f t="shared" ca="1" si="38"/>
        <v/>
      </c>
      <c r="O196" s="487" t="str">
        <f ca="1">IFERROR(IF(COUNTA($D$37:$D196)=1,"",OFFSET($C194,-COUNTA($D$37:$D196)+3,0)),"")</f>
        <v>a1H3p000002KtEAEA0</v>
      </c>
      <c r="P196" s="487">
        <f t="shared" si="31"/>
        <v>0</v>
      </c>
      <c r="Q196" s="487"/>
      <c r="R196" s="487"/>
      <c r="S196" s="487"/>
      <c r="T196" s="487" t="b">
        <f t="shared" ca="1" si="39"/>
        <v>0</v>
      </c>
    </row>
    <row r="197" spans="1:20" x14ac:dyDescent="0.3">
      <c r="A197" s="487" t="b">
        <f t="shared" ca="1" si="32"/>
        <v>0</v>
      </c>
      <c r="B197" s="501"/>
      <c r="C197" s="500" t="str">
        <f t="shared" ca="1" si="33"/>
        <v>a1H3p000002KtEPEA0</v>
      </c>
      <c r="D197" s="487"/>
      <c r="E197" s="487">
        <f t="shared" ca="1" si="29"/>
        <v>2</v>
      </c>
      <c r="F197" s="502">
        <f ca="1">IFERROR(IF(COUNTA($D$37:$D197)=1,"",OFFSET($F195,-COUNTA($D$37:$D197)+3,0)),"")</f>
        <v>12</v>
      </c>
      <c r="G197" s="487"/>
      <c r="H197" s="487">
        <f t="shared" ca="1" si="30"/>
        <v>31</v>
      </c>
      <c r="I197" s="503" t="str">
        <f t="shared" ca="1" si="34"/>
        <v/>
      </c>
      <c r="J197" s="503" t="str">
        <f t="shared" ca="1" si="35"/>
        <v/>
      </c>
      <c r="K197" s="490" t="str">
        <f t="shared" ca="1" si="36"/>
        <v/>
      </c>
      <c r="L197" s="493">
        <f ca="1">IFERROR(CHOOSE(E197,'Impact Indicators - Section B '!$K$7,'Impact Indicators - Section B '!$O$7,'Impact Indicators - Section B '!$S$7,'Impact Indicators - Section B '!$W$7),"")</f>
        <v>2022</v>
      </c>
      <c r="M197" s="504" t="str">
        <f t="shared" ca="1" si="37"/>
        <v/>
      </c>
      <c r="N197" s="493" t="str">
        <f t="shared" ca="1" si="38"/>
        <v/>
      </c>
      <c r="O197" s="487" t="str">
        <f ca="1">IFERROR(IF(COUNTA($D$37:$D197)=1,"",OFFSET($C195,-COUNTA($D$37:$D197)+3,0)),"")</f>
        <v>a1H3p000002KtEPEA0</v>
      </c>
      <c r="P197" s="487">
        <f t="shared" si="31"/>
        <v>0</v>
      </c>
      <c r="Q197" s="487"/>
      <c r="R197" s="487"/>
      <c r="S197" s="487"/>
      <c r="T197" s="487" t="b">
        <f t="shared" ca="1" si="39"/>
        <v>0</v>
      </c>
    </row>
    <row r="198" spans="1:20" x14ac:dyDescent="0.3">
      <c r="A198" s="487" t="b">
        <f t="shared" ca="1" si="32"/>
        <v>0</v>
      </c>
      <c r="B198" s="501"/>
      <c r="C198" s="500" t="str">
        <f t="shared" ca="1" si="33"/>
        <v>a1H3p000002KtEeEAK</v>
      </c>
      <c r="D198" s="487"/>
      <c r="E198" s="487">
        <f t="shared" ca="1" si="29"/>
        <v>3</v>
      </c>
      <c r="F198" s="502">
        <f ca="1">IFERROR(IF(COUNTA($D$37:$D198)=1,"",OFFSET($F196,-COUNTA($D$37:$D198)+3,0)),"")</f>
        <v>12</v>
      </c>
      <c r="G198" s="487"/>
      <c r="H198" s="487">
        <f t="shared" ca="1" si="30"/>
        <v>31</v>
      </c>
      <c r="I198" s="503" t="str">
        <f t="shared" ca="1" si="34"/>
        <v/>
      </c>
      <c r="J198" s="503" t="str">
        <f t="shared" ca="1" si="35"/>
        <v/>
      </c>
      <c r="K198" s="490" t="str">
        <f t="shared" ca="1" si="36"/>
        <v/>
      </c>
      <c r="L198" s="493">
        <f ca="1">IFERROR(CHOOSE(E198,'Impact Indicators - Section B '!$K$7,'Impact Indicators - Section B '!$O$7,'Impact Indicators - Section B '!$S$7,'Impact Indicators - Section B '!$W$7),"")</f>
        <v>2023</v>
      </c>
      <c r="M198" s="504" t="str">
        <f t="shared" ca="1" si="37"/>
        <v/>
      </c>
      <c r="N198" s="493" t="str">
        <f t="shared" ca="1" si="38"/>
        <v/>
      </c>
      <c r="O198" s="487" t="str">
        <f ca="1">IFERROR(IF(COUNTA($D$37:$D198)=1,"",OFFSET($C196,-COUNTA($D$37:$D198)+3,0)),"")</f>
        <v>a1H3p000002KtEeEAK</v>
      </c>
      <c r="P198" s="487">
        <f t="shared" si="31"/>
        <v>0</v>
      </c>
      <c r="Q198" s="487"/>
      <c r="R198" s="487"/>
      <c r="S198" s="487"/>
      <c r="T198" s="487" t="b">
        <f t="shared" ca="1" si="39"/>
        <v>0</v>
      </c>
    </row>
    <row r="199" spans="1:20" x14ac:dyDescent="0.3">
      <c r="A199" s="487" t="b">
        <f t="shared" ca="1" si="32"/>
        <v>0</v>
      </c>
      <c r="B199" s="501"/>
      <c r="C199" s="500" t="str">
        <f t="shared" ca="1" si="33"/>
        <v>a1H3p000002KtEtEAK</v>
      </c>
      <c r="D199" s="487"/>
      <c r="E199" s="487">
        <f t="shared" ca="1" si="29"/>
        <v>4</v>
      </c>
      <c r="F199" s="502">
        <f ca="1">IFERROR(IF(COUNTA($D$37:$D199)=1,"",OFFSET($F197,-COUNTA($D$37:$D199)+3,0)),"")</f>
        <v>12</v>
      </c>
      <c r="G199" s="487"/>
      <c r="H199" s="487">
        <f t="shared" ca="1" si="30"/>
        <v>31</v>
      </c>
      <c r="I199" s="503" t="str">
        <f t="shared" ca="1" si="34"/>
        <v/>
      </c>
      <c r="J199" s="503" t="str">
        <f t="shared" ca="1" si="35"/>
        <v/>
      </c>
      <c r="K199" s="490" t="str">
        <f t="shared" ca="1" si="36"/>
        <v/>
      </c>
      <c r="L199" s="493" t="str">
        <f ca="1">IFERROR(CHOOSE(E199,'Impact Indicators - Section B '!$K$7,'Impact Indicators - Section B '!$O$7,'Impact Indicators - Section B '!$S$7,'Impact Indicators - Section B '!$W$7),"")</f>
        <v/>
      </c>
      <c r="M199" s="504" t="str">
        <f t="shared" ca="1" si="37"/>
        <v/>
      </c>
      <c r="N199" s="493" t="str">
        <f t="shared" ca="1" si="38"/>
        <v/>
      </c>
      <c r="O199" s="487" t="str">
        <f ca="1">IFERROR(IF(COUNTA($D$37:$D199)=1,"",OFFSET($C197,-COUNTA($D$37:$D199)+3,0)),"")</f>
        <v>a1H3p000002KtEtEAK</v>
      </c>
      <c r="P199" s="487">
        <f t="shared" si="31"/>
        <v>0</v>
      </c>
      <c r="Q199" s="487"/>
      <c r="R199" s="487"/>
      <c r="S199" s="487"/>
      <c r="T199" s="487" t="b">
        <f t="shared" ca="1" si="39"/>
        <v>0</v>
      </c>
    </row>
    <row r="200" spans="1:20" x14ac:dyDescent="0.3">
      <c r="A200" s="487" t="b">
        <f t="shared" ca="1" si="32"/>
        <v>0</v>
      </c>
      <c r="B200" s="501"/>
      <c r="C200" s="500" t="str">
        <f t="shared" ca="1" si="33"/>
        <v>a1H3p000002KtF8EAK</v>
      </c>
      <c r="D200" s="487"/>
      <c r="E200" s="487">
        <f t="shared" ca="1" si="29"/>
        <v>5</v>
      </c>
      <c r="F200" s="502">
        <f ca="1">IFERROR(IF(COUNTA($D$37:$D200)=1,"",OFFSET($F198,-COUNTA($D$37:$D200)+3,0)),"")</f>
        <v>12</v>
      </c>
      <c r="G200" s="487"/>
      <c r="H200" s="487">
        <f t="shared" ca="1" si="30"/>
        <v>31</v>
      </c>
      <c r="I200" s="503">
        <f t="shared" ca="1" si="34"/>
        <v>0</v>
      </c>
      <c r="J200" s="503">
        <f t="shared" ca="1" si="35"/>
        <v>0</v>
      </c>
      <c r="K200" s="490">
        <f t="shared" ca="1" si="36"/>
        <v>0</v>
      </c>
      <c r="L200" s="493" t="str">
        <f ca="1">IFERROR(CHOOSE(E200,'Impact Indicators - Section B '!$K$7,'Impact Indicators - Section B '!$O$7,'Impact Indicators - Section B '!$S$7,'Impact Indicators - Section B '!$W$7),"")</f>
        <v/>
      </c>
      <c r="M200" s="504">
        <f t="shared" ca="1" si="37"/>
        <v>0</v>
      </c>
      <c r="N200" s="493" t="str">
        <f t="shared" ca="1" si="38"/>
        <v/>
      </c>
      <c r="O200" s="487" t="str">
        <f ca="1">IFERROR(IF(COUNTA($D$37:$D200)=1,"",OFFSET($C198,-COUNTA($D$37:$D200)+3,0)),"")</f>
        <v>a1H3p000002KtF8EAK</v>
      </c>
      <c r="P200" s="487">
        <f t="shared" si="31"/>
        <v>0</v>
      </c>
      <c r="Q200" s="487"/>
      <c r="R200" s="487"/>
      <c r="S200" s="487"/>
      <c r="T200" s="487" t="b">
        <f t="shared" ca="1" si="39"/>
        <v>0</v>
      </c>
    </row>
    <row r="201" spans="1:20" x14ac:dyDescent="0.3">
      <c r="A201" s="487" t="b">
        <f t="shared" ca="1" si="32"/>
        <v>0</v>
      </c>
      <c r="B201" s="501"/>
      <c r="C201" s="500" t="str">
        <f t="shared" ca="1" si="33"/>
        <v>a1H3p000002KtFNEA0</v>
      </c>
      <c r="D201" s="487"/>
      <c r="E201" s="487">
        <f t="shared" ca="1" si="29"/>
        <v>6</v>
      </c>
      <c r="F201" s="502">
        <f ca="1">IFERROR(IF(COUNTA($D$37:$D201)=1,"",OFFSET($F199,-COUNTA($D$37:$D201)+3,0)),"")</f>
        <v>12</v>
      </c>
      <c r="G201" s="487"/>
      <c r="H201" s="487">
        <f t="shared" ca="1" si="30"/>
        <v>31</v>
      </c>
      <c r="I201" s="503" t="str">
        <f t="shared" ca="1" si="34"/>
        <v/>
      </c>
      <c r="J201" s="503" t="str">
        <f t="shared" ca="1" si="35"/>
        <v/>
      </c>
      <c r="K201" s="490" t="str">
        <f t="shared" ca="1" si="36"/>
        <v/>
      </c>
      <c r="L201" s="493" t="str">
        <f ca="1">IFERROR(CHOOSE(E201,'Impact Indicators - Section B '!$K$7,'Impact Indicators - Section B '!$O$7,'Impact Indicators - Section B '!$S$7,'Impact Indicators - Section B '!$W$7),"")</f>
        <v/>
      </c>
      <c r="M201" s="504" t="str">
        <f t="shared" ca="1" si="37"/>
        <v/>
      </c>
      <c r="N201" s="493" t="str">
        <f t="shared" ca="1" si="38"/>
        <v/>
      </c>
      <c r="O201" s="487" t="str">
        <f ca="1">IFERROR(IF(COUNTA($D$37:$D201)=1,"",OFFSET($C199,-COUNTA($D$37:$D201)+3,0)),"")</f>
        <v>a1H3p000002KtFNEA0</v>
      </c>
      <c r="P201" s="487">
        <f t="shared" si="31"/>
        <v>0</v>
      </c>
      <c r="Q201" s="487"/>
      <c r="R201" s="487"/>
      <c r="S201" s="487"/>
      <c r="T201" s="487" t="b">
        <f t="shared" ca="1" si="39"/>
        <v>0</v>
      </c>
    </row>
    <row r="202" spans="1:20" x14ac:dyDescent="0.3">
      <c r="A202" s="487" t="b">
        <f t="shared" ca="1" si="32"/>
        <v>0</v>
      </c>
      <c r="B202" s="501"/>
      <c r="C202" s="500" t="str">
        <f t="shared" ca="1" si="33"/>
        <v>a1H3p000002KtEBEA0</v>
      </c>
      <c r="D202" s="487"/>
      <c r="E202" s="487">
        <f t="shared" ca="1" si="29"/>
        <v>1</v>
      </c>
      <c r="F202" s="502">
        <f ca="1">IFERROR(IF(COUNTA($D$37:$D202)=1,"",OFFSET($F200,-COUNTA($D$37:$D202)+3,0)),"")</f>
        <v>13</v>
      </c>
      <c r="G202" s="487"/>
      <c r="H202" s="487">
        <f t="shared" ca="1" si="30"/>
        <v>33</v>
      </c>
      <c r="I202" s="503" t="str">
        <f t="shared" ca="1" si="34"/>
        <v/>
      </c>
      <c r="J202" s="503" t="str">
        <f t="shared" ca="1" si="35"/>
        <v/>
      </c>
      <c r="K202" s="490" t="str">
        <f t="shared" ca="1" si="36"/>
        <v/>
      </c>
      <c r="L202" s="493">
        <f ca="1">IFERROR(CHOOSE(E202,'Impact Indicators - Section B '!$K$7,'Impact Indicators - Section B '!$O$7,'Impact Indicators - Section B '!$S$7,'Impact Indicators - Section B '!$W$7),"")</f>
        <v>2021</v>
      </c>
      <c r="M202" s="504" t="str">
        <f t="shared" ca="1" si="37"/>
        <v/>
      </c>
      <c r="N202" s="493" t="str">
        <f t="shared" ca="1" si="38"/>
        <v/>
      </c>
      <c r="O202" s="487" t="str">
        <f ca="1">IFERROR(IF(COUNTA($D$37:$D202)=1,"",OFFSET($C200,-COUNTA($D$37:$D202)+3,0)),"")</f>
        <v>a1H3p000002KtEBEA0</v>
      </c>
      <c r="P202" s="487">
        <f t="shared" si="31"/>
        <v>0</v>
      </c>
      <c r="Q202" s="487"/>
      <c r="R202" s="487"/>
      <c r="S202" s="487"/>
      <c r="T202" s="487" t="b">
        <f t="shared" ca="1" si="39"/>
        <v>0</v>
      </c>
    </row>
    <row r="203" spans="1:20" x14ac:dyDescent="0.3">
      <c r="A203" s="487" t="b">
        <f t="shared" ca="1" si="32"/>
        <v>0</v>
      </c>
      <c r="B203" s="501"/>
      <c r="C203" s="500" t="str">
        <f t="shared" ca="1" si="33"/>
        <v>a1H3p000002KtEQEA0</v>
      </c>
      <c r="D203" s="487"/>
      <c r="E203" s="487">
        <f t="shared" ca="1" si="29"/>
        <v>2</v>
      </c>
      <c r="F203" s="502">
        <f ca="1">IFERROR(IF(COUNTA($D$37:$D203)=1,"",OFFSET($F201,-COUNTA($D$37:$D203)+3,0)),"")</f>
        <v>13</v>
      </c>
      <c r="G203" s="487"/>
      <c r="H203" s="487">
        <f t="shared" ca="1" si="30"/>
        <v>33</v>
      </c>
      <c r="I203" s="503" t="str">
        <f t="shared" ca="1" si="34"/>
        <v/>
      </c>
      <c r="J203" s="503" t="str">
        <f t="shared" ca="1" si="35"/>
        <v/>
      </c>
      <c r="K203" s="490" t="str">
        <f t="shared" ca="1" si="36"/>
        <v/>
      </c>
      <c r="L203" s="493">
        <f ca="1">IFERROR(CHOOSE(E203,'Impact Indicators - Section B '!$K$7,'Impact Indicators - Section B '!$O$7,'Impact Indicators - Section B '!$S$7,'Impact Indicators - Section B '!$W$7),"")</f>
        <v>2022</v>
      </c>
      <c r="M203" s="504" t="str">
        <f t="shared" ca="1" si="37"/>
        <v/>
      </c>
      <c r="N203" s="493" t="str">
        <f t="shared" ca="1" si="38"/>
        <v/>
      </c>
      <c r="O203" s="487" t="str">
        <f ca="1">IFERROR(IF(COUNTA($D$37:$D203)=1,"",OFFSET($C201,-COUNTA($D$37:$D203)+3,0)),"")</f>
        <v>a1H3p000002KtEQEA0</v>
      </c>
      <c r="P203" s="487">
        <f t="shared" si="31"/>
        <v>0</v>
      </c>
      <c r="Q203" s="487"/>
      <c r="R203" s="487"/>
      <c r="S203" s="487"/>
      <c r="T203" s="487" t="b">
        <f t="shared" ca="1" si="39"/>
        <v>0</v>
      </c>
    </row>
    <row r="204" spans="1:20" x14ac:dyDescent="0.3">
      <c r="A204" s="487" t="b">
        <f t="shared" ca="1" si="32"/>
        <v>0</v>
      </c>
      <c r="B204" s="501"/>
      <c r="C204" s="500" t="str">
        <f t="shared" ca="1" si="33"/>
        <v>a1H3p000002KtEfEAK</v>
      </c>
      <c r="D204" s="487"/>
      <c r="E204" s="487">
        <f t="shared" ca="1" si="29"/>
        <v>3</v>
      </c>
      <c r="F204" s="502">
        <f ca="1">IFERROR(IF(COUNTA($D$37:$D204)=1,"",OFFSET($F202,-COUNTA($D$37:$D204)+3,0)),"")</f>
        <v>13</v>
      </c>
      <c r="G204" s="487"/>
      <c r="H204" s="487">
        <f t="shared" ca="1" si="30"/>
        <v>33</v>
      </c>
      <c r="I204" s="503" t="str">
        <f t="shared" ca="1" si="34"/>
        <v/>
      </c>
      <c r="J204" s="503" t="str">
        <f t="shared" ca="1" si="35"/>
        <v/>
      </c>
      <c r="K204" s="490" t="str">
        <f t="shared" ca="1" si="36"/>
        <v/>
      </c>
      <c r="L204" s="493">
        <f ca="1">IFERROR(CHOOSE(E204,'Impact Indicators - Section B '!$K$7,'Impact Indicators - Section B '!$O$7,'Impact Indicators - Section B '!$S$7,'Impact Indicators - Section B '!$W$7),"")</f>
        <v>2023</v>
      </c>
      <c r="M204" s="504" t="str">
        <f t="shared" ca="1" si="37"/>
        <v/>
      </c>
      <c r="N204" s="493" t="str">
        <f t="shared" ca="1" si="38"/>
        <v/>
      </c>
      <c r="O204" s="487" t="str">
        <f ca="1">IFERROR(IF(COUNTA($D$37:$D204)=1,"",OFFSET($C202,-COUNTA($D$37:$D204)+3,0)),"")</f>
        <v>a1H3p000002KtEfEAK</v>
      </c>
      <c r="P204" s="487">
        <f t="shared" si="31"/>
        <v>0</v>
      </c>
      <c r="Q204" s="487"/>
      <c r="R204" s="487"/>
      <c r="S204" s="487"/>
      <c r="T204" s="487" t="b">
        <f t="shared" ca="1" si="39"/>
        <v>0</v>
      </c>
    </row>
    <row r="205" spans="1:20" x14ac:dyDescent="0.3">
      <c r="A205" s="487" t="b">
        <f t="shared" ca="1" si="32"/>
        <v>0</v>
      </c>
      <c r="B205" s="501"/>
      <c r="C205" s="500" t="str">
        <f t="shared" ca="1" si="33"/>
        <v>a1H3p000002KtEuEAK</v>
      </c>
      <c r="D205" s="487"/>
      <c r="E205" s="487">
        <f t="shared" ca="1" si="29"/>
        <v>4</v>
      </c>
      <c r="F205" s="502">
        <f ca="1">IFERROR(IF(COUNTA($D$37:$D205)=1,"",OFFSET($F203,-COUNTA($D$37:$D205)+3,0)),"")</f>
        <v>13</v>
      </c>
      <c r="G205" s="487"/>
      <c r="H205" s="487">
        <f t="shared" ca="1" si="30"/>
        <v>33</v>
      </c>
      <c r="I205" s="503" t="str">
        <f t="shared" ca="1" si="34"/>
        <v/>
      </c>
      <c r="J205" s="503" t="str">
        <f t="shared" ca="1" si="35"/>
        <v/>
      </c>
      <c r="K205" s="490" t="str">
        <f t="shared" ca="1" si="36"/>
        <v/>
      </c>
      <c r="L205" s="493" t="str">
        <f ca="1">IFERROR(CHOOSE(E205,'Impact Indicators - Section B '!$K$7,'Impact Indicators - Section B '!$O$7,'Impact Indicators - Section B '!$S$7,'Impact Indicators - Section B '!$W$7),"")</f>
        <v/>
      </c>
      <c r="M205" s="504" t="str">
        <f t="shared" ca="1" si="37"/>
        <v/>
      </c>
      <c r="N205" s="493" t="str">
        <f t="shared" ca="1" si="38"/>
        <v/>
      </c>
      <c r="O205" s="487" t="str">
        <f ca="1">IFERROR(IF(COUNTA($D$37:$D205)=1,"",OFFSET($C203,-COUNTA($D$37:$D205)+3,0)),"")</f>
        <v>a1H3p000002KtEuEAK</v>
      </c>
      <c r="P205" s="487">
        <f t="shared" si="31"/>
        <v>0</v>
      </c>
      <c r="Q205" s="487"/>
      <c r="R205" s="487"/>
      <c r="S205" s="487"/>
      <c r="T205" s="487" t="b">
        <f t="shared" ca="1" si="39"/>
        <v>0</v>
      </c>
    </row>
    <row r="206" spans="1:20" x14ac:dyDescent="0.3">
      <c r="A206" s="487" t="b">
        <f t="shared" ca="1" si="32"/>
        <v>0</v>
      </c>
      <c r="B206" s="501"/>
      <c r="C206" s="500" t="str">
        <f t="shared" ca="1" si="33"/>
        <v>a1H3p000002KtF9EAK</v>
      </c>
      <c r="D206" s="487"/>
      <c r="E206" s="487">
        <f t="shared" ca="1" si="29"/>
        <v>5</v>
      </c>
      <c r="F206" s="502">
        <f ca="1">IFERROR(IF(COUNTA($D$37:$D206)=1,"",OFFSET($F204,-COUNTA($D$37:$D206)+3,0)),"")</f>
        <v>13</v>
      </c>
      <c r="G206" s="487"/>
      <c r="H206" s="487">
        <f t="shared" ca="1" si="30"/>
        <v>33</v>
      </c>
      <c r="I206" s="503">
        <f t="shared" ca="1" si="34"/>
        <v>0</v>
      </c>
      <c r="J206" s="503">
        <f t="shared" ca="1" si="35"/>
        <v>0</v>
      </c>
      <c r="K206" s="490">
        <f t="shared" ca="1" si="36"/>
        <v>0</v>
      </c>
      <c r="L206" s="493" t="str">
        <f ca="1">IFERROR(CHOOSE(E206,'Impact Indicators - Section B '!$K$7,'Impact Indicators - Section B '!$O$7,'Impact Indicators - Section B '!$S$7,'Impact Indicators - Section B '!$W$7),"")</f>
        <v/>
      </c>
      <c r="M206" s="504">
        <f t="shared" ca="1" si="37"/>
        <v>0</v>
      </c>
      <c r="N206" s="493" t="str">
        <f t="shared" ca="1" si="38"/>
        <v/>
      </c>
      <c r="O206" s="487" t="str">
        <f ca="1">IFERROR(IF(COUNTA($D$37:$D206)=1,"",OFFSET($C204,-COUNTA($D$37:$D206)+3,0)),"")</f>
        <v>a1H3p000002KtF9EAK</v>
      </c>
      <c r="P206" s="487">
        <f t="shared" si="31"/>
        <v>0</v>
      </c>
      <c r="Q206" s="487"/>
      <c r="R206" s="487"/>
      <c r="S206" s="487"/>
      <c r="T206" s="487" t="b">
        <f t="shared" ca="1" si="39"/>
        <v>0</v>
      </c>
    </row>
    <row r="207" spans="1:20" x14ac:dyDescent="0.3">
      <c r="A207" s="487" t="b">
        <f t="shared" ca="1" si="32"/>
        <v>0</v>
      </c>
      <c r="B207" s="501"/>
      <c r="C207" s="500" t="str">
        <f t="shared" ca="1" si="33"/>
        <v>a1H3p000002KtFOEA0</v>
      </c>
      <c r="D207" s="487"/>
      <c r="E207" s="487">
        <f t="shared" ca="1" si="29"/>
        <v>6</v>
      </c>
      <c r="F207" s="502">
        <f ca="1">IFERROR(IF(COUNTA($D$37:$D207)=1,"",OFFSET($F205,-COUNTA($D$37:$D207)+3,0)),"")</f>
        <v>13</v>
      </c>
      <c r="G207" s="487"/>
      <c r="H207" s="487">
        <f t="shared" ca="1" si="30"/>
        <v>33</v>
      </c>
      <c r="I207" s="503" t="str">
        <f t="shared" ca="1" si="34"/>
        <v/>
      </c>
      <c r="J207" s="503" t="str">
        <f t="shared" ca="1" si="35"/>
        <v/>
      </c>
      <c r="K207" s="490" t="str">
        <f t="shared" ca="1" si="36"/>
        <v/>
      </c>
      <c r="L207" s="493" t="str">
        <f ca="1">IFERROR(CHOOSE(E207,'Impact Indicators - Section B '!$K$7,'Impact Indicators - Section B '!$O$7,'Impact Indicators - Section B '!$S$7,'Impact Indicators - Section B '!$W$7),"")</f>
        <v/>
      </c>
      <c r="M207" s="504" t="str">
        <f t="shared" ca="1" si="37"/>
        <v/>
      </c>
      <c r="N207" s="493" t="str">
        <f t="shared" ca="1" si="38"/>
        <v/>
      </c>
      <c r="O207" s="487" t="str">
        <f ca="1">IFERROR(IF(COUNTA($D$37:$D207)=1,"",OFFSET($C205,-COUNTA($D$37:$D207)+3,0)),"")</f>
        <v>a1H3p000002KtFOEA0</v>
      </c>
      <c r="P207" s="487">
        <f t="shared" si="31"/>
        <v>0</v>
      </c>
      <c r="Q207" s="487"/>
      <c r="R207" s="487"/>
      <c r="S207" s="487"/>
      <c r="T207" s="487" t="b">
        <f t="shared" ca="1" si="39"/>
        <v>0</v>
      </c>
    </row>
    <row r="208" spans="1:20" x14ac:dyDescent="0.3">
      <c r="A208" s="487" t="b">
        <f t="shared" ca="1" si="32"/>
        <v>0</v>
      </c>
      <c r="B208" s="501"/>
      <c r="C208" s="500" t="str">
        <f t="shared" ca="1" si="33"/>
        <v>a1H3p000002KtECEA0</v>
      </c>
      <c r="D208" s="487"/>
      <c r="E208" s="487">
        <f t="shared" ca="1" si="29"/>
        <v>1</v>
      </c>
      <c r="F208" s="502">
        <f ca="1">IFERROR(IF(COUNTA($D$37:$D208)=1,"",OFFSET($F206,-COUNTA($D$37:$D208)+3,0)),"")</f>
        <v>14</v>
      </c>
      <c r="G208" s="487"/>
      <c r="H208" s="487">
        <f t="shared" ca="1" si="30"/>
        <v>35</v>
      </c>
      <c r="I208" s="503" t="str">
        <f t="shared" ca="1" si="34"/>
        <v/>
      </c>
      <c r="J208" s="503" t="str">
        <f t="shared" ca="1" si="35"/>
        <v/>
      </c>
      <c r="K208" s="490" t="str">
        <f t="shared" ca="1" si="36"/>
        <v/>
      </c>
      <c r="L208" s="493">
        <f ca="1">IFERROR(CHOOSE(E208,'Impact Indicators - Section B '!$K$7,'Impact Indicators - Section B '!$O$7,'Impact Indicators - Section B '!$S$7,'Impact Indicators - Section B '!$W$7),"")</f>
        <v>2021</v>
      </c>
      <c r="M208" s="504" t="str">
        <f t="shared" ca="1" si="37"/>
        <v/>
      </c>
      <c r="N208" s="493" t="str">
        <f t="shared" ca="1" si="38"/>
        <v/>
      </c>
      <c r="O208" s="487" t="str">
        <f ca="1">IFERROR(IF(COUNTA($D$37:$D208)=1,"",OFFSET($C206,-COUNTA($D$37:$D208)+3,0)),"")</f>
        <v>a1H3p000002KtECEA0</v>
      </c>
      <c r="P208" s="487">
        <f t="shared" si="31"/>
        <v>0</v>
      </c>
      <c r="Q208" s="487"/>
      <c r="R208" s="487"/>
      <c r="S208" s="487"/>
      <c r="T208" s="487" t="b">
        <f t="shared" ca="1" si="39"/>
        <v>0</v>
      </c>
    </row>
    <row r="209" spans="1:23" x14ac:dyDescent="0.3">
      <c r="A209" s="487" t="b">
        <f t="shared" ca="1" si="32"/>
        <v>0</v>
      </c>
      <c r="B209" s="501"/>
      <c r="C209" s="500" t="str">
        <f t="shared" ca="1" si="33"/>
        <v>a1H3p000002KtEREA0</v>
      </c>
      <c r="D209" s="487"/>
      <c r="E209" s="487">
        <f t="shared" ca="1" si="29"/>
        <v>2</v>
      </c>
      <c r="F209" s="502">
        <f ca="1">IFERROR(IF(COUNTA($D$37:$D209)=1,"",OFFSET($F207,-COUNTA($D$37:$D209)+3,0)),"")</f>
        <v>14</v>
      </c>
      <c r="G209" s="487"/>
      <c r="H209" s="487">
        <f t="shared" ca="1" si="30"/>
        <v>35</v>
      </c>
      <c r="I209" s="503" t="str">
        <f t="shared" ca="1" si="34"/>
        <v/>
      </c>
      <c r="J209" s="503" t="str">
        <f t="shared" ca="1" si="35"/>
        <v/>
      </c>
      <c r="K209" s="490" t="str">
        <f t="shared" ca="1" si="36"/>
        <v/>
      </c>
      <c r="L209" s="493">
        <f ca="1">IFERROR(CHOOSE(E209,'Impact Indicators - Section B '!$K$7,'Impact Indicators - Section B '!$O$7,'Impact Indicators - Section B '!$S$7,'Impact Indicators - Section B '!$W$7),"")</f>
        <v>2022</v>
      </c>
      <c r="M209" s="504" t="str">
        <f t="shared" ca="1" si="37"/>
        <v/>
      </c>
      <c r="N209" s="493" t="str">
        <f t="shared" ca="1" si="38"/>
        <v/>
      </c>
      <c r="O209" s="487" t="str">
        <f ca="1">IFERROR(IF(COUNTA($D$37:$D209)=1,"",OFFSET($C207,-COUNTA($D$37:$D209)+3,0)),"")</f>
        <v>a1H3p000002KtEREA0</v>
      </c>
      <c r="P209" s="487">
        <f t="shared" si="31"/>
        <v>0</v>
      </c>
      <c r="Q209" s="487"/>
      <c r="R209" s="487"/>
      <c r="S209" s="487"/>
      <c r="T209" s="487" t="b">
        <f t="shared" ca="1" si="39"/>
        <v>0</v>
      </c>
    </row>
    <row r="210" spans="1:23" x14ac:dyDescent="0.3">
      <c r="A210" s="487" t="b">
        <f t="shared" ca="1" si="32"/>
        <v>0</v>
      </c>
      <c r="B210" s="501"/>
      <c r="C210" s="500" t="str">
        <f t="shared" ca="1" si="33"/>
        <v>a1H3p000002KtEgEAK</v>
      </c>
      <c r="D210" s="487"/>
      <c r="E210" s="487">
        <f t="shared" ca="1" si="29"/>
        <v>3</v>
      </c>
      <c r="F210" s="502">
        <f ca="1">IFERROR(IF(COUNTA($D$37:$D210)=1,"",OFFSET($F208,-COUNTA($D$37:$D210)+3,0)),"")</f>
        <v>14</v>
      </c>
      <c r="G210" s="487"/>
      <c r="H210" s="487">
        <f t="shared" ca="1" si="30"/>
        <v>35</v>
      </c>
      <c r="I210" s="503" t="str">
        <f t="shared" ca="1" si="34"/>
        <v/>
      </c>
      <c r="J210" s="503" t="str">
        <f t="shared" ca="1" si="35"/>
        <v/>
      </c>
      <c r="K210" s="490" t="str">
        <f t="shared" ca="1" si="36"/>
        <v/>
      </c>
      <c r="L210" s="493">
        <f ca="1">IFERROR(CHOOSE(E210,'Impact Indicators - Section B '!$K$7,'Impact Indicators - Section B '!$O$7,'Impact Indicators - Section B '!$S$7,'Impact Indicators - Section B '!$W$7),"")</f>
        <v>2023</v>
      </c>
      <c r="M210" s="504" t="str">
        <f t="shared" ca="1" si="37"/>
        <v/>
      </c>
      <c r="N210" s="493" t="str">
        <f t="shared" ca="1" si="38"/>
        <v/>
      </c>
      <c r="O210" s="487" t="str">
        <f ca="1">IFERROR(IF(COUNTA($D$37:$D210)=1,"",OFFSET($C208,-COUNTA($D$37:$D210)+3,0)),"")</f>
        <v>a1H3p000002KtEgEAK</v>
      </c>
      <c r="P210" s="487">
        <f t="shared" si="31"/>
        <v>0</v>
      </c>
      <c r="Q210" s="487"/>
      <c r="R210" s="487"/>
      <c r="S210" s="487"/>
      <c r="T210" s="487" t="b">
        <f t="shared" ca="1" si="39"/>
        <v>0</v>
      </c>
    </row>
    <row r="211" spans="1:23" x14ac:dyDescent="0.3">
      <c r="A211" s="487" t="b">
        <f t="shared" ca="1" si="32"/>
        <v>0</v>
      </c>
      <c r="B211" s="501"/>
      <c r="C211" s="500" t="str">
        <f t="shared" ca="1" si="33"/>
        <v>a1H3p000002KtEvEAK</v>
      </c>
      <c r="D211" s="487"/>
      <c r="E211" s="487">
        <f t="shared" ca="1" si="29"/>
        <v>4</v>
      </c>
      <c r="F211" s="502">
        <f ca="1">IFERROR(IF(COUNTA($D$37:$D211)=1,"",OFFSET($F209,-COUNTA($D$37:$D211)+3,0)),"")</f>
        <v>14</v>
      </c>
      <c r="G211" s="487"/>
      <c r="H211" s="487">
        <f t="shared" ca="1" si="30"/>
        <v>35</v>
      </c>
      <c r="I211" s="503" t="str">
        <f t="shared" ca="1" si="34"/>
        <v/>
      </c>
      <c r="J211" s="503" t="str">
        <f t="shared" ca="1" si="35"/>
        <v/>
      </c>
      <c r="K211" s="490" t="str">
        <f t="shared" ca="1" si="36"/>
        <v/>
      </c>
      <c r="L211" s="493" t="str">
        <f ca="1">IFERROR(CHOOSE(E211,'Impact Indicators - Section B '!$K$7,'Impact Indicators - Section B '!$O$7,'Impact Indicators - Section B '!$S$7,'Impact Indicators - Section B '!$W$7),"")</f>
        <v/>
      </c>
      <c r="M211" s="504" t="str">
        <f t="shared" ca="1" si="37"/>
        <v/>
      </c>
      <c r="N211" s="493" t="str">
        <f t="shared" ca="1" si="38"/>
        <v/>
      </c>
      <c r="O211" s="487" t="str">
        <f ca="1">IFERROR(IF(COUNTA($D$37:$D211)=1,"",OFFSET($C209,-COUNTA($D$37:$D211)+3,0)),"")</f>
        <v>a1H3p000002KtEvEAK</v>
      </c>
      <c r="P211" s="487">
        <f t="shared" si="31"/>
        <v>0</v>
      </c>
      <c r="Q211" s="487"/>
      <c r="R211" s="487"/>
      <c r="S211" s="487"/>
      <c r="T211" s="487" t="b">
        <f t="shared" ca="1" si="39"/>
        <v>0</v>
      </c>
    </row>
    <row r="212" spans="1:23" x14ac:dyDescent="0.3">
      <c r="A212" s="487" t="b">
        <f t="shared" ca="1" si="32"/>
        <v>0</v>
      </c>
      <c r="B212" s="501"/>
      <c r="C212" s="500" t="str">
        <f t="shared" ca="1" si="33"/>
        <v>a1H3p000002KtFAEA0</v>
      </c>
      <c r="D212" s="487"/>
      <c r="E212" s="487">
        <f t="shared" ca="1" si="29"/>
        <v>5</v>
      </c>
      <c r="F212" s="502">
        <f ca="1">IFERROR(IF(COUNTA($D$37:$D212)=1,"",OFFSET($F210,-COUNTA($D$37:$D212)+3,0)),"")</f>
        <v>14</v>
      </c>
      <c r="G212" s="487"/>
      <c r="H212" s="487">
        <f t="shared" ca="1" si="30"/>
        <v>35</v>
      </c>
      <c r="I212" s="503">
        <f t="shared" ca="1" si="34"/>
        <v>0</v>
      </c>
      <c r="J212" s="503">
        <f t="shared" ca="1" si="35"/>
        <v>0</v>
      </c>
      <c r="K212" s="490">
        <f t="shared" ca="1" si="36"/>
        <v>0</v>
      </c>
      <c r="L212" s="493" t="str">
        <f ca="1">IFERROR(CHOOSE(E212,'Impact Indicators - Section B '!$K$7,'Impact Indicators - Section B '!$O$7,'Impact Indicators - Section B '!$S$7,'Impact Indicators - Section B '!$W$7),"")</f>
        <v/>
      </c>
      <c r="M212" s="504">
        <f t="shared" ca="1" si="37"/>
        <v>0</v>
      </c>
      <c r="N212" s="493" t="str">
        <f t="shared" ca="1" si="38"/>
        <v/>
      </c>
      <c r="O212" s="487" t="str">
        <f ca="1">IFERROR(IF(COUNTA($D$37:$D212)=1,"",OFFSET($C210,-COUNTA($D$37:$D212)+3,0)),"")</f>
        <v>a1H3p000002KtFAEA0</v>
      </c>
      <c r="P212" s="487">
        <f t="shared" si="31"/>
        <v>0</v>
      </c>
      <c r="Q212" s="487"/>
      <c r="R212" s="487"/>
      <c r="S212" s="487"/>
      <c r="T212" s="487" t="b">
        <f t="shared" ca="1" si="39"/>
        <v>0</v>
      </c>
    </row>
    <row r="213" spans="1:23" x14ac:dyDescent="0.3">
      <c r="A213" s="487" t="b">
        <f t="shared" ca="1" si="32"/>
        <v>0</v>
      </c>
      <c r="B213" s="501"/>
      <c r="C213" s="500" t="str">
        <f t="shared" ca="1" si="33"/>
        <v>a1H3p000002KtFPEA0</v>
      </c>
      <c r="D213" s="487"/>
      <c r="E213" s="487">
        <f t="shared" ca="1" si="29"/>
        <v>6</v>
      </c>
      <c r="F213" s="502">
        <f ca="1">IFERROR(IF(COUNTA($D$37:$D213)=1,"",OFFSET($F211,-COUNTA($D$37:$D213)+3,0)),"")</f>
        <v>14</v>
      </c>
      <c r="G213" s="487"/>
      <c r="H213" s="487">
        <f t="shared" ca="1" si="30"/>
        <v>35</v>
      </c>
      <c r="I213" s="503" t="str">
        <f t="shared" ca="1" si="34"/>
        <v/>
      </c>
      <c r="J213" s="503" t="str">
        <f t="shared" ca="1" si="35"/>
        <v/>
      </c>
      <c r="K213" s="490" t="str">
        <f t="shared" ca="1" si="36"/>
        <v/>
      </c>
      <c r="L213" s="493" t="str">
        <f ca="1">IFERROR(CHOOSE(E213,'Impact Indicators - Section B '!$K$7,'Impact Indicators - Section B '!$O$7,'Impact Indicators - Section B '!$S$7,'Impact Indicators - Section B '!$W$7),"")</f>
        <v/>
      </c>
      <c r="M213" s="504" t="str">
        <f t="shared" ca="1" si="37"/>
        <v/>
      </c>
      <c r="N213" s="493" t="str">
        <f t="shared" ca="1" si="38"/>
        <v/>
      </c>
      <c r="O213" s="487" t="str">
        <f ca="1">IFERROR(IF(COUNTA($D$37:$D213)=1,"",OFFSET($C211,-COUNTA($D$37:$D213)+3,0)),"")</f>
        <v>a1H3p000002KtFPEA0</v>
      </c>
      <c r="P213" s="487">
        <f t="shared" si="31"/>
        <v>0</v>
      </c>
      <c r="Q213" s="487"/>
      <c r="R213" s="487"/>
      <c r="S213" s="487"/>
      <c r="T213" s="487" t="b">
        <f t="shared" ca="1" si="39"/>
        <v>0</v>
      </c>
    </row>
    <row r="214" spans="1:23" x14ac:dyDescent="0.3">
      <c r="A214" s="487" t="b">
        <f t="shared" ca="1" si="32"/>
        <v>0</v>
      </c>
      <c r="B214" s="501"/>
      <c r="C214" s="500" t="str">
        <f t="shared" ca="1" si="33"/>
        <v>a1H3p000002KtEDEA0</v>
      </c>
      <c r="D214" s="487"/>
      <c r="E214" s="487">
        <f t="shared" ca="1" si="29"/>
        <v>1</v>
      </c>
      <c r="F214" s="502">
        <f ca="1">IFERROR(IF(COUNTA($D$37:$D214)=1,"",OFFSET($F212,-COUNTA($D$37:$D214)+3,0)),"")</f>
        <v>15</v>
      </c>
      <c r="G214" s="487"/>
      <c r="H214" s="487">
        <f t="shared" ca="1" si="30"/>
        <v>37</v>
      </c>
      <c r="I214" s="503" t="str">
        <f t="shared" ca="1" si="34"/>
        <v/>
      </c>
      <c r="J214" s="503" t="str">
        <f t="shared" ca="1" si="35"/>
        <v/>
      </c>
      <c r="K214" s="490" t="str">
        <f t="shared" ca="1" si="36"/>
        <v/>
      </c>
      <c r="L214" s="493">
        <f ca="1">IFERROR(CHOOSE(E214,'Impact Indicators - Section B '!$K$7,'Impact Indicators - Section B '!$O$7,'Impact Indicators - Section B '!$S$7,'Impact Indicators - Section B '!$W$7),"")</f>
        <v>2021</v>
      </c>
      <c r="M214" s="504" t="str">
        <f t="shared" ca="1" si="37"/>
        <v/>
      </c>
      <c r="N214" s="493" t="str">
        <f t="shared" ca="1" si="38"/>
        <v/>
      </c>
      <c r="O214" s="487" t="str">
        <f ca="1">IFERROR(IF(COUNTA($D$37:$D214)=1,"",OFFSET($C212,-COUNTA($D$37:$D214)+3,0)),"")</f>
        <v>a1H3p000002KtEDEA0</v>
      </c>
      <c r="P214" s="487">
        <f t="shared" si="31"/>
        <v>0</v>
      </c>
      <c r="Q214" s="487"/>
      <c r="R214" s="487"/>
      <c r="S214" s="487"/>
      <c r="T214" s="487" t="b">
        <f t="shared" ca="1" si="39"/>
        <v>0</v>
      </c>
    </row>
    <row r="215" spans="1:23" x14ac:dyDescent="0.3">
      <c r="A215" s="487" t="b">
        <f t="shared" ca="1" si="32"/>
        <v>0</v>
      </c>
      <c r="B215" s="501"/>
      <c r="C215" s="500" t="str">
        <f t="shared" ca="1" si="33"/>
        <v>a1H3p000002KtESEA0</v>
      </c>
      <c r="D215" s="487"/>
      <c r="E215" s="487">
        <f t="shared" ca="1" si="29"/>
        <v>2</v>
      </c>
      <c r="F215" s="502">
        <f ca="1">IFERROR(IF(COUNTA($D$37:$D215)=1,"",OFFSET($F213,-COUNTA($D$37:$D215)+3,0)),"")</f>
        <v>15</v>
      </c>
      <c r="G215" s="487"/>
      <c r="H215" s="487">
        <f t="shared" ca="1" si="30"/>
        <v>37</v>
      </c>
      <c r="I215" s="503" t="str">
        <f t="shared" ca="1" si="34"/>
        <v/>
      </c>
      <c r="J215" s="503" t="str">
        <f t="shared" ca="1" si="35"/>
        <v/>
      </c>
      <c r="K215" s="490" t="str">
        <f t="shared" ca="1" si="36"/>
        <v/>
      </c>
      <c r="L215" s="493">
        <f ca="1">IFERROR(CHOOSE(E215,'Impact Indicators - Section B '!$K$7,'Impact Indicators - Section B '!$O$7,'Impact Indicators - Section B '!$S$7,'Impact Indicators - Section B '!$W$7),"")</f>
        <v>2022</v>
      </c>
      <c r="M215" s="504" t="str">
        <f t="shared" ca="1" si="37"/>
        <v/>
      </c>
      <c r="N215" s="493" t="str">
        <f t="shared" ca="1" si="38"/>
        <v/>
      </c>
      <c r="O215" s="487" t="str">
        <f ca="1">IFERROR(IF(COUNTA($D$37:$D215)=1,"",OFFSET($C213,-COUNTA($D$37:$D215)+3,0)),"")</f>
        <v>a1H3p000002KtESEA0</v>
      </c>
      <c r="P215" s="487">
        <f t="shared" si="31"/>
        <v>0</v>
      </c>
      <c r="Q215" s="487"/>
      <c r="R215" s="487"/>
      <c r="S215" s="487"/>
      <c r="T215" s="487" t="b">
        <f t="shared" ca="1" si="39"/>
        <v>0</v>
      </c>
    </row>
    <row r="216" spans="1:23" x14ac:dyDescent="0.3">
      <c r="A216" s="487" t="b">
        <f t="shared" ca="1" si="32"/>
        <v>0</v>
      </c>
      <c r="B216" s="501"/>
      <c r="C216" s="500" t="str">
        <f t="shared" ca="1" si="33"/>
        <v>a1H3p000002KtEhEAK</v>
      </c>
      <c r="D216" s="487"/>
      <c r="E216" s="487">
        <f t="shared" ca="1" si="29"/>
        <v>3</v>
      </c>
      <c r="F216" s="502">
        <f ca="1">IFERROR(IF(COUNTA($D$37:$D216)=1,"",OFFSET($F214,-COUNTA($D$37:$D216)+3,0)),"")</f>
        <v>15</v>
      </c>
      <c r="G216" s="487"/>
      <c r="H216" s="487">
        <f t="shared" ca="1" si="30"/>
        <v>37</v>
      </c>
      <c r="I216" s="503" t="str">
        <f t="shared" ca="1" si="34"/>
        <v/>
      </c>
      <c r="J216" s="503" t="str">
        <f t="shared" ca="1" si="35"/>
        <v/>
      </c>
      <c r="K216" s="490" t="str">
        <f t="shared" ca="1" si="36"/>
        <v/>
      </c>
      <c r="L216" s="493">
        <f ca="1">IFERROR(CHOOSE(E216,'Impact Indicators - Section B '!$K$7,'Impact Indicators - Section B '!$O$7,'Impact Indicators - Section B '!$S$7,'Impact Indicators - Section B '!$W$7),"")</f>
        <v>2023</v>
      </c>
      <c r="M216" s="504" t="str">
        <f t="shared" ca="1" si="37"/>
        <v/>
      </c>
      <c r="N216" s="493" t="str">
        <f t="shared" ca="1" si="38"/>
        <v/>
      </c>
      <c r="O216" s="487" t="str">
        <f ca="1">IFERROR(IF(COUNTA($D$37:$D216)=1,"",OFFSET($C214,-COUNTA($D$37:$D216)+3,0)),"")</f>
        <v>a1H3p000002KtEhEAK</v>
      </c>
      <c r="P216" s="487">
        <f t="shared" si="31"/>
        <v>0</v>
      </c>
      <c r="Q216" s="487"/>
      <c r="R216" s="487"/>
      <c r="S216" s="487"/>
      <c r="T216" s="487" t="b">
        <f t="shared" ca="1" si="39"/>
        <v>0</v>
      </c>
    </row>
    <row r="217" spans="1:23" x14ac:dyDescent="0.3">
      <c r="A217" s="487" t="b">
        <f t="shared" ca="1" si="32"/>
        <v>0</v>
      </c>
      <c r="B217" s="501"/>
      <c r="C217" s="500" t="str">
        <f t="shared" ca="1" si="33"/>
        <v>a1H3p000002KtEwEAK</v>
      </c>
      <c r="D217" s="487"/>
      <c r="E217" s="487">
        <f t="shared" ca="1" si="29"/>
        <v>4</v>
      </c>
      <c r="F217" s="502">
        <f ca="1">IFERROR(IF(COUNTA($D$37:$D217)=1,"",OFFSET($F215,-COUNTA($D$37:$D217)+3,0)),"")</f>
        <v>15</v>
      </c>
      <c r="G217" s="487"/>
      <c r="H217" s="487">
        <f t="shared" ca="1" si="30"/>
        <v>37</v>
      </c>
      <c r="I217" s="503" t="str">
        <f t="shared" ca="1" si="34"/>
        <v/>
      </c>
      <c r="J217" s="503" t="str">
        <f t="shared" ca="1" si="35"/>
        <v/>
      </c>
      <c r="K217" s="490" t="str">
        <f t="shared" ca="1" si="36"/>
        <v/>
      </c>
      <c r="L217" s="493" t="str">
        <f ca="1">IFERROR(CHOOSE(E217,'Impact Indicators - Section B '!$K$7,'Impact Indicators - Section B '!$O$7,'Impact Indicators - Section B '!$S$7,'Impact Indicators - Section B '!$W$7),"")</f>
        <v/>
      </c>
      <c r="M217" s="504" t="str">
        <f t="shared" ca="1" si="37"/>
        <v/>
      </c>
      <c r="N217" s="493" t="str">
        <f t="shared" ca="1" si="38"/>
        <v/>
      </c>
      <c r="O217" s="487" t="str">
        <f ca="1">IFERROR(IF(COUNTA($D$37:$D217)=1,"",OFFSET($C215,-COUNTA($D$37:$D217)+3,0)),"")</f>
        <v>a1H3p000002KtEwEAK</v>
      </c>
      <c r="P217" s="487">
        <f t="shared" si="31"/>
        <v>0</v>
      </c>
      <c r="Q217" s="487"/>
      <c r="R217" s="487"/>
      <c r="S217" s="487"/>
      <c r="T217" s="487" t="b">
        <f t="shared" ca="1" si="39"/>
        <v>0</v>
      </c>
    </row>
    <row r="218" spans="1:23" x14ac:dyDescent="0.3">
      <c r="A218" s="487" t="b">
        <f t="shared" ca="1" si="32"/>
        <v>0</v>
      </c>
      <c r="B218" s="501"/>
      <c r="C218" s="500" t="str">
        <f t="shared" ca="1" si="33"/>
        <v>a1H3p000002KtFBEA0</v>
      </c>
      <c r="D218" s="487"/>
      <c r="E218" s="487">
        <f t="shared" ca="1" si="29"/>
        <v>5</v>
      </c>
      <c r="F218" s="502">
        <f ca="1">IFERROR(IF(COUNTA($D$37:$D218)=1,"",OFFSET($F216,-COUNTA($D$37:$D218)+3,0)),"")</f>
        <v>15</v>
      </c>
      <c r="G218" s="487"/>
      <c r="H218" s="487">
        <f t="shared" ca="1" si="30"/>
        <v>37</v>
      </c>
      <c r="I218" s="503">
        <f t="shared" ca="1" si="34"/>
        <v>0</v>
      </c>
      <c r="J218" s="503">
        <f t="shared" ca="1" si="35"/>
        <v>0</v>
      </c>
      <c r="K218" s="490">
        <f t="shared" ca="1" si="36"/>
        <v>0</v>
      </c>
      <c r="L218" s="493" t="str">
        <f ca="1">IFERROR(CHOOSE(E218,'Impact Indicators - Section B '!$K$7,'Impact Indicators - Section B '!$O$7,'Impact Indicators - Section B '!$S$7,'Impact Indicators - Section B '!$W$7),"")</f>
        <v/>
      </c>
      <c r="M218" s="504">
        <f t="shared" ca="1" si="37"/>
        <v>0</v>
      </c>
      <c r="N218" s="493" t="str">
        <f t="shared" ca="1" si="38"/>
        <v/>
      </c>
      <c r="O218" s="487" t="str">
        <f ca="1">IFERROR(IF(COUNTA($D$37:$D218)=1,"",OFFSET($C216,-COUNTA($D$37:$D218)+3,0)),"")</f>
        <v>a1H3p000002KtFBEA0</v>
      </c>
      <c r="P218" s="487">
        <f t="shared" si="31"/>
        <v>0</v>
      </c>
      <c r="Q218" s="487"/>
      <c r="R218" s="487"/>
      <c r="S218" s="487"/>
      <c r="T218" s="487" t="b">
        <f t="shared" ca="1" si="39"/>
        <v>0</v>
      </c>
    </row>
    <row r="219" spans="1:23" x14ac:dyDescent="0.3">
      <c r="A219" s="487" t="b">
        <f t="shared" ca="1" si="32"/>
        <v>0</v>
      </c>
      <c r="B219" s="501"/>
      <c r="C219" s="500" t="str">
        <f t="shared" ca="1" si="33"/>
        <v>a1H3p000002KtFQEA0</v>
      </c>
      <c r="D219" s="487"/>
      <c r="E219" s="487">
        <f t="shared" ca="1" si="29"/>
        <v>6</v>
      </c>
      <c r="F219" s="502">
        <f ca="1">IFERROR(IF(COUNTA($D$37:$D219)=1,"",OFFSET($F217,-COUNTA($D$37:$D219)+3,0)),"")</f>
        <v>15</v>
      </c>
      <c r="G219" s="487"/>
      <c r="H219" s="487">
        <f t="shared" ca="1" si="30"/>
        <v>37</v>
      </c>
      <c r="I219" s="503" t="str">
        <f t="shared" ca="1" si="34"/>
        <v/>
      </c>
      <c r="J219" s="503" t="str">
        <f t="shared" ca="1" si="35"/>
        <v/>
      </c>
      <c r="K219" s="490" t="str">
        <f t="shared" ca="1" si="36"/>
        <v/>
      </c>
      <c r="L219" s="493" t="str">
        <f ca="1">IFERROR(CHOOSE(E219,'Impact Indicators - Section B '!$K$7,'Impact Indicators - Section B '!$O$7,'Impact Indicators - Section B '!$S$7,'Impact Indicators - Section B '!$W$7),"")</f>
        <v/>
      </c>
      <c r="M219" s="504" t="str">
        <f t="shared" ca="1" si="37"/>
        <v/>
      </c>
      <c r="N219" s="493" t="str">
        <f t="shared" ca="1" si="38"/>
        <v/>
      </c>
      <c r="O219" s="487" t="str">
        <f ca="1">IFERROR(IF(COUNTA($D$37:$D219)=1,"",OFFSET($C217,-COUNTA($D$37:$D219)+3,0)),"")</f>
        <v>a1H3p000002KtFQEA0</v>
      </c>
      <c r="P219" s="487">
        <f t="shared" si="31"/>
        <v>0</v>
      </c>
      <c r="Q219" s="487"/>
      <c r="R219" s="487"/>
      <c r="S219" s="487"/>
      <c r="T219" s="487" t="b">
        <f t="shared" ca="1" si="39"/>
        <v>0</v>
      </c>
    </row>
    <row r="220" spans="1:23" x14ac:dyDescent="0.3">
      <c r="J220" s="486" t="str">
        <f ca="1">IF(ROW()&gt;'Impact Indicator Target Update'!A6,"",INDIRECT("'Impact Indicators - Section B'!A"&amp;'Impact Indicator Target Update'!D6))</f>
        <v/>
      </c>
    </row>
    <row r="221" spans="1:23" x14ac:dyDescent="0.3">
      <c r="A221" s="497" t="s">
        <v>322</v>
      </c>
      <c r="J221" s="486" t="str">
        <f ca="1">IF(ROW()&gt;'Impact Indicator Target Update'!A7,"",INDIRECT("'Impact Indicators - Section B'!A"&amp;'Impact Indicator Target Update'!D7))</f>
        <v/>
      </c>
    </row>
    <row r="222" spans="1:23" x14ac:dyDescent="0.3">
      <c r="A222" s="487" t="s">
        <v>46</v>
      </c>
      <c r="B222" s="487">
        <v>2</v>
      </c>
      <c r="C222" s="487" t="s">
        <v>48</v>
      </c>
      <c r="D222" s="487" t="s">
        <v>4</v>
      </c>
      <c r="E222" s="487" t="s">
        <v>3</v>
      </c>
      <c r="F222" s="487" t="s">
        <v>2</v>
      </c>
      <c r="G222" s="487" t="s">
        <v>29</v>
      </c>
      <c r="H222" s="487" t="s">
        <v>18</v>
      </c>
      <c r="I222" s="487">
        <v>-19</v>
      </c>
      <c r="J222" s="487" t="s">
        <v>332</v>
      </c>
      <c r="K222" s="487"/>
      <c r="L222" s="487" t="s">
        <v>341</v>
      </c>
      <c r="M222" s="487" t="s">
        <v>145</v>
      </c>
      <c r="N222" s="487" t="s">
        <v>39</v>
      </c>
      <c r="O222" s="487" t="s">
        <v>188</v>
      </c>
      <c r="P222" s="487" t="s">
        <v>475</v>
      </c>
      <c r="Q222" s="487" t="s">
        <v>473</v>
      </c>
      <c r="R222" s="487" t="s">
        <v>474</v>
      </c>
      <c r="S222" s="487" t="s">
        <v>1253</v>
      </c>
      <c r="T222" s="487" t="s">
        <v>1255</v>
      </c>
      <c r="U222" s="487" t="s">
        <v>354</v>
      </c>
      <c r="V222" s="487">
        <v>-1</v>
      </c>
      <c r="W222" s="487" t="s">
        <v>71</v>
      </c>
    </row>
    <row r="223" spans="1:23" hidden="1" x14ac:dyDescent="0.3">
      <c r="A223" s="487" t="b">
        <f ca="1">IF(AND(OR(P223&lt;&gt;"",M223&lt;&gt;""),OR(D223&lt;&gt;"",E223&lt;&gt;"",F223&lt;&gt;"")),TRUE,FALSE)</f>
        <v>1</v>
      </c>
      <c r="B223" s="488">
        <f>IF(_xlfn.ISFORMULA(E223),B222+1,2)</f>
        <v>3</v>
      </c>
      <c r="C223" s="487" t="str">
        <f>IFERROR(INDEX(C$222:C223,B223,1),"")</f>
        <v/>
      </c>
      <c r="D223" s="490">
        <f ca="1">IFERROR(IF(INDIRECT("'Outcome Indicators - Section C '!E"&amp;$I223)=0,"",INDIRECT("'Outcome Indicators - Section C '!E"&amp;$I223)*100),"")</f>
        <v>60.199999999999996</v>
      </c>
      <c r="E223" s="502" t="str">
        <f ca="1">IFERROR(IF(INDIRECT("'Outcome Indicators - Section C '!D"&amp;$I223+1)=0,"",INDIRECT("'Outcome Indicators - Section C '!D"&amp;$I223+1)),"")</f>
        <v/>
      </c>
      <c r="F223" s="492" t="str">
        <f ca="1">IFERROR(IF(INDIRECT("'Outcome Indicators - Section C '!D"&amp;$I223)=0,"",INDIRECT("'Outcome Indicators - Section C '!D"&amp;$I223)),"")</f>
        <v/>
      </c>
      <c r="G223" s="493">
        <f ca="1">IFERROR(IF(INDIRECT("'Outcome Indicators - Section C '!F"&amp;$I223)=0,"",INDIRECT("'Outcome Indicators - Section C '!F"&amp;$I223)),"")</f>
        <v>2017</v>
      </c>
      <c r="H223" s="493" t="str">
        <f ca="1">IFERROR(IF(INDIRECT("'Outcome Indicators - Section C '!AC"&amp;$I3)=0,"",INDIRECT("'Outcome Indicators - Section C '!AC"&amp;$I3)),"")</f>
        <v>Programmatic mapping among MSM in Abidjan using the PLACE method</v>
      </c>
      <c r="I223" s="488">
        <f>IF(B223=3,9,I222+2)</f>
        <v>9</v>
      </c>
      <c r="J223" s="493" t="str">
        <f ca="1">IFERROR(IF(INDIRECT("'Outcome Indicators - Section C '!AD"&amp;$I223)=0,"",INDIRECT("'Outcome Indicators - Section C '!AD"&amp;$I223)),"")</f>
        <v>According to the modeling report, the use of condoms in 2025 is projected to 90%. According to this and based on historical data, the 2021-2025 NSP targets 75% of men who indicate having used a condom during their last anal intercourse with an occasional partner.
An IBBS survey will be carried out in 2022 to inform the indicator in 2023.</v>
      </c>
      <c r="K223" s="487"/>
      <c r="L223" s="493" t="str">
        <f ca="1">IFERROR(IF(INDIRECT("'Outcome Indicators - Section C '!AB"&amp;$I223)=0,"",INDIRECT("'Outcome Indicators - Section C '!AB"&amp;$I223)),"")</f>
        <v/>
      </c>
      <c r="M223" s="487" t="str">
        <f t="array" aca="1" ref="M223" ca="1">IFERROR(VLOOKUP(LEFT(INDIRECT("'Outcome Indicators - Section C '!B"&amp;$I223),255),LEFT('Reference Records'!$C$20:$L$55,255),10,0),"")</f>
        <v>IOR-00101</v>
      </c>
      <c r="N223" s="487" t="str">
        <f ca="1">IFERROR(IF(INDIRECT("'Outcome Indicators - Section C '!j"&amp;$I223)=0,"",INDIRECT("'Outcome Indicators - Section C '!j"&amp;$I223)),"")</f>
        <v>Côte d'Ivoire</v>
      </c>
      <c r="O223" s="493" t="str">
        <f ca="1">IFERROR(VLOOKUP(INDIRECT("'Outcome Indicators - Section C '!I"&amp;$I223),'Overview - Section A'!M$29:P40,4,0),IFERROR(VLOOKUP(INDIRECT("'Outcome Indicators - Section C '!I"&amp;$I223),'Overview - Section A'!E$26:I28,5,0),""))</f>
        <v>a123p000005UjbKAAS</v>
      </c>
      <c r="P223" s="493" t="str">
        <f ca="1">IFERROR(IF(INDIRECT("'Outcome Indicators - Section C '!C"&amp;$I223)=0,"",INDIRECT("'Outcome Indicators - Section C '!C"&amp;$I223)),"")</f>
        <v/>
      </c>
      <c r="Q223" s="493" t="str">
        <f ca="1">IFERROR(IF(INDIRECT("'Outcome Indicators - Section C '!G"&amp;$I3)=0,"",INDIRECT("'Outcome Indicators - Section C '!G"&amp;$I3)),"")</f>
        <v>Cartographie programmatique chez les HSH à Abidjan utilisant la méthode PLACE</v>
      </c>
      <c r="R223" s="493" t="str">
        <f ca="1">IFERROR(IF(INDIRECT("'Outcome Indicators - Section C '!AA"&amp;$I223)=0,"",INDIRECT("'Outcome Indicators - Section C '!AA"&amp;$I223)),"")</f>
        <v>Selon le rapport de la modélisation, l'utilisation du préservatif en 2025 est projeté à 90%. Selon cette base et en se basant des données historiques, le PSN 2021-2025, cible à 75% le pourcentage d’hommes qui indiquent avoir utilisé un préservatif lors de leur dernier rapport anal avec un partenaire occasionel
Une enquête IBBS sera réalisé en 2022 pour renseigner l'indicateur en 2023</v>
      </c>
      <c r="S223" s="493" t="s">
        <v>1252</v>
      </c>
      <c r="T223" s="493" t="s">
        <v>1254</v>
      </c>
      <c r="U223" s="487" t="s">
        <v>353</v>
      </c>
      <c r="V223" s="487">
        <f>IF(NOT(_xlfn.ISFORMULA(C223)),V222+1,0)</f>
        <v>0</v>
      </c>
      <c r="W223" s="487" t="s">
        <v>1288</v>
      </c>
    </row>
    <row r="224" spans="1:23" x14ac:dyDescent="0.3">
      <c r="A224" s="487" t="b">
        <v>0</v>
      </c>
      <c r="B224" s="488">
        <f t="shared" ref="B224:B253" si="40">IF(_xlfn.ISFORMULA(E224),B223+1,2)</f>
        <v>2</v>
      </c>
      <c r="C224" s="487" t="s">
        <v>7055</v>
      </c>
      <c r="D224" s="490"/>
      <c r="E224" s="502"/>
      <c r="F224" s="492"/>
      <c r="G224" s="493"/>
      <c r="H224" s="493"/>
      <c r="I224" s="488">
        <f t="shared" ref="I224:I253" si="41">IF(B224=3,9,I223+2)</f>
        <v>11</v>
      </c>
      <c r="J224" s="493"/>
      <c r="K224" s="487"/>
      <c r="L224" s="493"/>
      <c r="M224" s="487"/>
      <c r="N224" s="487"/>
      <c r="O224" s="493"/>
      <c r="P224" s="493"/>
      <c r="Q224" s="493"/>
      <c r="R224" s="493"/>
      <c r="S224" s="493"/>
      <c r="T224" s="493"/>
      <c r="U224" s="487"/>
      <c r="V224" s="487">
        <f t="shared" ref="V224:V253" si="42">IF(NOT(_xlfn.ISFORMULA(C224)),V223+1,0)</f>
        <v>1</v>
      </c>
      <c r="W224" s="487" t="b">
        <v>0</v>
      </c>
    </row>
    <row r="225" spans="1:23" x14ac:dyDescent="0.3">
      <c r="A225" s="487" t="b">
        <v>0</v>
      </c>
      <c r="B225" s="488">
        <f t="shared" si="40"/>
        <v>2</v>
      </c>
      <c r="C225" s="487" t="s">
        <v>7056</v>
      </c>
      <c r="D225" s="490"/>
      <c r="E225" s="502"/>
      <c r="F225" s="492"/>
      <c r="G225" s="493"/>
      <c r="H225" s="493"/>
      <c r="I225" s="488">
        <f t="shared" si="41"/>
        <v>13</v>
      </c>
      <c r="J225" s="493"/>
      <c r="K225" s="487"/>
      <c r="L225" s="493"/>
      <c r="M225" s="487"/>
      <c r="N225" s="487"/>
      <c r="O225" s="493"/>
      <c r="P225" s="493"/>
      <c r="Q225" s="493"/>
      <c r="R225" s="493"/>
      <c r="S225" s="493"/>
      <c r="T225" s="493"/>
      <c r="U225" s="487"/>
      <c r="V225" s="487">
        <f t="shared" si="42"/>
        <v>2</v>
      </c>
      <c r="W225" s="487" t="b">
        <v>0</v>
      </c>
    </row>
    <row r="226" spans="1:23" x14ac:dyDescent="0.3">
      <c r="A226" s="487" t="b">
        <v>0</v>
      </c>
      <c r="B226" s="488">
        <f t="shared" si="40"/>
        <v>2</v>
      </c>
      <c r="C226" s="487" t="s">
        <v>7057</v>
      </c>
      <c r="D226" s="490"/>
      <c r="E226" s="502"/>
      <c r="F226" s="492"/>
      <c r="G226" s="493"/>
      <c r="H226" s="493"/>
      <c r="I226" s="488">
        <f t="shared" si="41"/>
        <v>15</v>
      </c>
      <c r="J226" s="493"/>
      <c r="K226" s="487"/>
      <c r="L226" s="493"/>
      <c r="M226" s="487"/>
      <c r="N226" s="487"/>
      <c r="O226" s="493"/>
      <c r="P226" s="493"/>
      <c r="Q226" s="493"/>
      <c r="R226" s="493"/>
      <c r="S226" s="493"/>
      <c r="T226" s="493"/>
      <c r="U226" s="487"/>
      <c r="V226" s="487">
        <f t="shared" si="42"/>
        <v>3</v>
      </c>
      <c r="W226" s="487" t="b">
        <v>0</v>
      </c>
    </row>
    <row r="227" spans="1:23" x14ac:dyDescent="0.3">
      <c r="A227" s="487" t="b">
        <v>0</v>
      </c>
      <c r="B227" s="488">
        <f t="shared" si="40"/>
        <v>2</v>
      </c>
      <c r="C227" s="487" t="s">
        <v>7058</v>
      </c>
      <c r="D227" s="490"/>
      <c r="E227" s="502"/>
      <c r="F227" s="492"/>
      <c r="G227" s="493"/>
      <c r="H227" s="493"/>
      <c r="I227" s="488">
        <f t="shared" si="41"/>
        <v>17</v>
      </c>
      <c r="J227" s="493"/>
      <c r="K227" s="487"/>
      <c r="L227" s="493"/>
      <c r="M227" s="487"/>
      <c r="N227" s="487"/>
      <c r="O227" s="493"/>
      <c r="P227" s="493"/>
      <c r="Q227" s="493"/>
      <c r="R227" s="493"/>
      <c r="S227" s="493"/>
      <c r="T227" s="493"/>
      <c r="U227" s="487"/>
      <c r="V227" s="487">
        <f t="shared" si="42"/>
        <v>4</v>
      </c>
      <c r="W227" s="487" t="b">
        <v>0</v>
      </c>
    </row>
    <row r="228" spans="1:23" x14ac:dyDescent="0.3">
      <c r="A228" s="487" t="b">
        <v>0</v>
      </c>
      <c r="B228" s="488">
        <f t="shared" si="40"/>
        <v>2</v>
      </c>
      <c r="C228" s="487" t="s">
        <v>7059</v>
      </c>
      <c r="D228" s="490"/>
      <c r="E228" s="502"/>
      <c r="F228" s="492"/>
      <c r="G228" s="493"/>
      <c r="H228" s="493"/>
      <c r="I228" s="488">
        <f t="shared" si="41"/>
        <v>19</v>
      </c>
      <c r="J228" s="493"/>
      <c r="K228" s="487"/>
      <c r="L228" s="493"/>
      <c r="M228" s="487"/>
      <c r="N228" s="487"/>
      <c r="O228" s="493"/>
      <c r="P228" s="493"/>
      <c r="Q228" s="493"/>
      <c r="R228" s="493"/>
      <c r="S228" s="493"/>
      <c r="T228" s="493"/>
      <c r="U228" s="487"/>
      <c r="V228" s="487">
        <f t="shared" si="42"/>
        <v>5</v>
      </c>
      <c r="W228" s="487" t="b">
        <v>0</v>
      </c>
    </row>
    <row r="229" spans="1:23" x14ac:dyDescent="0.3">
      <c r="A229" s="487" t="b">
        <v>0</v>
      </c>
      <c r="B229" s="488">
        <f t="shared" si="40"/>
        <v>2</v>
      </c>
      <c r="C229" s="487" t="s">
        <v>7060</v>
      </c>
      <c r="D229" s="490"/>
      <c r="E229" s="502"/>
      <c r="F229" s="492"/>
      <c r="G229" s="493"/>
      <c r="H229" s="493"/>
      <c r="I229" s="488">
        <f t="shared" si="41"/>
        <v>21</v>
      </c>
      <c r="J229" s="493"/>
      <c r="K229" s="487"/>
      <c r="L229" s="493"/>
      <c r="M229" s="487"/>
      <c r="N229" s="487"/>
      <c r="O229" s="493"/>
      <c r="P229" s="493"/>
      <c r="Q229" s="493"/>
      <c r="R229" s="493"/>
      <c r="S229" s="493"/>
      <c r="T229" s="493"/>
      <c r="U229" s="487"/>
      <c r="V229" s="487">
        <f t="shared" si="42"/>
        <v>6</v>
      </c>
      <c r="W229" s="487" t="b">
        <v>0</v>
      </c>
    </row>
    <row r="230" spans="1:23" x14ac:dyDescent="0.3">
      <c r="A230" s="487" t="b">
        <v>0</v>
      </c>
      <c r="B230" s="488">
        <f t="shared" si="40"/>
        <v>2</v>
      </c>
      <c r="C230" s="487" t="s">
        <v>7061</v>
      </c>
      <c r="D230" s="490"/>
      <c r="E230" s="502"/>
      <c r="F230" s="492"/>
      <c r="G230" s="493"/>
      <c r="H230" s="493"/>
      <c r="I230" s="488">
        <f t="shared" si="41"/>
        <v>23</v>
      </c>
      <c r="J230" s="493"/>
      <c r="K230" s="487"/>
      <c r="L230" s="493"/>
      <c r="M230" s="487"/>
      <c r="N230" s="487"/>
      <c r="O230" s="493"/>
      <c r="P230" s="493"/>
      <c r="Q230" s="493"/>
      <c r="R230" s="493"/>
      <c r="S230" s="493"/>
      <c r="T230" s="493"/>
      <c r="U230" s="487"/>
      <c r="V230" s="487">
        <f t="shared" si="42"/>
        <v>7</v>
      </c>
      <c r="W230" s="487" t="b">
        <v>0</v>
      </c>
    </row>
    <row r="231" spans="1:23" x14ac:dyDescent="0.3">
      <c r="A231" s="487" t="b">
        <v>0</v>
      </c>
      <c r="B231" s="488">
        <f t="shared" si="40"/>
        <v>2</v>
      </c>
      <c r="C231" s="487" t="s">
        <v>7062</v>
      </c>
      <c r="D231" s="490"/>
      <c r="E231" s="502"/>
      <c r="F231" s="492"/>
      <c r="G231" s="493"/>
      <c r="H231" s="493"/>
      <c r="I231" s="488">
        <f t="shared" si="41"/>
        <v>25</v>
      </c>
      <c r="J231" s="493"/>
      <c r="K231" s="487"/>
      <c r="L231" s="493"/>
      <c r="M231" s="487"/>
      <c r="N231" s="487"/>
      <c r="O231" s="493"/>
      <c r="P231" s="493"/>
      <c r="Q231" s="493"/>
      <c r="R231" s="493"/>
      <c r="S231" s="493"/>
      <c r="T231" s="493"/>
      <c r="U231" s="487"/>
      <c r="V231" s="487">
        <f t="shared" si="42"/>
        <v>8</v>
      </c>
      <c r="W231" s="487" t="b">
        <v>0</v>
      </c>
    </row>
    <row r="232" spans="1:23" x14ac:dyDescent="0.3">
      <c r="A232" s="487" t="b">
        <v>0</v>
      </c>
      <c r="B232" s="488">
        <f t="shared" si="40"/>
        <v>2</v>
      </c>
      <c r="C232" s="487" t="s">
        <v>7063</v>
      </c>
      <c r="D232" s="490"/>
      <c r="E232" s="502"/>
      <c r="F232" s="492"/>
      <c r="G232" s="493"/>
      <c r="H232" s="493"/>
      <c r="I232" s="488">
        <f t="shared" si="41"/>
        <v>27</v>
      </c>
      <c r="J232" s="493"/>
      <c r="K232" s="487"/>
      <c r="L232" s="493"/>
      <c r="M232" s="487"/>
      <c r="N232" s="487"/>
      <c r="O232" s="493"/>
      <c r="P232" s="493"/>
      <c r="Q232" s="493"/>
      <c r="R232" s="493"/>
      <c r="S232" s="493"/>
      <c r="T232" s="493"/>
      <c r="U232" s="487"/>
      <c r="V232" s="487">
        <f t="shared" si="42"/>
        <v>9</v>
      </c>
      <c r="W232" s="487" t="b">
        <v>0</v>
      </c>
    </row>
    <row r="233" spans="1:23" x14ac:dyDescent="0.3">
      <c r="A233" s="487" t="b">
        <v>0</v>
      </c>
      <c r="B233" s="488">
        <f t="shared" si="40"/>
        <v>2</v>
      </c>
      <c r="C233" s="487" t="s">
        <v>7064</v>
      </c>
      <c r="D233" s="490"/>
      <c r="E233" s="502"/>
      <c r="F233" s="492"/>
      <c r="G233" s="493"/>
      <c r="H233" s="493"/>
      <c r="I233" s="488">
        <f t="shared" si="41"/>
        <v>29</v>
      </c>
      <c r="J233" s="493"/>
      <c r="K233" s="487"/>
      <c r="L233" s="493"/>
      <c r="M233" s="487"/>
      <c r="N233" s="487"/>
      <c r="O233" s="493"/>
      <c r="P233" s="493"/>
      <c r="Q233" s="493"/>
      <c r="R233" s="493"/>
      <c r="S233" s="493"/>
      <c r="T233" s="493"/>
      <c r="U233" s="487"/>
      <c r="V233" s="487">
        <f t="shared" si="42"/>
        <v>10</v>
      </c>
      <c r="W233" s="487" t="b">
        <v>0</v>
      </c>
    </row>
    <row r="234" spans="1:23" x14ac:dyDescent="0.3">
      <c r="A234" s="487" t="b">
        <v>0</v>
      </c>
      <c r="B234" s="488">
        <f t="shared" si="40"/>
        <v>2</v>
      </c>
      <c r="C234" s="487" t="s">
        <v>7065</v>
      </c>
      <c r="D234" s="490"/>
      <c r="E234" s="502"/>
      <c r="F234" s="492"/>
      <c r="G234" s="493"/>
      <c r="H234" s="493"/>
      <c r="I234" s="488">
        <f t="shared" si="41"/>
        <v>31</v>
      </c>
      <c r="J234" s="493"/>
      <c r="K234" s="487"/>
      <c r="L234" s="493"/>
      <c r="M234" s="487"/>
      <c r="N234" s="487"/>
      <c r="O234" s="493"/>
      <c r="P234" s="493"/>
      <c r="Q234" s="493"/>
      <c r="R234" s="493"/>
      <c r="S234" s="493"/>
      <c r="T234" s="493"/>
      <c r="U234" s="487"/>
      <c r="V234" s="487">
        <f t="shared" si="42"/>
        <v>11</v>
      </c>
      <c r="W234" s="487" t="b">
        <v>0</v>
      </c>
    </row>
    <row r="235" spans="1:23" x14ac:dyDescent="0.3">
      <c r="A235" s="487" t="b">
        <v>0</v>
      </c>
      <c r="B235" s="488">
        <f t="shared" si="40"/>
        <v>2</v>
      </c>
      <c r="C235" s="487" t="s">
        <v>7066</v>
      </c>
      <c r="D235" s="490"/>
      <c r="E235" s="502"/>
      <c r="F235" s="492"/>
      <c r="G235" s="493"/>
      <c r="H235" s="493"/>
      <c r="I235" s="488">
        <f t="shared" si="41"/>
        <v>33</v>
      </c>
      <c r="J235" s="493"/>
      <c r="K235" s="487"/>
      <c r="L235" s="493"/>
      <c r="M235" s="487"/>
      <c r="N235" s="487"/>
      <c r="O235" s="493"/>
      <c r="P235" s="493"/>
      <c r="Q235" s="493"/>
      <c r="R235" s="493"/>
      <c r="S235" s="493"/>
      <c r="T235" s="493"/>
      <c r="U235" s="487"/>
      <c r="V235" s="487">
        <f t="shared" si="42"/>
        <v>12</v>
      </c>
      <c r="W235" s="487" t="b">
        <v>0</v>
      </c>
    </row>
    <row r="236" spans="1:23" x14ac:dyDescent="0.3">
      <c r="A236" s="487" t="b">
        <v>0</v>
      </c>
      <c r="B236" s="488">
        <f t="shared" si="40"/>
        <v>2</v>
      </c>
      <c r="C236" s="487" t="s">
        <v>7067</v>
      </c>
      <c r="D236" s="490"/>
      <c r="E236" s="502"/>
      <c r="F236" s="492"/>
      <c r="G236" s="493"/>
      <c r="H236" s="493"/>
      <c r="I236" s="488">
        <f t="shared" si="41"/>
        <v>35</v>
      </c>
      <c r="J236" s="493"/>
      <c r="K236" s="487"/>
      <c r="L236" s="493"/>
      <c r="M236" s="487"/>
      <c r="N236" s="487"/>
      <c r="O236" s="493"/>
      <c r="P236" s="493"/>
      <c r="Q236" s="493"/>
      <c r="R236" s="493"/>
      <c r="S236" s="493"/>
      <c r="T236" s="493"/>
      <c r="U236" s="487"/>
      <c r="V236" s="487">
        <f t="shared" si="42"/>
        <v>13</v>
      </c>
      <c r="W236" s="487" t="b">
        <v>0</v>
      </c>
    </row>
    <row r="237" spans="1:23" x14ac:dyDescent="0.3">
      <c r="A237" s="487" t="b">
        <v>0</v>
      </c>
      <c r="B237" s="488">
        <f t="shared" si="40"/>
        <v>2</v>
      </c>
      <c r="C237" s="487" t="s">
        <v>7068</v>
      </c>
      <c r="D237" s="490"/>
      <c r="E237" s="502"/>
      <c r="F237" s="492"/>
      <c r="G237" s="493"/>
      <c r="H237" s="493"/>
      <c r="I237" s="488">
        <f t="shared" si="41"/>
        <v>37</v>
      </c>
      <c r="J237" s="493"/>
      <c r="K237" s="487"/>
      <c r="L237" s="493"/>
      <c r="M237" s="487"/>
      <c r="N237" s="487"/>
      <c r="O237" s="493"/>
      <c r="P237" s="493"/>
      <c r="Q237" s="493"/>
      <c r="R237" s="493"/>
      <c r="S237" s="493"/>
      <c r="T237" s="493"/>
      <c r="U237" s="487"/>
      <c r="V237" s="487">
        <f t="shared" si="42"/>
        <v>14</v>
      </c>
      <c r="W237" s="487" t="b">
        <v>0</v>
      </c>
    </row>
    <row r="238" spans="1:23" x14ac:dyDescent="0.3">
      <c r="A238" s="487" t="b">
        <v>0</v>
      </c>
      <c r="B238" s="488">
        <f t="shared" si="40"/>
        <v>2</v>
      </c>
      <c r="C238" s="487" t="s">
        <v>7069</v>
      </c>
      <c r="D238" s="490"/>
      <c r="E238" s="502"/>
      <c r="F238" s="492"/>
      <c r="G238" s="493"/>
      <c r="H238" s="493"/>
      <c r="I238" s="488">
        <f t="shared" si="41"/>
        <v>39</v>
      </c>
      <c r="J238" s="493"/>
      <c r="K238" s="487"/>
      <c r="L238" s="493"/>
      <c r="M238" s="487"/>
      <c r="N238" s="487"/>
      <c r="O238" s="493"/>
      <c r="P238" s="493"/>
      <c r="Q238" s="493"/>
      <c r="R238" s="493"/>
      <c r="S238" s="493"/>
      <c r="T238" s="493"/>
      <c r="U238" s="487"/>
      <c r="V238" s="487">
        <f t="shared" si="42"/>
        <v>15</v>
      </c>
      <c r="W238" s="487" t="b">
        <v>0</v>
      </c>
    </row>
    <row r="239" spans="1:23" x14ac:dyDescent="0.3">
      <c r="A239" s="487" t="b">
        <f t="shared" ref="A239:A253" ca="1" si="43">IF(AND(OR(P239&lt;&gt;"",M239&lt;&gt;""),OR(D239&lt;&gt;"",E239&lt;&gt;"",F239&lt;&gt;"")),TRUE,FALSE)</f>
        <v>1</v>
      </c>
      <c r="B239" s="488">
        <f t="shared" si="40"/>
        <v>3</v>
      </c>
      <c r="C239" s="500" t="str">
        <f>IFERROR(INDEX(C$222:C239,B239,1),"")</f>
        <v>a1X3p000004GfqbEAC</v>
      </c>
      <c r="D239" s="490">
        <f t="shared" ref="D239:D253" ca="1" si="44">IFERROR(IF(INDIRECT("'Outcome Indicators - Section C '!E"&amp;$I239)=0,"",INDIRECT("'Outcome Indicators - Section C '!E"&amp;$I239)*100),"")</f>
        <v>60.199999999999996</v>
      </c>
      <c r="E239" s="502" t="str">
        <f t="shared" ref="E239:E253" ca="1" si="45">IFERROR(IF(INDIRECT("'Outcome Indicators - Section C '!D"&amp;$I239+1)=0,"",INDIRECT("'Outcome Indicators - Section C '!D"&amp;$I239+1)),"")</f>
        <v/>
      </c>
      <c r="F239" s="492" t="str">
        <f t="shared" ref="F239:F253" ca="1" si="46">IFERROR(IF(INDIRECT("'Outcome Indicators - Section C '!D"&amp;$I239)=0,"",INDIRECT("'Outcome Indicators - Section C '!D"&amp;$I239)),"")</f>
        <v/>
      </c>
      <c r="G239" s="493">
        <f t="shared" ref="G239:G253" ca="1" si="47">IFERROR(IF(INDIRECT("'Outcome Indicators - Section C '!F"&amp;$I239)=0,"",INDIRECT("'Outcome Indicators - Section C '!F"&amp;$I239)),"")</f>
        <v>2017</v>
      </c>
      <c r="H239" s="493" t="str">
        <f t="shared" ref="H239:H253" ca="1" si="48">IFERROR(IF(INDIRECT("'Outcome Indicators - Section C '!AC"&amp;$I19)=0,"",INDIRECT("'Outcome Indicators - Section C '!AC"&amp;$I19)),"")</f>
        <v>Programmatic mapping among MSM in Abidjan using the PLACE method</v>
      </c>
      <c r="I239" s="488">
        <f t="shared" si="41"/>
        <v>9</v>
      </c>
      <c r="J239" s="493" t="str">
        <f t="shared" ref="J239:J253" ca="1" si="49">IFERROR(IF(INDIRECT("'Outcome Indicators - Section C '!AD"&amp;$I239)=0,"",INDIRECT("'Outcome Indicators - Section C '!AD"&amp;$I239)),"")</f>
        <v>According to the modeling report, the use of condoms in 2025 is projected to 90%. According to this and based on historical data, the 2021-2025 NSP targets 75% of men who indicate having used a condom during their last anal intercourse with an occasional partner.
An IBBS survey will be carried out in 2022 to inform the indicator in 2023.</v>
      </c>
      <c r="K239" s="487"/>
      <c r="L239" s="493" t="str">
        <f t="shared" ref="L239:L253" ca="1" si="50">IFERROR(IF(INDIRECT("'Outcome Indicators - Section C '!AB"&amp;$I239)=0,"",INDIRECT("'Outcome Indicators - Section C '!AB"&amp;$I239)),"")</f>
        <v/>
      </c>
      <c r="M239" s="487" t="str">
        <f t="array" aca="1" ref="M239" ca="1">IFERROR(VLOOKUP(LEFT(INDIRECT("'Outcome Indicators - Section C '!B"&amp;$I239),255),LEFT('Reference Records'!$C$20:$L$55,255),10,0),"")</f>
        <v>IOR-00101</v>
      </c>
      <c r="N239" s="487" t="str">
        <f t="shared" ref="N239:N253" ca="1" si="51">IFERROR(IF(INDIRECT("'Outcome Indicators - Section C '!j"&amp;$I239)=0,"",INDIRECT("'Outcome Indicators - Section C '!j"&amp;$I239)),"")</f>
        <v>Côte d'Ivoire</v>
      </c>
      <c r="O239" s="493" t="str">
        <f ca="1">IFERROR(VLOOKUP(INDIRECT("'Outcome Indicators - Section C '!I"&amp;$I239),'Overview - Section A'!M$29:P56,4,0),IFERROR(VLOOKUP(INDIRECT("'Outcome Indicators - Section C '!I"&amp;$I239),'Overview - Section A'!E$26:I44,5,0),""))</f>
        <v>a123p000005UjbKAAS</v>
      </c>
      <c r="P239" s="493" t="str">
        <f t="shared" ref="P239:P253" ca="1" si="52">IFERROR(IF(INDIRECT("'Outcome Indicators - Section C '!C"&amp;$I239)=0,"",INDIRECT("'Outcome Indicators - Section C '!C"&amp;$I239)),"")</f>
        <v/>
      </c>
      <c r="Q239" s="493" t="str">
        <f t="shared" ref="Q239:Q253" ca="1" si="53">IFERROR(IF(INDIRECT("'Outcome Indicators - Section C '!G"&amp;$I19)=0,"",INDIRECT("'Outcome Indicators - Section C '!G"&amp;$I19)),"")</f>
        <v>Cartographie programmatique chez les HSH à Abidjan utilisant la méthode PLACE</v>
      </c>
      <c r="R239" s="493" t="str">
        <f t="shared" ref="R239:R253" ca="1" si="54">IFERROR(IF(INDIRECT("'Outcome Indicators - Section C '!AA"&amp;$I239)=0,"",INDIRECT("'Outcome Indicators - Section C '!AA"&amp;$I239)),"")</f>
        <v>Selon le rapport de la modélisation, l'utilisation du préservatif en 2025 est projeté à 90%. Selon cette base et en se basant des données historiques, le PSN 2021-2025, cible à 75% le pourcentage d’hommes qui indiquent avoir utilisé un préservatif lors de leur dernier rapport anal avec un partenaire occasionel
Une enquête IBBS sera réalisé en 2022 pour renseigner l'indicateur en 2023</v>
      </c>
      <c r="S239" s="493"/>
      <c r="T239" s="493"/>
      <c r="U239" s="487"/>
      <c r="V239" s="487">
        <f t="shared" si="42"/>
        <v>0</v>
      </c>
      <c r="W239" s="487"/>
    </row>
    <row r="240" spans="1:23" x14ac:dyDescent="0.3">
      <c r="A240" s="487" t="b">
        <f t="shared" ca="1" si="43"/>
        <v>1</v>
      </c>
      <c r="B240" s="488">
        <f t="shared" si="40"/>
        <v>4</v>
      </c>
      <c r="C240" s="500" t="str">
        <f>IFERROR(INDEX(C$222:C240,B240,1),"")</f>
        <v>a1X3p000004GfqcEAC</v>
      </c>
      <c r="D240" s="490">
        <f t="shared" ca="1" si="44"/>
        <v>82</v>
      </c>
      <c r="E240" s="502" t="str">
        <f t="shared" ca="1" si="45"/>
        <v/>
      </c>
      <c r="F240" s="492" t="str">
        <f t="shared" ca="1" si="46"/>
        <v/>
      </c>
      <c r="G240" s="493">
        <f t="shared" ca="1" si="47"/>
        <v>2017</v>
      </c>
      <c r="H240" s="493" t="str">
        <f t="shared" ca="1" si="48"/>
        <v>Programmatic mapping among MSM in Abidjan using the PLACE method</v>
      </c>
      <c r="I240" s="488">
        <f t="shared" si="41"/>
        <v>11</v>
      </c>
      <c r="J240" s="493" t="str">
        <f t="shared" ca="1" si="49"/>
        <v>According to the modeling report, the use of condoms in 2025 is projected to 90%. According to this and based on historical data, the 2021-2025 HSP targets 86% of sex workers who report having used a condom with their last client.
An IBBS survey will be carried out in 2022 to inform the indicator in 2023.</v>
      </c>
      <c r="K240" s="487"/>
      <c r="L240" s="493" t="str">
        <f t="shared" ca="1" si="50"/>
        <v/>
      </c>
      <c r="M240" s="487" t="str">
        <f t="array" aca="1" ref="M240" ca="1">IFERROR(VLOOKUP(LEFT(INDIRECT("'Outcome Indicators - Section C '!B"&amp;$I240),255),LEFT('Reference Records'!$C$20:$L$55,255),10,0),"")</f>
        <v>IOR-00103</v>
      </c>
      <c r="N240" s="487" t="str">
        <f t="shared" ca="1" si="51"/>
        <v>Côte d'Ivoire</v>
      </c>
      <c r="O240" s="493" t="str">
        <f ca="1">IFERROR(VLOOKUP(INDIRECT("'Outcome Indicators - Section C '!I"&amp;$I240),'Overview - Section A'!M$29:P57,4,0),IFERROR(VLOOKUP(INDIRECT("'Outcome Indicators - Section C '!I"&amp;$I240),'Overview - Section A'!E$26:I45,5,0),""))</f>
        <v>a123p000005UjbKAAS</v>
      </c>
      <c r="P240" s="493" t="str">
        <f t="shared" ca="1" si="52"/>
        <v/>
      </c>
      <c r="Q240" s="493" t="str">
        <f t="shared" ca="1" si="53"/>
        <v>Cartographie programmatique chez les HSH à Abidjan utilisant la méthode PLACE</v>
      </c>
      <c r="R240" s="493" t="str">
        <f t="shared" ca="1" si="54"/>
        <v>Selon le rapport de la modélisation, l'utilisation du préservatif en 2025 est projeté à 90%. Selon cette base et en se basant des données historiques, le PSN 2021-2025, cible à 86% le pourcentage de professionnels du sexe qui indiquent avoir utilisé un préservatif avec leur dernier client
Une enquête IBBS sera réalisé en 2022 pour renseigner l'indicateur en 2023</v>
      </c>
      <c r="S240" s="493"/>
      <c r="T240" s="493"/>
      <c r="U240" s="487"/>
      <c r="V240" s="487">
        <f t="shared" si="42"/>
        <v>0</v>
      </c>
      <c r="W240" s="487"/>
    </row>
    <row r="241" spans="1:23" x14ac:dyDescent="0.3">
      <c r="A241" s="487" t="b">
        <f t="shared" ca="1" si="43"/>
        <v>1</v>
      </c>
      <c r="B241" s="488">
        <f t="shared" si="40"/>
        <v>5</v>
      </c>
      <c r="C241" s="500" t="str">
        <f>IFERROR(INDEX(C$222:C241,B241,1),"")</f>
        <v>a1X3p000004GfqdEAC</v>
      </c>
      <c r="D241" s="490">
        <f t="shared" ca="1" si="44"/>
        <v>71.103349620079143</v>
      </c>
      <c r="E241" s="502">
        <f t="shared" ca="1" si="45"/>
        <v>269135</v>
      </c>
      <c r="F241" s="492">
        <f t="shared" ca="1" si="46"/>
        <v>191364</v>
      </c>
      <c r="G241" s="493">
        <f t="shared" ca="1" si="47"/>
        <v>2019</v>
      </c>
      <c r="H241" s="493" t="str">
        <f t="shared" ca="1" si="48"/>
        <v>PNLS routine data</v>
      </c>
      <c r="I241" s="488">
        <f t="shared" si="41"/>
        <v>13</v>
      </c>
      <c r="J241" s="493" t="str">
        <f t="shared" ca="1" si="49"/>
        <v>According to the NSP, the % of people who must have an undetectable viral load are 78.3% in 2021, 82% in 2022 and 85.7% in 2023.
Numerator: Number of PLHIV on ARVs with undetectable viral suppression;
Denominator: Number of PLHIV on ARV (active file).</v>
      </c>
      <c r="K241" s="487"/>
      <c r="L241" s="493" t="str">
        <f t="shared" ca="1" si="50"/>
        <v/>
      </c>
      <c r="M241" s="487" t="str">
        <f t="array" aca="1" ref="M241" ca="1">IFERROR(VLOOKUP(LEFT(INDIRECT("'Outcome Indicators - Section C '!B"&amp;$I241),255),LEFT('Reference Records'!$C$20:$L$55,255),10,0),"")</f>
        <v>IOR-00108</v>
      </c>
      <c r="N241" s="487" t="str">
        <f t="shared" ca="1" si="51"/>
        <v>Côte d'Ivoire</v>
      </c>
      <c r="O241" s="493" t="str">
        <f ca="1">IFERROR(VLOOKUP(INDIRECT("'Outcome Indicators - Section C '!I"&amp;$I241),'Overview - Section A'!M$29:P58,4,0),IFERROR(VLOOKUP(INDIRECT("'Outcome Indicators - Section C '!I"&amp;$I241),'Overview - Section A'!E$26:I46,5,0),""))</f>
        <v>a123p000005UjbKAAS</v>
      </c>
      <c r="P241" s="493" t="str">
        <f t="shared" ca="1" si="52"/>
        <v/>
      </c>
      <c r="Q241" s="493" t="str">
        <f t="shared" ca="1" si="53"/>
        <v>Données de routine PNLS</v>
      </c>
      <c r="R241" s="493" t="str">
        <f t="shared" ca="1" si="54"/>
        <v>Selon le PSN les cibles de personnes qui doivent avoir une charge virale indétectable sont de 78,3% en 2021, 82% en 2022 et 85, 7% en 2023. 
Numérateur: Nombre de PVVIH sous ARV ayant une suppression virale indétectable 
Dénominateur: Nombre de PVVIH sous ARV (file active)</v>
      </c>
      <c r="S241" s="493"/>
      <c r="T241" s="493"/>
      <c r="U241" s="487"/>
      <c r="V241" s="487">
        <f t="shared" si="42"/>
        <v>0</v>
      </c>
      <c r="W241" s="487"/>
    </row>
    <row r="242" spans="1:23" x14ac:dyDescent="0.3">
      <c r="A242" s="487" t="b">
        <f t="shared" ca="1" si="43"/>
        <v>1</v>
      </c>
      <c r="B242" s="488">
        <f t="shared" si="40"/>
        <v>6</v>
      </c>
      <c r="C242" s="500" t="str">
        <f>IFERROR(INDEX(C$222:C242,B242,1),"")</f>
        <v>a1X3p000004GfqeEAC</v>
      </c>
      <c r="D242" s="490">
        <f t="shared" ca="1" si="44"/>
        <v>40.438397581254726</v>
      </c>
      <c r="E242" s="502">
        <f t="shared" ca="1" si="45"/>
        <v>1323</v>
      </c>
      <c r="F242" s="492">
        <f t="shared" ca="1" si="46"/>
        <v>535</v>
      </c>
      <c r="G242" s="493">
        <f t="shared" ca="1" si="47"/>
        <v>2016</v>
      </c>
      <c r="H242" s="493" t="str">
        <f t="shared" ca="1" si="48"/>
        <v>Report 2016 Index Stigmat Study</v>
      </c>
      <c r="I242" s="488">
        <f t="shared" si="41"/>
        <v>15</v>
      </c>
      <c r="J242" s="493" t="str">
        <f t="shared" ca="1" si="49"/>
        <v>Percentage of people living with HIV who say they have taken legal action for violating their rights
N = Number of people living with HIV who declared that they had taken legal action following the violation of their rights
D = Number of people living with HIV reporting a violation of their rights</v>
      </c>
      <c r="K242" s="487"/>
      <c r="L242" s="493" t="str">
        <f t="shared" ca="1" si="50"/>
        <v>HIV O-15-Other1: Percentage of people living with HIV who report being victims of HIV-related discrimination</v>
      </c>
      <c r="M242" s="487" t="str">
        <f t="array" aca="1" ref="M242" ca="1">IFERROR(VLOOKUP(LEFT(INDIRECT("'Outcome Indicators - Section C '!B"&amp;$I242),255),LEFT('Reference Records'!$C$20:$L$55,255),10,0),"")</f>
        <v/>
      </c>
      <c r="N242" s="487" t="str">
        <f t="shared" ca="1" si="51"/>
        <v>Côte d'Ivoire</v>
      </c>
      <c r="O242" s="493" t="str">
        <f ca="1">IFERROR(VLOOKUP(INDIRECT("'Outcome Indicators - Section C '!I"&amp;$I242),'Overview - Section A'!M$29:P59,4,0),IFERROR(VLOOKUP(INDIRECT("'Outcome Indicators - Section C '!I"&amp;$I242),'Overview - Section A'!E$26:I47,5,0),""))</f>
        <v>a123p000005UjbLAAS</v>
      </c>
      <c r="P242" s="493" t="str">
        <f t="shared" ca="1" si="52"/>
        <v xml:space="preserve">HIV O-15-Other1: Pourcentage de personnes vivant avec le VIH déclarant avoir été victimes de discrimination liée au VIH </v>
      </c>
      <c r="Q242" s="493" t="str">
        <f t="shared" ca="1" si="53"/>
        <v>Rapport d'Etude Index Stigma 2016</v>
      </c>
      <c r="R242" s="493" t="str">
        <f t="shared" ca="1" si="54"/>
        <v>Selon le rapport d'étude Index Sigma de 2016, ce sont 40,4% de personnes vivant avec le VIH qui ont déclaré avoir été victimes de discrimination liée au VIH.  
Selon le PSN, il faut réduire de 70% les nouvelles infections d'ici 2025. Partant de ces données de base nous comptons réduire la stigmation de 70% d'ici 2025, ce qui correspond une cible de 12,1% en 2025. Par interpollation linéaire on une baisse de 3% par an de 2016 à 2025.  
L'indicateur sera renseigné à partir des études d'index stigma prévu en 2020 et en 2023. 
N=Nombre de personnes vivant avec le VIH déclarant avoir exercé un recours judiciaire à la suite de la violation de leurs droits
D=Nombre de personnes vivant avec le VIH déclarant une violation de leurs droits</v>
      </c>
      <c r="S242" s="493"/>
      <c r="T242" s="493"/>
      <c r="U242" s="487"/>
      <c r="V242" s="487">
        <f t="shared" si="42"/>
        <v>0</v>
      </c>
      <c r="W242" s="487"/>
    </row>
    <row r="243" spans="1:23" x14ac:dyDescent="0.3">
      <c r="A243" s="487" t="b">
        <f t="shared" ca="1" si="43"/>
        <v>0</v>
      </c>
      <c r="B243" s="488">
        <f t="shared" si="40"/>
        <v>7</v>
      </c>
      <c r="C243" s="500" t="str">
        <f>IFERROR(INDEX(C$222:C243,B243,1),"")</f>
        <v>a1X3p000004GfqfEAC</v>
      </c>
      <c r="D243" s="490" t="str">
        <f t="shared" ca="1" si="44"/>
        <v/>
      </c>
      <c r="E243" s="502" t="str">
        <f t="shared" ca="1" si="45"/>
        <v/>
      </c>
      <c r="F243" s="492" t="str">
        <f t="shared" ca="1" si="46"/>
        <v/>
      </c>
      <c r="G243" s="493" t="str">
        <f t="shared" ca="1" si="47"/>
        <v/>
      </c>
      <c r="H243" s="493" t="str">
        <f t="shared" ca="1" si="48"/>
        <v/>
      </c>
      <c r="I243" s="488">
        <f t="shared" si="41"/>
        <v>17</v>
      </c>
      <c r="J243" s="493" t="str">
        <f t="shared" ca="1" si="49"/>
        <v/>
      </c>
      <c r="K243" s="487"/>
      <c r="L243" s="493" t="str">
        <f t="shared" ca="1" si="50"/>
        <v/>
      </c>
      <c r="M243" s="487" t="str">
        <f t="array" aca="1" ref="M243" ca="1">IFERROR(VLOOKUP(LEFT(INDIRECT("'Outcome Indicators - Section C '!B"&amp;$I243),255),LEFT('Reference Records'!$C$20:$L$55,255),10,0),"")</f>
        <v/>
      </c>
      <c r="N243" s="487" t="str">
        <f t="shared" ca="1" si="51"/>
        <v/>
      </c>
      <c r="O243" s="493" t="str">
        <f ca="1">IFERROR(VLOOKUP(INDIRECT("'Outcome Indicators - Section C '!I"&amp;$I243),'Overview - Section A'!M$29:P60,4,0),IFERROR(VLOOKUP(INDIRECT("'Outcome Indicators - Section C '!I"&amp;$I243),'Overview - Section A'!E$26:I48,5,0),""))</f>
        <v/>
      </c>
      <c r="P243" s="493" t="str">
        <f t="shared" ca="1" si="52"/>
        <v/>
      </c>
      <c r="Q243" s="493" t="str">
        <f t="shared" ca="1" si="53"/>
        <v/>
      </c>
      <c r="R243" s="493" t="str">
        <f t="shared" ca="1" si="54"/>
        <v/>
      </c>
      <c r="S243" s="493"/>
      <c r="T243" s="493"/>
      <c r="U243" s="487"/>
      <c r="V243" s="487">
        <f t="shared" si="42"/>
        <v>0</v>
      </c>
      <c r="W243" s="487"/>
    </row>
    <row r="244" spans="1:23" x14ac:dyDescent="0.3">
      <c r="A244" s="487" t="b">
        <f t="shared" ca="1" si="43"/>
        <v>0</v>
      </c>
      <c r="B244" s="488">
        <f t="shared" si="40"/>
        <v>8</v>
      </c>
      <c r="C244" s="500" t="str">
        <f>IFERROR(INDEX(C$222:C244,B244,1),"")</f>
        <v>a1X3p000004GfqgEAC</v>
      </c>
      <c r="D244" s="490" t="str">
        <f t="shared" ca="1" si="44"/>
        <v/>
      </c>
      <c r="E244" s="502" t="str">
        <f t="shared" ca="1" si="45"/>
        <v/>
      </c>
      <c r="F244" s="492" t="str">
        <f t="shared" ca="1" si="46"/>
        <v/>
      </c>
      <c r="G244" s="493" t="str">
        <f t="shared" ca="1" si="47"/>
        <v/>
      </c>
      <c r="H244" s="493" t="str">
        <f t="shared" ca="1" si="48"/>
        <v/>
      </c>
      <c r="I244" s="488">
        <f t="shared" si="41"/>
        <v>19</v>
      </c>
      <c r="J244" s="493" t="str">
        <f t="shared" ca="1" si="49"/>
        <v/>
      </c>
      <c r="K244" s="487"/>
      <c r="L244" s="493" t="str">
        <f t="shared" ca="1" si="50"/>
        <v/>
      </c>
      <c r="M244" s="487" t="str">
        <f t="array" aca="1" ref="M244" ca="1">IFERROR(VLOOKUP(LEFT(INDIRECT("'Outcome Indicators - Section C '!B"&amp;$I244),255),LEFT('Reference Records'!$C$20:$L$55,255),10,0),"")</f>
        <v/>
      </c>
      <c r="N244" s="487" t="str">
        <f t="shared" ca="1" si="51"/>
        <v/>
      </c>
      <c r="O244" s="493" t="str">
        <f ca="1">IFERROR(VLOOKUP(INDIRECT("'Outcome Indicators - Section C '!I"&amp;$I244),'Overview - Section A'!M$29:P61,4,0),IFERROR(VLOOKUP(INDIRECT("'Outcome Indicators - Section C '!I"&amp;$I244),'Overview - Section A'!E$26:I49,5,0),""))</f>
        <v/>
      </c>
      <c r="P244" s="493" t="str">
        <f t="shared" ca="1" si="52"/>
        <v/>
      </c>
      <c r="Q244" s="493" t="str">
        <f t="shared" ca="1" si="53"/>
        <v/>
      </c>
      <c r="R244" s="493" t="str">
        <f t="shared" ca="1" si="54"/>
        <v/>
      </c>
      <c r="S244" s="493"/>
      <c r="T244" s="493"/>
      <c r="U244" s="487"/>
      <c r="V244" s="487">
        <f t="shared" si="42"/>
        <v>0</v>
      </c>
      <c r="W244" s="487"/>
    </row>
    <row r="245" spans="1:23" x14ac:dyDescent="0.3">
      <c r="A245" s="487" t="b">
        <f t="shared" ca="1" si="43"/>
        <v>0</v>
      </c>
      <c r="B245" s="488">
        <f t="shared" si="40"/>
        <v>9</v>
      </c>
      <c r="C245" s="500" t="str">
        <f>IFERROR(INDEX(C$222:C245,B245,1),"")</f>
        <v>a1X3p000004GfqhEAC</v>
      </c>
      <c r="D245" s="490" t="str">
        <f t="shared" ca="1" si="44"/>
        <v/>
      </c>
      <c r="E245" s="502" t="str">
        <f t="shared" ca="1" si="45"/>
        <v/>
      </c>
      <c r="F245" s="492" t="str">
        <f t="shared" ca="1" si="46"/>
        <v/>
      </c>
      <c r="G245" s="493" t="str">
        <f t="shared" ca="1" si="47"/>
        <v/>
      </c>
      <c r="H245" s="493" t="str">
        <f t="shared" ca="1" si="48"/>
        <v/>
      </c>
      <c r="I245" s="488">
        <f t="shared" si="41"/>
        <v>21</v>
      </c>
      <c r="J245" s="493" t="str">
        <f t="shared" ca="1" si="49"/>
        <v/>
      </c>
      <c r="K245" s="487"/>
      <c r="L245" s="493" t="str">
        <f t="shared" ca="1" si="50"/>
        <v/>
      </c>
      <c r="M245" s="487" t="str">
        <f t="array" aca="1" ref="M245" ca="1">IFERROR(VLOOKUP(LEFT(INDIRECT("'Outcome Indicators - Section C '!B"&amp;$I245),255),LEFT('Reference Records'!$C$20:$L$55,255),10,0),"")</f>
        <v/>
      </c>
      <c r="N245" s="487" t="str">
        <f t="shared" ca="1" si="51"/>
        <v/>
      </c>
      <c r="O245" s="493" t="str">
        <f ca="1">IFERROR(VLOOKUP(INDIRECT("'Outcome Indicators - Section C '!I"&amp;$I245),'Overview - Section A'!M$29:P62,4,0),IFERROR(VLOOKUP(INDIRECT("'Outcome Indicators - Section C '!I"&amp;$I245),'Overview - Section A'!E$26:I50,5,0),""))</f>
        <v/>
      </c>
      <c r="P245" s="493" t="str">
        <f t="shared" ca="1" si="52"/>
        <v/>
      </c>
      <c r="Q245" s="493" t="str">
        <f t="shared" ca="1" si="53"/>
        <v/>
      </c>
      <c r="R245" s="493" t="str">
        <f t="shared" ca="1" si="54"/>
        <v/>
      </c>
      <c r="S245" s="493"/>
      <c r="T245" s="493"/>
      <c r="U245" s="487"/>
      <c r="V245" s="487">
        <f t="shared" si="42"/>
        <v>0</v>
      </c>
      <c r="W245" s="487"/>
    </row>
    <row r="246" spans="1:23" x14ac:dyDescent="0.3">
      <c r="A246" s="487" t="b">
        <f t="shared" ca="1" si="43"/>
        <v>0</v>
      </c>
      <c r="B246" s="488">
        <f t="shared" si="40"/>
        <v>10</v>
      </c>
      <c r="C246" s="500" t="str">
        <f>IFERROR(INDEX(C$222:C246,B246,1),"")</f>
        <v>a1X3p000004GfqiEAC</v>
      </c>
      <c r="D246" s="490" t="str">
        <f t="shared" ca="1" si="44"/>
        <v/>
      </c>
      <c r="E246" s="502" t="str">
        <f t="shared" ca="1" si="45"/>
        <v/>
      </c>
      <c r="F246" s="492" t="str">
        <f t="shared" ca="1" si="46"/>
        <v/>
      </c>
      <c r="G246" s="493" t="str">
        <f t="shared" ca="1" si="47"/>
        <v/>
      </c>
      <c r="H246" s="493" t="str">
        <f t="shared" ca="1" si="48"/>
        <v/>
      </c>
      <c r="I246" s="488">
        <f t="shared" si="41"/>
        <v>23</v>
      </c>
      <c r="J246" s="493" t="str">
        <f t="shared" ca="1" si="49"/>
        <v/>
      </c>
      <c r="K246" s="487"/>
      <c r="L246" s="493" t="str">
        <f t="shared" ca="1" si="50"/>
        <v/>
      </c>
      <c r="M246" s="487" t="str">
        <f t="array" aca="1" ref="M246" ca="1">IFERROR(VLOOKUP(LEFT(INDIRECT("'Outcome Indicators - Section C '!B"&amp;$I246),255),LEFT('Reference Records'!$C$20:$L$55,255),10,0),"")</f>
        <v/>
      </c>
      <c r="N246" s="487" t="str">
        <f t="shared" ca="1" si="51"/>
        <v/>
      </c>
      <c r="O246" s="493" t="str">
        <f ca="1">IFERROR(VLOOKUP(INDIRECT("'Outcome Indicators - Section C '!I"&amp;$I246),'Overview - Section A'!M$29:P63,4,0),IFERROR(VLOOKUP(INDIRECT("'Outcome Indicators - Section C '!I"&amp;$I246),'Overview - Section A'!E$26:I51,5,0),""))</f>
        <v/>
      </c>
      <c r="P246" s="493" t="str">
        <f t="shared" ca="1" si="52"/>
        <v/>
      </c>
      <c r="Q246" s="493" t="str">
        <f t="shared" ca="1" si="53"/>
        <v/>
      </c>
      <c r="R246" s="493" t="str">
        <f t="shared" ca="1" si="54"/>
        <v/>
      </c>
      <c r="S246" s="493"/>
      <c r="T246" s="493"/>
      <c r="U246" s="487"/>
      <c r="V246" s="487">
        <f t="shared" si="42"/>
        <v>0</v>
      </c>
      <c r="W246" s="487"/>
    </row>
    <row r="247" spans="1:23" x14ac:dyDescent="0.3">
      <c r="A247" s="487" t="b">
        <f t="shared" ca="1" si="43"/>
        <v>0</v>
      </c>
      <c r="B247" s="488">
        <f t="shared" si="40"/>
        <v>11</v>
      </c>
      <c r="C247" s="500" t="str">
        <f>IFERROR(INDEX(C$222:C247,B247,1),"")</f>
        <v>a1X3p000004GfqjEAC</v>
      </c>
      <c r="D247" s="490" t="str">
        <f t="shared" ca="1" si="44"/>
        <v/>
      </c>
      <c r="E247" s="502" t="str">
        <f t="shared" ca="1" si="45"/>
        <v/>
      </c>
      <c r="F247" s="492" t="str">
        <f t="shared" ca="1" si="46"/>
        <v/>
      </c>
      <c r="G247" s="493" t="str">
        <f t="shared" ca="1" si="47"/>
        <v/>
      </c>
      <c r="H247" s="493" t="str">
        <f t="shared" ca="1" si="48"/>
        <v/>
      </c>
      <c r="I247" s="488">
        <f t="shared" si="41"/>
        <v>25</v>
      </c>
      <c r="J247" s="493" t="str">
        <f t="shared" ca="1" si="49"/>
        <v/>
      </c>
      <c r="K247" s="487"/>
      <c r="L247" s="493" t="str">
        <f t="shared" ca="1" si="50"/>
        <v/>
      </c>
      <c r="M247" s="487" t="str">
        <f t="array" aca="1" ref="M247" ca="1">IFERROR(VLOOKUP(LEFT(INDIRECT("'Outcome Indicators - Section C '!B"&amp;$I247),255),LEFT('Reference Records'!$C$20:$L$55,255),10,0),"")</f>
        <v/>
      </c>
      <c r="N247" s="487" t="str">
        <f t="shared" ca="1" si="51"/>
        <v/>
      </c>
      <c r="O247" s="493" t="str">
        <f ca="1">IFERROR(VLOOKUP(INDIRECT("'Outcome Indicators - Section C '!I"&amp;$I247),'Overview - Section A'!M$29:P64,4,0),IFERROR(VLOOKUP(INDIRECT("'Outcome Indicators - Section C '!I"&amp;$I247),'Overview - Section A'!E$26:I52,5,0),""))</f>
        <v/>
      </c>
      <c r="P247" s="493" t="str">
        <f t="shared" ca="1" si="52"/>
        <v/>
      </c>
      <c r="Q247" s="493" t="str">
        <f t="shared" ca="1" si="53"/>
        <v/>
      </c>
      <c r="R247" s="493" t="str">
        <f t="shared" ca="1" si="54"/>
        <v/>
      </c>
      <c r="S247" s="493"/>
      <c r="T247" s="493"/>
      <c r="U247" s="487"/>
      <c r="V247" s="487">
        <f t="shared" si="42"/>
        <v>0</v>
      </c>
      <c r="W247" s="487"/>
    </row>
    <row r="248" spans="1:23" x14ac:dyDescent="0.3">
      <c r="A248" s="487" t="b">
        <f t="shared" ca="1" si="43"/>
        <v>0</v>
      </c>
      <c r="B248" s="488">
        <f t="shared" si="40"/>
        <v>12</v>
      </c>
      <c r="C248" s="500" t="str">
        <f>IFERROR(INDEX(C$222:C248,B248,1),"")</f>
        <v>a1X3p000004GfqkEAC</v>
      </c>
      <c r="D248" s="490" t="str">
        <f t="shared" ca="1" si="44"/>
        <v/>
      </c>
      <c r="E248" s="502" t="str">
        <f t="shared" ca="1" si="45"/>
        <v/>
      </c>
      <c r="F248" s="492" t="str">
        <f t="shared" ca="1" si="46"/>
        <v/>
      </c>
      <c r="G248" s="493" t="str">
        <f t="shared" ca="1" si="47"/>
        <v/>
      </c>
      <c r="H248" s="493" t="str">
        <f t="shared" ca="1" si="48"/>
        <v/>
      </c>
      <c r="I248" s="488">
        <f t="shared" si="41"/>
        <v>27</v>
      </c>
      <c r="J248" s="493" t="str">
        <f t="shared" ca="1" si="49"/>
        <v/>
      </c>
      <c r="K248" s="487"/>
      <c r="L248" s="493" t="str">
        <f t="shared" ca="1" si="50"/>
        <v/>
      </c>
      <c r="M248" s="487" t="str">
        <f t="array" aca="1" ref="M248" ca="1">IFERROR(VLOOKUP(LEFT(INDIRECT("'Outcome Indicators - Section C '!B"&amp;$I248),255),LEFT('Reference Records'!$C$20:$L$55,255),10,0),"")</f>
        <v/>
      </c>
      <c r="N248" s="487" t="str">
        <f t="shared" ca="1" si="51"/>
        <v/>
      </c>
      <c r="O248" s="493" t="str">
        <f ca="1">IFERROR(VLOOKUP(INDIRECT("'Outcome Indicators - Section C '!I"&amp;$I248),'Overview - Section A'!M$29:P65,4,0),IFERROR(VLOOKUP(INDIRECT("'Outcome Indicators - Section C '!I"&amp;$I248),'Overview - Section A'!E$26:I53,5,0),""))</f>
        <v/>
      </c>
      <c r="P248" s="493" t="str">
        <f t="shared" ca="1" si="52"/>
        <v/>
      </c>
      <c r="Q248" s="493" t="str">
        <f t="shared" ca="1" si="53"/>
        <v/>
      </c>
      <c r="R248" s="493" t="str">
        <f t="shared" ca="1" si="54"/>
        <v/>
      </c>
      <c r="S248" s="493"/>
      <c r="T248" s="493"/>
      <c r="U248" s="487"/>
      <c r="V248" s="487">
        <f t="shared" si="42"/>
        <v>0</v>
      </c>
      <c r="W248" s="487"/>
    </row>
    <row r="249" spans="1:23" x14ac:dyDescent="0.3">
      <c r="A249" s="487" t="b">
        <f t="shared" ca="1" si="43"/>
        <v>0</v>
      </c>
      <c r="B249" s="488">
        <f t="shared" si="40"/>
        <v>13</v>
      </c>
      <c r="C249" s="500" t="str">
        <f>IFERROR(INDEX(C$222:C249,B249,1),"")</f>
        <v>a1X3p000004GfqlEAC</v>
      </c>
      <c r="D249" s="490" t="str">
        <f t="shared" ca="1" si="44"/>
        <v/>
      </c>
      <c r="E249" s="502" t="str">
        <f t="shared" ca="1" si="45"/>
        <v/>
      </c>
      <c r="F249" s="492" t="str">
        <f t="shared" ca="1" si="46"/>
        <v/>
      </c>
      <c r="G249" s="493" t="str">
        <f t="shared" ca="1" si="47"/>
        <v/>
      </c>
      <c r="H249" s="493" t="str">
        <f t="shared" ca="1" si="48"/>
        <v/>
      </c>
      <c r="I249" s="488">
        <f t="shared" si="41"/>
        <v>29</v>
      </c>
      <c r="J249" s="493" t="str">
        <f t="shared" ca="1" si="49"/>
        <v/>
      </c>
      <c r="K249" s="487"/>
      <c r="L249" s="493" t="str">
        <f t="shared" ca="1" si="50"/>
        <v/>
      </c>
      <c r="M249" s="487" t="str">
        <f t="array" aca="1" ref="M249" ca="1">IFERROR(VLOOKUP(LEFT(INDIRECT("'Outcome Indicators - Section C '!B"&amp;$I249),255),LEFT('Reference Records'!$C$20:$L$55,255),10,0),"")</f>
        <v/>
      </c>
      <c r="N249" s="487" t="str">
        <f t="shared" ca="1" si="51"/>
        <v/>
      </c>
      <c r="O249" s="493" t="str">
        <f ca="1">IFERROR(VLOOKUP(INDIRECT("'Outcome Indicators - Section C '!I"&amp;$I249),'Overview - Section A'!M$29:P66,4,0),IFERROR(VLOOKUP(INDIRECT("'Outcome Indicators - Section C '!I"&amp;$I249),'Overview - Section A'!E$26:I54,5,0),""))</f>
        <v/>
      </c>
      <c r="P249" s="493" t="str">
        <f t="shared" ca="1" si="52"/>
        <v/>
      </c>
      <c r="Q249" s="493" t="str">
        <f t="shared" ca="1" si="53"/>
        <v/>
      </c>
      <c r="R249" s="493" t="str">
        <f t="shared" ca="1" si="54"/>
        <v/>
      </c>
      <c r="S249" s="493"/>
      <c r="T249" s="493"/>
      <c r="U249" s="487"/>
      <c r="V249" s="487">
        <f t="shared" si="42"/>
        <v>0</v>
      </c>
      <c r="W249" s="487"/>
    </row>
    <row r="250" spans="1:23" x14ac:dyDescent="0.3">
      <c r="A250" s="487" t="b">
        <f t="shared" ca="1" si="43"/>
        <v>0</v>
      </c>
      <c r="B250" s="488">
        <f t="shared" si="40"/>
        <v>14</v>
      </c>
      <c r="C250" s="500" t="str">
        <f>IFERROR(INDEX(C$222:C250,B250,1),"")</f>
        <v>a1X3p000004GfqmEAC</v>
      </c>
      <c r="D250" s="490" t="str">
        <f t="shared" ca="1" si="44"/>
        <v/>
      </c>
      <c r="E250" s="502" t="str">
        <f t="shared" ca="1" si="45"/>
        <v/>
      </c>
      <c r="F250" s="492" t="str">
        <f t="shared" ca="1" si="46"/>
        <v/>
      </c>
      <c r="G250" s="493" t="str">
        <f t="shared" ca="1" si="47"/>
        <v/>
      </c>
      <c r="H250" s="493" t="str">
        <f t="shared" ca="1" si="48"/>
        <v/>
      </c>
      <c r="I250" s="488">
        <f t="shared" si="41"/>
        <v>31</v>
      </c>
      <c r="J250" s="493" t="str">
        <f t="shared" ca="1" si="49"/>
        <v/>
      </c>
      <c r="K250" s="487"/>
      <c r="L250" s="493" t="str">
        <f t="shared" ca="1" si="50"/>
        <v/>
      </c>
      <c r="M250" s="487" t="str">
        <f t="array" aca="1" ref="M250" ca="1">IFERROR(VLOOKUP(LEFT(INDIRECT("'Outcome Indicators - Section C '!B"&amp;$I250),255),LEFT('Reference Records'!$C$20:$L$55,255),10,0),"")</f>
        <v/>
      </c>
      <c r="N250" s="487" t="str">
        <f t="shared" ca="1" si="51"/>
        <v/>
      </c>
      <c r="O250" s="493" t="str">
        <f ca="1">IFERROR(VLOOKUP(INDIRECT("'Outcome Indicators - Section C '!I"&amp;$I250),'Overview - Section A'!M$29:P67,4,0),IFERROR(VLOOKUP(INDIRECT("'Outcome Indicators - Section C '!I"&amp;$I250),'Overview - Section A'!E$26:I55,5,0),""))</f>
        <v/>
      </c>
      <c r="P250" s="493" t="str">
        <f t="shared" ca="1" si="52"/>
        <v/>
      </c>
      <c r="Q250" s="493" t="str">
        <f t="shared" ca="1" si="53"/>
        <v/>
      </c>
      <c r="R250" s="493" t="str">
        <f t="shared" ca="1" si="54"/>
        <v/>
      </c>
      <c r="S250" s="493"/>
      <c r="T250" s="493"/>
      <c r="U250" s="487"/>
      <c r="V250" s="487">
        <f t="shared" si="42"/>
        <v>0</v>
      </c>
      <c r="W250" s="487"/>
    </row>
    <row r="251" spans="1:23" x14ac:dyDescent="0.3">
      <c r="A251" s="487" t="b">
        <f t="shared" ca="1" si="43"/>
        <v>0</v>
      </c>
      <c r="B251" s="488">
        <f t="shared" si="40"/>
        <v>15</v>
      </c>
      <c r="C251" s="500" t="str">
        <f>IFERROR(INDEX(C$222:C251,B251,1),"")</f>
        <v>a1X3p000004GfqnEAC</v>
      </c>
      <c r="D251" s="490" t="str">
        <f t="shared" ca="1" si="44"/>
        <v/>
      </c>
      <c r="E251" s="502" t="str">
        <f t="shared" ca="1" si="45"/>
        <v/>
      </c>
      <c r="F251" s="492" t="str">
        <f t="shared" ca="1" si="46"/>
        <v/>
      </c>
      <c r="G251" s="493" t="str">
        <f t="shared" ca="1" si="47"/>
        <v/>
      </c>
      <c r="H251" s="493" t="str">
        <f t="shared" ca="1" si="48"/>
        <v/>
      </c>
      <c r="I251" s="488">
        <f t="shared" si="41"/>
        <v>33</v>
      </c>
      <c r="J251" s="493" t="str">
        <f t="shared" ca="1" si="49"/>
        <v/>
      </c>
      <c r="K251" s="487"/>
      <c r="L251" s="493" t="str">
        <f t="shared" ca="1" si="50"/>
        <v/>
      </c>
      <c r="M251" s="487" t="str">
        <f t="array" aca="1" ref="M251" ca="1">IFERROR(VLOOKUP(LEFT(INDIRECT("'Outcome Indicators - Section C '!B"&amp;$I251),255),LEFT('Reference Records'!$C$20:$L$55,255),10,0),"")</f>
        <v/>
      </c>
      <c r="N251" s="487" t="str">
        <f t="shared" ca="1" si="51"/>
        <v/>
      </c>
      <c r="O251" s="493" t="str">
        <f ca="1">IFERROR(VLOOKUP(INDIRECT("'Outcome Indicators - Section C '!I"&amp;$I251),'Overview - Section A'!M$29:P68,4,0),IFERROR(VLOOKUP(INDIRECT("'Outcome Indicators - Section C '!I"&amp;$I251),'Overview - Section A'!E$26:I56,5,0),""))</f>
        <v/>
      </c>
      <c r="P251" s="493" t="str">
        <f t="shared" ca="1" si="52"/>
        <v/>
      </c>
      <c r="Q251" s="493" t="str">
        <f t="shared" ca="1" si="53"/>
        <v/>
      </c>
      <c r="R251" s="493" t="str">
        <f t="shared" ca="1" si="54"/>
        <v/>
      </c>
      <c r="S251" s="493"/>
      <c r="T251" s="493"/>
      <c r="U251" s="487"/>
      <c r="V251" s="487">
        <f t="shared" si="42"/>
        <v>0</v>
      </c>
      <c r="W251" s="487"/>
    </row>
    <row r="252" spans="1:23" x14ac:dyDescent="0.3">
      <c r="A252" s="487" t="b">
        <f t="shared" ca="1" si="43"/>
        <v>0</v>
      </c>
      <c r="B252" s="488">
        <f t="shared" si="40"/>
        <v>16</v>
      </c>
      <c r="C252" s="500" t="str">
        <f>IFERROR(INDEX(C$222:C252,B252,1),"")</f>
        <v>a1X3p000004GfqoEAC</v>
      </c>
      <c r="D252" s="490" t="str">
        <f t="shared" ca="1" si="44"/>
        <v/>
      </c>
      <c r="E252" s="502" t="str">
        <f t="shared" ca="1" si="45"/>
        <v/>
      </c>
      <c r="F252" s="492" t="str">
        <f t="shared" ca="1" si="46"/>
        <v/>
      </c>
      <c r="G252" s="493" t="str">
        <f t="shared" ca="1" si="47"/>
        <v/>
      </c>
      <c r="H252" s="493" t="str">
        <f t="shared" ca="1" si="48"/>
        <v/>
      </c>
      <c r="I252" s="488">
        <f t="shared" si="41"/>
        <v>35</v>
      </c>
      <c r="J252" s="493" t="str">
        <f t="shared" ca="1" si="49"/>
        <v/>
      </c>
      <c r="K252" s="487"/>
      <c r="L252" s="493" t="str">
        <f t="shared" ca="1" si="50"/>
        <v/>
      </c>
      <c r="M252" s="487" t="str">
        <f t="array" aca="1" ref="M252" ca="1">IFERROR(VLOOKUP(LEFT(INDIRECT("'Outcome Indicators - Section C '!B"&amp;$I252),255),LEFT('Reference Records'!$C$20:$L$55,255),10,0),"")</f>
        <v/>
      </c>
      <c r="N252" s="487" t="str">
        <f t="shared" ca="1" si="51"/>
        <v/>
      </c>
      <c r="O252" s="493" t="str">
        <f ca="1">IFERROR(VLOOKUP(INDIRECT("'Outcome Indicators - Section C '!I"&amp;$I252),'Overview - Section A'!M$29:P69,4,0),IFERROR(VLOOKUP(INDIRECT("'Outcome Indicators - Section C '!I"&amp;$I252),'Overview - Section A'!E$26:I57,5,0),""))</f>
        <v/>
      </c>
      <c r="P252" s="493" t="str">
        <f t="shared" ca="1" si="52"/>
        <v/>
      </c>
      <c r="Q252" s="493" t="str">
        <f t="shared" ca="1" si="53"/>
        <v/>
      </c>
      <c r="R252" s="493" t="str">
        <f t="shared" ca="1" si="54"/>
        <v/>
      </c>
      <c r="S252" s="493"/>
      <c r="T252" s="493"/>
      <c r="U252" s="487"/>
      <c r="V252" s="487">
        <f t="shared" si="42"/>
        <v>0</v>
      </c>
      <c r="W252" s="487"/>
    </row>
    <row r="253" spans="1:23" x14ac:dyDescent="0.3">
      <c r="A253" s="487" t="b">
        <f t="shared" ca="1" si="43"/>
        <v>0</v>
      </c>
      <c r="B253" s="488">
        <f t="shared" si="40"/>
        <v>17</v>
      </c>
      <c r="C253" s="500" t="str">
        <f>IFERROR(INDEX(C$222:C253,B253,1),"")</f>
        <v>a1X3p000004GfqpEAC</v>
      </c>
      <c r="D253" s="490" t="str">
        <f t="shared" ca="1" si="44"/>
        <v/>
      </c>
      <c r="E253" s="502" t="str">
        <f t="shared" ca="1" si="45"/>
        <v/>
      </c>
      <c r="F253" s="492" t="str">
        <f t="shared" ca="1" si="46"/>
        <v/>
      </c>
      <c r="G253" s="493" t="str">
        <f t="shared" ca="1" si="47"/>
        <v/>
      </c>
      <c r="H253" s="493" t="str">
        <f t="shared" ca="1" si="48"/>
        <v/>
      </c>
      <c r="I253" s="488">
        <f t="shared" si="41"/>
        <v>37</v>
      </c>
      <c r="J253" s="493" t="str">
        <f t="shared" ca="1" si="49"/>
        <v/>
      </c>
      <c r="K253" s="487"/>
      <c r="L253" s="493" t="str">
        <f t="shared" ca="1" si="50"/>
        <v/>
      </c>
      <c r="M253" s="487" t="str">
        <f t="array" aca="1" ref="M253" ca="1">IFERROR(VLOOKUP(LEFT(INDIRECT("'Outcome Indicators - Section C '!B"&amp;$I253),255),LEFT('Reference Records'!$C$20:$L$55,255),10,0),"")</f>
        <v/>
      </c>
      <c r="N253" s="487" t="str">
        <f t="shared" ca="1" si="51"/>
        <v/>
      </c>
      <c r="O253" s="493" t="str">
        <f ca="1">IFERROR(VLOOKUP(INDIRECT("'Outcome Indicators - Section C '!I"&amp;$I253),'Overview - Section A'!M$29:P70,4,0),IFERROR(VLOOKUP(INDIRECT("'Outcome Indicators - Section C '!I"&amp;$I253),'Overview - Section A'!E$26:I58,5,0),""))</f>
        <v/>
      </c>
      <c r="P253" s="493" t="str">
        <f t="shared" ca="1" si="52"/>
        <v/>
      </c>
      <c r="Q253" s="493" t="str">
        <f t="shared" ca="1" si="53"/>
        <v/>
      </c>
      <c r="R253" s="493" t="str">
        <f t="shared" ca="1" si="54"/>
        <v/>
      </c>
      <c r="S253" s="493"/>
      <c r="T253" s="493"/>
      <c r="U253" s="487"/>
      <c r="V253" s="487">
        <f t="shared" si="42"/>
        <v>0</v>
      </c>
      <c r="W253" s="487"/>
    </row>
    <row r="254" spans="1:23" x14ac:dyDescent="0.3">
      <c r="B254" s="496"/>
      <c r="I254" s="496"/>
    </row>
    <row r="255" spans="1:23" x14ac:dyDescent="0.3">
      <c r="B255" s="496"/>
      <c r="I255" s="496"/>
    </row>
    <row r="256" spans="1:23" x14ac:dyDescent="0.3">
      <c r="J256" s="486" t="str">
        <f ca="1">IF(ROW()&gt;'Impact Indicator Target Update'!A9,"",INDIRECT("'Impact Indicators - Section B'!A"&amp;'Impact Indicator Target Update'!D9))</f>
        <v/>
      </c>
    </row>
    <row r="257" spans="1:17" x14ac:dyDescent="0.3">
      <c r="A257" s="497" t="s">
        <v>342</v>
      </c>
      <c r="J257" s="486" t="str">
        <f ca="1">IF(ROW()&gt;'Impact Indicator Target Update'!A10,"",INDIRECT("'Impact Indicators - Section B'!A"&amp;'Impact Indicator Target Update'!D10))</f>
        <v/>
      </c>
    </row>
    <row r="258" spans="1:17" x14ac:dyDescent="0.3">
      <c r="A258" s="487"/>
      <c r="B258" s="501">
        <v>-91</v>
      </c>
      <c r="C258" s="487" t="s">
        <v>48</v>
      </c>
      <c r="D258" s="487" t="s">
        <v>345</v>
      </c>
      <c r="E258" s="487" t="s">
        <v>344</v>
      </c>
      <c r="F258" s="487" t="s">
        <v>22</v>
      </c>
      <c r="G258" s="487"/>
      <c r="H258" s="487" t="s">
        <v>249</v>
      </c>
      <c r="I258" s="487" t="s">
        <v>7</v>
      </c>
      <c r="J258" s="487" t="s">
        <v>6</v>
      </c>
      <c r="K258" s="487" t="s">
        <v>8</v>
      </c>
      <c r="L258" s="487" t="s">
        <v>149</v>
      </c>
      <c r="M258" s="487" t="s">
        <v>26</v>
      </c>
      <c r="N258" s="487" t="s">
        <v>109</v>
      </c>
      <c r="O258" s="487"/>
      <c r="P258" s="487">
        <v>-1</v>
      </c>
      <c r="Q258" s="487" t="s">
        <v>359</v>
      </c>
    </row>
    <row r="259" spans="1:17" hidden="1" x14ac:dyDescent="0.3">
      <c r="A259" s="487" t="b">
        <f ca="1">IF(AND(OR(I259&lt;&gt;"",J259&lt;&gt;"",K259&lt;&gt;""),L259&lt;&gt;""),TRUE,FALSE)</f>
        <v>0</v>
      </c>
      <c r="B259" s="501">
        <f>B258+1</f>
        <v>-90</v>
      </c>
      <c r="C259" s="505" t="str">
        <f ca="1">IF(COUNTA(D$257:D258)=1,"",OFFSET(B257,-COUNTA(D$257:D258)+3,1))</f>
        <v/>
      </c>
      <c r="D259" s="487"/>
      <c r="E259" s="487">
        <f ca="1">COUNTIF(F254:F259,F259)</f>
        <v>5</v>
      </c>
      <c r="F259" s="506" t="str">
        <f ca="1">IF(COUNTA(D$257:D258)=1,"",OFFSET(F257,-COUNTA(D$257:D258)+3,0))</f>
        <v/>
      </c>
      <c r="G259" s="487"/>
      <c r="H259" s="487" t="str">
        <f ca="1">IF(F259=1,9,IF(E258=MAX(E257:E259),H257+2,H258))</f>
        <v>row number</v>
      </c>
      <c r="I259" s="502" t="str">
        <f ca="1">IFERROR(CHOOSE(E259,IFERROR(IF(INDIRECT("'Outcome Indicators - Section C '!K"&amp;H259+1)=0,"",INDIRECT("'Outcome Indicators - Section C '!k"&amp;H259+1)),""),IFERROR(IF(INDIRECT("'Outcome Indicators - Section C '!O"&amp;H259+1)=0,"",INDIRECT("'Outcome Indicators - Section C '!O"&amp;H259+1)),""),IFERROR(IF(INDIRECT("'Outcome Indicators - Section C '!S"&amp;H259+1)=0,"",INDIRECT("'Outcome Indicators - Section C '!S"&amp;H259+1)),""),IFERROR(IF(INDIRECT("'Outcome Indicators - Section C '!W"&amp;H259+1)=0,"",INDIRECT("'Outcome Indicators - Section C '!W"&amp;H259+1)),"")),"")</f>
        <v/>
      </c>
      <c r="J259" s="492" t="str">
        <f ca="1">IFERROR(CHOOSE(E259,IFERROR(IF(INDIRECT("'Outcome Indicators - Section C '!K"&amp;H259)=0,"",INDIRECT("'Outcome Indicators - Section C '!k"&amp;H259)),""),IFERROR(IF(INDIRECT("'Outcome Indicators - Section C '!O"&amp;H259)=0,"",INDIRECT("'Outcome Indicators - Section C '!O"&amp;H259)),""),IFERROR(IF(INDIRECT("'Outcome Indicators - Section C '!S"&amp;H259)=0,"",INDIRECT("'Outcome Indicators - Section C '!S"&amp;H259)),""),IFERROR(IF(INDIRECT("'Outcome Indicators - Section C '!W"&amp;H259)=0,"",INDIRECT("'Outcome Indicators - Section C '!W"&amp;H259)),"")),"")</f>
        <v/>
      </c>
      <c r="K259" s="490" t="str">
        <f ca="1">IFERROR(CHOOSE(E259,IFERROR(IF(INDIRECT("'Outcome Indicators - Section C '!L"&amp;H259)=0,"",INDIRECT("'Outcome Indicators - Section C '!L"&amp;H259)*100),""),IFERROR(IF(INDIRECT("'Outcome Indicators - Section C '!P"&amp;H259)=0,"",INDIRECT("'Outcome Indicators - Section C '!P"&amp;H259)*100),""),IFERROR(IF(INDIRECT("'Outcome Indicators - Section C '!T"&amp;H259)=0,"",INDIRECT("'Outcome Indicators - Section C '!T"&amp;H259)*100),""),IFERROR(IF(INDIRECT("'Outcome Indicators - Section C '!X"&amp;H259)=0,"",INDIRECT("'Outcome Indicators - Section C '!X"&amp;H259)*100),"")),"")</f>
        <v/>
      </c>
      <c r="L259" s="493" t="str">
        <f ca="1">IFERROR(CHOOSE(E259,'Outcome Indicators - Section C '!$K$7,'Outcome Indicators - Section C '!$O$7,'Outcome Indicators - Section C '!$S$7,'Outcome Indicators - Section C '!$W$7),"")</f>
        <v/>
      </c>
      <c r="M259" s="504" t="str">
        <f ca="1">IFERROR(CHOOSE(E259,IFERROR(IF(INDIRECT("'Outcome Indicators - Section C '!M"&amp;H259)=0,"",INDIRECT("'Outcome Indicators - Section C '!M"&amp;H259)),""),IFERROR(IF(INDIRECT("'Outcome Indicators - Section C '!Q"&amp;H259)=0,"",INDIRECT("'Outcome Indicators - Section C '!Q"&amp;H259)),""),IFERROR(IF(INDIRECT("'Outcome Indicators - Section C '!U"&amp;H259)=0,"",INDIRECT("'Outcome Indicators - Section C '!U"&amp;H259)),""),IFERROR(IF(INDIRECT("'Outcome Indicators - Section C '!Y"&amp;H259)=0,"",INDIRECT("'Outcome Indicators - Section C '!Y"&amp;H259)),"")),"")</f>
        <v/>
      </c>
      <c r="N259" s="493" t="str">
        <f ca="1">IFERROR(CHOOSE(E259,IFERROR(IF(INDIRECT("'Outcome Indicators - Section C '!N"&amp;H259)=0,"",INDIRECT("'Outcome Indicators - Section C '!N"&amp;H259)),""),IFERROR(IF(INDIRECT("'Outcome Indicators - Section C '!R"&amp;H259)=0,"",INDIRECT("'Outcome Indicators - Section C '!R"&amp;H259)),""),IFERROR(IF(INDIRECT("'Outcome Indicators - Section C '!V"&amp;H259)=0,"",INDIRECT("'Outcome Indicators - Section C '!V"&amp;H259)),""),IFERROR(IF(INDIRECT("'Outcome Indicators - Section C '!Z"&amp;H259)=0,"",INDIRECT("'Outcome Indicators - Section C '!Z"&amp;H259)),"")),"")</f>
        <v/>
      </c>
      <c r="O259" s="487"/>
      <c r="P259" s="487">
        <f>IF(NOT(_xlfn.ISFORMULA(I259)),P258+1,0)</f>
        <v>0</v>
      </c>
      <c r="Q259" s="493" t="s">
        <v>358</v>
      </c>
    </row>
    <row r="260" spans="1:17" x14ac:dyDescent="0.3">
      <c r="A260" s="487" t="b">
        <v>0</v>
      </c>
      <c r="B260" s="501">
        <f t="shared" ref="B260:B323" si="55">B259+1</f>
        <v>-89</v>
      </c>
      <c r="C260" s="505" t="s">
        <v>7070</v>
      </c>
      <c r="D260" s="487" t="s">
        <v>4181</v>
      </c>
      <c r="E260" s="487">
        <f t="shared" ref="E260:E323" ca="1" si="56">COUNTIF(F255:F260,F260)</f>
        <v>1</v>
      </c>
      <c r="F260" s="506">
        <v>1</v>
      </c>
      <c r="G260" s="487"/>
      <c r="H260" s="487">
        <f t="shared" ref="H260:H323" si="57">IF(F260=1,9,IF(E259=MAX(E258:E260),H258+2,H259))</f>
        <v>9</v>
      </c>
      <c r="I260" s="502"/>
      <c r="J260" s="492"/>
      <c r="K260" s="490"/>
      <c r="L260" s="493"/>
      <c r="M260" s="504"/>
      <c r="N260" s="493"/>
      <c r="O260" s="487"/>
      <c r="P260" s="487">
        <f t="shared" ref="P260:P323" si="58">IF(NOT(_xlfn.ISFORMULA(I260)),P259+1,0)</f>
        <v>1</v>
      </c>
      <c r="Q260" s="493"/>
    </row>
    <row r="261" spans="1:17" x14ac:dyDescent="0.3">
      <c r="A261" s="487" t="b">
        <v>0</v>
      </c>
      <c r="B261" s="501">
        <f t="shared" si="55"/>
        <v>-88</v>
      </c>
      <c r="C261" s="505" t="s">
        <v>7071</v>
      </c>
      <c r="D261" s="487" t="s">
        <v>4181</v>
      </c>
      <c r="E261" s="487">
        <f t="shared" ca="1" si="56"/>
        <v>2</v>
      </c>
      <c r="F261" s="506">
        <v>1</v>
      </c>
      <c r="G261" s="487"/>
      <c r="H261" s="487">
        <f t="shared" si="57"/>
        <v>9</v>
      </c>
      <c r="I261" s="502"/>
      <c r="J261" s="492"/>
      <c r="K261" s="490"/>
      <c r="L261" s="493"/>
      <c r="M261" s="504"/>
      <c r="N261" s="493"/>
      <c r="O261" s="487"/>
      <c r="P261" s="487">
        <f t="shared" si="58"/>
        <v>2</v>
      </c>
      <c r="Q261" s="493"/>
    </row>
    <row r="262" spans="1:17" x14ac:dyDescent="0.3">
      <c r="A262" s="487" t="b">
        <v>0</v>
      </c>
      <c r="B262" s="501">
        <f t="shared" si="55"/>
        <v>-87</v>
      </c>
      <c r="C262" s="505" t="s">
        <v>7072</v>
      </c>
      <c r="D262" s="487" t="s">
        <v>4181</v>
      </c>
      <c r="E262" s="487">
        <f t="shared" ca="1" si="56"/>
        <v>3</v>
      </c>
      <c r="F262" s="506">
        <v>1</v>
      </c>
      <c r="G262" s="487"/>
      <c r="H262" s="487">
        <f t="shared" si="57"/>
        <v>9</v>
      </c>
      <c r="I262" s="502"/>
      <c r="J262" s="492"/>
      <c r="K262" s="490"/>
      <c r="L262" s="493"/>
      <c r="M262" s="504"/>
      <c r="N262" s="493"/>
      <c r="O262" s="487"/>
      <c r="P262" s="487">
        <f t="shared" si="58"/>
        <v>3</v>
      </c>
      <c r="Q262" s="493"/>
    </row>
    <row r="263" spans="1:17" x14ac:dyDescent="0.3">
      <c r="A263" s="487" t="b">
        <v>0</v>
      </c>
      <c r="B263" s="501">
        <f t="shared" si="55"/>
        <v>-86</v>
      </c>
      <c r="C263" s="505" t="s">
        <v>7073</v>
      </c>
      <c r="D263" s="487" t="s">
        <v>4181</v>
      </c>
      <c r="E263" s="487">
        <f t="shared" ca="1" si="56"/>
        <v>4</v>
      </c>
      <c r="F263" s="506">
        <v>1</v>
      </c>
      <c r="G263" s="487"/>
      <c r="H263" s="487">
        <f t="shared" si="57"/>
        <v>9</v>
      </c>
      <c r="I263" s="502"/>
      <c r="J263" s="492"/>
      <c r="K263" s="490"/>
      <c r="L263" s="493"/>
      <c r="M263" s="504"/>
      <c r="N263" s="493"/>
      <c r="O263" s="487"/>
      <c r="P263" s="487">
        <f t="shared" si="58"/>
        <v>4</v>
      </c>
      <c r="Q263" s="493"/>
    </row>
    <row r="264" spans="1:17" x14ac:dyDescent="0.3">
      <c r="A264" s="487" t="b">
        <v>0</v>
      </c>
      <c r="B264" s="501">
        <f t="shared" si="55"/>
        <v>-85</v>
      </c>
      <c r="C264" s="505" t="s">
        <v>7074</v>
      </c>
      <c r="D264" s="487" t="s">
        <v>4181</v>
      </c>
      <c r="E264" s="487">
        <f t="shared" ca="1" si="56"/>
        <v>5</v>
      </c>
      <c r="F264" s="506">
        <v>1</v>
      </c>
      <c r="G264" s="487"/>
      <c r="H264" s="487">
        <f t="shared" si="57"/>
        <v>9</v>
      </c>
      <c r="I264" s="502"/>
      <c r="J264" s="492"/>
      <c r="K264" s="490"/>
      <c r="L264" s="493"/>
      <c r="M264" s="504"/>
      <c r="N264" s="493"/>
      <c r="O264" s="487"/>
      <c r="P264" s="487">
        <f t="shared" si="58"/>
        <v>5</v>
      </c>
      <c r="Q264" s="493"/>
    </row>
    <row r="265" spans="1:17" x14ac:dyDescent="0.3">
      <c r="A265" s="487" t="b">
        <v>0</v>
      </c>
      <c r="B265" s="501">
        <f t="shared" si="55"/>
        <v>-84</v>
      </c>
      <c r="C265" s="505" t="s">
        <v>7075</v>
      </c>
      <c r="D265" s="487" t="s">
        <v>4181</v>
      </c>
      <c r="E265" s="487">
        <f t="shared" si="56"/>
        <v>6</v>
      </c>
      <c r="F265" s="506">
        <v>1</v>
      </c>
      <c r="G265" s="487"/>
      <c r="H265" s="487">
        <f t="shared" si="57"/>
        <v>9</v>
      </c>
      <c r="I265" s="502"/>
      <c r="J265" s="492"/>
      <c r="K265" s="490"/>
      <c r="L265" s="493"/>
      <c r="M265" s="504"/>
      <c r="N265" s="493"/>
      <c r="O265" s="487"/>
      <c r="P265" s="487">
        <f t="shared" si="58"/>
        <v>6</v>
      </c>
      <c r="Q265" s="493"/>
    </row>
    <row r="266" spans="1:17" x14ac:dyDescent="0.3">
      <c r="A266" s="487" t="b">
        <v>0</v>
      </c>
      <c r="B266" s="501">
        <f t="shared" si="55"/>
        <v>-83</v>
      </c>
      <c r="C266" s="505" t="s">
        <v>7076</v>
      </c>
      <c r="D266" s="487" t="s">
        <v>4202</v>
      </c>
      <c r="E266" s="487">
        <f t="shared" si="56"/>
        <v>1</v>
      </c>
      <c r="F266" s="506">
        <v>2</v>
      </c>
      <c r="G266" s="487"/>
      <c r="H266" s="487">
        <f t="shared" ca="1" si="57"/>
        <v>11</v>
      </c>
      <c r="I266" s="502"/>
      <c r="J266" s="492"/>
      <c r="K266" s="490"/>
      <c r="L266" s="493"/>
      <c r="M266" s="504"/>
      <c r="N266" s="493"/>
      <c r="O266" s="487"/>
      <c r="P266" s="487">
        <f t="shared" si="58"/>
        <v>7</v>
      </c>
      <c r="Q266" s="493"/>
    </row>
    <row r="267" spans="1:17" x14ac:dyDescent="0.3">
      <c r="A267" s="487" t="b">
        <v>0</v>
      </c>
      <c r="B267" s="501">
        <f t="shared" si="55"/>
        <v>-82</v>
      </c>
      <c r="C267" s="505" t="s">
        <v>7077</v>
      </c>
      <c r="D267" s="487" t="s">
        <v>4202</v>
      </c>
      <c r="E267" s="487">
        <f t="shared" si="56"/>
        <v>2</v>
      </c>
      <c r="F267" s="506">
        <v>2</v>
      </c>
      <c r="G267" s="487"/>
      <c r="H267" s="487">
        <f t="shared" ca="1" si="57"/>
        <v>11</v>
      </c>
      <c r="I267" s="502"/>
      <c r="J267" s="492"/>
      <c r="K267" s="490"/>
      <c r="L267" s="493"/>
      <c r="M267" s="504"/>
      <c r="N267" s="493"/>
      <c r="O267" s="487"/>
      <c r="P267" s="487">
        <f t="shared" si="58"/>
        <v>8</v>
      </c>
      <c r="Q267" s="493"/>
    </row>
    <row r="268" spans="1:17" x14ac:dyDescent="0.3">
      <c r="A268" s="487" t="b">
        <v>0</v>
      </c>
      <c r="B268" s="501">
        <f t="shared" si="55"/>
        <v>-81</v>
      </c>
      <c r="C268" s="505" t="s">
        <v>7078</v>
      </c>
      <c r="D268" s="487" t="s">
        <v>4202</v>
      </c>
      <c r="E268" s="487">
        <f t="shared" si="56"/>
        <v>3</v>
      </c>
      <c r="F268" s="506">
        <v>2</v>
      </c>
      <c r="G268" s="487"/>
      <c r="H268" s="487">
        <f t="shared" ca="1" si="57"/>
        <v>11</v>
      </c>
      <c r="I268" s="502"/>
      <c r="J268" s="492"/>
      <c r="K268" s="490"/>
      <c r="L268" s="493"/>
      <c r="M268" s="504"/>
      <c r="N268" s="493"/>
      <c r="O268" s="487"/>
      <c r="P268" s="487">
        <f t="shared" si="58"/>
        <v>9</v>
      </c>
      <c r="Q268" s="493"/>
    </row>
    <row r="269" spans="1:17" x14ac:dyDescent="0.3">
      <c r="A269" s="487" t="b">
        <v>0</v>
      </c>
      <c r="B269" s="501">
        <f t="shared" si="55"/>
        <v>-80</v>
      </c>
      <c r="C269" s="505" t="s">
        <v>7079</v>
      </c>
      <c r="D269" s="487" t="s">
        <v>4202</v>
      </c>
      <c r="E269" s="487">
        <f t="shared" si="56"/>
        <v>4</v>
      </c>
      <c r="F269" s="506">
        <v>2</v>
      </c>
      <c r="G269" s="487"/>
      <c r="H269" s="487">
        <f t="shared" ca="1" si="57"/>
        <v>11</v>
      </c>
      <c r="I269" s="502"/>
      <c r="J269" s="492"/>
      <c r="K269" s="490"/>
      <c r="L269" s="493"/>
      <c r="M269" s="504"/>
      <c r="N269" s="493"/>
      <c r="O269" s="487"/>
      <c r="P269" s="487">
        <f t="shared" si="58"/>
        <v>10</v>
      </c>
      <c r="Q269" s="493"/>
    </row>
    <row r="270" spans="1:17" x14ac:dyDescent="0.3">
      <c r="A270" s="487" t="b">
        <v>0</v>
      </c>
      <c r="B270" s="501">
        <f t="shared" si="55"/>
        <v>-79</v>
      </c>
      <c r="C270" s="505" t="s">
        <v>7080</v>
      </c>
      <c r="D270" s="487" t="s">
        <v>4202</v>
      </c>
      <c r="E270" s="487">
        <f t="shared" si="56"/>
        <v>5</v>
      </c>
      <c r="F270" s="506">
        <v>2</v>
      </c>
      <c r="G270" s="487"/>
      <c r="H270" s="487">
        <f t="shared" ca="1" si="57"/>
        <v>11</v>
      </c>
      <c r="I270" s="502"/>
      <c r="J270" s="492"/>
      <c r="K270" s="490"/>
      <c r="L270" s="493"/>
      <c r="M270" s="504"/>
      <c r="N270" s="493"/>
      <c r="O270" s="487"/>
      <c r="P270" s="487">
        <f t="shared" si="58"/>
        <v>11</v>
      </c>
      <c r="Q270" s="493"/>
    </row>
    <row r="271" spans="1:17" x14ac:dyDescent="0.3">
      <c r="A271" s="487" t="b">
        <v>0</v>
      </c>
      <c r="B271" s="501">
        <f t="shared" si="55"/>
        <v>-78</v>
      </c>
      <c r="C271" s="505" t="s">
        <v>7081</v>
      </c>
      <c r="D271" s="487" t="s">
        <v>4202</v>
      </c>
      <c r="E271" s="487">
        <f t="shared" si="56"/>
        <v>6</v>
      </c>
      <c r="F271" s="506">
        <v>2</v>
      </c>
      <c r="G271" s="487"/>
      <c r="H271" s="487">
        <f t="shared" ca="1" si="57"/>
        <v>11</v>
      </c>
      <c r="I271" s="502"/>
      <c r="J271" s="492"/>
      <c r="K271" s="490"/>
      <c r="L271" s="493"/>
      <c r="M271" s="504"/>
      <c r="N271" s="493"/>
      <c r="O271" s="487"/>
      <c r="P271" s="487">
        <f t="shared" si="58"/>
        <v>12</v>
      </c>
      <c r="Q271" s="493"/>
    </row>
    <row r="272" spans="1:17" x14ac:dyDescent="0.3">
      <c r="A272" s="487" t="b">
        <v>0</v>
      </c>
      <c r="B272" s="501">
        <f t="shared" si="55"/>
        <v>-77</v>
      </c>
      <c r="C272" s="505" t="s">
        <v>7082</v>
      </c>
      <c r="D272" s="487" t="s">
        <v>4223</v>
      </c>
      <c r="E272" s="487">
        <f t="shared" si="56"/>
        <v>1</v>
      </c>
      <c r="F272" s="506">
        <v>3</v>
      </c>
      <c r="G272" s="487"/>
      <c r="H272" s="487">
        <f t="shared" ca="1" si="57"/>
        <v>13</v>
      </c>
      <c r="I272" s="502"/>
      <c r="J272" s="492"/>
      <c r="K272" s="490"/>
      <c r="L272" s="493"/>
      <c r="M272" s="504"/>
      <c r="N272" s="493"/>
      <c r="O272" s="487"/>
      <c r="P272" s="487">
        <f t="shared" si="58"/>
        <v>13</v>
      </c>
      <c r="Q272" s="493"/>
    </row>
    <row r="273" spans="1:17" x14ac:dyDescent="0.3">
      <c r="A273" s="487" t="b">
        <v>0</v>
      </c>
      <c r="B273" s="501">
        <f t="shared" si="55"/>
        <v>-76</v>
      </c>
      <c r="C273" s="505" t="s">
        <v>7083</v>
      </c>
      <c r="D273" s="487" t="s">
        <v>4223</v>
      </c>
      <c r="E273" s="487">
        <f t="shared" si="56"/>
        <v>2</v>
      </c>
      <c r="F273" s="506">
        <v>3</v>
      </c>
      <c r="G273" s="487"/>
      <c r="H273" s="487">
        <f t="shared" ca="1" si="57"/>
        <v>13</v>
      </c>
      <c r="I273" s="502"/>
      <c r="J273" s="492"/>
      <c r="K273" s="490"/>
      <c r="L273" s="493"/>
      <c r="M273" s="504"/>
      <c r="N273" s="493"/>
      <c r="O273" s="487"/>
      <c r="P273" s="487">
        <f t="shared" si="58"/>
        <v>14</v>
      </c>
      <c r="Q273" s="493"/>
    </row>
    <row r="274" spans="1:17" x14ac:dyDescent="0.3">
      <c r="A274" s="487" t="b">
        <v>0</v>
      </c>
      <c r="B274" s="501">
        <f t="shared" si="55"/>
        <v>-75</v>
      </c>
      <c r="C274" s="505" t="s">
        <v>7084</v>
      </c>
      <c r="D274" s="487" t="s">
        <v>4223</v>
      </c>
      <c r="E274" s="487">
        <f t="shared" si="56"/>
        <v>3</v>
      </c>
      <c r="F274" s="506">
        <v>3</v>
      </c>
      <c r="G274" s="487"/>
      <c r="H274" s="487">
        <f t="shared" ca="1" si="57"/>
        <v>13</v>
      </c>
      <c r="I274" s="502"/>
      <c r="J274" s="492"/>
      <c r="K274" s="490"/>
      <c r="L274" s="493"/>
      <c r="M274" s="504"/>
      <c r="N274" s="493"/>
      <c r="O274" s="487"/>
      <c r="P274" s="487">
        <f t="shared" si="58"/>
        <v>15</v>
      </c>
      <c r="Q274" s="493"/>
    </row>
    <row r="275" spans="1:17" x14ac:dyDescent="0.3">
      <c r="A275" s="487" t="b">
        <v>0</v>
      </c>
      <c r="B275" s="501">
        <f t="shared" si="55"/>
        <v>-74</v>
      </c>
      <c r="C275" s="505" t="s">
        <v>7085</v>
      </c>
      <c r="D275" s="487" t="s">
        <v>4223</v>
      </c>
      <c r="E275" s="487">
        <f t="shared" si="56"/>
        <v>4</v>
      </c>
      <c r="F275" s="506">
        <v>3</v>
      </c>
      <c r="G275" s="487"/>
      <c r="H275" s="487">
        <f t="shared" ca="1" si="57"/>
        <v>13</v>
      </c>
      <c r="I275" s="502"/>
      <c r="J275" s="492"/>
      <c r="K275" s="490"/>
      <c r="L275" s="493"/>
      <c r="M275" s="504"/>
      <c r="N275" s="493"/>
      <c r="O275" s="487"/>
      <c r="P275" s="487">
        <f t="shared" si="58"/>
        <v>16</v>
      </c>
      <c r="Q275" s="493"/>
    </row>
    <row r="276" spans="1:17" x14ac:dyDescent="0.3">
      <c r="A276" s="487" t="b">
        <v>0</v>
      </c>
      <c r="B276" s="501">
        <f t="shared" si="55"/>
        <v>-73</v>
      </c>
      <c r="C276" s="505" t="s">
        <v>7086</v>
      </c>
      <c r="D276" s="487" t="s">
        <v>4223</v>
      </c>
      <c r="E276" s="487">
        <f t="shared" si="56"/>
        <v>5</v>
      </c>
      <c r="F276" s="506">
        <v>3</v>
      </c>
      <c r="G276" s="487"/>
      <c r="H276" s="487">
        <f t="shared" ca="1" si="57"/>
        <v>13</v>
      </c>
      <c r="I276" s="502"/>
      <c r="J276" s="492"/>
      <c r="K276" s="490"/>
      <c r="L276" s="493"/>
      <c r="M276" s="504"/>
      <c r="N276" s="493"/>
      <c r="O276" s="487"/>
      <c r="P276" s="487">
        <f t="shared" si="58"/>
        <v>17</v>
      </c>
      <c r="Q276" s="493"/>
    </row>
    <row r="277" spans="1:17" x14ac:dyDescent="0.3">
      <c r="A277" s="487" t="b">
        <v>0</v>
      </c>
      <c r="B277" s="501">
        <f t="shared" si="55"/>
        <v>-72</v>
      </c>
      <c r="C277" s="505" t="s">
        <v>7087</v>
      </c>
      <c r="D277" s="487" t="s">
        <v>4223</v>
      </c>
      <c r="E277" s="487">
        <f t="shared" si="56"/>
        <v>6</v>
      </c>
      <c r="F277" s="506">
        <v>3</v>
      </c>
      <c r="G277" s="487"/>
      <c r="H277" s="487">
        <f t="shared" ca="1" si="57"/>
        <v>13</v>
      </c>
      <c r="I277" s="502"/>
      <c r="J277" s="492"/>
      <c r="K277" s="490"/>
      <c r="L277" s="493"/>
      <c r="M277" s="504"/>
      <c r="N277" s="493"/>
      <c r="O277" s="487"/>
      <c r="P277" s="487">
        <f t="shared" si="58"/>
        <v>18</v>
      </c>
      <c r="Q277" s="493"/>
    </row>
    <row r="278" spans="1:17" x14ac:dyDescent="0.3">
      <c r="A278" s="487" t="b">
        <v>0</v>
      </c>
      <c r="B278" s="501">
        <f t="shared" si="55"/>
        <v>-71</v>
      </c>
      <c r="C278" s="505" t="s">
        <v>7088</v>
      </c>
      <c r="D278" s="487" t="s">
        <v>4244</v>
      </c>
      <c r="E278" s="487">
        <f t="shared" si="56"/>
        <v>1</v>
      </c>
      <c r="F278" s="506">
        <v>4</v>
      </c>
      <c r="G278" s="487"/>
      <c r="H278" s="487">
        <f t="shared" ca="1" si="57"/>
        <v>15</v>
      </c>
      <c r="I278" s="502"/>
      <c r="J278" s="492"/>
      <c r="K278" s="490"/>
      <c r="L278" s="493"/>
      <c r="M278" s="504"/>
      <c r="N278" s="493"/>
      <c r="O278" s="487"/>
      <c r="P278" s="487">
        <f t="shared" si="58"/>
        <v>19</v>
      </c>
      <c r="Q278" s="493"/>
    </row>
    <row r="279" spans="1:17" x14ac:dyDescent="0.3">
      <c r="A279" s="487" t="b">
        <v>0</v>
      </c>
      <c r="B279" s="501">
        <f t="shared" si="55"/>
        <v>-70</v>
      </c>
      <c r="C279" s="505" t="s">
        <v>7089</v>
      </c>
      <c r="D279" s="487" t="s">
        <v>4244</v>
      </c>
      <c r="E279" s="487">
        <f t="shared" si="56"/>
        <v>2</v>
      </c>
      <c r="F279" s="506">
        <v>4</v>
      </c>
      <c r="G279" s="487"/>
      <c r="H279" s="487">
        <f t="shared" ca="1" si="57"/>
        <v>15</v>
      </c>
      <c r="I279" s="502"/>
      <c r="J279" s="492"/>
      <c r="K279" s="490"/>
      <c r="L279" s="493"/>
      <c r="M279" s="504"/>
      <c r="N279" s="493"/>
      <c r="O279" s="487"/>
      <c r="P279" s="487">
        <f t="shared" si="58"/>
        <v>20</v>
      </c>
      <c r="Q279" s="493"/>
    </row>
    <row r="280" spans="1:17" x14ac:dyDescent="0.3">
      <c r="A280" s="487" t="b">
        <v>0</v>
      </c>
      <c r="B280" s="501">
        <f t="shared" si="55"/>
        <v>-69</v>
      </c>
      <c r="C280" s="505" t="s">
        <v>7090</v>
      </c>
      <c r="D280" s="487" t="s">
        <v>4244</v>
      </c>
      <c r="E280" s="487">
        <f t="shared" si="56"/>
        <v>3</v>
      </c>
      <c r="F280" s="506">
        <v>4</v>
      </c>
      <c r="G280" s="487"/>
      <c r="H280" s="487">
        <f t="shared" ca="1" si="57"/>
        <v>15</v>
      </c>
      <c r="I280" s="502"/>
      <c r="J280" s="492"/>
      <c r="K280" s="490"/>
      <c r="L280" s="493"/>
      <c r="M280" s="504"/>
      <c r="N280" s="493"/>
      <c r="O280" s="487"/>
      <c r="P280" s="487">
        <f t="shared" si="58"/>
        <v>21</v>
      </c>
      <c r="Q280" s="493"/>
    </row>
    <row r="281" spans="1:17" x14ac:dyDescent="0.3">
      <c r="A281" s="487" t="b">
        <v>0</v>
      </c>
      <c r="B281" s="501">
        <f t="shared" si="55"/>
        <v>-68</v>
      </c>
      <c r="C281" s="505" t="s">
        <v>7091</v>
      </c>
      <c r="D281" s="487" t="s">
        <v>4244</v>
      </c>
      <c r="E281" s="487">
        <f t="shared" si="56"/>
        <v>4</v>
      </c>
      <c r="F281" s="506">
        <v>4</v>
      </c>
      <c r="G281" s="487"/>
      <c r="H281" s="487">
        <f t="shared" ca="1" si="57"/>
        <v>15</v>
      </c>
      <c r="I281" s="502"/>
      <c r="J281" s="492"/>
      <c r="K281" s="490"/>
      <c r="L281" s="493"/>
      <c r="M281" s="504"/>
      <c r="N281" s="493"/>
      <c r="O281" s="487"/>
      <c r="P281" s="487">
        <f t="shared" si="58"/>
        <v>22</v>
      </c>
      <c r="Q281" s="493"/>
    </row>
    <row r="282" spans="1:17" x14ac:dyDescent="0.3">
      <c r="A282" s="487" t="b">
        <v>0</v>
      </c>
      <c r="B282" s="501">
        <f t="shared" si="55"/>
        <v>-67</v>
      </c>
      <c r="C282" s="505" t="s">
        <v>7092</v>
      </c>
      <c r="D282" s="487" t="s">
        <v>4244</v>
      </c>
      <c r="E282" s="487">
        <f t="shared" si="56"/>
        <v>5</v>
      </c>
      <c r="F282" s="506">
        <v>4</v>
      </c>
      <c r="G282" s="487"/>
      <c r="H282" s="487">
        <f t="shared" ca="1" si="57"/>
        <v>15</v>
      </c>
      <c r="I282" s="502"/>
      <c r="J282" s="492"/>
      <c r="K282" s="490"/>
      <c r="L282" s="493"/>
      <c r="M282" s="504"/>
      <c r="N282" s="493"/>
      <c r="O282" s="487"/>
      <c r="P282" s="487">
        <f t="shared" si="58"/>
        <v>23</v>
      </c>
      <c r="Q282" s="493"/>
    </row>
    <row r="283" spans="1:17" x14ac:dyDescent="0.3">
      <c r="A283" s="487" t="b">
        <v>0</v>
      </c>
      <c r="B283" s="501">
        <f t="shared" si="55"/>
        <v>-66</v>
      </c>
      <c r="C283" s="505" t="s">
        <v>7093</v>
      </c>
      <c r="D283" s="487" t="s">
        <v>4244</v>
      </c>
      <c r="E283" s="487">
        <f t="shared" si="56"/>
        <v>6</v>
      </c>
      <c r="F283" s="506">
        <v>4</v>
      </c>
      <c r="G283" s="487"/>
      <c r="H283" s="487">
        <f t="shared" ca="1" si="57"/>
        <v>15</v>
      </c>
      <c r="I283" s="502"/>
      <c r="J283" s="492"/>
      <c r="K283" s="490"/>
      <c r="L283" s="493"/>
      <c r="M283" s="504"/>
      <c r="N283" s="493"/>
      <c r="O283" s="487"/>
      <c r="P283" s="487">
        <f t="shared" si="58"/>
        <v>24</v>
      </c>
      <c r="Q283" s="493"/>
    </row>
    <row r="284" spans="1:17" x14ac:dyDescent="0.3">
      <c r="A284" s="487" t="b">
        <v>0</v>
      </c>
      <c r="B284" s="501">
        <f t="shared" si="55"/>
        <v>-65</v>
      </c>
      <c r="C284" s="505" t="s">
        <v>7094</v>
      </c>
      <c r="D284" s="487" t="s">
        <v>4265</v>
      </c>
      <c r="E284" s="487">
        <f t="shared" si="56"/>
        <v>1</v>
      </c>
      <c r="F284" s="506">
        <v>5</v>
      </c>
      <c r="G284" s="487"/>
      <c r="H284" s="487">
        <f t="shared" ca="1" si="57"/>
        <v>17</v>
      </c>
      <c r="I284" s="502"/>
      <c r="J284" s="492"/>
      <c r="K284" s="490"/>
      <c r="L284" s="493"/>
      <c r="M284" s="504"/>
      <c r="N284" s="493"/>
      <c r="O284" s="487"/>
      <c r="P284" s="487">
        <f t="shared" si="58"/>
        <v>25</v>
      </c>
      <c r="Q284" s="493"/>
    </row>
    <row r="285" spans="1:17" x14ac:dyDescent="0.3">
      <c r="A285" s="487" t="b">
        <v>0</v>
      </c>
      <c r="B285" s="501">
        <f t="shared" si="55"/>
        <v>-64</v>
      </c>
      <c r="C285" s="505" t="s">
        <v>7095</v>
      </c>
      <c r="D285" s="487" t="s">
        <v>4265</v>
      </c>
      <c r="E285" s="487">
        <f t="shared" si="56"/>
        <v>2</v>
      </c>
      <c r="F285" s="506">
        <v>5</v>
      </c>
      <c r="G285" s="487"/>
      <c r="H285" s="487">
        <f t="shared" ca="1" si="57"/>
        <v>17</v>
      </c>
      <c r="I285" s="502"/>
      <c r="J285" s="492"/>
      <c r="K285" s="490"/>
      <c r="L285" s="493"/>
      <c r="M285" s="504"/>
      <c r="N285" s="493"/>
      <c r="O285" s="487"/>
      <c r="P285" s="487">
        <f t="shared" si="58"/>
        <v>26</v>
      </c>
      <c r="Q285" s="493"/>
    </row>
    <row r="286" spans="1:17" x14ac:dyDescent="0.3">
      <c r="A286" s="487" t="b">
        <v>0</v>
      </c>
      <c r="B286" s="501">
        <f t="shared" si="55"/>
        <v>-63</v>
      </c>
      <c r="C286" s="505" t="s">
        <v>7096</v>
      </c>
      <c r="D286" s="487" t="s">
        <v>4265</v>
      </c>
      <c r="E286" s="487">
        <f t="shared" si="56"/>
        <v>3</v>
      </c>
      <c r="F286" s="506">
        <v>5</v>
      </c>
      <c r="G286" s="487"/>
      <c r="H286" s="487">
        <f t="shared" ca="1" si="57"/>
        <v>17</v>
      </c>
      <c r="I286" s="502"/>
      <c r="J286" s="492"/>
      <c r="K286" s="490"/>
      <c r="L286" s="493"/>
      <c r="M286" s="504"/>
      <c r="N286" s="493"/>
      <c r="O286" s="487"/>
      <c r="P286" s="487">
        <f t="shared" si="58"/>
        <v>27</v>
      </c>
      <c r="Q286" s="493"/>
    </row>
    <row r="287" spans="1:17" x14ac:dyDescent="0.3">
      <c r="A287" s="487" t="b">
        <v>0</v>
      </c>
      <c r="B287" s="501">
        <f t="shared" si="55"/>
        <v>-62</v>
      </c>
      <c r="C287" s="505" t="s">
        <v>7097</v>
      </c>
      <c r="D287" s="487" t="s">
        <v>4265</v>
      </c>
      <c r="E287" s="487">
        <f t="shared" si="56"/>
        <v>4</v>
      </c>
      <c r="F287" s="506">
        <v>5</v>
      </c>
      <c r="G287" s="487"/>
      <c r="H287" s="487">
        <f t="shared" ca="1" si="57"/>
        <v>17</v>
      </c>
      <c r="I287" s="502"/>
      <c r="J287" s="492"/>
      <c r="K287" s="490"/>
      <c r="L287" s="493"/>
      <c r="M287" s="504"/>
      <c r="N287" s="493"/>
      <c r="O287" s="487"/>
      <c r="P287" s="487">
        <f t="shared" si="58"/>
        <v>28</v>
      </c>
      <c r="Q287" s="493"/>
    </row>
    <row r="288" spans="1:17" x14ac:dyDescent="0.3">
      <c r="A288" s="487" t="b">
        <v>0</v>
      </c>
      <c r="B288" s="501">
        <f t="shared" si="55"/>
        <v>-61</v>
      </c>
      <c r="C288" s="505" t="s">
        <v>7098</v>
      </c>
      <c r="D288" s="487" t="s">
        <v>4265</v>
      </c>
      <c r="E288" s="487">
        <f t="shared" si="56"/>
        <v>5</v>
      </c>
      <c r="F288" s="506">
        <v>5</v>
      </c>
      <c r="G288" s="487"/>
      <c r="H288" s="487">
        <f t="shared" ca="1" si="57"/>
        <v>17</v>
      </c>
      <c r="I288" s="502"/>
      <c r="J288" s="492"/>
      <c r="K288" s="490"/>
      <c r="L288" s="493"/>
      <c r="M288" s="504"/>
      <c r="N288" s="493"/>
      <c r="O288" s="487"/>
      <c r="P288" s="487">
        <f t="shared" si="58"/>
        <v>29</v>
      </c>
      <c r="Q288" s="493"/>
    </row>
    <row r="289" spans="1:17" x14ac:dyDescent="0.3">
      <c r="A289" s="487" t="b">
        <v>0</v>
      </c>
      <c r="B289" s="501">
        <f t="shared" si="55"/>
        <v>-60</v>
      </c>
      <c r="C289" s="505" t="s">
        <v>7099</v>
      </c>
      <c r="D289" s="487" t="s">
        <v>4265</v>
      </c>
      <c r="E289" s="487">
        <f t="shared" si="56"/>
        <v>6</v>
      </c>
      <c r="F289" s="506">
        <v>5</v>
      </c>
      <c r="G289" s="487"/>
      <c r="H289" s="487">
        <f t="shared" ca="1" si="57"/>
        <v>17</v>
      </c>
      <c r="I289" s="502"/>
      <c r="J289" s="492"/>
      <c r="K289" s="490"/>
      <c r="L289" s="493"/>
      <c r="M289" s="504"/>
      <c r="N289" s="493"/>
      <c r="O289" s="487"/>
      <c r="P289" s="487">
        <f t="shared" si="58"/>
        <v>30</v>
      </c>
      <c r="Q289" s="493"/>
    </row>
    <row r="290" spans="1:17" x14ac:dyDescent="0.3">
      <c r="A290" s="487" t="b">
        <v>0</v>
      </c>
      <c r="B290" s="501">
        <f t="shared" si="55"/>
        <v>-59</v>
      </c>
      <c r="C290" s="505" t="s">
        <v>7100</v>
      </c>
      <c r="D290" s="487" t="s">
        <v>4286</v>
      </c>
      <c r="E290" s="487">
        <f t="shared" si="56"/>
        <v>1</v>
      </c>
      <c r="F290" s="506">
        <v>6</v>
      </c>
      <c r="G290" s="487"/>
      <c r="H290" s="487">
        <f t="shared" ca="1" si="57"/>
        <v>19</v>
      </c>
      <c r="I290" s="502"/>
      <c r="J290" s="492"/>
      <c r="K290" s="490"/>
      <c r="L290" s="493"/>
      <c r="M290" s="504"/>
      <c r="N290" s="493"/>
      <c r="O290" s="487"/>
      <c r="P290" s="487">
        <f t="shared" si="58"/>
        <v>31</v>
      </c>
      <c r="Q290" s="493"/>
    </row>
    <row r="291" spans="1:17" x14ac:dyDescent="0.3">
      <c r="A291" s="487" t="b">
        <v>0</v>
      </c>
      <c r="B291" s="501">
        <f t="shared" si="55"/>
        <v>-58</v>
      </c>
      <c r="C291" s="505" t="s">
        <v>7101</v>
      </c>
      <c r="D291" s="487" t="s">
        <v>4286</v>
      </c>
      <c r="E291" s="487">
        <f t="shared" si="56"/>
        <v>2</v>
      </c>
      <c r="F291" s="506">
        <v>6</v>
      </c>
      <c r="G291" s="487"/>
      <c r="H291" s="487">
        <f t="shared" ca="1" si="57"/>
        <v>19</v>
      </c>
      <c r="I291" s="502"/>
      <c r="J291" s="492"/>
      <c r="K291" s="490"/>
      <c r="L291" s="493"/>
      <c r="M291" s="504"/>
      <c r="N291" s="493"/>
      <c r="O291" s="487"/>
      <c r="P291" s="487">
        <f t="shared" si="58"/>
        <v>32</v>
      </c>
      <c r="Q291" s="493"/>
    </row>
    <row r="292" spans="1:17" x14ac:dyDescent="0.3">
      <c r="A292" s="487" t="b">
        <v>0</v>
      </c>
      <c r="B292" s="501">
        <f t="shared" si="55"/>
        <v>-57</v>
      </c>
      <c r="C292" s="505" t="s">
        <v>7102</v>
      </c>
      <c r="D292" s="487" t="s">
        <v>4286</v>
      </c>
      <c r="E292" s="487">
        <f t="shared" si="56"/>
        <v>3</v>
      </c>
      <c r="F292" s="506">
        <v>6</v>
      </c>
      <c r="G292" s="487"/>
      <c r="H292" s="487">
        <f t="shared" ca="1" si="57"/>
        <v>19</v>
      </c>
      <c r="I292" s="502"/>
      <c r="J292" s="492"/>
      <c r="K292" s="490"/>
      <c r="L292" s="493"/>
      <c r="M292" s="504"/>
      <c r="N292" s="493"/>
      <c r="O292" s="487"/>
      <c r="P292" s="487">
        <f t="shared" si="58"/>
        <v>33</v>
      </c>
      <c r="Q292" s="493"/>
    </row>
    <row r="293" spans="1:17" x14ac:dyDescent="0.3">
      <c r="A293" s="487" t="b">
        <v>0</v>
      </c>
      <c r="B293" s="501">
        <f t="shared" si="55"/>
        <v>-56</v>
      </c>
      <c r="C293" s="505" t="s">
        <v>7103</v>
      </c>
      <c r="D293" s="487" t="s">
        <v>4286</v>
      </c>
      <c r="E293" s="487">
        <f t="shared" si="56"/>
        <v>4</v>
      </c>
      <c r="F293" s="506">
        <v>6</v>
      </c>
      <c r="G293" s="487"/>
      <c r="H293" s="487">
        <f t="shared" ca="1" si="57"/>
        <v>19</v>
      </c>
      <c r="I293" s="502"/>
      <c r="J293" s="492"/>
      <c r="K293" s="490"/>
      <c r="L293" s="493"/>
      <c r="M293" s="504"/>
      <c r="N293" s="493"/>
      <c r="O293" s="487"/>
      <c r="P293" s="487">
        <f t="shared" si="58"/>
        <v>34</v>
      </c>
      <c r="Q293" s="493"/>
    </row>
    <row r="294" spans="1:17" x14ac:dyDescent="0.3">
      <c r="A294" s="487" t="b">
        <v>0</v>
      </c>
      <c r="B294" s="501">
        <f t="shared" si="55"/>
        <v>-55</v>
      </c>
      <c r="C294" s="505" t="s">
        <v>7104</v>
      </c>
      <c r="D294" s="487" t="s">
        <v>4286</v>
      </c>
      <c r="E294" s="487">
        <f t="shared" si="56"/>
        <v>5</v>
      </c>
      <c r="F294" s="506">
        <v>6</v>
      </c>
      <c r="G294" s="487"/>
      <c r="H294" s="487">
        <f t="shared" ca="1" si="57"/>
        <v>19</v>
      </c>
      <c r="I294" s="502"/>
      <c r="J294" s="492"/>
      <c r="K294" s="490"/>
      <c r="L294" s="493"/>
      <c r="M294" s="504"/>
      <c r="N294" s="493"/>
      <c r="O294" s="487"/>
      <c r="P294" s="487">
        <f t="shared" si="58"/>
        <v>35</v>
      </c>
      <c r="Q294" s="493"/>
    </row>
    <row r="295" spans="1:17" x14ac:dyDescent="0.3">
      <c r="A295" s="487" t="b">
        <v>0</v>
      </c>
      <c r="B295" s="501">
        <f t="shared" si="55"/>
        <v>-54</v>
      </c>
      <c r="C295" s="505" t="s">
        <v>7105</v>
      </c>
      <c r="D295" s="487" t="s">
        <v>4286</v>
      </c>
      <c r="E295" s="487">
        <f t="shared" si="56"/>
        <v>6</v>
      </c>
      <c r="F295" s="506">
        <v>6</v>
      </c>
      <c r="G295" s="487"/>
      <c r="H295" s="487">
        <f t="shared" ca="1" si="57"/>
        <v>19</v>
      </c>
      <c r="I295" s="502"/>
      <c r="J295" s="492"/>
      <c r="K295" s="490"/>
      <c r="L295" s="493"/>
      <c r="M295" s="504"/>
      <c r="N295" s="493"/>
      <c r="O295" s="487"/>
      <c r="P295" s="487">
        <f t="shared" si="58"/>
        <v>36</v>
      </c>
      <c r="Q295" s="493"/>
    </row>
    <row r="296" spans="1:17" x14ac:dyDescent="0.3">
      <c r="A296" s="487" t="b">
        <v>0</v>
      </c>
      <c r="B296" s="501">
        <f t="shared" si="55"/>
        <v>-53</v>
      </c>
      <c r="C296" s="505" t="s">
        <v>7106</v>
      </c>
      <c r="D296" s="487" t="s">
        <v>4307</v>
      </c>
      <c r="E296" s="487">
        <f t="shared" si="56"/>
        <v>1</v>
      </c>
      <c r="F296" s="506">
        <v>7</v>
      </c>
      <c r="G296" s="487"/>
      <c r="H296" s="487">
        <f t="shared" ca="1" si="57"/>
        <v>21</v>
      </c>
      <c r="I296" s="502"/>
      <c r="J296" s="492"/>
      <c r="K296" s="490"/>
      <c r="L296" s="493"/>
      <c r="M296" s="504"/>
      <c r="N296" s="493"/>
      <c r="O296" s="487"/>
      <c r="P296" s="487">
        <f t="shared" si="58"/>
        <v>37</v>
      </c>
      <c r="Q296" s="493"/>
    </row>
    <row r="297" spans="1:17" x14ac:dyDescent="0.3">
      <c r="A297" s="487" t="b">
        <v>0</v>
      </c>
      <c r="B297" s="501">
        <f t="shared" si="55"/>
        <v>-52</v>
      </c>
      <c r="C297" s="505" t="s">
        <v>7107</v>
      </c>
      <c r="D297" s="487" t="s">
        <v>4307</v>
      </c>
      <c r="E297" s="487">
        <f t="shared" si="56"/>
        <v>2</v>
      </c>
      <c r="F297" s="506">
        <v>7</v>
      </c>
      <c r="G297" s="487"/>
      <c r="H297" s="487">
        <f t="shared" ca="1" si="57"/>
        <v>21</v>
      </c>
      <c r="I297" s="502"/>
      <c r="J297" s="492"/>
      <c r="K297" s="490"/>
      <c r="L297" s="493"/>
      <c r="M297" s="504"/>
      <c r="N297" s="493"/>
      <c r="O297" s="487"/>
      <c r="P297" s="487">
        <f t="shared" si="58"/>
        <v>38</v>
      </c>
      <c r="Q297" s="493"/>
    </row>
    <row r="298" spans="1:17" x14ac:dyDescent="0.3">
      <c r="A298" s="487" t="b">
        <v>0</v>
      </c>
      <c r="B298" s="501">
        <f t="shared" si="55"/>
        <v>-51</v>
      </c>
      <c r="C298" s="505" t="s">
        <v>7108</v>
      </c>
      <c r="D298" s="487" t="s">
        <v>4307</v>
      </c>
      <c r="E298" s="487">
        <f t="shared" si="56"/>
        <v>3</v>
      </c>
      <c r="F298" s="506">
        <v>7</v>
      </c>
      <c r="G298" s="487"/>
      <c r="H298" s="487">
        <f t="shared" ca="1" si="57"/>
        <v>21</v>
      </c>
      <c r="I298" s="502"/>
      <c r="J298" s="492"/>
      <c r="K298" s="490"/>
      <c r="L298" s="493"/>
      <c r="M298" s="504"/>
      <c r="N298" s="493"/>
      <c r="O298" s="487"/>
      <c r="P298" s="487">
        <f t="shared" si="58"/>
        <v>39</v>
      </c>
      <c r="Q298" s="493"/>
    </row>
    <row r="299" spans="1:17" x14ac:dyDescent="0.3">
      <c r="A299" s="487" t="b">
        <v>0</v>
      </c>
      <c r="B299" s="501">
        <f t="shared" si="55"/>
        <v>-50</v>
      </c>
      <c r="C299" s="505" t="s">
        <v>7109</v>
      </c>
      <c r="D299" s="487" t="s">
        <v>4307</v>
      </c>
      <c r="E299" s="487">
        <f t="shared" si="56"/>
        <v>4</v>
      </c>
      <c r="F299" s="506">
        <v>7</v>
      </c>
      <c r="G299" s="487"/>
      <c r="H299" s="487">
        <f t="shared" ca="1" si="57"/>
        <v>21</v>
      </c>
      <c r="I299" s="502"/>
      <c r="J299" s="492"/>
      <c r="K299" s="490"/>
      <c r="L299" s="493"/>
      <c r="M299" s="504"/>
      <c r="N299" s="493"/>
      <c r="O299" s="487"/>
      <c r="P299" s="487">
        <f t="shared" si="58"/>
        <v>40</v>
      </c>
      <c r="Q299" s="493"/>
    </row>
    <row r="300" spans="1:17" x14ac:dyDescent="0.3">
      <c r="A300" s="487" t="b">
        <v>0</v>
      </c>
      <c r="B300" s="501">
        <f t="shared" si="55"/>
        <v>-49</v>
      </c>
      <c r="C300" s="505" t="s">
        <v>7110</v>
      </c>
      <c r="D300" s="487" t="s">
        <v>4307</v>
      </c>
      <c r="E300" s="487">
        <f t="shared" si="56"/>
        <v>5</v>
      </c>
      <c r="F300" s="506">
        <v>7</v>
      </c>
      <c r="G300" s="487"/>
      <c r="H300" s="487">
        <f t="shared" ca="1" si="57"/>
        <v>21</v>
      </c>
      <c r="I300" s="502"/>
      <c r="J300" s="492"/>
      <c r="K300" s="490"/>
      <c r="L300" s="493"/>
      <c r="M300" s="504"/>
      <c r="N300" s="493"/>
      <c r="O300" s="487"/>
      <c r="P300" s="487">
        <f t="shared" si="58"/>
        <v>41</v>
      </c>
      <c r="Q300" s="493"/>
    </row>
    <row r="301" spans="1:17" x14ac:dyDescent="0.3">
      <c r="A301" s="487" t="b">
        <v>0</v>
      </c>
      <c r="B301" s="501">
        <f t="shared" si="55"/>
        <v>-48</v>
      </c>
      <c r="C301" s="505" t="s">
        <v>7111</v>
      </c>
      <c r="D301" s="487" t="s">
        <v>4307</v>
      </c>
      <c r="E301" s="487">
        <f t="shared" si="56"/>
        <v>6</v>
      </c>
      <c r="F301" s="506">
        <v>7</v>
      </c>
      <c r="G301" s="487"/>
      <c r="H301" s="487">
        <f t="shared" ca="1" si="57"/>
        <v>21</v>
      </c>
      <c r="I301" s="502"/>
      <c r="J301" s="492"/>
      <c r="K301" s="490"/>
      <c r="L301" s="493"/>
      <c r="M301" s="504"/>
      <c r="N301" s="493"/>
      <c r="O301" s="487"/>
      <c r="P301" s="487">
        <f t="shared" si="58"/>
        <v>42</v>
      </c>
      <c r="Q301" s="493"/>
    </row>
    <row r="302" spans="1:17" x14ac:dyDescent="0.3">
      <c r="A302" s="487" t="b">
        <v>0</v>
      </c>
      <c r="B302" s="501">
        <f t="shared" si="55"/>
        <v>-47</v>
      </c>
      <c r="C302" s="505" t="s">
        <v>7112</v>
      </c>
      <c r="D302" s="487" t="s">
        <v>4328</v>
      </c>
      <c r="E302" s="487">
        <f t="shared" si="56"/>
        <v>1</v>
      </c>
      <c r="F302" s="506">
        <v>8</v>
      </c>
      <c r="G302" s="487"/>
      <c r="H302" s="487">
        <f t="shared" ca="1" si="57"/>
        <v>23</v>
      </c>
      <c r="I302" s="502"/>
      <c r="J302" s="492"/>
      <c r="K302" s="490"/>
      <c r="L302" s="493"/>
      <c r="M302" s="504"/>
      <c r="N302" s="493"/>
      <c r="O302" s="487"/>
      <c r="P302" s="487">
        <f t="shared" si="58"/>
        <v>43</v>
      </c>
      <c r="Q302" s="493"/>
    </row>
    <row r="303" spans="1:17" x14ac:dyDescent="0.3">
      <c r="A303" s="487" t="b">
        <v>0</v>
      </c>
      <c r="B303" s="501">
        <f t="shared" si="55"/>
        <v>-46</v>
      </c>
      <c r="C303" s="505" t="s">
        <v>7113</v>
      </c>
      <c r="D303" s="487" t="s">
        <v>4328</v>
      </c>
      <c r="E303" s="487">
        <f t="shared" si="56"/>
        <v>2</v>
      </c>
      <c r="F303" s="506">
        <v>8</v>
      </c>
      <c r="G303" s="487"/>
      <c r="H303" s="487">
        <f t="shared" ca="1" si="57"/>
        <v>23</v>
      </c>
      <c r="I303" s="502"/>
      <c r="J303" s="492"/>
      <c r="K303" s="490"/>
      <c r="L303" s="493"/>
      <c r="M303" s="504"/>
      <c r="N303" s="493"/>
      <c r="O303" s="487"/>
      <c r="P303" s="487">
        <f t="shared" si="58"/>
        <v>44</v>
      </c>
      <c r="Q303" s="493"/>
    </row>
    <row r="304" spans="1:17" x14ac:dyDescent="0.3">
      <c r="A304" s="487" t="b">
        <v>0</v>
      </c>
      <c r="B304" s="501">
        <f t="shared" si="55"/>
        <v>-45</v>
      </c>
      <c r="C304" s="505" t="s">
        <v>7114</v>
      </c>
      <c r="D304" s="487" t="s">
        <v>4328</v>
      </c>
      <c r="E304" s="487">
        <f t="shared" si="56"/>
        <v>3</v>
      </c>
      <c r="F304" s="506">
        <v>8</v>
      </c>
      <c r="G304" s="487"/>
      <c r="H304" s="487">
        <f t="shared" ca="1" si="57"/>
        <v>23</v>
      </c>
      <c r="I304" s="502"/>
      <c r="J304" s="492"/>
      <c r="K304" s="490"/>
      <c r="L304" s="493"/>
      <c r="M304" s="504"/>
      <c r="N304" s="493"/>
      <c r="O304" s="487"/>
      <c r="P304" s="487">
        <f t="shared" si="58"/>
        <v>45</v>
      </c>
      <c r="Q304" s="493"/>
    </row>
    <row r="305" spans="1:17" x14ac:dyDescent="0.3">
      <c r="A305" s="487" t="b">
        <v>0</v>
      </c>
      <c r="B305" s="501">
        <f t="shared" si="55"/>
        <v>-44</v>
      </c>
      <c r="C305" s="505" t="s">
        <v>7115</v>
      </c>
      <c r="D305" s="487" t="s">
        <v>4328</v>
      </c>
      <c r="E305" s="487">
        <f t="shared" si="56"/>
        <v>4</v>
      </c>
      <c r="F305" s="506">
        <v>8</v>
      </c>
      <c r="G305" s="487"/>
      <c r="H305" s="487">
        <f t="shared" ca="1" si="57"/>
        <v>23</v>
      </c>
      <c r="I305" s="502"/>
      <c r="J305" s="492"/>
      <c r="K305" s="490"/>
      <c r="L305" s="493"/>
      <c r="M305" s="504"/>
      <c r="N305" s="493"/>
      <c r="O305" s="487"/>
      <c r="P305" s="487">
        <f t="shared" si="58"/>
        <v>46</v>
      </c>
      <c r="Q305" s="493"/>
    </row>
    <row r="306" spans="1:17" x14ac:dyDescent="0.3">
      <c r="A306" s="487" t="b">
        <v>0</v>
      </c>
      <c r="B306" s="501">
        <f t="shared" si="55"/>
        <v>-43</v>
      </c>
      <c r="C306" s="505" t="s">
        <v>7116</v>
      </c>
      <c r="D306" s="487" t="s">
        <v>4328</v>
      </c>
      <c r="E306" s="487">
        <f t="shared" si="56"/>
        <v>5</v>
      </c>
      <c r="F306" s="506">
        <v>8</v>
      </c>
      <c r="G306" s="487"/>
      <c r="H306" s="487">
        <f t="shared" ca="1" si="57"/>
        <v>23</v>
      </c>
      <c r="I306" s="502"/>
      <c r="J306" s="492"/>
      <c r="K306" s="490"/>
      <c r="L306" s="493"/>
      <c r="M306" s="504"/>
      <c r="N306" s="493"/>
      <c r="O306" s="487"/>
      <c r="P306" s="487">
        <f t="shared" si="58"/>
        <v>47</v>
      </c>
      <c r="Q306" s="493"/>
    </row>
    <row r="307" spans="1:17" x14ac:dyDescent="0.3">
      <c r="A307" s="487" t="b">
        <v>0</v>
      </c>
      <c r="B307" s="501">
        <f t="shared" si="55"/>
        <v>-42</v>
      </c>
      <c r="C307" s="505" t="s">
        <v>7117</v>
      </c>
      <c r="D307" s="487" t="s">
        <v>4328</v>
      </c>
      <c r="E307" s="487">
        <f t="shared" si="56"/>
        <v>6</v>
      </c>
      <c r="F307" s="506">
        <v>8</v>
      </c>
      <c r="G307" s="487"/>
      <c r="H307" s="487">
        <f t="shared" ca="1" si="57"/>
        <v>23</v>
      </c>
      <c r="I307" s="502"/>
      <c r="J307" s="492"/>
      <c r="K307" s="490"/>
      <c r="L307" s="493"/>
      <c r="M307" s="504"/>
      <c r="N307" s="493"/>
      <c r="O307" s="487"/>
      <c r="P307" s="487">
        <f t="shared" si="58"/>
        <v>48</v>
      </c>
      <c r="Q307" s="493"/>
    </row>
    <row r="308" spans="1:17" x14ac:dyDescent="0.3">
      <c r="A308" s="487" t="b">
        <v>0</v>
      </c>
      <c r="B308" s="501">
        <f t="shared" si="55"/>
        <v>-41</v>
      </c>
      <c r="C308" s="505" t="s">
        <v>7118</v>
      </c>
      <c r="D308" s="487" t="s">
        <v>4349</v>
      </c>
      <c r="E308" s="487">
        <f t="shared" si="56"/>
        <v>1</v>
      </c>
      <c r="F308" s="506">
        <v>9</v>
      </c>
      <c r="G308" s="487"/>
      <c r="H308" s="487">
        <f t="shared" ca="1" si="57"/>
        <v>25</v>
      </c>
      <c r="I308" s="502"/>
      <c r="J308" s="492"/>
      <c r="K308" s="490"/>
      <c r="L308" s="493"/>
      <c r="M308" s="504"/>
      <c r="N308" s="493"/>
      <c r="O308" s="487"/>
      <c r="P308" s="487">
        <f t="shared" si="58"/>
        <v>49</v>
      </c>
      <c r="Q308" s="493"/>
    </row>
    <row r="309" spans="1:17" x14ac:dyDescent="0.3">
      <c r="A309" s="487" t="b">
        <v>0</v>
      </c>
      <c r="B309" s="501">
        <f t="shared" si="55"/>
        <v>-40</v>
      </c>
      <c r="C309" s="505" t="s">
        <v>7119</v>
      </c>
      <c r="D309" s="487" t="s">
        <v>4349</v>
      </c>
      <c r="E309" s="487">
        <f t="shared" si="56"/>
        <v>2</v>
      </c>
      <c r="F309" s="506">
        <v>9</v>
      </c>
      <c r="G309" s="487"/>
      <c r="H309" s="487">
        <f t="shared" ca="1" si="57"/>
        <v>25</v>
      </c>
      <c r="I309" s="502"/>
      <c r="J309" s="492"/>
      <c r="K309" s="490"/>
      <c r="L309" s="493"/>
      <c r="M309" s="504"/>
      <c r="N309" s="493"/>
      <c r="O309" s="487"/>
      <c r="P309" s="487">
        <f t="shared" si="58"/>
        <v>50</v>
      </c>
      <c r="Q309" s="493"/>
    </row>
    <row r="310" spans="1:17" x14ac:dyDescent="0.3">
      <c r="A310" s="487" t="b">
        <v>0</v>
      </c>
      <c r="B310" s="501">
        <f t="shared" si="55"/>
        <v>-39</v>
      </c>
      <c r="C310" s="505" t="s">
        <v>7120</v>
      </c>
      <c r="D310" s="487" t="s">
        <v>4349</v>
      </c>
      <c r="E310" s="487">
        <f t="shared" si="56"/>
        <v>3</v>
      </c>
      <c r="F310" s="506">
        <v>9</v>
      </c>
      <c r="G310" s="487"/>
      <c r="H310" s="487">
        <f t="shared" ca="1" si="57"/>
        <v>25</v>
      </c>
      <c r="I310" s="502"/>
      <c r="J310" s="492"/>
      <c r="K310" s="490"/>
      <c r="L310" s="493"/>
      <c r="M310" s="504"/>
      <c r="N310" s="493"/>
      <c r="O310" s="487"/>
      <c r="P310" s="487">
        <f t="shared" si="58"/>
        <v>51</v>
      </c>
      <c r="Q310" s="493"/>
    </row>
    <row r="311" spans="1:17" x14ac:dyDescent="0.3">
      <c r="A311" s="487" t="b">
        <v>0</v>
      </c>
      <c r="B311" s="501">
        <f t="shared" si="55"/>
        <v>-38</v>
      </c>
      <c r="C311" s="505" t="s">
        <v>7121</v>
      </c>
      <c r="D311" s="487" t="s">
        <v>4349</v>
      </c>
      <c r="E311" s="487">
        <f t="shared" si="56"/>
        <v>4</v>
      </c>
      <c r="F311" s="506">
        <v>9</v>
      </c>
      <c r="G311" s="487"/>
      <c r="H311" s="487">
        <f t="shared" ca="1" si="57"/>
        <v>25</v>
      </c>
      <c r="I311" s="502"/>
      <c r="J311" s="492"/>
      <c r="K311" s="490"/>
      <c r="L311" s="493"/>
      <c r="M311" s="504"/>
      <c r="N311" s="493"/>
      <c r="O311" s="487"/>
      <c r="P311" s="487">
        <f t="shared" si="58"/>
        <v>52</v>
      </c>
      <c r="Q311" s="493"/>
    </row>
    <row r="312" spans="1:17" x14ac:dyDescent="0.3">
      <c r="A312" s="487" t="b">
        <v>0</v>
      </c>
      <c r="B312" s="501">
        <f t="shared" si="55"/>
        <v>-37</v>
      </c>
      <c r="C312" s="505" t="s">
        <v>7122</v>
      </c>
      <c r="D312" s="487" t="s">
        <v>4349</v>
      </c>
      <c r="E312" s="487">
        <f t="shared" si="56"/>
        <v>5</v>
      </c>
      <c r="F312" s="506">
        <v>9</v>
      </c>
      <c r="G312" s="487"/>
      <c r="H312" s="487">
        <f t="shared" ca="1" si="57"/>
        <v>25</v>
      </c>
      <c r="I312" s="502"/>
      <c r="J312" s="492"/>
      <c r="K312" s="490"/>
      <c r="L312" s="493"/>
      <c r="M312" s="504"/>
      <c r="N312" s="493"/>
      <c r="O312" s="487"/>
      <c r="P312" s="487">
        <f t="shared" si="58"/>
        <v>53</v>
      </c>
      <c r="Q312" s="493"/>
    </row>
    <row r="313" spans="1:17" x14ac:dyDescent="0.3">
      <c r="A313" s="487" t="b">
        <v>0</v>
      </c>
      <c r="B313" s="501">
        <f t="shared" si="55"/>
        <v>-36</v>
      </c>
      <c r="C313" s="505" t="s">
        <v>7123</v>
      </c>
      <c r="D313" s="487" t="s">
        <v>4349</v>
      </c>
      <c r="E313" s="487">
        <f t="shared" si="56"/>
        <v>6</v>
      </c>
      <c r="F313" s="506">
        <v>9</v>
      </c>
      <c r="G313" s="487"/>
      <c r="H313" s="487">
        <f t="shared" ca="1" si="57"/>
        <v>25</v>
      </c>
      <c r="I313" s="502"/>
      <c r="J313" s="492"/>
      <c r="K313" s="490"/>
      <c r="L313" s="493"/>
      <c r="M313" s="504"/>
      <c r="N313" s="493"/>
      <c r="O313" s="487"/>
      <c r="P313" s="487">
        <f t="shared" si="58"/>
        <v>54</v>
      </c>
      <c r="Q313" s="493"/>
    </row>
    <row r="314" spans="1:17" x14ac:dyDescent="0.3">
      <c r="A314" s="487" t="b">
        <v>0</v>
      </c>
      <c r="B314" s="501">
        <f t="shared" si="55"/>
        <v>-35</v>
      </c>
      <c r="C314" s="505" t="s">
        <v>7124</v>
      </c>
      <c r="D314" s="487" t="s">
        <v>4370</v>
      </c>
      <c r="E314" s="487">
        <f t="shared" si="56"/>
        <v>1</v>
      </c>
      <c r="F314" s="506">
        <v>10</v>
      </c>
      <c r="G314" s="487"/>
      <c r="H314" s="487">
        <f t="shared" ca="1" si="57"/>
        <v>27</v>
      </c>
      <c r="I314" s="502"/>
      <c r="J314" s="492"/>
      <c r="K314" s="490"/>
      <c r="L314" s="493"/>
      <c r="M314" s="504"/>
      <c r="N314" s="493"/>
      <c r="O314" s="487"/>
      <c r="P314" s="487">
        <f t="shared" si="58"/>
        <v>55</v>
      </c>
      <c r="Q314" s="493"/>
    </row>
    <row r="315" spans="1:17" x14ac:dyDescent="0.3">
      <c r="A315" s="487" t="b">
        <v>0</v>
      </c>
      <c r="B315" s="501">
        <f t="shared" si="55"/>
        <v>-34</v>
      </c>
      <c r="C315" s="505" t="s">
        <v>7125</v>
      </c>
      <c r="D315" s="487" t="s">
        <v>4370</v>
      </c>
      <c r="E315" s="487">
        <f t="shared" si="56"/>
        <v>2</v>
      </c>
      <c r="F315" s="506">
        <v>10</v>
      </c>
      <c r="G315" s="487"/>
      <c r="H315" s="487">
        <f t="shared" ca="1" si="57"/>
        <v>27</v>
      </c>
      <c r="I315" s="502"/>
      <c r="J315" s="492"/>
      <c r="K315" s="490"/>
      <c r="L315" s="493"/>
      <c r="M315" s="504"/>
      <c r="N315" s="493"/>
      <c r="O315" s="487"/>
      <c r="P315" s="487">
        <f t="shared" si="58"/>
        <v>56</v>
      </c>
      <c r="Q315" s="493"/>
    </row>
    <row r="316" spans="1:17" x14ac:dyDescent="0.3">
      <c r="A316" s="487" t="b">
        <v>0</v>
      </c>
      <c r="B316" s="501">
        <f t="shared" si="55"/>
        <v>-33</v>
      </c>
      <c r="C316" s="505" t="s">
        <v>7126</v>
      </c>
      <c r="D316" s="487" t="s">
        <v>4370</v>
      </c>
      <c r="E316" s="487">
        <f t="shared" si="56"/>
        <v>3</v>
      </c>
      <c r="F316" s="506">
        <v>10</v>
      </c>
      <c r="G316" s="487"/>
      <c r="H316" s="487">
        <f t="shared" ca="1" si="57"/>
        <v>27</v>
      </c>
      <c r="I316" s="502"/>
      <c r="J316" s="492"/>
      <c r="K316" s="490"/>
      <c r="L316" s="493"/>
      <c r="M316" s="504"/>
      <c r="N316" s="493"/>
      <c r="O316" s="487"/>
      <c r="P316" s="487">
        <f t="shared" si="58"/>
        <v>57</v>
      </c>
      <c r="Q316" s="493"/>
    </row>
    <row r="317" spans="1:17" x14ac:dyDescent="0.3">
      <c r="A317" s="487" t="b">
        <v>0</v>
      </c>
      <c r="B317" s="501">
        <f t="shared" si="55"/>
        <v>-32</v>
      </c>
      <c r="C317" s="505" t="s">
        <v>7127</v>
      </c>
      <c r="D317" s="487" t="s">
        <v>4370</v>
      </c>
      <c r="E317" s="487">
        <f t="shared" si="56"/>
        <v>4</v>
      </c>
      <c r="F317" s="506">
        <v>10</v>
      </c>
      <c r="G317" s="487"/>
      <c r="H317" s="487">
        <f t="shared" ca="1" si="57"/>
        <v>27</v>
      </c>
      <c r="I317" s="502"/>
      <c r="J317" s="492"/>
      <c r="K317" s="490"/>
      <c r="L317" s="493"/>
      <c r="M317" s="504"/>
      <c r="N317" s="493"/>
      <c r="O317" s="487"/>
      <c r="P317" s="487">
        <f t="shared" si="58"/>
        <v>58</v>
      </c>
      <c r="Q317" s="493"/>
    </row>
    <row r="318" spans="1:17" x14ac:dyDescent="0.3">
      <c r="A318" s="487" t="b">
        <v>0</v>
      </c>
      <c r="B318" s="501">
        <f t="shared" si="55"/>
        <v>-31</v>
      </c>
      <c r="C318" s="505" t="s">
        <v>7128</v>
      </c>
      <c r="D318" s="487" t="s">
        <v>4370</v>
      </c>
      <c r="E318" s="487">
        <f t="shared" si="56"/>
        <v>5</v>
      </c>
      <c r="F318" s="506">
        <v>10</v>
      </c>
      <c r="G318" s="487"/>
      <c r="H318" s="487">
        <f t="shared" ca="1" si="57"/>
        <v>27</v>
      </c>
      <c r="I318" s="502"/>
      <c r="J318" s="492"/>
      <c r="K318" s="490"/>
      <c r="L318" s="493"/>
      <c r="M318" s="504"/>
      <c r="N318" s="493"/>
      <c r="O318" s="487"/>
      <c r="P318" s="487">
        <f t="shared" si="58"/>
        <v>59</v>
      </c>
      <c r="Q318" s="493"/>
    </row>
    <row r="319" spans="1:17" x14ac:dyDescent="0.3">
      <c r="A319" s="487" t="b">
        <v>0</v>
      </c>
      <c r="B319" s="501">
        <f t="shared" si="55"/>
        <v>-30</v>
      </c>
      <c r="C319" s="505" t="s">
        <v>7129</v>
      </c>
      <c r="D319" s="487" t="s">
        <v>4370</v>
      </c>
      <c r="E319" s="487">
        <f t="shared" si="56"/>
        <v>6</v>
      </c>
      <c r="F319" s="506">
        <v>10</v>
      </c>
      <c r="G319" s="487"/>
      <c r="H319" s="487">
        <f t="shared" ca="1" si="57"/>
        <v>27</v>
      </c>
      <c r="I319" s="502"/>
      <c r="J319" s="492"/>
      <c r="K319" s="490"/>
      <c r="L319" s="493"/>
      <c r="M319" s="504"/>
      <c r="N319" s="493"/>
      <c r="O319" s="487"/>
      <c r="P319" s="487">
        <f t="shared" si="58"/>
        <v>60</v>
      </c>
      <c r="Q319" s="493"/>
    </row>
    <row r="320" spans="1:17" x14ac:dyDescent="0.3">
      <c r="A320" s="487" t="b">
        <v>0</v>
      </c>
      <c r="B320" s="501">
        <f t="shared" si="55"/>
        <v>-29</v>
      </c>
      <c r="C320" s="505" t="s">
        <v>7130</v>
      </c>
      <c r="D320" s="487" t="s">
        <v>4391</v>
      </c>
      <c r="E320" s="487">
        <f t="shared" si="56"/>
        <v>1</v>
      </c>
      <c r="F320" s="506">
        <v>11</v>
      </c>
      <c r="G320" s="487"/>
      <c r="H320" s="487">
        <f t="shared" ca="1" si="57"/>
        <v>29</v>
      </c>
      <c r="I320" s="502"/>
      <c r="J320" s="492"/>
      <c r="K320" s="490"/>
      <c r="L320" s="493"/>
      <c r="M320" s="504"/>
      <c r="N320" s="493"/>
      <c r="O320" s="487"/>
      <c r="P320" s="487">
        <f t="shared" si="58"/>
        <v>61</v>
      </c>
      <c r="Q320" s="493"/>
    </row>
    <row r="321" spans="1:17" x14ac:dyDescent="0.3">
      <c r="A321" s="487" t="b">
        <v>0</v>
      </c>
      <c r="B321" s="501">
        <f t="shared" si="55"/>
        <v>-28</v>
      </c>
      <c r="C321" s="505" t="s">
        <v>7131</v>
      </c>
      <c r="D321" s="487" t="s">
        <v>4391</v>
      </c>
      <c r="E321" s="487">
        <f t="shared" si="56"/>
        <v>2</v>
      </c>
      <c r="F321" s="506">
        <v>11</v>
      </c>
      <c r="G321" s="487"/>
      <c r="H321" s="487">
        <f t="shared" ca="1" si="57"/>
        <v>29</v>
      </c>
      <c r="I321" s="502"/>
      <c r="J321" s="492"/>
      <c r="K321" s="490"/>
      <c r="L321" s="493"/>
      <c r="M321" s="504"/>
      <c r="N321" s="493"/>
      <c r="O321" s="487"/>
      <c r="P321" s="487">
        <f t="shared" si="58"/>
        <v>62</v>
      </c>
      <c r="Q321" s="493"/>
    </row>
    <row r="322" spans="1:17" x14ac:dyDescent="0.3">
      <c r="A322" s="487" t="b">
        <v>0</v>
      </c>
      <c r="B322" s="501">
        <f t="shared" si="55"/>
        <v>-27</v>
      </c>
      <c r="C322" s="505" t="s">
        <v>7132</v>
      </c>
      <c r="D322" s="487" t="s">
        <v>4391</v>
      </c>
      <c r="E322" s="487">
        <f t="shared" si="56"/>
        <v>3</v>
      </c>
      <c r="F322" s="506">
        <v>11</v>
      </c>
      <c r="G322" s="487"/>
      <c r="H322" s="487">
        <f t="shared" ca="1" si="57"/>
        <v>29</v>
      </c>
      <c r="I322" s="502"/>
      <c r="J322" s="492"/>
      <c r="K322" s="490"/>
      <c r="L322" s="493"/>
      <c r="M322" s="504"/>
      <c r="N322" s="493"/>
      <c r="O322" s="487"/>
      <c r="P322" s="487">
        <f t="shared" si="58"/>
        <v>63</v>
      </c>
      <c r="Q322" s="493"/>
    </row>
    <row r="323" spans="1:17" x14ac:dyDescent="0.3">
      <c r="A323" s="487" t="b">
        <v>0</v>
      </c>
      <c r="B323" s="501">
        <f t="shared" si="55"/>
        <v>-26</v>
      </c>
      <c r="C323" s="505" t="s">
        <v>7133</v>
      </c>
      <c r="D323" s="487" t="s">
        <v>4391</v>
      </c>
      <c r="E323" s="487">
        <f t="shared" si="56"/>
        <v>4</v>
      </c>
      <c r="F323" s="506">
        <v>11</v>
      </c>
      <c r="G323" s="487"/>
      <c r="H323" s="487">
        <f t="shared" ca="1" si="57"/>
        <v>29</v>
      </c>
      <c r="I323" s="502"/>
      <c r="J323" s="492"/>
      <c r="K323" s="490"/>
      <c r="L323" s="493"/>
      <c r="M323" s="504"/>
      <c r="N323" s="493"/>
      <c r="O323" s="487"/>
      <c r="P323" s="487">
        <f t="shared" si="58"/>
        <v>64</v>
      </c>
      <c r="Q323" s="493"/>
    </row>
    <row r="324" spans="1:17" x14ac:dyDescent="0.3">
      <c r="A324" s="487" t="b">
        <v>0</v>
      </c>
      <c r="B324" s="501">
        <f t="shared" ref="B324:B387" si="59">B323+1</f>
        <v>-25</v>
      </c>
      <c r="C324" s="505" t="s">
        <v>7134</v>
      </c>
      <c r="D324" s="487" t="s">
        <v>4391</v>
      </c>
      <c r="E324" s="487">
        <f t="shared" ref="E324:E387" si="60">COUNTIF(F319:F324,F324)</f>
        <v>5</v>
      </c>
      <c r="F324" s="506">
        <v>11</v>
      </c>
      <c r="G324" s="487"/>
      <c r="H324" s="487">
        <f t="shared" ref="H324:H387" ca="1" si="61">IF(F324=1,9,IF(E323=MAX(E322:E324),H322+2,H323))</f>
        <v>29</v>
      </c>
      <c r="I324" s="502"/>
      <c r="J324" s="492"/>
      <c r="K324" s="490"/>
      <c r="L324" s="493"/>
      <c r="M324" s="504"/>
      <c r="N324" s="493"/>
      <c r="O324" s="487"/>
      <c r="P324" s="487">
        <f t="shared" ref="P324:P387" si="62">IF(NOT(_xlfn.ISFORMULA(I324)),P323+1,0)</f>
        <v>65</v>
      </c>
      <c r="Q324" s="493"/>
    </row>
    <row r="325" spans="1:17" x14ac:dyDescent="0.3">
      <c r="A325" s="487" t="b">
        <v>0</v>
      </c>
      <c r="B325" s="501">
        <f t="shared" si="59"/>
        <v>-24</v>
      </c>
      <c r="C325" s="505" t="s">
        <v>7135</v>
      </c>
      <c r="D325" s="487" t="s">
        <v>4391</v>
      </c>
      <c r="E325" s="487">
        <f t="shared" si="60"/>
        <v>6</v>
      </c>
      <c r="F325" s="506">
        <v>11</v>
      </c>
      <c r="G325" s="487"/>
      <c r="H325" s="487">
        <f t="shared" ca="1" si="61"/>
        <v>29</v>
      </c>
      <c r="I325" s="502"/>
      <c r="J325" s="492"/>
      <c r="K325" s="490"/>
      <c r="L325" s="493"/>
      <c r="M325" s="504"/>
      <c r="N325" s="493"/>
      <c r="O325" s="487"/>
      <c r="P325" s="487">
        <f t="shared" si="62"/>
        <v>66</v>
      </c>
      <c r="Q325" s="493"/>
    </row>
    <row r="326" spans="1:17" x14ac:dyDescent="0.3">
      <c r="A326" s="487" t="b">
        <v>0</v>
      </c>
      <c r="B326" s="501">
        <f t="shared" si="59"/>
        <v>-23</v>
      </c>
      <c r="C326" s="505" t="s">
        <v>7136</v>
      </c>
      <c r="D326" s="487" t="s">
        <v>4412</v>
      </c>
      <c r="E326" s="487">
        <f t="shared" si="60"/>
        <v>1</v>
      </c>
      <c r="F326" s="506">
        <v>12</v>
      </c>
      <c r="G326" s="487"/>
      <c r="H326" s="487">
        <f t="shared" ca="1" si="61"/>
        <v>31</v>
      </c>
      <c r="I326" s="502"/>
      <c r="J326" s="492"/>
      <c r="K326" s="490"/>
      <c r="L326" s="493"/>
      <c r="M326" s="504"/>
      <c r="N326" s="493"/>
      <c r="O326" s="487"/>
      <c r="P326" s="487">
        <f t="shared" si="62"/>
        <v>67</v>
      </c>
      <c r="Q326" s="493"/>
    </row>
    <row r="327" spans="1:17" x14ac:dyDescent="0.3">
      <c r="A327" s="487" t="b">
        <v>0</v>
      </c>
      <c r="B327" s="501">
        <f t="shared" si="59"/>
        <v>-22</v>
      </c>
      <c r="C327" s="505" t="s">
        <v>7137</v>
      </c>
      <c r="D327" s="487" t="s">
        <v>4412</v>
      </c>
      <c r="E327" s="487">
        <f t="shared" si="60"/>
        <v>2</v>
      </c>
      <c r="F327" s="506">
        <v>12</v>
      </c>
      <c r="G327" s="487"/>
      <c r="H327" s="487">
        <f t="shared" ca="1" si="61"/>
        <v>31</v>
      </c>
      <c r="I327" s="502"/>
      <c r="J327" s="492"/>
      <c r="K327" s="490"/>
      <c r="L327" s="493"/>
      <c r="M327" s="504"/>
      <c r="N327" s="493"/>
      <c r="O327" s="487"/>
      <c r="P327" s="487">
        <f t="shared" si="62"/>
        <v>68</v>
      </c>
      <c r="Q327" s="493"/>
    </row>
    <row r="328" spans="1:17" x14ac:dyDescent="0.3">
      <c r="A328" s="487" t="b">
        <v>0</v>
      </c>
      <c r="B328" s="501">
        <f t="shared" si="59"/>
        <v>-21</v>
      </c>
      <c r="C328" s="505" t="s">
        <v>7138</v>
      </c>
      <c r="D328" s="487" t="s">
        <v>4412</v>
      </c>
      <c r="E328" s="487">
        <f t="shared" si="60"/>
        <v>3</v>
      </c>
      <c r="F328" s="506">
        <v>12</v>
      </c>
      <c r="G328" s="487"/>
      <c r="H328" s="487">
        <f t="shared" ca="1" si="61"/>
        <v>31</v>
      </c>
      <c r="I328" s="502"/>
      <c r="J328" s="492"/>
      <c r="K328" s="490"/>
      <c r="L328" s="493"/>
      <c r="M328" s="504"/>
      <c r="N328" s="493"/>
      <c r="O328" s="487"/>
      <c r="P328" s="487">
        <f t="shared" si="62"/>
        <v>69</v>
      </c>
      <c r="Q328" s="493"/>
    </row>
    <row r="329" spans="1:17" x14ac:dyDescent="0.3">
      <c r="A329" s="487" t="b">
        <v>0</v>
      </c>
      <c r="B329" s="501">
        <f t="shared" si="59"/>
        <v>-20</v>
      </c>
      <c r="C329" s="505" t="s">
        <v>7139</v>
      </c>
      <c r="D329" s="487" t="s">
        <v>4412</v>
      </c>
      <c r="E329" s="487">
        <f t="shared" si="60"/>
        <v>4</v>
      </c>
      <c r="F329" s="506">
        <v>12</v>
      </c>
      <c r="G329" s="487"/>
      <c r="H329" s="487">
        <f t="shared" ca="1" si="61"/>
        <v>31</v>
      </c>
      <c r="I329" s="502"/>
      <c r="J329" s="492"/>
      <c r="K329" s="490"/>
      <c r="L329" s="493"/>
      <c r="M329" s="504"/>
      <c r="N329" s="493"/>
      <c r="O329" s="487"/>
      <c r="P329" s="487">
        <f t="shared" si="62"/>
        <v>70</v>
      </c>
      <c r="Q329" s="493"/>
    </row>
    <row r="330" spans="1:17" x14ac:dyDescent="0.3">
      <c r="A330" s="487" t="b">
        <v>0</v>
      </c>
      <c r="B330" s="501">
        <f t="shared" si="59"/>
        <v>-19</v>
      </c>
      <c r="C330" s="505" t="s">
        <v>7140</v>
      </c>
      <c r="D330" s="487" t="s">
        <v>4412</v>
      </c>
      <c r="E330" s="487">
        <f t="shared" si="60"/>
        <v>5</v>
      </c>
      <c r="F330" s="506">
        <v>12</v>
      </c>
      <c r="G330" s="487"/>
      <c r="H330" s="487">
        <f t="shared" ca="1" si="61"/>
        <v>31</v>
      </c>
      <c r="I330" s="502"/>
      <c r="J330" s="492"/>
      <c r="K330" s="490"/>
      <c r="L330" s="493"/>
      <c r="M330" s="504"/>
      <c r="N330" s="493"/>
      <c r="O330" s="487"/>
      <c r="P330" s="487">
        <f t="shared" si="62"/>
        <v>71</v>
      </c>
      <c r="Q330" s="493"/>
    </row>
    <row r="331" spans="1:17" x14ac:dyDescent="0.3">
      <c r="A331" s="487" t="b">
        <v>0</v>
      </c>
      <c r="B331" s="501">
        <f t="shared" si="59"/>
        <v>-18</v>
      </c>
      <c r="C331" s="505" t="s">
        <v>7141</v>
      </c>
      <c r="D331" s="487" t="s">
        <v>4412</v>
      </c>
      <c r="E331" s="487">
        <f t="shared" si="60"/>
        <v>6</v>
      </c>
      <c r="F331" s="506">
        <v>12</v>
      </c>
      <c r="G331" s="487"/>
      <c r="H331" s="487">
        <f t="shared" ca="1" si="61"/>
        <v>31</v>
      </c>
      <c r="I331" s="502"/>
      <c r="J331" s="492"/>
      <c r="K331" s="490"/>
      <c r="L331" s="493"/>
      <c r="M331" s="504"/>
      <c r="N331" s="493"/>
      <c r="O331" s="487"/>
      <c r="P331" s="487">
        <f t="shared" si="62"/>
        <v>72</v>
      </c>
      <c r="Q331" s="493"/>
    </row>
    <row r="332" spans="1:17" x14ac:dyDescent="0.3">
      <c r="A332" s="487" t="b">
        <v>0</v>
      </c>
      <c r="B332" s="501">
        <f t="shared" si="59"/>
        <v>-17</v>
      </c>
      <c r="C332" s="505" t="s">
        <v>7142</v>
      </c>
      <c r="D332" s="487" t="s">
        <v>4433</v>
      </c>
      <c r="E332" s="487">
        <f t="shared" si="60"/>
        <v>1</v>
      </c>
      <c r="F332" s="506">
        <v>13</v>
      </c>
      <c r="G332" s="487"/>
      <c r="H332" s="487">
        <f t="shared" ca="1" si="61"/>
        <v>33</v>
      </c>
      <c r="I332" s="502"/>
      <c r="J332" s="492"/>
      <c r="K332" s="490"/>
      <c r="L332" s="493"/>
      <c r="M332" s="504"/>
      <c r="N332" s="493"/>
      <c r="O332" s="487"/>
      <c r="P332" s="487">
        <f t="shared" si="62"/>
        <v>73</v>
      </c>
      <c r="Q332" s="493"/>
    </row>
    <row r="333" spans="1:17" x14ac:dyDescent="0.3">
      <c r="A333" s="487" t="b">
        <v>0</v>
      </c>
      <c r="B333" s="501">
        <f t="shared" si="59"/>
        <v>-16</v>
      </c>
      <c r="C333" s="505" t="s">
        <v>7143</v>
      </c>
      <c r="D333" s="487" t="s">
        <v>4433</v>
      </c>
      <c r="E333" s="487">
        <f t="shared" si="60"/>
        <v>2</v>
      </c>
      <c r="F333" s="506">
        <v>13</v>
      </c>
      <c r="G333" s="487"/>
      <c r="H333" s="487">
        <f t="shared" ca="1" si="61"/>
        <v>33</v>
      </c>
      <c r="I333" s="502"/>
      <c r="J333" s="492"/>
      <c r="K333" s="490"/>
      <c r="L333" s="493"/>
      <c r="M333" s="504"/>
      <c r="N333" s="493"/>
      <c r="O333" s="487"/>
      <c r="P333" s="487">
        <f t="shared" si="62"/>
        <v>74</v>
      </c>
      <c r="Q333" s="493"/>
    </row>
    <row r="334" spans="1:17" x14ac:dyDescent="0.3">
      <c r="A334" s="487" t="b">
        <v>0</v>
      </c>
      <c r="B334" s="501">
        <f t="shared" si="59"/>
        <v>-15</v>
      </c>
      <c r="C334" s="505" t="s">
        <v>7144</v>
      </c>
      <c r="D334" s="487" t="s">
        <v>4433</v>
      </c>
      <c r="E334" s="487">
        <f t="shared" si="60"/>
        <v>3</v>
      </c>
      <c r="F334" s="506">
        <v>13</v>
      </c>
      <c r="G334" s="487"/>
      <c r="H334" s="487">
        <f t="shared" ca="1" si="61"/>
        <v>33</v>
      </c>
      <c r="I334" s="502"/>
      <c r="J334" s="492"/>
      <c r="K334" s="490"/>
      <c r="L334" s="493"/>
      <c r="M334" s="504"/>
      <c r="N334" s="493"/>
      <c r="O334" s="487"/>
      <c r="P334" s="487">
        <f t="shared" si="62"/>
        <v>75</v>
      </c>
      <c r="Q334" s="493"/>
    </row>
    <row r="335" spans="1:17" x14ac:dyDescent="0.3">
      <c r="A335" s="487" t="b">
        <v>0</v>
      </c>
      <c r="B335" s="501">
        <f t="shared" si="59"/>
        <v>-14</v>
      </c>
      <c r="C335" s="505" t="s">
        <v>7145</v>
      </c>
      <c r="D335" s="487" t="s">
        <v>4433</v>
      </c>
      <c r="E335" s="487">
        <f t="shared" si="60"/>
        <v>4</v>
      </c>
      <c r="F335" s="506">
        <v>13</v>
      </c>
      <c r="G335" s="487"/>
      <c r="H335" s="487">
        <f t="shared" ca="1" si="61"/>
        <v>33</v>
      </c>
      <c r="I335" s="502"/>
      <c r="J335" s="492"/>
      <c r="K335" s="490"/>
      <c r="L335" s="493"/>
      <c r="M335" s="504"/>
      <c r="N335" s="493"/>
      <c r="O335" s="487"/>
      <c r="P335" s="487">
        <f t="shared" si="62"/>
        <v>76</v>
      </c>
      <c r="Q335" s="493"/>
    </row>
    <row r="336" spans="1:17" x14ac:dyDescent="0.3">
      <c r="A336" s="487" t="b">
        <v>0</v>
      </c>
      <c r="B336" s="501">
        <f t="shared" si="59"/>
        <v>-13</v>
      </c>
      <c r="C336" s="505" t="s">
        <v>7146</v>
      </c>
      <c r="D336" s="487" t="s">
        <v>4433</v>
      </c>
      <c r="E336" s="487">
        <f t="shared" si="60"/>
        <v>5</v>
      </c>
      <c r="F336" s="506">
        <v>13</v>
      </c>
      <c r="G336" s="487"/>
      <c r="H336" s="487">
        <f t="shared" ca="1" si="61"/>
        <v>33</v>
      </c>
      <c r="I336" s="502"/>
      <c r="J336" s="492"/>
      <c r="K336" s="490"/>
      <c r="L336" s="493"/>
      <c r="M336" s="504"/>
      <c r="N336" s="493"/>
      <c r="O336" s="487"/>
      <c r="P336" s="487">
        <f t="shared" si="62"/>
        <v>77</v>
      </c>
      <c r="Q336" s="493"/>
    </row>
    <row r="337" spans="1:17" x14ac:dyDescent="0.3">
      <c r="A337" s="487" t="b">
        <v>0</v>
      </c>
      <c r="B337" s="501">
        <f t="shared" si="59"/>
        <v>-12</v>
      </c>
      <c r="C337" s="505" t="s">
        <v>7147</v>
      </c>
      <c r="D337" s="487" t="s">
        <v>4433</v>
      </c>
      <c r="E337" s="487">
        <f t="shared" si="60"/>
        <v>6</v>
      </c>
      <c r="F337" s="506">
        <v>13</v>
      </c>
      <c r="G337" s="487"/>
      <c r="H337" s="487">
        <f t="shared" ca="1" si="61"/>
        <v>33</v>
      </c>
      <c r="I337" s="502"/>
      <c r="J337" s="492"/>
      <c r="K337" s="490"/>
      <c r="L337" s="493"/>
      <c r="M337" s="504"/>
      <c r="N337" s="493"/>
      <c r="O337" s="487"/>
      <c r="P337" s="487">
        <f t="shared" si="62"/>
        <v>78</v>
      </c>
      <c r="Q337" s="493"/>
    </row>
    <row r="338" spans="1:17" x14ac:dyDescent="0.3">
      <c r="A338" s="487" t="b">
        <v>0</v>
      </c>
      <c r="B338" s="501">
        <f t="shared" si="59"/>
        <v>-11</v>
      </c>
      <c r="C338" s="505" t="s">
        <v>7148</v>
      </c>
      <c r="D338" s="487" t="s">
        <v>4454</v>
      </c>
      <c r="E338" s="487">
        <f t="shared" si="60"/>
        <v>1</v>
      </c>
      <c r="F338" s="506">
        <v>14</v>
      </c>
      <c r="G338" s="487"/>
      <c r="H338" s="487">
        <f t="shared" ca="1" si="61"/>
        <v>35</v>
      </c>
      <c r="I338" s="502"/>
      <c r="J338" s="492"/>
      <c r="K338" s="490"/>
      <c r="L338" s="493"/>
      <c r="M338" s="504"/>
      <c r="N338" s="493"/>
      <c r="O338" s="487"/>
      <c r="P338" s="487">
        <f t="shared" si="62"/>
        <v>79</v>
      </c>
      <c r="Q338" s="493"/>
    </row>
    <row r="339" spans="1:17" x14ac:dyDescent="0.3">
      <c r="A339" s="487" t="b">
        <v>0</v>
      </c>
      <c r="B339" s="501">
        <f t="shared" si="59"/>
        <v>-10</v>
      </c>
      <c r="C339" s="505" t="s">
        <v>7149</v>
      </c>
      <c r="D339" s="487" t="s">
        <v>4454</v>
      </c>
      <c r="E339" s="487">
        <f t="shared" si="60"/>
        <v>2</v>
      </c>
      <c r="F339" s="506">
        <v>14</v>
      </c>
      <c r="G339" s="487"/>
      <c r="H339" s="487">
        <f t="shared" ca="1" si="61"/>
        <v>35</v>
      </c>
      <c r="I339" s="502"/>
      <c r="J339" s="492"/>
      <c r="K339" s="490"/>
      <c r="L339" s="493"/>
      <c r="M339" s="504"/>
      <c r="N339" s="493"/>
      <c r="O339" s="487"/>
      <c r="P339" s="487">
        <f t="shared" si="62"/>
        <v>80</v>
      </c>
      <c r="Q339" s="493"/>
    </row>
    <row r="340" spans="1:17" x14ac:dyDescent="0.3">
      <c r="A340" s="487" t="b">
        <v>0</v>
      </c>
      <c r="B340" s="501">
        <f t="shared" si="59"/>
        <v>-9</v>
      </c>
      <c r="C340" s="505" t="s">
        <v>7150</v>
      </c>
      <c r="D340" s="487" t="s">
        <v>4454</v>
      </c>
      <c r="E340" s="487">
        <f t="shared" si="60"/>
        <v>3</v>
      </c>
      <c r="F340" s="506">
        <v>14</v>
      </c>
      <c r="G340" s="487"/>
      <c r="H340" s="487">
        <f t="shared" ca="1" si="61"/>
        <v>35</v>
      </c>
      <c r="I340" s="502"/>
      <c r="J340" s="492"/>
      <c r="K340" s="490"/>
      <c r="L340" s="493"/>
      <c r="M340" s="504"/>
      <c r="N340" s="493"/>
      <c r="O340" s="487"/>
      <c r="P340" s="487">
        <f t="shared" si="62"/>
        <v>81</v>
      </c>
      <c r="Q340" s="493"/>
    </row>
    <row r="341" spans="1:17" x14ac:dyDescent="0.3">
      <c r="A341" s="487" t="b">
        <v>0</v>
      </c>
      <c r="B341" s="501">
        <f t="shared" si="59"/>
        <v>-8</v>
      </c>
      <c r="C341" s="505" t="s">
        <v>7151</v>
      </c>
      <c r="D341" s="487" t="s">
        <v>4454</v>
      </c>
      <c r="E341" s="487">
        <f t="shared" si="60"/>
        <v>4</v>
      </c>
      <c r="F341" s="506">
        <v>14</v>
      </c>
      <c r="G341" s="487"/>
      <c r="H341" s="487">
        <f t="shared" ca="1" si="61"/>
        <v>35</v>
      </c>
      <c r="I341" s="502"/>
      <c r="J341" s="492"/>
      <c r="K341" s="490"/>
      <c r="L341" s="493"/>
      <c r="M341" s="504"/>
      <c r="N341" s="493"/>
      <c r="O341" s="487"/>
      <c r="P341" s="487">
        <f t="shared" si="62"/>
        <v>82</v>
      </c>
      <c r="Q341" s="493"/>
    </row>
    <row r="342" spans="1:17" x14ac:dyDescent="0.3">
      <c r="A342" s="487" t="b">
        <v>0</v>
      </c>
      <c r="B342" s="501">
        <f t="shared" si="59"/>
        <v>-7</v>
      </c>
      <c r="C342" s="505" t="s">
        <v>7152</v>
      </c>
      <c r="D342" s="487" t="s">
        <v>4454</v>
      </c>
      <c r="E342" s="487">
        <f t="shared" si="60"/>
        <v>5</v>
      </c>
      <c r="F342" s="506">
        <v>14</v>
      </c>
      <c r="G342" s="487"/>
      <c r="H342" s="487">
        <f t="shared" ca="1" si="61"/>
        <v>35</v>
      </c>
      <c r="I342" s="502"/>
      <c r="J342" s="492"/>
      <c r="K342" s="490"/>
      <c r="L342" s="493"/>
      <c r="M342" s="504"/>
      <c r="N342" s="493"/>
      <c r="O342" s="487"/>
      <c r="P342" s="487">
        <f t="shared" si="62"/>
        <v>83</v>
      </c>
      <c r="Q342" s="493"/>
    </row>
    <row r="343" spans="1:17" x14ac:dyDescent="0.3">
      <c r="A343" s="487" t="b">
        <v>0</v>
      </c>
      <c r="B343" s="501">
        <f t="shared" si="59"/>
        <v>-6</v>
      </c>
      <c r="C343" s="505" t="s">
        <v>7153</v>
      </c>
      <c r="D343" s="487" t="s">
        <v>4454</v>
      </c>
      <c r="E343" s="487">
        <f t="shared" si="60"/>
        <v>6</v>
      </c>
      <c r="F343" s="506">
        <v>14</v>
      </c>
      <c r="G343" s="487"/>
      <c r="H343" s="487">
        <f t="shared" ca="1" si="61"/>
        <v>35</v>
      </c>
      <c r="I343" s="502"/>
      <c r="J343" s="492"/>
      <c r="K343" s="490"/>
      <c r="L343" s="493"/>
      <c r="M343" s="504"/>
      <c r="N343" s="493"/>
      <c r="O343" s="487"/>
      <c r="P343" s="487">
        <f t="shared" si="62"/>
        <v>84</v>
      </c>
      <c r="Q343" s="493"/>
    </row>
    <row r="344" spans="1:17" x14ac:dyDescent="0.3">
      <c r="A344" s="487" t="b">
        <v>0</v>
      </c>
      <c r="B344" s="501">
        <f t="shared" si="59"/>
        <v>-5</v>
      </c>
      <c r="C344" s="505" t="s">
        <v>7154</v>
      </c>
      <c r="D344" s="487" t="s">
        <v>4475</v>
      </c>
      <c r="E344" s="487">
        <f t="shared" si="60"/>
        <v>1</v>
      </c>
      <c r="F344" s="506">
        <v>15</v>
      </c>
      <c r="G344" s="487"/>
      <c r="H344" s="487">
        <f t="shared" ca="1" si="61"/>
        <v>37</v>
      </c>
      <c r="I344" s="502"/>
      <c r="J344" s="492"/>
      <c r="K344" s="490"/>
      <c r="L344" s="493"/>
      <c r="M344" s="504"/>
      <c r="N344" s="493"/>
      <c r="O344" s="487"/>
      <c r="P344" s="487">
        <f t="shared" si="62"/>
        <v>85</v>
      </c>
      <c r="Q344" s="493"/>
    </row>
    <row r="345" spans="1:17" x14ac:dyDescent="0.3">
      <c r="A345" s="487" t="b">
        <v>0</v>
      </c>
      <c r="B345" s="501">
        <f t="shared" si="59"/>
        <v>-4</v>
      </c>
      <c r="C345" s="505" t="s">
        <v>7155</v>
      </c>
      <c r="D345" s="487" t="s">
        <v>4475</v>
      </c>
      <c r="E345" s="487">
        <f t="shared" si="60"/>
        <v>2</v>
      </c>
      <c r="F345" s="506">
        <v>15</v>
      </c>
      <c r="G345" s="487"/>
      <c r="H345" s="487">
        <f t="shared" ca="1" si="61"/>
        <v>37</v>
      </c>
      <c r="I345" s="502"/>
      <c r="J345" s="492"/>
      <c r="K345" s="490"/>
      <c r="L345" s="493"/>
      <c r="M345" s="504"/>
      <c r="N345" s="493"/>
      <c r="O345" s="487"/>
      <c r="P345" s="487">
        <f t="shared" si="62"/>
        <v>86</v>
      </c>
      <c r="Q345" s="493"/>
    </row>
    <row r="346" spans="1:17" x14ac:dyDescent="0.3">
      <c r="A346" s="487" t="b">
        <v>0</v>
      </c>
      <c r="B346" s="501">
        <f t="shared" si="59"/>
        <v>-3</v>
      </c>
      <c r="C346" s="505" t="s">
        <v>7156</v>
      </c>
      <c r="D346" s="487" t="s">
        <v>4475</v>
      </c>
      <c r="E346" s="487">
        <f t="shared" si="60"/>
        <v>3</v>
      </c>
      <c r="F346" s="506">
        <v>15</v>
      </c>
      <c r="G346" s="487"/>
      <c r="H346" s="487">
        <f t="shared" ca="1" si="61"/>
        <v>37</v>
      </c>
      <c r="I346" s="502"/>
      <c r="J346" s="492"/>
      <c r="K346" s="490"/>
      <c r="L346" s="493"/>
      <c r="M346" s="504"/>
      <c r="N346" s="493"/>
      <c r="O346" s="487"/>
      <c r="P346" s="487">
        <f t="shared" si="62"/>
        <v>87</v>
      </c>
      <c r="Q346" s="493"/>
    </row>
    <row r="347" spans="1:17" x14ac:dyDescent="0.3">
      <c r="A347" s="487" t="b">
        <v>0</v>
      </c>
      <c r="B347" s="501">
        <f t="shared" si="59"/>
        <v>-2</v>
      </c>
      <c r="C347" s="505" t="s">
        <v>7157</v>
      </c>
      <c r="D347" s="487" t="s">
        <v>4475</v>
      </c>
      <c r="E347" s="487">
        <f t="shared" si="60"/>
        <v>4</v>
      </c>
      <c r="F347" s="506">
        <v>15</v>
      </c>
      <c r="G347" s="487"/>
      <c r="H347" s="487">
        <f t="shared" ca="1" si="61"/>
        <v>37</v>
      </c>
      <c r="I347" s="502"/>
      <c r="J347" s="492"/>
      <c r="K347" s="490"/>
      <c r="L347" s="493"/>
      <c r="M347" s="504"/>
      <c r="N347" s="493"/>
      <c r="O347" s="487"/>
      <c r="P347" s="487">
        <f t="shared" si="62"/>
        <v>88</v>
      </c>
      <c r="Q347" s="493"/>
    </row>
    <row r="348" spans="1:17" x14ac:dyDescent="0.3">
      <c r="A348" s="487" t="b">
        <v>0</v>
      </c>
      <c r="B348" s="501">
        <f t="shared" si="59"/>
        <v>-1</v>
      </c>
      <c r="C348" s="505" t="s">
        <v>7158</v>
      </c>
      <c r="D348" s="487" t="s">
        <v>4475</v>
      </c>
      <c r="E348" s="487">
        <f t="shared" si="60"/>
        <v>5</v>
      </c>
      <c r="F348" s="506">
        <v>15</v>
      </c>
      <c r="G348" s="487"/>
      <c r="H348" s="487">
        <f t="shared" ca="1" si="61"/>
        <v>37</v>
      </c>
      <c r="I348" s="502"/>
      <c r="J348" s="492"/>
      <c r="K348" s="490"/>
      <c r="L348" s="493"/>
      <c r="M348" s="504"/>
      <c r="N348" s="493"/>
      <c r="O348" s="487"/>
      <c r="P348" s="487">
        <f t="shared" si="62"/>
        <v>89</v>
      </c>
      <c r="Q348" s="493"/>
    </row>
    <row r="349" spans="1:17" x14ac:dyDescent="0.3">
      <c r="A349" s="487" t="b">
        <v>0</v>
      </c>
      <c r="B349" s="501">
        <f t="shared" si="59"/>
        <v>0</v>
      </c>
      <c r="C349" s="505" t="s">
        <v>7159</v>
      </c>
      <c r="D349" s="487" t="s">
        <v>4475</v>
      </c>
      <c r="E349" s="487">
        <f t="shared" si="60"/>
        <v>6</v>
      </c>
      <c r="F349" s="506">
        <v>15</v>
      </c>
      <c r="G349" s="487"/>
      <c r="H349" s="487">
        <f t="shared" ca="1" si="61"/>
        <v>37</v>
      </c>
      <c r="I349" s="502"/>
      <c r="J349" s="492"/>
      <c r="K349" s="490"/>
      <c r="L349" s="493"/>
      <c r="M349" s="504"/>
      <c r="N349" s="493"/>
      <c r="O349" s="487"/>
      <c r="P349" s="487">
        <f t="shared" si="62"/>
        <v>90</v>
      </c>
      <c r="Q349" s="493"/>
    </row>
    <row r="350" spans="1:17" x14ac:dyDescent="0.3">
      <c r="A350" s="487" t="b">
        <f t="shared" ref="A350:A413" ca="1" si="63">IF(AND(OR(I350&lt;&gt;"",J350&lt;&gt;"",K350&lt;&gt;""),L350&lt;&gt;""),TRUE,FALSE)</f>
        <v>0</v>
      </c>
      <c r="B350" s="501">
        <f t="shared" si="59"/>
        <v>1</v>
      </c>
      <c r="C350" s="507" t="str">
        <f ca="1">IF(COUNTA(D$257:D349)=1,"",OFFSET(B348,-COUNTA(D$257:D349)+3,1))</f>
        <v>a1W3p000004PcKBEA0</v>
      </c>
      <c r="D350" s="487"/>
      <c r="E350" s="487">
        <f t="shared" ca="1" si="60"/>
        <v>1</v>
      </c>
      <c r="F350" s="506">
        <f ca="1">IF(COUNTA(D$257:D349)=1,"",OFFSET(F348,-COUNTA(D$257:D349)+3,0))</f>
        <v>1</v>
      </c>
      <c r="G350" s="487"/>
      <c r="H350" s="487">
        <f t="shared" ca="1" si="61"/>
        <v>9</v>
      </c>
      <c r="I350" s="502" t="str">
        <f t="shared" ref="I350:I413" ca="1" si="64">IFERROR(CHOOSE(E350,IFERROR(IF(INDIRECT("'Outcome Indicators - Section C '!K"&amp;H350+1)=0,"",INDIRECT("'Outcome Indicators - Section C '!k"&amp;H350+1)),""),IFERROR(IF(INDIRECT("'Outcome Indicators - Section C '!O"&amp;H350+1)=0,"",INDIRECT("'Outcome Indicators - Section C '!O"&amp;H350+1)),""),IFERROR(IF(INDIRECT("'Outcome Indicators - Section C '!S"&amp;H350+1)=0,"",INDIRECT("'Outcome Indicators - Section C '!S"&amp;H350+1)),""),IFERROR(IF(INDIRECT("'Outcome Indicators - Section C '!W"&amp;H350+1)=0,"",INDIRECT("'Outcome Indicators - Section C '!W"&amp;H350+1)),"")),"")</f>
        <v/>
      </c>
      <c r="J350" s="492" t="str">
        <f t="shared" ref="J350:J413" ca="1" si="65">IFERROR(CHOOSE(E350,IFERROR(IF(INDIRECT("'Outcome Indicators - Section C '!K"&amp;H350)=0,"",INDIRECT("'Outcome Indicators - Section C '!k"&amp;H350)),""),IFERROR(IF(INDIRECT("'Outcome Indicators - Section C '!O"&amp;H350)=0,"",INDIRECT("'Outcome Indicators - Section C '!O"&amp;H350)),""),IFERROR(IF(INDIRECT("'Outcome Indicators - Section C '!S"&amp;H350)=0,"",INDIRECT("'Outcome Indicators - Section C '!S"&amp;H350)),""),IFERROR(IF(INDIRECT("'Outcome Indicators - Section C '!W"&amp;H350)=0,"",INDIRECT("'Outcome Indicators - Section C '!W"&amp;H350)),"")),"")</f>
        <v/>
      </c>
      <c r="K350" s="490" t="str">
        <f t="shared" ref="K350:K413" ca="1" si="66">IFERROR(CHOOSE(E350,IFERROR(IF(INDIRECT("'Outcome Indicators - Section C '!L"&amp;H350)=0,"",INDIRECT("'Outcome Indicators - Section C '!L"&amp;H350)*100),""),IFERROR(IF(INDIRECT("'Outcome Indicators - Section C '!P"&amp;H350)=0,"",INDIRECT("'Outcome Indicators - Section C '!P"&amp;H350)*100),""),IFERROR(IF(INDIRECT("'Outcome Indicators - Section C '!T"&amp;H350)=0,"",INDIRECT("'Outcome Indicators - Section C '!T"&amp;H350)*100),""),IFERROR(IF(INDIRECT("'Outcome Indicators - Section C '!X"&amp;H350)=0,"",INDIRECT("'Outcome Indicators - Section C '!X"&amp;H350)*100),"")),"")</f>
        <v/>
      </c>
      <c r="L350" s="493">
        <f ca="1">IFERROR(CHOOSE(E350,'Outcome Indicators - Section C '!$K$7,'Outcome Indicators - Section C '!$O$7,'Outcome Indicators - Section C '!$S$7,'Outcome Indicators - Section C '!$W$7),"")</f>
        <v>2021</v>
      </c>
      <c r="M350" s="504" t="str">
        <f t="shared" ref="M350:M413" ca="1" si="67">IFERROR(CHOOSE(E350,IFERROR(IF(INDIRECT("'Outcome Indicators - Section C '!M"&amp;H350)=0,"",INDIRECT("'Outcome Indicators - Section C '!M"&amp;H350)),""),IFERROR(IF(INDIRECT("'Outcome Indicators - Section C '!Q"&amp;H350)=0,"",INDIRECT("'Outcome Indicators - Section C '!Q"&amp;H350)),""),IFERROR(IF(INDIRECT("'Outcome Indicators - Section C '!U"&amp;H350)=0,"",INDIRECT("'Outcome Indicators - Section C '!U"&amp;H350)),""),IFERROR(IF(INDIRECT("'Outcome Indicators - Section C '!Y"&amp;H350)=0,"",INDIRECT("'Outcome Indicators - Section C '!Y"&amp;H350)),"")),"")</f>
        <v/>
      </c>
      <c r="N350" s="493" t="str">
        <f t="shared" ref="N350:N413" ca="1" si="68">IFERROR(CHOOSE(E350,IFERROR(IF(INDIRECT("'Outcome Indicators - Section C '!N"&amp;H350)=0,"",INDIRECT("'Outcome Indicators - Section C '!N"&amp;H350)),""),IFERROR(IF(INDIRECT("'Outcome Indicators - Section C '!R"&amp;H350)=0,"",INDIRECT("'Outcome Indicators - Section C '!R"&amp;H350)),""),IFERROR(IF(INDIRECT("'Outcome Indicators - Section C '!V"&amp;H350)=0,"",INDIRECT("'Outcome Indicators - Section C '!V"&amp;H350)),""),IFERROR(IF(INDIRECT("'Outcome Indicators - Section C '!Z"&amp;H350)=0,"",INDIRECT("'Outcome Indicators - Section C '!Z"&amp;H350)),"")),"")</f>
        <v/>
      </c>
      <c r="O350" s="487"/>
      <c r="P350" s="487">
        <f t="shared" si="62"/>
        <v>0</v>
      </c>
      <c r="Q350" s="493"/>
    </row>
    <row r="351" spans="1:17" x14ac:dyDescent="0.3">
      <c r="A351" s="487" t="b">
        <f t="shared" ca="1" si="63"/>
        <v>0</v>
      </c>
      <c r="B351" s="501">
        <f t="shared" si="59"/>
        <v>2</v>
      </c>
      <c r="C351" s="507" t="str">
        <f ca="1">IF(COUNTA(D$257:D350)=1,"",OFFSET(B349,-COUNTA(D$257:D350)+3,1))</f>
        <v>a1W3p000004PcKQEA0</v>
      </c>
      <c r="D351" s="487"/>
      <c r="E351" s="487">
        <f t="shared" ca="1" si="60"/>
        <v>2</v>
      </c>
      <c r="F351" s="506">
        <f ca="1">IF(COUNTA(D$257:D350)=1,"",OFFSET(F349,-COUNTA(D$257:D350)+3,0))</f>
        <v>1</v>
      </c>
      <c r="G351" s="487"/>
      <c r="H351" s="487">
        <f t="shared" ca="1" si="61"/>
        <v>9</v>
      </c>
      <c r="I351" s="502" t="str">
        <f t="shared" ca="1" si="64"/>
        <v/>
      </c>
      <c r="J351" s="492" t="str">
        <f t="shared" ca="1" si="65"/>
        <v/>
      </c>
      <c r="K351" s="490" t="str">
        <f t="shared" ca="1" si="66"/>
        <v/>
      </c>
      <c r="L351" s="493">
        <f ca="1">IFERROR(CHOOSE(E351,'Outcome Indicators - Section C '!$K$7,'Outcome Indicators - Section C '!$O$7,'Outcome Indicators - Section C '!$S$7,'Outcome Indicators - Section C '!$W$7),"")</f>
        <v>2022</v>
      </c>
      <c r="M351" s="504" t="str">
        <f t="shared" ca="1" si="67"/>
        <v/>
      </c>
      <c r="N351" s="493" t="str">
        <f t="shared" ca="1" si="68"/>
        <v/>
      </c>
      <c r="O351" s="487"/>
      <c r="P351" s="487">
        <f t="shared" si="62"/>
        <v>0</v>
      </c>
      <c r="Q351" s="493"/>
    </row>
    <row r="352" spans="1:17" x14ac:dyDescent="0.3">
      <c r="A352" s="487" t="b">
        <f t="shared" ca="1" si="63"/>
        <v>1</v>
      </c>
      <c r="B352" s="501">
        <f t="shared" si="59"/>
        <v>3</v>
      </c>
      <c r="C352" s="507" t="str">
        <f ca="1">IF(COUNTA(D$257:D351)=1,"",OFFSET(B350,-COUNTA(D$257:D351)+3,1))</f>
        <v>a1W3p000004PcKfEAK</v>
      </c>
      <c r="D352" s="487"/>
      <c r="E352" s="487">
        <f t="shared" ca="1" si="60"/>
        <v>3</v>
      </c>
      <c r="F352" s="506">
        <f ca="1">IF(COUNTA(D$257:D351)=1,"",OFFSET(F350,-COUNTA(D$257:D351)+3,0))</f>
        <v>1</v>
      </c>
      <c r="G352" s="487"/>
      <c r="H352" s="487">
        <f t="shared" ca="1" si="61"/>
        <v>9</v>
      </c>
      <c r="I352" s="502" t="str">
        <f t="shared" ca="1" si="64"/>
        <v/>
      </c>
      <c r="J352" s="492" t="str">
        <f t="shared" ca="1" si="65"/>
        <v/>
      </c>
      <c r="K352" s="490">
        <f t="shared" ca="1" si="66"/>
        <v>75</v>
      </c>
      <c r="L352" s="493">
        <f ca="1">IFERROR(CHOOSE(E352,'Outcome Indicators - Section C '!$K$7,'Outcome Indicators - Section C '!$O$7,'Outcome Indicators - Section C '!$S$7,'Outcome Indicators - Section C '!$W$7),"")</f>
        <v>2023</v>
      </c>
      <c r="M352" s="504">
        <f t="shared" ca="1" si="67"/>
        <v>45291</v>
      </c>
      <c r="N352" s="493" t="str">
        <f t="shared" ca="1" si="68"/>
        <v/>
      </c>
      <c r="O352" s="487"/>
      <c r="P352" s="487">
        <f t="shared" si="62"/>
        <v>0</v>
      </c>
      <c r="Q352" s="493"/>
    </row>
    <row r="353" spans="1:17" x14ac:dyDescent="0.3">
      <c r="A353" s="487" t="b">
        <f t="shared" ca="1" si="63"/>
        <v>0</v>
      </c>
      <c r="B353" s="501">
        <f t="shared" si="59"/>
        <v>4</v>
      </c>
      <c r="C353" s="507" t="str">
        <f ca="1">IF(COUNTA(D$257:D352)=1,"",OFFSET(B351,-COUNTA(D$257:D352)+3,1))</f>
        <v>a1W3p000004PcKuEAK</v>
      </c>
      <c r="D353" s="487"/>
      <c r="E353" s="487">
        <f t="shared" ca="1" si="60"/>
        <v>4</v>
      </c>
      <c r="F353" s="506">
        <f ca="1">IF(COUNTA(D$257:D352)=1,"",OFFSET(F351,-COUNTA(D$257:D352)+3,0))</f>
        <v>1</v>
      </c>
      <c r="G353" s="487"/>
      <c r="H353" s="487">
        <f t="shared" ca="1" si="61"/>
        <v>9</v>
      </c>
      <c r="I353" s="502" t="str">
        <f t="shared" ca="1" si="64"/>
        <v/>
      </c>
      <c r="J353" s="492" t="str">
        <f t="shared" ca="1" si="65"/>
        <v/>
      </c>
      <c r="K353" s="490" t="str">
        <f t="shared" ca="1" si="66"/>
        <v/>
      </c>
      <c r="L353" s="493" t="str">
        <f ca="1">IFERROR(CHOOSE(E353,'Outcome Indicators - Section C '!$K$7,'Outcome Indicators - Section C '!$O$7,'Outcome Indicators - Section C '!$S$7,'Outcome Indicators - Section C '!$W$7),"")</f>
        <v/>
      </c>
      <c r="M353" s="504" t="str">
        <f t="shared" ca="1" si="67"/>
        <v/>
      </c>
      <c r="N353" s="493" t="str">
        <f t="shared" ca="1" si="68"/>
        <v/>
      </c>
      <c r="O353" s="487"/>
      <c r="P353" s="487">
        <f t="shared" si="62"/>
        <v>0</v>
      </c>
      <c r="Q353" s="493"/>
    </row>
    <row r="354" spans="1:17" x14ac:dyDescent="0.3">
      <c r="A354" s="487" t="b">
        <f t="shared" ca="1" si="63"/>
        <v>0</v>
      </c>
      <c r="B354" s="501">
        <f t="shared" si="59"/>
        <v>5</v>
      </c>
      <c r="C354" s="507" t="str">
        <f ca="1">IF(COUNTA(D$257:D353)=1,"",OFFSET(B352,-COUNTA(D$257:D353)+3,1))</f>
        <v>a1W3p000004PcL9EAK</v>
      </c>
      <c r="D354" s="487"/>
      <c r="E354" s="487">
        <f t="shared" ca="1" si="60"/>
        <v>5</v>
      </c>
      <c r="F354" s="506">
        <f ca="1">IF(COUNTA(D$257:D353)=1,"",OFFSET(F352,-COUNTA(D$257:D353)+3,0))</f>
        <v>1</v>
      </c>
      <c r="G354" s="487"/>
      <c r="H354" s="487">
        <f t="shared" ca="1" si="61"/>
        <v>9</v>
      </c>
      <c r="I354" s="502" t="str">
        <f t="shared" ca="1" si="64"/>
        <v/>
      </c>
      <c r="J354" s="492" t="str">
        <f t="shared" ca="1" si="65"/>
        <v/>
      </c>
      <c r="K354" s="490" t="str">
        <f t="shared" ca="1" si="66"/>
        <v/>
      </c>
      <c r="L354" s="493" t="str">
        <f ca="1">IFERROR(CHOOSE(E354,'Outcome Indicators - Section C '!$K$7,'Outcome Indicators - Section C '!$O$7,'Outcome Indicators - Section C '!$S$7,'Outcome Indicators - Section C '!$W$7),"")</f>
        <v/>
      </c>
      <c r="M354" s="504" t="str">
        <f t="shared" ca="1" si="67"/>
        <v/>
      </c>
      <c r="N354" s="493" t="str">
        <f t="shared" ca="1" si="68"/>
        <v/>
      </c>
      <c r="O354" s="487"/>
      <c r="P354" s="487">
        <f t="shared" si="62"/>
        <v>0</v>
      </c>
      <c r="Q354" s="493"/>
    </row>
    <row r="355" spans="1:17" x14ac:dyDescent="0.3">
      <c r="A355" s="487" t="b">
        <f t="shared" ca="1" si="63"/>
        <v>0</v>
      </c>
      <c r="B355" s="501">
        <f t="shared" si="59"/>
        <v>6</v>
      </c>
      <c r="C355" s="507" t="str">
        <f ca="1">IF(COUNTA(D$257:D354)=1,"",OFFSET(B353,-COUNTA(D$257:D354)+3,1))</f>
        <v>a1W3p000004PcLOEA0</v>
      </c>
      <c r="D355" s="487"/>
      <c r="E355" s="487">
        <f t="shared" ca="1" si="60"/>
        <v>6</v>
      </c>
      <c r="F355" s="506">
        <f ca="1">IF(COUNTA(D$257:D354)=1,"",OFFSET(F353,-COUNTA(D$257:D354)+3,0))</f>
        <v>1</v>
      </c>
      <c r="G355" s="487"/>
      <c r="H355" s="487">
        <f t="shared" ca="1" si="61"/>
        <v>9</v>
      </c>
      <c r="I355" s="502" t="str">
        <f t="shared" ca="1" si="64"/>
        <v/>
      </c>
      <c r="J355" s="492" t="str">
        <f t="shared" ca="1" si="65"/>
        <v/>
      </c>
      <c r="K355" s="490" t="str">
        <f t="shared" ca="1" si="66"/>
        <v/>
      </c>
      <c r="L355" s="493" t="str">
        <f ca="1">IFERROR(CHOOSE(E355,'Outcome Indicators - Section C '!$K$7,'Outcome Indicators - Section C '!$O$7,'Outcome Indicators - Section C '!$S$7,'Outcome Indicators - Section C '!$W$7),"")</f>
        <v/>
      </c>
      <c r="M355" s="504" t="str">
        <f t="shared" ca="1" si="67"/>
        <v/>
      </c>
      <c r="N355" s="493" t="str">
        <f t="shared" ca="1" si="68"/>
        <v/>
      </c>
      <c r="O355" s="487"/>
      <c r="P355" s="487">
        <f t="shared" si="62"/>
        <v>0</v>
      </c>
      <c r="Q355" s="493"/>
    </row>
    <row r="356" spans="1:17" x14ac:dyDescent="0.3">
      <c r="A356" s="487" t="b">
        <f t="shared" ca="1" si="63"/>
        <v>0</v>
      </c>
      <c r="B356" s="501">
        <f t="shared" si="59"/>
        <v>7</v>
      </c>
      <c r="C356" s="507" t="str">
        <f ca="1">IF(COUNTA(D$257:D355)=1,"",OFFSET(B354,-COUNTA(D$257:D355)+3,1))</f>
        <v>a1W3p000004PcKCEA0</v>
      </c>
      <c r="D356" s="487"/>
      <c r="E356" s="487">
        <f t="shared" ca="1" si="60"/>
        <v>1</v>
      </c>
      <c r="F356" s="506">
        <f ca="1">IF(COUNTA(D$257:D355)=1,"",OFFSET(F354,-COUNTA(D$257:D355)+3,0))</f>
        <v>2</v>
      </c>
      <c r="G356" s="487"/>
      <c r="H356" s="487">
        <f t="shared" ca="1" si="61"/>
        <v>11</v>
      </c>
      <c r="I356" s="502" t="str">
        <f t="shared" ca="1" si="64"/>
        <v/>
      </c>
      <c r="J356" s="492" t="str">
        <f t="shared" ca="1" si="65"/>
        <v/>
      </c>
      <c r="K356" s="490" t="str">
        <f t="shared" ca="1" si="66"/>
        <v/>
      </c>
      <c r="L356" s="493">
        <f ca="1">IFERROR(CHOOSE(E356,'Outcome Indicators - Section C '!$K$7,'Outcome Indicators - Section C '!$O$7,'Outcome Indicators - Section C '!$S$7,'Outcome Indicators - Section C '!$W$7),"")</f>
        <v>2021</v>
      </c>
      <c r="M356" s="504" t="str">
        <f t="shared" ca="1" si="67"/>
        <v/>
      </c>
      <c r="N356" s="493" t="str">
        <f t="shared" ca="1" si="68"/>
        <v/>
      </c>
      <c r="O356" s="487"/>
      <c r="P356" s="487">
        <f t="shared" si="62"/>
        <v>0</v>
      </c>
      <c r="Q356" s="493"/>
    </row>
    <row r="357" spans="1:17" x14ac:dyDescent="0.3">
      <c r="A357" s="487" t="b">
        <f t="shared" ca="1" si="63"/>
        <v>0</v>
      </c>
      <c r="B357" s="501">
        <f t="shared" si="59"/>
        <v>8</v>
      </c>
      <c r="C357" s="507" t="str">
        <f ca="1">IF(COUNTA(D$257:D356)=1,"",OFFSET(B355,-COUNTA(D$257:D356)+3,1))</f>
        <v>a1W3p000004PcKREA0</v>
      </c>
      <c r="D357" s="487"/>
      <c r="E357" s="487">
        <f t="shared" ca="1" si="60"/>
        <v>2</v>
      </c>
      <c r="F357" s="506">
        <f ca="1">IF(COUNTA(D$257:D356)=1,"",OFFSET(F355,-COUNTA(D$257:D356)+3,0))</f>
        <v>2</v>
      </c>
      <c r="G357" s="487"/>
      <c r="H357" s="487">
        <f t="shared" ca="1" si="61"/>
        <v>11</v>
      </c>
      <c r="I357" s="502" t="str">
        <f t="shared" ca="1" si="64"/>
        <v/>
      </c>
      <c r="J357" s="492" t="str">
        <f t="shared" ca="1" si="65"/>
        <v/>
      </c>
      <c r="K357" s="490" t="str">
        <f t="shared" ca="1" si="66"/>
        <v/>
      </c>
      <c r="L357" s="493">
        <f ca="1">IFERROR(CHOOSE(E357,'Outcome Indicators - Section C '!$K$7,'Outcome Indicators - Section C '!$O$7,'Outcome Indicators - Section C '!$S$7,'Outcome Indicators - Section C '!$W$7),"")</f>
        <v>2022</v>
      </c>
      <c r="M357" s="504" t="str">
        <f t="shared" ca="1" si="67"/>
        <v/>
      </c>
      <c r="N357" s="493" t="str">
        <f t="shared" ca="1" si="68"/>
        <v/>
      </c>
      <c r="O357" s="487"/>
      <c r="P357" s="487">
        <f t="shared" si="62"/>
        <v>0</v>
      </c>
      <c r="Q357" s="493"/>
    </row>
    <row r="358" spans="1:17" x14ac:dyDescent="0.3">
      <c r="A358" s="487" t="b">
        <f t="shared" ca="1" si="63"/>
        <v>1</v>
      </c>
      <c r="B358" s="501">
        <f t="shared" si="59"/>
        <v>9</v>
      </c>
      <c r="C358" s="507" t="str">
        <f ca="1">IF(COUNTA(D$257:D357)=1,"",OFFSET(B356,-COUNTA(D$257:D357)+3,1))</f>
        <v>a1W3p000004PcKgEAK</v>
      </c>
      <c r="D358" s="487"/>
      <c r="E358" s="487">
        <f t="shared" ca="1" si="60"/>
        <v>3</v>
      </c>
      <c r="F358" s="506">
        <f ca="1">IF(COUNTA(D$257:D357)=1,"",OFFSET(F356,-COUNTA(D$257:D357)+3,0))</f>
        <v>2</v>
      </c>
      <c r="G358" s="487"/>
      <c r="H358" s="487">
        <f t="shared" ca="1" si="61"/>
        <v>11</v>
      </c>
      <c r="I358" s="502" t="str">
        <f t="shared" ca="1" si="64"/>
        <v/>
      </c>
      <c r="J358" s="492" t="str">
        <f t="shared" ca="1" si="65"/>
        <v/>
      </c>
      <c r="K358" s="490">
        <f t="shared" ca="1" si="66"/>
        <v>86</v>
      </c>
      <c r="L358" s="493">
        <f ca="1">IFERROR(CHOOSE(E358,'Outcome Indicators - Section C '!$K$7,'Outcome Indicators - Section C '!$O$7,'Outcome Indicators - Section C '!$S$7,'Outcome Indicators - Section C '!$W$7),"")</f>
        <v>2023</v>
      </c>
      <c r="M358" s="504">
        <f t="shared" ca="1" si="67"/>
        <v>45291</v>
      </c>
      <c r="N358" s="493" t="str">
        <f t="shared" ca="1" si="68"/>
        <v/>
      </c>
      <c r="O358" s="487"/>
      <c r="P358" s="487">
        <f t="shared" si="62"/>
        <v>0</v>
      </c>
      <c r="Q358" s="493"/>
    </row>
    <row r="359" spans="1:17" x14ac:dyDescent="0.3">
      <c r="A359" s="487" t="b">
        <f t="shared" ca="1" si="63"/>
        <v>0</v>
      </c>
      <c r="B359" s="501">
        <f t="shared" si="59"/>
        <v>10</v>
      </c>
      <c r="C359" s="507" t="str">
        <f ca="1">IF(COUNTA(D$257:D358)=1,"",OFFSET(B357,-COUNTA(D$257:D358)+3,1))</f>
        <v>a1W3p000004PcKvEAK</v>
      </c>
      <c r="D359" s="487"/>
      <c r="E359" s="487">
        <f t="shared" ca="1" si="60"/>
        <v>4</v>
      </c>
      <c r="F359" s="506">
        <f ca="1">IF(COUNTA(D$257:D358)=1,"",OFFSET(F357,-COUNTA(D$257:D358)+3,0))</f>
        <v>2</v>
      </c>
      <c r="G359" s="487"/>
      <c r="H359" s="487">
        <f t="shared" ca="1" si="61"/>
        <v>11</v>
      </c>
      <c r="I359" s="502" t="str">
        <f t="shared" ca="1" si="64"/>
        <v/>
      </c>
      <c r="J359" s="492" t="str">
        <f t="shared" ca="1" si="65"/>
        <v/>
      </c>
      <c r="K359" s="490" t="str">
        <f t="shared" ca="1" si="66"/>
        <v/>
      </c>
      <c r="L359" s="493" t="str">
        <f ca="1">IFERROR(CHOOSE(E359,'Outcome Indicators - Section C '!$K$7,'Outcome Indicators - Section C '!$O$7,'Outcome Indicators - Section C '!$S$7,'Outcome Indicators - Section C '!$W$7),"")</f>
        <v/>
      </c>
      <c r="M359" s="504" t="str">
        <f t="shared" ca="1" si="67"/>
        <v/>
      </c>
      <c r="N359" s="493" t="str">
        <f t="shared" ca="1" si="68"/>
        <v/>
      </c>
      <c r="O359" s="487"/>
      <c r="P359" s="487">
        <f t="shared" si="62"/>
        <v>0</v>
      </c>
      <c r="Q359" s="493"/>
    </row>
    <row r="360" spans="1:17" x14ac:dyDescent="0.3">
      <c r="A360" s="487" t="b">
        <f t="shared" ca="1" si="63"/>
        <v>0</v>
      </c>
      <c r="B360" s="501">
        <f t="shared" si="59"/>
        <v>11</v>
      </c>
      <c r="C360" s="507" t="str">
        <f ca="1">IF(COUNTA(D$257:D359)=1,"",OFFSET(B358,-COUNTA(D$257:D359)+3,1))</f>
        <v>a1W3p000004PcLAEA0</v>
      </c>
      <c r="D360" s="487"/>
      <c r="E360" s="487">
        <f t="shared" ca="1" si="60"/>
        <v>5</v>
      </c>
      <c r="F360" s="506">
        <f ca="1">IF(COUNTA(D$257:D359)=1,"",OFFSET(F358,-COUNTA(D$257:D359)+3,0))</f>
        <v>2</v>
      </c>
      <c r="G360" s="487"/>
      <c r="H360" s="487">
        <f t="shared" ca="1" si="61"/>
        <v>11</v>
      </c>
      <c r="I360" s="502" t="str">
        <f t="shared" ca="1" si="64"/>
        <v/>
      </c>
      <c r="J360" s="492" t="str">
        <f t="shared" ca="1" si="65"/>
        <v/>
      </c>
      <c r="K360" s="490" t="str">
        <f t="shared" ca="1" si="66"/>
        <v/>
      </c>
      <c r="L360" s="493" t="str">
        <f ca="1">IFERROR(CHOOSE(E360,'Outcome Indicators - Section C '!$K$7,'Outcome Indicators - Section C '!$O$7,'Outcome Indicators - Section C '!$S$7,'Outcome Indicators - Section C '!$W$7),"")</f>
        <v/>
      </c>
      <c r="M360" s="504" t="str">
        <f t="shared" ca="1" si="67"/>
        <v/>
      </c>
      <c r="N360" s="493" t="str">
        <f t="shared" ca="1" si="68"/>
        <v/>
      </c>
      <c r="O360" s="487"/>
      <c r="P360" s="487">
        <f t="shared" si="62"/>
        <v>0</v>
      </c>
      <c r="Q360" s="493"/>
    </row>
    <row r="361" spans="1:17" x14ac:dyDescent="0.3">
      <c r="A361" s="487" t="b">
        <f t="shared" ca="1" si="63"/>
        <v>0</v>
      </c>
      <c r="B361" s="501">
        <f t="shared" si="59"/>
        <v>12</v>
      </c>
      <c r="C361" s="507" t="str">
        <f ca="1">IF(COUNTA(D$257:D360)=1,"",OFFSET(B359,-COUNTA(D$257:D360)+3,1))</f>
        <v>a1W3p000004PcLPEA0</v>
      </c>
      <c r="D361" s="487"/>
      <c r="E361" s="487">
        <f t="shared" ca="1" si="60"/>
        <v>6</v>
      </c>
      <c r="F361" s="506">
        <f ca="1">IF(COUNTA(D$257:D360)=1,"",OFFSET(F359,-COUNTA(D$257:D360)+3,0))</f>
        <v>2</v>
      </c>
      <c r="G361" s="487"/>
      <c r="H361" s="487">
        <f t="shared" ca="1" si="61"/>
        <v>11</v>
      </c>
      <c r="I361" s="502" t="str">
        <f t="shared" ca="1" si="64"/>
        <v/>
      </c>
      <c r="J361" s="492" t="str">
        <f t="shared" ca="1" si="65"/>
        <v/>
      </c>
      <c r="K361" s="490" t="str">
        <f t="shared" ca="1" si="66"/>
        <v/>
      </c>
      <c r="L361" s="493" t="str">
        <f ca="1">IFERROR(CHOOSE(E361,'Outcome Indicators - Section C '!$K$7,'Outcome Indicators - Section C '!$O$7,'Outcome Indicators - Section C '!$S$7,'Outcome Indicators - Section C '!$W$7),"")</f>
        <v/>
      </c>
      <c r="M361" s="504" t="str">
        <f t="shared" ca="1" si="67"/>
        <v/>
      </c>
      <c r="N361" s="493" t="str">
        <f t="shared" ca="1" si="68"/>
        <v/>
      </c>
      <c r="O361" s="487"/>
      <c r="P361" s="487">
        <f t="shared" si="62"/>
        <v>0</v>
      </c>
      <c r="Q361" s="493"/>
    </row>
    <row r="362" spans="1:17" x14ac:dyDescent="0.3">
      <c r="A362" s="487" t="b">
        <f t="shared" ca="1" si="63"/>
        <v>1</v>
      </c>
      <c r="B362" s="501">
        <f t="shared" si="59"/>
        <v>13</v>
      </c>
      <c r="C362" s="507" t="str">
        <f ca="1">IF(COUNTA(D$257:D361)=1,"",OFFSET(B360,-COUNTA(D$257:D361)+3,1))</f>
        <v>a1W3p000004PcKDEA0</v>
      </c>
      <c r="D362" s="487"/>
      <c r="E362" s="487">
        <f t="shared" ca="1" si="60"/>
        <v>1</v>
      </c>
      <c r="F362" s="506">
        <f ca="1">IF(COUNTA(D$257:D361)=1,"",OFFSET(F360,-COUNTA(D$257:D361)+3,0))</f>
        <v>3</v>
      </c>
      <c r="G362" s="487"/>
      <c r="H362" s="487">
        <f t="shared" ca="1" si="61"/>
        <v>13</v>
      </c>
      <c r="I362" s="502" t="str">
        <f t="shared" ca="1" si="64"/>
        <v/>
      </c>
      <c r="J362" s="492" t="str">
        <f t="shared" ca="1" si="65"/>
        <v/>
      </c>
      <c r="K362" s="490">
        <f t="shared" ca="1" si="66"/>
        <v>78.3</v>
      </c>
      <c r="L362" s="493">
        <f ca="1">IFERROR(CHOOSE(E362,'Outcome Indicators - Section C '!$K$7,'Outcome Indicators - Section C '!$O$7,'Outcome Indicators - Section C '!$S$7,'Outcome Indicators - Section C '!$W$7),"")</f>
        <v>2021</v>
      </c>
      <c r="M362" s="504">
        <f t="shared" ca="1" si="67"/>
        <v>44561</v>
      </c>
      <c r="N362" s="493" t="str">
        <f t="shared" ca="1" si="68"/>
        <v/>
      </c>
      <c r="O362" s="487"/>
      <c r="P362" s="487">
        <f t="shared" si="62"/>
        <v>0</v>
      </c>
      <c r="Q362" s="493"/>
    </row>
    <row r="363" spans="1:17" x14ac:dyDescent="0.3">
      <c r="A363" s="487" t="b">
        <f t="shared" ca="1" si="63"/>
        <v>1</v>
      </c>
      <c r="B363" s="501">
        <f t="shared" si="59"/>
        <v>14</v>
      </c>
      <c r="C363" s="507" t="str">
        <f ca="1">IF(COUNTA(D$257:D362)=1,"",OFFSET(B361,-COUNTA(D$257:D362)+3,1))</f>
        <v>a1W3p000004PcKSEA0</v>
      </c>
      <c r="D363" s="487"/>
      <c r="E363" s="487">
        <f t="shared" ca="1" si="60"/>
        <v>2</v>
      </c>
      <c r="F363" s="506">
        <f ca="1">IF(COUNTA(D$257:D362)=1,"",OFFSET(F361,-COUNTA(D$257:D362)+3,0))</f>
        <v>3</v>
      </c>
      <c r="G363" s="487"/>
      <c r="H363" s="487">
        <f t="shared" ca="1" si="61"/>
        <v>13</v>
      </c>
      <c r="I363" s="502" t="str">
        <f t="shared" ca="1" si="64"/>
        <v/>
      </c>
      <c r="J363" s="492" t="str">
        <f t="shared" ca="1" si="65"/>
        <v/>
      </c>
      <c r="K363" s="490">
        <f t="shared" ca="1" si="66"/>
        <v>82</v>
      </c>
      <c r="L363" s="493">
        <f ca="1">IFERROR(CHOOSE(E363,'Outcome Indicators - Section C '!$K$7,'Outcome Indicators - Section C '!$O$7,'Outcome Indicators - Section C '!$S$7,'Outcome Indicators - Section C '!$W$7),"")</f>
        <v>2022</v>
      </c>
      <c r="M363" s="504">
        <f t="shared" ca="1" si="67"/>
        <v>44926</v>
      </c>
      <c r="N363" s="493" t="str">
        <f t="shared" ca="1" si="68"/>
        <v/>
      </c>
      <c r="O363" s="487"/>
      <c r="P363" s="487">
        <f t="shared" si="62"/>
        <v>0</v>
      </c>
      <c r="Q363" s="493"/>
    </row>
    <row r="364" spans="1:17" x14ac:dyDescent="0.3">
      <c r="A364" s="487" t="b">
        <f t="shared" ca="1" si="63"/>
        <v>1</v>
      </c>
      <c r="B364" s="501">
        <f t="shared" si="59"/>
        <v>15</v>
      </c>
      <c r="C364" s="507" t="str">
        <f ca="1">IF(COUNTA(D$257:D363)=1,"",OFFSET(B362,-COUNTA(D$257:D363)+3,1))</f>
        <v>a1W3p000004PcKhEAK</v>
      </c>
      <c r="D364" s="487"/>
      <c r="E364" s="487">
        <f t="shared" ca="1" si="60"/>
        <v>3</v>
      </c>
      <c r="F364" s="506">
        <f ca="1">IF(COUNTA(D$257:D363)=1,"",OFFSET(F362,-COUNTA(D$257:D363)+3,0))</f>
        <v>3</v>
      </c>
      <c r="G364" s="487"/>
      <c r="H364" s="487">
        <f t="shared" ca="1" si="61"/>
        <v>13</v>
      </c>
      <c r="I364" s="502" t="str">
        <f t="shared" ca="1" si="64"/>
        <v/>
      </c>
      <c r="J364" s="492" t="str">
        <f t="shared" ca="1" si="65"/>
        <v/>
      </c>
      <c r="K364" s="490">
        <f t="shared" ca="1" si="66"/>
        <v>85.6</v>
      </c>
      <c r="L364" s="493">
        <f ca="1">IFERROR(CHOOSE(E364,'Outcome Indicators - Section C '!$K$7,'Outcome Indicators - Section C '!$O$7,'Outcome Indicators - Section C '!$S$7,'Outcome Indicators - Section C '!$W$7),"")</f>
        <v>2023</v>
      </c>
      <c r="M364" s="504">
        <f t="shared" ca="1" si="67"/>
        <v>45291</v>
      </c>
      <c r="N364" s="493" t="str">
        <f t="shared" ca="1" si="68"/>
        <v/>
      </c>
      <c r="O364" s="487"/>
      <c r="P364" s="487">
        <f t="shared" si="62"/>
        <v>0</v>
      </c>
      <c r="Q364" s="493"/>
    </row>
    <row r="365" spans="1:17" x14ac:dyDescent="0.3">
      <c r="A365" s="487" t="b">
        <f t="shared" ca="1" si="63"/>
        <v>0</v>
      </c>
      <c r="B365" s="501">
        <f t="shared" si="59"/>
        <v>16</v>
      </c>
      <c r="C365" s="507" t="str">
        <f ca="1">IF(COUNTA(D$257:D364)=1,"",OFFSET(B363,-COUNTA(D$257:D364)+3,1))</f>
        <v>a1W3p000004PcKwEAK</v>
      </c>
      <c r="D365" s="487"/>
      <c r="E365" s="487">
        <f t="shared" ca="1" si="60"/>
        <v>4</v>
      </c>
      <c r="F365" s="506">
        <f ca="1">IF(COUNTA(D$257:D364)=1,"",OFFSET(F363,-COUNTA(D$257:D364)+3,0))</f>
        <v>3</v>
      </c>
      <c r="G365" s="487"/>
      <c r="H365" s="487">
        <f t="shared" ca="1" si="61"/>
        <v>13</v>
      </c>
      <c r="I365" s="502" t="str">
        <f t="shared" ca="1" si="64"/>
        <v/>
      </c>
      <c r="J365" s="492" t="str">
        <f t="shared" ca="1" si="65"/>
        <v/>
      </c>
      <c r="K365" s="490" t="str">
        <f t="shared" ca="1" si="66"/>
        <v/>
      </c>
      <c r="L365" s="493" t="str">
        <f ca="1">IFERROR(CHOOSE(E365,'Outcome Indicators - Section C '!$K$7,'Outcome Indicators - Section C '!$O$7,'Outcome Indicators - Section C '!$S$7,'Outcome Indicators - Section C '!$W$7),"")</f>
        <v/>
      </c>
      <c r="M365" s="504" t="str">
        <f t="shared" ca="1" si="67"/>
        <v/>
      </c>
      <c r="N365" s="493" t="str">
        <f t="shared" ca="1" si="68"/>
        <v/>
      </c>
      <c r="O365" s="487"/>
      <c r="P365" s="487">
        <f t="shared" si="62"/>
        <v>0</v>
      </c>
      <c r="Q365" s="493"/>
    </row>
    <row r="366" spans="1:17" x14ac:dyDescent="0.3">
      <c r="A366" s="487" t="b">
        <f t="shared" ca="1" si="63"/>
        <v>0</v>
      </c>
      <c r="B366" s="501">
        <f t="shared" si="59"/>
        <v>17</v>
      </c>
      <c r="C366" s="507" t="str">
        <f ca="1">IF(COUNTA(D$257:D365)=1,"",OFFSET(B364,-COUNTA(D$257:D365)+3,1))</f>
        <v>a1W3p000004PcLBEA0</v>
      </c>
      <c r="D366" s="487"/>
      <c r="E366" s="487">
        <f t="shared" ca="1" si="60"/>
        <v>5</v>
      </c>
      <c r="F366" s="506">
        <f ca="1">IF(COUNTA(D$257:D365)=1,"",OFFSET(F364,-COUNTA(D$257:D365)+3,0))</f>
        <v>3</v>
      </c>
      <c r="G366" s="487"/>
      <c r="H366" s="487">
        <f t="shared" ca="1" si="61"/>
        <v>13</v>
      </c>
      <c r="I366" s="502" t="str">
        <f t="shared" ca="1" si="64"/>
        <v/>
      </c>
      <c r="J366" s="492" t="str">
        <f t="shared" ca="1" si="65"/>
        <v/>
      </c>
      <c r="K366" s="490" t="str">
        <f t="shared" ca="1" si="66"/>
        <v/>
      </c>
      <c r="L366" s="493" t="str">
        <f ca="1">IFERROR(CHOOSE(E366,'Outcome Indicators - Section C '!$K$7,'Outcome Indicators - Section C '!$O$7,'Outcome Indicators - Section C '!$S$7,'Outcome Indicators - Section C '!$W$7),"")</f>
        <v/>
      </c>
      <c r="M366" s="504" t="str">
        <f t="shared" ca="1" si="67"/>
        <v/>
      </c>
      <c r="N366" s="493" t="str">
        <f t="shared" ca="1" si="68"/>
        <v/>
      </c>
      <c r="O366" s="487"/>
      <c r="P366" s="487">
        <f t="shared" si="62"/>
        <v>0</v>
      </c>
      <c r="Q366" s="493"/>
    </row>
    <row r="367" spans="1:17" x14ac:dyDescent="0.3">
      <c r="A367" s="487" t="b">
        <f t="shared" ca="1" si="63"/>
        <v>0</v>
      </c>
      <c r="B367" s="501">
        <f t="shared" si="59"/>
        <v>18</v>
      </c>
      <c r="C367" s="507" t="str">
        <f ca="1">IF(COUNTA(D$257:D366)=1,"",OFFSET(B365,-COUNTA(D$257:D366)+3,1))</f>
        <v>a1W3p000004PcLQEA0</v>
      </c>
      <c r="D367" s="487"/>
      <c r="E367" s="487">
        <f t="shared" ca="1" si="60"/>
        <v>6</v>
      </c>
      <c r="F367" s="506">
        <f ca="1">IF(COUNTA(D$257:D366)=1,"",OFFSET(F365,-COUNTA(D$257:D366)+3,0))</f>
        <v>3</v>
      </c>
      <c r="G367" s="487"/>
      <c r="H367" s="487">
        <f t="shared" ca="1" si="61"/>
        <v>13</v>
      </c>
      <c r="I367" s="502" t="str">
        <f t="shared" ca="1" si="64"/>
        <v/>
      </c>
      <c r="J367" s="492" t="str">
        <f t="shared" ca="1" si="65"/>
        <v/>
      </c>
      <c r="K367" s="490" t="str">
        <f t="shared" ca="1" si="66"/>
        <v/>
      </c>
      <c r="L367" s="493" t="str">
        <f ca="1">IFERROR(CHOOSE(E367,'Outcome Indicators - Section C '!$K$7,'Outcome Indicators - Section C '!$O$7,'Outcome Indicators - Section C '!$S$7,'Outcome Indicators - Section C '!$W$7),"")</f>
        <v/>
      </c>
      <c r="M367" s="504" t="str">
        <f t="shared" ca="1" si="67"/>
        <v/>
      </c>
      <c r="N367" s="493" t="str">
        <f t="shared" ca="1" si="68"/>
        <v/>
      </c>
      <c r="O367" s="487"/>
      <c r="P367" s="487">
        <f t="shared" si="62"/>
        <v>0</v>
      </c>
      <c r="Q367" s="493"/>
    </row>
    <row r="368" spans="1:17" x14ac:dyDescent="0.3">
      <c r="A368" s="487" t="b">
        <f t="shared" ca="1" si="63"/>
        <v>1</v>
      </c>
      <c r="B368" s="501">
        <f t="shared" si="59"/>
        <v>19</v>
      </c>
      <c r="C368" s="507" t="str">
        <f ca="1">IF(COUNTA(D$257:D367)=1,"",OFFSET(B366,-COUNTA(D$257:D367)+3,1))</f>
        <v>a1W3p000004PcKEEA0</v>
      </c>
      <c r="D368" s="487"/>
      <c r="E368" s="487">
        <f t="shared" ca="1" si="60"/>
        <v>1</v>
      </c>
      <c r="F368" s="506">
        <f ca="1">IF(COUNTA(D$257:D367)=1,"",OFFSET(F366,-COUNTA(D$257:D367)+3,0))</f>
        <v>4</v>
      </c>
      <c r="G368" s="487"/>
      <c r="H368" s="487">
        <f t="shared" ca="1" si="61"/>
        <v>15</v>
      </c>
      <c r="I368" s="502" t="str">
        <f t="shared" ca="1" si="64"/>
        <v/>
      </c>
      <c r="J368" s="492" t="str">
        <f t="shared" ca="1" si="65"/>
        <v/>
      </c>
      <c r="K368" s="490">
        <f t="shared" ca="1" si="66"/>
        <v>25</v>
      </c>
      <c r="L368" s="493">
        <f ca="1">IFERROR(CHOOSE(E368,'Outcome Indicators - Section C '!$K$7,'Outcome Indicators - Section C '!$O$7,'Outcome Indicators - Section C '!$S$7,'Outcome Indicators - Section C '!$W$7),"")</f>
        <v>2021</v>
      </c>
      <c r="M368" s="504">
        <f t="shared" ca="1" si="67"/>
        <v>44377</v>
      </c>
      <c r="N368" s="493" t="str">
        <f t="shared" ca="1" si="68"/>
        <v/>
      </c>
      <c r="O368" s="487"/>
      <c r="P368" s="487">
        <f t="shared" si="62"/>
        <v>0</v>
      </c>
      <c r="Q368" s="493"/>
    </row>
    <row r="369" spans="1:17" x14ac:dyDescent="0.3">
      <c r="A369" s="487" t="b">
        <f t="shared" ca="1" si="63"/>
        <v>0</v>
      </c>
      <c r="B369" s="501">
        <f t="shared" si="59"/>
        <v>20</v>
      </c>
      <c r="C369" s="507" t="str">
        <f ca="1">IF(COUNTA(D$257:D368)=1,"",OFFSET(B367,-COUNTA(D$257:D368)+3,1))</f>
        <v>a1W3p000004PcKTEA0</v>
      </c>
      <c r="D369" s="487"/>
      <c r="E369" s="487">
        <f t="shared" ca="1" si="60"/>
        <v>2</v>
      </c>
      <c r="F369" s="506">
        <f ca="1">IF(COUNTA(D$257:D368)=1,"",OFFSET(F367,-COUNTA(D$257:D368)+3,0))</f>
        <v>4</v>
      </c>
      <c r="G369" s="487"/>
      <c r="H369" s="487">
        <f t="shared" ca="1" si="61"/>
        <v>15</v>
      </c>
      <c r="I369" s="502" t="str">
        <f t="shared" ca="1" si="64"/>
        <v/>
      </c>
      <c r="J369" s="492" t="str">
        <f t="shared" ca="1" si="65"/>
        <v/>
      </c>
      <c r="K369" s="490" t="str">
        <f t="shared" ca="1" si="66"/>
        <v/>
      </c>
      <c r="L369" s="493">
        <f ca="1">IFERROR(CHOOSE(E369,'Outcome Indicators - Section C '!$K$7,'Outcome Indicators - Section C '!$O$7,'Outcome Indicators - Section C '!$S$7,'Outcome Indicators - Section C '!$W$7),"")</f>
        <v>2022</v>
      </c>
      <c r="M369" s="504" t="str">
        <f t="shared" ca="1" si="67"/>
        <v/>
      </c>
      <c r="N369" s="493" t="str">
        <f t="shared" ca="1" si="68"/>
        <v/>
      </c>
      <c r="O369" s="487"/>
      <c r="P369" s="487">
        <f t="shared" si="62"/>
        <v>0</v>
      </c>
      <c r="Q369" s="493"/>
    </row>
    <row r="370" spans="1:17" x14ac:dyDescent="0.3">
      <c r="A370" s="487" t="b">
        <f t="shared" ca="1" si="63"/>
        <v>1</v>
      </c>
      <c r="B370" s="501">
        <f t="shared" si="59"/>
        <v>21</v>
      </c>
      <c r="C370" s="507" t="str">
        <f ca="1">IF(COUNTA(D$257:D369)=1,"",OFFSET(B368,-COUNTA(D$257:D369)+3,1))</f>
        <v>a1W3p000004PcKiEAK</v>
      </c>
      <c r="D370" s="487"/>
      <c r="E370" s="487">
        <f t="shared" ca="1" si="60"/>
        <v>3</v>
      </c>
      <c r="F370" s="506">
        <f ca="1">IF(COUNTA(D$257:D369)=1,"",OFFSET(F368,-COUNTA(D$257:D369)+3,0))</f>
        <v>4</v>
      </c>
      <c r="G370" s="487"/>
      <c r="H370" s="487">
        <f t="shared" ca="1" si="61"/>
        <v>15</v>
      </c>
      <c r="I370" s="502" t="str">
        <f t="shared" ca="1" si="64"/>
        <v/>
      </c>
      <c r="J370" s="492" t="str">
        <f t="shared" ca="1" si="65"/>
        <v/>
      </c>
      <c r="K370" s="490">
        <f t="shared" ca="1" si="66"/>
        <v>18</v>
      </c>
      <c r="L370" s="493">
        <f ca="1">IFERROR(CHOOSE(E370,'Outcome Indicators - Section C '!$K$7,'Outcome Indicators - Section C '!$O$7,'Outcome Indicators - Section C '!$S$7,'Outcome Indicators - Section C '!$W$7),"")</f>
        <v>2023</v>
      </c>
      <c r="M370" s="504">
        <f t="shared" ca="1" si="67"/>
        <v>45291</v>
      </c>
      <c r="N370" s="493" t="str">
        <f t="shared" ca="1" si="68"/>
        <v/>
      </c>
      <c r="O370" s="487"/>
      <c r="P370" s="487">
        <f t="shared" si="62"/>
        <v>0</v>
      </c>
      <c r="Q370" s="493"/>
    </row>
    <row r="371" spans="1:17" x14ac:dyDescent="0.3">
      <c r="A371" s="487" t="b">
        <f t="shared" ca="1" si="63"/>
        <v>0</v>
      </c>
      <c r="B371" s="501">
        <f t="shared" si="59"/>
        <v>22</v>
      </c>
      <c r="C371" s="507" t="str">
        <f ca="1">IF(COUNTA(D$257:D370)=1,"",OFFSET(B369,-COUNTA(D$257:D370)+3,1))</f>
        <v>a1W3p000004PcKxEAK</v>
      </c>
      <c r="D371" s="487"/>
      <c r="E371" s="487">
        <f t="shared" ca="1" si="60"/>
        <v>4</v>
      </c>
      <c r="F371" s="506">
        <f ca="1">IF(COUNTA(D$257:D370)=1,"",OFFSET(F369,-COUNTA(D$257:D370)+3,0))</f>
        <v>4</v>
      </c>
      <c r="G371" s="487"/>
      <c r="H371" s="487">
        <f t="shared" ca="1" si="61"/>
        <v>15</v>
      </c>
      <c r="I371" s="502" t="str">
        <f t="shared" ca="1" si="64"/>
        <v/>
      </c>
      <c r="J371" s="492" t="str">
        <f t="shared" ca="1" si="65"/>
        <v/>
      </c>
      <c r="K371" s="490" t="str">
        <f t="shared" ca="1" si="66"/>
        <v/>
      </c>
      <c r="L371" s="493" t="str">
        <f ca="1">IFERROR(CHOOSE(E371,'Outcome Indicators - Section C '!$K$7,'Outcome Indicators - Section C '!$O$7,'Outcome Indicators - Section C '!$S$7,'Outcome Indicators - Section C '!$W$7),"")</f>
        <v/>
      </c>
      <c r="M371" s="504" t="str">
        <f t="shared" ca="1" si="67"/>
        <v/>
      </c>
      <c r="N371" s="493" t="str">
        <f t="shared" ca="1" si="68"/>
        <v/>
      </c>
      <c r="O371" s="487"/>
      <c r="P371" s="487">
        <f t="shared" si="62"/>
        <v>0</v>
      </c>
      <c r="Q371" s="493"/>
    </row>
    <row r="372" spans="1:17" x14ac:dyDescent="0.3">
      <c r="A372" s="487" t="b">
        <f t="shared" ca="1" si="63"/>
        <v>0</v>
      </c>
      <c r="B372" s="501">
        <f t="shared" si="59"/>
        <v>23</v>
      </c>
      <c r="C372" s="507" t="str">
        <f ca="1">IF(COUNTA(D$257:D371)=1,"",OFFSET(B370,-COUNTA(D$257:D371)+3,1))</f>
        <v>a1W3p000004PcLCEA0</v>
      </c>
      <c r="D372" s="487"/>
      <c r="E372" s="487">
        <f t="shared" ca="1" si="60"/>
        <v>5</v>
      </c>
      <c r="F372" s="506">
        <f ca="1">IF(COUNTA(D$257:D371)=1,"",OFFSET(F370,-COUNTA(D$257:D371)+3,0))</f>
        <v>4</v>
      </c>
      <c r="G372" s="487"/>
      <c r="H372" s="487">
        <f t="shared" ca="1" si="61"/>
        <v>15</v>
      </c>
      <c r="I372" s="502" t="str">
        <f t="shared" ca="1" si="64"/>
        <v/>
      </c>
      <c r="J372" s="492" t="str">
        <f t="shared" ca="1" si="65"/>
        <v/>
      </c>
      <c r="K372" s="490" t="str">
        <f t="shared" ca="1" si="66"/>
        <v/>
      </c>
      <c r="L372" s="493" t="str">
        <f ca="1">IFERROR(CHOOSE(E372,'Outcome Indicators - Section C '!$K$7,'Outcome Indicators - Section C '!$O$7,'Outcome Indicators - Section C '!$S$7,'Outcome Indicators - Section C '!$W$7),"")</f>
        <v/>
      </c>
      <c r="M372" s="504" t="str">
        <f t="shared" ca="1" si="67"/>
        <v/>
      </c>
      <c r="N372" s="493" t="str">
        <f t="shared" ca="1" si="68"/>
        <v/>
      </c>
      <c r="O372" s="487"/>
      <c r="P372" s="487">
        <f t="shared" si="62"/>
        <v>0</v>
      </c>
      <c r="Q372" s="493"/>
    </row>
    <row r="373" spans="1:17" x14ac:dyDescent="0.3">
      <c r="A373" s="487" t="b">
        <f t="shared" ca="1" si="63"/>
        <v>0</v>
      </c>
      <c r="B373" s="501">
        <f t="shared" si="59"/>
        <v>24</v>
      </c>
      <c r="C373" s="507" t="str">
        <f ca="1">IF(COUNTA(D$257:D372)=1,"",OFFSET(B371,-COUNTA(D$257:D372)+3,1))</f>
        <v>a1W3p000004PcLREA0</v>
      </c>
      <c r="D373" s="487"/>
      <c r="E373" s="487">
        <f t="shared" ca="1" si="60"/>
        <v>6</v>
      </c>
      <c r="F373" s="506">
        <f ca="1">IF(COUNTA(D$257:D372)=1,"",OFFSET(F371,-COUNTA(D$257:D372)+3,0))</f>
        <v>4</v>
      </c>
      <c r="G373" s="487"/>
      <c r="H373" s="487">
        <f t="shared" ca="1" si="61"/>
        <v>15</v>
      </c>
      <c r="I373" s="502" t="str">
        <f t="shared" ca="1" si="64"/>
        <v/>
      </c>
      <c r="J373" s="492" t="str">
        <f t="shared" ca="1" si="65"/>
        <v/>
      </c>
      <c r="K373" s="490" t="str">
        <f t="shared" ca="1" si="66"/>
        <v/>
      </c>
      <c r="L373" s="493" t="str">
        <f ca="1">IFERROR(CHOOSE(E373,'Outcome Indicators - Section C '!$K$7,'Outcome Indicators - Section C '!$O$7,'Outcome Indicators - Section C '!$S$7,'Outcome Indicators - Section C '!$W$7),"")</f>
        <v/>
      </c>
      <c r="M373" s="504" t="str">
        <f t="shared" ca="1" si="67"/>
        <v/>
      </c>
      <c r="N373" s="493" t="str">
        <f t="shared" ca="1" si="68"/>
        <v/>
      </c>
      <c r="O373" s="487"/>
      <c r="P373" s="487">
        <f t="shared" si="62"/>
        <v>0</v>
      </c>
      <c r="Q373" s="493"/>
    </row>
    <row r="374" spans="1:17" x14ac:dyDescent="0.3">
      <c r="A374" s="487" t="b">
        <f t="shared" ca="1" si="63"/>
        <v>0</v>
      </c>
      <c r="B374" s="501">
        <f t="shared" si="59"/>
        <v>25</v>
      </c>
      <c r="C374" s="507" t="str">
        <f ca="1">IF(COUNTA(D$257:D373)=1,"",OFFSET(B372,-COUNTA(D$257:D373)+3,1))</f>
        <v>a1W3p000004PcKFEA0</v>
      </c>
      <c r="D374" s="487"/>
      <c r="E374" s="487">
        <f t="shared" ca="1" si="60"/>
        <v>1</v>
      </c>
      <c r="F374" s="506">
        <f ca="1">IF(COUNTA(D$257:D373)=1,"",OFFSET(F372,-COUNTA(D$257:D373)+3,0))</f>
        <v>5</v>
      </c>
      <c r="G374" s="487"/>
      <c r="H374" s="487">
        <f t="shared" ca="1" si="61"/>
        <v>17</v>
      </c>
      <c r="I374" s="502" t="str">
        <f t="shared" ca="1" si="64"/>
        <v/>
      </c>
      <c r="J374" s="492" t="str">
        <f t="shared" ca="1" si="65"/>
        <v/>
      </c>
      <c r="K374" s="490" t="str">
        <f t="shared" ca="1" si="66"/>
        <v/>
      </c>
      <c r="L374" s="493">
        <f ca="1">IFERROR(CHOOSE(E374,'Outcome Indicators - Section C '!$K$7,'Outcome Indicators - Section C '!$O$7,'Outcome Indicators - Section C '!$S$7,'Outcome Indicators - Section C '!$W$7),"")</f>
        <v>2021</v>
      </c>
      <c r="M374" s="504" t="str">
        <f t="shared" ca="1" si="67"/>
        <v/>
      </c>
      <c r="N374" s="493" t="str">
        <f t="shared" ca="1" si="68"/>
        <v/>
      </c>
      <c r="O374" s="487"/>
      <c r="P374" s="487">
        <f t="shared" si="62"/>
        <v>0</v>
      </c>
      <c r="Q374" s="493"/>
    </row>
    <row r="375" spans="1:17" x14ac:dyDescent="0.3">
      <c r="A375" s="487" t="b">
        <f t="shared" ca="1" si="63"/>
        <v>0</v>
      </c>
      <c r="B375" s="501">
        <f t="shared" si="59"/>
        <v>26</v>
      </c>
      <c r="C375" s="507" t="str">
        <f ca="1">IF(COUNTA(D$257:D374)=1,"",OFFSET(B373,-COUNTA(D$257:D374)+3,1))</f>
        <v>a1W3p000004PcKUEA0</v>
      </c>
      <c r="D375" s="487"/>
      <c r="E375" s="487">
        <f t="shared" ca="1" si="60"/>
        <v>2</v>
      </c>
      <c r="F375" s="506">
        <f ca="1">IF(COUNTA(D$257:D374)=1,"",OFFSET(F373,-COUNTA(D$257:D374)+3,0))</f>
        <v>5</v>
      </c>
      <c r="G375" s="487"/>
      <c r="H375" s="487">
        <f t="shared" ca="1" si="61"/>
        <v>17</v>
      </c>
      <c r="I375" s="502" t="str">
        <f t="shared" ca="1" si="64"/>
        <v/>
      </c>
      <c r="J375" s="492" t="str">
        <f t="shared" ca="1" si="65"/>
        <v/>
      </c>
      <c r="K375" s="490" t="str">
        <f t="shared" ca="1" si="66"/>
        <v/>
      </c>
      <c r="L375" s="493">
        <f ca="1">IFERROR(CHOOSE(E375,'Outcome Indicators - Section C '!$K$7,'Outcome Indicators - Section C '!$O$7,'Outcome Indicators - Section C '!$S$7,'Outcome Indicators - Section C '!$W$7),"")</f>
        <v>2022</v>
      </c>
      <c r="M375" s="504" t="str">
        <f t="shared" ca="1" si="67"/>
        <v/>
      </c>
      <c r="N375" s="493" t="str">
        <f t="shared" ca="1" si="68"/>
        <v/>
      </c>
      <c r="O375" s="487"/>
      <c r="P375" s="487">
        <f t="shared" si="62"/>
        <v>0</v>
      </c>
      <c r="Q375" s="493"/>
    </row>
    <row r="376" spans="1:17" x14ac:dyDescent="0.3">
      <c r="A376" s="487" t="b">
        <f t="shared" ca="1" si="63"/>
        <v>0</v>
      </c>
      <c r="B376" s="501">
        <f t="shared" si="59"/>
        <v>27</v>
      </c>
      <c r="C376" s="507" t="str">
        <f ca="1">IF(COUNTA(D$257:D375)=1,"",OFFSET(B374,-COUNTA(D$257:D375)+3,1))</f>
        <v>a1W3p000004PcKjEAK</v>
      </c>
      <c r="D376" s="487"/>
      <c r="E376" s="487">
        <f t="shared" ca="1" si="60"/>
        <v>3</v>
      </c>
      <c r="F376" s="506">
        <f ca="1">IF(COUNTA(D$257:D375)=1,"",OFFSET(F374,-COUNTA(D$257:D375)+3,0))</f>
        <v>5</v>
      </c>
      <c r="G376" s="487"/>
      <c r="H376" s="487">
        <f t="shared" ca="1" si="61"/>
        <v>17</v>
      </c>
      <c r="I376" s="502" t="str">
        <f t="shared" ca="1" si="64"/>
        <v/>
      </c>
      <c r="J376" s="492" t="str">
        <f t="shared" ca="1" si="65"/>
        <v/>
      </c>
      <c r="K376" s="490" t="str">
        <f t="shared" ca="1" si="66"/>
        <v/>
      </c>
      <c r="L376" s="493">
        <f ca="1">IFERROR(CHOOSE(E376,'Outcome Indicators - Section C '!$K$7,'Outcome Indicators - Section C '!$O$7,'Outcome Indicators - Section C '!$S$7,'Outcome Indicators - Section C '!$W$7),"")</f>
        <v>2023</v>
      </c>
      <c r="M376" s="504" t="str">
        <f t="shared" ca="1" si="67"/>
        <v/>
      </c>
      <c r="N376" s="493" t="str">
        <f t="shared" ca="1" si="68"/>
        <v/>
      </c>
      <c r="O376" s="487"/>
      <c r="P376" s="487">
        <f t="shared" si="62"/>
        <v>0</v>
      </c>
      <c r="Q376" s="493"/>
    </row>
    <row r="377" spans="1:17" x14ac:dyDescent="0.3">
      <c r="A377" s="487" t="b">
        <f t="shared" ca="1" si="63"/>
        <v>0</v>
      </c>
      <c r="B377" s="501">
        <f t="shared" si="59"/>
        <v>28</v>
      </c>
      <c r="C377" s="507" t="str">
        <f ca="1">IF(COUNTA(D$257:D376)=1,"",OFFSET(B375,-COUNTA(D$257:D376)+3,1))</f>
        <v>a1W3p000004PcKyEAK</v>
      </c>
      <c r="D377" s="487"/>
      <c r="E377" s="487">
        <f t="shared" ca="1" si="60"/>
        <v>4</v>
      </c>
      <c r="F377" s="506">
        <f ca="1">IF(COUNTA(D$257:D376)=1,"",OFFSET(F375,-COUNTA(D$257:D376)+3,0))</f>
        <v>5</v>
      </c>
      <c r="G377" s="487"/>
      <c r="H377" s="487">
        <f t="shared" ca="1" si="61"/>
        <v>17</v>
      </c>
      <c r="I377" s="502" t="str">
        <f t="shared" ca="1" si="64"/>
        <v/>
      </c>
      <c r="J377" s="492" t="str">
        <f t="shared" ca="1" si="65"/>
        <v/>
      </c>
      <c r="K377" s="490" t="str">
        <f t="shared" ca="1" si="66"/>
        <v/>
      </c>
      <c r="L377" s="493" t="str">
        <f ca="1">IFERROR(CHOOSE(E377,'Outcome Indicators - Section C '!$K$7,'Outcome Indicators - Section C '!$O$7,'Outcome Indicators - Section C '!$S$7,'Outcome Indicators - Section C '!$W$7),"")</f>
        <v/>
      </c>
      <c r="M377" s="504" t="str">
        <f t="shared" ca="1" si="67"/>
        <v/>
      </c>
      <c r="N377" s="493" t="str">
        <f t="shared" ca="1" si="68"/>
        <v/>
      </c>
      <c r="O377" s="487"/>
      <c r="P377" s="487">
        <f t="shared" si="62"/>
        <v>0</v>
      </c>
      <c r="Q377" s="493"/>
    </row>
    <row r="378" spans="1:17" x14ac:dyDescent="0.3">
      <c r="A378" s="487" t="b">
        <f t="shared" ca="1" si="63"/>
        <v>0</v>
      </c>
      <c r="B378" s="501">
        <f t="shared" si="59"/>
        <v>29</v>
      </c>
      <c r="C378" s="507" t="str">
        <f ca="1">IF(COUNTA(D$257:D377)=1,"",OFFSET(B376,-COUNTA(D$257:D377)+3,1))</f>
        <v>a1W3p000004PcLDEA0</v>
      </c>
      <c r="D378" s="487"/>
      <c r="E378" s="487">
        <f t="shared" ca="1" si="60"/>
        <v>5</v>
      </c>
      <c r="F378" s="506">
        <f ca="1">IF(COUNTA(D$257:D377)=1,"",OFFSET(F376,-COUNTA(D$257:D377)+3,0))</f>
        <v>5</v>
      </c>
      <c r="G378" s="487"/>
      <c r="H378" s="487">
        <f t="shared" ca="1" si="61"/>
        <v>17</v>
      </c>
      <c r="I378" s="502" t="str">
        <f t="shared" ca="1" si="64"/>
        <v/>
      </c>
      <c r="J378" s="492" t="str">
        <f t="shared" ca="1" si="65"/>
        <v/>
      </c>
      <c r="K378" s="490" t="str">
        <f t="shared" ca="1" si="66"/>
        <v/>
      </c>
      <c r="L378" s="493" t="str">
        <f ca="1">IFERROR(CHOOSE(E378,'Outcome Indicators - Section C '!$K$7,'Outcome Indicators - Section C '!$O$7,'Outcome Indicators - Section C '!$S$7,'Outcome Indicators - Section C '!$W$7),"")</f>
        <v/>
      </c>
      <c r="M378" s="504" t="str">
        <f t="shared" ca="1" si="67"/>
        <v/>
      </c>
      <c r="N378" s="493" t="str">
        <f t="shared" ca="1" si="68"/>
        <v/>
      </c>
      <c r="O378" s="487"/>
      <c r="P378" s="487">
        <f t="shared" si="62"/>
        <v>0</v>
      </c>
      <c r="Q378" s="493"/>
    </row>
    <row r="379" spans="1:17" x14ac:dyDescent="0.3">
      <c r="A379" s="487" t="b">
        <f t="shared" ca="1" si="63"/>
        <v>0</v>
      </c>
      <c r="B379" s="501">
        <f t="shared" si="59"/>
        <v>30</v>
      </c>
      <c r="C379" s="507" t="str">
        <f ca="1">IF(COUNTA(D$257:D378)=1,"",OFFSET(B377,-COUNTA(D$257:D378)+3,1))</f>
        <v>a1W3p000004PcLSEA0</v>
      </c>
      <c r="D379" s="487"/>
      <c r="E379" s="487">
        <f t="shared" ca="1" si="60"/>
        <v>6</v>
      </c>
      <c r="F379" s="506">
        <f ca="1">IF(COUNTA(D$257:D378)=1,"",OFFSET(F377,-COUNTA(D$257:D378)+3,0))</f>
        <v>5</v>
      </c>
      <c r="G379" s="487"/>
      <c r="H379" s="487">
        <f t="shared" ca="1" si="61"/>
        <v>17</v>
      </c>
      <c r="I379" s="502" t="str">
        <f t="shared" ca="1" si="64"/>
        <v/>
      </c>
      <c r="J379" s="492" t="str">
        <f t="shared" ca="1" si="65"/>
        <v/>
      </c>
      <c r="K379" s="490" t="str">
        <f t="shared" ca="1" si="66"/>
        <v/>
      </c>
      <c r="L379" s="493" t="str">
        <f ca="1">IFERROR(CHOOSE(E379,'Outcome Indicators - Section C '!$K$7,'Outcome Indicators - Section C '!$O$7,'Outcome Indicators - Section C '!$S$7,'Outcome Indicators - Section C '!$W$7),"")</f>
        <v/>
      </c>
      <c r="M379" s="504" t="str">
        <f t="shared" ca="1" si="67"/>
        <v/>
      </c>
      <c r="N379" s="493" t="str">
        <f t="shared" ca="1" si="68"/>
        <v/>
      </c>
      <c r="O379" s="487"/>
      <c r="P379" s="487">
        <f t="shared" si="62"/>
        <v>0</v>
      </c>
      <c r="Q379" s="493"/>
    </row>
    <row r="380" spans="1:17" x14ac:dyDescent="0.3">
      <c r="A380" s="487" t="b">
        <f t="shared" ca="1" si="63"/>
        <v>0</v>
      </c>
      <c r="B380" s="501">
        <f t="shared" si="59"/>
        <v>31</v>
      </c>
      <c r="C380" s="507" t="str">
        <f ca="1">IF(COUNTA(D$257:D379)=1,"",OFFSET(B378,-COUNTA(D$257:D379)+3,1))</f>
        <v>a1W3p000004PcKGEA0</v>
      </c>
      <c r="D380" s="487"/>
      <c r="E380" s="487">
        <f t="shared" ca="1" si="60"/>
        <v>1</v>
      </c>
      <c r="F380" s="506">
        <f ca="1">IF(COUNTA(D$257:D379)=1,"",OFFSET(F378,-COUNTA(D$257:D379)+3,0))</f>
        <v>6</v>
      </c>
      <c r="G380" s="487"/>
      <c r="H380" s="487">
        <f t="shared" ca="1" si="61"/>
        <v>19</v>
      </c>
      <c r="I380" s="502" t="str">
        <f t="shared" ca="1" si="64"/>
        <v/>
      </c>
      <c r="J380" s="492" t="str">
        <f t="shared" ca="1" si="65"/>
        <v/>
      </c>
      <c r="K380" s="490" t="str">
        <f t="shared" ca="1" si="66"/>
        <v/>
      </c>
      <c r="L380" s="493">
        <f ca="1">IFERROR(CHOOSE(E380,'Outcome Indicators - Section C '!$K$7,'Outcome Indicators - Section C '!$O$7,'Outcome Indicators - Section C '!$S$7,'Outcome Indicators - Section C '!$W$7),"")</f>
        <v>2021</v>
      </c>
      <c r="M380" s="504" t="str">
        <f t="shared" ca="1" si="67"/>
        <v/>
      </c>
      <c r="N380" s="493" t="str">
        <f t="shared" ca="1" si="68"/>
        <v/>
      </c>
      <c r="O380" s="487"/>
      <c r="P380" s="487">
        <f t="shared" si="62"/>
        <v>0</v>
      </c>
      <c r="Q380" s="493"/>
    </row>
    <row r="381" spans="1:17" x14ac:dyDescent="0.3">
      <c r="A381" s="487" t="b">
        <f t="shared" ca="1" si="63"/>
        <v>0</v>
      </c>
      <c r="B381" s="501">
        <f t="shared" si="59"/>
        <v>32</v>
      </c>
      <c r="C381" s="507" t="str">
        <f ca="1">IF(COUNTA(D$257:D380)=1,"",OFFSET(B379,-COUNTA(D$257:D380)+3,1))</f>
        <v>a1W3p000004PcKVEA0</v>
      </c>
      <c r="D381" s="487"/>
      <c r="E381" s="487">
        <f t="shared" ca="1" si="60"/>
        <v>2</v>
      </c>
      <c r="F381" s="506">
        <f ca="1">IF(COUNTA(D$257:D380)=1,"",OFFSET(F379,-COUNTA(D$257:D380)+3,0))</f>
        <v>6</v>
      </c>
      <c r="G381" s="487"/>
      <c r="H381" s="487">
        <f t="shared" ca="1" si="61"/>
        <v>19</v>
      </c>
      <c r="I381" s="502" t="str">
        <f t="shared" ca="1" si="64"/>
        <v/>
      </c>
      <c r="J381" s="492" t="str">
        <f t="shared" ca="1" si="65"/>
        <v/>
      </c>
      <c r="K381" s="490" t="str">
        <f t="shared" ca="1" si="66"/>
        <v/>
      </c>
      <c r="L381" s="493">
        <f ca="1">IFERROR(CHOOSE(E381,'Outcome Indicators - Section C '!$K$7,'Outcome Indicators - Section C '!$O$7,'Outcome Indicators - Section C '!$S$7,'Outcome Indicators - Section C '!$W$7),"")</f>
        <v>2022</v>
      </c>
      <c r="M381" s="504" t="str">
        <f t="shared" ca="1" si="67"/>
        <v/>
      </c>
      <c r="N381" s="493" t="str">
        <f t="shared" ca="1" si="68"/>
        <v/>
      </c>
      <c r="O381" s="487"/>
      <c r="P381" s="487">
        <f t="shared" si="62"/>
        <v>0</v>
      </c>
      <c r="Q381" s="493"/>
    </row>
    <row r="382" spans="1:17" x14ac:dyDescent="0.3">
      <c r="A382" s="487" t="b">
        <f t="shared" ca="1" si="63"/>
        <v>0</v>
      </c>
      <c r="B382" s="501">
        <f t="shared" si="59"/>
        <v>33</v>
      </c>
      <c r="C382" s="507" t="str">
        <f ca="1">IF(COUNTA(D$257:D381)=1,"",OFFSET(B380,-COUNTA(D$257:D381)+3,1))</f>
        <v>a1W3p000004PcKkEAK</v>
      </c>
      <c r="D382" s="487"/>
      <c r="E382" s="487">
        <f t="shared" ca="1" si="60"/>
        <v>3</v>
      </c>
      <c r="F382" s="506">
        <f ca="1">IF(COUNTA(D$257:D381)=1,"",OFFSET(F380,-COUNTA(D$257:D381)+3,0))</f>
        <v>6</v>
      </c>
      <c r="G382" s="487"/>
      <c r="H382" s="487">
        <f t="shared" ca="1" si="61"/>
        <v>19</v>
      </c>
      <c r="I382" s="502" t="str">
        <f t="shared" ca="1" si="64"/>
        <v/>
      </c>
      <c r="J382" s="492" t="str">
        <f t="shared" ca="1" si="65"/>
        <v/>
      </c>
      <c r="K382" s="490" t="str">
        <f t="shared" ca="1" si="66"/>
        <v/>
      </c>
      <c r="L382" s="493">
        <f ca="1">IFERROR(CHOOSE(E382,'Outcome Indicators - Section C '!$K$7,'Outcome Indicators - Section C '!$O$7,'Outcome Indicators - Section C '!$S$7,'Outcome Indicators - Section C '!$W$7),"")</f>
        <v>2023</v>
      </c>
      <c r="M382" s="504" t="str">
        <f t="shared" ca="1" si="67"/>
        <v/>
      </c>
      <c r="N382" s="493" t="str">
        <f t="shared" ca="1" si="68"/>
        <v/>
      </c>
      <c r="O382" s="487"/>
      <c r="P382" s="487">
        <f t="shared" si="62"/>
        <v>0</v>
      </c>
      <c r="Q382" s="493"/>
    </row>
    <row r="383" spans="1:17" x14ac:dyDescent="0.3">
      <c r="A383" s="487" t="b">
        <f t="shared" ca="1" si="63"/>
        <v>0</v>
      </c>
      <c r="B383" s="501">
        <f t="shared" si="59"/>
        <v>34</v>
      </c>
      <c r="C383" s="507" t="str">
        <f ca="1">IF(COUNTA(D$257:D382)=1,"",OFFSET(B381,-COUNTA(D$257:D382)+3,1))</f>
        <v>a1W3p000004PcKzEAK</v>
      </c>
      <c r="D383" s="487"/>
      <c r="E383" s="487">
        <f t="shared" ca="1" si="60"/>
        <v>4</v>
      </c>
      <c r="F383" s="506">
        <f ca="1">IF(COUNTA(D$257:D382)=1,"",OFFSET(F381,-COUNTA(D$257:D382)+3,0))</f>
        <v>6</v>
      </c>
      <c r="G383" s="487"/>
      <c r="H383" s="487">
        <f t="shared" ca="1" si="61"/>
        <v>19</v>
      </c>
      <c r="I383" s="502" t="str">
        <f t="shared" ca="1" si="64"/>
        <v/>
      </c>
      <c r="J383" s="492" t="str">
        <f t="shared" ca="1" si="65"/>
        <v/>
      </c>
      <c r="K383" s="490" t="str">
        <f t="shared" ca="1" si="66"/>
        <v/>
      </c>
      <c r="L383" s="493" t="str">
        <f ca="1">IFERROR(CHOOSE(E383,'Outcome Indicators - Section C '!$K$7,'Outcome Indicators - Section C '!$O$7,'Outcome Indicators - Section C '!$S$7,'Outcome Indicators - Section C '!$W$7),"")</f>
        <v/>
      </c>
      <c r="M383" s="504" t="str">
        <f t="shared" ca="1" si="67"/>
        <v/>
      </c>
      <c r="N383" s="493" t="str">
        <f t="shared" ca="1" si="68"/>
        <v/>
      </c>
      <c r="O383" s="487"/>
      <c r="P383" s="487">
        <f t="shared" si="62"/>
        <v>0</v>
      </c>
      <c r="Q383" s="493"/>
    </row>
    <row r="384" spans="1:17" x14ac:dyDescent="0.3">
      <c r="A384" s="487" t="b">
        <f t="shared" ca="1" si="63"/>
        <v>0</v>
      </c>
      <c r="B384" s="501">
        <f t="shared" si="59"/>
        <v>35</v>
      </c>
      <c r="C384" s="507" t="str">
        <f ca="1">IF(COUNTA(D$257:D383)=1,"",OFFSET(B382,-COUNTA(D$257:D383)+3,1))</f>
        <v>a1W3p000004PcLEEA0</v>
      </c>
      <c r="D384" s="487"/>
      <c r="E384" s="487">
        <f t="shared" ca="1" si="60"/>
        <v>5</v>
      </c>
      <c r="F384" s="506">
        <f ca="1">IF(COUNTA(D$257:D383)=1,"",OFFSET(F382,-COUNTA(D$257:D383)+3,0))</f>
        <v>6</v>
      </c>
      <c r="G384" s="487"/>
      <c r="H384" s="487">
        <f t="shared" ca="1" si="61"/>
        <v>19</v>
      </c>
      <c r="I384" s="502" t="str">
        <f t="shared" ca="1" si="64"/>
        <v/>
      </c>
      <c r="J384" s="492" t="str">
        <f t="shared" ca="1" si="65"/>
        <v/>
      </c>
      <c r="K384" s="490" t="str">
        <f t="shared" ca="1" si="66"/>
        <v/>
      </c>
      <c r="L384" s="493" t="str">
        <f ca="1">IFERROR(CHOOSE(E384,'Outcome Indicators - Section C '!$K$7,'Outcome Indicators - Section C '!$O$7,'Outcome Indicators - Section C '!$S$7,'Outcome Indicators - Section C '!$W$7),"")</f>
        <v/>
      </c>
      <c r="M384" s="504" t="str">
        <f t="shared" ca="1" si="67"/>
        <v/>
      </c>
      <c r="N384" s="493" t="str">
        <f t="shared" ca="1" si="68"/>
        <v/>
      </c>
      <c r="O384" s="487"/>
      <c r="P384" s="487">
        <f t="shared" si="62"/>
        <v>0</v>
      </c>
      <c r="Q384" s="493"/>
    </row>
    <row r="385" spans="1:17" x14ac:dyDescent="0.3">
      <c r="A385" s="487" t="b">
        <f t="shared" ca="1" si="63"/>
        <v>0</v>
      </c>
      <c r="B385" s="501">
        <f t="shared" si="59"/>
        <v>36</v>
      </c>
      <c r="C385" s="507" t="str">
        <f ca="1">IF(COUNTA(D$257:D384)=1,"",OFFSET(B383,-COUNTA(D$257:D384)+3,1))</f>
        <v>a1W3p000004PcLTEA0</v>
      </c>
      <c r="D385" s="487"/>
      <c r="E385" s="487">
        <f t="shared" ca="1" si="60"/>
        <v>6</v>
      </c>
      <c r="F385" s="506">
        <f ca="1">IF(COUNTA(D$257:D384)=1,"",OFFSET(F383,-COUNTA(D$257:D384)+3,0))</f>
        <v>6</v>
      </c>
      <c r="G385" s="487"/>
      <c r="H385" s="487">
        <f t="shared" ca="1" si="61"/>
        <v>19</v>
      </c>
      <c r="I385" s="502" t="str">
        <f t="shared" ca="1" si="64"/>
        <v/>
      </c>
      <c r="J385" s="492" t="str">
        <f t="shared" ca="1" si="65"/>
        <v/>
      </c>
      <c r="K385" s="490" t="str">
        <f t="shared" ca="1" si="66"/>
        <v/>
      </c>
      <c r="L385" s="493" t="str">
        <f ca="1">IFERROR(CHOOSE(E385,'Outcome Indicators - Section C '!$K$7,'Outcome Indicators - Section C '!$O$7,'Outcome Indicators - Section C '!$S$7,'Outcome Indicators - Section C '!$W$7),"")</f>
        <v/>
      </c>
      <c r="M385" s="504" t="str">
        <f t="shared" ca="1" si="67"/>
        <v/>
      </c>
      <c r="N385" s="493" t="str">
        <f t="shared" ca="1" si="68"/>
        <v/>
      </c>
      <c r="O385" s="487"/>
      <c r="P385" s="487">
        <f t="shared" si="62"/>
        <v>0</v>
      </c>
      <c r="Q385" s="493"/>
    </row>
    <row r="386" spans="1:17" x14ac:dyDescent="0.3">
      <c r="A386" s="487" t="b">
        <f t="shared" ca="1" si="63"/>
        <v>0</v>
      </c>
      <c r="B386" s="501">
        <f t="shared" si="59"/>
        <v>37</v>
      </c>
      <c r="C386" s="507" t="str">
        <f ca="1">IF(COUNTA(D$257:D385)=1,"",OFFSET(B384,-COUNTA(D$257:D385)+3,1))</f>
        <v>a1W3p000004PcKHEA0</v>
      </c>
      <c r="D386" s="487"/>
      <c r="E386" s="487">
        <f t="shared" ca="1" si="60"/>
        <v>1</v>
      </c>
      <c r="F386" s="506">
        <f ca="1">IF(COUNTA(D$257:D385)=1,"",OFFSET(F384,-COUNTA(D$257:D385)+3,0))</f>
        <v>7</v>
      </c>
      <c r="G386" s="487"/>
      <c r="H386" s="487">
        <f t="shared" ca="1" si="61"/>
        <v>21</v>
      </c>
      <c r="I386" s="502" t="str">
        <f t="shared" ca="1" si="64"/>
        <v/>
      </c>
      <c r="J386" s="492" t="str">
        <f t="shared" ca="1" si="65"/>
        <v/>
      </c>
      <c r="K386" s="490" t="str">
        <f t="shared" ca="1" si="66"/>
        <v/>
      </c>
      <c r="L386" s="493">
        <f ca="1">IFERROR(CHOOSE(E386,'Outcome Indicators - Section C '!$K$7,'Outcome Indicators - Section C '!$O$7,'Outcome Indicators - Section C '!$S$7,'Outcome Indicators - Section C '!$W$7),"")</f>
        <v>2021</v>
      </c>
      <c r="M386" s="504" t="str">
        <f t="shared" ca="1" si="67"/>
        <v/>
      </c>
      <c r="N386" s="493" t="str">
        <f t="shared" ca="1" si="68"/>
        <v/>
      </c>
      <c r="O386" s="487"/>
      <c r="P386" s="487">
        <f t="shared" si="62"/>
        <v>0</v>
      </c>
      <c r="Q386" s="493"/>
    </row>
    <row r="387" spans="1:17" x14ac:dyDescent="0.3">
      <c r="A387" s="487" t="b">
        <f t="shared" ca="1" si="63"/>
        <v>0</v>
      </c>
      <c r="B387" s="501">
        <f t="shared" si="59"/>
        <v>38</v>
      </c>
      <c r="C387" s="507" t="str">
        <f ca="1">IF(COUNTA(D$257:D386)=1,"",OFFSET(B385,-COUNTA(D$257:D386)+3,1))</f>
        <v>a1W3p000004PcKWEA0</v>
      </c>
      <c r="D387" s="487"/>
      <c r="E387" s="487">
        <f t="shared" ca="1" si="60"/>
        <v>2</v>
      </c>
      <c r="F387" s="506">
        <f ca="1">IF(COUNTA(D$257:D386)=1,"",OFFSET(F385,-COUNTA(D$257:D386)+3,0))</f>
        <v>7</v>
      </c>
      <c r="G387" s="487"/>
      <c r="H387" s="487">
        <f t="shared" ca="1" si="61"/>
        <v>21</v>
      </c>
      <c r="I387" s="502" t="str">
        <f t="shared" ca="1" si="64"/>
        <v/>
      </c>
      <c r="J387" s="492" t="str">
        <f t="shared" ca="1" si="65"/>
        <v/>
      </c>
      <c r="K387" s="490" t="str">
        <f t="shared" ca="1" si="66"/>
        <v/>
      </c>
      <c r="L387" s="493">
        <f ca="1">IFERROR(CHOOSE(E387,'Outcome Indicators - Section C '!$K$7,'Outcome Indicators - Section C '!$O$7,'Outcome Indicators - Section C '!$S$7,'Outcome Indicators - Section C '!$W$7),"")</f>
        <v>2022</v>
      </c>
      <c r="M387" s="504" t="str">
        <f t="shared" ca="1" si="67"/>
        <v/>
      </c>
      <c r="N387" s="493" t="str">
        <f t="shared" ca="1" si="68"/>
        <v/>
      </c>
      <c r="O387" s="487"/>
      <c r="P387" s="487">
        <f t="shared" si="62"/>
        <v>0</v>
      </c>
      <c r="Q387" s="493"/>
    </row>
    <row r="388" spans="1:17" x14ac:dyDescent="0.3">
      <c r="A388" s="487" t="b">
        <f t="shared" ca="1" si="63"/>
        <v>0</v>
      </c>
      <c r="B388" s="501">
        <f t="shared" ref="B388:B439" si="69">B387+1</f>
        <v>39</v>
      </c>
      <c r="C388" s="507" t="str">
        <f ca="1">IF(COUNTA(D$257:D387)=1,"",OFFSET(B386,-COUNTA(D$257:D387)+3,1))</f>
        <v>a1W3p000004PcKlEAK</v>
      </c>
      <c r="D388" s="487"/>
      <c r="E388" s="487">
        <f t="shared" ref="E388:E439" ca="1" si="70">COUNTIF(F383:F388,F388)</f>
        <v>3</v>
      </c>
      <c r="F388" s="506">
        <f ca="1">IF(COUNTA(D$257:D387)=1,"",OFFSET(F386,-COUNTA(D$257:D387)+3,0))</f>
        <v>7</v>
      </c>
      <c r="G388" s="487"/>
      <c r="H388" s="487">
        <f t="shared" ref="H388:H439" ca="1" si="71">IF(F388=1,9,IF(E387=MAX(E386:E388),H386+2,H387))</f>
        <v>21</v>
      </c>
      <c r="I388" s="502" t="str">
        <f t="shared" ca="1" si="64"/>
        <v/>
      </c>
      <c r="J388" s="492" t="str">
        <f t="shared" ca="1" si="65"/>
        <v/>
      </c>
      <c r="K388" s="490" t="str">
        <f t="shared" ca="1" si="66"/>
        <v/>
      </c>
      <c r="L388" s="493">
        <f ca="1">IFERROR(CHOOSE(E388,'Outcome Indicators - Section C '!$K$7,'Outcome Indicators - Section C '!$O$7,'Outcome Indicators - Section C '!$S$7,'Outcome Indicators - Section C '!$W$7),"")</f>
        <v>2023</v>
      </c>
      <c r="M388" s="504" t="str">
        <f t="shared" ca="1" si="67"/>
        <v/>
      </c>
      <c r="N388" s="493" t="str">
        <f t="shared" ca="1" si="68"/>
        <v/>
      </c>
      <c r="O388" s="487"/>
      <c r="P388" s="487">
        <f t="shared" ref="P388:P439" si="72">IF(NOT(_xlfn.ISFORMULA(I388)),P387+1,0)</f>
        <v>0</v>
      </c>
      <c r="Q388" s="493"/>
    </row>
    <row r="389" spans="1:17" x14ac:dyDescent="0.3">
      <c r="A389" s="487" t="b">
        <f t="shared" ca="1" si="63"/>
        <v>0</v>
      </c>
      <c r="B389" s="501">
        <f t="shared" si="69"/>
        <v>40</v>
      </c>
      <c r="C389" s="507" t="str">
        <f ca="1">IF(COUNTA(D$257:D388)=1,"",OFFSET(B387,-COUNTA(D$257:D388)+3,1))</f>
        <v>a1W3p000004PcL0EAK</v>
      </c>
      <c r="D389" s="487"/>
      <c r="E389" s="487">
        <f t="shared" ca="1" si="70"/>
        <v>4</v>
      </c>
      <c r="F389" s="506">
        <f ca="1">IF(COUNTA(D$257:D388)=1,"",OFFSET(F387,-COUNTA(D$257:D388)+3,0))</f>
        <v>7</v>
      </c>
      <c r="G389" s="487"/>
      <c r="H389" s="487">
        <f t="shared" ca="1" si="71"/>
        <v>21</v>
      </c>
      <c r="I389" s="502" t="str">
        <f t="shared" ca="1" si="64"/>
        <v/>
      </c>
      <c r="J389" s="492" t="str">
        <f t="shared" ca="1" si="65"/>
        <v/>
      </c>
      <c r="K389" s="490" t="str">
        <f t="shared" ca="1" si="66"/>
        <v/>
      </c>
      <c r="L389" s="493" t="str">
        <f ca="1">IFERROR(CHOOSE(E389,'Outcome Indicators - Section C '!$K$7,'Outcome Indicators - Section C '!$O$7,'Outcome Indicators - Section C '!$S$7,'Outcome Indicators - Section C '!$W$7),"")</f>
        <v/>
      </c>
      <c r="M389" s="504" t="str">
        <f t="shared" ca="1" si="67"/>
        <v/>
      </c>
      <c r="N389" s="493" t="str">
        <f t="shared" ca="1" si="68"/>
        <v/>
      </c>
      <c r="O389" s="487"/>
      <c r="P389" s="487">
        <f t="shared" si="72"/>
        <v>0</v>
      </c>
      <c r="Q389" s="493"/>
    </row>
    <row r="390" spans="1:17" x14ac:dyDescent="0.3">
      <c r="A390" s="487" t="b">
        <f t="shared" ca="1" si="63"/>
        <v>0</v>
      </c>
      <c r="B390" s="501">
        <f t="shared" si="69"/>
        <v>41</v>
      </c>
      <c r="C390" s="507" t="str">
        <f ca="1">IF(COUNTA(D$257:D389)=1,"",OFFSET(B388,-COUNTA(D$257:D389)+3,1))</f>
        <v>a1W3p000004PcLFEA0</v>
      </c>
      <c r="D390" s="487"/>
      <c r="E390" s="487">
        <f t="shared" ca="1" si="70"/>
        <v>5</v>
      </c>
      <c r="F390" s="506">
        <f ca="1">IF(COUNTA(D$257:D389)=1,"",OFFSET(F388,-COUNTA(D$257:D389)+3,0))</f>
        <v>7</v>
      </c>
      <c r="G390" s="487"/>
      <c r="H390" s="487">
        <f t="shared" ca="1" si="71"/>
        <v>21</v>
      </c>
      <c r="I390" s="502" t="str">
        <f t="shared" ca="1" si="64"/>
        <v/>
      </c>
      <c r="J390" s="492" t="str">
        <f t="shared" ca="1" si="65"/>
        <v/>
      </c>
      <c r="K390" s="490" t="str">
        <f t="shared" ca="1" si="66"/>
        <v/>
      </c>
      <c r="L390" s="493" t="str">
        <f ca="1">IFERROR(CHOOSE(E390,'Outcome Indicators - Section C '!$K$7,'Outcome Indicators - Section C '!$O$7,'Outcome Indicators - Section C '!$S$7,'Outcome Indicators - Section C '!$W$7),"")</f>
        <v/>
      </c>
      <c r="M390" s="504" t="str">
        <f t="shared" ca="1" si="67"/>
        <v/>
      </c>
      <c r="N390" s="493" t="str">
        <f t="shared" ca="1" si="68"/>
        <v/>
      </c>
      <c r="O390" s="487"/>
      <c r="P390" s="487">
        <f t="shared" si="72"/>
        <v>0</v>
      </c>
      <c r="Q390" s="493"/>
    </row>
    <row r="391" spans="1:17" x14ac:dyDescent="0.3">
      <c r="A391" s="487" t="b">
        <f t="shared" ca="1" si="63"/>
        <v>0</v>
      </c>
      <c r="B391" s="501">
        <f t="shared" si="69"/>
        <v>42</v>
      </c>
      <c r="C391" s="507" t="str">
        <f ca="1">IF(COUNTA(D$257:D390)=1,"",OFFSET(B389,-COUNTA(D$257:D390)+3,1))</f>
        <v>a1W3p000004PcLUEA0</v>
      </c>
      <c r="D391" s="487"/>
      <c r="E391" s="487">
        <f t="shared" ca="1" si="70"/>
        <v>6</v>
      </c>
      <c r="F391" s="506">
        <f ca="1">IF(COUNTA(D$257:D390)=1,"",OFFSET(F389,-COUNTA(D$257:D390)+3,0))</f>
        <v>7</v>
      </c>
      <c r="G391" s="487"/>
      <c r="H391" s="487">
        <f t="shared" ca="1" si="71"/>
        <v>21</v>
      </c>
      <c r="I391" s="502" t="str">
        <f t="shared" ca="1" si="64"/>
        <v/>
      </c>
      <c r="J391" s="492" t="str">
        <f t="shared" ca="1" si="65"/>
        <v/>
      </c>
      <c r="K391" s="490" t="str">
        <f t="shared" ca="1" si="66"/>
        <v/>
      </c>
      <c r="L391" s="493" t="str">
        <f ca="1">IFERROR(CHOOSE(E391,'Outcome Indicators - Section C '!$K$7,'Outcome Indicators - Section C '!$O$7,'Outcome Indicators - Section C '!$S$7,'Outcome Indicators - Section C '!$W$7),"")</f>
        <v/>
      </c>
      <c r="M391" s="504" t="str">
        <f t="shared" ca="1" si="67"/>
        <v/>
      </c>
      <c r="N391" s="493" t="str">
        <f t="shared" ca="1" si="68"/>
        <v/>
      </c>
      <c r="O391" s="487"/>
      <c r="P391" s="487">
        <f t="shared" si="72"/>
        <v>0</v>
      </c>
      <c r="Q391" s="493"/>
    </row>
    <row r="392" spans="1:17" x14ac:dyDescent="0.3">
      <c r="A392" s="487" t="b">
        <f t="shared" ca="1" si="63"/>
        <v>0</v>
      </c>
      <c r="B392" s="501">
        <f t="shared" si="69"/>
        <v>43</v>
      </c>
      <c r="C392" s="507" t="str">
        <f ca="1">IF(COUNTA(D$257:D391)=1,"",OFFSET(B390,-COUNTA(D$257:D391)+3,1))</f>
        <v>a1W3p000004PcKIEA0</v>
      </c>
      <c r="D392" s="487"/>
      <c r="E392" s="487">
        <f t="shared" ca="1" si="70"/>
        <v>1</v>
      </c>
      <c r="F392" s="506">
        <f ca="1">IF(COUNTA(D$257:D391)=1,"",OFFSET(F390,-COUNTA(D$257:D391)+3,0))</f>
        <v>8</v>
      </c>
      <c r="G392" s="487"/>
      <c r="H392" s="487">
        <f t="shared" ca="1" si="71"/>
        <v>23</v>
      </c>
      <c r="I392" s="502" t="str">
        <f t="shared" ca="1" si="64"/>
        <v/>
      </c>
      <c r="J392" s="492" t="str">
        <f t="shared" ca="1" si="65"/>
        <v/>
      </c>
      <c r="K392" s="490" t="str">
        <f t="shared" ca="1" si="66"/>
        <v/>
      </c>
      <c r="L392" s="493">
        <f ca="1">IFERROR(CHOOSE(E392,'Outcome Indicators - Section C '!$K$7,'Outcome Indicators - Section C '!$O$7,'Outcome Indicators - Section C '!$S$7,'Outcome Indicators - Section C '!$W$7),"")</f>
        <v>2021</v>
      </c>
      <c r="M392" s="504" t="str">
        <f t="shared" ca="1" si="67"/>
        <v/>
      </c>
      <c r="N392" s="493" t="str">
        <f t="shared" ca="1" si="68"/>
        <v/>
      </c>
      <c r="O392" s="487"/>
      <c r="P392" s="487">
        <f t="shared" si="72"/>
        <v>0</v>
      </c>
      <c r="Q392" s="493"/>
    </row>
    <row r="393" spans="1:17" x14ac:dyDescent="0.3">
      <c r="A393" s="487" t="b">
        <f t="shared" ca="1" si="63"/>
        <v>0</v>
      </c>
      <c r="B393" s="501">
        <f t="shared" si="69"/>
        <v>44</v>
      </c>
      <c r="C393" s="507" t="str">
        <f ca="1">IF(COUNTA(D$257:D392)=1,"",OFFSET(B391,-COUNTA(D$257:D392)+3,1))</f>
        <v>a1W3p000004PcKXEA0</v>
      </c>
      <c r="D393" s="487"/>
      <c r="E393" s="487">
        <f t="shared" ca="1" si="70"/>
        <v>2</v>
      </c>
      <c r="F393" s="506">
        <f ca="1">IF(COUNTA(D$257:D392)=1,"",OFFSET(F391,-COUNTA(D$257:D392)+3,0))</f>
        <v>8</v>
      </c>
      <c r="G393" s="487"/>
      <c r="H393" s="487">
        <f t="shared" ca="1" si="71"/>
        <v>23</v>
      </c>
      <c r="I393" s="502" t="str">
        <f t="shared" ca="1" si="64"/>
        <v/>
      </c>
      <c r="J393" s="492" t="str">
        <f t="shared" ca="1" si="65"/>
        <v/>
      </c>
      <c r="K393" s="490" t="str">
        <f t="shared" ca="1" si="66"/>
        <v/>
      </c>
      <c r="L393" s="493">
        <f ca="1">IFERROR(CHOOSE(E393,'Outcome Indicators - Section C '!$K$7,'Outcome Indicators - Section C '!$O$7,'Outcome Indicators - Section C '!$S$7,'Outcome Indicators - Section C '!$W$7),"")</f>
        <v>2022</v>
      </c>
      <c r="M393" s="504" t="str">
        <f t="shared" ca="1" si="67"/>
        <v/>
      </c>
      <c r="N393" s="493" t="str">
        <f t="shared" ca="1" si="68"/>
        <v/>
      </c>
      <c r="O393" s="487"/>
      <c r="P393" s="487">
        <f t="shared" si="72"/>
        <v>0</v>
      </c>
      <c r="Q393" s="493"/>
    </row>
    <row r="394" spans="1:17" x14ac:dyDescent="0.3">
      <c r="A394" s="487" t="b">
        <f t="shared" ca="1" si="63"/>
        <v>0</v>
      </c>
      <c r="B394" s="501">
        <f t="shared" si="69"/>
        <v>45</v>
      </c>
      <c r="C394" s="507" t="str">
        <f ca="1">IF(COUNTA(D$257:D393)=1,"",OFFSET(B392,-COUNTA(D$257:D393)+3,1))</f>
        <v>a1W3p000004PcKmEAK</v>
      </c>
      <c r="D394" s="487"/>
      <c r="E394" s="487">
        <f t="shared" ca="1" si="70"/>
        <v>3</v>
      </c>
      <c r="F394" s="506">
        <f ca="1">IF(COUNTA(D$257:D393)=1,"",OFFSET(F392,-COUNTA(D$257:D393)+3,0))</f>
        <v>8</v>
      </c>
      <c r="G394" s="487"/>
      <c r="H394" s="487">
        <f t="shared" ca="1" si="71"/>
        <v>23</v>
      </c>
      <c r="I394" s="502" t="str">
        <f t="shared" ca="1" si="64"/>
        <v/>
      </c>
      <c r="J394" s="492" t="str">
        <f t="shared" ca="1" si="65"/>
        <v/>
      </c>
      <c r="K394" s="490" t="str">
        <f t="shared" ca="1" si="66"/>
        <v/>
      </c>
      <c r="L394" s="493">
        <f ca="1">IFERROR(CHOOSE(E394,'Outcome Indicators - Section C '!$K$7,'Outcome Indicators - Section C '!$O$7,'Outcome Indicators - Section C '!$S$7,'Outcome Indicators - Section C '!$W$7),"")</f>
        <v>2023</v>
      </c>
      <c r="M394" s="504" t="str">
        <f t="shared" ca="1" si="67"/>
        <v/>
      </c>
      <c r="N394" s="493" t="str">
        <f t="shared" ca="1" si="68"/>
        <v/>
      </c>
      <c r="O394" s="487"/>
      <c r="P394" s="487">
        <f t="shared" si="72"/>
        <v>0</v>
      </c>
      <c r="Q394" s="493"/>
    </row>
    <row r="395" spans="1:17" x14ac:dyDescent="0.3">
      <c r="A395" s="487" t="b">
        <f t="shared" ca="1" si="63"/>
        <v>0</v>
      </c>
      <c r="B395" s="501">
        <f t="shared" si="69"/>
        <v>46</v>
      </c>
      <c r="C395" s="507" t="str">
        <f ca="1">IF(COUNTA(D$257:D394)=1,"",OFFSET(B393,-COUNTA(D$257:D394)+3,1))</f>
        <v>a1W3p000004PcL1EAK</v>
      </c>
      <c r="D395" s="487"/>
      <c r="E395" s="487">
        <f t="shared" ca="1" si="70"/>
        <v>4</v>
      </c>
      <c r="F395" s="506">
        <f ca="1">IF(COUNTA(D$257:D394)=1,"",OFFSET(F393,-COUNTA(D$257:D394)+3,0))</f>
        <v>8</v>
      </c>
      <c r="G395" s="487"/>
      <c r="H395" s="487">
        <f t="shared" ca="1" si="71"/>
        <v>23</v>
      </c>
      <c r="I395" s="502" t="str">
        <f t="shared" ca="1" si="64"/>
        <v/>
      </c>
      <c r="J395" s="492" t="str">
        <f t="shared" ca="1" si="65"/>
        <v/>
      </c>
      <c r="K395" s="490" t="str">
        <f t="shared" ca="1" si="66"/>
        <v/>
      </c>
      <c r="L395" s="493" t="str">
        <f ca="1">IFERROR(CHOOSE(E395,'Outcome Indicators - Section C '!$K$7,'Outcome Indicators - Section C '!$O$7,'Outcome Indicators - Section C '!$S$7,'Outcome Indicators - Section C '!$W$7),"")</f>
        <v/>
      </c>
      <c r="M395" s="504" t="str">
        <f t="shared" ca="1" si="67"/>
        <v/>
      </c>
      <c r="N395" s="493" t="str">
        <f t="shared" ca="1" si="68"/>
        <v/>
      </c>
      <c r="O395" s="487"/>
      <c r="P395" s="487">
        <f t="shared" si="72"/>
        <v>0</v>
      </c>
      <c r="Q395" s="493"/>
    </row>
    <row r="396" spans="1:17" x14ac:dyDescent="0.3">
      <c r="A396" s="487" t="b">
        <f t="shared" ca="1" si="63"/>
        <v>0</v>
      </c>
      <c r="B396" s="501">
        <f t="shared" si="69"/>
        <v>47</v>
      </c>
      <c r="C396" s="507" t="str">
        <f ca="1">IF(COUNTA(D$257:D395)=1,"",OFFSET(B394,-COUNTA(D$257:D395)+3,1))</f>
        <v>a1W3p000004PcLGEA0</v>
      </c>
      <c r="D396" s="487"/>
      <c r="E396" s="487">
        <f t="shared" ca="1" si="70"/>
        <v>5</v>
      </c>
      <c r="F396" s="506">
        <f ca="1">IF(COUNTA(D$257:D395)=1,"",OFFSET(F394,-COUNTA(D$257:D395)+3,0))</f>
        <v>8</v>
      </c>
      <c r="G396" s="487"/>
      <c r="H396" s="487">
        <f t="shared" ca="1" si="71"/>
        <v>23</v>
      </c>
      <c r="I396" s="502" t="str">
        <f t="shared" ca="1" si="64"/>
        <v/>
      </c>
      <c r="J396" s="492" t="str">
        <f t="shared" ca="1" si="65"/>
        <v/>
      </c>
      <c r="K396" s="490" t="str">
        <f t="shared" ca="1" si="66"/>
        <v/>
      </c>
      <c r="L396" s="493" t="str">
        <f ca="1">IFERROR(CHOOSE(E396,'Outcome Indicators - Section C '!$K$7,'Outcome Indicators - Section C '!$O$7,'Outcome Indicators - Section C '!$S$7,'Outcome Indicators - Section C '!$W$7),"")</f>
        <v/>
      </c>
      <c r="M396" s="504" t="str">
        <f t="shared" ca="1" si="67"/>
        <v/>
      </c>
      <c r="N396" s="493" t="str">
        <f t="shared" ca="1" si="68"/>
        <v/>
      </c>
      <c r="O396" s="487"/>
      <c r="P396" s="487">
        <f t="shared" si="72"/>
        <v>0</v>
      </c>
      <c r="Q396" s="493"/>
    </row>
    <row r="397" spans="1:17" x14ac:dyDescent="0.3">
      <c r="A397" s="487" t="b">
        <f t="shared" ca="1" si="63"/>
        <v>0</v>
      </c>
      <c r="B397" s="501">
        <f t="shared" si="69"/>
        <v>48</v>
      </c>
      <c r="C397" s="507" t="str">
        <f ca="1">IF(COUNTA(D$257:D396)=1,"",OFFSET(B395,-COUNTA(D$257:D396)+3,1))</f>
        <v>a1W3p000004PcLVEA0</v>
      </c>
      <c r="D397" s="487"/>
      <c r="E397" s="487">
        <f t="shared" ca="1" si="70"/>
        <v>6</v>
      </c>
      <c r="F397" s="506">
        <f ca="1">IF(COUNTA(D$257:D396)=1,"",OFFSET(F395,-COUNTA(D$257:D396)+3,0))</f>
        <v>8</v>
      </c>
      <c r="G397" s="487"/>
      <c r="H397" s="487">
        <f t="shared" ca="1" si="71"/>
        <v>23</v>
      </c>
      <c r="I397" s="502" t="str">
        <f t="shared" ca="1" si="64"/>
        <v/>
      </c>
      <c r="J397" s="492" t="str">
        <f t="shared" ca="1" si="65"/>
        <v/>
      </c>
      <c r="K397" s="490" t="str">
        <f t="shared" ca="1" si="66"/>
        <v/>
      </c>
      <c r="L397" s="493" t="str">
        <f ca="1">IFERROR(CHOOSE(E397,'Outcome Indicators - Section C '!$K$7,'Outcome Indicators - Section C '!$O$7,'Outcome Indicators - Section C '!$S$7,'Outcome Indicators - Section C '!$W$7),"")</f>
        <v/>
      </c>
      <c r="M397" s="504" t="str">
        <f t="shared" ca="1" si="67"/>
        <v/>
      </c>
      <c r="N397" s="493" t="str">
        <f t="shared" ca="1" si="68"/>
        <v/>
      </c>
      <c r="O397" s="487"/>
      <c r="P397" s="487">
        <f t="shared" si="72"/>
        <v>0</v>
      </c>
      <c r="Q397" s="493"/>
    </row>
    <row r="398" spans="1:17" x14ac:dyDescent="0.3">
      <c r="A398" s="487" t="b">
        <f t="shared" ca="1" si="63"/>
        <v>0</v>
      </c>
      <c r="B398" s="501">
        <f t="shared" si="69"/>
        <v>49</v>
      </c>
      <c r="C398" s="507" t="str">
        <f ca="1">IF(COUNTA(D$257:D397)=1,"",OFFSET(B396,-COUNTA(D$257:D397)+3,1))</f>
        <v>a1W3p000004PcKJEA0</v>
      </c>
      <c r="D398" s="487"/>
      <c r="E398" s="487">
        <f t="shared" ca="1" si="70"/>
        <v>1</v>
      </c>
      <c r="F398" s="506">
        <f ca="1">IF(COUNTA(D$257:D397)=1,"",OFFSET(F396,-COUNTA(D$257:D397)+3,0))</f>
        <v>9</v>
      </c>
      <c r="G398" s="487"/>
      <c r="H398" s="487">
        <f t="shared" ca="1" si="71"/>
        <v>25</v>
      </c>
      <c r="I398" s="502" t="str">
        <f t="shared" ca="1" si="64"/>
        <v/>
      </c>
      <c r="J398" s="492" t="str">
        <f t="shared" ca="1" si="65"/>
        <v/>
      </c>
      <c r="K398" s="490" t="str">
        <f t="shared" ca="1" si="66"/>
        <v/>
      </c>
      <c r="L398" s="493">
        <f ca="1">IFERROR(CHOOSE(E398,'Outcome Indicators - Section C '!$K$7,'Outcome Indicators - Section C '!$O$7,'Outcome Indicators - Section C '!$S$7,'Outcome Indicators - Section C '!$W$7),"")</f>
        <v>2021</v>
      </c>
      <c r="M398" s="504" t="str">
        <f t="shared" ca="1" si="67"/>
        <v/>
      </c>
      <c r="N398" s="493" t="str">
        <f t="shared" ca="1" si="68"/>
        <v/>
      </c>
      <c r="O398" s="487"/>
      <c r="P398" s="487">
        <f t="shared" si="72"/>
        <v>0</v>
      </c>
      <c r="Q398" s="493"/>
    </row>
    <row r="399" spans="1:17" x14ac:dyDescent="0.3">
      <c r="A399" s="487" t="b">
        <f t="shared" ca="1" si="63"/>
        <v>0</v>
      </c>
      <c r="B399" s="501">
        <f t="shared" si="69"/>
        <v>50</v>
      </c>
      <c r="C399" s="507" t="str">
        <f ca="1">IF(COUNTA(D$257:D398)=1,"",OFFSET(B397,-COUNTA(D$257:D398)+3,1))</f>
        <v>a1W3p000004PcKYEA0</v>
      </c>
      <c r="D399" s="487"/>
      <c r="E399" s="487">
        <f t="shared" ca="1" si="70"/>
        <v>2</v>
      </c>
      <c r="F399" s="506">
        <f ca="1">IF(COUNTA(D$257:D398)=1,"",OFFSET(F397,-COUNTA(D$257:D398)+3,0))</f>
        <v>9</v>
      </c>
      <c r="G399" s="487"/>
      <c r="H399" s="487">
        <f t="shared" ca="1" si="71"/>
        <v>25</v>
      </c>
      <c r="I399" s="502" t="str">
        <f t="shared" ca="1" si="64"/>
        <v/>
      </c>
      <c r="J399" s="492" t="str">
        <f t="shared" ca="1" si="65"/>
        <v/>
      </c>
      <c r="K399" s="490" t="str">
        <f t="shared" ca="1" si="66"/>
        <v/>
      </c>
      <c r="L399" s="493">
        <f ca="1">IFERROR(CHOOSE(E399,'Outcome Indicators - Section C '!$K$7,'Outcome Indicators - Section C '!$O$7,'Outcome Indicators - Section C '!$S$7,'Outcome Indicators - Section C '!$W$7),"")</f>
        <v>2022</v>
      </c>
      <c r="M399" s="504" t="str">
        <f t="shared" ca="1" si="67"/>
        <v/>
      </c>
      <c r="N399" s="493" t="str">
        <f t="shared" ca="1" si="68"/>
        <v/>
      </c>
      <c r="O399" s="487"/>
      <c r="P399" s="487">
        <f t="shared" si="72"/>
        <v>0</v>
      </c>
      <c r="Q399" s="493"/>
    </row>
    <row r="400" spans="1:17" x14ac:dyDescent="0.3">
      <c r="A400" s="487" t="b">
        <f t="shared" ca="1" si="63"/>
        <v>0</v>
      </c>
      <c r="B400" s="501">
        <f t="shared" si="69"/>
        <v>51</v>
      </c>
      <c r="C400" s="507" t="str">
        <f ca="1">IF(COUNTA(D$257:D399)=1,"",OFFSET(B398,-COUNTA(D$257:D399)+3,1))</f>
        <v>a1W3p000004PcKnEAK</v>
      </c>
      <c r="D400" s="487"/>
      <c r="E400" s="487">
        <f t="shared" ca="1" si="70"/>
        <v>3</v>
      </c>
      <c r="F400" s="506">
        <f ca="1">IF(COUNTA(D$257:D399)=1,"",OFFSET(F398,-COUNTA(D$257:D399)+3,0))</f>
        <v>9</v>
      </c>
      <c r="G400" s="487"/>
      <c r="H400" s="487">
        <f t="shared" ca="1" si="71"/>
        <v>25</v>
      </c>
      <c r="I400" s="502" t="str">
        <f t="shared" ca="1" si="64"/>
        <v/>
      </c>
      <c r="J400" s="492" t="str">
        <f t="shared" ca="1" si="65"/>
        <v/>
      </c>
      <c r="K400" s="490" t="str">
        <f t="shared" ca="1" si="66"/>
        <v/>
      </c>
      <c r="L400" s="493">
        <f ca="1">IFERROR(CHOOSE(E400,'Outcome Indicators - Section C '!$K$7,'Outcome Indicators - Section C '!$O$7,'Outcome Indicators - Section C '!$S$7,'Outcome Indicators - Section C '!$W$7),"")</f>
        <v>2023</v>
      </c>
      <c r="M400" s="504" t="str">
        <f t="shared" ca="1" si="67"/>
        <v/>
      </c>
      <c r="N400" s="493" t="str">
        <f t="shared" ca="1" si="68"/>
        <v/>
      </c>
      <c r="O400" s="487"/>
      <c r="P400" s="487">
        <f t="shared" si="72"/>
        <v>0</v>
      </c>
      <c r="Q400" s="493"/>
    </row>
    <row r="401" spans="1:17" x14ac:dyDescent="0.3">
      <c r="A401" s="487" t="b">
        <f t="shared" ca="1" si="63"/>
        <v>0</v>
      </c>
      <c r="B401" s="501">
        <f t="shared" si="69"/>
        <v>52</v>
      </c>
      <c r="C401" s="507" t="str">
        <f ca="1">IF(COUNTA(D$257:D400)=1,"",OFFSET(B399,-COUNTA(D$257:D400)+3,1))</f>
        <v>a1W3p000004PcL2EAK</v>
      </c>
      <c r="D401" s="487"/>
      <c r="E401" s="487">
        <f t="shared" ca="1" si="70"/>
        <v>4</v>
      </c>
      <c r="F401" s="506">
        <f ca="1">IF(COUNTA(D$257:D400)=1,"",OFFSET(F399,-COUNTA(D$257:D400)+3,0))</f>
        <v>9</v>
      </c>
      <c r="G401" s="487"/>
      <c r="H401" s="487">
        <f t="shared" ca="1" si="71"/>
        <v>25</v>
      </c>
      <c r="I401" s="502" t="str">
        <f t="shared" ca="1" si="64"/>
        <v/>
      </c>
      <c r="J401" s="492" t="str">
        <f t="shared" ca="1" si="65"/>
        <v/>
      </c>
      <c r="K401" s="490" t="str">
        <f t="shared" ca="1" si="66"/>
        <v/>
      </c>
      <c r="L401" s="493" t="str">
        <f ca="1">IFERROR(CHOOSE(E401,'Outcome Indicators - Section C '!$K$7,'Outcome Indicators - Section C '!$O$7,'Outcome Indicators - Section C '!$S$7,'Outcome Indicators - Section C '!$W$7),"")</f>
        <v/>
      </c>
      <c r="M401" s="504" t="str">
        <f t="shared" ca="1" si="67"/>
        <v/>
      </c>
      <c r="N401" s="493" t="str">
        <f t="shared" ca="1" si="68"/>
        <v/>
      </c>
      <c r="O401" s="487"/>
      <c r="P401" s="487">
        <f t="shared" si="72"/>
        <v>0</v>
      </c>
      <c r="Q401" s="493"/>
    </row>
    <row r="402" spans="1:17" x14ac:dyDescent="0.3">
      <c r="A402" s="487" t="b">
        <f t="shared" ca="1" si="63"/>
        <v>0</v>
      </c>
      <c r="B402" s="501">
        <f t="shared" si="69"/>
        <v>53</v>
      </c>
      <c r="C402" s="507" t="str">
        <f ca="1">IF(COUNTA(D$257:D401)=1,"",OFFSET(B400,-COUNTA(D$257:D401)+3,1))</f>
        <v>a1W3p000004PcLHEA0</v>
      </c>
      <c r="D402" s="487"/>
      <c r="E402" s="487">
        <f t="shared" ca="1" si="70"/>
        <v>5</v>
      </c>
      <c r="F402" s="506">
        <f ca="1">IF(COUNTA(D$257:D401)=1,"",OFFSET(F400,-COUNTA(D$257:D401)+3,0))</f>
        <v>9</v>
      </c>
      <c r="G402" s="487"/>
      <c r="H402" s="487">
        <f t="shared" ca="1" si="71"/>
        <v>25</v>
      </c>
      <c r="I402" s="502" t="str">
        <f t="shared" ca="1" si="64"/>
        <v/>
      </c>
      <c r="J402" s="492" t="str">
        <f t="shared" ca="1" si="65"/>
        <v/>
      </c>
      <c r="K402" s="490" t="str">
        <f t="shared" ca="1" si="66"/>
        <v/>
      </c>
      <c r="L402" s="493" t="str">
        <f ca="1">IFERROR(CHOOSE(E402,'Outcome Indicators - Section C '!$K$7,'Outcome Indicators - Section C '!$O$7,'Outcome Indicators - Section C '!$S$7,'Outcome Indicators - Section C '!$W$7),"")</f>
        <v/>
      </c>
      <c r="M402" s="504" t="str">
        <f t="shared" ca="1" si="67"/>
        <v/>
      </c>
      <c r="N402" s="493" t="str">
        <f t="shared" ca="1" si="68"/>
        <v/>
      </c>
      <c r="O402" s="487"/>
      <c r="P402" s="487">
        <f t="shared" si="72"/>
        <v>0</v>
      </c>
      <c r="Q402" s="493"/>
    </row>
    <row r="403" spans="1:17" x14ac:dyDescent="0.3">
      <c r="A403" s="487" t="b">
        <f t="shared" ca="1" si="63"/>
        <v>0</v>
      </c>
      <c r="B403" s="501">
        <f t="shared" si="69"/>
        <v>54</v>
      </c>
      <c r="C403" s="507" t="str">
        <f ca="1">IF(COUNTA(D$257:D402)=1,"",OFFSET(B401,-COUNTA(D$257:D402)+3,1))</f>
        <v>a1W3p000004PcLWEA0</v>
      </c>
      <c r="D403" s="487"/>
      <c r="E403" s="487">
        <f t="shared" ca="1" si="70"/>
        <v>6</v>
      </c>
      <c r="F403" s="506">
        <f ca="1">IF(COUNTA(D$257:D402)=1,"",OFFSET(F401,-COUNTA(D$257:D402)+3,0))</f>
        <v>9</v>
      </c>
      <c r="G403" s="487"/>
      <c r="H403" s="487">
        <f t="shared" ca="1" si="71"/>
        <v>25</v>
      </c>
      <c r="I403" s="502" t="str">
        <f t="shared" ca="1" si="64"/>
        <v/>
      </c>
      <c r="J403" s="492" t="str">
        <f t="shared" ca="1" si="65"/>
        <v/>
      </c>
      <c r="K403" s="490" t="str">
        <f t="shared" ca="1" si="66"/>
        <v/>
      </c>
      <c r="L403" s="493" t="str">
        <f ca="1">IFERROR(CHOOSE(E403,'Outcome Indicators - Section C '!$K$7,'Outcome Indicators - Section C '!$O$7,'Outcome Indicators - Section C '!$S$7,'Outcome Indicators - Section C '!$W$7),"")</f>
        <v/>
      </c>
      <c r="M403" s="504" t="str">
        <f t="shared" ca="1" si="67"/>
        <v/>
      </c>
      <c r="N403" s="493" t="str">
        <f t="shared" ca="1" si="68"/>
        <v/>
      </c>
      <c r="O403" s="487"/>
      <c r="P403" s="487">
        <f t="shared" si="72"/>
        <v>0</v>
      </c>
      <c r="Q403" s="493"/>
    </row>
    <row r="404" spans="1:17" x14ac:dyDescent="0.3">
      <c r="A404" s="487" t="b">
        <f t="shared" ca="1" si="63"/>
        <v>0</v>
      </c>
      <c r="B404" s="501">
        <f t="shared" si="69"/>
        <v>55</v>
      </c>
      <c r="C404" s="507" t="str">
        <f ca="1">IF(COUNTA(D$257:D403)=1,"",OFFSET(B402,-COUNTA(D$257:D403)+3,1))</f>
        <v>a1W3p000004PcKKEA0</v>
      </c>
      <c r="D404" s="487"/>
      <c r="E404" s="487">
        <f t="shared" ca="1" si="70"/>
        <v>1</v>
      </c>
      <c r="F404" s="506">
        <f ca="1">IF(COUNTA(D$257:D403)=1,"",OFFSET(F402,-COUNTA(D$257:D403)+3,0))</f>
        <v>10</v>
      </c>
      <c r="G404" s="487"/>
      <c r="H404" s="487">
        <f t="shared" ca="1" si="71"/>
        <v>27</v>
      </c>
      <c r="I404" s="502" t="str">
        <f t="shared" ca="1" si="64"/>
        <v/>
      </c>
      <c r="J404" s="492" t="str">
        <f t="shared" ca="1" si="65"/>
        <v/>
      </c>
      <c r="K404" s="490" t="str">
        <f t="shared" ca="1" si="66"/>
        <v/>
      </c>
      <c r="L404" s="493">
        <f ca="1">IFERROR(CHOOSE(E404,'Outcome Indicators - Section C '!$K$7,'Outcome Indicators - Section C '!$O$7,'Outcome Indicators - Section C '!$S$7,'Outcome Indicators - Section C '!$W$7),"")</f>
        <v>2021</v>
      </c>
      <c r="M404" s="504" t="str">
        <f t="shared" ca="1" si="67"/>
        <v/>
      </c>
      <c r="N404" s="493" t="str">
        <f t="shared" ca="1" si="68"/>
        <v/>
      </c>
      <c r="O404" s="487"/>
      <c r="P404" s="487">
        <f t="shared" si="72"/>
        <v>0</v>
      </c>
      <c r="Q404" s="493"/>
    </row>
    <row r="405" spans="1:17" x14ac:dyDescent="0.3">
      <c r="A405" s="487" t="b">
        <f t="shared" ca="1" si="63"/>
        <v>0</v>
      </c>
      <c r="B405" s="501">
        <f t="shared" si="69"/>
        <v>56</v>
      </c>
      <c r="C405" s="507" t="str">
        <f ca="1">IF(COUNTA(D$257:D404)=1,"",OFFSET(B403,-COUNTA(D$257:D404)+3,1))</f>
        <v>a1W3p000004PcKZEA0</v>
      </c>
      <c r="D405" s="487"/>
      <c r="E405" s="487">
        <f t="shared" ca="1" si="70"/>
        <v>2</v>
      </c>
      <c r="F405" s="506">
        <f ca="1">IF(COUNTA(D$257:D404)=1,"",OFFSET(F403,-COUNTA(D$257:D404)+3,0))</f>
        <v>10</v>
      </c>
      <c r="G405" s="487"/>
      <c r="H405" s="487">
        <f t="shared" ca="1" si="71"/>
        <v>27</v>
      </c>
      <c r="I405" s="502" t="str">
        <f t="shared" ca="1" si="64"/>
        <v/>
      </c>
      <c r="J405" s="492" t="str">
        <f t="shared" ca="1" si="65"/>
        <v/>
      </c>
      <c r="K405" s="490" t="str">
        <f t="shared" ca="1" si="66"/>
        <v/>
      </c>
      <c r="L405" s="493">
        <f ca="1">IFERROR(CHOOSE(E405,'Outcome Indicators - Section C '!$K$7,'Outcome Indicators - Section C '!$O$7,'Outcome Indicators - Section C '!$S$7,'Outcome Indicators - Section C '!$W$7),"")</f>
        <v>2022</v>
      </c>
      <c r="M405" s="504" t="str">
        <f t="shared" ca="1" si="67"/>
        <v/>
      </c>
      <c r="N405" s="493" t="str">
        <f t="shared" ca="1" si="68"/>
        <v/>
      </c>
      <c r="O405" s="487"/>
      <c r="P405" s="487">
        <f t="shared" si="72"/>
        <v>0</v>
      </c>
      <c r="Q405" s="493"/>
    </row>
    <row r="406" spans="1:17" x14ac:dyDescent="0.3">
      <c r="A406" s="487" t="b">
        <f t="shared" ca="1" si="63"/>
        <v>0</v>
      </c>
      <c r="B406" s="501">
        <f t="shared" si="69"/>
        <v>57</v>
      </c>
      <c r="C406" s="507" t="str">
        <f ca="1">IF(COUNTA(D$257:D405)=1,"",OFFSET(B404,-COUNTA(D$257:D405)+3,1))</f>
        <v>a1W3p000004PcKoEAK</v>
      </c>
      <c r="D406" s="487"/>
      <c r="E406" s="487">
        <f t="shared" ca="1" si="70"/>
        <v>3</v>
      </c>
      <c r="F406" s="506">
        <f ca="1">IF(COUNTA(D$257:D405)=1,"",OFFSET(F404,-COUNTA(D$257:D405)+3,0))</f>
        <v>10</v>
      </c>
      <c r="G406" s="487"/>
      <c r="H406" s="487">
        <f t="shared" ca="1" si="71"/>
        <v>27</v>
      </c>
      <c r="I406" s="502" t="str">
        <f t="shared" ca="1" si="64"/>
        <v/>
      </c>
      <c r="J406" s="492" t="str">
        <f t="shared" ca="1" si="65"/>
        <v/>
      </c>
      <c r="K406" s="490" t="str">
        <f t="shared" ca="1" si="66"/>
        <v/>
      </c>
      <c r="L406" s="493">
        <f ca="1">IFERROR(CHOOSE(E406,'Outcome Indicators - Section C '!$K$7,'Outcome Indicators - Section C '!$O$7,'Outcome Indicators - Section C '!$S$7,'Outcome Indicators - Section C '!$W$7),"")</f>
        <v>2023</v>
      </c>
      <c r="M406" s="504" t="str">
        <f t="shared" ca="1" si="67"/>
        <v/>
      </c>
      <c r="N406" s="493" t="str">
        <f t="shared" ca="1" si="68"/>
        <v/>
      </c>
      <c r="O406" s="487"/>
      <c r="P406" s="487">
        <f t="shared" si="72"/>
        <v>0</v>
      </c>
      <c r="Q406" s="493"/>
    </row>
    <row r="407" spans="1:17" x14ac:dyDescent="0.3">
      <c r="A407" s="487" t="b">
        <f t="shared" ca="1" si="63"/>
        <v>0</v>
      </c>
      <c r="B407" s="501">
        <f t="shared" si="69"/>
        <v>58</v>
      </c>
      <c r="C407" s="507" t="str">
        <f ca="1">IF(COUNTA(D$257:D406)=1,"",OFFSET(B405,-COUNTA(D$257:D406)+3,1))</f>
        <v>a1W3p000004PcL3EAK</v>
      </c>
      <c r="D407" s="487"/>
      <c r="E407" s="487">
        <f t="shared" ca="1" si="70"/>
        <v>4</v>
      </c>
      <c r="F407" s="506">
        <f ca="1">IF(COUNTA(D$257:D406)=1,"",OFFSET(F405,-COUNTA(D$257:D406)+3,0))</f>
        <v>10</v>
      </c>
      <c r="G407" s="487"/>
      <c r="H407" s="487">
        <f t="shared" ca="1" si="71"/>
        <v>27</v>
      </c>
      <c r="I407" s="502" t="str">
        <f t="shared" ca="1" si="64"/>
        <v/>
      </c>
      <c r="J407" s="492" t="str">
        <f t="shared" ca="1" si="65"/>
        <v/>
      </c>
      <c r="K407" s="490" t="str">
        <f t="shared" ca="1" si="66"/>
        <v/>
      </c>
      <c r="L407" s="493" t="str">
        <f ca="1">IFERROR(CHOOSE(E407,'Outcome Indicators - Section C '!$K$7,'Outcome Indicators - Section C '!$O$7,'Outcome Indicators - Section C '!$S$7,'Outcome Indicators - Section C '!$W$7),"")</f>
        <v/>
      </c>
      <c r="M407" s="504" t="str">
        <f t="shared" ca="1" si="67"/>
        <v/>
      </c>
      <c r="N407" s="493" t="str">
        <f t="shared" ca="1" si="68"/>
        <v/>
      </c>
      <c r="O407" s="487"/>
      <c r="P407" s="487">
        <f t="shared" si="72"/>
        <v>0</v>
      </c>
      <c r="Q407" s="493"/>
    </row>
    <row r="408" spans="1:17" x14ac:dyDescent="0.3">
      <c r="A408" s="487" t="b">
        <f t="shared" ca="1" si="63"/>
        <v>0</v>
      </c>
      <c r="B408" s="501">
        <f t="shared" si="69"/>
        <v>59</v>
      </c>
      <c r="C408" s="507" t="str">
        <f ca="1">IF(COUNTA(D$257:D407)=1,"",OFFSET(B406,-COUNTA(D$257:D407)+3,1))</f>
        <v>a1W3p000004PcLIEA0</v>
      </c>
      <c r="D408" s="487"/>
      <c r="E408" s="487">
        <f t="shared" ca="1" si="70"/>
        <v>5</v>
      </c>
      <c r="F408" s="506">
        <f ca="1">IF(COUNTA(D$257:D407)=1,"",OFFSET(F406,-COUNTA(D$257:D407)+3,0))</f>
        <v>10</v>
      </c>
      <c r="G408" s="487"/>
      <c r="H408" s="487">
        <f t="shared" ca="1" si="71"/>
        <v>27</v>
      </c>
      <c r="I408" s="502" t="str">
        <f t="shared" ca="1" si="64"/>
        <v/>
      </c>
      <c r="J408" s="492" t="str">
        <f t="shared" ca="1" si="65"/>
        <v/>
      </c>
      <c r="K408" s="490" t="str">
        <f t="shared" ca="1" si="66"/>
        <v/>
      </c>
      <c r="L408" s="493" t="str">
        <f ca="1">IFERROR(CHOOSE(E408,'Outcome Indicators - Section C '!$K$7,'Outcome Indicators - Section C '!$O$7,'Outcome Indicators - Section C '!$S$7,'Outcome Indicators - Section C '!$W$7),"")</f>
        <v/>
      </c>
      <c r="M408" s="504" t="str">
        <f t="shared" ca="1" si="67"/>
        <v/>
      </c>
      <c r="N408" s="493" t="str">
        <f t="shared" ca="1" si="68"/>
        <v/>
      </c>
      <c r="O408" s="487"/>
      <c r="P408" s="487">
        <f t="shared" si="72"/>
        <v>0</v>
      </c>
      <c r="Q408" s="493"/>
    </row>
    <row r="409" spans="1:17" x14ac:dyDescent="0.3">
      <c r="A409" s="487" t="b">
        <f t="shared" ca="1" si="63"/>
        <v>0</v>
      </c>
      <c r="B409" s="501">
        <f t="shared" si="69"/>
        <v>60</v>
      </c>
      <c r="C409" s="507" t="str">
        <f ca="1">IF(COUNTA(D$257:D408)=1,"",OFFSET(B407,-COUNTA(D$257:D408)+3,1))</f>
        <v>a1W3p000004PcLXEA0</v>
      </c>
      <c r="D409" s="487"/>
      <c r="E409" s="487">
        <f t="shared" ca="1" si="70"/>
        <v>6</v>
      </c>
      <c r="F409" s="506">
        <f ca="1">IF(COUNTA(D$257:D408)=1,"",OFFSET(F407,-COUNTA(D$257:D408)+3,0))</f>
        <v>10</v>
      </c>
      <c r="G409" s="487"/>
      <c r="H409" s="487">
        <f t="shared" ca="1" si="71"/>
        <v>27</v>
      </c>
      <c r="I409" s="502" t="str">
        <f t="shared" ca="1" si="64"/>
        <v/>
      </c>
      <c r="J409" s="492" t="str">
        <f t="shared" ca="1" si="65"/>
        <v/>
      </c>
      <c r="K409" s="490" t="str">
        <f t="shared" ca="1" si="66"/>
        <v/>
      </c>
      <c r="L409" s="493" t="str">
        <f ca="1">IFERROR(CHOOSE(E409,'Outcome Indicators - Section C '!$K$7,'Outcome Indicators - Section C '!$O$7,'Outcome Indicators - Section C '!$S$7,'Outcome Indicators - Section C '!$W$7),"")</f>
        <v/>
      </c>
      <c r="M409" s="504" t="str">
        <f t="shared" ca="1" si="67"/>
        <v/>
      </c>
      <c r="N409" s="493" t="str">
        <f t="shared" ca="1" si="68"/>
        <v/>
      </c>
      <c r="O409" s="487"/>
      <c r="P409" s="487">
        <f t="shared" si="72"/>
        <v>0</v>
      </c>
      <c r="Q409" s="493"/>
    </row>
    <row r="410" spans="1:17" x14ac:dyDescent="0.3">
      <c r="A410" s="487" t="b">
        <f t="shared" ca="1" si="63"/>
        <v>0</v>
      </c>
      <c r="B410" s="501">
        <f t="shared" si="69"/>
        <v>61</v>
      </c>
      <c r="C410" s="507" t="str">
        <f ca="1">IF(COUNTA(D$257:D409)=1,"",OFFSET(B408,-COUNTA(D$257:D409)+3,1))</f>
        <v>a1W3p000004PcKLEA0</v>
      </c>
      <c r="D410" s="487"/>
      <c r="E410" s="487">
        <f t="shared" ca="1" si="70"/>
        <v>1</v>
      </c>
      <c r="F410" s="506">
        <f ca="1">IF(COUNTA(D$257:D409)=1,"",OFFSET(F408,-COUNTA(D$257:D409)+3,0))</f>
        <v>11</v>
      </c>
      <c r="G410" s="487"/>
      <c r="H410" s="487">
        <f t="shared" ca="1" si="71"/>
        <v>29</v>
      </c>
      <c r="I410" s="502" t="str">
        <f t="shared" ca="1" si="64"/>
        <v/>
      </c>
      <c r="J410" s="492" t="str">
        <f t="shared" ca="1" si="65"/>
        <v/>
      </c>
      <c r="K410" s="490" t="str">
        <f t="shared" ca="1" si="66"/>
        <v/>
      </c>
      <c r="L410" s="493">
        <f ca="1">IFERROR(CHOOSE(E410,'Outcome Indicators - Section C '!$K$7,'Outcome Indicators - Section C '!$O$7,'Outcome Indicators - Section C '!$S$7,'Outcome Indicators - Section C '!$W$7),"")</f>
        <v>2021</v>
      </c>
      <c r="M410" s="504" t="str">
        <f t="shared" ca="1" si="67"/>
        <v/>
      </c>
      <c r="N410" s="493" t="str">
        <f t="shared" ca="1" si="68"/>
        <v/>
      </c>
      <c r="O410" s="487"/>
      <c r="P410" s="487">
        <f t="shared" si="72"/>
        <v>0</v>
      </c>
      <c r="Q410" s="493"/>
    </row>
    <row r="411" spans="1:17" x14ac:dyDescent="0.3">
      <c r="A411" s="487" t="b">
        <f t="shared" ca="1" si="63"/>
        <v>0</v>
      </c>
      <c r="B411" s="501">
        <f t="shared" si="69"/>
        <v>62</v>
      </c>
      <c r="C411" s="507" t="str">
        <f ca="1">IF(COUNTA(D$257:D410)=1,"",OFFSET(B409,-COUNTA(D$257:D410)+3,1))</f>
        <v>a1W3p000004PcKaEAK</v>
      </c>
      <c r="D411" s="487"/>
      <c r="E411" s="487">
        <f t="shared" ca="1" si="70"/>
        <v>2</v>
      </c>
      <c r="F411" s="506">
        <f ca="1">IF(COUNTA(D$257:D410)=1,"",OFFSET(F409,-COUNTA(D$257:D410)+3,0))</f>
        <v>11</v>
      </c>
      <c r="G411" s="487"/>
      <c r="H411" s="487">
        <f t="shared" ca="1" si="71"/>
        <v>29</v>
      </c>
      <c r="I411" s="502" t="str">
        <f t="shared" ca="1" si="64"/>
        <v/>
      </c>
      <c r="J411" s="492" t="str">
        <f t="shared" ca="1" si="65"/>
        <v/>
      </c>
      <c r="K411" s="490" t="str">
        <f t="shared" ca="1" si="66"/>
        <v/>
      </c>
      <c r="L411" s="493">
        <f ca="1">IFERROR(CHOOSE(E411,'Outcome Indicators - Section C '!$K$7,'Outcome Indicators - Section C '!$O$7,'Outcome Indicators - Section C '!$S$7,'Outcome Indicators - Section C '!$W$7),"")</f>
        <v>2022</v>
      </c>
      <c r="M411" s="504" t="str">
        <f t="shared" ca="1" si="67"/>
        <v/>
      </c>
      <c r="N411" s="493" t="str">
        <f t="shared" ca="1" si="68"/>
        <v/>
      </c>
      <c r="O411" s="487"/>
      <c r="P411" s="487">
        <f t="shared" si="72"/>
        <v>0</v>
      </c>
      <c r="Q411" s="493"/>
    </row>
    <row r="412" spans="1:17" x14ac:dyDescent="0.3">
      <c r="A412" s="487" t="b">
        <f t="shared" ca="1" si="63"/>
        <v>0</v>
      </c>
      <c r="B412" s="501">
        <f t="shared" si="69"/>
        <v>63</v>
      </c>
      <c r="C412" s="507" t="str">
        <f ca="1">IF(COUNTA(D$257:D411)=1,"",OFFSET(B410,-COUNTA(D$257:D411)+3,1))</f>
        <v>a1W3p000004PcKpEAK</v>
      </c>
      <c r="D412" s="487"/>
      <c r="E412" s="487">
        <f t="shared" ca="1" si="70"/>
        <v>3</v>
      </c>
      <c r="F412" s="506">
        <f ca="1">IF(COUNTA(D$257:D411)=1,"",OFFSET(F410,-COUNTA(D$257:D411)+3,0))</f>
        <v>11</v>
      </c>
      <c r="G412" s="487"/>
      <c r="H412" s="487">
        <f t="shared" ca="1" si="71"/>
        <v>29</v>
      </c>
      <c r="I412" s="502" t="str">
        <f t="shared" ca="1" si="64"/>
        <v/>
      </c>
      <c r="J412" s="492" t="str">
        <f t="shared" ca="1" si="65"/>
        <v/>
      </c>
      <c r="K412" s="490" t="str">
        <f t="shared" ca="1" si="66"/>
        <v/>
      </c>
      <c r="L412" s="493">
        <f ca="1">IFERROR(CHOOSE(E412,'Outcome Indicators - Section C '!$K$7,'Outcome Indicators - Section C '!$O$7,'Outcome Indicators - Section C '!$S$7,'Outcome Indicators - Section C '!$W$7),"")</f>
        <v>2023</v>
      </c>
      <c r="M412" s="504" t="str">
        <f t="shared" ca="1" si="67"/>
        <v/>
      </c>
      <c r="N412" s="493" t="str">
        <f t="shared" ca="1" si="68"/>
        <v/>
      </c>
      <c r="O412" s="487"/>
      <c r="P412" s="487">
        <f t="shared" si="72"/>
        <v>0</v>
      </c>
      <c r="Q412" s="493"/>
    </row>
    <row r="413" spans="1:17" x14ac:dyDescent="0.3">
      <c r="A413" s="487" t="b">
        <f t="shared" ca="1" si="63"/>
        <v>0</v>
      </c>
      <c r="B413" s="501">
        <f t="shared" si="69"/>
        <v>64</v>
      </c>
      <c r="C413" s="507" t="str">
        <f ca="1">IF(COUNTA(D$257:D412)=1,"",OFFSET(B411,-COUNTA(D$257:D412)+3,1))</f>
        <v>a1W3p000004PcL4EAK</v>
      </c>
      <c r="D413" s="487"/>
      <c r="E413" s="487">
        <f t="shared" ca="1" si="70"/>
        <v>4</v>
      </c>
      <c r="F413" s="506">
        <f ca="1">IF(COUNTA(D$257:D412)=1,"",OFFSET(F411,-COUNTA(D$257:D412)+3,0))</f>
        <v>11</v>
      </c>
      <c r="G413" s="487"/>
      <c r="H413" s="487">
        <f t="shared" ca="1" si="71"/>
        <v>29</v>
      </c>
      <c r="I413" s="502" t="str">
        <f t="shared" ca="1" si="64"/>
        <v/>
      </c>
      <c r="J413" s="492" t="str">
        <f t="shared" ca="1" si="65"/>
        <v/>
      </c>
      <c r="K413" s="490" t="str">
        <f t="shared" ca="1" si="66"/>
        <v/>
      </c>
      <c r="L413" s="493" t="str">
        <f ca="1">IFERROR(CHOOSE(E413,'Outcome Indicators - Section C '!$K$7,'Outcome Indicators - Section C '!$O$7,'Outcome Indicators - Section C '!$S$7,'Outcome Indicators - Section C '!$W$7),"")</f>
        <v/>
      </c>
      <c r="M413" s="504" t="str">
        <f t="shared" ca="1" si="67"/>
        <v/>
      </c>
      <c r="N413" s="493" t="str">
        <f t="shared" ca="1" si="68"/>
        <v/>
      </c>
      <c r="O413" s="487"/>
      <c r="P413" s="487">
        <f t="shared" si="72"/>
        <v>0</v>
      </c>
      <c r="Q413" s="493"/>
    </row>
    <row r="414" spans="1:17" x14ac:dyDescent="0.3">
      <c r="A414" s="487" t="b">
        <f t="shared" ref="A414:A439" ca="1" si="73">IF(AND(OR(I414&lt;&gt;"",J414&lt;&gt;"",K414&lt;&gt;""),L414&lt;&gt;""),TRUE,FALSE)</f>
        <v>0</v>
      </c>
      <c r="B414" s="501">
        <f t="shared" si="69"/>
        <v>65</v>
      </c>
      <c r="C414" s="507" t="str">
        <f ca="1">IF(COUNTA(D$257:D413)=1,"",OFFSET(B412,-COUNTA(D$257:D413)+3,1))</f>
        <v>a1W3p000004PcLJEA0</v>
      </c>
      <c r="D414" s="487"/>
      <c r="E414" s="487">
        <f t="shared" ca="1" si="70"/>
        <v>5</v>
      </c>
      <c r="F414" s="506">
        <f ca="1">IF(COUNTA(D$257:D413)=1,"",OFFSET(F412,-COUNTA(D$257:D413)+3,0))</f>
        <v>11</v>
      </c>
      <c r="G414" s="487"/>
      <c r="H414" s="487">
        <f t="shared" ca="1" si="71"/>
        <v>29</v>
      </c>
      <c r="I414" s="502" t="str">
        <f t="shared" ref="I414:I439" ca="1" si="74">IFERROR(CHOOSE(E414,IFERROR(IF(INDIRECT("'Outcome Indicators - Section C '!K"&amp;H414+1)=0,"",INDIRECT("'Outcome Indicators - Section C '!k"&amp;H414+1)),""),IFERROR(IF(INDIRECT("'Outcome Indicators - Section C '!O"&amp;H414+1)=0,"",INDIRECT("'Outcome Indicators - Section C '!O"&amp;H414+1)),""),IFERROR(IF(INDIRECT("'Outcome Indicators - Section C '!S"&amp;H414+1)=0,"",INDIRECT("'Outcome Indicators - Section C '!S"&amp;H414+1)),""),IFERROR(IF(INDIRECT("'Outcome Indicators - Section C '!W"&amp;H414+1)=0,"",INDIRECT("'Outcome Indicators - Section C '!W"&amp;H414+1)),"")),"")</f>
        <v/>
      </c>
      <c r="J414" s="492" t="str">
        <f t="shared" ref="J414:J439" ca="1" si="75">IFERROR(CHOOSE(E414,IFERROR(IF(INDIRECT("'Outcome Indicators - Section C '!K"&amp;H414)=0,"",INDIRECT("'Outcome Indicators - Section C '!k"&amp;H414)),""),IFERROR(IF(INDIRECT("'Outcome Indicators - Section C '!O"&amp;H414)=0,"",INDIRECT("'Outcome Indicators - Section C '!O"&amp;H414)),""),IFERROR(IF(INDIRECT("'Outcome Indicators - Section C '!S"&amp;H414)=0,"",INDIRECT("'Outcome Indicators - Section C '!S"&amp;H414)),""),IFERROR(IF(INDIRECT("'Outcome Indicators - Section C '!W"&amp;H414)=0,"",INDIRECT("'Outcome Indicators - Section C '!W"&amp;H414)),"")),"")</f>
        <v/>
      </c>
      <c r="K414" s="490" t="str">
        <f t="shared" ref="K414:K439" ca="1" si="76">IFERROR(CHOOSE(E414,IFERROR(IF(INDIRECT("'Outcome Indicators - Section C '!L"&amp;H414)=0,"",INDIRECT("'Outcome Indicators - Section C '!L"&amp;H414)*100),""),IFERROR(IF(INDIRECT("'Outcome Indicators - Section C '!P"&amp;H414)=0,"",INDIRECT("'Outcome Indicators - Section C '!P"&amp;H414)*100),""),IFERROR(IF(INDIRECT("'Outcome Indicators - Section C '!T"&amp;H414)=0,"",INDIRECT("'Outcome Indicators - Section C '!T"&amp;H414)*100),""),IFERROR(IF(INDIRECT("'Outcome Indicators - Section C '!X"&amp;H414)=0,"",INDIRECT("'Outcome Indicators - Section C '!X"&amp;H414)*100),"")),"")</f>
        <v/>
      </c>
      <c r="L414" s="493" t="str">
        <f ca="1">IFERROR(CHOOSE(E414,'Outcome Indicators - Section C '!$K$7,'Outcome Indicators - Section C '!$O$7,'Outcome Indicators - Section C '!$S$7,'Outcome Indicators - Section C '!$W$7),"")</f>
        <v/>
      </c>
      <c r="M414" s="504" t="str">
        <f t="shared" ref="M414:M439" ca="1" si="77">IFERROR(CHOOSE(E414,IFERROR(IF(INDIRECT("'Outcome Indicators - Section C '!M"&amp;H414)=0,"",INDIRECT("'Outcome Indicators - Section C '!M"&amp;H414)),""),IFERROR(IF(INDIRECT("'Outcome Indicators - Section C '!Q"&amp;H414)=0,"",INDIRECT("'Outcome Indicators - Section C '!Q"&amp;H414)),""),IFERROR(IF(INDIRECT("'Outcome Indicators - Section C '!U"&amp;H414)=0,"",INDIRECT("'Outcome Indicators - Section C '!U"&amp;H414)),""),IFERROR(IF(INDIRECT("'Outcome Indicators - Section C '!Y"&amp;H414)=0,"",INDIRECT("'Outcome Indicators - Section C '!Y"&amp;H414)),"")),"")</f>
        <v/>
      </c>
      <c r="N414" s="493" t="str">
        <f t="shared" ref="N414:N439" ca="1" si="78">IFERROR(CHOOSE(E414,IFERROR(IF(INDIRECT("'Outcome Indicators - Section C '!N"&amp;H414)=0,"",INDIRECT("'Outcome Indicators - Section C '!N"&amp;H414)),""),IFERROR(IF(INDIRECT("'Outcome Indicators - Section C '!R"&amp;H414)=0,"",INDIRECT("'Outcome Indicators - Section C '!R"&amp;H414)),""),IFERROR(IF(INDIRECT("'Outcome Indicators - Section C '!V"&amp;H414)=0,"",INDIRECT("'Outcome Indicators - Section C '!V"&amp;H414)),""),IFERROR(IF(INDIRECT("'Outcome Indicators - Section C '!Z"&amp;H414)=0,"",INDIRECT("'Outcome Indicators - Section C '!Z"&amp;H414)),"")),"")</f>
        <v/>
      </c>
      <c r="O414" s="487"/>
      <c r="P414" s="487">
        <f t="shared" si="72"/>
        <v>0</v>
      </c>
      <c r="Q414" s="493"/>
    </row>
    <row r="415" spans="1:17" x14ac:dyDescent="0.3">
      <c r="A415" s="487" t="b">
        <f t="shared" ca="1" si="73"/>
        <v>0</v>
      </c>
      <c r="B415" s="501">
        <f t="shared" si="69"/>
        <v>66</v>
      </c>
      <c r="C415" s="507" t="str">
        <f ca="1">IF(COUNTA(D$257:D414)=1,"",OFFSET(B413,-COUNTA(D$257:D414)+3,1))</f>
        <v>a1W3p000004PcLYEA0</v>
      </c>
      <c r="D415" s="487"/>
      <c r="E415" s="487">
        <f t="shared" ca="1" si="70"/>
        <v>6</v>
      </c>
      <c r="F415" s="506">
        <f ca="1">IF(COUNTA(D$257:D414)=1,"",OFFSET(F413,-COUNTA(D$257:D414)+3,0))</f>
        <v>11</v>
      </c>
      <c r="G415" s="487"/>
      <c r="H415" s="487">
        <f t="shared" ca="1" si="71"/>
        <v>29</v>
      </c>
      <c r="I415" s="502" t="str">
        <f t="shared" ca="1" si="74"/>
        <v/>
      </c>
      <c r="J415" s="492" t="str">
        <f t="shared" ca="1" si="75"/>
        <v/>
      </c>
      <c r="K415" s="490" t="str">
        <f t="shared" ca="1" si="76"/>
        <v/>
      </c>
      <c r="L415" s="493" t="str">
        <f ca="1">IFERROR(CHOOSE(E415,'Outcome Indicators - Section C '!$K$7,'Outcome Indicators - Section C '!$O$7,'Outcome Indicators - Section C '!$S$7,'Outcome Indicators - Section C '!$W$7),"")</f>
        <v/>
      </c>
      <c r="M415" s="504" t="str">
        <f t="shared" ca="1" si="77"/>
        <v/>
      </c>
      <c r="N415" s="493" t="str">
        <f t="shared" ca="1" si="78"/>
        <v/>
      </c>
      <c r="O415" s="487"/>
      <c r="P415" s="487">
        <f t="shared" si="72"/>
        <v>0</v>
      </c>
      <c r="Q415" s="493"/>
    </row>
    <row r="416" spans="1:17" x14ac:dyDescent="0.3">
      <c r="A416" s="487" t="b">
        <f t="shared" ca="1" si="73"/>
        <v>0</v>
      </c>
      <c r="B416" s="501">
        <f t="shared" si="69"/>
        <v>67</v>
      </c>
      <c r="C416" s="507" t="str">
        <f ca="1">IF(COUNTA(D$257:D415)=1,"",OFFSET(B414,-COUNTA(D$257:D415)+3,1))</f>
        <v>a1W3p000004PcKMEA0</v>
      </c>
      <c r="D416" s="487"/>
      <c r="E416" s="487">
        <f t="shared" ca="1" si="70"/>
        <v>1</v>
      </c>
      <c r="F416" s="506">
        <f ca="1">IF(COUNTA(D$257:D415)=1,"",OFFSET(F414,-COUNTA(D$257:D415)+3,0))</f>
        <v>12</v>
      </c>
      <c r="G416" s="487"/>
      <c r="H416" s="487">
        <f t="shared" ca="1" si="71"/>
        <v>31</v>
      </c>
      <c r="I416" s="502" t="str">
        <f t="shared" ca="1" si="74"/>
        <v/>
      </c>
      <c r="J416" s="492" t="str">
        <f t="shared" ca="1" si="75"/>
        <v/>
      </c>
      <c r="K416" s="490" t="str">
        <f t="shared" ca="1" si="76"/>
        <v/>
      </c>
      <c r="L416" s="493">
        <f ca="1">IFERROR(CHOOSE(E416,'Outcome Indicators - Section C '!$K$7,'Outcome Indicators - Section C '!$O$7,'Outcome Indicators - Section C '!$S$7,'Outcome Indicators - Section C '!$W$7),"")</f>
        <v>2021</v>
      </c>
      <c r="M416" s="504" t="str">
        <f t="shared" ca="1" si="77"/>
        <v/>
      </c>
      <c r="N416" s="493" t="str">
        <f t="shared" ca="1" si="78"/>
        <v/>
      </c>
      <c r="O416" s="487"/>
      <c r="P416" s="487">
        <f t="shared" si="72"/>
        <v>0</v>
      </c>
      <c r="Q416" s="493"/>
    </row>
    <row r="417" spans="1:17" x14ac:dyDescent="0.3">
      <c r="A417" s="487" t="b">
        <f t="shared" ca="1" si="73"/>
        <v>0</v>
      </c>
      <c r="B417" s="501">
        <f t="shared" si="69"/>
        <v>68</v>
      </c>
      <c r="C417" s="507" t="str">
        <f ca="1">IF(COUNTA(D$257:D416)=1,"",OFFSET(B415,-COUNTA(D$257:D416)+3,1))</f>
        <v>a1W3p000004PcKbEAK</v>
      </c>
      <c r="D417" s="487"/>
      <c r="E417" s="487">
        <f t="shared" ca="1" si="70"/>
        <v>2</v>
      </c>
      <c r="F417" s="506">
        <f ca="1">IF(COUNTA(D$257:D416)=1,"",OFFSET(F415,-COUNTA(D$257:D416)+3,0))</f>
        <v>12</v>
      </c>
      <c r="G417" s="487"/>
      <c r="H417" s="487">
        <f t="shared" ca="1" si="71"/>
        <v>31</v>
      </c>
      <c r="I417" s="502" t="str">
        <f t="shared" ca="1" si="74"/>
        <v/>
      </c>
      <c r="J417" s="492" t="str">
        <f t="shared" ca="1" si="75"/>
        <v/>
      </c>
      <c r="K417" s="490" t="str">
        <f t="shared" ca="1" si="76"/>
        <v/>
      </c>
      <c r="L417" s="493">
        <f ca="1">IFERROR(CHOOSE(E417,'Outcome Indicators - Section C '!$K$7,'Outcome Indicators - Section C '!$O$7,'Outcome Indicators - Section C '!$S$7,'Outcome Indicators - Section C '!$W$7),"")</f>
        <v>2022</v>
      </c>
      <c r="M417" s="504" t="str">
        <f t="shared" ca="1" si="77"/>
        <v/>
      </c>
      <c r="N417" s="493" t="str">
        <f t="shared" ca="1" si="78"/>
        <v/>
      </c>
      <c r="O417" s="487"/>
      <c r="P417" s="487">
        <f t="shared" si="72"/>
        <v>0</v>
      </c>
      <c r="Q417" s="493"/>
    </row>
    <row r="418" spans="1:17" x14ac:dyDescent="0.3">
      <c r="A418" s="487" t="b">
        <f t="shared" ca="1" si="73"/>
        <v>0</v>
      </c>
      <c r="B418" s="501">
        <f t="shared" si="69"/>
        <v>69</v>
      </c>
      <c r="C418" s="507" t="str">
        <f ca="1">IF(COUNTA(D$257:D417)=1,"",OFFSET(B416,-COUNTA(D$257:D417)+3,1))</f>
        <v>a1W3p000004PcKqEAK</v>
      </c>
      <c r="D418" s="487"/>
      <c r="E418" s="487">
        <f t="shared" ca="1" si="70"/>
        <v>3</v>
      </c>
      <c r="F418" s="506">
        <f ca="1">IF(COUNTA(D$257:D417)=1,"",OFFSET(F416,-COUNTA(D$257:D417)+3,0))</f>
        <v>12</v>
      </c>
      <c r="G418" s="487"/>
      <c r="H418" s="487">
        <f t="shared" ca="1" si="71"/>
        <v>31</v>
      </c>
      <c r="I418" s="502" t="str">
        <f t="shared" ca="1" si="74"/>
        <v/>
      </c>
      <c r="J418" s="492" t="str">
        <f t="shared" ca="1" si="75"/>
        <v/>
      </c>
      <c r="K418" s="490" t="str">
        <f t="shared" ca="1" si="76"/>
        <v/>
      </c>
      <c r="L418" s="493">
        <f ca="1">IFERROR(CHOOSE(E418,'Outcome Indicators - Section C '!$K$7,'Outcome Indicators - Section C '!$O$7,'Outcome Indicators - Section C '!$S$7,'Outcome Indicators - Section C '!$W$7),"")</f>
        <v>2023</v>
      </c>
      <c r="M418" s="504" t="str">
        <f t="shared" ca="1" si="77"/>
        <v/>
      </c>
      <c r="N418" s="493" t="str">
        <f t="shared" ca="1" si="78"/>
        <v/>
      </c>
      <c r="O418" s="487"/>
      <c r="P418" s="487">
        <f t="shared" si="72"/>
        <v>0</v>
      </c>
      <c r="Q418" s="493"/>
    </row>
    <row r="419" spans="1:17" x14ac:dyDescent="0.3">
      <c r="A419" s="487" t="b">
        <f t="shared" ca="1" si="73"/>
        <v>0</v>
      </c>
      <c r="B419" s="501">
        <f t="shared" si="69"/>
        <v>70</v>
      </c>
      <c r="C419" s="507" t="str">
        <f ca="1">IF(COUNTA(D$257:D418)=1,"",OFFSET(B417,-COUNTA(D$257:D418)+3,1))</f>
        <v>a1W3p000004PcL5EAK</v>
      </c>
      <c r="D419" s="487"/>
      <c r="E419" s="487">
        <f t="shared" ca="1" si="70"/>
        <v>4</v>
      </c>
      <c r="F419" s="506">
        <f ca="1">IF(COUNTA(D$257:D418)=1,"",OFFSET(F417,-COUNTA(D$257:D418)+3,0))</f>
        <v>12</v>
      </c>
      <c r="G419" s="487"/>
      <c r="H419" s="487">
        <f t="shared" ca="1" si="71"/>
        <v>31</v>
      </c>
      <c r="I419" s="502" t="str">
        <f t="shared" ca="1" si="74"/>
        <v/>
      </c>
      <c r="J419" s="492" t="str">
        <f t="shared" ca="1" si="75"/>
        <v/>
      </c>
      <c r="K419" s="490" t="str">
        <f t="shared" ca="1" si="76"/>
        <v/>
      </c>
      <c r="L419" s="493" t="str">
        <f ca="1">IFERROR(CHOOSE(E419,'Outcome Indicators - Section C '!$K$7,'Outcome Indicators - Section C '!$O$7,'Outcome Indicators - Section C '!$S$7,'Outcome Indicators - Section C '!$W$7),"")</f>
        <v/>
      </c>
      <c r="M419" s="504" t="str">
        <f t="shared" ca="1" si="77"/>
        <v/>
      </c>
      <c r="N419" s="493" t="str">
        <f t="shared" ca="1" si="78"/>
        <v/>
      </c>
      <c r="O419" s="487"/>
      <c r="P419" s="487">
        <f t="shared" si="72"/>
        <v>0</v>
      </c>
      <c r="Q419" s="493"/>
    </row>
    <row r="420" spans="1:17" x14ac:dyDescent="0.3">
      <c r="A420" s="487" t="b">
        <f t="shared" ca="1" si="73"/>
        <v>0</v>
      </c>
      <c r="B420" s="501">
        <f t="shared" si="69"/>
        <v>71</v>
      </c>
      <c r="C420" s="507" t="str">
        <f ca="1">IF(COUNTA(D$257:D419)=1,"",OFFSET(B418,-COUNTA(D$257:D419)+3,1))</f>
        <v>a1W3p000004PcLKEA0</v>
      </c>
      <c r="D420" s="487"/>
      <c r="E420" s="487">
        <f t="shared" ca="1" si="70"/>
        <v>5</v>
      </c>
      <c r="F420" s="506">
        <f ca="1">IF(COUNTA(D$257:D419)=1,"",OFFSET(F418,-COUNTA(D$257:D419)+3,0))</f>
        <v>12</v>
      </c>
      <c r="G420" s="487"/>
      <c r="H420" s="487">
        <f t="shared" ca="1" si="71"/>
        <v>31</v>
      </c>
      <c r="I420" s="502" t="str">
        <f t="shared" ca="1" si="74"/>
        <v/>
      </c>
      <c r="J420" s="492" t="str">
        <f t="shared" ca="1" si="75"/>
        <v/>
      </c>
      <c r="K420" s="490" t="str">
        <f t="shared" ca="1" si="76"/>
        <v/>
      </c>
      <c r="L420" s="493" t="str">
        <f ca="1">IFERROR(CHOOSE(E420,'Outcome Indicators - Section C '!$K$7,'Outcome Indicators - Section C '!$O$7,'Outcome Indicators - Section C '!$S$7,'Outcome Indicators - Section C '!$W$7),"")</f>
        <v/>
      </c>
      <c r="M420" s="504" t="str">
        <f t="shared" ca="1" si="77"/>
        <v/>
      </c>
      <c r="N420" s="493" t="str">
        <f t="shared" ca="1" si="78"/>
        <v/>
      </c>
      <c r="O420" s="487"/>
      <c r="P420" s="487">
        <f t="shared" si="72"/>
        <v>0</v>
      </c>
      <c r="Q420" s="493"/>
    </row>
    <row r="421" spans="1:17" x14ac:dyDescent="0.3">
      <c r="A421" s="487" t="b">
        <f t="shared" ca="1" si="73"/>
        <v>0</v>
      </c>
      <c r="B421" s="501">
        <f t="shared" si="69"/>
        <v>72</v>
      </c>
      <c r="C421" s="507" t="str">
        <f ca="1">IF(COUNTA(D$257:D420)=1,"",OFFSET(B419,-COUNTA(D$257:D420)+3,1))</f>
        <v>a1W3p000004PcLZEA0</v>
      </c>
      <c r="D421" s="487"/>
      <c r="E421" s="487">
        <f t="shared" ca="1" si="70"/>
        <v>6</v>
      </c>
      <c r="F421" s="506">
        <f ca="1">IF(COUNTA(D$257:D420)=1,"",OFFSET(F419,-COUNTA(D$257:D420)+3,0))</f>
        <v>12</v>
      </c>
      <c r="G421" s="487"/>
      <c r="H421" s="487">
        <f t="shared" ca="1" si="71"/>
        <v>31</v>
      </c>
      <c r="I421" s="502" t="str">
        <f t="shared" ca="1" si="74"/>
        <v/>
      </c>
      <c r="J421" s="492" t="str">
        <f t="shared" ca="1" si="75"/>
        <v/>
      </c>
      <c r="K421" s="490" t="str">
        <f t="shared" ca="1" si="76"/>
        <v/>
      </c>
      <c r="L421" s="493" t="str">
        <f ca="1">IFERROR(CHOOSE(E421,'Outcome Indicators - Section C '!$K$7,'Outcome Indicators - Section C '!$O$7,'Outcome Indicators - Section C '!$S$7,'Outcome Indicators - Section C '!$W$7),"")</f>
        <v/>
      </c>
      <c r="M421" s="504" t="str">
        <f t="shared" ca="1" si="77"/>
        <v/>
      </c>
      <c r="N421" s="493" t="str">
        <f t="shared" ca="1" si="78"/>
        <v/>
      </c>
      <c r="O421" s="487"/>
      <c r="P421" s="487">
        <f t="shared" si="72"/>
        <v>0</v>
      </c>
      <c r="Q421" s="493"/>
    </row>
    <row r="422" spans="1:17" x14ac:dyDescent="0.3">
      <c r="A422" s="487" t="b">
        <f t="shared" ca="1" si="73"/>
        <v>0</v>
      </c>
      <c r="B422" s="501">
        <f t="shared" si="69"/>
        <v>73</v>
      </c>
      <c r="C422" s="507" t="str">
        <f ca="1">IF(COUNTA(D$257:D421)=1,"",OFFSET(B420,-COUNTA(D$257:D421)+3,1))</f>
        <v>a1W3p000004PcKNEA0</v>
      </c>
      <c r="D422" s="487"/>
      <c r="E422" s="487">
        <f t="shared" ca="1" si="70"/>
        <v>1</v>
      </c>
      <c r="F422" s="506">
        <f ca="1">IF(COUNTA(D$257:D421)=1,"",OFFSET(F420,-COUNTA(D$257:D421)+3,0))</f>
        <v>13</v>
      </c>
      <c r="G422" s="487"/>
      <c r="H422" s="487">
        <f t="shared" ca="1" si="71"/>
        <v>33</v>
      </c>
      <c r="I422" s="502" t="str">
        <f t="shared" ca="1" si="74"/>
        <v/>
      </c>
      <c r="J422" s="492" t="str">
        <f t="shared" ca="1" si="75"/>
        <v/>
      </c>
      <c r="K422" s="490" t="str">
        <f t="shared" ca="1" si="76"/>
        <v/>
      </c>
      <c r="L422" s="493">
        <f ca="1">IFERROR(CHOOSE(E422,'Outcome Indicators - Section C '!$K$7,'Outcome Indicators - Section C '!$O$7,'Outcome Indicators - Section C '!$S$7,'Outcome Indicators - Section C '!$W$7),"")</f>
        <v>2021</v>
      </c>
      <c r="M422" s="504" t="str">
        <f t="shared" ca="1" si="77"/>
        <v/>
      </c>
      <c r="N422" s="493" t="str">
        <f t="shared" ca="1" si="78"/>
        <v/>
      </c>
      <c r="O422" s="487"/>
      <c r="P422" s="487">
        <f t="shared" si="72"/>
        <v>0</v>
      </c>
      <c r="Q422" s="493"/>
    </row>
    <row r="423" spans="1:17" x14ac:dyDescent="0.3">
      <c r="A423" s="487" t="b">
        <f t="shared" ca="1" si="73"/>
        <v>0</v>
      </c>
      <c r="B423" s="501">
        <f t="shared" si="69"/>
        <v>74</v>
      </c>
      <c r="C423" s="507" t="str">
        <f ca="1">IF(COUNTA(D$257:D422)=1,"",OFFSET(B421,-COUNTA(D$257:D422)+3,1))</f>
        <v>a1W3p000004PcKcEAK</v>
      </c>
      <c r="D423" s="487"/>
      <c r="E423" s="487">
        <f t="shared" ca="1" si="70"/>
        <v>2</v>
      </c>
      <c r="F423" s="506">
        <f ca="1">IF(COUNTA(D$257:D422)=1,"",OFFSET(F421,-COUNTA(D$257:D422)+3,0))</f>
        <v>13</v>
      </c>
      <c r="G423" s="487"/>
      <c r="H423" s="487">
        <f t="shared" ca="1" si="71"/>
        <v>33</v>
      </c>
      <c r="I423" s="502" t="str">
        <f t="shared" ca="1" si="74"/>
        <v/>
      </c>
      <c r="J423" s="492" t="str">
        <f t="shared" ca="1" si="75"/>
        <v/>
      </c>
      <c r="K423" s="490" t="str">
        <f t="shared" ca="1" si="76"/>
        <v/>
      </c>
      <c r="L423" s="493">
        <f ca="1">IFERROR(CHOOSE(E423,'Outcome Indicators - Section C '!$K$7,'Outcome Indicators - Section C '!$O$7,'Outcome Indicators - Section C '!$S$7,'Outcome Indicators - Section C '!$W$7),"")</f>
        <v>2022</v>
      </c>
      <c r="M423" s="504" t="str">
        <f t="shared" ca="1" si="77"/>
        <v/>
      </c>
      <c r="N423" s="493" t="str">
        <f t="shared" ca="1" si="78"/>
        <v/>
      </c>
      <c r="O423" s="487"/>
      <c r="P423" s="487">
        <f t="shared" si="72"/>
        <v>0</v>
      </c>
      <c r="Q423" s="493"/>
    </row>
    <row r="424" spans="1:17" x14ac:dyDescent="0.3">
      <c r="A424" s="487" t="b">
        <f t="shared" ca="1" si="73"/>
        <v>0</v>
      </c>
      <c r="B424" s="501">
        <f t="shared" si="69"/>
        <v>75</v>
      </c>
      <c r="C424" s="507" t="str">
        <f ca="1">IF(COUNTA(D$257:D423)=1,"",OFFSET(B422,-COUNTA(D$257:D423)+3,1))</f>
        <v>a1W3p000004PcKrEAK</v>
      </c>
      <c r="D424" s="487"/>
      <c r="E424" s="487">
        <f t="shared" ca="1" si="70"/>
        <v>3</v>
      </c>
      <c r="F424" s="506">
        <f ca="1">IF(COUNTA(D$257:D423)=1,"",OFFSET(F422,-COUNTA(D$257:D423)+3,0))</f>
        <v>13</v>
      </c>
      <c r="G424" s="487"/>
      <c r="H424" s="487">
        <f t="shared" ca="1" si="71"/>
        <v>33</v>
      </c>
      <c r="I424" s="502" t="str">
        <f t="shared" ca="1" si="74"/>
        <v/>
      </c>
      <c r="J424" s="492" t="str">
        <f t="shared" ca="1" si="75"/>
        <v/>
      </c>
      <c r="K424" s="490" t="str">
        <f t="shared" ca="1" si="76"/>
        <v/>
      </c>
      <c r="L424" s="493">
        <f ca="1">IFERROR(CHOOSE(E424,'Outcome Indicators - Section C '!$K$7,'Outcome Indicators - Section C '!$O$7,'Outcome Indicators - Section C '!$S$7,'Outcome Indicators - Section C '!$W$7),"")</f>
        <v>2023</v>
      </c>
      <c r="M424" s="504" t="str">
        <f t="shared" ca="1" si="77"/>
        <v/>
      </c>
      <c r="N424" s="493" t="str">
        <f t="shared" ca="1" si="78"/>
        <v/>
      </c>
      <c r="O424" s="487"/>
      <c r="P424" s="487">
        <f t="shared" si="72"/>
        <v>0</v>
      </c>
      <c r="Q424" s="493"/>
    </row>
    <row r="425" spans="1:17" x14ac:dyDescent="0.3">
      <c r="A425" s="487" t="b">
        <f t="shared" ca="1" si="73"/>
        <v>0</v>
      </c>
      <c r="B425" s="501">
        <f t="shared" si="69"/>
        <v>76</v>
      </c>
      <c r="C425" s="507" t="str">
        <f ca="1">IF(COUNTA(D$257:D424)=1,"",OFFSET(B423,-COUNTA(D$257:D424)+3,1))</f>
        <v>a1W3p000004PcL6EAK</v>
      </c>
      <c r="D425" s="487"/>
      <c r="E425" s="487">
        <f t="shared" ca="1" si="70"/>
        <v>4</v>
      </c>
      <c r="F425" s="506">
        <f ca="1">IF(COUNTA(D$257:D424)=1,"",OFFSET(F423,-COUNTA(D$257:D424)+3,0))</f>
        <v>13</v>
      </c>
      <c r="G425" s="487"/>
      <c r="H425" s="487">
        <f t="shared" ca="1" si="71"/>
        <v>33</v>
      </c>
      <c r="I425" s="502" t="str">
        <f t="shared" ca="1" si="74"/>
        <v/>
      </c>
      <c r="J425" s="492" t="str">
        <f t="shared" ca="1" si="75"/>
        <v/>
      </c>
      <c r="K425" s="490" t="str">
        <f t="shared" ca="1" si="76"/>
        <v/>
      </c>
      <c r="L425" s="493" t="str">
        <f ca="1">IFERROR(CHOOSE(E425,'Outcome Indicators - Section C '!$K$7,'Outcome Indicators - Section C '!$O$7,'Outcome Indicators - Section C '!$S$7,'Outcome Indicators - Section C '!$W$7),"")</f>
        <v/>
      </c>
      <c r="M425" s="504" t="str">
        <f t="shared" ca="1" si="77"/>
        <v/>
      </c>
      <c r="N425" s="493" t="str">
        <f t="shared" ca="1" si="78"/>
        <v/>
      </c>
      <c r="O425" s="487"/>
      <c r="P425" s="487">
        <f t="shared" si="72"/>
        <v>0</v>
      </c>
      <c r="Q425" s="493"/>
    </row>
    <row r="426" spans="1:17" x14ac:dyDescent="0.3">
      <c r="A426" s="487" t="b">
        <f t="shared" ca="1" si="73"/>
        <v>0</v>
      </c>
      <c r="B426" s="501">
        <f t="shared" si="69"/>
        <v>77</v>
      </c>
      <c r="C426" s="507" t="str">
        <f ca="1">IF(COUNTA(D$257:D425)=1,"",OFFSET(B424,-COUNTA(D$257:D425)+3,1))</f>
        <v>a1W3p000004PcLLEA0</v>
      </c>
      <c r="D426" s="487"/>
      <c r="E426" s="487">
        <f t="shared" ca="1" si="70"/>
        <v>5</v>
      </c>
      <c r="F426" s="506">
        <f ca="1">IF(COUNTA(D$257:D425)=1,"",OFFSET(F424,-COUNTA(D$257:D425)+3,0))</f>
        <v>13</v>
      </c>
      <c r="G426" s="487"/>
      <c r="H426" s="487">
        <f t="shared" ca="1" si="71"/>
        <v>33</v>
      </c>
      <c r="I426" s="502" t="str">
        <f t="shared" ca="1" si="74"/>
        <v/>
      </c>
      <c r="J426" s="492" t="str">
        <f t="shared" ca="1" si="75"/>
        <v/>
      </c>
      <c r="K426" s="490" t="str">
        <f t="shared" ca="1" si="76"/>
        <v/>
      </c>
      <c r="L426" s="493" t="str">
        <f ca="1">IFERROR(CHOOSE(E426,'Outcome Indicators - Section C '!$K$7,'Outcome Indicators - Section C '!$O$7,'Outcome Indicators - Section C '!$S$7,'Outcome Indicators - Section C '!$W$7),"")</f>
        <v/>
      </c>
      <c r="M426" s="504" t="str">
        <f t="shared" ca="1" si="77"/>
        <v/>
      </c>
      <c r="N426" s="493" t="str">
        <f t="shared" ca="1" si="78"/>
        <v/>
      </c>
      <c r="O426" s="487"/>
      <c r="P426" s="487">
        <f t="shared" si="72"/>
        <v>0</v>
      </c>
      <c r="Q426" s="493"/>
    </row>
    <row r="427" spans="1:17" x14ac:dyDescent="0.3">
      <c r="A427" s="487" t="b">
        <f t="shared" ca="1" si="73"/>
        <v>0</v>
      </c>
      <c r="B427" s="501">
        <f t="shared" si="69"/>
        <v>78</v>
      </c>
      <c r="C427" s="507" t="str">
        <f ca="1">IF(COUNTA(D$257:D426)=1,"",OFFSET(B425,-COUNTA(D$257:D426)+3,1))</f>
        <v>a1W3p000004PcLaEAK</v>
      </c>
      <c r="D427" s="487"/>
      <c r="E427" s="487">
        <f t="shared" ca="1" si="70"/>
        <v>6</v>
      </c>
      <c r="F427" s="506">
        <f ca="1">IF(COUNTA(D$257:D426)=1,"",OFFSET(F425,-COUNTA(D$257:D426)+3,0))</f>
        <v>13</v>
      </c>
      <c r="G427" s="487"/>
      <c r="H427" s="487">
        <f t="shared" ca="1" si="71"/>
        <v>33</v>
      </c>
      <c r="I427" s="502" t="str">
        <f t="shared" ca="1" si="74"/>
        <v/>
      </c>
      <c r="J427" s="492" t="str">
        <f t="shared" ca="1" si="75"/>
        <v/>
      </c>
      <c r="K427" s="490" t="str">
        <f t="shared" ca="1" si="76"/>
        <v/>
      </c>
      <c r="L427" s="493" t="str">
        <f ca="1">IFERROR(CHOOSE(E427,'Outcome Indicators - Section C '!$K$7,'Outcome Indicators - Section C '!$O$7,'Outcome Indicators - Section C '!$S$7,'Outcome Indicators - Section C '!$W$7),"")</f>
        <v/>
      </c>
      <c r="M427" s="504" t="str">
        <f t="shared" ca="1" si="77"/>
        <v/>
      </c>
      <c r="N427" s="493" t="str">
        <f t="shared" ca="1" si="78"/>
        <v/>
      </c>
      <c r="O427" s="487"/>
      <c r="P427" s="487">
        <f t="shared" si="72"/>
        <v>0</v>
      </c>
      <c r="Q427" s="493"/>
    </row>
    <row r="428" spans="1:17" x14ac:dyDescent="0.3">
      <c r="A428" s="487" t="b">
        <f t="shared" ca="1" si="73"/>
        <v>0</v>
      </c>
      <c r="B428" s="501">
        <f t="shared" si="69"/>
        <v>79</v>
      </c>
      <c r="C428" s="507" t="str">
        <f ca="1">IF(COUNTA(D$257:D427)=1,"",OFFSET(B426,-COUNTA(D$257:D427)+3,1))</f>
        <v>a1W3p000004PcKOEA0</v>
      </c>
      <c r="D428" s="487"/>
      <c r="E428" s="487">
        <f t="shared" ca="1" si="70"/>
        <v>1</v>
      </c>
      <c r="F428" s="506">
        <f ca="1">IF(COUNTA(D$257:D427)=1,"",OFFSET(F426,-COUNTA(D$257:D427)+3,0))</f>
        <v>14</v>
      </c>
      <c r="G428" s="487"/>
      <c r="H428" s="487">
        <f t="shared" ca="1" si="71"/>
        <v>35</v>
      </c>
      <c r="I428" s="502" t="str">
        <f t="shared" ca="1" si="74"/>
        <v/>
      </c>
      <c r="J428" s="492" t="str">
        <f t="shared" ca="1" si="75"/>
        <v/>
      </c>
      <c r="K428" s="490" t="str">
        <f t="shared" ca="1" si="76"/>
        <v/>
      </c>
      <c r="L428" s="493">
        <f ca="1">IFERROR(CHOOSE(E428,'Outcome Indicators - Section C '!$K$7,'Outcome Indicators - Section C '!$O$7,'Outcome Indicators - Section C '!$S$7,'Outcome Indicators - Section C '!$W$7),"")</f>
        <v>2021</v>
      </c>
      <c r="M428" s="504" t="str">
        <f t="shared" ca="1" si="77"/>
        <v/>
      </c>
      <c r="N428" s="493" t="str">
        <f t="shared" ca="1" si="78"/>
        <v/>
      </c>
      <c r="O428" s="487"/>
      <c r="P428" s="487">
        <f t="shared" si="72"/>
        <v>0</v>
      </c>
      <c r="Q428" s="493"/>
    </row>
    <row r="429" spans="1:17" x14ac:dyDescent="0.3">
      <c r="A429" s="487" t="b">
        <f t="shared" ca="1" si="73"/>
        <v>0</v>
      </c>
      <c r="B429" s="501">
        <f t="shared" si="69"/>
        <v>80</v>
      </c>
      <c r="C429" s="507" t="str">
        <f ca="1">IF(COUNTA(D$257:D428)=1,"",OFFSET(B427,-COUNTA(D$257:D428)+3,1))</f>
        <v>a1W3p000004PcKdEAK</v>
      </c>
      <c r="D429" s="487"/>
      <c r="E429" s="487">
        <f t="shared" ca="1" si="70"/>
        <v>2</v>
      </c>
      <c r="F429" s="506">
        <f ca="1">IF(COUNTA(D$257:D428)=1,"",OFFSET(F427,-COUNTA(D$257:D428)+3,0))</f>
        <v>14</v>
      </c>
      <c r="G429" s="487"/>
      <c r="H429" s="487">
        <f t="shared" ca="1" si="71"/>
        <v>35</v>
      </c>
      <c r="I429" s="502" t="str">
        <f t="shared" ca="1" si="74"/>
        <v/>
      </c>
      <c r="J429" s="492" t="str">
        <f t="shared" ca="1" si="75"/>
        <v/>
      </c>
      <c r="K429" s="490" t="str">
        <f t="shared" ca="1" si="76"/>
        <v/>
      </c>
      <c r="L429" s="493">
        <f ca="1">IFERROR(CHOOSE(E429,'Outcome Indicators - Section C '!$K$7,'Outcome Indicators - Section C '!$O$7,'Outcome Indicators - Section C '!$S$7,'Outcome Indicators - Section C '!$W$7),"")</f>
        <v>2022</v>
      </c>
      <c r="M429" s="504" t="str">
        <f t="shared" ca="1" si="77"/>
        <v/>
      </c>
      <c r="N429" s="493" t="str">
        <f t="shared" ca="1" si="78"/>
        <v/>
      </c>
      <c r="O429" s="487"/>
      <c r="P429" s="487">
        <f t="shared" si="72"/>
        <v>0</v>
      </c>
      <c r="Q429" s="493"/>
    </row>
    <row r="430" spans="1:17" x14ac:dyDescent="0.3">
      <c r="A430" s="487" t="b">
        <f t="shared" ca="1" si="73"/>
        <v>0</v>
      </c>
      <c r="B430" s="501">
        <f t="shared" si="69"/>
        <v>81</v>
      </c>
      <c r="C430" s="507" t="str">
        <f ca="1">IF(COUNTA(D$257:D429)=1,"",OFFSET(B428,-COUNTA(D$257:D429)+3,1))</f>
        <v>a1W3p000004PcKsEAK</v>
      </c>
      <c r="D430" s="487"/>
      <c r="E430" s="487">
        <f t="shared" ca="1" si="70"/>
        <v>3</v>
      </c>
      <c r="F430" s="506">
        <f ca="1">IF(COUNTA(D$257:D429)=1,"",OFFSET(F428,-COUNTA(D$257:D429)+3,0))</f>
        <v>14</v>
      </c>
      <c r="G430" s="487"/>
      <c r="H430" s="487">
        <f t="shared" ca="1" si="71"/>
        <v>35</v>
      </c>
      <c r="I430" s="502" t="str">
        <f t="shared" ca="1" si="74"/>
        <v/>
      </c>
      <c r="J430" s="492" t="str">
        <f t="shared" ca="1" si="75"/>
        <v/>
      </c>
      <c r="K430" s="490" t="str">
        <f t="shared" ca="1" si="76"/>
        <v/>
      </c>
      <c r="L430" s="493">
        <f ca="1">IFERROR(CHOOSE(E430,'Outcome Indicators - Section C '!$K$7,'Outcome Indicators - Section C '!$O$7,'Outcome Indicators - Section C '!$S$7,'Outcome Indicators - Section C '!$W$7),"")</f>
        <v>2023</v>
      </c>
      <c r="M430" s="504" t="str">
        <f t="shared" ca="1" si="77"/>
        <v/>
      </c>
      <c r="N430" s="493" t="str">
        <f t="shared" ca="1" si="78"/>
        <v/>
      </c>
      <c r="O430" s="487"/>
      <c r="P430" s="487">
        <f t="shared" si="72"/>
        <v>0</v>
      </c>
      <c r="Q430" s="493"/>
    </row>
    <row r="431" spans="1:17" x14ac:dyDescent="0.3">
      <c r="A431" s="487" t="b">
        <f t="shared" ca="1" si="73"/>
        <v>0</v>
      </c>
      <c r="B431" s="501">
        <f t="shared" si="69"/>
        <v>82</v>
      </c>
      <c r="C431" s="507" t="str">
        <f ca="1">IF(COUNTA(D$257:D430)=1,"",OFFSET(B429,-COUNTA(D$257:D430)+3,1))</f>
        <v>a1W3p000004PcL7EAK</v>
      </c>
      <c r="D431" s="487"/>
      <c r="E431" s="487">
        <f t="shared" ca="1" si="70"/>
        <v>4</v>
      </c>
      <c r="F431" s="506">
        <f ca="1">IF(COUNTA(D$257:D430)=1,"",OFFSET(F429,-COUNTA(D$257:D430)+3,0))</f>
        <v>14</v>
      </c>
      <c r="G431" s="487"/>
      <c r="H431" s="487">
        <f t="shared" ca="1" si="71"/>
        <v>35</v>
      </c>
      <c r="I431" s="502" t="str">
        <f t="shared" ca="1" si="74"/>
        <v/>
      </c>
      <c r="J431" s="492" t="str">
        <f t="shared" ca="1" si="75"/>
        <v/>
      </c>
      <c r="K431" s="490" t="str">
        <f t="shared" ca="1" si="76"/>
        <v/>
      </c>
      <c r="L431" s="493" t="str">
        <f ca="1">IFERROR(CHOOSE(E431,'Outcome Indicators - Section C '!$K$7,'Outcome Indicators - Section C '!$O$7,'Outcome Indicators - Section C '!$S$7,'Outcome Indicators - Section C '!$W$7),"")</f>
        <v/>
      </c>
      <c r="M431" s="504" t="str">
        <f t="shared" ca="1" si="77"/>
        <v/>
      </c>
      <c r="N431" s="493" t="str">
        <f t="shared" ca="1" si="78"/>
        <v/>
      </c>
      <c r="O431" s="487"/>
      <c r="P431" s="487">
        <f t="shared" si="72"/>
        <v>0</v>
      </c>
      <c r="Q431" s="493"/>
    </row>
    <row r="432" spans="1:17" x14ac:dyDescent="0.3">
      <c r="A432" s="487" t="b">
        <f t="shared" ca="1" si="73"/>
        <v>0</v>
      </c>
      <c r="B432" s="501">
        <f t="shared" si="69"/>
        <v>83</v>
      </c>
      <c r="C432" s="507" t="str">
        <f ca="1">IF(COUNTA(D$257:D431)=1,"",OFFSET(B430,-COUNTA(D$257:D431)+3,1))</f>
        <v>a1W3p000004PcLMEA0</v>
      </c>
      <c r="D432" s="487"/>
      <c r="E432" s="487">
        <f t="shared" ca="1" si="70"/>
        <v>5</v>
      </c>
      <c r="F432" s="506">
        <f ca="1">IF(COUNTA(D$257:D431)=1,"",OFFSET(F430,-COUNTA(D$257:D431)+3,0))</f>
        <v>14</v>
      </c>
      <c r="G432" s="487"/>
      <c r="H432" s="487">
        <f t="shared" ca="1" si="71"/>
        <v>35</v>
      </c>
      <c r="I432" s="502" t="str">
        <f t="shared" ca="1" si="74"/>
        <v/>
      </c>
      <c r="J432" s="492" t="str">
        <f t="shared" ca="1" si="75"/>
        <v/>
      </c>
      <c r="K432" s="490" t="str">
        <f t="shared" ca="1" si="76"/>
        <v/>
      </c>
      <c r="L432" s="493" t="str">
        <f ca="1">IFERROR(CHOOSE(E432,'Outcome Indicators - Section C '!$K$7,'Outcome Indicators - Section C '!$O$7,'Outcome Indicators - Section C '!$S$7,'Outcome Indicators - Section C '!$W$7),"")</f>
        <v/>
      </c>
      <c r="M432" s="504" t="str">
        <f t="shared" ca="1" si="77"/>
        <v/>
      </c>
      <c r="N432" s="493" t="str">
        <f t="shared" ca="1" si="78"/>
        <v/>
      </c>
      <c r="O432" s="487"/>
      <c r="P432" s="487">
        <f t="shared" si="72"/>
        <v>0</v>
      </c>
      <c r="Q432" s="493"/>
    </row>
    <row r="433" spans="1:33" x14ac:dyDescent="0.3">
      <c r="A433" s="487" t="b">
        <f t="shared" ca="1" si="73"/>
        <v>0</v>
      </c>
      <c r="B433" s="501">
        <f t="shared" si="69"/>
        <v>84</v>
      </c>
      <c r="C433" s="507" t="str">
        <f ca="1">IF(COUNTA(D$257:D432)=1,"",OFFSET(B431,-COUNTA(D$257:D432)+3,1))</f>
        <v>a1W3p000004PcLbEAK</v>
      </c>
      <c r="D433" s="487"/>
      <c r="E433" s="487">
        <f t="shared" ca="1" si="70"/>
        <v>6</v>
      </c>
      <c r="F433" s="506">
        <f ca="1">IF(COUNTA(D$257:D432)=1,"",OFFSET(F431,-COUNTA(D$257:D432)+3,0))</f>
        <v>14</v>
      </c>
      <c r="G433" s="487"/>
      <c r="H433" s="487">
        <f t="shared" ca="1" si="71"/>
        <v>35</v>
      </c>
      <c r="I433" s="502" t="str">
        <f t="shared" ca="1" si="74"/>
        <v/>
      </c>
      <c r="J433" s="492" t="str">
        <f t="shared" ca="1" si="75"/>
        <v/>
      </c>
      <c r="K433" s="490" t="str">
        <f t="shared" ca="1" si="76"/>
        <v/>
      </c>
      <c r="L433" s="493" t="str">
        <f ca="1">IFERROR(CHOOSE(E433,'Outcome Indicators - Section C '!$K$7,'Outcome Indicators - Section C '!$O$7,'Outcome Indicators - Section C '!$S$7,'Outcome Indicators - Section C '!$W$7),"")</f>
        <v/>
      </c>
      <c r="M433" s="504" t="str">
        <f t="shared" ca="1" si="77"/>
        <v/>
      </c>
      <c r="N433" s="493" t="str">
        <f t="shared" ca="1" si="78"/>
        <v/>
      </c>
      <c r="O433" s="487"/>
      <c r="P433" s="487">
        <f t="shared" si="72"/>
        <v>0</v>
      </c>
      <c r="Q433" s="493"/>
    </row>
    <row r="434" spans="1:33" x14ac:dyDescent="0.3">
      <c r="A434" s="487" t="b">
        <f t="shared" ca="1" si="73"/>
        <v>0</v>
      </c>
      <c r="B434" s="501">
        <f t="shared" si="69"/>
        <v>85</v>
      </c>
      <c r="C434" s="507" t="str">
        <f ca="1">IF(COUNTA(D$257:D433)=1,"",OFFSET(B432,-COUNTA(D$257:D433)+3,1))</f>
        <v>a1W3p000004PcKPEA0</v>
      </c>
      <c r="D434" s="487"/>
      <c r="E434" s="487">
        <f t="shared" ca="1" si="70"/>
        <v>1</v>
      </c>
      <c r="F434" s="506">
        <f ca="1">IF(COUNTA(D$257:D433)=1,"",OFFSET(F432,-COUNTA(D$257:D433)+3,0))</f>
        <v>15</v>
      </c>
      <c r="G434" s="487"/>
      <c r="H434" s="487">
        <f t="shared" ca="1" si="71"/>
        <v>37</v>
      </c>
      <c r="I434" s="502" t="str">
        <f t="shared" ca="1" si="74"/>
        <v/>
      </c>
      <c r="J434" s="492" t="str">
        <f t="shared" ca="1" si="75"/>
        <v/>
      </c>
      <c r="K434" s="490" t="str">
        <f t="shared" ca="1" si="76"/>
        <v/>
      </c>
      <c r="L434" s="493">
        <f ca="1">IFERROR(CHOOSE(E434,'Outcome Indicators - Section C '!$K$7,'Outcome Indicators - Section C '!$O$7,'Outcome Indicators - Section C '!$S$7,'Outcome Indicators - Section C '!$W$7),"")</f>
        <v>2021</v>
      </c>
      <c r="M434" s="504" t="str">
        <f t="shared" ca="1" si="77"/>
        <v/>
      </c>
      <c r="N434" s="493" t="str">
        <f t="shared" ca="1" si="78"/>
        <v/>
      </c>
      <c r="O434" s="487"/>
      <c r="P434" s="487">
        <f t="shared" si="72"/>
        <v>0</v>
      </c>
      <c r="Q434" s="493"/>
    </row>
    <row r="435" spans="1:33" x14ac:dyDescent="0.3">
      <c r="A435" s="487" t="b">
        <f t="shared" ca="1" si="73"/>
        <v>0</v>
      </c>
      <c r="B435" s="501">
        <f t="shared" si="69"/>
        <v>86</v>
      </c>
      <c r="C435" s="507" t="str">
        <f ca="1">IF(COUNTA(D$257:D434)=1,"",OFFSET(B433,-COUNTA(D$257:D434)+3,1))</f>
        <v>a1W3p000004PcKeEAK</v>
      </c>
      <c r="D435" s="487"/>
      <c r="E435" s="487">
        <f t="shared" ca="1" si="70"/>
        <v>2</v>
      </c>
      <c r="F435" s="506">
        <f ca="1">IF(COUNTA(D$257:D434)=1,"",OFFSET(F433,-COUNTA(D$257:D434)+3,0))</f>
        <v>15</v>
      </c>
      <c r="G435" s="487"/>
      <c r="H435" s="487">
        <f t="shared" ca="1" si="71"/>
        <v>37</v>
      </c>
      <c r="I435" s="502" t="str">
        <f t="shared" ca="1" si="74"/>
        <v/>
      </c>
      <c r="J435" s="492" t="str">
        <f t="shared" ca="1" si="75"/>
        <v/>
      </c>
      <c r="K435" s="490" t="str">
        <f t="shared" ca="1" si="76"/>
        <v/>
      </c>
      <c r="L435" s="493">
        <f ca="1">IFERROR(CHOOSE(E435,'Outcome Indicators - Section C '!$K$7,'Outcome Indicators - Section C '!$O$7,'Outcome Indicators - Section C '!$S$7,'Outcome Indicators - Section C '!$W$7),"")</f>
        <v>2022</v>
      </c>
      <c r="M435" s="504" t="str">
        <f t="shared" ca="1" si="77"/>
        <v/>
      </c>
      <c r="N435" s="493" t="str">
        <f t="shared" ca="1" si="78"/>
        <v/>
      </c>
      <c r="O435" s="487"/>
      <c r="P435" s="487">
        <f t="shared" si="72"/>
        <v>0</v>
      </c>
      <c r="Q435" s="493"/>
    </row>
    <row r="436" spans="1:33" x14ac:dyDescent="0.3">
      <c r="A436" s="487" t="b">
        <f t="shared" ca="1" si="73"/>
        <v>0</v>
      </c>
      <c r="B436" s="501">
        <f t="shared" si="69"/>
        <v>87</v>
      </c>
      <c r="C436" s="507" t="str">
        <f ca="1">IF(COUNTA(D$257:D435)=1,"",OFFSET(B434,-COUNTA(D$257:D435)+3,1))</f>
        <v>a1W3p000004PcKtEAK</v>
      </c>
      <c r="D436" s="487"/>
      <c r="E436" s="487">
        <f t="shared" ca="1" si="70"/>
        <v>3</v>
      </c>
      <c r="F436" s="506">
        <f ca="1">IF(COUNTA(D$257:D435)=1,"",OFFSET(F434,-COUNTA(D$257:D435)+3,0))</f>
        <v>15</v>
      </c>
      <c r="G436" s="487"/>
      <c r="H436" s="487">
        <f t="shared" ca="1" si="71"/>
        <v>37</v>
      </c>
      <c r="I436" s="502" t="str">
        <f t="shared" ca="1" si="74"/>
        <v/>
      </c>
      <c r="J436" s="492" t="str">
        <f t="shared" ca="1" si="75"/>
        <v/>
      </c>
      <c r="K436" s="490" t="str">
        <f t="shared" ca="1" si="76"/>
        <v/>
      </c>
      <c r="L436" s="493">
        <f ca="1">IFERROR(CHOOSE(E436,'Outcome Indicators - Section C '!$K$7,'Outcome Indicators - Section C '!$O$7,'Outcome Indicators - Section C '!$S$7,'Outcome Indicators - Section C '!$W$7),"")</f>
        <v>2023</v>
      </c>
      <c r="M436" s="504" t="str">
        <f t="shared" ca="1" si="77"/>
        <v/>
      </c>
      <c r="N436" s="493" t="str">
        <f t="shared" ca="1" si="78"/>
        <v/>
      </c>
      <c r="O436" s="487"/>
      <c r="P436" s="487">
        <f t="shared" si="72"/>
        <v>0</v>
      </c>
      <c r="Q436" s="493"/>
    </row>
    <row r="437" spans="1:33" x14ac:dyDescent="0.3">
      <c r="A437" s="487" t="b">
        <f t="shared" ca="1" si="73"/>
        <v>0</v>
      </c>
      <c r="B437" s="501">
        <f t="shared" si="69"/>
        <v>88</v>
      </c>
      <c r="C437" s="507" t="str">
        <f ca="1">IF(COUNTA(D$257:D436)=1,"",OFFSET(B435,-COUNTA(D$257:D436)+3,1))</f>
        <v>a1W3p000004PcL8EAK</v>
      </c>
      <c r="D437" s="487"/>
      <c r="E437" s="487">
        <f t="shared" ca="1" si="70"/>
        <v>4</v>
      </c>
      <c r="F437" s="506">
        <f ca="1">IF(COUNTA(D$257:D436)=1,"",OFFSET(F435,-COUNTA(D$257:D436)+3,0))</f>
        <v>15</v>
      </c>
      <c r="G437" s="487"/>
      <c r="H437" s="487">
        <f t="shared" ca="1" si="71"/>
        <v>37</v>
      </c>
      <c r="I437" s="502" t="str">
        <f t="shared" ca="1" si="74"/>
        <v/>
      </c>
      <c r="J437" s="492" t="str">
        <f t="shared" ca="1" si="75"/>
        <v/>
      </c>
      <c r="K437" s="490" t="str">
        <f t="shared" ca="1" si="76"/>
        <v/>
      </c>
      <c r="L437" s="493" t="str">
        <f ca="1">IFERROR(CHOOSE(E437,'Outcome Indicators - Section C '!$K$7,'Outcome Indicators - Section C '!$O$7,'Outcome Indicators - Section C '!$S$7,'Outcome Indicators - Section C '!$W$7),"")</f>
        <v/>
      </c>
      <c r="M437" s="504" t="str">
        <f t="shared" ca="1" si="77"/>
        <v/>
      </c>
      <c r="N437" s="493" t="str">
        <f t="shared" ca="1" si="78"/>
        <v/>
      </c>
      <c r="O437" s="487"/>
      <c r="P437" s="487">
        <f t="shared" si="72"/>
        <v>0</v>
      </c>
      <c r="Q437" s="493"/>
    </row>
    <row r="438" spans="1:33" x14ac:dyDescent="0.3">
      <c r="A438" s="487" t="b">
        <f t="shared" ca="1" si="73"/>
        <v>0</v>
      </c>
      <c r="B438" s="501">
        <f t="shared" si="69"/>
        <v>89</v>
      </c>
      <c r="C438" s="507" t="str">
        <f ca="1">IF(COUNTA(D$257:D437)=1,"",OFFSET(B436,-COUNTA(D$257:D437)+3,1))</f>
        <v>a1W3p000004PcLNEA0</v>
      </c>
      <c r="D438" s="487"/>
      <c r="E438" s="487">
        <f t="shared" ca="1" si="70"/>
        <v>5</v>
      </c>
      <c r="F438" s="506">
        <f ca="1">IF(COUNTA(D$257:D437)=1,"",OFFSET(F436,-COUNTA(D$257:D437)+3,0))</f>
        <v>15</v>
      </c>
      <c r="G438" s="487"/>
      <c r="H438" s="487">
        <f t="shared" ca="1" si="71"/>
        <v>37</v>
      </c>
      <c r="I438" s="502" t="str">
        <f t="shared" ca="1" si="74"/>
        <v/>
      </c>
      <c r="J438" s="492" t="str">
        <f t="shared" ca="1" si="75"/>
        <v/>
      </c>
      <c r="K438" s="490" t="str">
        <f t="shared" ca="1" si="76"/>
        <v/>
      </c>
      <c r="L438" s="493" t="str">
        <f ca="1">IFERROR(CHOOSE(E438,'Outcome Indicators - Section C '!$K$7,'Outcome Indicators - Section C '!$O$7,'Outcome Indicators - Section C '!$S$7,'Outcome Indicators - Section C '!$W$7),"")</f>
        <v/>
      </c>
      <c r="M438" s="504" t="str">
        <f t="shared" ca="1" si="77"/>
        <v/>
      </c>
      <c r="N438" s="493" t="str">
        <f t="shared" ca="1" si="78"/>
        <v/>
      </c>
      <c r="O438" s="487"/>
      <c r="P438" s="487">
        <f t="shared" si="72"/>
        <v>0</v>
      </c>
      <c r="Q438" s="493"/>
    </row>
    <row r="439" spans="1:33" x14ac:dyDescent="0.3">
      <c r="A439" s="487" t="b">
        <f t="shared" ca="1" si="73"/>
        <v>0</v>
      </c>
      <c r="B439" s="501">
        <f t="shared" si="69"/>
        <v>90</v>
      </c>
      <c r="C439" s="507" t="str">
        <f ca="1">IF(COUNTA(D$257:D438)=1,"",OFFSET(B437,-COUNTA(D$257:D438)+3,1))</f>
        <v>a1W3p000004PcLcEAK</v>
      </c>
      <c r="D439" s="487"/>
      <c r="E439" s="487">
        <f t="shared" ca="1" si="70"/>
        <v>6</v>
      </c>
      <c r="F439" s="506">
        <f ca="1">IF(COUNTA(D$257:D438)=1,"",OFFSET(F437,-COUNTA(D$257:D438)+3,0))</f>
        <v>15</v>
      </c>
      <c r="G439" s="487"/>
      <c r="H439" s="487">
        <f t="shared" ca="1" si="71"/>
        <v>37</v>
      </c>
      <c r="I439" s="502" t="str">
        <f t="shared" ca="1" si="74"/>
        <v/>
      </c>
      <c r="J439" s="492" t="str">
        <f t="shared" ca="1" si="75"/>
        <v/>
      </c>
      <c r="K439" s="490" t="str">
        <f t="shared" ca="1" si="76"/>
        <v/>
      </c>
      <c r="L439" s="493" t="str">
        <f ca="1">IFERROR(CHOOSE(E439,'Outcome Indicators - Section C '!$K$7,'Outcome Indicators - Section C '!$O$7,'Outcome Indicators - Section C '!$S$7,'Outcome Indicators - Section C '!$W$7),"")</f>
        <v/>
      </c>
      <c r="M439" s="504" t="str">
        <f t="shared" ca="1" si="77"/>
        <v/>
      </c>
      <c r="N439" s="493" t="str">
        <f t="shared" ca="1" si="78"/>
        <v/>
      </c>
      <c r="O439" s="487"/>
      <c r="P439" s="487">
        <f t="shared" si="72"/>
        <v>0</v>
      </c>
      <c r="Q439" s="493"/>
    </row>
    <row r="442" spans="1:33" x14ac:dyDescent="0.3">
      <c r="J442" s="486" t="str">
        <f ca="1">IF(ROW()&gt;'Impact Indicator Target Update'!A12,"",INDIRECT("'Impact Indicators - Section B'!A"&amp;'Impact Indicator Target Update'!D12))</f>
        <v/>
      </c>
    </row>
    <row r="443" spans="1:33" x14ac:dyDescent="0.3">
      <c r="A443" s="497" t="s">
        <v>323</v>
      </c>
      <c r="B443" s="486" t="s">
        <v>357</v>
      </c>
      <c r="H443" s="486" t="s">
        <v>1266</v>
      </c>
      <c r="J443" s="486" t="str">
        <f ca="1">IF(ROW()&gt;'Impact Indicator Target Update'!A13,"",INDIRECT("'Impact Indicators - Section B'!A"&amp;'Impact Indicator Target Update'!D13))</f>
        <v/>
      </c>
    </row>
    <row r="444" spans="1:33" x14ac:dyDescent="0.3">
      <c r="A444" s="487" t="s">
        <v>46</v>
      </c>
      <c r="B444" s="488">
        <v>5</v>
      </c>
      <c r="C444" s="487" t="s">
        <v>48</v>
      </c>
      <c r="D444" s="487" t="s">
        <v>4</v>
      </c>
      <c r="E444" s="487" t="s">
        <v>3</v>
      </c>
      <c r="F444" s="487" t="s">
        <v>2</v>
      </c>
      <c r="G444" s="487" t="s">
        <v>18</v>
      </c>
      <c r="H444" s="487">
        <v>1</v>
      </c>
      <c r="I444" s="487" t="s">
        <v>332</v>
      </c>
      <c r="J444" s="487" t="s">
        <v>147</v>
      </c>
      <c r="K444" s="487" t="s">
        <v>348</v>
      </c>
      <c r="L444" s="487" t="s">
        <v>146</v>
      </c>
      <c r="M444" s="487" t="s">
        <v>350</v>
      </c>
      <c r="N444" s="487" t="s">
        <v>351</v>
      </c>
      <c r="O444" s="487" t="s">
        <v>39</v>
      </c>
      <c r="P444" s="487" t="s">
        <v>360</v>
      </c>
      <c r="Q444" s="487" t="s">
        <v>361</v>
      </c>
      <c r="R444" s="487" t="s">
        <v>363</v>
      </c>
      <c r="S444" s="487" t="s">
        <v>188</v>
      </c>
      <c r="T444" s="487" t="s">
        <v>476</v>
      </c>
      <c r="U444" s="487" t="s">
        <v>473</v>
      </c>
      <c r="V444" s="487" t="s">
        <v>474</v>
      </c>
      <c r="W444" s="487" t="s">
        <v>1257</v>
      </c>
      <c r="X444" s="487" t="s">
        <v>1259</v>
      </c>
      <c r="Y444" s="487"/>
      <c r="Z444" s="487"/>
      <c r="AA444" s="487" t="s">
        <v>1269</v>
      </c>
      <c r="AB444" s="487" t="s">
        <v>1271</v>
      </c>
      <c r="AC444" s="487">
        <v>-1</v>
      </c>
      <c r="AD444" s="487" t="s">
        <v>354</v>
      </c>
      <c r="AE444" s="487"/>
      <c r="AF444" s="487" t="s">
        <v>25</v>
      </c>
      <c r="AG444" s="487" t="s">
        <v>60</v>
      </c>
    </row>
    <row r="445" spans="1:33" hidden="1" x14ac:dyDescent="0.3">
      <c r="A445" s="487" t="b">
        <f ca="1">IF(AND(OR(D445&lt;&gt;"",E445&lt;&gt;"",F445&lt;&gt;""),OR(J445&lt;&gt;"",N445&lt;&gt;"")),TRUE,FALSE)</f>
        <v>0</v>
      </c>
      <c r="B445" s="488">
        <f>IF(_xlfn.ISFORMULA(I445),B444+2,B444)</f>
        <v>7</v>
      </c>
      <c r="C445" s="487" t="str">
        <f>IFERROR(IF(AND(H445=2,B445=7),"blank",INDEX(C$444:C445,H445,1)),"")</f>
        <v>blank</v>
      </c>
      <c r="D445" s="490" t="str">
        <f ca="1">IFERROR(IF(INDIRECT("'Coverage Indicators - Section D'!G"&amp;$B445)=0,"",INDIRECT("'Coverage Indicators - Section D'!G"&amp;$B445)*100),"")</f>
        <v/>
      </c>
      <c r="E445" s="502" t="str">
        <f ca="1">IFERROR(IF(INDIRECT("'Coverage Indicators - Section D'!F"&amp;$B445+1)=0,"",INDIRECT("'Coverage Indicators - Section D'!F"&amp;$B445+1)),"")</f>
        <v>Référence #N
Référence #D</v>
      </c>
      <c r="F445" s="502" t="str">
        <f ca="1">IFERROR(IF(INDIRECT("'Coverage Indicators - Section D'!F"&amp;$B445)=0,"",INDIRECT("'Coverage Indicators - Section D'!F"&amp;$B445)),"")</f>
        <v/>
      </c>
      <c r="G445" s="493" t="str">
        <f ca="1">IFERROR(IF(INDIRECT("'Coverage Indicators - Section D'!AO"&amp;$B445)=0,"",INDIRECT("'Coverage Indicators - Section D'!AO"&amp;$B445)),"")</f>
        <v/>
      </c>
      <c r="H445" s="488">
        <f>IF(_xlfn.ISFORMULA(I445),H444+1,H444)</f>
        <v>2</v>
      </c>
      <c r="I445" s="493" t="str">
        <f ca="1">IFERROR(IF(INDIRECT("'Coverage Indicators - Section D'!AP"&amp;$B445)=0,"",INDIRECT("'Coverage Indicators - Section D'!AP"&amp;$B445)),"")</f>
        <v/>
      </c>
      <c r="J445" s="487" t="str">
        <f ca="1">IFERROR(VLOOKUP(INDIRECT("'Coverage Indicators - Section D'!D"&amp;$B445),'Reference Records'!C1:F152,4,0),"")</f>
        <v/>
      </c>
      <c r="K445" s="487" t="str">
        <f ca="1">IFERROR(VLOOKUP(IF(INDIRECT("'Coverage Indicators - Section D'!B"&amp;$B445)="","--select--",INDIRECT("'Coverage Indicators - Section D'!B"&amp;$B445)),'Overview - Section A'!C$100:D101,2,0),"")</f>
        <v/>
      </c>
      <c r="L445" s="493" t="str">
        <f ca="1">IFERROR(IF(INDIRECT("'Coverage Indicators - Section D'!H"&amp;$B445)=0,"",INDIRECT("'Coverage Indicators - Section D'!H"&amp;$B445)),"")</f>
        <v/>
      </c>
      <c r="M445" s="487" t="str">
        <f ca="1">IFERROR(VLOOKUP(INDIRECT("'Coverage Indicators - Section D'!C"&amp;$B445),'Reference Records'!C$509:F589,3,0),"")</f>
        <v/>
      </c>
      <c r="N445" s="493" t="str">
        <f ca="1">IFERROR(IF(INDIRECT("'Coverage Indicators - Section D'!AN"&amp;$B445)=0,"",INDIRECT("'Coverage Indicators - Section D'!AN"&amp;$B445)),"")</f>
        <v/>
      </c>
      <c r="O445" s="487" t="str">
        <f ca="1">IFERROR(IF(INDIRECT("'Coverage Indicators - Section D'!M"&amp;$B445)=0,"",INDIRECT("'Coverage Indicators - Section D'!M"&amp;$B445)),"")</f>
        <v/>
      </c>
      <c r="P445" s="493" t="str">
        <f ca="1">IFERROR(IF(INDIRECT("'Coverage Indicators - Section D'!M"&amp;$B445+1)=0,"",INDIRECT("'Coverage Indicators - Section D'!M"&amp;$B445+1)),"")</f>
        <v>Pays/ Portée des cibles</v>
      </c>
      <c r="Q445" s="493" t="str">
        <f ca="1">IFERROR(IF(INDIRECT("'Coverage Indicators - Section D'!N"&amp;$B445)=0,"",INDIRECT("'Coverage Indicators - Section D'!N"&amp;$B445)),"")</f>
        <v/>
      </c>
      <c r="R445" s="487" t="str">
        <f ca="1">IFERROR(IF(INDIRECT("'Coverage Indicators - Section D'!K"&amp;$B445)=0,"FALSE",IF(INDIRECT("'Coverage Indicators - Section D'!K"&amp;$B445)="Yes",TRUE,FALSE)),"")</f>
        <v>FALSE</v>
      </c>
      <c r="S445" s="493" t="str">
        <f ca="1">IFERROR(VLOOKUP(INDIRECT("'Coverage Indicators - Section D'!L"&amp;$B445),'Overview - Section A'!M$29:P40,4,0),IFERROR(IF(VLOOKUP(INDIRECT("'Coverage Indicators - Section D'!L"&amp;$B445),'Overview - Section A'!E$26:I28,5,0)=0,"",VLOOKUP(INDIRECT("'Coverage Indicators - Section D'!L"&amp;$B445),'Overview - Section A'!E$26:I28,5,0)),""))</f>
        <v/>
      </c>
      <c r="T445" s="493" t="str">
        <f ca="1">IFERROR(IF(INDIRECT("'Coverage Indicators - Section D'!E"&amp;$B445)=0,"",INDIRECT("'Coverage Indicators - Section D'!E"&amp;$B445)),"")</f>
        <v/>
      </c>
      <c r="U445" s="493" t="str">
        <f ca="1">IFERROR(IF(INDIRECT("'Coverage Indicators - Section D'!I"&amp;$B445)=0,"",INDIRECT("'Coverage Indicators - Section D'!I"&amp;$B445)),"")</f>
        <v/>
      </c>
      <c r="V445" s="493" t="str">
        <f ca="1">IFERROR(IF(INDIRECT("'Coverage Indicators - Section D'!AM"&amp;$B445)=0,"",INDIRECT("'Coverage Indicators - Section D'!AM"&amp;$B445)),"")</f>
        <v/>
      </c>
      <c r="W445" s="493" t="s">
        <v>1256</v>
      </c>
      <c r="X445" s="493" t="s">
        <v>1258</v>
      </c>
      <c r="Y445" s="487"/>
      <c r="Z445" s="487"/>
      <c r="AA445" s="493" t="s">
        <v>1268</v>
      </c>
      <c r="AB445" s="493" t="s">
        <v>1270</v>
      </c>
      <c r="AC445" s="487">
        <f>IF(NOT(_xlfn.ISFORMULA(C445)),AC444+1,0)</f>
        <v>0</v>
      </c>
      <c r="AD445" s="487" t="s">
        <v>353</v>
      </c>
      <c r="AE445" s="487"/>
      <c r="AF445" s="502" t="s">
        <v>1285</v>
      </c>
      <c r="AG445" s="493" t="s">
        <v>1286</v>
      </c>
    </row>
    <row r="446" spans="1:33" x14ac:dyDescent="0.3">
      <c r="A446" s="487" t="b">
        <v>0</v>
      </c>
      <c r="B446" s="488">
        <f t="shared" ref="B446:B505" si="79">IF(_xlfn.ISFORMULA(I446),B445+2,B445)</f>
        <v>7</v>
      </c>
      <c r="C446" s="487" t="s">
        <v>7160</v>
      </c>
      <c r="D446" s="490"/>
      <c r="E446" s="502"/>
      <c r="F446" s="502"/>
      <c r="G446" s="493"/>
      <c r="H446" s="488">
        <f t="shared" ref="H446:H505" si="80">IF(_xlfn.ISFORMULA(I446),H445+1,H445)</f>
        <v>2</v>
      </c>
      <c r="I446" s="493"/>
      <c r="J446" s="487"/>
      <c r="K446" s="487" t="s">
        <v>1384</v>
      </c>
      <c r="L446" s="493"/>
      <c r="M446" s="487"/>
      <c r="N446" s="493"/>
      <c r="O446" s="487"/>
      <c r="P446" s="493"/>
      <c r="Q446" s="493"/>
      <c r="R446" s="487" t="b">
        <v>0</v>
      </c>
      <c r="S446" s="493"/>
      <c r="T446" s="493"/>
      <c r="U446" s="493"/>
      <c r="V446" s="493"/>
      <c r="W446" s="493"/>
      <c r="X446" s="493"/>
      <c r="Y446" s="487"/>
      <c r="Z446" s="487"/>
      <c r="AA446" s="493"/>
      <c r="AB446" s="493"/>
      <c r="AC446" s="487">
        <f t="shared" ref="AC446:AC505" si="81">IF(NOT(_xlfn.ISFORMULA(C446)),AC445+1,0)</f>
        <v>1</v>
      </c>
      <c r="AD446" s="487"/>
      <c r="AE446" s="487"/>
      <c r="AF446" s="502">
        <v>1</v>
      </c>
      <c r="AG446" s="493"/>
    </row>
    <row r="447" spans="1:33" x14ac:dyDescent="0.3">
      <c r="A447" s="487" t="b">
        <v>0</v>
      </c>
      <c r="B447" s="488">
        <f t="shared" si="79"/>
        <v>7</v>
      </c>
      <c r="C447" s="487" t="s">
        <v>7161</v>
      </c>
      <c r="D447" s="490"/>
      <c r="E447" s="502"/>
      <c r="F447" s="502"/>
      <c r="G447" s="493"/>
      <c r="H447" s="488">
        <f t="shared" si="80"/>
        <v>2</v>
      </c>
      <c r="I447" s="493"/>
      <c r="J447" s="487"/>
      <c r="K447" s="487" t="s">
        <v>1384</v>
      </c>
      <c r="L447" s="493"/>
      <c r="M447" s="487"/>
      <c r="N447" s="493"/>
      <c r="O447" s="487"/>
      <c r="P447" s="493"/>
      <c r="Q447" s="493"/>
      <c r="R447" s="487" t="b">
        <v>0</v>
      </c>
      <c r="S447" s="493"/>
      <c r="T447" s="493"/>
      <c r="U447" s="493"/>
      <c r="V447" s="493"/>
      <c r="W447" s="493"/>
      <c r="X447" s="493"/>
      <c r="Y447" s="487"/>
      <c r="Z447" s="487"/>
      <c r="AA447" s="493"/>
      <c r="AB447" s="493"/>
      <c r="AC447" s="487">
        <f t="shared" si="81"/>
        <v>2</v>
      </c>
      <c r="AD447" s="487"/>
      <c r="AE447" s="487"/>
      <c r="AF447" s="502">
        <v>2</v>
      </c>
      <c r="AG447" s="493"/>
    </row>
    <row r="448" spans="1:33" x14ac:dyDescent="0.3">
      <c r="A448" s="487" t="b">
        <v>0</v>
      </c>
      <c r="B448" s="488">
        <f t="shared" si="79"/>
        <v>7</v>
      </c>
      <c r="C448" s="487" t="s">
        <v>7162</v>
      </c>
      <c r="D448" s="490"/>
      <c r="E448" s="502"/>
      <c r="F448" s="502"/>
      <c r="G448" s="493"/>
      <c r="H448" s="488">
        <f t="shared" si="80"/>
        <v>2</v>
      </c>
      <c r="I448" s="493"/>
      <c r="J448" s="487"/>
      <c r="K448" s="487" t="s">
        <v>1384</v>
      </c>
      <c r="L448" s="493"/>
      <c r="M448" s="487"/>
      <c r="N448" s="493"/>
      <c r="O448" s="487"/>
      <c r="P448" s="493"/>
      <c r="Q448" s="493"/>
      <c r="R448" s="487" t="b">
        <v>0</v>
      </c>
      <c r="S448" s="493"/>
      <c r="T448" s="493"/>
      <c r="U448" s="493"/>
      <c r="V448" s="493"/>
      <c r="W448" s="493"/>
      <c r="X448" s="493"/>
      <c r="Y448" s="487"/>
      <c r="Z448" s="487"/>
      <c r="AA448" s="493"/>
      <c r="AB448" s="493"/>
      <c r="AC448" s="487">
        <f t="shared" si="81"/>
        <v>3</v>
      </c>
      <c r="AD448" s="487"/>
      <c r="AE448" s="487"/>
      <c r="AF448" s="502">
        <v>3</v>
      </c>
      <c r="AG448" s="493"/>
    </row>
    <row r="449" spans="1:33" x14ac:dyDescent="0.3">
      <c r="A449" s="487" t="b">
        <v>0</v>
      </c>
      <c r="B449" s="488">
        <f t="shared" si="79"/>
        <v>7</v>
      </c>
      <c r="C449" s="487" t="s">
        <v>7163</v>
      </c>
      <c r="D449" s="490"/>
      <c r="E449" s="502"/>
      <c r="F449" s="502"/>
      <c r="G449" s="493"/>
      <c r="H449" s="488">
        <f t="shared" si="80"/>
        <v>2</v>
      </c>
      <c r="I449" s="493"/>
      <c r="J449" s="487"/>
      <c r="K449" s="487" t="s">
        <v>1384</v>
      </c>
      <c r="L449" s="493"/>
      <c r="M449" s="487"/>
      <c r="N449" s="493"/>
      <c r="O449" s="487"/>
      <c r="P449" s="493"/>
      <c r="Q449" s="493"/>
      <c r="R449" s="487" t="b">
        <v>0</v>
      </c>
      <c r="S449" s="493"/>
      <c r="T449" s="493"/>
      <c r="U449" s="493"/>
      <c r="V449" s="493"/>
      <c r="W449" s="493"/>
      <c r="X449" s="493"/>
      <c r="Y449" s="487"/>
      <c r="Z449" s="487"/>
      <c r="AA449" s="493"/>
      <c r="AB449" s="493"/>
      <c r="AC449" s="487">
        <f t="shared" si="81"/>
        <v>4</v>
      </c>
      <c r="AD449" s="487"/>
      <c r="AE449" s="487"/>
      <c r="AF449" s="502">
        <v>4</v>
      </c>
      <c r="AG449" s="493"/>
    </row>
    <row r="450" spans="1:33" x14ac:dyDescent="0.3">
      <c r="A450" s="487" t="b">
        <v>0</v>
      </c>
      <c r="B450" s="488">
        <f t="shared" si="79"/>
        <v>7</v>
      </c>
      <c r="C450" s="487" t="s">
        <v>7164</v>
      </c>
      <c r="D450" s="490"/>
      <c r="E450" s="502"/>
      <c r="F450" s="502"/>
      <c r="G450" s="493"/>
      <c r="H450" s="488">
        <f t="shared" si="80"/>
        <v>2</v>
      </c>
      <c r="I450" s="493"/>
      <c r="J450" s="487"/>
      <c r="K450" s="487" t="s">
        <v>1384</v>
      </c>
      <c r="L450" s="493"/>
      <c r="M450" s="487"/>
      <c r="N450" s="493"/>
      <c r="O450" s="487"/>
      <c r="P450" s="493"/>
      <c r="Q450" s="493"/>
      <c r="R450" s="487" t="b">
        <v>0</v>
      </c>
      <c r="S450" s="493"/>
      <c r="T450" s="493"/>
      <c r="U450" s="493"/>
      <c r="V450" s="493"/>
      <c r="W450" s="493"/>
      <c r="X450" s="493"/>
      <c r="Y450" s="487"/>
      <c r="Z450" s="487"/>
      <c r="AA450" s="493"/>
      <c r="AB450" s="493"/>
      <c r="AC450" s="487">
        <f t="shared" si="81"/>
        <v>5</v>
      </c>
      <c r="AD450" s="487"/>
      <c r="AE450" s="487"/>
      <c r="AF450" s="502">
        <v>5</v>
      </c>
      <c r="AG450" s="493"/>
    </row>
    <row r="451" spans="1:33" x14ac:dyDescent="0.3">
      <c r="A451" s="487" t="b">
        <v>0</v>
      </c>
      <c r="B451" s="488">
        <f t="shared" si="79"/>
        <v>7</v>
      </c>
      <c r="C451" s="487" t="s">
        <v>7165</v>
      </c>
      <c r="D451" s="490"/>
      <c r="E451" s="502"/>
      <c r="F451" s="502"/>
      <c r="G451" s="493"/>
      <c r="H451" s="488">
        <f t="shared" si="80"/>
        <v>2</v>
      </c>
      <c r="I451" s="493"/>
      <c r="J451" s="487"/>
      <c r="K451" s="487" t="s">
        <v>1384</v>
      </c>
      <c r="L451" s="493"/>
      <c r="M451" s="487"/>
      <c r="N451" s="493"/>
      <c r="O451" s="487"/>
      <c r="P451" s="493"/>
      <c r="Q451" s="493"/>
      <c r="R451" s="487" t="b">
        <v>0</v>
      </c>
      <c r="S451" s="493"/>
      <c r="T451" s="493"/>
      <c r="U451" s="493"/>
      <c r="V451" s="493"/>
      <c r="W451" s="493"/>
      <c r="X451" s="493"/>
      <c r="Y451" s="487"/>
      <c r="Z451" s="487"/>
      <c r="AA451" s="493"/>
      <c r="AB451" s="493"/>
      <c r="AC451" s="487">
        <f t="shared" si="81"/>
        <v>6</v>
      </c>
      <c r="AD451" s="487"/>
      <c r="AE451" s="487"/>
      <c r="AF451" s="502">
        <v>6</v>
      </c>
      <c r="AG451" s="493"/>
    </row>
    <row r="452" spans="1:33" x14ac:dyDescent="0.3">
      <c r="A452" s="487" t="b">
        <v>0</v>
      </c>
      <c r="B452" s="488">
        <f t="shared" si="79"/>
        <v>7</v>
      </c>
      <c r="C452" s="487" t="s">
        <v>7166</v>
      </c>
      <c r="D452" s="490"/>
      <c r="E452" s="502"/>
      <c r="F452" s="502"/>
      <c r="G452" s="493"/>
      <c r="H452" s="488">
        <f t="shared" si="80"/>
        <v>2</v>
      </c>
      <c r="I452" s="493"/>
      <c r="J452" s="487"/>
      <c r="K452" s="487" t="s">
        <v>1384</v>
      </c>
      <c r="L452" s="493"/>
      <c r="M452" s="487"/>
      <c r="N452" s="493"/>
      <c r="O452" s="487"/>
      <c r="P452" s="493"/>
      <c r="Q452" s="493"/>
      <c r="R452" s="487" t="b">
        <v>0</v>
      </c>
      <c r="S452" s="493"/>
      <c r="T452" s="493"/>
      <c r="U452" s="493"/>
      <c r="V452" s="493"/>
      <c r="W452" s="493"/>
      <c r="X452" s="493"/>
      <c r="Y452" s="487"/>
      <c r="Z452" s="487"/>
      <c r="AA452" s="493"/>
      <c r="AB452" s="493"/>
      <c r="AC452" s="487">
        <f t="shared" si="81"/>
        <v>7</v>
      </c>
      <c r="AD452" s="487"/>
      <c r="AE452" s="487"/>
      <c r="AF452" s="502">
        <v>7</v>
      </c>
      <c r="AG452" s="493"/>
    </row>
    <row r="453" spans="1:33" x14ac:dyDescent="0.3">
      <c r="A453" s="487" t="b">
        <v>0</v>
      </c>
      <c r="B453" s="488">
        <f t="shared" si="79"/>
        <v>7</v>
      </c>
      <c r="C453" s="487" t="s">
        <v>7167</v>
      </c>
      <c r="D453" s="490"/>
      <c r="E453" s="502"/>
      <c r="F453" s="502"/>
      <c r="G453" s="493"/>
      <c r="H453" s="488">
        <f t="shared" si="80"/>
        <v>2</v>
      </c>
      <c r="I453" s="493"/>
      <c r="J453" s="487"/>
      <c r="K453" s="487" t="s">
        <v>1384</v>
      </c>
      <c r="L453" s="493"/>
      <c r="M453" s="487"/>
      <c r="N453" s="493"/>
      <c r="O453" s="487"/>
      <c r="P453" s="493"/>
      <c r="Q453" s="493"/>
      <c r="R453" s="487" t="b">
        <v>0</v>
      </c>
      <c r="S453" s="493"/>
      <c r="T453" s="493"/>
      <c r="U453" s="493"/>
      <c r="V453" s="493"/>
      <c r="W453" s="493"/>
      <c r="X453" s="493"/>
      <c r="Y453" s="487"/>
      <c r="Z453" s="487"/>
      <c r="AA453" s="493"/>
      <c r="AB453" s="493"/>
      <c r="AC453" s="487">
        <f t="shared" si="81"/>
        <v>8</v>
      </c>
      <c r="AD453" s="487"/>
      <c r="AE453" s="487"/>
      <c r="AF453" s="502">
        <v>8</v>
      </c>
      <c r="AG453" s="493"/>
    </row>
    <row r="454" spans="1:33" x14ac:dyDescent="0.3">
      <c r="A454" s="487" t="b">
        <v>0</v>
      </c>
      <c r="B454" s="488">
        <f t="shared" si="79"/>
        <v>7</v>
      </c>
      <c r="C454" s="487" t="s">
        <v>7168</v>
      </c>
      <c r="D454" s="490"/>
      <c r="E454" s="502"/>
      <c r="F454" s="502"/>
      <c r="G454" s="493"/>
      <c r="H454" s="488">
        <f t="shared" si="80"/>
        <v>2</v>
      </c>
      <c r="I454" s="493"/>
      <c r="J454" s="487"/>
      <c r="K454" s="487" t="s">
        <v>1384</v>
      </c>
      <c r="L454" s="493"/>
      <c r="M454" s="487"/>
      <c r="N454" s="493"/>
      <c r="O454" s="487"/>
      <c r="P454" s="493"/>
      <c r="Q454" s="493"/>
      <c r="R454" s="487" t="b">
        <v>0</v>
      </c>
      <c r="S454" s="493"/>
      <c r="T454" s="493"/>
      <c r="U454" s="493"/>
      <c r="V454" s="493"/>
      <c r="W454" s="493"/>
      <c r="X454" s="493"/>
      <c r="Y454" s="487"/>
      <c r="Z454" s="487"/>
      <c r="AA454" s="493"/>
      <c r="AB454" s="493"/>
      <c r="AC454" s="487">
        <f t="shared" si="81"/>
        <v>9</v>
      </c>
      <c r="AD454" s="487"/>
      <c r="AE454" s="487"/>
      <c r="AF454" s="502">
        <v>9</v>
      </c>
      <c r="AG454" s="493"/>
    </row>
    <row r="455" spans="1:33" x14ac:dyDescent="0.3">
      <c r="A455" s="487" t="b">
        <v>0</v>
      </c>
      <c r="B455" s="488">
        <f t="shared" si="79"/>
        <v>7</v>
      </c>
      <c r="C455" s="487" t="s">
        <v>7169</v>
      </c>
      <c r="D455" s="490"/>
      <c r="E455" s="502"/>
      <c r="F455" s="502"/>
      <c r="G455" s="493"/>
      <c r="H455" s="488">
        <f t="shared" si="80"/>
        <v>2</v>
      </c>
      <c r="I455" s="493"/>
      <c r="J455" s="487"/>
      <c r="K455" s="487" t="s">
        <v>1384</v>
      </c>
      <c r="L455" s="493"/>
      <c r="M455" s="487"/>
      <c r="N455" s="493"/>
      <c r="O455" s="487"/>
      <c r="P455" s="493"/>
      <c r="Q455" s="493"/>
      <c r="R455" s="487" t="b">
        <v>0</v>
      </c>
      <c r="S455" s="493"/>
      <c r="T455" s="493"/>
      <c r="U455" s="493"/>
      <c r="V455" s="493"/>
      <c r="W455" s="493"/>
      <c r="X455" s="493"/>
      <c r="Y455" s="487"/>
      <c r="Z455" s="487"/>
      <c r="AA455" s="493"/>
      <c r="AB455" s="493"/>
      <c r="AC455" s="487">
        <f t="shared" si="81"/>
        <v>10</v>
      </c>
      <c r="AD455" s="487"/>
      <c r="AE455" s="487"/>
      <c r="AF455" s="502">
        <v>10</v>
      </c>
      <c r="AG455" s="493"/>
    </row>
    <row r="456" spans="1:33" x14ac:dyDescent="0.3">
      <c r="A456" s="487" t="b">
        <v>0</v>
      </c>
      <c r="B456" s="488">
        <f t="shared" si="79"/>
        <v>7</v>
      </c>
      <c r="C456" s="487" t="s">
        <v>7170</v>
      </c>
      <c r="D456" s="490"/>
      <c r="E456" s="502"/>
      <c r="F456" s="502"/>
      <c r="G456" s="493"/>
      <c r="H456" s="488">
        <f t="shared" si="80"/>
        <v>2</v>
      </c>
      <c r="I456" s="493"/>
      <c r="J456" s="487"/>
      <c r="K456" s="487" t="s">
        <v>1384</v>
      </c>
      <c r="L456" s="493"/>
      <c r="M456" s="487"/>
      <c r="N456" s="493"/>
      <c r="O456" s="487"/>
      <c r="P456" s="493"/>
      <c r="Q456" s="493"/>
      <c r="R456" s="487" t="b">
        <v>0</v>
      </c>
      <c r="S456" s="493"/>
      <c r="T456" s="493"/>
      <c r="U456" s="493"/>
      <c r="V456" s="493"/>
      <c r="W456" s="493"/>
      <c r="X456" s="493"/>
      <c r="Y456" s="487"/>
      <c r="Z456" s="487"/>
      <c r="AA456" s="493"/>
      <c r="AB456" s="493"/>
      <c r="AC456" s="487">
        <f t="shared" si="81"/>
        <v>11</v>
      </c>
      <c r="AD456" s="487"/>
      <c r="AE456" s="487"/>
      <c r="AF456" s="502">
        <v>11</v>
      </c>
      <c r="AG456" s="493"/>
    </row>
    <row r="457" spans="1:33" x14ac:dyDescent="0.3">
      <c r="A457" s="487" t="b">
        <v>0</v>
      </c>
      <c r="B457" s="488">
        <f t="shared" si="79"/>
        <v>7</v>
      </c>
      <c r="C457" s="487" t="s">
        <v>7171</v>
      </c>
      <c r="D457" s="490"/>
      <c r="E457" s="502"/>
      <c r="F457" s="502"/>
      <c r="G457" s="493"/>
      <c r="H457" s="488">
        <f t="shared" si="80"/>
        <v>2</v>
      </c>
      <c r="I457" s="493"/>
      <c r="J457" s="487"/>
      <c r="K457" s="487" t="s">
        <v>1384</v>
      </c>
      <c r="L457" s="493"/>
      <c r="M457" s="487"/>
      <c r="N457" s="493"/>
      <c r="O457" s="487"/>
      <c r="P457" s="493"/>
      <c r="Q457" s="493"/>
      <c r="R457" s="487" t="b">
        <v>0</v>
      </c>
      <c r="S457" s="493"/>
      <c r="T457" s="493"/>
      <c r="U457" s="493"/>
      <c r="V457" s="493"/>
      <c r="W457" s="493"/>
      <c r="X457" s="493"/>
      <c r="Y457" s="487"/>
      <c r="Z457" s="487"/>
      <c r="AA457" s="493"/>
      <c r="AB457" s="493"/>
      <c r="AC457" s="487">
        <f t="shared" si="81"/>
        <v>12</v>
      </c>
      <c r="AD457" s="487"/>
      <c r="AE457" s="487"/>
      <c r="AF457" s="502">
        <v>12</v>
      </c>
      <c r="AG457" s="493"/>
    </row>
    <row r="458" spans="1:33" x14ac:dyDescent="0.3">
      <c r="A458" s="487" t="b">
        <v>0</v>
      </c>
      <c r="B458" s="488">
        <f t="shared" si="79"/>
        <v>7</v>
      </c>
      <c r="C458" s="487" t="s">
        <v>7172</v>
      </c>
      <c r="D458" s="490"/>
      <c r="E458" s="502"/>
      <c r="F458" s="502"/>
      <c r="G458" s="493"/>
      <c r="H458" s="488">
        <f t="shared" si="80"/>
        <v>2</v>
      </c>
      <c r="I458" s="493"/>
      <c r="J458" s="487"/>
      <c r="K458" s="487" t="s">
        <v>1384</v>
      </c>
      <c r="L458" s="493"/>
      <c r="M458" s="487"/>
      <c r="N458" s="493"/>
      <c r="O458" s="487"/>
      <c r="P458" s="493"/>
      <c r="Q458" s="493"/>
      <c r="R458" s="487" t="b">
        <v>0</v>
      </c>
      <c r="S458" s="493"/>
      <c r="T458" s="493"/>
      <c r="U458" s="493"/>
      <c r="V458" s="493"/>
      <c r="W458" s="493"/>
      <c r="X458" s="493"/>
      <c r="Y458" s="487"/>
      <c r="Z458" s="487"/>
      <c r="AA458" s="493"/>
      <c r="AB458" s="493"/>
      <c r="AC458" s="487">
        <f t="shared" si="81"/>
        <v>13</v>
      </c>
      <c r="AD458" s="487"/>
      <c r="AE458" s="487"/>
      <c r="AF458" s="502">
        <v>13</v>
      </c>
      <c r="AG458" s="493"/>
    </row>
    <row r="459" spans="1:33" x14ac:dyDescent="0.3">
      <c r="A459" s="487" t="b">
        <v>0</v>
      </c>
      <c r="B459" s="488">
        <f t="shared" si="79"/>
        <v>7</v>
      </c>
      <c r="C459" s="487" t="s">
        <v>7173</v>
      </c>
      <c r="D459" s="490"/>
      <c r="E459" s="502"/>
      <c r="F459" s="502"/>
      <c r="G459" s="493"/>
      <c r="H459" s="488">
        <f t="shared" si="80"/>
        <v>2</v>
      </c>
      <c r="I459" s="493"/>
      <c r="J459" s="487"/>
      <c r="K459" s="487" t="s">
        <v>1384</v>
      </c>
      <c r="L459" s="493"/>
      <c r="M459" s="487"/>
      <c r="N459" s="493"/>
      <c r="O459" s="487"/>
      <c r="P459" s="493"/>
      <c r="Q459" s="493"/>
      <c r="R459" s="487" t="b">
        <v>0</v>
      </c>
      <c r="S459" s="493"/>
      <c r="T459" s="493"/>
      <c r="U459" s="493"/>
      <c r="V459" s="493"/>
      <c r="W459" s="493"/>
      <c r="X459" s="493"/>
      <c r="Y459" s="487"/>
      <c r="Z459" s="487"/>
      <c r="AA459" s="493"/>
      <c r="AB459" s="493"/>
      <c r="AC459" s="487">
        <f t="shared" si="81"/>
        <v>14</v>
      </c>
      <c r="AD459" s="487"/>
      <c r="AE459" s="487"/>
      <c r="AF459" s="502">
        <v>14</v>
      </c>
      <c r="AG459" s="493"/>
    </row>
    <row r="460" spans="1:33" x14ac:dyDescent="0.3">
      <c r="A460" s="487" t="b">
        <v>0</v>
      </c>
      <c r="B460" s="488">
        <f t="shared" si="79"/>
        <v>7</v>
      </c>
      <c r="C460" s="487" t="s">
        <v>7174</v>
      </c>
      <c r="D460" s="490"/>
      <c r="E460" s="502"/>
      <c r="F460" s="502"/>
      <c r="G460" s="493"/>
      <c r="H460" s="488">
        <f t="shared" si="80"/>
        <v>2</v>
      </c>
      <c r="I460" s="493"/>
      <c r="J460" s="487"/>
      <c r="K460" s="487" t="s">
        <v>1384</v>
      </c>
      <c r="L460" s="493"/>
      <c r="M460" s="487"/>
      <c r="N460" s="493"/>
      <c r="O460" s="487"/>
      <c r="P460" s="493"/>
      <c r="Q460" s="493"/>
      <c r="R460" s="487" t="b">
        <v>0</v>
      </c>
      <c r="S460" s="493"/>
      <c r="T460" s="493"/>
      <c r="U460" s="493"/>
      <c r="V460" s="493"/>
      <c r="W460" s="493"/>
      <c r="X460" s="493"/>
      <c r="Y460" s="487"/>
      <c r="Z460" s="487"/>
      <c r="AA460" s="493"/>
      <c r="AB460" s="493"/>
      <c r="AC460" s="487">
        <f t="shared" si="81"/>
        <v>15</v>
      </c>
      <c r="AD460" s="487"/>
      <c r="AE460" s="487"/>
      <c r="AF460" s="502">
        <v>15</v>
      </c>
      <c r="AG460" s="493"/>
    </row>
    <row r="461" spans="1:33" x14ac:dyDescent="0.3">
      <c r="A461" s="487" t="b">
        <v>0</v>
      </c>
      <c r="B461" s="488">
        <f t="shared" si="79"/>
        <v>7</v>
      </c>
      <c r="C461" s="487" t="s">
        <v>7175</v>
      </c>
      <c r="D461" s="490"/>
      <c r="E461" s="502"/>
      <c r="F461" s="502"/>
      <c r="G461" s="493"/>
      <c r="H461" s="488">
        <f t="shared" si="80"/>
        <v>2</v>
      </c>
      <c r="I461" s="493"/>
      <c r="J461" s="487"/>
      <c r="K461" s="487" t="s">
        <v>1384</v>
      </c>
      <c r="L461" s="493"/>
      <c r="M461" s="487"/>
      <c r="N461" s="493"/>
      <c r="O461" s="487"/>
      <c r="P461" s="493"/>
      <c r="Q461" s="493"/>
      <c r="R461" s="487" t="b">
        <v>0</v>
      </c>
      <c r="S461" s="493"/>
      <c r="T461" s="493"/>
      <c r="U461" s="493"/>
      <c r="V461" s="493"/>
      <c r="W461" s="493"/>
      <c r="X461" s="493"/>
      <c r="Y461" s="487"/>
      <c r="Z461" s="487"/>
      <c r="AA461" s="493"/>
      <c r="AB461" s="493"/>
      <c r="AC461" s="487">
        <f t="shared" si="81"/>
        <v>16</v>
      </c>
      <c r="AD461" s="487"/>
      <c r="AE461" s="487"/>
      <c r="AF461" s="502">
        <v>16</v>
      </c>
      <c r="AG461" s="493"/>
    </row>
    <row r="462" spans="1:33" x14ac:dyDescent="0.3">
      <c r="A462" s="487" t="b">
        <v>0</v>
      </c>
      <c r="B462" s="488">
        <f t="shared" si="79"/>
        <v>7</v>
      </c>
      <c r="C462" s="487" t="s">
        <v>7176</v>
      </c>
      <c r="D462" s="490"/>
      <c r="E462" s="502"/>
      <c r="F462" s="502"/>
      <c r="G462" s="493"/>
      <c r="H462" s="488">
        <f t="shared" si="80"/>
        <v>2</v>
      </c>
      <c r="I462" s="493"/>
      <c r="J462" s="487"/>
      <c r="K462" s="487" t="s">
        <v>1384</v>
      </c>
      <c r="L462" s="493"/>
      <c r="M462" s="487"/>
      <c r="N462" s="493"/>
      <c r="O462" s="487"/>
      <c r="P462" s="493"/>
      <c r="Q462" s="493"/>
      <c r="R462" s="487" t="b">
        <v>0</v>
      </c>
      <c r="S462" s="493"/>
      <c r="T462" s="493"/>
      <c r="U462" s="493"/>
      <c r="V462" s="493"/>
      <c r="W462" s="493"/>
      <c r="X462" s="493"/>
      <c r="Y462" s="487"/>
      <c r="Z462" s="487"/>
      <c r="AA462" s="493"/>
      <c r="AB462" s="493"/>
      <c r="AC462" s="487">
        <f t="shared" si="81"/>
        <v>17</v>
      </c>
      <c r="AD462" s="487"/>
      <c r="AE462" s="487"/>
      <c r="AF462" s="502">
        <v>17</v>
      </c>
      <c r="AG462" s="493"/>
    </row>
    <row r="463" spans="1:33" x14ac:dyDescent="0.3">
      <c r="A463" s="487" t="b">
        <v>0</v>
      </c>
      <c r="B463" s="488">
        <f t="shared" si="79"/>
        <v>7</v>
      </c>
      <c r="C463" s="487" t="s">
        <v>7177</v>
      </c>
      <c r="D463" s="490"/>
      <c r="E463" s="502"/>
      <c r="F463" s="502"/>
      <c r="G463" s="493"/>
      <c r="H463" s="488">
        <f t="shared" si="80"/>
        <v>2</v>
      </c>
      <c r="I463" s="493"/>
      <c r="J463" s="487"/>
      <c r="K463" s="487" t="s">
        <v>1384</v>
      </c>
      <c r="L463" s="493"/>
      <c r="M463" s="487"/>
      <c r="N463" s="493"/>
      <c r="O463" s="487"/>
      <c r="P463" s="493"/>
      <c r="Q463" s="493"/>
      <c r="R463" s="487" t="b">
        <v>0</v>
      </c>
      <c r="S463" s="493"/>
      <c r="T463" s="493"/>
      <c r="U463" s="493"/>
      <c r="V463" s="493"/>
      <c r="W463" s="493"/>
      <c r="X463" s="493"/>
      <c r="Y463" s="487"/>
      <c r="Z463" s="487"/>
      <c r="AA463" s="493"/>
      <c r="AB463" s="493"/>
      <c r="AC463" s="487">
        <f t="shared" si="81"/>
        <v>18</v>
      </c>
      <c r="AD463" s="487"/>
      <c r="AE463" s="487"/>
      <c r="AF463" s="502">
        <v>18</v>
      </c>
      <c r="AG463" s="493"/>
    </row>
    <row r="464" spans="1:33" x14ac:dyDescent="0.3">
      <c r="A464" s="487" t="b">
        <v>0</v>
      </c>
      <c r="B464" s="488">
        <f t="shared" si="79"/>
        <v>7</v>
      </c>
      <c r="C464" s="487" t="s">
        <v>7178</v>
      </c>
      <c r="D464" s="490"/>
      <c r="E464" s="502"/>
      <c r="F464" s="502"/>
      <c r="G464" s="493"/>
      <c r="H464" s="488">
        <f t="shared" si="80"/>
        <v>2</v>
      </c>
      <c r="I464" s="493"/>
      <c r="J464" s="487"/>
      <c r="K464" s="487" t="s">
        <v>1384</v>
      </c>
      <c r="L464" s="493"/>
      <c r="M464" s="487"/>
      <c r="N464" s="493"/>
      <c r="O464" s="487"/>
      <c r="P464" s="493"/>
      <c r="Q464" s="493"/>
      <c r="R464" s="487" t="b">
        <v>0</v>
      </c>
      <c r="S464" s="493"/>
      <c r="T464" s="493"/>
      <c r="U464" s="493"/>
      <c r="V464" s="493"/>
      <c r="W464" s="493"/>
      <c r="X464" s="493"/>
      <c r="Y464" s="487"/>
      <c r="Z464" s="487"/>
      <c r="AA464" s="493"/>
      <c r="AB464" s="493"/>
      <c r="AC464" s="487">
        <f t="shared" si="81"/>
        <v>19</v>
      </c>
      <c r="AD464" s="487"/>
      <c r="AE464" s="487"/>
      <c r="AF464" s="502">
        <v>19</v>
      </c>
      <c r="AG464" s="493"/>
    </row>
    <row r="465" spans="1:33" x14ac:dyDescent="0.3">
      <c r="A465" s="487" t="b">
        <v>0</v>
      </c>
      <c r="B465" s="488">
        <f t="shared" si="79"/>
        <v>7</v>
      </c>
      <c r="C465" s="487" t="s">
        <v>7179</v>
      </c>
      <c r="D465" s="490"/>
      <c r="E465" s="502"/>
      <c r="F465" s="502"/>
      <c r="G465" s="493"/>
      <c r="H465" s="488">
        <f t="shared" si="80"/>
        <v>2</v>
      </c>
      <c r="I465" s="493"/>
      <c r="J465" s="487"/>
      <c r="K465" s="487" t="s">
        <v>1384</v>
      </c>
      <c r="L465" s="493"/>
      <c r="M465" s="487"/>
      <c r="N465" s="493"/>
      <c r="O465" s="487"/>
      <c r="P465" s="493"/>
      <c r="Q465" s="493"/>
      <c r="R465" s="487" t="b">
        <v>0</v>
      </c>
      <c r="S465" s="493"/>
      <c r="T465" s="493"/>
      <c r="U465" s="493"/>
      <c r="V465" s="493"/>
      <c r="W465" s="493"/>
      <c r="X465" s="493"/>
      <c r="Y465" s="487"/>
      <c r="Z465" s="487"/>
      <c r="AA465" s="493"/>
      <c r="AB465" s="493"/>
      <c r="AC465" s="487">
        <f t="shared" si="81"/>
        <v>20</v>
      </c>
      <c r="AD465" s="487"/>
      <c r="AE465" s="487"/>
      <c r="AF465" s="502">
        <v>20</v>
      </c>
      <c r="AG465" s="493"/>
    </row>
    <row r="466" spans="1:33" x14ac:dyDescent="0.3">
      <c r="A466" s="487" t="b">
        <v>0</v>
      </c>
      <c r="B466" s="488">
        <f t="shared" si="79"/>
        <v>7</v>
      </c>
      <c r="C466" s="487" t="s">
        <v>7180</v>
      </c>
      <c r="D466" s="490"/>
      <c r="E466" s="502"/>
      <c r="F466" s="502"/>
      <c r="G466" s="493"/>
      <c r="H466" s="488">
        <f t="shared" si="80"/>
        <v>2</v>
      </c>
      <c r="I466" s="493"/>
      <c r="J466" s="487"/>
      <c r="K466" s="487" t="s">
        <v>1384</v>
      </c>
      <c r="L466" s="493"/>
      <c r="M466" s="487"/>
      <c r="N466" s="493"/>
      <c r="O466" s="487"/>
      <c r="P466" s="493"/>
      <c r="Q466" s="493"/>
      <c r="R466" s="487" t="b">
        <v>0</v>
      </c>
      <c r="S466" s="493"/>
      <c r="T466" s="493"/>
      <c r="U466" s="493"/>
      <c r="V466" s="493"/>
      <c r="W466" s="493"/>
      <c r="X466" s="493"/>
      <c r="Y466" s="487"/>
      <c r="Z466" s="487"/>
      <c r="AA466" s="493"/>
      <c r="AB466" s="493"/>
      <c r="AC466" s="487">
        <f t="shared" si="81"/>
        <v>21</v>
      </c>
      <c r="AD466" s="487"/>
      <c r="AE466" s="487"/>
      <c r="AF466" s="502">
        <v>21</v>
      </c>
      <c r="AG466" s="493"/>
    </row>
    <row r="467" spans="1:33" x14ac:dyDescent="0.3">
      <c r="A467" s="487" t="b">
        <v>0</v>
      </c>
      <c r="B467" s="488">
        <f t="shared" si="79"/>
        <v>7</v>
      </c>
      <c r="C467" s="487" t="s">
        <v>7181</v>
      </c>
      <c r="D467" s="490"/>
      <c r="E467" s="502"/>
      <c r="F467" s="502"/>
      <c r="G467" s="493"/>
      <c r="H467" s="488">
        <f t="shared" si="80"/>
        <v>2</v>
      </c>
      <c r="I467" s="493"/>
      <c r="J467" s="487"/>
      <c r="K467" s="487" t="s">
        <v>1384</v>
      </c>
      <c r="L467" s="493"/>
      <c r="M467" s="487"/>
      <c r="N467" s="493"/>
      <c r="O467" s="487"/>
      <c r="P467" s="493"/>
      <c r="Q467" s="493"/>
      <c r="R467" s="487" t="b">
        <v>0</v>
      </c>
      <c r="S467" s="493"/>
      <c r="T467" s="493"/>
      <c r="U467" s="493"/>
      <c r="V467" s="493"/>
      <c r="W467" s="493"/>
      <c r="X467" s="493"/>
      <c r="Y467" s="487"/>
      <c r="Z467" s="487"/>
      <c r="AA467" s="493"/>
      <c r="AB467" s="493"/>
      <c r="AC467" s="487">
        <f t="shared" si="81"/>
        <v>22</v>
      </c>
      <c r="AD467" s="487"/>
      <c r="AE467" s="487"/>
      <c r="AF467" s="502">
        <v>22</v>
      </c>
      <c r="AG467" s="493"/>
    </row>
    <row r="468" spans="1:33" x14ac:dyDescent="0.3">
      <c r="A468" s="487" t="b">
        <v>0</v>
      </c>
      <c r="B468" s="488">
        <f t="shared" si="79"/>
        <v>7</v>
      </c>
      <c r="C468" s="487" t="s">
        <v>7182</v>
      </c>
      <c r="D468" s="490"/>
      <c r="E468" s="502"/>
      <c r="F468" s="502"/>
      <c r="G468" s="493"/>
      <c r="H468" s="488">
        <f t="shared" si="80"/>
        <v>2</v>
      </c>
      <c r="I468" s="493"/>
      <c r="J468" s="487"/>
      <c r="K468" s="487" t="s">
        <v>1384</v>
      </c>
      <c r="L468" s="493"/>
      <c r="M468" s="487"/>
      <c r="N468" s="493"/>
      <c r="O468" s="487"/>
      <c r="P468" s="493"/>
      <c r="Q468" s="493"/>
      <c r="R468" s="487" t="b">
        <v>0</v>
      </c>
      <c r="S468" s="493"/>
      <c r="T468" s="493"/>
      <c r="U468" s="493"/>
      <c r="V468" s="493"/>
      <c r="W468" s="493"/>
      <c r="X468" s="493"/>
      <c r="Y468" s="487"/>
      <c r="Z468" s="487"/>
      <c r="AA468" s="493"/>
      <c r="AB468" s="493"/>
      <c r="AC468" s="487">
        <f t="shared" si="81"/>
        <v>23</v>
      </c>
      <c r="AD468" s="487"/>
      <c r="AE468" s="487"/>
      <c r="AF468" s="502">
        <v>23</v>
      </c>
      <c r="AG468" s="493"/>
    </row>
    <row r="469" spans="1:33" x14ac:dyDescent="0.3">
      <c r="A469" s="487" t="b">
        <v>0</v>
      </c>
      <c r="B469" s="488">
        <f t="shared" si="79"/>
        <v>7</v>
      </c>
      <c r="C469" s="487" t="s">
        <v>7183</v>
      </c>
      <c r="D469" s="490"/>
      <c r="E469" s="502"/>
      <c r="F469" s="502"/>
      <c r="G469" s="493"/>
      <c r="H469" s="488">
        <f t="shared" si="80"/>
        <v>2</v>
      </c>
      <c r="I469" s="493"/>
      <c r="J469" s="487"/>
      <c r="K469" s="487" t="s">
        <v>1384</v>
      </c>
      <c r="L469" s="493"/>
      <c r="M469" s="487"/>
      <c r="N469" s="493"/>
      <c r="O469" s="487"/>
      <c r="P469" s="493"/>
      <c r="Q469" s="493"/>
      <c r="R469" s="487" t="b">
        <v>0</v>
      </c>
      <c r="S469" s="493"/>
      <c r="T469" s="493"/>
      <c r="U469" s="493"/>
      <c r="V469" s="493"/>
      <c r="W469" s="493"/>
      <c r="X469" s="493"/>
      <c r="Y469" s="487"/>
      <c r="Z469" s="487"/>
      <c r="AA469" s="493"/>
      <c r="AB469" s="493"/>
      <c r="AC469" s="487">
        <f t="shared" si="81"/>
        <v>24</v>
      </c>
      <c r="AD469" s="487"/>
      <c r="AE469" s="487"/>
      <c r="AF469" s="502">
        <v>24</v>
      </c>
      <c r="AG469" s="493"/>
    </row>
    <row r="470" spans="1:33" x14ac:dyDescent="0.3">
      <c r="A470" s="487" t="b">
        <v>0</v>
      </c>
      <c r="B470" s="488">
        <f t="shared" si="79"/>
        <v>7</v>
      </c>
      <c r="C470" s="487" t="s">
        <v>7184</v>
      </c>
      <c r="D470" s="490"/>
      <c r="E470" s="502"/>
      <c r="F470" s="502"/>
      <c r="G470" s="493"/>
      <c r="H470" s="488">
        <f t="shared" si="80"/>
        <v>2</v>
      </c>
      <c r="I470" s="493"/>
      <c r="J470" s="487"/>
      <c r="K470" s="487" t="s">
        <v>1384</v>
      </c>
      <c r="L470" s="493"/>
      <c r="M470" s="487"/>
      <c r="N470" s="493"/>
      <c r="O470" s="487"/>
      <c r="P470" s="493"/>
      <c r="Q470" s="493"/>
      <c r="R470" s="487" t="b">
        <v>0</v>
      </c>
      <c r="S470" s="493"/>
      <c r="T470" s="493"/>
      <c r="U470" s="493"/>
      <c r="V470" s="493"/>
      <c r="W470" s="493"/>
      <c r="X470" s="493"/>
      <c r="Y470" s="487"/>
      <c r="Z470" s="487"/>
      <c r="AA470" s="493"/>
      <c r="AB470" s="493"/>
      <c r="AC470" s="487">
        <f t="shared" si="81"/>
        <v>25</v>
      </c>
      <c r="AD470" s="487"/>
      <c r="AE470" s="487"/>
      <c r="AF470" s="502">
        <v>25</v>
      </c>
      <c r="AG470" s="493"/>
    </row>
    <row r="471" spans="1:33" x14ac:dyDescent="0.3">
      <c r="A471" s="487" t="b">
        <v>0</v>
      </c>
      <c r="B471" s="488">
        <f t="shared" si="79"/>
        <v>7</v>
      </c>
      <c r="C471" s="487" t="s">
        <v>7185</v>
      </c>
      <c r="D471" s="490"/>
      <c r="E471" s="502"/>
      <c r="F471" s="502"/>
      <c r="G471" s="493"/>
      <c r="H471" s="488">
        <f t="shared" si="80"/>
        <v>2</v>
      </c>
      <c r="I471" s="493"/>
      <c r="J471" s="487"/>
      <c r="K471" s="487" t="s">
        <v>1384</v>
      </c>
      <c r="L471" s="493"/>
      <c r="M471" s="487"/>
      <c r="N471" s="493"/>
      <c r="O471" s="487"/>
      <c r="P471" s="493"/>
      <c r="Q471" s="493"/>
      <c r="R471" s="487" t="b">
        <v>0</v>
      </c>
      <c r="S471" s="493"/>
      <c r="T471" s="493"/>
      <c r="U471" s="493"/>
      <c r="V471" s="493"/>
      <c r="W471" s="493"/>
      <c r="X471" s="493"/>
      <c r="Y471" s="487"/>
      <c r="Z471" s="487"/>
      <c r="AA471" s="493"/>
      <c r="AB471" s="493"/>
      <c r="AC471" s="487">
        <f t="shared" si="81"/>
        <v>26</v>
      </c>
      <c r="AD471" s="487"/>
      <c r="AE471" s="487"/>
      <c r="AF471" s="502">
        <v>26</v>
      </c>
      <c r="AG471" s="493"/>
    </row>
    <row r="472" spans="1:33" x14ac:dyDescent="0.3">
      <c r="A472" s="487" t="b">
        <v>0</v>
      </c>
      <c r="B472" s="488">
        <f t="shared" si="79"/>
        <v>7</v>
      </c>
      <c r="C472" s="487" t="s">
        <v>7186</v>
      </c>
      <c r="D472" s="490"/>
      <c r="E472" s="502"/>
      <c r="F472" s="502"/>
      <c r="G472" s="493"/>
      <c r="H472" s="488">
        <f t="shared" si="80"/>
        <v>2</v>
      </c>
      <c r="I472" s="493"/>
      <c r="J472" s="487"/>
      <c r="K472" s="487" t="s">
        <v>1384</v>
      </c>
      <c r="L472" s="493"/>
      <c r="M472" s="487"/>
      <c r="N472" s="493"/>
      <c r="O472" s="487"/>
      <c r="P472" s="493"/>
      <c r="Q472" s="493"/>
      <c r="R472" s="487" t="b">
        <v>0</v>
      </c>
      <c r="S472" s="493"/>
      <c r="T472" s="493"/>
      <c r="U472" s="493"/>
      <c r="V472" s="493"/>
      <c r="W472" s="493"/>
      <c r="X472" s="493"/>
      <c r="Y472" s="487"/>
      <c r="Z472" s="487"/>
      <c r="AA472" s="493"/>
      <c r="AB472" s="493"/>
      <c r="AC472" s="487">
        <f t="shared" si="81"/>
        <v>27</v>
      </c>
      <c r="AD472" s="487"/>
      <c r="AE472" s="487"/>
      <c r="AF472" s="502">
        <v>27</v>
      </c>
      <c r="AG472" s="493"/>
    </row>
    <row r="473" spans="1:33" x14ac:dyDescent="0.3">
      <c r="A473" s="487" t="b">
        <v>0</v>
      </c>
      <c r="B473" s="488">
        <f t="shared" si="79"/>
        <v>7</v>
      </c>
      <c r="C473" s="487" t="s">
        <v>7187</v>
      </c>
      <c r="D473" s="490"/>
      <c r="E473" s="502"/>
      <c r="F473" s="502"/>
      <c r="G473" s="493"/>
      <c r="H473" s="488">
        <f t="shared" si="80"/>
        <v>2</v>
      </c>
      <c r="I473" s="493"/>
      <c r="J473" s="487"/>
      <c r="K473" s="487" t="s">
        <v>1384</v>
      </c>
      <c r="L473" s="493"/>
      <c r="M473" s="487"/>
      <c r="N473" s="493"/>
      <c r="O473" s="487"/>
      <c r="P473" s="493"/>
      <c r="Q473" s="493"/>
      <c r="R473" s="487" t="b">
        <v>0</v>
      </c>
      <c r="S473" s="493"/>
      <c r="T473" s="493"/>
      <c r="U473" s="493"/>
      <c r="V473" s="493"/>
      <c r="W473" s="493"/>
      <c r="X473" s="493"/>
      <c r="Y473" s="487"/>
      <c r="Z473" s="487"/>
      <c r="AA473" s="493"/>
      <c r="AB473" s="493"/>
      <c r="AC473" s="487">
        <f t="shared" si="81"/>
        <v>28</v>
      </c>
      <c r="AD473" s="487"/>
      <c r="AE473" s="487"/>
      <c r="AF473" s="502">
        <v>28</v>
      </c>
      <c r="AG473" s="493"/>
    </row>
    <row r="474" spans="1:33" x14ac:dyDescent="0.3">
      <c r="A474" s="487" t="b">
        <v>0</v>
      </c>
      <c r="B474" s="488">
        <f t="shared" si="79"/>
        <v>7</v>
      </c>
      <c r="C474" s="487" t="s">
        <v>7188</v>
      </c>
      <c r="D474" s="490"/>
      <c r="E474" s="502"/>
      <c r="F474" s="502"/>
      <c r="G474" s="493"/>
      <c r="H474" s="488">
        <f t="shared" si="80"/>
        <v>2</v>
      </c>
      <c r="I474" s="493"/>
      <c r="J474" s="487"/>
      <c r="K474" s="487" t="s">
        <v>1384</v>
      </c>
      <c r="L474" s="493"/>
      <c r="M474" s="487"/>
      <c r="N474" s="493"/>
      <c r="O474" s="487"/>
      <c r="P474" s="493"/>
      <c r="Q474" s="493"/>
      <c r="R474" s="487" t="b">
        <v>0</v>
      </c>
      <c r="S474" s="493"/>
      <c r="T474" s="493"/>
      <c r="U474" s="493"/>
      <c r="V474" s="493"/>
      <c r="W474" s="493"/>
      <c r="X474" s="493"/>
      <c r="Y474" s="487"/>
      <c r="Z474" s="487"/>
      <c r="AA474" s="493"/>
      <c r="AB474" s="493"/>
      <c r="AC474" s="487">
        <f t="shared" si="81"/>
        <v>29</v>
      </c>
      <c r="AD474" s="487"/>
      <c r="AE474" s="487"/>
      <c r="AF474" s="502">
        <v>29</v>
      </c>
      <c r="AG474" s="493"/>
    </row>
    <row r="475" spans="1:33" x14ac:dyDescent="0.3">
      <c r="A475" s="487" t="b">
        <v>0</v>
      </c>
      <c r="B475" s="488">
        <f t="shared" si="79"/>
        <v>7</v>
      </c>
      <c r="C475" s="487" t="s">
        <v>7189</v>
      </c>
      <c r="D475" s="490"/>
      <c r="E475" s="502"/>
      <c r="F475" s="502"/>
      <c r="G475" s="493"/>
      <c r="H475" s="488">
        <f t="shared" si="80"/>
        <v>2</v>
      </c>
      <c r="I475" s="493"/>
      <c r="J475" s="487"/>
      <c r="K475" s="487" t="s">
        <v>1384</v>
      </c>
      <c r="L475" s="493"/>
      <c r="M475" s="487"/>
      <c r="N475" s="493"/>
      <c r="O475" s="487"/>
      <c r="P475" s="493"/>
      <c r="Q475" s="493"/>
      <c r="R475" s="487" t="b">
        <v>0</v>
      </c>
      <c r="S475" s="493"/>
      <c r="T475" s="493"/>
      <c r="U475" s="493"/>
      <c r="V475" s="493"/>
      <c r="W475" s="493"/>
      <c r="X475" s="493"/>
      <c r="Y475" s="487"/>
      <c r="Z475" s="487"/>
      <c r="AA475" s="493"/>
      <c r="AB475" s="493"/>
      <c r="AC475" s="487">
        <f t="shared" si="81"/>
        <v>30</v>
      </c>
      <c r="AD475" s="487"/>
      <c r="AE475" s="487"/>
      <c r="AF475" s="502">
        <v>30</v>
      </c>
      <c r="AG475" s="493"/>
    </row>
    <row r="476" spans="1:33" x14ac:dyDescent="0.3">
      <c r="A476" s="487" t="b">
        <f t="shared" ref="A476:A505" ca="1" si="82">IF(AND(OR(D476&lt;&gt;"",E476&lt;&gt;"",F476&lt;&gt;""),OR(J476&lt;&gt;"",N476&lt;&gt;"")),TRUE,FALSE)</f>
        <v>1</v>
      </c>
      <c r="B476" s="488">
        <f t="shared" si="79"/>
        <v>9</v>
      </c>
      <c r="C476" s="500" t="str">
        <f>IFERROR(IF(AND(H476=2,B476=7),"blank",INDEX(C$444:C476,H476,1)),"")</f>
        <v>a183p000003Sl2WAAS</v>
      </c>
      <c r="D476" s="490">
        <f t="shared" ref="D476:D505" ca="1" si="83">IFERROR(IF(INDIRECT("'Coverage Indicators - Section D'!G"&amp;$B476)=0,"",INDIRECT("'Coverage Indicators - Section D'!G"&amp;$B476)*100),"")</f>
        <v>102</v>
      </c>
      <c r="E476" s="502">
        <f t="shared" ref="E476:E505" ca="1" si="84">IFERROR(IF(INDIRECT("'Coverage Indicators - Section D'!F"&amp;$B476+1)=0,"",INDIRECT("'Coverage Indicators - Section D'!F"&amp;$B476+1)),"")</f>
        <v>50450</v>
      </c>
      <c r="F476" s="502">
        <f t="shared" ref="F476:F505" ca="1" si="85">IFERROR(IF(INDIRECT("'Coverage Indicators - Section D'!F"&amp;$B476)=0,"",INDIRECT("'Coverage Indicators - Section D'!F"&amp;$B476)),"")</f>
        <v>51459</v>
      </c>
      <c r="G476" s="493" t="str">
        <f t="shared" ref="G476:G505" ca="1" si="86">IFERROR(IF(INDIRECT("'Coverage Indicators - Section D'!AO"&amp;$B476)=0,"",INDIRECT("'Coverage Indicators - Section D'!AO"&amp;$B476)),"")</f>
        <v>PNLS routine data</v>
      </c>
      <c r="H476" s="488">
        <f t="shared" si="80"/>
        <v>3</v>
      </c>
      <c r="I476" s="493" t="str">
        <f t="shared" ref="I476:I505" ca="1" si="87">IFERROR(IF(INDIRECT("'Coverage Indicators - Section D'!AP"&amp;$B476)=0,"",INDIRECT("'Coverage Indicators - Section D'!AP"&amp;$B476)),"")</f>
        <v>The projected positivity rate from routine data is estimated at 1.4% (2021), 1.1% (2022) and 0.9% (2023).
Population to be screened is estimated from the total population. Depending on the routine data and the strategies that will be implemented, this rate is set at 8.5% in 2020. From 2021 to 2023, the number of people to be screened is given by the total population over the projected positivity rate. This gives 2,157,104 (2021), 1,939,428 (2022) and 1,765,568 (2023).
The number of new people screened for HIV is obtained by reporting the number of clients screened for HIV over positivity rates per year. This gives 30,199 (2021), 21,334 (2022) and 15,890 (2023).
The number of people to be put on treatment is considering a loss of 5% in 2021, 4% in 2022 and 3% in 2023 of the number of people tested HIV positive. This gives 28,689 (2021), 20,480 (2022) and 15,413 (2023).
Numerator: Number of people newly tested HIV positive and started on ARVs
Denominator: Number of people newly tested HIV positive
Disaggregation by sex and age groups
The indicator is cumulative annually.</v>
      </c>
      <c r="J476" s="487" t="str">
        <f ca="1">IFERROR(VLOOKUP(INDIRECT("'Coverage Indicators - Section D'!D"&amp;$B476),'Reference Records'!C32:F183,4,0),"")</f>
        <v>MCI-01072</v>
      </c>
      <c r="K476" s="487" t="str">
        <f ca="1">IFERROR(VLOOKUP(IF(INDIRECT("'Coverage Indicators - Section D'!B"&amp;$B476)="","--select--",INDIRECT("'Coverage Indicators - Section D'!B"&amp;$B476)),'Overview - Section A'!C$100:D132,2,0),"")</f>
        <v>M-34818</v>
      </c>
      <c r="L476" s="493">
        <f t="shared" ref="L476:L505" ca="1" si="88">IFERROR(IF(INDIRECT("'Coverage Indicators - Section D'!H"&amp;$B476)=0,"",INDIRECT("'Coverage Indicators - Section D'!H"&amp;$B476)),"")</f>
        <v>2019</v>
      </c>
      <c r="M476" s="487" t="str">
        <f ca="1">IFERROR(VLOOKUP(INDIRECT("'Coverage Indicators - Section D'!C"&amp;$B476),'Reference Records'!C$509:F620,3,0),"")</f>
        <v>MCI-01164</v>
      </c>
      <c r="N476" s="493" t="str">
        <f t="shared" ref="N476:N505" ca="1" si="89">IFERROR(IF(INDIRECT("'Coverage Indicators - Section D'!AN"&amp;$B476)=0,"",INDIRECT("'Coverage Indicators - Section D'!AN"&amp;$B476)),"")</f>
        <v/>
      </c>
      <c r="O476" s="487" t="str">
        <f t="shared" ref="O476:O505" ca="1" si="90">IFERROR(IF(INDIRECT("'Coverage Indicators - Section D'!M"&amp;$B476)=0,"",INDIRECT("'Coverage Indicators - Section D'!M"&amp;$B476)),"")</f>
        <v>Côte d'Ivoire</v>
      </c>
      <c r="P476" s="493" t="str">
        <f t="shared" ref="P476:P505" ca="1" si="91">IFERROR(IF(INDIRECT("'Coverage Indicators - Section D'!M"&amp;$B476+1)=0,"",INDIRECT("'Coverage Indicators - Section D'!M"&amp;$B476+1)),"")</f>
        <v>Geographic Subnational, 100% of national program target</v>
      </c>
      <c r="Q476" s="493" t="str">
        <f t="shared" ref="Q476:Q505" ca="1" si="92">IFERROR(IF(INDIRECT("'Coverage Indicators - Section D'!N"&amp;$B476)=0,"",INDIRECT("'Coverage Indicators - Section D'!N"&amp;$B476)),"")</f>
        <v>Non cumulative</v>
      </c>
      <c r="R476" s="487" t="b">
        <f t="shared" ref="R476:R505" ca="1" si="93">IFERROR(IF(INDIRECT("'Coverage Indicators - Section D'!K"&amp;$B476)=0,"FALSE",IF(INDIRECT("'Coverage Indicators - Section D'!K"&amp;$B476)="Yes",TRUE,FALSE)),"")</f>
        <v>1</v>
      </c>
      <c r="S476" s="493" t="str">
        <f ca="1">IFERROR(VLOOKUP(INDIRECT("'Coverage Indicators - Section D'!L"&amp;$B476),'Overview - Section A'!M$29:P71,4,0),IFERROR(IF(VLOOKUP(INDIRECT("'Coverage Indicators - Section D'!L"&amp;$B476),'Overview - Section A'!E$26:I59,5,0)=0,"",VLOOKUP(INDIRECT("'Coverage Indicators - Section D'!L"&amp;$B476),'Overview - Section A'!E$26:I59,5,0)),""))</f>
        <v>a123p000005UjbKAAS</v>
      </c>
      <c r="T476" s="493" t="str">
        <f t="shared" ref="T476:T505" ca="1" si="94">IFERROR(IF(INDIRECT("'Coverage Indicators - Section D'!E"&amp;$B476)=0,"",INDIRECT("'Coverage Indicators - Section D'!E"&amp;$B476)),"")</f>
        <v/>
      </c>
      <c r="U476" s="493" t="str">
        <f t="shared" ref="U476:U505" ca="1" si="95">IFERROR(IF(INDIRECT("'Coverage Indicators - Section D'!I"&amp;$B476)=0,"",INDIRECT("'Coverage Indicators - Section D'!I"&amp;$B476)),"")</f>
        <v xml:space="preserve">Données de routine PNLS </v>
      </c>
      <c r="V476" s="493" t="str">
        <f t="shared" ref="V476:V505" ca="1" si="96">IFERROR(IF(INDIRECT("'Coverage Indicators - Section D'!AM"&amp;$B476)=0,"",INDIRECT("'Coverage Indicators - Section D'!AM"&amp;$B476)),"")</f>
        <v xml:space="preserve">Le taux de positivité projeté à partir des données de routine. Il est estimé à 1,4% (2021), 1,1% (2022) et 0,9% (2023).
Population à dépister est estimée à partir de la population totale. En fonction des données de routine et des stratégies qui seront mises en place, ce taux est fixé à 8,5% pour l'année 2020. De 2021 à 2023, le nombre de personnes à dépister à été identifier en rapportant la population totale sur les taux de positivité projeté. Ce qui donne 2 157 104 (2021), 1 939 428 (2022) et 1 765 568 (2023). 
Le nombre de nouvelles personnes dépistées séropositives est obtenu en faisant le rapport de nombre de clients dépisté pour le VIH sur les taux de positivité par an. Cela donne 30 199 (2021), 21 334 (2022) et 15 890 (2023). 
Le nombre de personnes à mettre sous traitement est estmé en considérant qu'on aura une déperdition de 5% en 2021, 4% en 2022 et 3% en 2023 du nombre de personnes dépistées séropositives. Cela donne 28 689 (2021), 20 480 (2022) et 15 413 (2023). 
Numerateur: Nombre de personnes nouvellement dépistées séropositives au VIH et mises sous ARV
Denominateur: Nombre de personnes nouvellement dépistées séropositives au VIH
Désagrégation par sexe et tranches d'âge
L'indicateur est cumulatif annullement. </v>
      </c>
      <c r="W476" s="493"/>
      <c r="X476" s="493"/>
      <c r="Y476" s="487"/>
      <c r="Z476" s="487"/>
      <c r="AA476" s="493"/>
      <c r="AB476" s="493"/>
      <c r="AC476" s="487">
        <f t="shared" si="81"/>
        <v>0</v>
      </c>
      <c r="AD476" s="487"/>
      <c r="AE476" s="487"/>
      <c r="AF476" s="502"/>
      <c r="AG476" s="493"/>
    </row>
    <row r="477" spans="1:33" x14ac:dyDescent="0.3">
      <c r="A477" s="487" t="b">
        <f t="shared" ca="1" si="82"/>
        <v>1</v>
      </c>
      <c r="B477" s="488">
        <f t="shared" si="79"/>
        <v>11</v>
      </c>
      <c r="C477" s="500" t="str">
        <f>IFERROR(IF(AND(H477=2,B477=7),"blank",INDEX(C$444:C477,H477,1)),"")</f>
        <v>a183p000003Sl2XAAS</v>
      </c>
      <c r="D477" s="490">
        <f t="shared" ca="1" si="83"/>
        <v>62</v>
      </c>
      <c r="E477" s="502">
        <f t="shared" ca="1" si="84"/>
        <v>43327</v>
      </c>
      <c r="F477" s="502">
        <f t="shared" ca="1" si="85"/>
        <v>23581</v>
      </c>
      <c r="G477" s="493" t="str">
        <f t="shared" ca="1" si="86"/>
        <v>PNLS routine data</v>
      </c>
      <c r="H477" s="488">
        <f t="shared" si="80"/>
        <v>4</v>
      </c>
      <c r="I477" s="493" t="str">
        <f t="shared" ca="1" si="87"/>
        <v>According to routine data, the prison population increases by on average 2,500 prisoners per year. The population size was projected at 48,327 in 2021, 50,827 in 2022 and 53,327 in 2023. These are new and former inmates. New detainees represent 60% of the total population during the period.
The NSP targets for prison screening are 66% in 2021, 72% in 2022 and 78% in 2023 of the total prison population.
Numerator: Number of inmates screened during the period
Denominator: Prison population during the period
The indicator will be disaggregated by old + new prisoners and new prisoners by sex
The indicator is cumulative annually</v>
      </c>
      <c r="J477" s="487" t="str">
        <f ca="1">IFERROR(VLOOKUP(INDIRECT("'Coverage Indicators - Section D'!D"&amp;$B477),'Reference Records'!C33:F184,4,0),"")</f>
        <v>MCI-01070</v>
      </c>
      <c r="K477" s="487" t="str">
        <f ca="1">IFERROR(VLOOKUP(IF(INDIRECT("'Coverage Indicators - Section D'!B"&amp;$B477)="","--select--",INDIRECT("'Coverage Indicators - Section D'!B"&amp;$B477)),'Overview - Section A'!C$100:D133,2,0),"")</f>
        <v>M-34818</v>
      </c>
      <c r="L477" s="493">
        <f t="shared" ca="1" si="88"/>
        <v>2019</v>
      </c>
      <c r="M477" s="487" t="str">
        <f ca="1">IFERROR(VLOOKUP(INDIRECT("'Coverage Indicators - Section D'!C"&amp;$B477),'Reference Records'!C$509:F621,3,0),"")</f>
        <v>MCI-01143</v>
      </c>
      <c r="N477" s="493" t="str">
        <f t="shared" ca="1" si="89"/>
        <v/>
      </c>
      <c r="O477" s="487" t="str">
        <f t="shared" ca="1" si="90"/>
        <v>Côte d'Ivoire</v>
      </c>
      <c r="P477" s="493" t="str">
        <f t="shared" ca="1" si="91"/>
        <v>Geographic Subnational, 100% of national program target</v>
      </c>
      <c r="Q477" s="493" t="str">
        <f t="shared" ca="1" si="92"/>
        <v>Non cumulative</v>
      </c>
      <c r="R477" s="487" t="b">
        <f t="shared" ca="1" si="93"/>
        <v>1</v>
      </c>
      <c r="S477" s="493" t="str">
        <f ca="1">IFERROR(VLOOKUP(INDIRECT("'Coverage Indicators - Section D'!L"&amp;$B477),'Overview - Section A'!M$29:P72,4,0),IFERROR(IF(VLOOKUP(INDIRECT("'Coverage Indicators - Section D'!L"&amp;$B477),'Overview - Section A'!E$26:I60,5,0)=0,"",VLOOKUP(INDIRECT("'Coverage Indicators - Section D'!L"&amp;$B477),'Overview - Section A'!E$26:I60,5,0)),""))</f>
        <v>a123p000005UjbKAAS</v>
      </c>
      <c r="T477" s="493" t="str">
        <f t="shared" ca="1" si="94"/>
        <v/>
      </c>
      <c r="U477" s="493" t="str">
        <f t="shared" ca="1" si="95"/>
        <v xml:space="preserve">Données de routine PNLS </v>
      </c>
      <c r="V477" s="493" t="str">
        <f t="shared" ca="1" si="96"/>
        <v>Selon les données de routine, la population carcérale augmente en moyenne 2500 détenus par an.  La taille de population a été projeté à 48 327 en 2021, 50 827 en 2022 et 53 327 en 2023. Il s'agit des nouveaux et des anciens detenus. Les nouveaux detenus représentent 60% de la population totale au cours de la période. 
Les cibles du PSN du dépistage en prison sont de  66% en 2021, 72% en 2022 et 78% en 2023 de la population totale en prison. 
Numérateur: Nombre de détenus dépistés au cours de la période 
Dénominateur: Population carcérale au cours de la période 
L'indicateur sera désagrégé par anciens + nouveaux detenus et nouveaux detenus   par sexe
L'indicateur est cumulatif annuellement</v>
      </c>
      <c r="W477" s="493"/>
      <c r="X477" s="493"/>
      <c r="Y477" s="487"/>
      <c r="Z477" s="487"/>
      <c r="AA477" s="493"/>
      <c r="AB477" s="493"/>
      <c r="AC477" s="487">
        <f t="shared" si="81"/>
        <v>0</v>
      </c>
      <c r="AD477" s="487"/>
      <c r="AE477" s="487"/>
      <c r="AF477" s="502"/>
      <c r="AG477" s="493"/>
    </row>
    <row r="478" spans="1:33" x14ac:dyDescent="0.3">
      <c r="A478" s="487" t="b">
        <f t="shared" ca="1" si="82"/>
        <v>1</v>
      </c>
      <c r="B478" s="488">
        <f t="shared" si="79"/>
        <v>13</v>
      </c>
      <c r="C478" s="500" t="str">
        <f>IFERROR(IF(AND(H478=2,B478=7),"blank",INDEX(C$444:C478,H478,1)),"")</f>
        <v>a183p000003Sl2YAAS</v>
      </c>
      <c r="D478" s="490">
        <f t="shared" ca="1" si="83"/>
        <v>100.0100361771357</v>
      </c>
      <c r="E478" s="502">
        <f t="shared" ca="1" si="84"/>
        <v>1066143</v>
      </c>
      <c r="F478" s="502">
        <f t="shared" ca="1" si="85"/>
        <v>1066250</v>
      </c>
      <c r="G478" s="493" t="str">
        <f t="shared" ca="1" si="86"/>
        <v>PNLS routine data</v>
      </c>
      <c r="H478" s="488">
        <f t="shared" si="80"/>
        <v>5</v>
      </c>
      <c r="I478" s="493" t="str">
        <f t="shared" ca="1" si="87"/>
        <v>According to the NSP targets, the percentage of pregnant women who know their HIV status is estimated to be 96% in 2021, 97% in 2022 and 98% in 2023
Numerator: Number of pregnant women screened for HIV who receive the test result + number of pregnant women received in CPN1 and who know they are HIV positive. It is estimated at 1,034,792 in 2021, 1,052,368 in 2022 and 1,070,084 in 2023
Denominator: Number of expected pregnancies
It is estimated at 1,077,908 in 2021, 1,084,915 in 2022 and 1,091,922 in 2023.</v>
      </c>
      <c r="J478" s="487" t="str">
        <f ca="1">IFERROR(VLOOKUP(INDIRECT("'Coverage Indicators - Section D'!D"&amp;$B478),'Reference Records'!C34:F185,4,0),"")</f>
        <v>MCI-01060</v>
      </c>
      <c r="K478" s="487" t="str">
        <f ca="1">IFERROR(VLOOKUP(IF(INDIRECT("'Coverage Indicators - Section D'!B"&amp;$B478)="","--select--",INDIRECT("'Coverage Indicators - Section D'!B"&amp;$B478)),'Overview - Section A'!C$100:D134,2,0),"")</f>
        <v>M-34815</v>
      </c>
      <c r="L478" s="493">
        <f t="shared" ca="1" si="88"/>
        <v>2019</v>
      </c>
      <c r="M478" s="487" t="str">
        <f ca="1">IFERROR(VLOOKUP(INDIRECT("'Coverage Indicators - Section D'!C"&amp;$B478),'Reference Records'!C$509:F622,3,0),"")</f>
        <v>MCI-01153</v>
      </c>
      <c r="N478" s="493" t="str">
        <f t="shared" ca="1" si="89"/>
        <v/>
      </c>
      <c r="O478" s="487" t="str">
        <f t="shared" ca="1" si="90"/>
        <v>Côte d'Ivoire</v>
      </c>
      <c r="P478" s="493" t="str">
        <f t="shared" ca="1" si="91"/>
        <v>Geographic Subnational, 100% of national program target</v>
      </c>
      <c r="Q478" s="493" t="str">
        <f t="shared" ca="1" si="92"/>
        <v>Non cumulative - special</v>
      </c>
      <c r="R478" s="487" t="b">
        <f t="shared" ca="1" si="93"/>
        <v>1</v>
      </c>
      <c r="S478" s="493" t="str">
        <f ca="1">IFERROR(VLOOKUP(INDIRECT("'Coverage Indicators - Section D'!L"&amp;$B478),'Overview - Section A'!M$29:P73,4,0),IFERROR(IF(VLOOKUP(INDIRECT("'Coverage Indicators - Section D'!L"&amp;$B478),'Overview - Section A'!E$26:I61,5,0)=0,"",VLOOKUP(INDIRECT("'Coverage Indicators - Section D'!L"&amp;$B478),'Overview - Section A'!E$26:I61,5,0)),""))</f>
        <v>a123p000005UjbKAAS</v>
      </c>
      <c r="T478" s="493" t="str">
        <f t="shared" ca="1" si="94"/>
        <v/>
      </c>
      <c r="U478" s="493" t="str">
        <f t="shared" ca="1" si="95"/>
        <v xml:space="preserve">Données de routine PNLS </v>
      </c>
      <c r="V478" s="493" t="str">
        <f t="shared" ca="1" si="96"/>
        <v>Selon les cibles du PSN, le pourcentage de femmes enceintes qui connaissent leur statut sérologique à l'égard du VIH est estimé à 96% en 2021, 97% en 2022 et 98% en 2023
'Numérateur: Nombre de femmes enceintes dépistées pour le VIH et qui reçoivent le résultat du test + nombre de femmes enceintes reçu en CPN1 et se connaissant séropostives au VIH. Il est estimé à 1 034 792 en 2021,  1 052 368 en 2022 et  1 070 084 en 2023
Dénominateur: Nombre de grossesses attendues
Il est estimé à 1 077 908 en 2021,  1 084 915 en 2022 et  1 091 922 en 2023</v>
      </c>
      <c r="W478" s="493"/>
      <c r="X478" s="493"/>
      <c r="Y478" s="487"/>
      <c r="Z478" s="487"/>
      <c r="AA478" s="493"/>
      <c r="AB478" s="493"/>
      <c r="AC478" s="487">
        <f t="shared" si="81"/>
        <v>0</v>
      </c>
      <c r="AD478" s="487"/>
      <c r="AE478" s="487"/>
      <c r="AF478" s="502"/>
      <c r="AG478" s="493"/>
    </row>
    <row r="479" spans="1:33" x14ac:dyDescent="0.3">
      <c r="A479" s="487" t="b">
        <f t="shared" ca="1" si="82"/>
        <v>1</v>
      </c>
      <c r="B479" s="488">
        <f t="shared" si="79"/>
        <v>15</v>
      </c>
      <c r="C479" s="500" t="str">
        <f>IFERROR(IF(AND(H479=2,B479=7),"blank",INDEX(C$444:C479,H479,1)),"")</f>
        <v>a183p000003Sl2ZAAS</v>
      </c>
      <c r="D479" s="490">
        <f t="shared" ca="1" si="83"/>
        <v>79.487866288101998</v>
      </c>
      <c r="E479" s="502">
        <f t="shared" ca="1" si="84"/>
        <v>18667</v>
      </c>
      <c r="F479" s="502">
        <f t="shared" ca="1" si="85"/>
        <v>14838</v>
      </c>
      <c r="G479" s="493" t="str">
        <f t="shared" ca="1" si="86"/>
        <v>PNLS routine data</v>
      </c>
      <c r="H479" s="488">
        <f t="shared" si="80"/>
        <v>6</v>
      </c>
      <c r="I479" s="493" t="str">
        <f t="shared" ca="1" si="87"/>
        <v>According to the NSP targets, treatment coverage for HIV-positive pregnant women is 85% (14,743/17,345) in 2021, 87% (14,438/16,595) in 2022 and 90% (14,244/15,827) in 2023.
Numerator: Number of HIV-positive pregnant women on ARVs
This gives 14,743 in 2021, 14,438 in 2022 and 14,244 in 2023.
Denominator: Total number of HIV + pregnant women estimated for the period (Spectrum).
Spectrum estimates are 17,345 in 2021, 16,595 in 2022 and 15,827 in 2023.</v>
      </c>
      <c r="J479" s="487" t="str">
        <f ca="1">IFERROR(VLOOKUP(INDIRECT("'Coverage Indicators - Section D'!D"&amp;$B479),'Reference Records'!C35:F186,4,0),"")</f>
        <v>MCI-01061</v>
      </c>
      <c r="K479" s="487" t="str">
        <f ca="1">IFERROR(VLOOKUP(IF(INDIRECT("'Coverage Indicators - Section D'!B"&amp;$B479)="","--select--",INDIRECT("'Coverage Indicators - Section D'!B"&amp;$B479)),'Overview - Section A'!C$100:D135,2,0),"")</f>
        <v>M-34815</v>
      </c>
      <c r="L479" s="493">
        <f t="shared" ca="1" si="88"/>
        <v>2019</v>
      </c>
      <c r="M479" s="487" t="str">
        <f ca="1">IFERROR(VLOOKUP(INDIRECT("'Coverage Indicators - Section D'!C"&amp;$B479),'Reference Records'!C$509:F623,3,0),"")</f>
        <v>MCI-01153</v>
      </c>
      <c r="N479" s="493" t="str">
        <f t="shared" ca="1" si="89"/>
        <v/>
      </c>
      <c r="O479" s="487" t="str">
        <f t="shared" ca="1" si="90"/>
        <v>Côte d'Ivoire</v>
      </c>
      <c r="P479" s="493" t="str">
        <f t="shared" ca="1" si="91"/>
        <v>Geographic Subnational, 100% of national program target</v>
      </c>
      <c r="Q479" s="493" t="str">
        <f t="shared" ca="1" si="92"/>
        <v>Non cumulative - special</v>
      </c>
      <c r="R479" s="487" t="b">
        <f t="shared" ca="1" si="93"/>
        <v>1</v>
      </c>
      <c r="S479" s="493" t="str">
        <f ca="1">IFERROR(VLOOKUP(INDIRECT("'Coverage Indicators - Section D'!L"&amp;$B479),'Overview - Section A'!M$29:P74,4,0),IFERROR(IF(VLOOKUP(INDIRECT("'Coverage Indicators - Section D'!L"&amp;$B479),'Overview - Section A'!E$26:I62,5,0)=0,"",VLOOKUP(INDIRECT("'Coverage Indicators - Section D'!L"&amp;$B479),'Overview - Section A'!E$26:I62,5,0)),""))</f>
        <v>a123p000005UjbKAAS</v>
      </c>
      <c r="T479" s="493" t="str">
        <f t="shared" ca="1" si="94"/>
        <v/>
      </c>
      <c r="U479" s="493" t="str">
        <f t="shared" ca="1" si="95"/>
        <v xml:space="preserve">Données de routine PNLS </v>
      </c>
      <c r="V479" s="493" t="str">
        <f t="shared" ca="1" si="96"/>
        <v>Selon les cibles du PSN, de couverture de mise sous traitement des femmes enceintes séropostives sont de  85% (14743/17345) en 2021, 87% (14438/16595) en 2022 et 90% (14244/15827) en 2023
 Numérateur: Nombre de femmes enceintes séropostives mises sous ARV
Cela donne 14 743 en 2021, 14 438 en 2022 et 14 244 en 2023
Dénominateur: Nombre total de femmes enceintes VIH+ estimé pour la période (Spectrum)
Les estimations spectrum sont de 17 345 en 2021, 16 595 en 2022 et 15 827 en 2023</v>
      </c>
      <c r="W479" s="493"/>
      <c r="X479" s="493"/>
      <c r="Y479" s="487"/>
      <c r="Z479" s="487"/>
      <c r="AA479" s="493"/>
      <c r="AB479" s="493"/>
      <c r="AC479" s="487">
        <f t="shared" si="81"/>
        <v>0</v>
      </c>
      <c r="AD479" s="487"/>
      <c r="AE479" s="487"/>
      <c r="AF479" s="502"/>
      <c r="AG479" s="493"/>
    </row>
    <row r="480" spans="1:33" x14ac:dyDescent="0.3">
      <c r="A480" s="487" t="b">
        <f t="shared" ca="1" si="82"/>
        <v>1</v>
      </c>
      <c r="B480" s="488">
        <f t="shared" si="79"/>
        <v>17</v>
      </c>
      <c r="C480" s="500" t="str">
        <f>IFERROR(IF(AND(H480=2,B480=7),"blank",INDEX(C$444:C480,H480,1)),"")</f>
        <v>a183p000003Sl2aAAC</v>
      </c>
      <c r="D480" s="490">
        <f t="shared" ca="1" si="83"/>
        <v>52.911555150800879</v>
      </c>
      <c r="E480" s="502">
        <f t="shared" ca="1" si="84"/>
        <v>18667</v>
      </c>
      <c r="F480" s="502">
        <f t="shared" ca="1" si="85"/>
        <v>9877</v>
      </c>
      <c r="G480" s="493" t="str">
        <f t="shared" ca="1" si="86"/>
        <v>PNLS routine data</v>
      </c>
      <c r="H480" s="488">
        <f t="shared" si="80"/>
        <v>7</v>
      </c>
      <c r="I480" s="493" t="str">
        <f t="shared" ca="1" si="87"/>
        <v>The indicator that is populated with the data from the national databases is the percentage of children born to HIV-positive mothers screened early (before 2 months).
According to the 2021-2025 NSP, 95% of children born to HIV-positive mothers must benefit from early detection in 2025. Taking into account the basic data for 2019 (53%), the percentages of children to be screened are 67% in 2021, 74% in 2022 and 81% in 2023.
Numerator: Number of children born to HIV positive mothers receiving early detection and who receive the result according to national guidelines (2 months).
Denominator: Estimated number of pregnant women with HIV.</v>
      </c>
      <c r="J480" s="487" t="str">
        <f ca="1">IFERROR(VLOOKUP(INDIRECT("'Coverage Indicators - Section D'!D"&amp;$B480),'Reference Records'!C36:F187,4,0),"")</f>
        <v>MCI-01062</v>
      </c>
      <c r="K480" s="487" t="str">
        <f ca="1">IFERROR(VLOOKUP(IF(INDIRECT("'Coverage Indicators - Section D'!B"&amp;$B480)="","--select--",INDIRECT("'Coverage Indicators - Section D'!B"&amp;$B480)),'Overview - Section A'!C$100:D136,2,0),"")</f>
        <v>M-34815</v>
      </c>
      <c r="L480" s="493">
        <f t="shared" ca="1" si="88"/>
        <v>2019</v>
      </c>
      <c r="M480" s="487" t="str">
        <f ca="1">IFERROR(VLOOKUP(INDIRECT("'Coverage Indicators - Section D'!C"&amp;$B480),'Reference Records'!C$509:F624,3,0),"")</f>
        <v>MCI-01153</v>
      </c>
      <c r="N480" s="493" t="str">
        <f t="shared" ca="1" si="89"/>
        <v/>
      </c>
      <c r="O480" s="487" t="str">
        <f t="shared" ca="1" si="90"/>
        <v>Côte d'Ivoire</v>
      </c>
      <c r="P480" s="493" t="str">
        <f t="shared" ca="1" si="91"/>
        <v>Geographic Subnational, 100% of national program target</v>
      </c>
      <c r="Q480" s="493" t="str">
        <f t="shared" ca="1" si="92"/>
        <v>Non cumulative</v>
      </c>
      <c r="R480" s="487" t="b">
        <f t="shared" ca="1" si="93"/>
        <v>1</v>
      </c>
      <c r="S480" s="493" t="str">
        <f ca="1">IFERROR(VLOOKUP(INDIRECT("'Coverage Indicators - Section D'!L"&amp;$B480),'Overview - Section A'!M$29:P75,4,0),IFERROR(IF(VLOOKUP(INDIRECT("'Coverage Indicators - Section D'!L"&amp;$B480),'Overview - Section A'!E$26:I63,5,0)=0,"",VLOOKUP(INDIRECT("'Coverage Indicators - Section D'!L"&amp;$B480),'Overview - Section A'!E$26:I63,5,0)),""))</f>
        <v>a123p000005UjbKAAS</v>
      </c>
      <c r="T480" s="493" t="str">
        <f t="shared" ca="1" si="94"/>
        <v/>
      </c>
      <c r="U480" s="493" t="str">
        <f t="shared" ca="1" si="95"/>
        <v xml:space="preserve">Données de routine PNLS </v>
      </c>
      <c r="V480" s="493" t="str">
        <f t="shared" ca="1" si="96"/>
        <v>L'indicateur qui est renseigné avec les outils nationaux est  le pourcentage d'enfants nés de mères séropositives au VIH dépistés précocement (avant 2 mois)
Selon le PSN 2021-2025, 95% d'enfants nés de mère séropositives doivent bénéficier du dépistage précoce en 2025. En tenant compte de la donnée de base de 2019 (53%), les pourcentages d'enfants à dépister ont été interpolés. Ce qui donne 67% en 2021, 74% en 2022 et 81% en 2023. 
Numérateur: Nombre d'enfants nés de mère séropositives bénéficiant d’un dépistage précoce et qui reçoivent le résultat selon les directives nationales (2 mois)
Dénominateur:  Nombre estimé de femmes enceintes séropositives</v>
      </c>
      <c r="W480" s="493"/>
      <c r="X480" s="493"/>
      <c r="Y480" s="487"/>
      <c r="Z480" s="487"/>
      <c r="AA480" s="493"/>
      <c r="AB480" s="493"/>
      <c r="AC480" s="487">
        <f t="shared" si="81"/>
        <v>0</v>
      </c>
      <c r="AD480" s="487"/>
      <c r="AE480" s="487"/>
      <c r="AF480" s="502"/>
      <c r="AG480" s="493"/>
    </row>
    <row r="481" spans="1:33" x14ac:dyDescent="0.3">
      <c r="A481" s="487" t="b">
        <f t="shared" ca="1" si="82"/>
        <v>1</v>
      </c>
      <c r="B481" s="488">
        <f t="shared" si="79"/>
        <v>19</v>
      </c>
      <c r="C481" s="500" t="str">
        <f>IFERROR(IF(AND(H481=2,B481=7),"blank",INDEX(C$444:C481,H481,1)),"")</f>
        <v>a183p000003Sl2bAAC</v>
      </c>
      <c r="D481" s="490">
        <f t="shared" ca="1" si="83"/>
        <v>62.760740345174156</v>
      </c>
      <c r="E481" s="502">
        <f t="shared" ca="1" si="84"/>
        <v>428827</v>
      </c>
      <c r="F481" s="502">
        <f t="shared" ca="1" si="85"/>
        <v>269135</v>
      </c>
      <c r="G481" s="493" t="str">
        <f t="shared" ca="1" si="86"/>
        <v>PNLS routine data</v>
      </c>
      <c r="H481" s="488">
        <f t="shared" si="80"/>
        <v>8</v>
      </c>
      <c r="I481" s="493" t="str">
        <f t="shared" ca="1" si="87"/>
        <v>According to the targets of the 2021-2025 NSP, the percentages of people to be put on ARVs are 72.3% in 2021, 76.9% in 2022 and 81.5% in 2023
The numerator is calculated by making the difference between the active file for year N and the active file for year N-1. This difference is divided by 2. To this we add the active file of N-1.
Numerator: Number of people on ARVs according to national guidelines (active file).
Denominator: Estimated number of people living with HIV (spectrum).</v>
      </c>
      <c r="J481" s="487" t="str">
        <f ca="1">IFERROR(VLOOKUP(INDIRECT("'Coverage Indicators - Section D'!D"&amp;$B481),'Reference Records'!C37:F188,4,0),"")</f>
        <v>MCI-01073</v>
      </c>
      <c r="K481" s="487" t="str">
        <f ca="1">IFERROR(VLOOKUP(IF(INDIRECT("'Coverage Indicators - Section D'!B"&amp;$B481)="","--select--",INDIRECT("'Coverage Indicators - Section D'!B"&amp;$B481)),'Overview - Section A'!C$100:D137,2,0),"")</f>
        <v>M-34816</v>
      </c>
      <c r="L481" s="493">
        <f t="shared" ca="1" si="88"/>
        <v>2019</v>
      </c>
      <c r="M481" s="487" t="str">
        <f ca="1">IFERROR(VLOOKUP(INDIRECT("'Coverage Indicators - Section D'!C"&amp;$B481),'Reference Records'!C$509:F625,3,0),"")</f>
        <v>MCI-01166</v>
      </c>
      <c r="N481" s="493" t="str">
        <f t="shared" ca="1" si="89"/>
        <v/>
      </c>
      <c r="O481" s="487" t="str">
        <f t="shared" ca="1" si="90"/>
        <v>Côte d'Ivoire</v>
      </c>
      <c r="P481" s="493" t="str">
        <f t="shared" ca="1" si="91"/>
        <v>Geographic Subnational, 100% of national program target</v>
      </c>
      <c r="Q481" s="493" t="str">
        <f t="shared" ca="1" si="92"/>
        <v>Non cumulative – other</v>
      </c>
      <c r="R481" s="487" t="b">
        <f t="shared" ca="1" si="93"/>
        <v>1</v>
      </c>
      <c r="S481" s="493" t="str">
        <f ca="1">IFERROR(VLOOKUP(INDIRECT("'Coverage Indicators - Section D'!L"&amp;$B481),'Overview - Section A'!M$29:P76,4,0),IFERROR(IF(VLOOKUP(INDIRECT("'Coverage Indicators - Section D'!L"&amp;$B481),'Overview - Section A'!E$26:I64,5,0)=0,"",VLOOKUP(INDIRECT("'Coverage Indicators - Section D'!L"&amp;$B481),'Overview - Section A'!E$26:I64,5,0)),""))</f>
        <v>a123p000005UjbKAAS</v>
      </c>
      <c r="T481" s="493" t="str">
        <f t="shared" ca="1" si="94"/>
        <v/>
      </c>
      <c r="U481" s="493" t="str">
        <f t="shared" ca="1" si="95"/>
        <v xml:space="preserve">Données de routine PNLS </v>
      </c>
      <c r="V481" s="493" t="str">
        <f t="shared" ca="1" si="96"/>
        <v>Selon les cibles du PSN 2021-2025, les pourcentages de personnes à mettre sous ARV sont de 72,3% en 2021, 76,9% en 2022 et 81,5% en 2023
Le numérateur est calculé en faisant la différence de la file active de l'année N et la file active de l'année N-1. Cette différence est divisée par 2. A cela on ajoute la file active de N-1
Numérateur: Nombre de personnes mises sous ARV selon les directives nationales (file active)
Dénominateur: Nombre estimé de personnes vivant avec le VIH (spectrum)</v>
      </c>
      <c r="W481" s="493"/>
      <c r="X481" s="493"/>
      <c r="Y481" s="487"/>
      <c r="Z481" s="487"/>
      <c r="AA481" s="493"/>
      <c r="AB481" s="493"/>
      <c r="AC481" s="487">
        <f t="shared" si="81"/>
        <v>0</v>
      </c>
      <c r="AD481" s="487"/>
      <c r="AE481" s="487"/>
      <c r="AF481" s="502"/>
      <c r="AG481" s="493"/>
    </row>
    <row r="482" spans="1:33" x14ac:dyDescent="0.3">
      <c r="A482" s="487" t="b">
        <f t="shared" ca="1" si="82"/>
        <v>1</v>
      </c>
      <c r="B482" s="488">
        <f t="shared" si="79"/>
        <v>21</v>
      </c>
      <c r="C482" s="500" t="str">
        <f>IFERROR(IF(AND(H482=2,B482=7),"blank",INDEX(C$444:C482,H482,1)),"")</f>
        <v>a183p000003Sl2cAAC</v>
      </c>
      <c r="D482" s="490">
        <f t="shared" ca="1" si="83"/>
        <v>64.911635776746579</v>
      </c>
      <c r="E482" s="502">
        <f t="shared" ca="1" si="84"/>
        <v>397163</v>
      </c>
      <c r="F482" s="502">
        <f t="shared" ca="1" si="85"/>
        <v>257805</v>
      </c>
      <c r="G482" s="493" t="str">
        <f t="shared" ca="1" si="86"/>
        <v>PNLS routine data</v>
      </c>
      <c r="H482" s="488">
        <f t="shared" si="80"/>
        <v>9</v>
      </c>
      <c r="I482" s="493" t="str">
        <f t="shared" ca="1" si="87"/>
        <v>According to the targets of the 2021-2025 NSP, the percentages of adults to be put on ARVs are 73% in 2021, 78% in 2022 and 82% in 2023
Numerator: Number of adults put on ARVs according to national guidelines (active file).
Denominator: Estimated number of adults living with HIV (spectrum).</v>
      </c>
      <c r="J482" s="487" t="str">
        <f ca="1">IFERROR(VLOOKUP(INDIRECT("'Coverage Indicators - Section D'!D"&amp;$B482),'Reference Records'!C38:F189,4,0),"")</f>
        <v>MCI-01074</v>
      </c>
      <c r="K482" s="487" t="str">
        <f ca="1">IFERROR(VLOOKUP(IF(INDIRECT("'Coverage Indicators - Section D'!B"&amp;$B482)="","--select--",INDIRECT("'Coverage Indicators - Section D'!B"&amp;$B482)),'Overview - Section A'!C$100:D138,2,0),"")</f>
        <v>M-34816</v>
      </c>
      <c r="L482" s="493" t="str">
        <f t="shared" ca="1" si="88"/>
        <v/>
      </c>
      <c r="M482" s="487" t="str">
        <f ca="1">IFERROR(VLOOKUP(INDIRECT("'Coverage Indicators - Section D'!C"&amp;$B482),'Reference Records'!C$509:F626,3,0),"")</f>
        <v>MCI-01167</v>
      </c>
      <c r="N482" s="493" t="str">
        <f t="shared" ca="1" si="89"/>
        <v/>
      </c>
      <c r="O482" s="487" t="str">
        <f t="shared" ca="1" si="90"/>
        <v>Côte d'Ivoire</v>
      </c>
      <c r="P482" s="493" t="str">
        <f t="shared" ca="1" si="91"/>
        <v>Geographic Subnational, 100% of national program target</v>
      </c>
      <c r="Q482" s="493" t="str">
        <f t="shared" ca="1" si="92"/>
        <v>Non cumulative – other</v>
      </c>
      <c r="R482" s="487" t="b">
        <f t="shared" ca="1" si="93"/>
        <v>1</v>
      </c>
      <c r="S482" s="493" t="str">
        <f ca="1">IFERROR(VLOOKUP(INDIRECT("'Coverage Indicators - Section D'!L"&amp;$B482),'Overview - Section A'!M$29:P77,4,0),IFERROR(IF(VLOOKUP(INDIRECT("'Coverage Indicators - Section D'!L"&amp;$B482),'Overview - Section A'!E$26:I65,5,0)=0,"",VLOOKUP(INDIRECT("'Coverage Indicators - Section D'!L"&amp;$B482),'Overview - Section A'!E$26:I65,5,0)),""))</f>
        <v>a123p000005UjbKAAS</v>
      </c>
      <c r="T482" s="493" t="str">
        <f t="shared" ca="1" si="94"/>
        <v/>
      </c>
      <c r="U482" s="493" t="str">
        <f t="shared" ca="1" si="95"/>
        <v xml:space="preserve">Données de routine PNLS </v>
      </c>
      <c r="V482" s="493" t="str">
        <f t="shared" ca="1" si="96"/>
        <v>Selon les cibles du PSN 20121-2025, les pourcentages de personnes adultes à mettre sous ARV sont de 73% en 2021, 78% en 2022 et 82% en 2023
Numérateur: Nombre de personnes adultes mises sous ARV selon les directives nationales (file active)
Dénominateur: Nombre estimé de personnes adultes vivant avec le VIH (spectrum)</v>
      </c>
      <c r="W482" s="493"/>
      <c r="X482" s="493"/>
      <c r="Y482" s="487"/>
      <c r="Z482" s="487"/>
      <c r="AA482" s="493"/>
      <c r="AB482" s="493"/>
      <c r="AC482" s="487">
        <f t="shared" si="81"/>
        <v>0</v>
      </c>
      <c r="AD482" s="487"/>
      <c r="AE482" s="487"/>
      <c r="AF482" s="502"/>
      <c r="AG482" s="493"/>
    </row>
    <row r="483" spans="1:33" x14ac:dyDescent="0.3">
      <c r="A483" s="487" t="b">
        <f t="shared" ca="1" si="82"/>
        <v>1</v>
      </c>
      <c r="B483" s="488">
        <f t="shared" si="79"/>
        <v>23</v>
      </c>
      <c r="C483" s="500" t="str">
        <f>IFERROR(IF(AND(H483=2,B483=7),"blank",INDEX(C$444:C483,H483,1)),"")</f>
        <v>a183p000003Sl2dAAC</v>
      </c>
      <c r="D483" s="490">
        <f t="shared" ca="1" si="83"/>
        <v>35.784220832543745</v>
      </c>
      <c r="E483" s="502">
        <f t="shared" ca="1" si="84"/>
        <v>31662</v>
      </c>
      <c r="F483" s="502">
        <f t="shared" ca="1" si="85"/>
        <v>11330</v>
      </c>
      <c r="G483" s="493" t="str">
        <f t="shared" ca="1" si="86"/>
        <v>PNLS routine data</v>
      </c>
      <c r="H483" s="488">
        <f t="shared" si="80"/>
        <v>10</v>
      </c>
      <c r="I483" s="493" t="str">
        <f t="shared" ca="1" si="87"/>
        <v>According to the targets of the 2021-2025 NSP, the percentages of children under 15 years of age on ART are 55.7% in 2021, 65.5% in 2022 and 75.3% in 2023
Numerator: Number of children under 15 years of age on ARVs according to national guidelines (active file).
Denominator: Estimated number of children under 15 living with HIV (spectrum).</v>
      </c>
      <c r="J483" s="487" t="str">
        <f ca="1">IFERROR(VLOOKUP(INDIRECT("'Coverage Indicators - Section D'!D"&amp;$B483),'Reference Records'!C39:F190,4,0),"")</f>
        <v>MCI-01075</v>
      </c>
      <c r="K483" s="487" t="str">
        <f ca="1">IFERROR(VLOOKUP(IF(INDIRECT("'Coverage Indicators - Section D'!B"&amp;$B483)="","--select--",INDIRECT("'Coverage Indicators - Section D'!B"&amp;$B483)),'Overview - Section A'!C$100:D139,2,0),"")</f>
        <v>M-34816</v>
      </c>
      <c r="L483" s="493">
        <f t="shared" ca="1" si="88"/>
        <v>2019</v>
      </c>
      <c r="M483" s="487" t="str">
        <f ca="1">IFERROR(VLOOKUP(INDIRECT("'Coverage Indicators - Section D'!C"&amp;$B483),'Reference Records'!C$509:F627,3,0),"")</f>
        <v>MCI-01168</v>
      </c>
      <c r="N483" s="493" t="str">
        <f t="shared" ca="1" si="89"/>
        <v/>
      </c>
      <c r="O483" s="487" t="str">
        <f t="shared" ca="1" si="90"/>
        <v>Côte d'Ivoire</v>
      </c>
      <c r="P483" s="493" t="str">
        <f t="shared" ca="1" si="91"/>
        <v>Geographic Subnational, 100% of national program target</v>
      </c>
      <c r="Q483" s="493" t="str">
        <f t="shared" ca="1" si="92"/>
        <v>Non cumulative – other</v>
      </c>
      <c r="R483" s="487" t="b">
        <f t="shared" ca="1" si="93"/>
        <v>1</v>
      </c>
      <c r="S483" s="493" t="str">
        <f ca="1">IFERROR(VLOOKUP(INDIRECT("'Coverage Indicators - Section D'!L"&amp;$B483),'Overview - Section A'!M$29:P78,4,0),IFERROR(IF(VLOOKUP(INDIRECT("'Coverage Indicators - Section D'!L"&amp;$B483),'Overview - Section A'!E$26:I66,5,0)=0,"",VLOOKUP(INDIRECT("'Coverage Indicators - Section D'!L"&amp;$B483),'Overview - Section A'!E$26:I66,5,0)),""))</f>
        <v>a123p000005UjbKAAS</v>
      </c>
      <c r="T483" s="493" t="str">
        <f t="shared" ca="1" si="94"/>
        <v/>
      </c>
      <c r="U483" s="493" t="str">
        <f t="shared" ca="1" si="95"/>
        <v xml:space="preserve">Données de routine PNLS </v>
      </c>
      <c r="V483" s="493" t="str">
        <f t="shared" ca="1" si="96"/>
        <v xml:space="preserve">Selon les cibles du PSN 20121-2025, les pourcentages d'enfants moins de 15 ans à mettre sous ARV sont de 55,7% en 2021, 65,5% en 2022 et 75,3% en 2023
Numérateur: Nombre d'enfants de moins de 15 ans mises sous ARV selon les directives nationales (file active)
Dénominateur: Nombre estimé d'enfants de moins de 15 ans  vivant avec le VIH (spectrum)
</v>
      </c>
      <c r="W483" s="493"/>
      <c r="X483" s="493"/>
      <c r="Y483" s="487"/>
      <c r="Z483" s="487"/>
      <c r="AA483" s="493"/>
      <c r="AB483" s="493"/>
      <c r="AC483" s="487">
        <f t="shared" si="81"/>
        <v>0</v>
      </c>
      <c r="AD483" s="487"/>
      <c r="AE483" s="487"/>
      <c r="AF483" s="502"/>
      <c r="AG483" s="493"/>
    </row>
    <row r="484" spans="1:33" x14ac:dyDescent="0.3">
      <c r="A484" s="487" t="b">
        <f t="shared" ca="1" si="82"/>
        <v>1</v>
      </c>
      <c r="B484" s="488">
        <f t="shared" si="79"/>
        <v>25</v>
      </c>
      <c r="C484" s="500" t="str">
        <f>IFERROR(IF(AND(H484=2,B484=7),"blank",INDEX(C$444:C484,H484,1)),"")</f>
        <v>a183p000003Sl2eAAC</v>
      </c>
      <c r="D484" s="490">
        <f t="shared" ca="1" si="83"/>
        <v>75.023206366081425</v>
      </c>
      <c r="E484" s="502">
        <f t="shared" ca="1" si="84"/>
        <v>252086</v>
      </c>
      <c r="F484" s="502">
        <f t="shared" ca="1" si="85"/>
        <v>189123</v>
      </c>
      <c r="G484" s="493" t="str">
        <f t="shared" ca="1" si="86"/>
        <v>PNLS routine data</v>
      </c>
      <c r="H484" s="488">
        <f t="shared" si="80"/>
        <v>11</v>
      </c>
      <c r="I484" s="493" t="str">
        <f t="shared" ca="1" si="87"/>
        <v>This indicator will be reported at the national level.
According to spectrum, the estimated number of PLWHIV is 428,827.
According to the HSP, ARV coverage is 72.3% in 2021, 76.9% in 2022 and 81.5% in 2023. By applying these percentages to the estimated PLWHA, we obtain the number of people to be put in the care which is our denominator.
Based on routine data from 2019, according to 2021-2025 NSP, 83% (2021), 88% (2022) and 92% (2023) of those in care will benefit from active tuberculosis research .
Numerator: Number of people who benefited from active TB research at the last visit.
Denominator: Total number of adults and children who received care in the facility during the month.
(Take the last month of the reporting period for the numerator and denominator).</v>
      </c>
      <c r="J484" s="487" t="str">
        <f ca="1">IFERROR(VLOOKUP(INDIRECT("'Coverage Indicators - Section D'!D"&amp;$B484),'Reference Records'!C40:F191,4,0),"")</f>
        <v>MCI-01230</v>
      </c>
      <c r="K484" s="487" t="str">
        <f ca="1">IFERROR(VLOOKUP(IF(INDIRECT("'Coverage Indicators - Section D'!B"&amp;$B484)="","--select--",INDIRECT("'Coverage Indicators - Section D'!B"&amp;$B484)),'Overview - Section A'!C$100:D140,2,0),"")</f>
        <v>M-34819</v>
      </c>
      <c r="L484" s="493">
        <f t="shared" ca="1" si="88"/>
        <v>2019</v>
      </c>
      <c r="M484" s="487" t="str">
        <f ca="1">IFERROR(VLOOKUP(INDIRECT("'Coverage Indicators - Section D'!C"&amp;$B484),'Reference Records'!C$509:F628,3,0),"")</f>
        <v>MCI-01153</v>
      </c>
      <c r="N484" s="493" t="str">
        <f t="shared" ca="1" si="89"/>
        <v/>
      </c>
      <c r="O484" s="487" t="str">
        <f t="shared" ca="1" si="90"/>
        <v>Côte d'Ivoire</v>
      </c>
      <c r="P484" s="493" t="str">
        <f t="shared" ca="1" si="91"/>
        <v>Geographic Subnational, 100% of national program target</v>
      </c>
      <c r="Q484" s="493" t="str">
        <f t="shared" ca="1" si="92"/>
        <v>Non cumulative</v>
      </c>
      <c r="R484" s="487" t="b">
        <f t="shared" ca="1" si="93"/>
        <v>1</v>
      </c>
      <c r="S484" s="493" t="str">
        <f ca="1">IFERROR(VLOOKUP(INDIRECT("'Coverage Indicators - Section D'!L"&amp;$B484),'Overview - Section A'!M$29:P79,4,0),IFERROR(IF(VLOOKUP(INDIRECT("'Coverage Indicators - Section D'!L"&amp;$B484),'Overview - Section A'!E$26:I67,5,0)=0,"",VLOOKUP(INDIRECT("'Coverage Indicators - Section D'!L"&amp;$B484),'Overview - Section A'!E$26:I67,5,0)),""))</f>
        <v>a123p000005UjbKAAS</v>
      </c>
      <c r="T484" s="493" t="str">
        <f t="shared" ca="1" si="94"/>
        <v/>
      </c>
      <c r="U484" s="493" t="str">
        <f t="shared" ca="1" si="95"/>
        <v xml:space="preserve">Données de routine PNLS </v>
      </c>
      <c r="V484" s="493" t="str">
        <f t="shared" ca="1" si="96"/>
        <v xml:space="preserve">Cet indicateur sera rapporté au niveau national. 
Selon spectrum, le nombre de PVVIH estimé est de 428 827. 
Selon le PSN, les couvertures de mises sous ARV sont de 72,3% en 2021, 76,9% en 2022 et 81,5% en 2023. En appliquant ces pourcentages aux PVVIH estimées, on obtient le nombre de personnes à mettre dans les soins qui est notre dénominateur. 
Partant des données de routine de 2019, selon PSN 2021-2025, ce sont 83% (2021), 88% (2022) et 92% (2023) de ceux qui sont dans les soins qui vont bénéficier de la recherche active de la tuberculose. 
'Numerateur: Nombre de personnes qui ont bénéficié de la recherche active de TB à la dernière visite 
Denominateur: Nombre total d'adultes et enfants qui ont reçu les soins dans l'établissement au cours du mois 
(Prendre le dernier mois de la période de rapportage pour le numérateur et le dénominateur)
</v>
      </c>
      <c r="W484" s="493"/>
      <c r="X484" s="493"/>
      <c r="Y484" s="487"/>
      <c r="Z484" s="487"/>
      <c r="AA484" s="493"/>
      <c r="AB484" s="493"/>
      <c r="AC484" s="487">
        <f t="shared" si="81"/>
        <v>0</v>
      </c>
      <c r="AD484" s="487"/>
      <c r="AE484" s="487"/>
      <c r="AF484" s="502"/>
      <c r="AG484" s="493"/>
    </row>
    <row r="485" spans="1:33" x14ac:dyDescent="0.3">
      <c r="A485" s="487" t="b">
        <f t="shared" ca="1" si="82"/>
        <v>1</v>
      </c>
      <c r="B485" s="488">
        <f t="shared" si="79"/>
        <v>27</v>
      </c>
      <c r="C485" s="500" t="str">
        <f>IFERROR(IF(AND(H485=2,B485=7),"blank",INDEX(C$444:C485,H485,1)),"")</f>
        <v>a183p000003Sl2fAAC</v>
      </c>
      <c r="D485" s="490">
        <f t="shared" ca="1" si="83"/>
        <v>99.091946372539695</v>
      </c>
      <c r="E485" s="502">
        <f t="shared" ca="1" si="84"/>
        <v>21034</v>
      </c>
      <c r="F485" s="502">
        <f t="shared" ca="1" si="85"/>
        <v>20843</v>
      </c>
      <c r="G485" s="493" t="str">
        <f t="shared" ca="1" si="86"/>
        <v>PNLT 2018 annual report</v>
      </c>
      <c r="H485" s="488">
        <f t="shared" si="80"/>
        <v>12</v>
      </c>
      <c r="I485" s="493" t="str">
        <f t="shared" ca="1" si="87"/>
        <v>This indicator is reported by the National Tuberculosis Control Program (PNLT)
100% of patients should be tested for HIV.
To date, the PNLT forms do not allow disaggregation of this indicator by age and sex. However, the disintegration from the result of the HIV test will be available.</v>
      </c>
      <c r="J485" s="487" t="str">
        <f ca="1">IFERROR(VLOOKUP(INDIRECT("'Coverage Indicators - Section D'!D"&amp;$B485),'Reference Records'!C41:F192,4,0),"")</f>
        <v>MCI-01094</v>
      </c>
      <c r="K485" s="487" t="str">
        <f ca="1">IFERROR(VLOOKUP(IF(INDIRECT("'Coverage Indicators - Section D'!B"&amp;$B485)="","--select--",INDIRECT("'Coverage Indicators - Section D'!B"&amp;$B485)),'Overview - Section A'!C$100:D141,2,0),"")</f>
        <v>M-34819</v>
      </c>
      <c r="L485" s="493">
        <f t="shared" ca="1" si="88"/>
        <v>2019</v>
      </c>
      <c r="M485" s="487" t="str">
        <f ca="1">IFERROR(VLOOKUP(INDIRECT("'Coverage Indicators - Section D'!C"&amp;$B485),'Reference Records'!C$509:F629,3,0),"")</f>
        <v>MCI-01153</v>
      </c>
      <c r="N485" s="493" t="str">
        <f t="shared" ca="1" si="89"/>
        <v/>
      </c>
      <c r="O485" s="487" t="str">
        <f t="shared" ca="1" si="90"/>
        <v>Côte d'Ivoire</v>
      </c>
      <c r="P485" s="493" t="str">
        <f t="shared" ca="1" si="91"/>
        <v>Geographic Subnational, 100% of national program target</v>
      </c>
      <c r="Q485" s="493" t="str">
        <f t="shared" ca="1" si="92"/>
        <v>Non cumulative</v>
      </c>
      <c r="R485" s="487" t="b">
        <f t="shared" ca="1" si="93"/>
        <v>1</v>
      </c>
      <c r="S485" s="493" t="str">
        <f ca="1">IFERROR(VLOOKUP(INDIRECT("'Coverage Indicators - Section D'!L"&amp;$B485),'Overview - Section A'!M$29:P80,4,0),IFERROR(IF(VLOOKUP(INDIRECT("'Coverage Indicators - Section D'!L"&amp;$B485),'Overview - Section A'!E$26:I68,5,0)=0,"",VLOOKUP(INDIRECT("'Coverage Indicators - Section D'!L"&amp;$B485),'Overview - Section A'!E$26:I68,5,0)),""))</f>
        <v>a123p000005UjbKAAS</v>
      </c>
      <c r="T485" s="493" t="str">
        <f t="shared" ca="1" si="94"/>
        <v/>
      </c>
      <c r="U485" s="493" t="str">
        <f t="shared" ca="1" si="95"/>
        <v>Rapport annuel PNLT 2018</v>
      </c>
      <c r="V485" s="493" t="str">
        <f t="shared" ca="1" si="96"/>
        <v>Cet indicateur est rapporté par le Programme National de Lutte contre la Tuberculose (PNLT)
100% des patients doivent être testés pour le VIH. 
A ce jour, les formulaires du PNLT ne permettent pas d'avoir une désagrégation de cet indicateur selon l'âge et le sexe. Par contre la désagragation selon le résultat du test VIH sera disponible.</v>
      </c>
      <c r="W485" s="493"/>
      <c r="X485" s="493"/>
      <c r="Y485" s="487"/>
      <c r="Z485" s="487"/>
      <c r="AA485" s="493"/>
      <c r="AB485" s="493"/>
      <c r="AC485" s="487">
        <f t="shared" si="81"/>
        <v>0</v>
      </c>
      <c r="AD485" s="487"/>
      <c r="AE485" s="487"/>
      <c r="AF485" s="502"/>
      <c r="AG485" s="493"/>
    </row>
    <row r="486" spans="1:33" x14ac:dyDescent="0.3">
      <c r="A486" s="487" t="b">
        <f t="shared" ca="1" si="82"/>
        <v>1</v>
      </c>
      <c r="B486" s="488">
        <f t="shared" si="79"/>
        <v>29</v>
      </c>
      <c r="C486" s="500" t="str">
        <f>IFERROR(IF(AND(H486=2,B486=7),"blank",INDEX(C$444:C486,H486,1)),"")</f>
        <v>a183p000003Sl2gAAC</v>
      </c>
      <c r="D486" s="490">
        <f t="shared" ca="1" si="83"/>
        <v>86.04651162790698</v>
      </c>
      <c r="E486" s="502">
        <f t="shared" ca="1" si="84"/>
        <v>86</v>
      </c>
      <c r="F486" s="502">
        <f t="shared" ca="1" si="85"/>
        <v>74</v>
      </c>
      <c r="G486" s="493" t="str">
        <f t="shared" ca="1" si="86"/>
        <v>DIIS routine data</v>
      </c>
      <c r="H486" s="488">
        <f t="shared" si="80"/>
        <v>13</v>
      </c>
      <c r="I486" s="493" t="str">
        <f t="shared" ca="1" si="87"/>
        <v>The indicator will be populated from DHIS2
Numerator: Number of health districts that submitted their reports on time and in full as directed
Denominator: Number of health districts</v>
      </c>
      <c r="J486" s="487" t="str">
        <f ca="1">IFERROR(VLOOKUP(INDIRECT("'Coverage Indicators - Section D'!D"&amp;$B486),'Reference Records'!C42:F193,4,0),"")</f>
        <v/>
      </c>
      <c r="K486" s="487" t="str">
        <f ca="1">IFERROR(VLOOKUP(IF(INDIRECT("'Coverage Indicators - Section D'!B"&amp;$B486)="","--select--",INDIRECT("'Coverage Indicators - Section D'!B"&amp;$B486)),'Overview - Section A'!C$100:D142,2,0),"")</f>
        <v>M-34820</v>
      </c>
      <c r="L486" s="493">
        <f t="shared" ca="1" si="88"/>
        <v>2019</v>
      </c>
      <c r="M486" s="487" t="str">
        <f ca="1">IFERROR(VLOOKUP(INDIRECT("'Coverage Indicators - Section D'!C"&amp;$B486),'Reference Records'!C$509:F630,3,0),"")</f>
        <v>MCI-01153</v>
      </c>
      <c r="N486" s="493" t="str">
        <f t="shared" ca="1" si="89"/>
        <v>Percentage of health districts that submitted their reports on time (Completeness ≥ 95% and Promptitude ≥ 85%.) according to national guidelines</v>
      </c>
      <c r="O486" s="487" t="str">
        <f t="shared" ca="1" si="90"/>
        <v>Côte d'Ivoire</v>
      </c>
      <c r="P486" s="493" t="str">
        <f t="shared" ca="1" si="91"/>
        <v>geographic Subnational, 100% of national program target</v>
      </c>
      <c r="Q486" s="493" t="str">
        <f t="shared" ca="1" si="92"/>
        <v>Non cumulative - special</v>
      </c>
      <c r="R486" s="487" t="b">
        <f t="shared" ca="1" si="93"/>
        <v>1</v>
      </c>
      <c r="S486" s="493" t="str">
        <f ca="1">IFERROR(VLOOKUP(INDIRECT("'Coverage Indicators - Section D'!L"&amp;$B486),'Overview - Section A'!M$29:P81,4,0),IFERROR(IF(VLOOKUP(INDIRECT("'Coverage Indicators - Section D'!L"&amp;$B486),'Overview - Section A'!E$26:I69,5,0)=0,"",VLOOKUP(INDIRECT("'Coverage Indicators - Section D'!L"&amp;$B486),'Overview - Section A'!E$26:I69,5,0)),""))</f>
        <v>a123p000005UjbKAAS</v>
      </c>
      <c r="T486" s="493" t="str">
        <f t="shared" ca="1" si="94"/>
        <v>Pourcentrage de districts sanitaires qui ont transmis à temps ( Completude est ≥ 95% et la     Promptitude ≥ 85%.) leurs rapports dans les délais selon les directives nationales</v>
      </c>
      <c r="U486" s="493" t="str">
        <f t="shared" ca="1" si="95"/>
        <v xml:space="preserve">Données de routine DIIS </v>
      </c>
      <c r="V486" s="493" t="str">
        <f t="shared" ca="1" si="96"/>
        <v>L'indicateur sera renseigné à partir de DHIS2
Numérateur: Nombre de districts sanitaires qui ont transmis leur rapport à temps et complet selon les directives 
Dénominateur: Nombre de districts sanitaires</v>
      </c>
      <c r="W486" s="493"/>
      <c r="X486" s="493"/>
      <c r="Y486" s="487"/>
      <c r="Z486" s="487"/>
      <c r="AA486" s="493"/>
      <c r="AB486" s="493"/>
      <c r="AC486" s="487">
        <f t="shared" si="81"/>
        <v>0</v>
      </c>
      <c r="AD486" s="487"/>
      <c r="AE486" s="487"/>
      <c r="AF486" s="502"/>
      <c r="AG486" s="493"/>
    </row>
    <row r="487" spans="1:33" x14ac:dyDescent="0.3">
      <c r="A487" s="487" t="b">
        <f t="shared" ca="1" si="82"/>
        <v>1</v>
      </c>
      <c r="B487" s="488">
        <f t="shared" si="79"/>
        <v>31</v>
      </c>
      <c r="C487" s="500" t="str">
        <f>IFERROR(IF(AND(H487=2,B487=7),"blank",INDEX(C$444:C487,H487,1)),"")</f>
        <v>a183p000003Sl2hAAC</v>
      </c>
      <c r="D487" s="490">
        <f t="shared" ca="1" si="83"/>
        <v>70.846127601501195</v>
      </c>
      <c r="E487" s="502">
        <f t="shared" ca="1" si="84"/>
        <v>5862</v>
      </c>
      <c r="F487" s="502">
        <f t="shared" ca="1" si="85"/>
        <v>4153</v>
      </c>
      <c r="G487" s="493" t="str">
        <f t="shared" ca="1" si="86"/>
        <v>Alliance CI Routine data (Annual report)</v>
      </c>
      <c r="H487" s="488">
        <f t="shared" si="80"/>
        <v>14</v>
      </c>
      <c r="I487" s="493" t="str">
        <f t="shared" ca="1" si="87"/>
        <v>The 2019 results for Alliance Côte d'Ivoire indicate that 4,153 MSM have benefited from at least three peer prevention services, out of an estimated total of 5,862 MSM, representing 70.85% coverage in 683 meeting places. These data cover 17 health districts in 2019.
For NFM3, Alliance Côte d'Ivoire will cover 24 districts with at least 200 MSM estimated. The total estimated number of MSM is 9,062 in 2021, 9,297 in 2022 and 9,539 in 2023. The methodology for estimating the size of MSM population was made on the basis of the Technical Note for Size Estimation (see report ):
In this report, MSM represent 0.53% of men aged 15 to 49 years. This proportion was applied to the size of the population of men aged 15 to 49 in each district and region to estimate the number of MSM.
According to the projections in the table of program gaps, the country's projections are 60% in 2021, 70% in 2022 and 80% in 2023.
Given the basic data as of December 31, 2019 for coverage of 71%, the NFM3 objective for the community component will be maintained at 80% until 2023.
Alliance Côte d'Ivoire plans to target 80% in order to align with the below table:
2021: 7250 = (9062 * 80%);
2022: 7438 = (9297 * 80%);
2023: 7631 = (9539 * 80%).
The peer navigators will carry out the combined prevention activities.
As part of NFM 3, Alliance Côte d'Ivoire will offer a minimum combined prevention service package:
1- Communication for social behavior change (CSC),
2- Promotion and distribution of condoms and lubricating gels based on water,
3- Classic advice and screening with result reporting,
4- Self-screening
5- Diagnosis and treatment of STIs,
6- PreP
7- Fight against human rights violations and gender-based violence (GBV),
8- Care and support for HIV positive MSM,
9- Fight against stigma and discrimination.
Under the NFM3, each MSM will benefit from at least three (3) of the nine (9) services before being counted as having benefited from an AIDS prevention program (defined service package).
Numerator: number of MSM who have benefited from HIV prevention programs service package defined during the period
Denominator: number of MSM assessed at meeting places during the period
Breakdown by: age group - [15-19]; [20-24]; [25-34]; [35-49]; [50 and over].
Reporting tool for the indicator at Alliance Côte d'Ivoire level:
- For the numerator, it will have two (2) tools: the database (the tab on prevention activities) and the narrative report.
- For the denominator, there will be the database (size assessment).</v>
      </c>
      <c r="J487" s="487" t="str">
        <f ca="1">IFERROR(VLOOKUP(INDIRECT("'Coverage Indicators - Section D'!D"&amp;$B487),'Reference Records'!C43:F194,4,0),"")</f>
        <v>MCI-01045</v>
      </c>
      <c r="K487" s="487" t="str">
        <f ca="1">IFERROR(VLOOKUP(IF(INDIRECT("'Coverage Indicators - Section D'!B"&amp;$B487)="","--select--",INDIRECT("'Coverage Indicators - Section D'!B"&amp;$B487)),'Overview - Section A'!C$100:D143,2,0),"")</f>
        <v>M-34813</v>
      </c>
      <c r="L487" s="493">
        <f t="shared" ca="1" si="88"/>
        <v>2019</v>
      </c>
      <c r="M487" s="487" t="str">
        <f ca="1">IFERROR(VLOOKUP(INDIRECT("'Coverage Indicators - Section D'!C"&amp;$B487),'Reference Records'!C$509:F631,3,0),"")</f>
        <v>MCI-01138</v>
      </c>
      <c r="N487" s="493" t="str">
        <f t="shared" ca="1" si="89"/>
        <v/>
      </c>
      <c r="O487" s="487" t="str">
        <f t="shared" ca="1" si="90"/>
        <v>Côte d'Ivoire</v>
      </c>
      <c r="P487" s="493" t="str">
        <f t="shared" ca="1" si="91"/>
        <v>Geographic Subnational, less than 100% national program target</v>
      </c>
      <c r="Q487" s="493" t="str">
        <f t="shared" ca="1" si="92"/>
        <v>Non cumulative</v>
      </c>
      <c r="R487" s="487" t="b">
        <f t="shared" ca="1" si="93"/>
        <v>1</v>
      </c>
      <c r="S487" s="493" t="str">
        <f ca="1">IFERROR(VLOOKUP(INDIRECT("'Coverage Indicators - Section D'!L"&amp;$B487),'Overview - Section A'!M$29:P82,4,0),IFERROR(IF(VLOOKUP(INDIRECT("'Coverage Indicators - Section D'!L"&amp;$B487),'Overview - Section A'!E$26:I70,5,0)=0,"",VLOOKUP(INDIRECT("'Coverage Indicators - Section D'!L"&amp;$B487),'Overview - Section A'!E$26:I70,5,0)),""))</f>
        <v>a123p000005UjbLAAS</v>
      </c>
      <c r="T487" s="493" t="str">
        <f t="shared" ca="1" si="94"/>
        <v/>
      </c>
      <c r="U487" s="493" t="str">
        <f t="shared" ca="1" si="95"/>
        <v>Alliance CI Routine data (Rapport annuel)</v>
      </c>
      <c r="V487" s="493" t="str">
        <f t="shared" ca="1" si="96"/>
        <v>Le résultat de 2019 pour Alliance Côte d'Ivoire indique que 4.153 HSH ont bénéficié d'au moins trois services de prévention par les pairs, sur un total estimé de 5.862 HSH, soit une couverture de 70,85% sur 683 lieux de rencontre. Ces données couvrent 17 districts de santé en 2019.
Pour le NFM3, Alliance Côte d'Ivoire couvre 24 districts avec au moins 200 HSH estimés. Le nombre total estimé des HSH est de 9062 en 2021, de 9297 en 2022 et de 9539 en 2023. La méthodologie d’estimation de la taille des HSH a été faite sur la base de la Note technique d'estimation de taille (voir rapport):
Ainsi dans ce rapport, les HSH représentent 0,53% des hommes âgés de 15 à 49 ans. Cette proportion a été appliquée à la taille de la population des hommes âgés de 15 à 49 ans dans chaque district et région afin d’estimer le nombre de HSH. 
Selon les projections du tableau des gaps programmatiques, les projections du pays sont de 60% en 2021, 70% en 2022 et 80% en 2023.
Compte tenu de la donnée de base au 31 décembre 2019 pour une couverture de 71%, l'objectif de la subvention NFM3 volet communautaire sera maintenu à 80% jusqu'en 2023. 
Alliance Côte d'Ivoire prévoit comme cible un objectif de 80% afin de s'aligner au tableau : 
2021 : 7250 = (9062*80%);
2022 : 7438 = (9297*80%); 
2023 : 7631 = (9539*80%).
Les pairs navigateurs réaliseront les activités de prévention combinée.
Dans le cadre de NFM 3, Alliance Côte d'Ivoire proposera un paquet de service minimum de prévention combinée :
1- Communication pour le changement social de comportement (CSC), 
2- Promotion et distribution de préservatifs et de gels lubrifiants à base d'eau, 
3- Conseil et dépistage classic avec rendu de résultat,
4- Auto-dépistage
5- Diagnostic et traitement des IST, 
6- La PreP
7- Lutte contre les violations des Droits Humains et de violence basée sur le genre (VBG), 
8- Soins et soutien aux HSH VIH positifs, 
9- Lutte contre la stigmatisation et la discrimination.
Dans le cadre du NFM3, chaque HSH bénéficiera d'au moins trois (3) services parmi les neuf (9) avant d'être comptabilisé comme ayant bénéficié d'un programme de prévention de lutte contre le sida (paquet defini de service).
Numérateur : nombre de HSH ayant bénéficié de programmes de prévention du VIH paquet de services définis durant la période
Dénominateur : nombre de HSH évalués sur les lieux de rencontre durant la période
Ventilé par : groupe d'âge - [15-19]; [20-24]; [25-34]; [35-49]; [50 ans et plus].
Outil de rapportage de l'indicateur au niveau d'Alliance Côte d'Ivoire:
- Pour le numérateur, il aura deux (2) outils: la base de données (l'onglet sur les activités de prévention) et le rapport narratif.
- Pour le dénominateur, il y aura la base de données (évaluation de la taille).</v>
      </c>
      <c r="W487" s="493"/>
      <c r="X487" s="493"/>
      <c r="Y487" s="487"/>
      <c r="Z487" s="487"/>
      <c r="AA487" s="493"/>
      <c r="AB487" s="493"/>
      <c r="AC487" s="487">
        <f t="shared" si="81"/>
        <v>0</v>
      </c>
      <c r="AD487" s="487"/>
      <c r="AE487" s="487"/>
      <c r="AF487" s="502"/>
      <c r="AG487" s="493"/>
    </row>
    <row r="488" spans="1:33" x14ac:dyDescent="0.3">
      <c r="A488" s="487" t="b">
        <f t="shared" ca="1" si="82"/>
        <v>1</v>
      </c>
      <c r="B488" s="488">
        <f t="shared" si="79"/>
        <v>33</v>
      </c>
      <c r="C488" s="500" t="str">
        <f>IFERROR(IF(AND(H488=2,B488=7),"blank",INDEX(C$444:C488,H488,1)),"")</f>
        <v>a183p000003Sl2iAAC</v>
      </c>
      <c r="D488" s="490">
        <f t="shared" ca="1" si="83"/>
        <v>89.779791381308598</v>
      </c>
      <c r="E488" s="502">
        <f t="shared" ca="1" si="84"/>
        <v>9491</v>
      </c>
      <c r="F488" s="502">
        <f t="shared" ca="1" si="85"/>
        <v>8521</v>
      </c>
      <c r="G488" s="493" t="str">
        <f t="shared" ca="1" si="86"/>
        <v>Alliance CI Routine data (Annual report)</v>
      </c>
      <c r="H488" s="488">
        <f t="shared" si="80"/>
        <v>15</v>
      </c>
      <c r="I488" s="493" t="str">
        <f t="shared" ca="1" si="87"/>
        <v>Under the NFM2, the estimated number of SW in the 17 health districts is 9,491 out of a total of 1,546 prostitution sites. In 2019, 8,521 SW benefited from at least three peer prevention services, i.e. 90% coverage (8521/9491).
For NFM3, Alliance Côte d'Ivoire will cover 33 districts with an estimated size between 250 and 900 SW. The total estimated number of SW is 15,275 in 2021, 15,672 in 2022 and 16,080 in 2023.
The methodology for estimating the size of the SW was made on the basis of the Technical Note for Size Estimation (see report):
In this report, SW represent 0.78% of women aged 15 to 49. This proportion was applied to the size of the population of women aged 15 to 49 in each district and region to estimate the number of SWs.
According to the projections in the table of program gaps, the country projections are 83% in 2021, 86% in 2022 and 89% in 2023.
Given the baseline data as of December 31, 2019 for 90% coverage, the NFM3 objective for the community component will be maintained at 95% until 2023.
Alliance Côte d'Ivoire has set the following objectives for NFM3:
2021: 14511 = (15275 * 95%)
2022: 14889 = (15672 * 95%)
2023: 15276 = (16080 * 95%)
The peer navigators will carry out the combined prevention activities.
As part of NFM 3, Alliance Côte d'Ivoire will offer a minimum combined prevention service package:
1- Communication for social behavior change (CSC),
2- Promotion and distribution of condoms and lubricating gels based on water,
3- Classic advice and screening with result reporting,
4- Self-screening
5- Diagnosis and treatment of STIs,
6- PreP
7- Fight against human rights violations and gender-based violence (GBV),
8- Care and support for HIV positive TS,
9- Fight against stigma and discrimination.
Under the NFM3, each SW will benefit from at least three (3) of the nine (9) services before being counted as having benefited from an AIDS prevention program (defined service package).
Numerator: number of SWs who benefited from HIV prevention programs package of services defined during the period
Denominator: number of SWs assessed at meeting places during the period
Breakdown by: age group - [15-19]; [20-24]; [25-34]; [35-49]; [50 and over].
Reporting tool for the indicator at Alliance Côte d'Ivoire level:
- For the numerator, it will have two (2) tools: the database (the tab on prevention activities) and the narrative report.
- For the denominator, there will be the database (size assessment).</v>
      </c>
      <c r="J488" s="487" t="str">
        <f ca="1">IFERROR(VLOOKUP(INDIRECT("'Coverage Indicators - Section D'!D"&amp;$B488),'Reference Records'!C44:F195,4,0),"")</f>
        <v>MCI-01047</v>
      </c>
      <c r="K488" s="487" t="str">
        <f ca="1">IFERROR(VLOOKUP(IF(INDIRECT("'Coverage Indicators - Section D'!B"&amp;$B488)="","--select--",INDIRECT("'Coverage Indicators - Section D'!B"&amp;$B488)),'Overview - Section A'!C$100:D144,2,0),"")</f>
        <v>M-34813</v>
      </c>
      <c r="L488" s="493">
        <f t="shared" ca="1" si="88"/>
        <v>2019</v>
      </c>
      <c r="M488" s="487" t="str">
        <f ca="1">IFERROR(VLOOKUP(INDIRECT("'Coverage Indicators - Section D'!C"&amp;$B488),'Reference Records'!C$509:F632,3,0),"")</f>
        <v>MCI-01140</v>
      </c>
      <c r="N488" s="493" t="str">
        <f t="shared" ca="1" si="89"/>
        <v/>
      </c>
      <c r="O488" s="487" t="str">
        <f t="shared" ca="1" si="90"/>
        <v>Côte d'Ivoire</v>
      </c>
      <c r="P488" s="493" t="str">
        <f t="shared" ca="1" si="91"/>
        <v>Geographic Subnational, less than 100% national program target</v>
      </c>
      <c r="Q488" s="493" t="str">
        <f t="shared" ca="1" si="92"/>
        <v>Non cumulative</v>
      </c>
      <c r="R488" s="487" t="b">
        <f t="shared" ca="1" si="93"/>
        <v>1</v>
      </c>
      <c r="S488" s="493" t="str">
        <f ca="1">IFERROR(VLOOKUP(INDIRECT("'Coverage Indicators - Section D'!L"&amp;$B488),'Overview - Section A'!M$29:P83,4,0),IFERROR(IF(VLOOKUP(INDIRECT("'Coverage Indicators - Section D'!L"&amp;$B488),'Overview - Section A'!E$26:I71,5,0)=0,"",VLOOKUP(INDIRECT("'Coverage Indicators - Section D'!L"&amp;$B488),'Overview - Section A'!E$26:I71,5,0)),""))</f>
        <v>a123p000005UjbLAAS</v>
      </c>
      <c r="T488" s="493" t="str">
        <f t="shared" ca="1" si="94"/>
        <v/>
      </c>
      <c r="U488" s="493" t="str">
        <f t="shared" ca="1" si="95"/>
        <v>Alliance Côte d'Ivoire Routine data (Rapport annuel)</v>
      </c>
      <c r="V488" s="493" t="str">
        <f t="shared" ca="1" si="96"/>
        <v>Au termes de la subvention NFM2, le nombre estimé de TS dans les 17 districts de santé est de 9.491 sur un total de 1546 sites prostitutionnels. En 2019, 8.521 TS ont bénéficié d'au moins trois services de prévention par les pairs, soit une couverture de 90% (8521/9491).
Pour le NFM3, Alliance Côte d'Ivoire couvre 33 districts avec une taille estimée comprise entre 250 et 900 TS. Le nombre total estimé des TS est de 15275 en 2021, de 15672 en 2022 et de 16080 en 2023.
La méthodologie d’estimation de la taille des TS a été faite sur la base de la Note technique d'estimation de taille (voir rapport):
Ainsi dans ce rapport, les TS représentent 0,78% des femmes âgées de 15 à 49 ans. Cette proportion a été appliquée à la taille de la population des femmes âgées de 15 à 49 ans dans chaque district et région afin d’estimer le nombre de TS. 
Selon les projections du tableau des gaps programmatiques, les projections du pays sont de 83% en 2021, 86% en 2022 et 89% en 2023. 
Compte tenu de la donnée de référence au 31 décembre 2019 pour une couverture de 90%, l'objectif de la subvention NFM3 volet communautaire sera maintenu à 95% jusqu'en 2023.
Alliance Côte d'Ivoire se fixe les objectifs suivants pour le NFM3:
2021 : 14511 = (15275*95%)
2022 : 14889 = (15672*95%)
2023 : 15276 = (16080*95%)
Les pairs navigateurs réaliseront les activités de prévention combinée.
Dans le cadre de NFM 3, Alliance Côte d'Ivoire proposera un paquet de service minimum de prévention combinée :
1- Communication pour le changement social de comportement (CSC), 
2- Promotion et distribution de préservatifs et de gels lubrifiants à base d'eau, 
3- Conseil et dépistage classic avec rendu de résultat,
4- Auto-dépistage
5- Diagnostic et traitement des IST, 
6- La PreP
7- Lutte contre les violations des Droits Humains et de violence basée sur le genre (VBG), 
8- Soins et soutien aux TS VIH positives, 
9- Lutte contre la stigmatisation et la discrimination.
Dans le cadre du NFM3, chaque TS bénéficiera d'au moins trois (3) services parmi les neuf (9) avant d'être comptabilisée comme ayant bénéficié d'un programme de prévention de lutte contre le sida (paquet defini de service).
Numérateur : nombre de TS ayant bénéficié de programmes de prévention du VIH paquet de services définis durant la période
Dénominateur : nombre de TS évaluées sur les lieux de rencontre durant la période
Ventilé par : groupe d'âge - [15-19]; [20-24]; [25-34]; [35-49]; [50 ans et plus].
Outil de rapportage de l'indicateur au niveau d'Alliance Côte d'Ivoire:
- Pour le numérateur, il aura deux (2) outils: la base de données (l'onglet sur les activités de prévention) et le rapport narratif.
- Pour le dénominateur, il y aura la base de données (évaluation de la taille).</v>
      </c>
      <c r="W488" s="493"/>
      <c r="X488" s="493"/>
      <c r="Y488" s="487"/>
      <c r="Z488" s="487"/>
      <c r="AA488" s="493"/>
      <c r="AB488" s="493"/>
      <c r="AC488" s="487">
        <f t="shared" si="81"/>
        <v>0</v>
      </c>
      <c r="AD488" s="487"/>
      <c r="AE488" s="487"/>
      <c r="AF488" s="502"/>
      <c r="AG488" s="493"/>
    </row>
    <row r="489" spans="1:33" x14ac:dyDescent="0.3">
      <c r="A489" s="487" t="b">
        <f t="shared" ca="1" si="82"/>
        <v>1</v>
      </c>
      <c r="B489" s="488">
        <f t="shared" si="79"/>
        <v>35</v>
      </c>
      <c r="C489" s="500" t="str">
        <f>IFERROR(IF(AND(H489=2,B489=7),"blank",INDEX(C$444:C489,H489,1)),"")</f>
        <v>a183p000003Sl2jAAC</v>
      </c>
      <c r="D489" s="490">
        <f t="shared" ca="1" si="83"/>
        <v>56.165054487571929</v>
      </c>
      <c r="E489" s="502">
        <f t="shared" ca="1" si="84"/>
        <v>8167</v>
      </c>
      <c r="F489" s="502">
        <f t="shared" ca="1" si="85"/>
        <v>4587</v>
      </c>
      <c r="G489" s="493" t="str">
        <f t="shared" ca="1" si="86"/>
        <v>Alliance CI Routine data (Annual report)</v>
      </c>
      <c r="H489" s="488">
        <f t="shared" si="80"/>
        <v>16</v>
      </c>
      <c r="I489" s="493" t="str">
        <f t="shared" ca="1" si="87"/>
        <v>This indicator refers to users who use injection drugs, in particular:
 - Heroin (in local language: Pao) (powder for smoking or injection),
 - Cocaine crack (Yô in local language) (smoke or injected)
 - Cocaine (in local language: Free base)
 - TRAMADOL injectable (compressed and injectable form).
 - All other drugs consumed at the same time orally, inhaled, or injected.
The methodology for estimating the size of MSM was done on the basis of the Technical Note for Size Estimation (see report);
In this report, DUs represent 0.24% of the population of men and women aged 15 to 49. This proportion was applied to the size of the population aged 15 to 49 in each district and region in order to estimate the number of DUs.
The basic data as of December 31, 2019 indicates a 56% coverage (4587/8167) in the smokehouses of greater Abidjan.
Taking into account this coverage (56%), the objective of the NFM3 community component will be to increase coverage to at least 80% of interventions directed at drug users in greater Abidjan.
According to the projections in the table of programmatic gaps, the country projections are 11% in 2021, 21% in 2022 and 31% in 2023.
Taking into account the basic data reduced to 56%, Alliance Côte d'Ivoire plans to target 60% in 2021, 70% in 2022 and 80% in 2023.
2021: 8604 * 60% = 5162
2022: 8827 * 70% = 6179
2023: 9057 * 80% = 7246
N: Number of IDUs (including IDUs who inject drugs) having benefited from HIV prevention programs service package defined during the period
D: Number of DUs (including IDU) assessed on consumption sites during the period
Breakdown by: age groups - [15-19]; [20-24]; [25-34]; [35-49]; [50 years and over] and by sex (Male, Female)
Reporting tool for the indicator at Alliance Côte d'Ivoire level:
- For the numerator, it will have two (2) tools: the database (the tab on prevention activities) and the narrative report.
- For the denominator, there will be the database (size assessment).</v>
      </c>
      <c r="J489" s="487" t="str">
        <f ca="1">IFERROR(VLOOKUP(INDIRECT("'Coverage Indicators - Section D'!D"&amp;$B489),'Reference Records'!C45:F196,4,0),"")</f>
        <v/>
      </c>
      <c r="K489" s="487" t="str">
        <f ca="1">IFERROR(VLOOKUP(IF(INDIRECT("'Coverage Indicators - Section D'!B"&amp;$B489)="","--select--",INDIRECT("'Coverage Indicators - Section D'!B"&amp;$B489)),'Overview - Section A'!C$100:D145,2,0),"")</f>
        <v>M-34813</v>
      </c>
      <c r="L489" s="493">
        <f t="shared" ca="1" si="88"/>
        <v>2019</v>
      </c>
      <c r="M489" s="487" t="str">
        <f ca="1">IFERROR(VLOOKUP(INDIRECT("'Coverage Indicators - Section D'!C"&amp;$B489),'Reference Records'!C$509:F633,3,0),"")</f>
        <v>MCI-01153</v>
      </c>
      <c r="N489" s="493" t="str">
        <f t="shared" ca="1" si="89"/>
        <v>KP-1d (M) Other 1: Percentage of drug users (including injectors) who have benefited from preventive HIV programs (Package of defined services)</v>
      </c>
      <c r="O489" s="487" t="str">
        <f t="shared" ca="1" si="90"/>
        <v>Côte d'Ivoire</v>
      </c>
      <c r="P489" s="493" t="str">
        <f t="shared" ca="1" si="91"/>
        <v>Geographic Subnational, less than 100% national program target</v>
      </c>
      <c r="Q489" s="493" t="str">
        <f t="shared" ca="1" si="92"/>
        <v>Non cumulative</v>
      </c>
      <c r="R489" s="487" t="b">
        <f t="shared" ca="1" si="93"/>
        <v>1</v>
      </c>
      <c r="S489" s="493" t="str">
        <f ca="1">IFERROR(VLOOKUP(INDIRECT("'Coverage Indicators - Section D'!L"&amp;$B489),'Overview - Section A'!M$29:P84,4,0),IFERROR(IF(VLOOKUP(INDIRECT("'Coverage Indicators - Section D'!L"&amp;$B489),'Overview - Section A'!E$26:I72,5,0)=0,"",VLOOKUP(INDIRECT("'Coverage Indicators - Section D'!L"&amp;$B489),'Overview - Section A'!E$26:I72,5,0)),""))</f>
        <v>a123p000005UjbLAAS</v>
      </c>
      <c r="T489" s="493" t="str">
        <f t="shared" ca="1" si="94"/>
        <v>KP-1d (M) Other 1 : Pourcentage de consommateur de drogues (y compris les injecteurs) ayant bénéficié de programme préventif de lutte contre le VIH (Paquet de services définis)</v>
      </c>
      <c r="U489" s="493" t="str">
        <f t="shared" ca="1" si="95"/>
        <v>Alliance CI Routine data (Rapport annuel)</v>
      </c>
      <c r="V489" s="493" t="str">
        <f t="shared" ca="1" si="96"/>
        <v>Cet indicateur fait référence aux usagers qui consomment les drogues injectables notamment :
 - Heroïne (en language local : Pao) (en poudre pour fumer ou en injection), 
 - Cocaïne crack  (le Yô en language local) (fumée ou injectée)
 - Cocaïne (en language local : Free base)
 - TRAMADOL injectable (forme comprimée et injectable).
 - Toutes autres drogues consommées à la fois par voie orale, inhalée, ou injectée.
La méthodologie d’estimation de la taille des HSH a été faite sur la base de la Note technique d'estimation de taille (voir rapport) ;
Ainsi dans ce rapport, les UD représentent 0,24% de la population des hommes et des femmes âgés de 15 à 49 ans. Cette proportion a été appliquée à la taille de la population âgée de 15 à 49 ans dans chaque district et région afin d’estimer le nombre de UD.
Les données de base au 31 décembre 2019 indique une couverture à 56% (4587/8167) dans les fumoirs du grand Abidjan. 
En tenant compte de cette couverture (56%), l'objectif de la subvention NFM3 volet communautaire sera d’augmenter la couverture à au moins 80% des interventions en direction des usagers de drogue dans le grand Abidjan.
Selon les projections du tableau des gaps programmatiques, les projections du pays sont de 11% en 2021, 21% en 2022 et 31% en 2023.
En tenant compte de la donnée de base ramenée à 56%, Alliance Côte d'Ivoire prévoit comme objectif 60% en 2021, 70% en 2022 et 80% en 2023. 
2021: 8604*60% = 5162
2022: 8827*70% = 6179
2023: 9057*80% = 7246
N : Nombre de UD (y compris UDI qui s'injectent des drogues) ayant bénéficié de programmes de prévention du VIH paquet de services définis durant la période
D : Nombre d’UD (y compris UDI) évalués sur les sites de consommation durant la période
Ventilé par : groupes d'âge - [15-19] ; [20-24]; [25-34]; [35-49]; [50 ans et plus] et par sexe (Masculin, Feminin)
Outil de rapportage de l'indicateur au niveau d'Alliance Côte d'Ivoire:
- Pour le numérateur, il aura deux (2) outils: la base de données (l'onglet sur les activités de prévention) et le rapport narratif.
- Pour le dénominateur, il y aura la base de données (évaluation de la taille).</v>
      </c>
      <c r="W489" s="493"/>
      <c r="X489" s="493"/>
      <c r="Y489" s="487"/>
      <c r="Z489" s="487"/>
      <c r="AA489" s="493"/>
      <c r="AB489" s="493"/>
      <c r="AC489" s="487">
        <f t="shared" si="81"/>
        <v>0</v>
      </c>
      <c r="AD489" s="487"/>
      <c r="AE489" s="487"/>
      <c r="AF489" s="502"/>
      <c r="AG489" s="493"/>
    </row>
    <row r="490" spans="1:33" x14ac:dyDescent="0.3">
      <c r="A490" s="487" t="b">
        <f t="shared" ca="1" si="82"/>
        <v>1</v>
      </c>
      <c r="B490" s="488">
        <f t="shared" si="79"/>
        <v>37</v>
      </c>
      <c r="C490" s="500" t="str">
        <f>IFERROR(IF(AND(H490=2,B490=7),"blank",INDEX(C$444:C490,H490,1)),"")</f>
        <v>a183p000003Sl2kAAC</v>
      </c>
      <c r="D490" s="490">
        <f t="shared" ca="1" si="83"/>
        <v>45.603634310963706</v>
      </c>
      <c r="E490" s="502">
        <f t="shared" ca="1" si="84"/>
        <v>370249</v>
      </c>
      <c r="F490" s="502">
        <f t="shared" ca="1" si="85"/>
        <v>168847</v>
      </c>
      <c r="G490" s="493" t="str">
        <f t="shared" ca="1" si="86"/>
        <v>Alliance CI Routine data (Annual report)</v>
      </c>
      <c r="H490" s="488">
        <f t="shared" si="80"/>
        <v>17</v>
      </c>
      <c r="I490" s="493" t="str">
        <f t="shared" ca="1" si="87"/>
        <v>The 2019 result for Alliance Côte d'Ivoire indicates that 168,847 adolescent girls and young women benefited from at least three peer prevention services, out of an estimated total of 370,249 adolescent girls and young women, representing 45.6% coverage in 28 districts.
For NFM3, Alliance Côte d´Ivoire will cover 50 health districts with an estimated population per year of:
2021: 1,252,214
2022: 1 284 772
2023: 1 318 176
The methodology for estimating the size of adolescent girls and young women aged 15 to 24 was made on the basis of data from the National Institute of Statistics (NIS) according to projections from data from the 2014 General Population and Habitat Census, representing a population growth rate of 2.6%. To this population, we applied the vulnerability rate according to the UNICEF report (vulnerability analysis summary report) which indicates 48.7% of adolescent girls and young vulnerable women (all things being equal).
Thus, the sizes of adolescent girls and young women who can benefit from preventive HIV programs (defined service package) are defined as follows:
2021: 1,252,214 * 48.7% = 609,828
2022: 1,284,772 * 48.7% = 625,684
2023: 1,318,176 * 48.7% = 641,952
Taking into account the coverage (45.6%) as of December 31, 2019 (basic data), the projections for Alliance Côte d‘Ivoire are 50% in 2021, 50% in 2022 and 50% in 2023.
Alliance Côte d'Ivoire plans to target:
2021: 609,828 * 50% = 304,914
2022: 625,684 * 50% = 312,842
2023: 641,952 * 50% = 320,976
As part of the implementation of NFM 3, Alliance Côte d´Ivoire will offer a minimum prevention service package combined at each session:
1- Communication for social behavior change (CSC),
2- Promotion and distribution of condoms
3- Classic advice and screening with result reporting,
4- Diagnosis and treatment of STIs,
5- Fight against human rights violations and gender-based violence (GBV),
6- Care and support for Adolescents and young women who are HIV positive,
7- Family planning and sexual and reproductive health,
8- The READY approach.
Each adolescent and young woman will benefit from at least three (3) services among the eight (8) mentioned above before being counted as having benefited from an AIDS prevention program (defined service package) ..
The READY approach is a grouping of several services therefore, a teenager and young woman who has only benefited from the READY approach will be counted. The READY approach will be implemented in 30 districts among the 50.
Tools: Database and narrative report.
Numerator: number of adolescent girls and young women who have benefited from HIV prevention programs package of services defined during the period
Denominator: number of adolescent girls and young women estimated during the period
Breakdown by: age group - [15-19]; [20-24]</v>
      </c>
      <c r="J490" s="487" t="str">
        <f ca="1">IFERROR(VLOOKUP(INDIRECT("'Coverage Indicators - Section D'!D"&amp;$B490),'Reference Records'!C46:F197,4,0),"")</f>
        <v>MCI-01058</v>
      </c>
      <c r="K490" s="487" t="str">
        <f ca="1">IFERROR(VLOOKUP(IF(INDIRECT("'Coverage Indicators - Section D'!B"&amp;$B490)="","--select--",INDIRECT("'Coverage Indicators - Section D'!B"&amp;$B490)),'Overview - Section A'!C$100:D146,2,0),"")</f>
        <v>M-34813</v>
      </c>
      <c r="L490" s="493">
        <f t="shared" ca="1" si="88"/>
        <v>2019</v>
      </c>
      <c r="M490" s="487" t="str">
        <f ca="1">IFERROR(VLOOKUP(INDIRECT("'Coverage Indicators - Section D'!C"&amp;$B490),'Reference Records'!C$509:F634,3,0),"")</f>
        <v>MCI-01149</v>
      </c>
      <c r="N490" s="493" t="str">
        <f t="shared" ca="1" si="89"/>
        <v/>
      </c>
      <c r="O490" s="487" t="str">
        <f t="shared" ca="1" si="90"/>
        <v>Côte d'Ivoire</v>
      </c>
      <c r="P490" s="493" t="str">
        <f t="shared" ca="1" si="91"/>
        <v>Geographic Subnational, less than 100% national program target</v>
      </c>
      <c r="Q490" s="493" t="str">
        <f t="shared" ca="1" si="92"/>
        <v>Non cumulative – other</v>
      </c>
      <c r="R490" s="487" t="b">
        <f t="shared" ca="1" si="93"/>
        <v>1</v>
      </c>
      <c r="S490" s="493" t="str">
        <f ca="1">IFERROR(VLOOKUP(INDIRECT("'Coverage Indicators - Section D'!L"&amp;$B490),'Overview - Section A'!M$29:P85,4,0),IFERROR(IF(VLOOKUP(INDIRECT("'Coverage Indicators - Section D'!L"&amp;$B490),'Overview - Section A'!E$26:I73,5,0)=0,"",VLOOKUP(INDIRECT("'Coverage Indicators - Section D'!L"&amp;$B490),'Overview - Section A'!E$26:I73,5,0)),""))</f>
        <v>a123p000005UjbLAAS</v>
      </c>
      <c r="T490" s="493" t="str">
        <f t="shared" ca="1" si="94"/>
        <v/>
      </c>
      <c r="U490" s="493" t="str">
        <f t="shared" ca="1" si="95"/>
        <v>Alliance CI Routine data (Rapport annuel)</v>
      </c>
      <c r="V490" s="493" t="str">
        <f t="shared" ca="1" si="96"/>
        <v>Le résultat de 2019 pour Alliance Côte d'Ivoire indique que 168.847 adolescentes et jeunes filles ont bénéficié d'au moins trois services de prévention par les pairs, sur un total estimé de 370.249 adolescentes et jeunes filles, soit une couverture de 45,6% dans 28 districts.
Pour le NFM3, Alliance Côte d’Ivoire couvre 50 districts sanitaires avec une population estimée par année de :
2021 :	         1 252 214 
2022 :	         1 284 772 
2023 :	         1 318 176 
La méthodologie d’estimation de la taille des adolescentes et jeunes filles âgées de 15 à 24 ans a été faite sur la base des données de l’Institut National de la Statistique (INS) selon les projections des données du Recensement Général de la Population et de l’Habitat de 2014, soit un taux d’accroissement démographique de 2,6%. A cette population, nous avons appliqué le taux de vulnérabilité selon le rapport d’UNICEF (rapport synthèse analyse de la vulnérabilité) qui indique 48,7% des adolescentes et jeunes femmes vulnérables (toute chose étant égale par ailleurs).
Ainsi, les tailles des adolescentes et jeunes femmes pouvant bénéficier de programmes préventifs de lutte contre le VIH (paquet de services définis) se définissent comme suite :
2021 :	         1 252 214*48,7% = 609 828
2022 :	         1 284 772*48,7% = 625 684
2023 :	         1 318 176*48,7% = 641 952
En tenant compte de la couverture (45,6%) au 31 décembre 2019 (données de base), les projections d’Alliance Côte d‘Ivoire sont de 50% en 2021, 50% en 2022 et 50% en 2023.
Alliance Côte d'Ivoire prévoit comme cible : 
2021 :	609 828*50% = 	304 914 
2022 :	625 684*50% =	312 842 
2023 :	641 952*50% =	320 976 
Dans le cadre de la mise en œuvre du NFM 3, Alliance Côte d’Ivoire proposera un paquet de service minimum de prévention combinée à chaque session :
1- Communication pour le changement social de comportement (CSC), 
2- Promotion et distribution de préservatifs
3- Conseil et dépistage classic avec rendu de résultat,
4- Diagnostic et traitement des IST, 
5- Lutte contre les violations des Droits Humains et de violence basée sur le genre (VBG), 
6- Soins et soutien aux Adolescentes et jeunes femmes vih positives, 
7- Planning familial et santé sexuelle et reproductive santé,
8- L'approche READY. 
Chaque adolescente et jeune femme bénéficiera d’au moins trois (3) services parmis les huit (8) cités ci-dessus avant d'être comptabilisée comme ayant bénéficié d'un programme de prévention de lutte contre le sida (paquet defini de service).
L'approche READY est un regroupement de plusieurs services donc, une adolescente et jeune femme ayant seulement bénéficié de l'approche READY sera comptabilisée. L'approche READY sera mise en oeuvre dans 30 districts parmis les 50.
Outils: Base de données et rapport narratif.
Numérateur : nombre d’adolescentes et jeunes femmes ayant bénéficié de programmes de prévention du VIH paquet de services définis durant la période
Dénominateur : nombre d’adolescentes et jeunes femmes estimées durant la période
Ventilé par : groupe d'âge - [15-19]; [20-24]</v>
      </c>
      <c r="W490" s="493"/>
      <c r="X490" s="493"/>
      <c r="Y490" s="487"/>
      <c r="Z490" s="487"/>
      <c r="AA490" s="493"/>
      <c r="AB490" s="493"/>
      <c r="AC490" s="487">
        <f t="shared" si="81"/>
        <v>0</v>
      </c>
      <c r="AD490" s="487"/>
      <c r="AE490" s="487"/>
      <c r="AF490" s="502"/>
      <c r="AG490" s="493"/>
    </row>
    <row r="491" spans="1:33" x14ac:dyDescent="0.3">
      <c r="A491" s="487" t="b">
        <f t="shared" ca="1" si="82"/>
        <v>1</v>
      </c>
      <c r="B491" s="488">
        <f t="shared" si="79"/>
        <v>39</v>
      </c>
      <c r="C491" s="500" t="str">
        <f>IFERROR(IF(AND(H491=2,B491=7),"blank",INDEX(C$444:C491,H491,1)),"")</f>
        <v>a183p000003Sl2lAAC</v>
      </c>
      <c r="D491" s="490">
        <f t="shared" ca="1" si="83"/>
        <v>100</v>
      </c>
      <c r="E491" s="502">
        <f t="shared" ca="1" si="84"/>
        <v>157</v>
      </c>
      <c r="F491" s="502">
        <f t="shared" ca="1" si="85"/>
        <v>157</v>
      </c>
      <c r="G491" s="493" t="str">
        <f t="shared" ca="1" si="86"/>
        <v>Alliance CI Routine data (Annual report)</v>
      </c>
      <c r="H491" s="488">
        <f t="shared" si="80"/>
        <v>18</v>
      </c>
      <c r="I491" s="493" t="str">
        <f t="shared" ca="1" si="87"/>
        <v xml:space="preserve">The routine data from Alliance Côte d'Ivoire as of December 31, 2019 indicate an overall positivity rate of 4% in MSM benefiting from defined package service prevention programs.
Routine data from Alliance Côte d'Ivoire indicate a 100% enrollment rate in care.
The projections for the three years: 2021, 2022 and 2023, will be aligned with data on estimated MSM populations in the areas covered by Alliance Côte d'Ivoire: 6266, 6429 and 6596 respectively.
The screening rate for routine data from Alliance Côte d'Ivoire as of December 31 was 88.9% (4153/4693).
Under the NFM3, Alliance Côte d'Ivoire will maintain the screening rate at 90%.
2021: 6525 = (9062 * 80%) * 90%
2022: 6694 = (9297 * 80%) * 90%
2023: 6868 = (9539 * 80%) * 90%
We will maintain the positivity rate of 4% among MSM for the year 2021, 2022 and 2023. Thus, the expected positive MSMs are:
2021: 261 = (6525 * 4%)
2022: 268 = (6694 * 4%)
2023: 275 = (6868 * 4%)
Taking into account the coverage (100%) as of December 31, 2019 (basic data), the projections of Alliance Côte d‘Ivoire will be maintained at 100% until 2023.
Alliance Côte d'Ivoire plans to target:
2021: 261 = (261 * 100%)
2022: 268 = (268 * 100%)
2023: 275 = (275 * 100%)
N: Number of MSM newly tested positive for HIV during the reporting period and admitted to care services.
D: Number of MSM newly screened positive during the reporting period
Breakdown by: age group - [15-19]; [20-24]; [25-34]; [35-49]; [50 and over] </v>
      </c>
      <c r="J491" s="487" t="str">
        <f ca="1">IFERROR(VLOOKUP(INDIRECT("'Coverage Indicators - Section D'!D"&amp;$B491),'Reference Records'!C47:F198,4,0),"")</f>
        <v/>
      </c>
      <c r="K491" s="487" t="str">
        <f ca="1">IFERROR(VLOOKUP(IF(INDIRECT("'Coverage Indicators - Section D'!B"&amp;$B491)="","--select--",INDIRECT("'Coverage Indicators - Section D'!B"&amp;$B491)),'Overview - Section A'!C$100:D147,2,0),"")</f>
        <v>M-34818</v>
      </c>
      <c r="L491" s="493">
        <f t="shared" ca="1" si="88"/>
        <v>2019</v>
      </c>
      <c r="M491" s="487" t="str">
        <f ca="1">IFERROR(VLOOKUP(INDIRECT("'Coverage Indicators - Section D'!C"&amp;$B491),'Reference Records'!C$509:F635,3,0),"")</f>
        <v>MCI-01153</v>
      </c>
      <c r="N491" s="493" t="str">
        <f t="shared" ca="1" si="89"/>
        <v>Percentage of MSM screened positive admitted to care services during the reporting period</v>
      </c>
      <c r="O491" s="487" t="str">
        <f t="shared" ca="1" si="90"/>
        <v>Côte d'Ivoire</v>
      </c>
      <c r="P491" s="493" t="str">
        <f t="shared" ca="1" si="91"/>
        <v>Geographic Subnational, less than 100% national program target</v>
      </c>
      <c r="Q491" s="493" t="str">
        <f t="shared" ca="1" si="92"/>
        <v>Non cumulative</v>
      </c>
      <c r="R491" s="487" t="b">
        <f t="shared" ca="1" si="93"/>
        <v>1</v>
      </c>
      <c r="S491" s="493" t="str">
        <f ca="1">IFERROR(VLOOKUP(INDIRECT("'Coverage Indicators - Section D'!L"&amp;$B491),'Overview - Section A'!M$29:P86,4,0),IFERROR(IF(VLOOKUP(INDIRECT("'Coverage Indicators - Section D'!L"&amp;$B491),'Overview - Section A'!E$26:I74,5,0)=0,"",VLOOKUP(INDIRECT("'Coverage Indicators - Section D'!L"&amp;$B491),'Overview - Section A'!E$26:I74,5,0)),""))</f>
        <v>a123p000005UjbLAAS</v>
      </c>
      <c r="T491" s="493" t="str">
        <f t="shared" ca="1" si="94"/>
        <v xml:space="preserve">Pourcentage de HSH dépistés positifs admis dans des services de soins durant la période de rapportage </v>
      </c>
      <c r="U491" s="493" t="str">
        <f t="shared" ca="1" si="95"/>
        <v>Alliance CI Routine data (Rapport annuel)</v>
      </c>
      <c r="V491" s="493" t="str">
        <f t="shared" ca="1" si="96"/>
        <v>Les données de routine d'Alliance Côte d'Ivoire au 31 décembre 2019 indique un taux de positivité global de 4% chez les HSH bénéficiant de programmes de prévention paquets définis de service.
Les données de routine d'Alliance Côte d'Ivoire indique un taux d'enrôlement de 100% dans les soins.
Les projections sur les trois années 2021, 2022 et 2023 s'aligneront sur les données de populations estimées des HSH dans les zones d'Alliance Côte d'Ivoire respectivement 6266, 6429 et 6596.
Le taux de dépistage des données de routine d'Alliance Côte d'Ivoire au 31 décembre est de 88,9% (4153/4693). 
Dans le cadre du NFM3, Alliance Côte d'Ivoire maintiendra le taux de dépistage à 90%.
2021: 6525 = (9062*80%)*90%
2022: 6694 = (9297*80%)*90%
2023: 6868 = (9539*80%)*90%
Nous allons maintenir le taux de positivité de 4% chez les HSH pour l'année 2021, 2022 et 2023. Ainsi, les HSH dépistés positifs attendus sont:
2021: 261 = (6525*4%)
2022: 268 = (6694*4%)
2023: 275 = (6868*4%)
En tenant compte de la couverture (100%) au 31 décembre 2019 (données de base), les projections d’Alliance Côte d‘Ivoire seront maintenues à 100% jusqu'en 2023.
Alliance Côte d'Ivoire prévoit comme cible : 
2021: 261 = (261*100%)
2022: 268 = (268*100%)
2023: 275 = (275*100%)
N: Nombre de HSH nouvellement dépistés positifs au VIH au cours de la période de rapportage et admis dans des services de soins.
D: Nombre de HSH nouvellement dépistés positifs au cours de la période de rapportage    
Ventilé par : groupe d'âge - [15-19]; [20-24]; [25-34]; [35-49]; [50 ans et plus]</v>
      </c>
      <c r="W491" s="493"/>
      <c r="X491" s="493"/>
      <c r="Y491" s="487"/>
      <c r="Z491" s="487"/>
      <c r="AA491" s="493"/>
      <c r="AB491" s="493"/>
      <c r="AC491" s="487">
        <f t="shared" si="81"/>
        <v>0</v>
      </c>
      <c r="AD491" s="487"/>
      <c r="AE491" s="487"/>
      <c r="AF491" s="502"/>
      <c r="AG491" s="493"/>
    </row>
    <row r="492" spans="1:33" x14ac:dyDescent="0.3">
      <c r="A492" s="487" t="b">
        <f t="shared" ca="1" si="82"/>
        <v>1</v>
      </c>
      <c r="B492" s="488">
        <f t="shared" si="79"/>
        <v>41</v>
      </c>
      <c r="C492" s="500" t="str">
        <f>IFERROR(IF(AND(H492=2,B492=7),"blank",INDEX(C$444:C492,H492,1)),"")</f>
        <v>a183p000003Sl2mAAC</v>
      </c>
      <c r="D492" s="490">
        <f t="shared" ca="1" si="83"/>
        <v>99.271844660194176</v>
      </c>
      <c r="E492" s="502">
        <f t="shared" ca="1" si="84"/>
        <v>412</v>
      </c>
      <c r="F492" s="502">
        <f t="shared" ca="1" si="85"/>
        <v>409</v>
      </c>
      <c r="G492" s="493" t="str">
        <f t="shared" ca="1" si="86"/>
        <v>Alliance CI Routine data (Annual report)</v>
      </c>
      <c r="H492" s="488">
        <f t="shared" si="80"/>
        <v>19</v>
      </c>
      <c r="I492" s="493" t="str">
        <f t="shared" ca="1" si="87"/>
        <v>Routine data from Alliance Côte d'Ivoire as of December 31, 2019 indicate an overall positivity rate of 5% in SWs benefiting from defined service package prevention programs.
Routine data from Alliance Côte d'Ivoire indicate a 99.27% enrollment rate in care.
The projections for the three years: 2021, 2022 and 2023, will be aligned with the estimated SW populations in the areas covered by Alliance Côte d'Ivoire: 15275, 15672 and 16080 respectively.
The screening rate for routine data from Alliance Côte d'Ivoire as of December 31 is 90% (8521/9491).
Under the NFM3, Alliance Côte d'Ivoire will maintain the screening rate at 90%.
2021: 13060 = (15275 * 95%) * 90%
2022: 13400 = (15672 * 95%) * 90%
2023: 13748 = (16080 * 95%) * 90%
We will maintain the positivity rate of 5% in the SWs for the year 2021, 2022 and 2023. Thus, the expected positive screened SWs are:
2021: 653 = (13060 * 5%)
2022: 670 = (13400 * 5%)
2023: 687 = (13748 * 5%)
Taking into account the coverage (99.27%) as of December 31, 2019 (basic data), the projections of Alliance Côte d‘Ivoire will be maintained at 100% until 2023.
Alliance Côte d'Ivoire plans to target:
2021: 653 = (653 * 100%)
2022: 670 = (670 * 100%)
2023: 687 = (687 * 100%)
N: Number of SWs newly tested positive for HIV during the reporting period and admitted to care
D: Number of SWs newly detected positive during the reporting period
Breakdown by: age group - [15-19]; [20-24]; [25-34]; [35-49]; [50 and over]</v>
      </c>
      <c r="J492" s="487" t="str">
        <f ca="1">IFERROR(VLOOKUP(INDIRECT("'Coverage Indicators - Section D'!D"&amp;$B492),'Reference Records'!C48:F199,4,0),"")</f>
        <v/>
      </c>
      <c r="K492" s="487" t="str">
        <f ca="1">IFERROR(VLOOKUP(IF(INDIRECT("'Coverage Indicators - Section D'!B"&amp;$B492)="","--select--",INDIRECT("'Coverage Indicators - Section D'!B"&amp;$B492)),'Overview - Section A'!C$100:D148,2,0),"")</f>
        <v>M-34818</v>
      </c>
      <c r="L492" s="493">
        <f t="shared" ca="1" si="88"/>
        <v>2019</v>
      </c>
      <c r="M492" s="487" t="str">
        <f ca="1">IFERROR(VLOOKUP(INDIRECT("'Coverage Indicators - Section D'!C"&amp;$B492),'Reference Records'!C$509:F636,3,0),"")</f>
        <v>MCI-01153</v>
      </c>
      <c r="N492" s="493" t="str">
        <f t="shared" ca="1" si="89"/>
        <v>Percentage of positive sex workers admitted to care services during the reporting period</v>
      </c>
      <c r="O492" s="487" t="str">
        <f t="shared" ca="1" si="90"/>
        <v>Côte d'Ivoire</v>
      </c>
      <c r="P492" s="493" t="str">
        <f t="shared" ca="1" si="91"/>
        <v>Geographic Subnational, less than 100% national program target</v>
      </c>
      <c r="Q492" s="493" t="str">
        <f t="shared" ca="1" si="92"/>
        <v>Non cumulative</v>
      </c>
      <c r="R492" s="487" t="b">
        <f t="shared" ca="1" si="93"/>
        <v>1</v>
      </c>
      <c r="S492" s="493" t="str">
        <f ca="1">IFERROR(VLOOKUP(INDIRECT("'Coverage Indicators - Section D'!L"&amp;$B492),'Overview - Section A'!M$29:P87,4,0),IFERROR(IF(VLOOKUP(INDIRECT("'Coverage Indicators - Section D'!L"&amp;$B492),'Overview - Section A'!E$26:I75,5,0)=0,"",VLOOKUP(INDIRECT("'Coverage Indicators - Section D'!L"&amp;$B492),'Overview - Section A'!E$26:I75,5,0)),""))</f>
        <v>a123p000005UjbLAAS</v>
      </c>
      <c r="T492" s="493" t="str">
        <f t="shared" ca="1" si="94"/>
        <v xml:space="preserve">Pourcentage de professionnelles de sexe dépistées positives admises dans des services de soins durant la période de rapportage </v>
      </c>
      <c r="U492" s="493" t="str">
        <f t="shared" ca="1" si="95"/>
        <v>Alliance CI Routine data (Base de données)</v>
      </c>
      <c r="V492" s="493" t="str">
        <f t="shared" ca="1" si="96"/>
        <v>Les données de routine d'Alliance Côte d'Ivoire au 31 décembre 2019 indique un taux de positivité global de 5% chez les TS bénéficiant de programmes de prévention paquets définis de service.
Les données de routine d'Alliance Côte d'Ivoire indique un taux d'enrôlement de 99,27% dans les soins.
Les projections sur les trois années 2021, 2022 et 2023 s'aligneront sur les données de populations estimées des TS dans les zones d'Alliance Côte d'Ivoire respectivement 15275, 15672 et 16080.
Le taux de dépistage des données de routine d'Alliance Côte d'Ivoire au 31 décembre est de 90% (8521/9491). 
Dans le cadre du NFM3, Alliance Côte d'Ivoire maintiendra le taux de dépistage à 90%.
2021 : 13060 = (15275*95%)*90%
2022 : 13400 = (15672*95%)*90%
2023 : 13748 = (16080*95%)*90%
Nous allons maintenir le taux de positivité de 5% chez les TS pour l'année 2021, 2022 et 2023. Ainsi, les TS dépistées positives attendues sont:
2021: 653 = (13060*5%)
2022: 670 = (13400*5%)
2023: 687 = (13748*5%)
En tenant compte de la couverture (99,27%) au 31 décembre 2019 (données de base), les projections d’Alliance Côte d‘Ivoire seront maintenues à 100% jusqu'en 2023.
Alliance Côte d'Ivoire prévoit comme cible : 
2021: 653 = (653*100%)
2022: 670 = (670*100%)
2023: 687 = (687*100%)
N: Nombre de TS nouvellement dépistées positives au VIH au cours de la période de rapportage et admis dans les soins
D: Nombre de TS nouvellement dépistées positives au cours de la période de rapportage    
Ventilé par : groupe d'âge - [15-19]; [20-24]; [25-34]; [35-49]; [50 ans et plus]</v>
      </c>
      <c r="W492" s="493"/>
      <c r="X492" s="493"/>
      <c r="Y492" s="487"/>
      <c r="Z492" s="487"/>
      <c r="AA492" s="493"/>
      <c r="AB492" s="493"/>
      <c r="AC492" s="487">
        <f t="shared" si="81"/>
        <v>0</v>
      </c>
      <c r="AD492" s="487"/>
      <c r="AE492" s="487"/>
      <c r="AF492" s="502"/>
      <c r="AG492" s="493"/>
    </row>
    <row r="493" spans="1:33" x14ac:dyDescent="0.3">
      <c r="A493" s="487" t="b">
        <f t="shared" ca="1" si="82"/>
        <v>1</v>
      </c>
      <c r="B493" s="488">
        <f t="shared" si="79"/>
        <v>43</v>
      </c>
      <c r="C493" s="500" t="str">
        <f>IFERROR(IF(AND(H493=2,B493=7),"blank",INDEX(C$444:C493,H493,1)),"")</f>
        <v>a183p000003Sl2nAAC</v>
      </c>
      <c r="D493" s="490">
        <f t="shared" ca="1" si="83"/>
        <v>98.648648648648646</v>
      </c>
      <c r="E493" s="502">
        <f t="shared" ca="1" si="84"/>
        <v>74</v>
      </c>
      <c r="F493" s="502">
        <f t="shared" ca="1" si="85"/>
        <v>73</v>
      </c>
      <c r="G493" s="493" t="str">
        <f t="shared" ca="1" si="86"/>
        <v>Alliance CI Routine data (Annual report)</v>
      </c>
      <c r="H493" s="488">
        <f t="shared" si="80"/>
        <v>20</v>
      </c>
      <c r="I493" s="493" t="str">
        <f t="shared" ca="1" si="87"/>
        <v>Routine data from Alliance Côte d'Ivoire as of December 31, 2019 indicate an overall positivity rate of 1.6% among DUs benefiting from defined package service prevention programs.
Routine data from Alliance Côte d'Ivoire show a 98.65% enrollment rate in care.
Projections for the three (3) years 2021, 2022 and 2023 will align with the estimated DU data for Greater Abidjan.
2021: 8604
2022: 8827
2023: 9057.
The screening rate for routine data from Alliance Côte d'Ivoire as of December 31 is 100% (4587/4587).
2021: 8604 = (8604 * 100%)
2022: 8827 = (8827 * 100%)
2023: 9057. = (9057 * 100%)
We will maintain the positivity rate of 1.6% in DUs for the three years (2021, 2022 and 2023).
Thus, the expected positive DUs are:
2021: 138 = (8604 * 1.6%)
2022: 141 = (8827 * 1.6%)
2023: 145 = (9057 * 1.6%)
Taking into account the coverage (98.65%) as of December 31, 2019 (basic data), the projections of Alliance Côte d‘Ivoire will be maintained at 100% until 2023.
Alliance Côte d'Ivoire plans to target:
2021: 138 = (138 * 100%)
2022: 141 = (141 * 100%)
2023: 145 = (145 * 100%)
N: Number of DUs newly tested positive for HIV during the reporting period and admitted to care
D: Number of DUs newly screened positive during the reporting period
Breakdown by: age group - [15-19]; [20-24]; [25-34]; [35-49]; [50 and over] and over] and by gender (Male, Female)</v>
      </c>
      <c r="J493" s="487" t="str">
        <f ca="1">IFERROR(VLOOKUP(INDIRECT("'Coverage Indicators - Section D'!D"&amp;$B493),'Reference Records'!C49:F200,4,0),"")</f>
        <v/>
      </c>
      <c r="K493" s="487" t="str">
        <f ca="1">IFERROR(VLOOKUP(IF(INDIRECT("'Coverage Indicators - Section D'!B"&amp;$B493)="","--select--",INDIRECT("'Coverage Indicators - Section D'!B"&amp;$B493)),'Overview - Section A'!C$100:D149,2,0),"")</f>
        <v>M-34818</v>
      </c>
      <c r="L493" s="493">
        <f t="shared" ca="1" si="88"/>
        <v>2019</v>
      </c>
      <c r="M493" s="487" t="str">
        <f ca="1">IFERROR(VLOOKUP(INDIRECT("'Coverage Indicators - Section D'!C"&amp;$B493),'Reference Records'!C$509:F637,3,0),"")</f>
        <v>MCI-01153</v>
      </c>
      <c r="N493" s="493" t="str">
        <f t="shared" ca="1" si="89"/>
        <v>Percentage of DUs screened positive (including IDUs) admitted to care services during the reporting period</v>
      </c>
      <c r="O493" s="487" t="str">
        <f t="shared" ca="1" si="90"/>
        <v>Côte d'Ivoire</v>
      </c>
      <c r="P493" s="493" t="str">
        <f t="shared" ca="1" si="91"/>
        <v>Geographic Subnational, less than 100% national program target</v>
      </c>
      <c r="Q493" s="493" t="str">
        <f t="shared" ca="1" si="92"/>
        <v>Non cumulative</v>
      </c>
      <c r="R493" s="487" t="b">
        <f t="shared" ca="1" si="93"/>
        <v>1</v>
      </c>
      <c r="S493" s="493" t="str">
        <f ca="1">IFERROR(VLOOKUP(INDIRECT("'Coverage Indicators - Section D'!L"&amp;$B493),'Overview - Section A'!M$29:P88,4,0),IFERROR(IF(VLOOKUP(INDIRECT("'Coverage Indicators - Section D'!L"&amp;$B493),'Overview - Section A'!E$26:I76,5,0)=0,"",VLOOKUP(INDIRECT("'Coverage Indicators - Section D'!L"&amp;$B493),'Overview - Section A'!E$26:I76,5,0)),""))</f>
        <v>a123p000005UjbLAAS</v>
      </c>
      <c r="T493" s="493" t="str">
        <f t="shared" ca="1" si="94"/>
        <v xml:space="preserve">Pourcentage de UD dépistés positifs (y compris les UDI) admis dans des services de soins durant la période de rapportage </v>
      </c>
      <c r="U493" s="493" t="str">
        <f t="shared" ca="1" si="95"/>
        <v>Alliance CI Routine data (Base de données)</v>
      </c>
      <c r="V493" s="493" t="str">
        <f t="shared" ca="1" si="96"/>
        <v>Les données de routine d’Alliance Côte d’Ivoire au 31 décembre 2019 indique un taux de positivité global de 1,6% chez les UD bénéficiant de programmes de prévention paquet définis de service.
Les données de routine d’Alliance Côte d’Ivoire indique un taux d’enrôlement dans les soins de 98,65%.
Les projections sur les trois (3) années 2021, 2022 et 2023 s’aligneront sur les données estimées des UD dans le grand Abidjan. 
2021: 8604
2022: 8827
2023: 9057.
Le taux de dépistage des données de routine d'Alliance Côte d'Ivoire au 31 décembre est de 100% (4587/4587). 
2021: 8604 = (8604*100%)
2022: 8827 = (8827*100%)
2023: 9057.= (9057*100%)
Nous allons maintenir le taux de positivité de 1,6% chez les UD pour les trois années (2021, 2022 et 2023).
Ainsi, les UD dépistés positifs attendus sont:
2021: 138 = (8604*1,6%)
2022: 141 = (8827*1,6%)
2023: 145 = (9057*1,6%)
En tenant compte de la couverture (98,65%) au 31 décembre 2019 (données de base), les projections d’Alliance Côte d‘Ivoire seront maintenues à 100% jusqu'en 2023.
Alliance Côte d'Ivoire prévoit comme cible : 
2021: 138 = (138*100%)
2022: 141 = (141*100%)
2023: 145 = (145*100%)
N: Nombre de UD nouvellement dépistés positifs au VIH au cours de la période de rapportage et admis dans les soins
D: Nombre de UD nouvellement dépistés positifs au cours de la période de rapportage    
Ventilé par : groupe d'âge - [15-19]; [20-24]; [25-34]; [35-49]; [50 ans et plus] et plus] et par sexe (Masculin, Féminin)</v>
      </c>
      <c r="W493" s="493"/>
      <c r="X493" s="493"/>
      <c r="Y493" s="487"/>
      <c r="Z493" s="487"/>
      <c r="AA493" s="493"/>
      <c r="AB493" s="493"/>
      <c r="AC493" s="487">
        <f t="shared" si="81"/>
        <v>0</v>
      </c>
      <c r="AD493" s="487"/>
      <c r="AE493" s="487"/>
      <c r="AF493" s="502"/>
      <c r="AG493" s="493"/>
    </row>
    <row r="494" spans="1:33" x14ac:dyDescent="0.3">
      <c r="A494" s="487" t="b">
        <f t="shared" ca="1" si="82"/>
        <v>1</v>
      </c>
      <c r="B494" s="488">
        <f t="shared" si="79"/>
        <v>45</v>
      </c>
      <c r="C494" s="500" t="str">
        <f>IFERROR(IF(AND(H494=2,B494=7),"blank",INDEX(C$444:C494,H494,1)),"")</f>
        <v>a183p000003Sl2oAAC</v>
      </c>
      <c r="D494" s="490">
        <f t="shared" ca="1" si="83"/>
        <v>23.602484472049689</v>
      </c>
      <c r="E494" s="502">
        <f t="shared" ca="1" si="84"/>
        <v>161</v>
      </c>
      <c r="F494" s="502">
        <f t="shared" ca="1" si="85"/>
        <v>38</v>
      </c>
      <c r="G494" s="493" t="str">
        <f t="shared" ca="1" si="86"/>
        <v>Alliance CI Routine data (Annual report)</v>
      </c>
      <c r="H494" s="488">
        <f t="shared" si="80"/>
        <v>21</v>
      </c>
      <c r="I494" s="493" t="str">
        <f t="shared" ca="1" si="87"/>
        <v>According to routine data from Alliance Côte d'Ivoire 2019, 197 suspected cases of violence or human rights violation have been reported in the 39 districts for an estimated population of 9 million, or 0.002%.
For NFM3, Alliance Côte d´Ivoire covers 86 health districts with an estimated population per year of:
2021: 27 183 326
2022: 27 890 093
2023: 28 615 235
The methodology for estimating the size of suspected cases of violence or human rights violation was made by applying the rate of 0.002% to the estimated population.
2021: 27,183,326 * 0.002% = 576
2022: 27 890 093 * 0.002% = 591
2023: 28,615,235 * 0.002% = 607
In terms of suspected cases of violence or human rights violation, according to routine data 2019, we note that 82% (161/197) have been validated (NB: A validated case is a suspected case of violence or violation of human rights in causation between the damage suffered and stigma and discrimination).
This outcome from our routine data (2019) made it possible to estimate the number of validated cases from year to year:
2021: 576 * 82% = 473
2022: 591 * 82% = 485
2023: 607 * 82% = 497
Relative to the coverage of 23.6% of the cases notified (38/161) as of December 31, 2019 (basic data), the projections in the 86 districts on behalf of the NFM3 of Alliance Côte d'Ivoire concerning PLHIV and key population benefiting from legal and judicial assistance will be maintained at 23.6% of cases notified each year (from 2021 to 2023).
Thus, the following targets were obtained:
2021: 473 * 23.6% = 112
2022: 485 * 23.6% = 114
2023: 497 * 23.6% = 117
N: number of PLHIV and key population members receiving legal and judicial assistance
D: Number of validated cases (Validated cases are defined as any case presumed to have a causal link between the damage suffered and stigma and discrimination).</v>
      </c>
      <c r="J494" s="487" t="str">
        <f ca="1">IFERROR(VLOOKUP(INDIRECT("'Coverage Indicators - Section D'!D"&amp;$B494),'Reference Records'!C50:F201,4,0),"")</f>
        <v/>
      </c>
      <c r="K494" s="487" t="str">
        <f ca="1">IFERROR(VLOOKUP(IF(INDIRECT("'Coverage Indicators - Section D'!B"&amp;$B494)="","--select--",INDIRECT("'Coverage Indicators - Section D'!B"&amp;$B494)),'Overview - Section A'!C$100:D150,2,0),"")</f>
        <v>M-34814</v>
      </c>
      <c r="L494" s="493">
        <f t="shared" ca="1" si="88"/>
        <v>2019</v>
      </c>
      <c r="M494" s="487" t="str">
        <f ca="1">IFERROR(VLOOKUP(INDIRECT("'Coverage Indicators - Section D'!C"&amp;$B494),'Reference Records'!C$509:F638,3,0),"")</f>
        <v>MCI-01153</v>
      </c>
      <c r="N494" s="493" t="str">
        <f t="shared" ca="1" si="89"/>
        <v>Percentage of PLHIV and key population receiving legal and judicial assistance</v>
      </c>
      <c r="O494" s="487" t="str">
        <f t="shared" ca="1" si="90"/>
        <v>Côte d'Ivoire</v>
      </c>
      <c r="P494" s="493" t="str">
        <f t="shared" ca="1" si="91"/>
        <v>Geographic Subnational, less than 100% national program target</v>
      </c>
      <c r="Q494" s="493" t="str">
        <f t="shared" ca="1" si="92"/>
        <v>Non cumulative – other</v>
      </c>
      <c r="R494" s="487" t="b">
        <f t="shared" ca="1" si="93"/>
        <v>1</v>
      </c>
      <c r="S494" s="493" t="str">
        <f ca="1">IFERROR(VLOOKUP(INDIRECT("'Coverage Indicators - Section D'!L"&amp;$B494),'Overview - Section A'!M$29:P89,4,0),IFERROR(IF(VLOOKUP(INDIRECT("'Coverage Indicators - Section D'!L"&amp;$B494),'Overview - Section A'!E$26:I77,5,0)=0,"",VLOOKUP(INDIRECT("'Coverage Indicators - Section D'!L"&amp;$B494),'Overview - Section A'!E$26:I77,5,0)),""))</f>
        <v>a123p000005UjbLAAS</v>
      </c>
      <c r="T494" s="493" t="str">
        <f t="shared" ca="1" si="94"/>
        <v>Pourcentage de PVVIH et population clés bénéfciant d'assistance juridique et/ou judiciaire</v>
      </c>
      <c r="U494" s="493" t="str">
        <f t="shared" ca="1" si="95"/>
        <v>Alliance CI Routine data (Base de données)</v>
      </c>
      <c r="V494" s="493" t="str">
        <f t="shared" ca="1" si="96"/>
        <v>Selon les données de routine d'Alliance Côte d'Ivoire 2019, 197 cas présumés de violence ou de violation des droits humains ont été rapportés sur les 39 districts pour une population estimée de 9 millions d’habitants, soit 0,002%. 
Pour le NFM3, Alliance Côte d’Ivoire couvre 86 districts sanitaires avec une population estimée par année de :
2021 :                      27 183 326   
2022 :                      27 890 093   
2023 :                       28 615 235   
La méthodologie d’estimation de la taille des cas présumés de violence ou de violation des droits humains a été faite en appliquant le taux de 0,002% à la population estimée.
2021 : 27 183 326*0,002% =  576   
2022 : 27 890 093*0,002% =  591   
2023 : 28 615 235*0,002% =  607   
Au niveau des cas présumés de violence ou de violation des droits humains, selon les données de routine 2019, on note que 82% (161/197) ont été validés (NB : Un cas validé est un cas présumé de violence ou de violation des droits humains en lien de causalité entre le dommage subi et la stigmatisation et la discrimination). 
Cette proportion issue de nos données de routine (2019) a permis d’estimer l’effectif des cas validés d’année en année. Soit :
2021 :  576*82% = 473 
2022 :  591*82% = 485 
2023 :  607*82% = 497 
Relativement à la couverture de 23,6% des cas notifiés (38/161) au 31 décembre 2019 (données de base), les projections dans les 86 districts pour le compte du NFM3 d’Alliance Côte d‘Ivoire concernant les PVVIH et population clés bénéficiant d'assistance juridique et judiciaire seront maintenues à 23,6% des cas notifiés chaque année (de 2021 à 2023).
Ainsi, les cibles ci-dessous ont été obtenues : 
             2021 : 	                 473*23,6% =  112 
             2022 : 	                 485*23,6% =  114 
             2023 : 	                 497*23,6% =  117 
N : nombre de PVVIH et population clés bénéficiant d'assistance juridique et judiciaire
D : Nombre de cas validés (Les cas validés sont définis comme tout cas présumé en lien de causalité entre le dommage subi et la stigmation et la discrimination).</v>
      </c>
      <c r="W494" s="493"/>
      <c r="X494" s="493"/>
      <c r="Y494" s="487"/>
      <c r="Z494" s="487"/>
      <c r="AA494" s="493"/>
      <c r="AB494" s="493"/>
      <c r="AC494" s="487">
        <f t="shared" si="81"/>
        <v>0</v>
      </c>
      <c r="AD494" s="487"/>
      <c r="AE494" s="487"/>
      <c r="AF494" s="502"/>
      <c r="AG494" s="493"/>
    </row>
    <row r="495" spans="1:33" x14ac:dyDescent="0.3">
      <c r="A495" s="487" t="b">
        <f t="shared" ca="1" si="82"/>
        <v>1</v>
      </c>
      <c r="B495" s="488">
        <f t="shared" si="79"/>
        <v>47</v>
      </c>
      <c r="C495" s="500" t="str">
        <f>IFERROR(IF(AND(H495=2,B495=7),"blank",INDEX(C$444:C495,H495,1)),"")</f>
        <v>a183p000003Sl2pAAC</v>
      </c>
      <c r="D495" s="490">
        <f t="shared" ca="1" si="83"/>
        <v>21.103889310809798</v>
      </c>
      <c r="E495" s="502">
        <f t="shared" ca="1" si="84"/>
        <v>307147.17579000007</v>
      </c>
      <c r="F495" s="502">
        <f t="shared" ca="1" si="85"/>
        <v>64820</v>
      </c>
      <c r="G495" s="493" t="str">
        <f t="shared" ca="1" si="86"/>
        <v>Alliance CI Routine data (Annual report)</v>
      </c>
      <c r="H495" s="488">
        <f t="shared" si="80"/>
        <v>22</v>
      </c>
      <c r="I495" s="493" t="str">
        <f t="shared" ca="1" si="87"/>
        <v xml:space="preserve">The 2019 results for Alliance Côte d'Ivoire indicate that 64,820 men aged 25 and over were screened for HIV and received the test results out of  the estimated total of 307,147 Men aged 25 and over, i.e. coverage of 21.1 % in the 28 districts.
Analysis of the programmatic gaps in the 50 districts which will be covered in NFM3 showed that there are 17 districts with a gap in the 1st 90 greater than 30%.
Furthermore, according to the gap analysis for the 1st 90 in 2019, 26% of PLWHIV adult men do not know their HIV status.
Thus, this rate was applied to the estimated population of men aged 25 and over at the level of the 17 districts (Population data, NIS projection) in order to determine the number of men aged 25 and over to be screened.
This gives :
2021: 232,792 = (895,355 * 26%)
2022: 238,845 = (918,634 * 26%)
2023: 245,055 = (942,519 * 26%)
According to the 2021-2015 NSP projections (Performance framework), the country's projections are 15% in 2021, 19% in 2022 and 23% in 2023.
In terms of routine data, our coverage as of December 31, 2019 (basic data), for men 25 years and over is 21.1% (64,820 / 307,147).
Taking into account the two (2) strategies that will be developed (Multi-disease campaigns in companies and local activities coupled with screening) targeting men aged 25 and over, Alliance Côte d'Ivoire's projections will be maintained at 30% from 2021 to 2023.
To determine the men aged 25 and over counseled and screened for HIV who received the test result, Alliance Côte d'Ivoire plans as a target:
2021: 69,838 (232,792 * 30%)
2022: 71 653 (238 845 * 30%)
2023: 73,516 (245,055 * 30%)
Tools: Database and narrative report
N: Number of men aged 25 and over screened for HIV who received the test result each year
D: Estimated number of men aged 25 and over (NIS projection for each year)
Disaggregation: age group [25-34] years and [35-49] years and [50 years and over </v>
      </c>
      <c r="J495" s="487" t="str">
        <f ca="1">IFERROR(VLOOKUP(INDIRECT("'Coverage Indicators - Section D'!D"&amp;$B495),'Reference Records'!C51:F202,4,0),"")</f>
        <v/>
      </c>
      <c r="K495" s="487" t="str">
        <f ca="1">IFERROR(VLOOKUP(IF(INDIRECT("'Coverage Indicators - Section D'!B"&amp;$B495)="","--select--",INDIRECT("'Coverage Indicators - Section D'!B"&amp;$B495)),'Overview - Section A'!C$100:D151,2,0),"")</f>
        <v>M-34818</v>
      </c>
      <c r="L495" s="493">
        <f t="shared" ca="1" si="88"/>
        <v>2019</v>
      </c>
      <c r="M495" s="487" t="str">
        <f ca="1">IFERROR(VLOOKUP(INDIRECT("'Coverage Indicators - Section D'!C"&amp;$B495),'Reference Records'!C$509:F639,3,0),"")</f>
        <v>MCI-01153</v>
      </c>
      <c r="N495" s="493" t="str">
        <f t="shared" ca="1" si="89"/>
        <v>Percentage of men aged 25 and over screened for HIV who received the test result each year</v>
      </c>
      <c r="O495" s="487" t="str">
        <f t="shared" ca="1" si="90"/>
        <v>Côte d'Ivoire</v>
      </c>
      <c r="P495" s="493" t="str">
        <f t="shared" ca="1" si="91"/>
        <v>Geographic Subnational, less than 100% national program target</v>
      </c>
      <c r="Q495" s="493" t="str">
        <f t="shared" ca="1" si="92"/>
        <v>Non cumulative – other</v>
      </c>
      <c r="R495" s="487" t="b">
        <f t="shared" ca="1" si="93"/>
        <v>1</v>
      </c>
      <c r="S495" s="493" t="str">
        <f ca="1">IFERROR(VLOOKUP(INDIRECT("'Coverage Indicators - Section D'!L"&amp;$B495),'Overview - Section A'!M$29:P90,4,0),IFERROR(IF(VLOOKUP(INDIRECT("'Coverage Indicators - Section D'!L"&amp;$B495),'Overview - Section A'!E$26:I78,5,0)=0,"",VLOOKUP(INDIRECT("'Coverage Indicators - Section D'!L"&amp;$B495),'Overview - Section A'!E$26:I78,5,0)),""))</f>
        <v>a123p000005UjbLAAS</v>
      </c>
      <c r="T495" s="493" t="str">
        <f t="shared" ca="1" si="94"/>
        <v xml:space="preserve">Pourcentage des Hommes âgés de 25 ans et plus dépistés pour le VIH et ayant reçu le résultat du test chaque année </v>
      </c>
      <c r="U495" s="493" t="str">
        <f t="shared" ca="1" si="95"/>
        <v>Alliance CI Routine data (Base de données)</v>
      </c>
      <c r="V495" s="493" t="str">
        <f t="shared" ca="1" si="96"/>
        <v>Le résultat de 2019 pour Alliance Côte d'Ivoire indique que 64.820 hommes de 25 ans et plus ont été dépistés pour le VIH et ont reçu le résultat sur un total estimé de 307.147 Hommes de 25 ans et plus, soit une couverture de 21,1% dans les 28 districts.
L’analyse des gaps programmatiques dans les 50 districts couverts par le NFM3 a montré qu’il y a 17 districts avec un gap au 1er 90 supérieur à 30%.
Par ailleurs selon l'analyse des gaps pour le 1er 90 en 2019, 26% des PVVIH Hommes adultes ne connaissent pas leur statut sérologique.
Ainsi, ce taux a été appliqué à la population estimée des hommes de 25 ans et plus au niveau des 17 districts (Données de population, projection INS) afin de déterminer la base des hommes de 25 ans et plus à toucher pour le dépistage.
Ce qui donne :
2021 : 232 792 = (895 355*26%)
2022 : 238 845 = (918 634*26%)
2023 : 245 055 = (942 519*26%)
Selon les projections du PSN 2021-2015 (Cadre de performance), les projections du pays sont de 15% en 2021, 19% en 2022 et 23% en 2023.
Au regard des données de routine, notre couverture au 31 décembre 2019 (données de base), chez les hommes de 25 ans et plus est de 21,1% (64.820/307.147). 
En tenant compte des deux (2) stratégies qui seront devéloppées (les Campagnes multi-maladies dans les entreprises et les activités de proximité couplée au dépistage) en direction des hommes de 25 ans et plus, les projections d’Alliance Côte d‘Ivoire seront maintenues à 30% de 2021 à 2023. 
Pour déterminer les hommes de 25 ans et plus conseillés et dépistés pour le VIH ayant reçu le résultat du test, Alliance Côte d'Ivoire prévoit comme cible : 
2021 : 69 838 (232 792*30%)
2022 : 71 653 (238 845*30%)
2023 : 73 516 (245 055*30%)
Outils : La base de données et le rapport narratif
N : Nombre d’Hommes de 25 ans et plus dépistés pour le VIH et ayant reçu le résultat du test chaque année
D : Nombre d'Hommes de 25 ans et plus estimés (projection INS de chaque année)
Désagrégation :  tranche d'âge [25-34] ans et [35-49] ans et [50 ans et plus[</v>
      </c>
      <c r="W495" s="493"/>
      <c r="X495" s="493"/>
      <c r="Y495" s="487"/>
      <c r="Z495" s="487"/>
      <c r="AA495" s="493"/>
      <c r="AB495" s="493"/>
      <c r="AC495" s="487">
        <f t="shared" si="81"/>
        <v>0</v>
      </c>
      <c r="AD495" s="487"/>
      <c r="AE495" s="487"/>
      <c r="AF495" s="502"/>
      <c r="AG495" s="493"/>
    </row>
    <row r="496" spans="1:33" x14ac:dyDescent="0.3">
      <c r="A496" s="487" t="b">
        <f t="shared" ca="1" si="82"/>
        <v>0</v>
      </c>
      <c r="B496" s="488">
        <f t="shared" si="79"/>
        <v>49</v>
      </c>
      <c r="C496" s="500" t="str">
        <f>IFERROR(IF(AND(H496=2,B496=7),"blank",INDEX(C$444:C496,H496,1)),"")</f>
        <v>a183p000003Sl2qAAC</v>
      </c>
      <c r="D496" s="490" t="str">
        <f t="shared" ca="1" si="83"/>
        <v/>
      </c>
      <c r="E496" s="502" t="str">
        <f t="shared" ca="1" si="84"/>
        <v/>
      </c>
      <c r="F496" s="502" t="str">
        <f t="shared" ca="1" si="85"/>
        <v/>
      </c>
      <c r="G496" s="493" t="str">
        <f t="shared" ca="1" si="86"/>
        <v/>
      </c>
      <c r="H496" s="488">
        <f t="shared" si="80"/>
        <v>23</v>
      </c>
      <c r="I496" s="493" t="str">
        <f t="shared" ca="1" si="87"/>
        <v/>
      </c>
      <c r="J496" s="487" t="str">
        <f ca="1">IFERROR(VLOOKUP(INDIRECT("'Coverage Indicators - Section D'!D"&amp;$B496),'Reference Records'!C52:F203,4,0),"")</f>
        <v/>
      </c>
      <c r="K496" s="487" t="str">
        <f ca="1">IFERROR(VLOOKUP(IF(INDIRECT("'Coverage Indicators - Section D'!B"&amp;$B496)="","--select--",INDIRECT("'Coverage Indicators - Section D'!B"&amp;$B496)),'Overview - Section A'!C$100:D152,2,0),"")</f>
        <v>M-34822</v>
      </c>
      <c r="L496" s="493" t="str">
        <f t="shared" ca="1" si="88"/>
        <v/>
      </c>
      <c r="M496" s="487" t="str">
        <f ca="1">IFERROR(VLOOKUP(INDIRECT("'Coverage Indicators - Section D'!C"&amp;$B496),'Reference Records'!C$509:F640,3,0),"")</f>
        <v/>
      </c>
      <c r="N496" s="493" t="str">
        <f t="shared" ca="1" si="89"/>
        <v/>
      </c>
      <c r="O496" s="487" t="str">
        <f t="shared" ca="1" si="90"/>
        <v/>
      </c>
      <c r="P496" s="493" t="str">
        <f t="shared" ca="1" si="91"/>
        <v/>
      </c>
      <c r="Q496" s="493" t="str">
        <f t="shared" ca="1" si="92"/>
        <v/>
      </c>
      <c r="R496" s="487" t="str">
        <f t="shared" ca="1" si="93"/>
        <v>FALSE</v>
      </c>
      <c r="S496" s="493" t="str">
        <f ca="1">IFERROR(VLOOKUP(INDIRECT("'Coverage Indicators - Section D'!L"&amp;$B496),'Overview - Section A'!M$29:P91,4,0),IFERROR(IF(VLOOKUP(INDIRECT("'Coverage Indicators - Section D'!L"&amp;$B496),'Overview - Section A'!E$26:I79,5,0)=0,"",VLOOKUP(INDIRECT("'Coverage Indicators - Section D'!L"&amp;$B496),'Overview - Section A'!E$26:I79,5,0)),""))</f>
        <v/>
      </c>
      <c r="T496" s="493" t="str">
        <f t="shared" ca="1" si="94"/>
        <v/>
      </c>
      <c r="U496" s="493" t="str">
        <f t="shared" ca="1" si="95"/>
        <v/>
      </c>
      <c r="V496" s="493" t="str">
        <f t="shared" ca="1" si="96"/>
        <v/>
      </c>
      <c r="W496" s="493"/>
      <c r="X496" s="493"/>
      <c r="Y496" s="487"/>
      <c r="Z496" s="487"/>
      <c r="AA496" s="493"/>
      <c r="AB496" s="493"/>
      <c r="AC496" s="487">
        <f t="shared" si="81"/>
        <v>0</v>
      </c>
      <c r="AD496" s="487"/>
      <c r="AE496" s="487"/>
      <c r="AF496" s="502"/>
      <c r="AG496" s="493"/>
    </row>
    <row r="497" spans="1:33" x14ac:dyDescent="0.3">
      <c r="A497" s="487" t="b">
        <f t="shared" ca="1" si="82"/>
        <v>0</v>
      </c>
      <c r="B497" s="488">
        <f t="shared" si="79"/>
        <v>51</v>
      </c>
      <c r="C497" s="500" t="str">
        <f>IFERROR(IF(AND(H497=2,B497=7),"blank",INDEX(C$444:C497,H497,1)),"")</f>
        <v>a183p000003Sl2rAAC</v>
      </c>
      <c r="D497" s="490" t="str">
        <f t="shared" ca="1" si="83"/>
        <v/>
      </c>
      <c r="E497" s="502" t="str">
        <f t="shared" ca="1" si="84"/>
        <v/>
      </c>
      <c r="F497" s="502" t="str">
        <f t="shared" ca="1" si="85"/>
        <v/>
      </c>
      <c r="G497" s="493" t="str">
        <f t="shared" ca="1" si="86"/>
        <v/>
      </c>
      <c r="H497" s="488">
        <f t="shared" si="80"/>
        <v>24</v>
      </c>
      <c r="I497" s="493" t="str">
        <f t="shared" ca="1" si="87"/>
        <v/>
      </c>
      <c r="J497" s="487" t="str">
        <f ca="1">IFERROR(VLOOKUP(INDIRECT("'Coverage Indicators - Section D'!D"&amp;$B497),'Reference Records'!C53:F204,4,0),"")</f>
        <v/>
      </c>
      <c r="K497" s="487" t="str">
        <f ca="1">IFERROR(VLOOKUP(IF(INDIRECT("'Coverage Indicators - Section D'!B"&amp;$B497)="","--select--",INDIRECT("'Coverage Indicators - Section D'!B"&amp;$B497)),'Overview - Section A'!C$100:D153,2,0),"")</f>
        <v>M-34822</v>
      </c>
      <c r="L497" s="493" t="str">
        <f t="shared" ca="1" si="88"/>
        <v/>
      </c>
      <c r="M497" s="487" t="str">
        <f ca="1">IFERROR(VLOOKUP(INDIRECT("'Coverage Indicators - Section D'!C"&amp;$B497),'Reference Records'!C$509:F641,3,0),"")</f>
        <v/>
      </c>
      <c r="N497" s="493" t="str">
        <f t="shared" ca="1" si="89"/>
        <v/>
      </c>
      <c r="O497" s="487" t="str">
        <f t="shared" ca="1" si="90"/>
        <v/>
      </c>
      <c r="P497" s="493" t="str">
        <f t="shared" ca="1" si="91"/>
        <v/>
      </c>
      <c r="Q497" s="493" t="str">
        <f t="shared" ca="1" si="92"/>
        <v/>
      </c>
      <c r="R497" s="487" t="str">
        <f t="shared" ca="1" si="93"/>
        <v>FALSE</v>
      </c>
      <c r="S497" s="493" t="str">
        <f ca="1">IFERROR(VLOOKUP(INDIRECT("'Coverage Indicators - Section D'!L"&amp;$B497),'Overview - Section A'!M$29:P92,4,0),IFERROR(IF(VLOOKUP(INDIRECT("'Coverage Indicators - Section D'!L"&amp;$B497),'Overview - Section A'!E$26:I80,5,0)=0,"",VLOOKUP(INDIRECT("'Coverage Indicators - Section D'!L"&amp;$B497),'Overview - Section A'!E$26:I80,5,0)),""))</f>
        <v/>
      </c>
      <c r="T497" s="493" t="str">
        <f t="shared" ca="1" si="94"/>
        <v/>
      </c>
      <c r="U497" s="493" t="str">
        <f t="shared" ca="1" si="95"/>
        <v/>
      </c>
      <c r="V497" s="493" t="str">
        <f t="shared" ca="1" si="96"/>
        <v/>
      </c>
      <c r="W497" s="493"/>
      <c r="X497" s="493"/>
      <c r="Y497" s="487"/>
      <c r="Z497" s="487"/>
      <c r="AA497" s="493"/>
      <c r="AB497" s="493"/>
      <c r="AC497" s="487">
        <f t="shared" si="81"/>
        <v>0</v>
      </c>
      <c r="AD497" s="487"/>
      <c r="AE497" s="487"/>
      <c r="AF497" s="502"/>
      <c r="AG497" s="493"/>
    </row>
    <row r="498" spans="1:33" x14ac:dyDescent="0.3">
      <c r="A498" s="487" t="b">
        <f t="shared" ca="1" si="82"/>
        <v>0</v>
      </c>
      <c r="B498" s="488">
        <f t="shared" si="79"/>
        <v>53</v>
      </c>
      <c r="C498" s="500" t="str">
        <f>IFERROR(IF(AND(H498=2,B498=7),"blank",INDEX(C$444:C498,H498,1)),"")</f>
        <v>a183p000003Sl2sAAC</v>
      </c>
      <c r="D498" s="490" t="str">
        <f t="shared" ca="1" si="83"/>
        <v/>
      </c>
      <c r="E498" s="502" t="str">
        <f t="shared" ca="1" si="84"/>
        <v/>
      </c>
      <c r="F498" s="502" t="str">
        <f t="shared" ca="1" si="85"/>
        <v/>
      </c>
      <c r="G498" s="493" t="str">
        <f t="shared" ca="1" si="86"/>
        <v/>
      </c>
      <c r="H498" s="488">
        <f t="shared" si="80"/>
        <v>25</v>
      </c>
      <c r="I498" s="493" t="str">
        <f t="shared" ca="1" si="87"/>
        <v/>
      </c>
      <c r="J498" s="487" t="str">
        <f ca="1">IFERROR(VLOOKUP(INDIRECT("'Coverage Indicators - Section D'!D"&amp;$B498),'Reference Records'!C54:F205,4,0),"")</f>
        <v/>
      </c>
      <c r="K498" s="487" t="str">
        <f ca="1">IFERROR(VLOOKUP(IF(INDIRECT("'Coverage Indicators - Section D'!B"&amp;$B498)="","--select--",INDIRECT("'Coverage Indicators - Section D'!B"&amp;$B498)),'Overview - Section A'!C$100:D154,2,0),"")</f>
        <v>M-34822</v>
      </c>
      <c r="L498" s="493" t="str">
        <f t="shared" ca="1" si="88"/>
        <v/>
      </c>
      <c r="M498" s="487" t="str">
        <f ca="1">IFERROR(VLOOKUP(INDIRECT("'Coverage Indicators - Section D'!C"&amp;$B498),'Reference Records'!C$509:F642,3,0),"")</f>
        <v/>
      </c>
      <c r="N498" s="493" t="str">
        <f t="shared" ca="1" si="89"/>
        <v/>
      </c>
      <c r="O498" s="487" t="str">
        <f t="shared" ca="1" si="90"/>
        <v/>
      </c>
      <c r="P498" s="493" t="str">
        <f t="shared" ca="1" si="91"/>
        <v/>
      </c>
      <c r="Q498" s="493" t="str">
        <f t="shared" ca="1" si="92"/>
        <v/>
      </c>
      <c r="R498" s="487" t="str">
        <f t="shared" ca="1" si="93"/>
        <v>FALSE</v>
      </c>
      <c r="S498" s="493" t="str">
        <f ca="1">IFERROR(VLOOKUP(INDIRECT("'Coverage Indicators - Section D'!L"&amp;$B498),'Overview - Section A'!M$29:P93,4,0),IFERROR(IF(VLOOKUP(INDIRECT("'Coverage Indicators - Section D'!L"&amp;$B498),'Overview - Section A'!E$26:I81,5,0)=0,"",VLOOKUP(INDIRECT("'Coverage Indicators - Section D'!L"&amp;$B498),'Overview - Section A'!E$26:I81,5,0)),""))</f>
        <v/>
      </c>
      <c r="T498" s="493" t="str">
        <f t="shared" ca="1" si="94"/>
        <v/>
      </c>
      <c r="U498" s="493" t="str">
        <f t="shared" ca="1" si="95"/>
        <v/>
      </c>
      <c r="V498" s="493" t="str">
        <f t="shared" ca="1" si="96"/>
        <v/>
      </c>
      <c r="W498" s="493"/>
      <c r="X498" s="493"/>
      <c r="Y498" s="487"/>
      <c r="Z498" s="487"/>
      <c r="AA498" s="493"/>
      <c r="AB498" s="493"/>
      <c r="AC498" s="487">
        <f t="shared" si="81"/>
        <v>0</v>
      </c>
      <c r="AD498" s="487"/>
      <c r="AE498" s="487"/>
      <c r="AF498" s="502"/>
      <c r="AG498" s="493"/>
    </row>
    <row r="499" spans="1:33" x14ac:dyDescent="0.3">
      <c r="A499" s="487" t="b">
        <f t="shared" ca="1" si="82"/>
        <v>0</v>
      </c>
      <c r="B499" s="488">
        <f t="shared" si="79"/>
        <v>55</v>
      </c>
      <c r="C499" s="500" t="str">
        <f>IFERROR(IF(AND(H499=2,B499=7),"blank",INDEX(C$444:C499,H499,1)),"")</f>
        <v>a183p000003Sl2tAAC</v>
      </c>
      <c r="D499" s="490" t="str">
        <f t="shared" ca="1" si="83"/>
        <v/>
      </c>
      <c r="E499" s="502" t="str">
        <f t="shared" ca="1" si="84"/>
        <v/>
      </c>
      <c r="F499" s="502" t="str">
        <f t="shared" ca="1" si="85"/>
        <v/>
      </c>
      <c r="G499" s="493" t="str">
        <f t="shared" ca="1" si="86"/>
        <v/>
      </c>
      <c r="H499" s="488">
        <f t="shared" si="80"/>
        <v>26</v>
      </c>
      <c r="I499" s="493" t="str">
        <f t="shared" ca="1" si="87"/>
        <v/>
      </c>
      <c r="J499" s="487" t="str">
        <f ca="1">IFERROR(VLOOKUP(INDIRECT("'Coverage Indicators - Section D'!D"&amp;$B499),'Reference Records'!C55:F206,4,0),"")</f>
        <v/>
      </c>
      <c r="K499" s="487" t="str">
        <f ca="1">IFERROR(VLOOKUP(IF(INDIRECT("'Coverage Indicators - Section D'!B"&amp;$B499)="","--select--",INDIRECT("'Coverage Indicators - Section D'!B"&amp;$B499)),'Overview - Section A'!C$100:D155,2,0),"")</f>
        <v>M-34822</v>
      </c>
      <c r="L499" s="493" t="str">
        <f t="shared" ca="1" si="88"/>
        <v/>
      </c>
      <c r="M499" s="487" t="str">
        <f ca="1">IFERROR(VLOOKUP(INDIRECT("'Coverage Indicators - Section D'!C"&amp;$B499),'Reference Records'!C$509:F643,3,0),"")</f>
        <v/>
      </c>
      <c r="N499" s="493" t="str">
        <f t="shared" ca="1" si="89"/>
        <v/>
      </c>
      <c r="O499" s="487" t="str">
        <f t="shared" ca="1" si="90"/>
        <v/>
      </c>
      <c r="P499" s="493" t="str">
        <f t="shared" ca="1" si="91"/>
        <v/>
      </c>
      <c r="Q499" s="493" t="str">
        <f t="shared" ca="1" si="92"/>
        <v/>
      </c>
      <c r="R499" s="487" t="str">
        <f t="shared" ca="1" si="93"/>
        <v>FALSE</v>
      </c>
      <c r="S499" s="493" t="str">
        <f ca="1">IFERROR(VLOOKUP(INDIRECT("'Coverage Indicators - Section D'!L"&amp;$B499),'Overview - Section A'!M$29:P94,4,0),IFERROR(IF(VLOOKUP(INDIRECT("'Coverage Indicators - Section D'!L"&amp;$B499),'Overview - Section A'!E$26:I82,5,0)=0,"",VLOOKUP(INDIRECT("'Coverage Indicators - Section D'!L"&amp;$B499),'Overview - Section A'!E$26:I82,5,0)),""))</f>
        <v/>
      </c>
      <c r="T499" s="493" t="str">
        <f t="shared" ca="1" si="94"/>
        <v/>
      </c>
      <c r="U499" s="493" t="str">
        <f t="shared" ca="1" si="95"/>
        <v/>
      </c>
      <c r="V499" s="493" t="str">
        <f t="shared" ca="1" si="96"/>
        <v/>
      </c>
      <c r="W499" s="493"/>
      <c r="X499" s="493"/>
      <c r="Y499" s="487"/>
      <c r="Z499" s="487"/>
      <c r="AA499" s="493"/>
      <c r="AB499" s="493"/>
      <c r="AC499" s="487">
        <f t="shared" si="81"/>
        <v>0</v>
      </c>
      <c r="AD499" s="487"/>
      <c r="AE499" s="487"/>
      <c r="AF499" s="502"/>
      <c r="AG499" s="493"/>
    </row>
    <row r="500" spans="1:33" x14ac:dyDescent="0.3">
      <c r="A500" s="487" t="b">
        <f t="shared" ca="1" si="82"/>
        <v>0</v>
      </c>
      <c r="B500" s="488">
        <f t="shared" si="79"/>
        <v>57</v>
      </c>
      <c r="C500" s="500" t="str">
        <f>IFERROR(IF(AND(H500=2,B500=7),"blank",INDEX(C$444:C500,H500,1)),"")</f>
        <v>a183p000003Sl2uAAC</v>
      </c>
      <c r="D500" s="490" t="str">
        <f t="shared" ca="1" si="83"/>
        <v/>
      </c>
      <c r="E500" s="502" t="str">
        <f t="shared" ca="1" si="84"/>
        <v/>
      </c>
      <c r="F500" s="502" t="str">
        <f t="shared" ca="1" si="85"/>
        <v/>
      </c>
      <c r="G500" s="493" t="str">
        <f t="shared" ca="1" si="86"/>
        <v/>
      </c>
      <c r="H500" s="488">
        <f t="shared" si="80"/>
        <v>27</v>
      </c>
      <c r="I500" s="493" t="str">
        <f t="shared" ca="1" si="87"/>
        <v/>
      </c>
      <c r="J500" s="487" t="str">
        <f ca="1">IFERROR(VLOOKUP(INDIRECT("'Coverage Indicators - Section D'!D"&amp;$B500),'Reference Records'!C56:F207,4,0),"")</f>
        <v/>
      </c>
      <c r="K500" s="487" t="str">
        <f ca="1">IFERROR(VLOOKUP(IF(INDIRECT("'Coverage Indicators - Section D'!B"&amp;$B500)="","--select--",INDIRECT("'Coverage Indicators - Section D'!B"&amp;$B500)),'Overview - Section A'!C$100:D156,2,0),"")</f>
        <v>M-34822</v>
      </c>
      <c r="L500" s="493" t="str">
        <f t="shared" ca="1" si="88"/>
        <v/>
      </c>
      <c r="M500" s="487" t="str">
        <f ca="1">IFERROR(VLOOKUP(INDIRECT("'Coverage Indicators - Section D'!C"&amp;$B500),'Reference Records'!C$509:F644,3,0),"")</f>
        <v/>
      </c>
      <c r="N500" s="493" t="str">
        <f t="shared" ca="1" si="89"/>
        <v/>
      </c>
      <c r="O500" s="487" t="str">
        <f t="shared" ca="1" si="90"/>
        <v/>
      </c>
      <c r="P500" s="493" t="str">
        <f t="shared" ca="1" si="91"/>
        <v/>
      </c>
      <c r="Q500" s="493" t="str">
        <f t="shared" ca="1" si="92"/>
        <v/>
      </c>
      <c r="R500" s="487" t="str">
        <f t="shared" ca="1" si="93"/>
        <v>FALSE</v>
      </c>
      <c r="S500" s="493" t="str">
        <f ca="1">IFERROR(VLOOKUP(INDIRECT("'Coverage Indicators - Section D'!L"&amp;$B500),'Overview - Section A'!M$29:P95,4,0),IFERROR(IF(VLOOKUP(INDIRECT("'Coverage Indicators - Section D'!L"&amp;$B500),'Overview - Section A'!E$26:I83,5,0)=0,"",VLOOKUP(INDIRECT("'Coverage Indicators - Section D'!L"&amp;$B500),'Overview - Section A'!E$26:I83,5,0)),""))</f>
        <v/>
      </c>
      <c r="T500" s="493" t="str">
        <f t="shared" ca="1" si="94"/>
        <v/>
      </c>
      <c r="U500" s="493" t="str">
        <f t="shared" ca="1" si="95"/>
        <v/>
      </c>
      <c r="V500" s="493" t="str">
        <f t="shared" ca="1" si="96"/>
        <v/>
      </c>
      <c r="W500" s="493"/>
      <c r="X500" s="493"/>
      <c r="Y500" s="487"/>
      <c r="Z500" s="487"/>
      <c r="AA500" s="493"/>
      <c r="AB500" s="493"/>
      <c r="AC500" s="487">
        <f t="shared" si="81"/>
        <v>0</v>
      </c>
      <c r="AD500" s="487"/>
      <c r="AE500" s="487"/>
      <c r="AF500" s="502"/>
      <c r="AG500" s="493"/>
    </row>
    <row r="501" spans="1:33" x14ac:dyDescent="0.3">
      <c r="A501" s="487" t="b">
        <f t="shared" ca="1" si="82"/>
        <v>0</v>
      </c>
      <c r="B501" s="488">
        <f t="shared" si="79"/>
        <v>59</v>
      </c>
      <c r="C501" s="500" t="str">
        <f>IFERROR(IF(AND(H501=2,B501=7),"blank",INDEX(C$444:C501,H501,1)),"")</f>
        <v>a183p000003Sl2vAAC</v>
      </c>
      <c r="D501" s="490" t="str">
        <f t="shared" ca="1" si="83"/>
        <v/>
      </c>
      <c r="E501" s="502" t="str">
        <f t="shared" ca="1" si="84"/>
        <v/>
      </c>
      <c r="F501" s="502" t="str">
        <f t="shared" ca="1" si="85"/>
        <v/>
      </c>
      <c r="G501" s="493" t="str">
        <f t="shared" ca="1" si="86"/>
        <v/>
      </c>
      <c r="H501" s="488">
        <f t="shared" si="80"/>
        <v>28</v>
      </c>
      <c r="I501" s="493" t="str">
        <f t="shared" ca="1" si="87"/>
        <v/>
      </c>
      <c r="J501" s="487" t="str">
        <f ca="1">IFERROR(VLOOKUP(INDIRECT("'Coverage Indicators - Section D'!D"&amp;$B501),'Reference Records'!C57:F208,4,0),"")</f>
        <v/>
      </c>
      <c r="K501" s="487" t="str">
        <f ca="1">IFERROR(VLOOKUP(IF(INDIRECT("'Coverage Indicators - Section D'!B"&amp;$B501)="","--select--",INDIRECT("'Coverage Indicators - Section D'!B"&amp;$B501)),'Overview - Section A'!C$100:D157,2,0),"")</f>
        <v>M-34822</v>
      </c>
      <c r="L501" s="493" t="str">
        <f t="shared" ca="1" si="88"/>
        <v/>
      </c>
      <c r="M501" s="487" t="str">
        <f ca="1">IFERROR(VLOOKUP(INDIRECT("'Coverage Indicators - Section D'!C"&amp;$B501),'Reference Records'!C$509:F645,3,0),"")</f>
        <v/>
      </c>
      <c r="N501" s="493" t="str">
        <f t="shared" ca="1" si="89"/>
        <v/>
      </c>
      <c r="O501" s="487" t="str">
        <f t="shared" ca="1" si="90"/>
        <v/>
      </c>
      <c r="P501" s="493" t="str">
        <f t="shared" ca="1" si="91"/>
        <v/>
      </c>
      <c r="Q501" s="493" t="str">
        <f t="shared" ca="1" si="92"/>
        <v/>
      </c>
      <c r="R501" s="487" t="str">
        <f t="shared" ca="1" si="93"/>
        <v>FALSE</v>
      </c>
      <c r="S501" s="493" t="str">
        <f ca="1">IFERROR(VLOOKUP(INDIRECT("'Coverage Indicators - Section D'!L"&amp;$B501),'Overview - Section A'!M$29:P96,4,0),IFERROR(IF(VLOOKUP(INDIRECT("'Coverage Indicators - Section D'!L"&amp;$B501),'Overview - Section A'!E$26:I84,5,0)=0,"",VLOOKUP(INDIRECT("'Coverage Indicators - Section D'!L"&amp;$B501),'Overview - Section A'!E$26:I84,5,0)),""))</f>
        <v/>
      </c>
      <c r="T501" s="493" t="str">
        <f t="shared" ca="1" si="94"/>
        <v/>
      </c>
      <c r="U501" s="493" t="str">
        <f t="shared" ca="1" si="95"/>
        <v/>
      </c>
      <c r="V501" s="493" t="str">
        <f t="shared" ca="1" si="96"/>
        <v/>
      </c>
      <c r="W501" s="493"/>
      <c r="X501" s="493"/>
      <c r="Y501" s="487"/>
      <c r="Z501" s="487"/>
      <c r="AA501" s="493"/>
      <c r="AB501" s="493"/>
      <c r="AC501" s="487">
        <f t="shared" si="81"/>
        <v>0</v>
      </c>
      <c r="AD501" s="487"/>
      <c r="AE501" s="487"/>
      <c r="AF501" s="502"/>
      <c r="AG501" s="493"/>
    </row>
    <row r="502" spans="1:33" x14ac:dyDescent="0.3">
      <c r="A502" s="487" t="b">
        <f t="shared" ca="1" si="82"/>
        <v>0</v>
      </c>
      <c r="B502" s="488">
        <f t="shared" si="79"/>
        <v>61</v>
      </c>
      <c r="C502" s="500" t="str">
        <f>IFERROR(IF(AND(H502=2,B502=7),"blank",INDEX(C$444:C502,H502,1)),"")</f>
        <v>a183p000003Sl2wAAC</v>
      </c>
      <c r="D502" s="490" t="str">
        <f t="shared" ca="1" si="83"/>
        <v/>
      </c>
      <c r="E502" s="502" t="str">
        <f t="shared" ca="1" si="84"/>
        <v/>
      </c>
      <c r="F502" s="502" t="str">
        <f t="shared" ca="1" si="85"/>
        <v/>
      </c>
      <c r="G502" s="493" t="str">
        <f t="shared" ca="1" si="86"/>
        <v/>
      </c>
      <c r="H502" s="488">
        <f t="shared" si="80"/>
        <v>29</v>
      </c>
      <c r="I502" s="493" t="str">
        <f t="shared" ca="1" si="87"/>
        <v/>
      </c>
      <c r="J502" s="487" t="str">
        <f ca="1">IFERROR(VLOOKUP(INDIRECT("'Coverage Indicators - Section D'!D"&amp;$B502),'Reference Records'!C58:F209,4,0),"")</f>
        <v/>
      </c>
      <c r="K502" s="487" t="str">
        <f ca="1">IFERROR(VLOOKUP(IF(INDIRECT("'Coverage Indicators - Section D'!B"&amp;$B502)="","--select--",INDIRECT("'Coverage Indicators - Section D'!B"&amp;$B502)),'Overview - Section A'!C$100:D158,2,0),"")</f>
        <v>M-34822</v>
      </c>
      <c r="L502" s="493" t="str">
        <f t="shared" ca="1" si="88"/>
        <v/>
      </c>
      <c r="M502" s="487" t="str">
        <f ca="1">IFERROR(VLOOKUP(INDIRECT("'Coverage Indicators - Section D'!C"&amp;$B502),'Reference Records'!C$509:F646,3,0),"")</f>
        <v/>
      </c>
      <c r="N502" s="493" t="str">
        <f t="shared" ca="1" si="89"/>
        <v/>
      </c>
      <c r="O502" s="487" t="str">
        <f t="shared" ca="1" si="90"/>
        <v/>
      </c>
      <c r="P502" s="493" t="str">
        <f t="shared" ca="1" si="91"/>
        <v/>
      </c>
      <c r="Q502" s="493" t="str">
        <f t="shared" ca="1" si="92"/>
        <v/>
      </c>
      <c r="R502" s="487" t="str">
        <f t="shared" ca="1" si="93"/>
        <v>FALSE</v>
      </c>
      <c r="S502" s="493" t="str">
        <f ca="1">IFERROR(VLOOKUP(INDIRECT("'Coverage Indicators - Section D'!L"&amp;$B502),'Overview - Section A'!M$29:P97,4,0),IFERROR(IF(VLOOKUP(INDIRECT("'Coverage Indicators - Section D'!L"&amp;$B502),'Overview - Section A'!E$26:I85,5,0)=0,"",VLOOKUP(INDIRECT("'Coverage Indicators - Section D'!L"&amp;$B502),'Overview - Section A'!E$26:I85,5,0)),""))</f>
        <v/>
      </c>
      <c r="T502" s="493" t="str">
        <f t="shared" ca="1" si="94"/>
        <v/>
      </c>
      <c r="U502" s="493" t="str">
        <f t="shared" ca="1" si="95"/>
        <v/>
      </c>
      <c r="V502" s="493" t="str">
        <f t="shared" ca="1" si="96"/>
        <v/>
      </c>
      <c r="W502" s="493"/>
      <c r="X502" s="493"/>
      <c r="Y502" s="487"/>
      <c r="Z502" s="487"/>
      <c r="AA502" s="493"/>
      <c r="AB502" s="493"/>
      <c r="AC502" s="487">
        <f t="shared" si="81"/>
        <v>0</v>
      </c>
      <c r="AD502" s="487"/>
      <c r="AE502" s="487"/>
      <c r="AF502" s="502"/>
      <c r="AG502" s="493"/>
    </row>
    <row r="503" spans="1:33" x14ac:dyDescent="0.3">
      <c r="A503" s="487" t="b">
        <f t="shared" ca="1" si="82"/>
        <v>0</v>
      </c>
      <c r="B503" s="488">
        <f t="shared" si="79"/>
        <v>63</v>
      </c>
      <c r="C503" s="500" t="str">
        <f>IFERROR(IF(AND(H503=2,B503=7),"blank",INDEX(C$444:C503,H503,1)),"")</f>
        <v>a183p000003Sl2xAAC</v>
      </c>
      <c r="D503" s="490" t="str">
        <f t="shared" ca="1" si="83"/>
        <v/>
      </c>
      <c r="E503" s="502" t="str">
        <f t="shared" ca="1" si="84"/>
        <v/>
      </c>
      <c r="F503" s="502" t="str">
        <f t="shared" ca="1" si="85"/>
        <v/>
      </c>
      <c r="G503" s="493" t="str">
        <f t="shared" ca="1" si="86"/>
        <v/>
      </c>
      <c r="H503" s="488">
        <f t="shared" si="80"/>
        <v>30</v>
      </c>
      <c r="I503" s="493" t="str">
        <f t="shared" ca="1" si="87"/>
        <v/>
      </c>
      <c r="J503" s="487" t="str">
        <f ca="1">IFERROR(VLOOKUP(INDIRECT("'Coverage Indicators - Section D'!D"&amp;$B503),'Reference Records'!C59:F210,4,0),"")</f>
        <v/>
      </c>
      <c r="K503" s="487" t="str">
        <f ca="1">IFERROR(VLOOKUP(IF(INDIRECT("'Coverage Indicators - Section D'!B"&amp;$B503)="","--select--",INDIRECT("'Coverage Indicators - Section D'!B"&amp;$B503)),'Overview - Section A'!C$100:D159,2,0),"")</f>
        <v>M-34822</v>
      </c>
      <c r="L503" s="493" t="str">
        <f t="shared" ca="1" si="88"/>
        <v/>
      </c>
      <c r="M503" s="487" t="str">
        <f ca="1">IFERROR(VLOOKUP(INDIRECT("'Coverage Indicators - Section D'!C"&amp;$B503),'Reference Records'!C$509:F647,3,0),"")</f>
        <v/>
      </c>
      <c r="N503" s="493" t="str">
        <f t="shared" ca="1" si="89"/>
        <v/>
      </c>
      <c r="O503" s="487" t="str">
        <f t="shared" ca="1" si="90"/>
        <v/>
      </c>
      <c r="P503" s="493" t="str">
        <f t="shared" ca="1" si="91"/>
        <v/>
      </c>
      <c r="Q503" s="493" t="str">
        <f t="shared" ca="1" si="92"/>
        <v/>
      </c>
      <c r="R503" s="487" t="str">
        <f t="shared" ca="1" si="93"/>
        <v>FALSE</v>
      </c>
      <c r="S503" s="493" t="str">
        <f ca="1">IFERROR(VLOOKUP(INDIRECT("'Coverage Indicators - Section D'!L"&amp;$B503),'Overview - Section A'!M$29:P98,4,0),IFERROR(IF(VLOOKUP(INDIRECT("'Coverage Indicators - Section D'!L"&amp;$B503),'Overview - Section A'!E$26:I86,5,0)=0,"",VLOOKUP(INDIRECT("'Coverage Indicators - Section D'!L"&amp;$B503),'Overview - Section A'!E$26:I86,5,0)),""))</f>
        <v/>
      </c>
      <c r="T503" s="493" t="str">
        <f t="shared" ca="1" si="94"/>
        <v/>
      </c>
      <c r="U503" s="493" t="str">
        <f t="shared" ca="1" si="95"/>
        <v/>
      </c>
      <c r="V503" s="493" t="str">
        <f t="shared" ca="1" si="96"/>
        <v/>
      </c>
      <c r="W503" s="493"/>
      <c r="X503" s="493"/>
      <c r="Y503" s="487"/>
      <c r="Z503" s="487"/>
      <c r="AA503" s="493"/>
      <c r="AB503" s="493"/>
      <c r="AC503" s="487">
        <f t="shared" si="81"/>
        <v>0</v>
      </c>
      <c r="AD503" s="487"/>
      <c r="AE503" s="487"/>
      <c r="AF503" s="502"/>
      <c r="AG503" s="493"/>
    </row>
    <row r="504" spans="1:33" x14ac:dyDescent="0.3">
      <c r="A504" s="487" t="b">
        <f t="shared" ca="1" si="82"/>
        <v>0</v>
      </c>
      <c r="B504" s="488">
        <f t="shared" si="79"/>
        <v>65</v>
      </c>
      <c r="C504" s="500" t="str">
        <f>IFERROR(IF(AND(H504=2,B504=7),"blank",INDEX(C$444:C504,H504,1)),"")</f>
        <v>a183p000003Sl2yAAC</v>
      </c>
      <c r="D504" s="490" t="str">
        <f t="shared" ca="1" si="83"/>
        <v/>
      </c>
      <c r="E504" s="502" t="str">
        <f t="shared" ca="1" si="84"/>
        <v/>
      </c>
      <c r="F504" s="502" t="str">
        <f t="shared" ca="1" si="85"/>
        <v/>
      </c>
      <c r="G504" s="493" t="str">
        <f t="shared" ca="1" si="86"/>
        <v/>
      </c>
      <c r="H504" s="488">
        <f t="shared" si="80"/>
        <v>31</v>
      </c>
      <c r="I504" s="493" t="str">
        <f t="shared" ca="1" si="87"/>
        <v/>
      </c>
      <c r="J504" s="487" t="str">
        <f ca="1">IFERROR(VLOOKUP(INDIRECT("'Coverage Indicators - Section D'!D"&amp;$B504),'Reference Records'!C60:F211,4,0),"")</f>
        <v/>
      </c>
      <c r="K504" s="487" t="str">
        <f ca="1">IFERROR(VLOOKUP(IF(INDIRECT("'Coverage Indicators - Section D'!B"&amp;$B504)="","--select--",INDIRECT("'Coverage Indicators - Section D'!B"&amp;$B504)),'Overview - Section A'!C$100:D160,2,0),"")</f>
        <v>M-34822</v>
      </c>
      <c r="L504" s="493" t="str">
        <f t="shared" ca="1" si="88"/>
        <v/>
      </c>
      <c r="M504" s="487" t="str">
        <f ca="1">IFERROR(VLOOKUP(INDIRECT("'Coverage Indicators - Section D'!C"&amp;$B504),'Reference Records'!C$509:F648,3,0),"")</f>
        <v/>
      </c>
      <c r="N504" s="493" t="str">
        <f t="shared" ca="1" si="89"/>
        <v/>
      </c>
      <c r="O504" s="487" t="str">
        <f t="shared" ca="1" si="90"/>
        <v/>
      </c>
      <c r="P504" s="493" t="str">
        <f t="shared" ca="1" si="91"/>
        <v/>
      </c>
      <c r="Q504" s="493" t="str">
        <f t="shared" ca="1" si="92"/>
        <v/>
      </c>
      <c r="R504" s="487" t="str">
        <f t="shared" ca="1" si="93"/>
        <v>FALSE</v>
      </c>
      <c r="S504" s="493" t="str">
        <f ca="1">IFERROR(VLOOKUP(INDIRECT("'Coverage Indicators - Section D'!L"&amp;$B504),'Overview - Section A'!M$29:P99,4,0),IFERROR(IF(VLOOKUP(INDIRECT("'Coverage Indicators - Section D'!L"&amp;$B504),'Overview - Section A'!E$26:I87,5,0)=0,"",VLOOKUP(INDIRECT("'Coverage Indicators - Section D'!L"&amp;$B504),'Overview - Section A'!E$26:I87,5,0)),""))</f>
        <v/>
      </c>
      <c r="T504" s="493" t="str">
        <f t="shared" ca="1" si="94"/>
        <v/>
      </c>
      <c r="U504" s="493" t="str">
        <f t="shared" ca="1" si="95"/>
        <v/>
      </c>
      <c r="V504" s="493" t="str">
        <f t="shared" ca="1" si="96"/>
        <v/>
      </c>
      <c r="W504" s="493"/>
      <c r="X504" s="493"/>
      <c r="Y504" s="487"/>
      <c r="Z504" s="487"/>
      <c r="AA504" s="493"/>
      <c r="AB504" s="493"/>
      <c r="AC504" s="487">
        <f t="shared" si="81"/>
        <v>0</v>
      </c>
      <c r="AD504" s="487"/>
      <c r="AE504" s="487"/>
      <c r="AF504" s="502"/>
      <c r="AG504" s="493"/>
    </row>
    <row r="505" spans="1:33" x14ac:dyDescent="0.3">
      <c r="A505" s="487" t="b">
        <f t="shared" ca="1" si="82"/>
        <v>0</v>
      </c>
      <c r="B505" s="488">
        <f t="shared" si="79"/>
        <v>67</v>
      </c>
      <c r="C505" s="500" t="str">
        <f>IFERROR(IF(AND(H505=2,B505=7),"blank",INDEX(C$444:C505,H505,1)),"")</f>
        <v>a183p000003Sl2zAAC</v>
      </c>
      <c r="D505" s="490" t="str">
        <f t="shared" ca="1" si="83"/>
        <v/>
      </c>
      <c r="E505" s="502" t="str">
        <f t="shared" ca="1" si="84"/>
        <v/>
      </c>
      <c r="F505" s="502" t="str">
        <f t="shared" ca="1" si="85"/>
        <v/>
      </c>
      <c r="G505" s="493" t="str">
        <f t="shared" ca="1" si="86"/>
        <v/>
      </c>
      <c r="H505" s="488">
        <f t="shared" si="80"/>
        <v>32</v>
      </c>
      <c r="I505" s="493" t="str">
        <f t="shared" ca="1" si="87"/>
        <v/>
      </c>
      <c r="J505" s="487" t="str">
        <f ca="1">IFERROR(VLOOKUP(INDIRECT("'Coverage Indicators - Section D'!D"&amp;$B505),'Reference Records'!C61:F212,4,0),"")</f>
        <v/>
      </c>
      <c r="K505" s="487" t="str">
        <f ca="1">IFERROR(VLOOKUP(IF(INDIRECT("'Coverage Indicators - Section D'!B"&amp;$B505)="","--select--",INDIRECT("'Coverage Indicators - Section D'!B"&amp;$B505)),'Overview - Section A'!C$100:D161,2,0),"")</f>
        <v>M-34822</v>
      </c>
      <c r="L505" s="493" t="str">
        <f t="shared" ca="1" si="88"/>
        <v/>
      </c>
      <c r="M505" s="487" t="str">
        <f ca="1">IFERROR(VLOOKUP(INDIRECT("'Coverage Indicators - Section D'!C"&amp;$B505),'Reference Records'!C$509:F649,3,0),"")</f>
        <v/>
      </c>
      <c r="N505" s="493" t="str">
        <f t="shared" ca="1" si="89"/>
        <v/>
      </c>
      <c r="O505" s="487" t="str">
        <f t="shared" ca="1" si="90"/>
        <v/>
      </c>
      <c r="P505" s="493" t="str">
        <f t="shared" ca="1" si="91"/>
        <v/>
      </c>
      <c r="Q505" s="493" t="str">
        <f t="shared" ca="1" si="92"/>
        <v/>
      </c>
      <c r="R505" s="487" t="b">
        <f t="shared" ca="1" si="93"/>
        <v>0</v>
      </c>
      <c r="S505" s="493" t="str">
        <f ca="1">IFERROR(VLOOKUP(INDIRECT("'Coverage Indicators - Section D'!L"&amp;$B505),'Overview - Section A'!M$29:P100,4,0),IFERROR(IF(VLOOKUP(INDIRECT("'Coverage Indicators - Section D'!L"&amp;$B505),'Overview - Section A'!E$26:I88,5,0)=0,"",VLOOKUP(INDIRECT("'Coverage Indicators - Section D'!L"&amp;$B505),'Overview - Section A'!E$26:I88,5,0)),""))</f>
        <v>a123p000005UjbMAAS</v>
      </c>
      <c r="T505" s="493" t="str">
        <f t="shared" ca="1" si="94"/>
        <v/>
      </c>
      <c r="U505" s="493" t="str">
        <f t="shared" ca="1" si="95"/>
        <v/>
      </c>
      <c r="V505" s="493" t="str">
        <f t="shared" ca="1" si="96"/>
        <v/>
      </c>
      <c r="W505" s="493"/>
      <c r="X505" s="493"/>
      <c r="Y505" s="487"/>
      <c r="Z505" s="487"/>
      <c r="AA505" s="493"/>
      <c r="AB505" s="493"/>
      <c r="AC505" s="487">
        <f t="shared" si="81"/>
        <v>0</v>
      </c>
      <c r="AD505" s="487"/>
      <c r="AE505" s="487"/>
      <c r="AF505" s="502"/>
      <c r="AG505" s="493"/>
    </row>
    <row r="506" spans="1:33" x14ac:dyDescent="0.3">
      <c r="B506" s="496"/>
      <c r="H506" s="496"/>
    </row>
    <row r="507" spans="1:33" x14ac:dyDescent="0.3">
      <c r="B507" s="496"/>
      <c r="H507" s="496"/>
    </row>
    <row r="508" spans="1:33" x14ac:dyDescent="0.3">
      <c r="J508" s="486" t="str">
        <f ca="1">IF(ROW()&gt;'Impact Indicator Target Update'!A14,"",INDIRECT("'Impact Indicators - Section B'!A"&amp;'Impact Indicator Target Update'!D14))</f>
        <v/>
      </c>
    </row>
    <row r="509" spans="1:33" x14ac:dyDescent="0.3">
      <c r="A509" s="497" t="s">
        <v>324</v>
      </c>
      <c r="D509" s="499"/>
      <c r="J509" s="486" t="str">
        <f ca="1">IF(ROW()&gt;'Impact Indicator Target Update'!A15,"",INDIRECT("'Impact Indicators - Section B'!A"&amp;'Impact Indicator Target Update'!D15))</f>
        <v/>
      </c>
    </row>
    <row r="510" spans="1:33" x14ac:dyDescent="0.3">
      <c r="A510" s="487" t="s">
        <v>46</v>
      </c>
      <c r="B510" s="487">
        <f>-AD2*AE2-1</f>
        <v>-181</v>
      </c>
      <c r="C510" s="487" t="s">
        <v>48</v>
      </c>
      <c r="D510" s="487" t="s">
        <v>349</v>
      </c>
      <c r="E510" s="487" t="s">
        <v>344</v>
      </c>
      <c r="F510" s="487" t="s">
        <v>25</v>
      </c>
      <c r="G510" s="487" t="s">
        <v>18</v>
      </c>
      <c r="H510" s="487" t="s">
        <v>249</v>
      </c>
      <c r="I510" s="487" t="s">
        <v>8</v>
      </c>
      <c r="J510" s="487" t="s">
        <v>7</v>
      </c>
      <c r="K510" s="487" t="s">
        <v>6</v>
      </c>
      <c r="L510" s="487" t="s">
        <v>109</v>
      </c>
      <c r="M510" s="487" t="s">
        <v>386</v>
      </c>
      <c r="N510" s="487" t="s">
        <v>387</v>
      </c>
      <c r="O510" s="487"/>
      <c r="P510" s="487">
        <v>-1</v>
      </c>
      <c r="Q510" s="487"/>
      <c r="R510" s="487"/>
      <c r="S510" s="487"/>
      <c r="T510" s="487" t="s">
        <v>359</v>
      </c>
    </row>
    <row r="511" spans="1:33" hidden="1" x14ac:dyDescent="0.3">
      <c r="A511" s="487" t="b">
        <f ca="1">IF(OR(I511&lt;&gt;"",J511&lt;&gt;"",K511&lt;&gt;""),TRUE,FALSE)</f>
        <v>0</v>
      </c>
      <c r="B511" s="487">
        <f>B510+1</f>
        <v>-180</v>
      </c>
      <c r="C511" s="508" t="str">
        <f ca="1">M511</f>
        <v/>
      </c>
      <c r="D511" s="487"/>
      <c r="E511" s="487">
        <f ca="1">COUNTIF(F444:F511,F511)</f>
        <v>46</v>
      </c>
      <c r="F511" s="506" t="str">
        <f ca="1">IF(COUNTA(D$510:D511)=1,"",OFFSET(F509,-COUNTA(D$510:D511)+3,0))</f>
        <v/>
      </c>
      <c r="G511" s="493" t="str">
        <f ca="1">IFERROR(IF(INDIRECT("'Coverage Indicators - Section I'!G"&amp;$I3)=0,"",INDIRECT("'Coverage Indicators - Section I'!G"&amp;$I3)),"")</f>
        <v/>
      </c>
      <c r="H511" s="487" t="str">
        <f ca="1">IF(F511=1,9,IF(E510=MAX(E509:E511),H509+2,H510))</f>
        <v>row number</v>
      </c>
      <c r="I511" s="490" t="str">
        <f ca="1">IFERROR(CHOOSE(E511,IFERROR(IF(INDIRECT("'Coverage Indicators - Section D'!P"&amp;H511)=0,"",INDIRECT("'Coverage Indicators - Section D'!P"&amp;H511)*100),""),IFERROR(IF(INDIRECT("'Coverage Indicators - Section D'!S"&amp;H511)=0,"",INDIRECT("'Coverage Indicators - Section D'!S"&amp;H511)*100),""),IFERROR(IF(INDIRECT("'Coverage Indicators - Section D'!V"&amp;H511)=0,"",INDIRECT("'Coverage Indicators - Section D'!V"&amp;H511)*100),""),IFERROR(IF(INDIRECT("'Coverage Indicators - Section D'!Y"&amp;H511)=0,"",INDIRECT("'Coverage Indicators - Section D'!Y"&amp;H511)*100),""),IFERROR(IF(INDIRECT("'Coverage Indicators - Section D'!AB"&amp;H511)=0,"",INDIRECT("'Coverage Indicators - Section D'!AB"&amp;H511)*100),""),IFERROR(IF(INDIRECT("'Coverage Indicators - Section D'!AE"&amp;H511)=0,"",INDIRECT("'Coverage Indicators - Section D'!AE"&amp;H511)*100),""),IFERROR(IF(INDIRECT("'Coverage Indicators - SectionD'!AH"&amp;H511)=0,"",INDIRECT("'CoverageIndicators-SectionD'!AH"&amp;H511)*100),""),),"")</f>
        <v/>
      </c>
      <c r="J511" s="502" t="str">
        <f ca="1">IFERROR(CHOOSE(E511,IFERROR(IF(INDIRECT("'Coverage Indicators - Section D'!O"&amp;H511+1)=0,"",INDIRECT("'Coverage Indicators - Section D'!O"&amp;H511+1)),""),IFERROR(IF(INDIRECT("'Coverage Indicators - Section D'!R"&amp;H511+1)=0,"",INDIRECT("'Coverage Indicators - Section D'!R"&amp;H511+1)),""),IFERROR(IF(INDIRECT("'Coverage Indicators - Section D'!U"&amp;H511+1)=0,"",INDIRECT("'Coverage Indicators - Section D'!U"&amp;H511+1)),""),IFERROR(IF(INDIRECT("'Coverage Indicators - Section D'!X"&amp;H511+1)=0,"",INDIRECT("'Coverage Indicators - Section D'!X"&amp;H511+1)),""),IFERROR(IF(INDIRECT("'Coverage Indicators - Section D'!AA"&amp;H511+1)=0,"",INDIRECT("'Coverage Indicators - Section D'!AA"&amp;H511+1)),""),IFERROR(IF(INDIRECT("'Coverage Indicators - Section D'!AD"&amp;H511+1)=0,"",INDIRECT("'Coverage Indicators - Section D'!AD"&amp;H511+1)),""),IFERROR(IF(INDIRECT("'Coverage Indicators - Section D'!AG"&amp;H511+1)=0,"",INDIRECT("'Coverage Indicators - Section D'!AG"&amp;H511+1)),""),IFERROR(IF(INDIRECT("'Coverage Indicators - Section D'!AJ"&amp;H511+1)=0,"",INDIRECT("'Coverage Indicators - Section D'!AJ"&amp;H511+1)),""),,),"")</f>
        <v/>
      </c>
      <c r="K511" s="502" t="str">
        <f ca="1">IFERROR(CHOOSE(E511,IFERROR(IF(INDIRECT("'Coverage Indicators - Section D'!O"&amp;H511)=0,"",INDIRECT("'Coverage Indicators - Section D'!O"&amp;H511)),""),IFERROR(IF(INDIRECT("'Coverage Indicators - Section D'!R"&amp;H511)=0,"",INDIRECT("'Coverage Indicators - Section D'!R"&amp;H511)),""),IFERROR(IF(INDIRECT("'Coverage Indicators - Section D'!U"&amp;H511)=0,"",INDIRECT("'Coverage Indicators - Section D'!U"&amp;H511)),""),IFERROR(IF(INDIRECT("'Coverage Indicators - Section D'!X"&amp;H511)=0,"",INDIRECT("'Coverage Indicators - Section D'!X"&amp;H511)),""),IFERROR(IF(INDIRECT("'Coverage Indicators - Section D'!AA"&amp;H511)=0,"",INDIRECT("'Coverage Indicators - Section D'!AA"&amp;H511)),""),IFERROR(IF(INDIRECT("'Coverage Indicators - Section D'!AD"&amp;H511)=0,"",INDIRECT("'Coverage Indicators - Section D'!AD"&amp;H511)),""),IFERROR(IF(INDIRECT("'Coverage Indicators - Section D'!AG"&amp;H511)=0,"",INDIRECT("'Coverage Indicators - Section D'!AG"&amp;H511)),""),IFERROR(IF(INDIRECT("'Coverage Indicators - Section D'!AJ"&amp;H511)=0,"",INDIRECT("'Coverage Indicators - Section D'!AJ"&amp;H511)),""),,),"")</f>
        <v/>
      </c>
      <c r="L511" s="493" t="e">
        <f ca="1">IF(IFERROR(CHOOSE(E511,IFERROR(IF(INDIRECT("'Coverage Indicators - Section D'!Q"&amp;H511)=0,"",INDIRECT("'Coverage Indicators - Section D'!Q"&amp;H511+1)),""),IFERROR(IF(INDIRECT("'Coverage Indicators - Section D'!W"&amp;H511)=0,"",INDIRECT("'Coverage Indicators - Section D'!W"&amp;H511+1)),""),IFERROR(IF(INDIRECT("'Coverage Indicators - Section D'!Z"&amp;H511)=0,"",INDIRECT("'Coverage Indicators - Section D'!Z"&amp;H511+1)),""),IFERROR(IF(INDIRECT("'Coverage Indicators - Section D'!AC"&amp;H511)=0,"",INDIRECT("'Coverage Indicators - Section D'!AC"&amp;H511+1)),""),IFERROR(IF(INDIRECT("'Coverage Indicators - Section D'!AF"&amp;H511)=0,"",INDIRECT("'Coverage Indicators - Section D'!AF"&amp;H511+1)),""),IFERROR(IF(INDIRECT("'Coverage Indicators - Section D'!AI"&amp;H511)=0,"",INDIRECT("'Coverage Indicators - Section D'!AI"&amp;H511+1)),""),IFERROR(IF(INDIRECT("'Coverage Indicators - Section D'!AL"&amp;H511)=0,"",INDIRECT("'Coverage Indicators - Section D'!AL"&amp;H511+1)),"")),"")=0,"",CHOOSE(E511,IFERROR(IF(INDIRECT("'Coverage Indicators - Section D'!Q"&amp;H511)=0,"",INDIRECT("'Coverage Indicators - Section D'!Q"&amp;H511+1)),""),IFERROR(IF(INDIRECT("'Coverage Indicators - Section D'!W"&amp;H511)=0,"",INDIRECT("'Coverage Indicators - Section D'!W"&amp;H511+1)),""),IFERROR(IF(INDIRECT("'Coverage Indicators - Section D'!Z"&amp;H511)=0,"",INDIRECT("'Coverage Indicators - Section D'!Z"&amp;H511+1)),""),IFERROR(IF(INDIRECT("'Coverage Indicators - Section D'!AC"&amp;H511)=0,"",INDIRECT("'Coverage Indicators - Section D'!AC"&amp;H511+1)),""),IFERROR(IF(INDIRECT("'Coverage Indicators - Section D'!AF"&amp;H511)=0,"",INDIRECT("'Coverage Indicators - Section D'!AF"&amp;H511+1)),""),IFERROR(IF(INDIRECT("'Coverage Indicators - Section D'!AI"&amp;H511)=0,"",INDIRECT("'Coverage Indicators - Section D'!AI"&amp;H511+1)),""),IFERROR(IF(INDIRECT("'Coverage Indicators - Section D'!AL"&amp;H511)=0,"",INDIRECT("'Coverage Indicators - Section D'!AL"&amp;H511+1)),"")))</f>
        <v>#VALUE!</v>
      </c>
      <c r="M511" s="505" t="str">
        <f ca="1">IFERROR(IF(COUNTIF($B$509:$B510,"&lt;0")&lt;&gt;1,OFFSET($C509,-COUNTIF($B$509:$B510,"&lt;0")+3,0),""),"")</f>
        <v/>
      </c>
      <c r="N511" s="505">
        <f ca="1">IFERROR(IF(COUNTA($D$509:D510)=1,0,OFFSET($F509,-COUNTA($D$509:D510)+3,0)),"")</f>
        <v>0</v>
      </c>
      <c r="O511" s="487"/>
      <c r="P511" s="487">
        <f>IF(NOT(_xlfn.ISFORMULA(I511)),P510+1,0)</f>
        <v>0</v>
      </c>
      <c r="Q511" s="487"/>
      <c r="R511" s="487"/>
      <c r="S511" s="487"/>
      <c r="T511" s="493" t="s">
        <v>358</v>
      </c>
    </row>
    <row r="512" spans="1:33" x14ac:dyDescent="0.3">
      <c r="A512" s="487" t="b">
        <v>0</v>
      </c>
      <c r="B512" s="487">
        <f t="shared" ref="B512:B575" si="97">B511+1</f>
        <v>-179</v>
      </c>
      <c r="C512" s="508" t="s">
        <v>7190</v>
      </c>
      <c r="D512" s="487" t="s">
        <v>4496</v>
      </c>
      <c r="E512" s="487">
        <f t="shared" ref="E512:E575" ca="1" si="98">COUNTIF(F445:F512,F512)</f>
        <v>1</v>
      </c>
      <c r="F512" s="506">
        <v>1</v>
      </c>
      <c r="G512" s="493"/>
      <c r="H512" s="487">
        <f t="shared" ref="H512:H575" si="99">IF(F512=1,9,IF(E511=MAX(E510:E512),H510+2,H511))</f>
        <v>9</v>
      </c>
      <c r="I512" s="490"/>
      <c r="J512" s="502"/>
      <c r="K512" s="502"/>
      <c r="L512" s="493"/>
      <c r="M512" s="505" t="str">
        <f ca="1">IFERROR(IF(COUNTIF($B$509:$B511,"&lt;0")&lt;&gt;1,OFFSET($C510,-COUNTIF($B$509:$B511,"&lt;0")+3,0),""),"")</f>
        <v/>
      </c>
      <c r="N512" s="505">
        <f ca="1">IFERROR(IF(COUNTA($D$509:D511)=1,0,OFFSET($F510,-COUNTA($D$509:D511)+3,0)),"")</f>
        <v>0</v>
      </c>
      <c r="O512" s="487"/>
      <c r="P512" s="487">
        <f t="shared" ref="P512:P575" si="100">IF(NOT(_xlfn.ISFORMULA(I512)),P511+1,0)</f>
        <v>1</v>
      </c>
      <c r="Q512" s="487"/>
      <c r="R512" s="487"/>
      <c r="S512" s="487"/>
      <c r="T512" s="493"/>
    </row>
    <row r="513" spans="1:20" x14ac:dyDescent="0.3">
      <c r="A513" s="487" t="b">
        <v>0</v>
      </c>
      <c r="B513" s="487">
        <f t="shared" si="97"/>
        <v>-178</v>
      </c>
      <c r="C513" s="508" t="s">
        <v>7191</v>
      </c>
      <c r="D513" s="487" t="s">
        <v>4496</v>
      </c>
      <c r="E513" s="487">
        <f t="shared" ca="1" si="98"/>
        <v>2</v>
      </c>
      <c r="F513" s="506">
        <v>1</v>
      </c>
      <c r="G513" s="493"/>
      <c r="H513" s="487">
        <f t="shared" si="99"/>
        <v>9</v>
      </c>
      <c r="I513" s="490"/>
      <c r="J513" s="502"/>
      <c r="K513" s="502"/>
      <c r="L513" s="493"/>
      <c r="M513" s="505" t="str">
        <f ca="1">IFERROR(IF(COUNTIF($B$509:$B512,"&lt;0")&lt;&gt;1,OFFSET($C511,-COUNTIF($B$509:$B512,"&lt;0")+3,0),""),"")</f>
        <v/>
      </c>
      <c r="N513" s="505">
        <f ca="1">IFERROR(IF(COUNTA($D$509:D512)=1,0,OFFSET($F511,-COUNTA($D$509:D512)+3,0)),"")</f>
        <v>1</v>
      </c>
      <c r="O513" s="487"/>
      <c r="P513" s="487">
        <f t="shared" si="100"/>
        <v>2</v>
      </c>
      <c r="Q513" s="487"/>
      <c r="R513" s="487"/>
      <c r="S513" s="487"/>
      <c r="T513" s="493"/>
    </row>
    <row r="514" spans="1:20" x14ac:dyDescent="0.3">
      <c r="A514" s="487" t="b">
        <v>0</v>
      </c>
      <c r="B514" s="487">
        <f t="shared" si="97"/>
        <v>-177</v>
      </c>
      <c r="C514" s="508" t="s">
        <v>7192</v>
      </c>
      <c r="D514" s="487" t="s">
        <v>4496</v>
      </c>
      <c r="E514" s="487">
        <f t="shared" ca="1" si="98"/>
        <v>3</v>
      </c>
      <c r="F514" s="506">
        <v>1</v>
      </c>
      <c r="G514" s="493"/>
      <c r="H514" s="487">
        <f t="shared" si="99"/>
        <v>9</v>
      </c>
      <c r="I514" s="490"/>
      <c r="J514" s="502"/>
      <c r="K514" s="502"/>
      <c r="L514" s="493"/>
      <c r="M514" s="505" t="str">
        <f ca="1">IFERROR(IF(COUNTIF($B$509:$B513,"&lt;0")&lt;&gt;1,OFFSET($C512,-COUNTIF($B$509:$B513,"&lt;0")+3,0),""),"")</f>
        <v/>
      </c>
      <c r="N514" s="505">
        <f ca="1">IFERROR(IF(COUNTA($D$509:D513)=1,0,OFFSET($F512,-COUNTA($D$509:D513)+3,0)),"")</f>
        <v>1</v>
      </c>
      <c r="O514" s="487"/>
      <c r="P514" s="487">
        <f t="shared" si="100"/>
        <v>3</v>
      </c>
      <c r="Q514" s="487"/>
      <c r="R514" s="487"/>
      <c r="S514" s="487"/>
      <c r="T514" s="493"/>
    </row>
    <row r="515" spans="1:20" x14ac:dyDescent="0.3">
      <c r="A515" s="487" t="b">
        <v>0</v>
      </c>
      <c r="B515" s="487">
        <f t="shared" si="97"/>
        <v>-176</v>
      </c>
      <c r="C515" s="508" t="s">
        <v>7193</v>
      </c>
      <c r="D515" s="487" t="s">
        <v>4496</v>
      </c>
      <c r="E515" s="487">
        <f t="shared" ca="1" si="98"/>
        <v>4</v>
      </c>
      <c r="F515" s="506">
        <v>1</v>
      </c>
      <c r="G515" s="493"/>
      <c r="H515" s="487">
        <f t="shared" si="99"/>
        <v>9</v>
      </c>
      <c r="I515" s="490"/>
      <c r="J515" s="502"/>
      <c r="K515" s="502"/>
      <c r="L515" s="493"/>
      <c r="M515" s="505" t="str">
        <f ca="1">IFERROR(IF(COUNTIF($B$509:$B514,"&lt;0")&lt;&gt;1,OFFSET($C513,-COUNTIF($B$509:$B514,"&lt;0")+3,0),""),"")</f>
        <v/>
      </c>
      <c r="N515" s="505">
        <f ca="1">IFERROR(IF(COUNTA($D$509:D514)=1,0,OFFSET($F513,-COUNTA($D$509:D514)+3,0)),"")</f>
        <v>1</v>
      </c>
      <c r="O515" s="487"/>
      <c r="P515" s="487">
        <f t="shared" si="100"/>
        <v>4</v>
      </c>
      <c r="Q515" s="487"/>
      <c r="R515" s="487"/>
      <c r="S515" s="487"/>
      <c r="T515" s="493"/>
    </row>
    <row r="516" spans="1:20" x14ac:dyDescent="0.3">
      <c r="A516" s="487" t="b">
        <v>0</v>
      </c>
      <c r="B516" s="487">
        <f t="shared" si="97"/>
        <v>-175</v>
      </c>
      <c r="C516" s="508" t="s">
        <v>7194</v>
      </c>
      <c r="D516" s="487" t="s">
        <v>4496</v>
      </c>
      <c r="E516" s="487">
        <f t="shared" ca="1" si="98"/>
        <v>5</v>
      </c>
      <c r="F516" s="506">
        <v>1</v>
      </c>
      <c r="G516" s="493"/>
      <c r="H516" s="487">
        <f t="shared" si="99"/>
        <v>9</v>
      </c>
      <c r="I516" s="490"/>
      <c r="J516" s="502"/>
      <c r="K516" s="502"/>
      <c r="L516" s="493"/>
      <c r="M516" s="505" t="str">
        <f ca="1">IFERROR(IF(COUNTIF($B$509:$B515,"&lt;0")&lt;&gt;1,OFFSET($C514,-COUNTIF($B$509:$B515,"&lt;0")+3,0),""),"")</f>
        <v/>
      </c>
      <c r="N516" s="505">
        <f ca="1">IFERROR(IF(COUNTA($D$509:D515)=1,0,OFFSET($F514,-COUNTA($D$509:D515)+3,0)),"")</f>
        <v>1</v>
      </c>
      <c r="O516" s="487"/>
      <c r="P516" s="487">
        <f t="shared" si="100"/>
        <v>5</v>
      </c>
      <c r="Q516" s="487"/>
      <c r="R516" s="487"/>
      <c r="S516" s="487"/>
      <c r="T516" s="493"/>
    </row>
    <row r="517" spans="1:20" x14ac:dyDescent="0.3">
      <c r="A517" s="487" t="b">
        <v>0</v>
      </c>
      <c r="B517" s="487">
        <f t="shared" si="97"/>
        <v>-174</v>
      </c>
      <c r="C517" s="508" t="s">
        <v>7195</v>
      </c>
      <c r="D517" s="487" t="s">
        <v>4496</v>
      </c>
      <c r="E517" s="487">
        <f t="shared" ca="1" si="98"/>
        <v>6</v>
      </c>
      <c r="F517" s="506">
        <v>1</v>
      </c>
      <c r="G517" s="493"/>
      <c r="H517" s="487">
        <f t="shared" si="99"/>
        <v>9</v>
      </c>
      <c r="I517" s="490"/>
      <c r="J517" s="502"/>
      <c r="K517" s="502"/>
      <c r="L517" s="493"/>
      <c r="M517" s="505" t="str">
        <f ca="1">IFERROR(IF(COUNTIF($B$509:$B516,"&lt;0")&lt;&gt;1,OFFSET($C515,-COUNTIF($B$509:$B516,"&lt;0")+3,0),""),"")</f>
        <v/>
      </c>
      <c r="N517" s="505">
        <f ca="1">IFERROR(IF(COUNTA($D$509:D516)=1,0,OFFSET($F515,-COUNTA($D$509:D516)+3,0)),"")</f>
        <v>1</v>
      </c>
      <c r="O517" s="487"/>
      <c r="P517" s="487">
        <f t="shared" si="100"/>
        <v>6</v>
      </c>
      <c r="Q517" s="487"/>
      <c r="R517" s="487"/>
      <c r="S517" s="487"/>
      <c r="T517" s="493"/>
    </row>
    <row r="518" spans="1:20" x14ac:dyDescent="0.3">
      <c r="A518" s="487" t="b">
        <v>0</v>
      </c>
      <c r="B518" s="487">
        <f t="shared" si="97"/>
        <v>-173</v>
      </c>
      <c r="C518" s="508" t="s">
        <v>7196</v>
      </c>
      <c r="D518" s="487" t="s">
        <v>4537</v>
      </c>
      <c r="E518" s="487">
        <f t="shared" ca="1" si="98"/>
        <v>1</v>
      </c>
      <c r="F518" s="506">
        <v>2</v>
      </c>
      <c r="G518" s="493"/>
      <c r="H518" s="487">
        <f t="shared" ca="1" si="99"/>
        <v>11</v>
      </c>
      <c r="I518" s="490"/>
      <c r="J518" s="502"/>
      <c r="K518" s="502"/>
      <c r="L518" s="493"/>
      <c r="M518" s="505" t="str">
        <f ca="1">IFERROR(IF(COUNTIF($B$509:$B517,"&lt;0")&lt;&gt;1,OFFSET($C516,-COUNTIF($B$509:$B517,"&lt;0")+3,0),""),"")</f>
        <v/>
      </c>
      <c r="N518" s="505">
        <f ca="1">IFERROR(IF(COUNTA($D$509:D517)=1,0,OFFSET($F516,-COUNTA($D$509:D517)+3,0)),"")</f>
        <v>1</v>
      </c>
      <c r="O518" s="487"/>
      <c r="P518" s="487">
        <f t="shared" si="100"/>
        <v>7</v>
      </c>
      <c r="Q518" s="487"/>
      <c r="R518" s="487"/>
      <c r="S518" s="487"/>
      <c r="T518" s="493"/>
    </row>
    <row r="519" spans="1:20" x14ac:dyDescent="0.3">
      <c r="A519" s="487" t="b">
        <v>0</v>
      </c>
      <c r="B519" s="487">
        <f t="shared" si="97"/>
        <v>-172</v>
      </c>
      <c r="C519" s="508" t="s">
        <v>7197</v>
      </c>
      <c r="D519" s="487" t="s">
        <v>4537</v>
      </c>
      <c r="E519" s="487">
        <f t="shared" ca="1" si="98"/>
        <v>2</v>
      </c>
      <c r="F519" s="506">
        <v>2</v>
      </c>
      <c r="G519" s="493"/>
      <c r="H519" s="487">
        <f t="shared" ca="1" si="99"/>
        <v>11</v>
      </c>
      <c r="I519" s="490"/>
      <c r="J519" s="502"/>
      <c r="K519" s="502"/>
      <c r="L519" s="493"/>
      <c r="M519" s="505" t="str">
        <f ca="1">IFERROR(IF(COUNTIF($B$509:$B518,"&lt;0")&lt;&gt;1,OFFSET($C517,-COUNTIF($B$509:$B518,"&lt;0")+3,0),""),"")</f>
        <v/>
      </c>
      <c r="N519" s="505">
        <f ca="1">IFERROR(IF(COUNTA($D$509:D518)=1,0,OFFSET($F517,-COUNTA($D$509:D518)+3,0)),"")</f>
        <v>1</v>
      </c>
      <c r="O519" s="487"/>
      <c r="P519" s="487">
        <f t="shared" si="100"/>
        <v>8</v>
      </c>
      <c r="Q519" s="487"/>
      <c r="R519" s="487"/>
      <c r="S519" s="487"/>
      <c r="T519" s="493"/>
    </row>
    <row r="520" spans="1:20" x14ac:dyDescent="0.3">
      <c r="A520" s="487" t="b">
        <v>0</v>
      </c>
      <c r="B520" s="487">
        <f t="shared" si="97"/>
        <v>-171</v>
      </c>
      <c r="C520" s="508" t="s">
        <v>7198</v>
      </c>
      <c r="D520" s="487" t="s">
        <v>4537</v>
      </c>
      <c r="E520" s="487">
        <f t="shared" ca="1" si="98"/>
        <v>3</v>
      </c>
      <c r="F520" s="506">
        <v>2</v>
      </c>
      <c r="G520" s="493"/>
      <c r="H520" s="487">
        <f t="shared" ca="1" si="99"/>
        <v>11</v>
      </c>
      <c r="I520" s="490"/>
      <c r="J520" s="502"/>
      <c r="K520" s="502"/>
      <c r="L520" s="493"/>
      <c r="M520" s="505" t="str">
        <f ca="1">IFERROR(IF(COUNTIF($B$509:$B519,"&lt;0")&lt;&gt;1,OFFSET($C518,-COUNTIF($B$509:$B519,"&lt;0")+3,0),""),"")</f>
        <v/>
      </c>
      <c r="N520" s="505">
        <f ca="1">IFERROR(IF(COUNTA($D$509:D519)=1,0,OFFSET($F518,-COUNTA($D$509:D519)+3,0)),"")</f>
        <v>1</v>
      </c>
      <c r="O520" s="487"/>
      <c r="P520" s="487">
        <f t="shared" si="100"/>
        <v>9</v>
      </c>
      <c r="Q520" s="487"/>
      <c r="R520" s="487"/>
      <c r="S520" s="487"/>
      <c r="T520" s="493"/>
    </row>
    <row r="521" spans="1:20" x14ac:dyDescent="0.3">
      <c r="A521" s="487" t="b">
        <v>0</v>
      </c>
      <c r="B521" s="487">
        <f t="shared" si="97"/>
        <v>-170</v>
      </c>
      <c r="C521" s="508" t="s">
        <v>7199</v>
      </c>
      <c r="D521" s="487" t="s">
        <v>4537</v>
      </c>
      <c r="E521" s="487">
        <f t="shared" ca="1" si="98"/>
        <v>4</v>
      </c>
      <c r="F521" s="506">
        <v>2</v>
      </c>
      <c r="G521" s="493"/>
      <c r="H521" s="487">
        <f t="shared" ca="1" si="99"/>
        <v>11</v>
      </c>
      <c r="I521" s="490"/>
      <c r="J521" s="502"/>
      <c r="K521" s="502"/>
      <c r="L521" s="493"/>
      <c r="M521" s="505" t="str">
        <f ca="1">IFERROR(IF(COUNTIF($B$509:$B520,"&lt;0")&lt;&gt;1,OFFSET($C519,-COUNTIF($B$509:$B520,"&lt;0")+3,0),""),"")</f>
        <v/>
      </c>
      <c r="N521" s="505">
        <f ca="1">IFERROR(IF(COUNTA($D$509:D520)=1,0,OFFSET($F519,-COUNTA($D$509:D520)+3,0)),"")</f>
        <v>1</v>
      </c>
      <c r="O521" s="487"/>
      <c r="P521" s="487">
        <f t="shared" si="100"/>
        <v>10</v>
      </c>
      <c r="Q521" s="487"/>
      <c r="R521" s="487"/>
      <c r="S521" s="487"/>
      <c r="T521" s="493"/>
    </row>
    <row r="522" spans="1:20" x14ac:dyDescent="0.3">
      <c r="A522" s="487" t="b">
        <v>0</v>
      </c>
      <c r="B522" s="487">
        <f t="shared" si="97"/>
        <v>-169</v>
      </c>
      <c r="C522" s="508" t="s">
        <v>7200</v>
      </c>
      <c r="D522" s="487" t="s">
        <v>4537</v>
      </c>
      <c r="E522" s="487">
        <f t="shared" ca="1" si="98"/>
        <v>5</v>
      </c>
      <c r="F522" s="506">
        <v>2</v>
      </c>
      <c r="G522" s="493"/>
      <c r="H522" s="487">
        <f t="shared" ca="1" si="99"/>
        <v>11</v>
      </c>
      <c r="I522" s="490"/>
      <c r="J522" s="502"/>
      <c r="K522" s="502"/>
      <c r="L522" s="493"/>
      <c r="M522" s="505" t="str">
        <f ca="1">IFERROR(IF(COUNTIF($B$509:$B521,"&lt;0")&lt;&gt;1,OFFSET($C520,-COUNTIF($B$509:$B521,"&lt;0")+3,0),""),"")</f>
        <v/>
      </c>
      <c r="N522" s="505">
        <f ca="1">IFERROR(IF(COUNTA($D$509:D521)=1,0,OFFSET($F520,-COUNTA($D$509:D521)+3,0)),"")</f>
        <v>1</v>
      </c>
      <c r="O522" s="487"/>
      <c r="P522" s="487">
        <f t="shared" si="100"/>
        <v>11</v>
      </c>
      <c r="Q522" s="487"/>
      <c r="R522" s="487"/>
      <c r="S522" s="487"/>
      <c r="T522" s="493"/>
    </row>
    <row r="523" spans="1:20" x14ac:dyDescent="0.3">
      <c r="A523" s="487" t="b">
        <v>0</v>
      </c>
      <c r="B523" s="487">
        <f t="shared" si="97"/>
        <v>-168</v>
      </c>
      <c r="C523" s="508" t="s">
        <v>7201</v>
      </c>
      <c r="D523" s="487" t="s">
        <v>4537</v>
      </c>
      <c r="E523" s="487">
        <f t="shared" ca="1" si="98"/>
        <v>6</v>
      </c>
      <c r="F523" s="506">
        <v>2</v>
      </c>
      <c r="G523" s="493"/>
      <c r="H523" s="487">
        <f t="shared" ca="1" si="99"/>
        <v>11</v>
      </c>
      <c r="I523" s="490"/>
      <c r="J523" s="502"/>
      <c r="K523" s="502"/>
      <c r="L523" s="493"/>
      <c r="M523" s="505" t="str">
        <f ca="1">IFERROR(IF(COUNTIF($B$509:$B522,"&lt;0")&lt;&gt;1,OFFSET($C521,-COUNTIF($B$509:$B522,"&lt;0")+3,0),""),"")</f>
        <v/>
      </c>
      <c r="N523" s="505">
        <f ca="1">IFERROR(IF(COUNTA($D$509:D522)=1,0,OFFSET($F521,-COUNTA($D$509:D522)+3,0)),"")</f>
        <v>1</v>
      </c>
      <c r="O523" s="487"/>
      <c r="P523" s="487">
        <f t="shared" si="100"/>
        <v>12</v>
      </c>
      <c r="Q523" s="487"/>
      <c r="R523" s="487"/>
      <c r="S523" s="487"/>
      <c r="T523" s="493"/>
    </row>
    <row r="524" spans="1:20" x14ac:dyDescent="0.3">
      <c r="A524" s="487" t="b">
        <v>0</v>
      </c>
      <c r="B524" s="487">
        <f t="shared" si="97"/>
        <v>-167</v>
      </c>
      <c r="C524" s="508" t="s">
        <v>7202</v>
      </c>
      <c r="D524" s="487" t="s">
        <v>4578</v>
      </c>
      <c r="E524" s="487">
        <f t="shared" ca="1" si="98"/>
        <v>1</v>
      </c>
      <c r="F524" s="506">
        <v>3</v>
      </c>
      <c r="G524" s="493"/>
      <c r="H524" s="487">
        <f t="shared" ca="1" si="99"/>
        <v>13</v>
      </c>
      <c r="I524" s="490"/>
      <c r="J524" s="502"/>
      <c r="K524" s="502"/>
      <c r="L524" s="493"/>
      <c r="M524" s="505" t="str">
        <f ca="1">IFERROR(IF(COUNTIF($B$509:$B523,"&lt;0")&lt;&gt;1,OFFSET($C522,-COUNTIF($B$509:$B523,"&lt;0")+3,0),""),"")</f>
        <v/>
      </c>
      <c r="N524" s="505">
        <f ca="1">IFERROR(IF(COUNTA($D$509:D523)=1,0,OFFSET($F522,-COUNTA($D$509:D523)+3,0)),"")</f>
        <v>1</v>
      </c>
      <c r="O524" s="487"/>
      <c r="P524" s="487">
        <f t="shared" si="100"/>
        <v>13</v>
      </c>
      <c r="Q524" s="487"/>
      <c r="R524" s="487"/>
      <c r="S524" s="487"/>
      <c r="T524" s="493"/>
    </row>
    <row r="525" spans="1:20" x14ac:dyDescent="0.3">
      <c r="A525" s="487" t="b">
        <v>0</v>
      </c>
      <c r="B525" s="487">
        <f t="shared" si="97"/>
        <v>-166</v>
      </c>
      <c r="C525" s="508" t="s">
        <v>7203</v>
      </c>
      <c r="D525" s="487" t="s">
        <v>4578</v>
      </c>
      <c r="E525" s="487">
        <f t="shared" ca="1" si="98"/>
        <v>2</v>
      </c>
      <c r="F525" s="506">
        <v>3</v>
      </c>
      <c r="G525" s="493"/>
      <c r="H525" s="487">
        <f t="shared" ca="1" si="99"/>
        <v>13</v>
      </c>
      <c r="I525" s="490"/>
      <c r="J525" s="502"/>
      <c r="K525" s="502"/>
      <c r="L525" s="493"/>
      <c r="M525" s="505" t="str">
        <f ca="1">IFERROR(IF(COUNTIF($B$509:$B524,"&lt;0")&lt;&gt;1,OFFSET($C523,-COUNTIF($B$509:$B524,"&lt;0")+3,0),""),"")</f>
        <v/>
      </c>
      <c r="N525" s="505">
        <f ca="1">IFERROR(IF(COUNTA($D$509:D524)=1,0,OFFSET($F523,-COUNTA($D$509:D524)+3,0)),"")</f>
        <v>1</v>
      </c>
      <c r="O525" s="487"/>
      <c r="P525" s="487">
        <f t="shared" si="100"/>
        <v>14</v>
      </c>
      <c r="Q525" s="487"/>
      <c r="R525" s="487"/>
      <c r="S525" s="487"/>
      <c r="T525" s="493"/>
    </row>
    <row r="526" spans="1:20" x14ac:dyDescent="0.3">
      <c r="A526" s="487" t="b">
        <v>0</v>
      </c>
      <c r="B526" s="487">
        <f t="shared" si="97"/>
        <v>-165</v>
      </c>
      <c r="C526" s="508" t="s">
        <v>7204</v>
      </c>
      <c r="D526" s="487" t="s">
        <v>4578</v>
      </c>
      <c r="E526" s="487">
        <f t="shared" ca="1" si="98"/>
        <v>3</v>
      </c>
      <c r="F526" s="506">
        <v>3</v>
      </c>
      <c r="G526" s="493"/>
      <c r="H526" s="487">
        <f t="shared" ca="1" si="99"/>
        <v>13</v>
      </c>
      <c r="I526" s="490"/>
      <c r="J526" s="502"/>
      <c r="K526" s="502"/>
      <c r="L526" s="493"/>
      <c r="M526" s="505" t="str">
        <f ca="1">IFERROR(IF(COUNTIF($B$509:$B525,"&lt;0")&lt;&gt;1,OFFSET($C524,-COUNTIF($B$509:$B525,"&lt;0")+3,0),""),"")</f>
        <v/>
      </c>
      <c r="N526" s="505">
        <f ca="1">IFERROR(IF(COUNTA($D$509:D525)=1,0,OFFSET($F524,-COUNTA($D$509:D525)+3,0)),"")</f>
        <v>1</v>
      </c>
      <c r="O526" s="487"/>
      <c r="P526" s="487">
        <f t="shared" si="100"/>
        <v>15</v>
      </c>
      <c r="Q526" s="487"/>
      <c r="R526" s="487"/>
      <c r="S526" s="487"/>
      <c r="T526" s="493"/>
    </row>
    <row r="527" spans="1:20" x14ac:dyDescent="0.3">
      <c r="A527" s="487" t="b">
        <v>0</v>
      </c>
      <c r="B527" s="487">
        <f t="shared" si="97"/>
        <v>-164</v>
      </c>
      <c r="C527" s="508" t="s">
        <v>7205</v>
      </c>
      <c r="D527" s="487" t="s">
        <v>4578</v>
      </c>
      <c r="E527" s="487">
        <f t="shared" ca="1" si="98"/>
        <v>4</v>
      </c>
      <c r="F527" s="506">
        <v>3</v>
      </c>
      <c r="G527" s="493"/>
      <c r="H527" s="487">
        <f t="shared" ca="1" si="99"/>
        <v>13</v>
      </c>
      <c r="I527" s="490"/>
      <c r="J527" s="502"/>
      <c r="K527" s="502"/>
      <c r="L527" s="493"/>
      <c r="M527" s="505" t="str">
        <f ca="1">IFERROR(IF(COUNTIF($B$509:$B526,"&lt;0")&lt;&gt;1,OFFSET($C525,-COUNTIF($B$509:$B526,"&lt;0")+3,0),""),"")</f>
        <v/>
      </c>
      <c r="N527" s="505">
        <f ca="1">IFERROR(IF(COUNTA($D$509:D526)=1,0,OFFSET($F525,-COUNTA($D$509:D526)+3,0)),"")</f>
        <v>1</v>
      </c>
      <c r="O527" s="487"/>
      <c r="P527" s="487">
        <f t="shared" si="100"/>
        <v>16</v>
      </c>
      <c r="Q527" s="487"/>
      <c r="R527" s="487"/>
      <c r="S527" s="487"/>
      <c r="T527" s="493"/>
    </row>
    <row r="528" spans="1:20" x14ac:dyDescent="0.3">
      <c r="A528" s="487" t="b">
        <v>0</v>
      </c>
      <c r="B528" s="487">
        <f t="shared" si="97"/>
        <v>-163</v>
      </c>
      <c r="C528" s="508" t="s">
        <v>7206</v>
      </c>
      <c r="D528" s="487" t="s">
        <v>4578</v>
      </c>
      <c r="E528" s="487">
        <f t="shared" ca="1" si="98"/>
        <v>5</v>
      </c>
      <c r="F528" s="506">
        <v>3</v>
      </c>
      <c r="G528" s="493"/>
      <c r="H528" s="487">
        <f t="shared" ca="1" si="99"/>
        <v>13</v>
      </c>
      <c r="I528" s="490"/>
      <c r="J528" s="502"/>
      <c r="K528" s="502"/>
      <c r="L528" s="493"/>
      <c r="M528" s="505" t="str">
        <f ca="1">IFERROR(IF(COUNTIF($B$509:$B527,"&lt;0")&lt;&gt;1,OFFSET($C526,-COUNTIF($B$509:$B527,"&lt;0")+3,0),""),"")</f>
        <v/>
      </c>
      <c r="N528" s="505">
        <f ca="1">IFERROR(IF(COUNTA($D$509:D527)=1,0,OFFSET($F526,-COUNTA($D$509:D527)+3,0)),"")</f>
        <v>1</v>
      </c>
      <c r="O528" s="487"/>
      <c r="P528" s="487">
        <f t="shared" si="100"/>
        <v>17</v>
      </c>
      <c r="Q528" s="487"/>
      <c r="R528" s="487"/>
      <c r="S528" s="487"/>
      <c r="T528" s="493"/>
    </row>
    <row r="529" spans="1:20" x14ac:dyDescent="0.3">
      <c r="A529" s="487" t="b">
        <v>0</v>
      </c>
      <c r="B529" s="487">
        <f t="shared" si="97"/>
        <v>-162</v>
      </c>
      <c r="C529" s="508" t="s">
        <v>7207</v>
      </c>
      <c r="D529" s="487" t="s">
        <v>4578</v>
      </c>
      <c r="E529" s="487">
        <f t="shared" ca="1" si="98"/>
        <v>6</v>
      </c>
      <c r="F529" s="506">
        <v>3</v>
      </c>
      <c r="G529" s="493"/>
      <c r="H529" s="487">
        <f t="shared" ca="1" si="99"/>
        <v>13</v>
      </c>
      <c r="I529" s="490"/>
      <c r="J529" s="502"/>
      <c r="K529" s="502"/>
      <c r="L529" s="493"/>
      <c r="M529" s="505" t="str">
        <f ca="1">IFERROR(IF(COUNTIF($B$509:$B528,"&lt;0")&lt;&gt;1,OFFSET($C527,-COUNTIF($B$509:$B528,"&lt;0")+3,0),""),"")</f>
        <v/>
      </c>
      <c r="N529" s="505">
        <f ca="1">IFERROR(IF(COUNTA($D$509:D528)=1,0,OFFSET($F527,-COUNTA($D$509:D528)+3,0)),"")</f>
        <v>1</v>
      </c>
      <c r="O529" s="487"/>
      <c r="P529" s="487">
        <f t="shared" si="100"/>
        <v>18</v>
      </c>
      <c r="Q529" s="487"/>
      <c r="R529" s="487"/>
      <c r="S529" s="487"/>
      <c r="T529" s="493"/>
    </row>
    <row r="530" spans="1:20" x14ac:dyDescent="0.3">
      <c r="A530" s="487" t="b">
        <v>0</v>
      </c>
      <c r="B530" s="487">
        <f t="shared" si="97"/>
        <v>-161</v>
      </c>
      <c r="C530" s="508" t="s">
        <v>7208</v>
      </c>
      <c r="D530" s="487" t="s">
        <v>4619</v>
      </c>
      <c r="E530" s="487">
        <f t="shared" ca="1" si="98"/>
        <v>1</v>
      </c>
      <c r="F530" s="506">
        <v>4</v>
      </c>
      <c r="G530" s="493"/>
      <c r="H530" s="487">
        <f t="shared" ca="1" si="99"/>
        <v>15</v>
      </c>
      <c r="I530" s="490"/>
      <c r="J530" s="502"/>
      <c r="K530" s="502"/>
      <c r="L530" s="493"/>
      <c r="M530" s="505" t="str">
        <f ca="1">IFERROR(IF(COUNTIF($B$509:$B529,"&lt;0")&lt;&gt;1,OFFSET($C528,-COUNTIF($B$509:$B529,"&lt;0")+3,0),""),"")</f>
        <v/>
      </c>
      <c r="N530" s="505">
        <f ca="1">IFERROR(IF(COUNTA($D$509:D529)=1,0,OFFSET($F528,-COUNTA($D$509:D529)+3,0)),"")</f>
        <v>1</v>
      </c>
      <c r="O530" s="487"/>
      <c r="P530" s="487">
        <f t="shared" si="100"/>
        <v>19</v>
      </c>
      <c r="Q530" s="487"/>
      <c r="R530" s="487"/>
      <c r="S530" s="487"/>
      <c r="T530" s="493"/>
    </row>
    <row r="531" spans="1:20" x14ac:dyDescent="0.3">
      <c r="A531" s="487" t="b">
        <v>0</v>
      </c>
      <c r="B531" s="487">
        <f t="shared" si="97"/>
        <v>-160</v>
      </c>
      <c r="C531" s="508" t="s">
        <v>7209</v>
      </c>
      <c r="D531" s="487" t="s">
        <v>4619</v>
      </c>
      <c r="E531" s="487">
        <f t="shared" ca="1" si="98"/>
        <v>2</v>
      </c>
      <c r="F531" s="506">
        <v>4</v>
      </c>
      <c r="G531" s="493"/>
      <c r="H531" s="487">
        <f t="shared" ca="1" si="99"/>
        <v>15</v>
      </c>
      <c r="I531" s="490"/>
      <c r="J531" s="502"/>
      <c r="K531" s="502"/>
      <c r="L531" s="493"/>
      <c r="M531" s="505" t="str">
        <f ca="1">IFERROR(IF(COUNTIF($B$509:$B530,"&lt;0")&lt;&gt;1,OFFSET($C529,-COUNTIF($B$509:$B530,"&lt;0")+3,0),""),"")</f>
        <v/>
      </c>
      <c r="N531" s="505">
        <f ca="1">IFERROR(IF(COUNTA($D$509:D530)=1,0,OFFSET($F529,-COUNTA($D$509:D530)+3,0)),"")</f>
        <v>1</v>
      </c>
      <c r="O531" s="487"/>
      <c r="P531" s="487">
        <f t="shared" si="100"/>
        <v>20</v>
      </c>
      <c r="Q531" s="487"/>
      <c r="R531" s="487"/>
      <c r="S531" s="487"/>
      <c r="T531" s="493"/>
    </row>
    <row r="532" spans="1:20" x14ac:dyDescent="0.3">
      <c r="A532" s="487" t="b">
        <v>0</v>
      </c>
      <c r="B532" s="487">
        <f t="shared" si="97"/>
        <v>-159</v>
      </c>
      <c r="C532" s="508" t="s">
        <v>7210</v>
      </c>
      <c r="D532" s="487" t="s">
        <v>4619</v>
      </c>
      <c r="E532" s="487">
        <f t="shared" ca="1" si="98"/>
        <v>3</v>
      </c>
      <c r="F532" s="506">
        <v>4</v>
      </c>
      <c r="G532" s="493"/>
      <c r="H532" s="487">
        <f t="shared" ca="1" si="99"/>
        <v>15</v>
      </c>
      <c r="I532" s="490"/>
      <c r="J532" s="502"/>
      <c r="K532" s="502"/>
      <c r="L532" s="493"/>
      <c r="M532" s="505" t="str">
        <f ca="1">IFERROR(IF(COUNTIF($B$509:$B531,"&lt;0")&lt;&gt;1,OFFSET($C530,-COUNTIF($B$509:$B531,"&lt;0")+3,0),""),"")</f>
        <v/>
      </c>
      <c r="N532" s="505">
        <f ca="1">IFERROR(IF(COUNTA($D$509:D531)=1,0,OFFSET($F530,-COUNTA($D$509:D531)+3,0)),"")</f>
        <v>1</v>
      </c>
      <c r="O532" s="487"/>
      <c r="P532" s="487">
        <f t="shared" si="100"/>
        <v>21</v>
      </c>
      <c r="Q532" s="487"/>
      <c r="R532" s="487"/>
      <c r="S532" s="487"/>
      <c r="T532" s="493"/>
    </row>
    <row r="533" spans="1:20" x14ac:dyDescent="0.3">
      <c r="A533" s="487" t="b">
        <v>0</v>
      </c>
      <c r="B533" s="487">
        <f t="shared" si="97"/>
        <v>-158</v>
      </c>
      <c r="C533" s="508" t="s">
        <v>7211</v>
      </c>
      <c r="D533" s="487" t="s">
        <v>4619</v>
      </c>
      <c r="E533" s="487">
        <f t="shared" ca="1" si="98"/>
        <v>4</v>
      </c>
      <c r="F533" s="506">
        <v>4</v>
      </c>
      <c r="G533" s="493"/>
      <c r="H533" s="487">
        <f t="shared" ca="1" si="99"/>
        <v>15</v>
      </c>
      <c r="I533" s="490"/>
      <c r="J533" s="502"/>
      <c r="K533" s="502"/>
      <c r="L533" s="493"/>
      <c r="M533" s="505" t="str">
        <f ca="1">IFERROR(IF(COUNTIF($B$509:$B532,"&lt;0")&lt;&gt;1,OFFSET($C531,-COUNTIF($B$509:$B532,"&lt;0")+3,0),""),"")</f>
        <v/>
      </c>
      <c r="N533" s="505">
        <f ca="1">IFERROR(IF(COUNTA($D$509:D532)=1,0,OFFSET($F531,-COUNTA($D$509:D532)+3,0)),"")</f>
        <v>1</v>
      </c>
      <c r="O533" s="487"/>
      <c r="P533" s="487">
        <f t="shared" si="100"/>
        <v>22</v>
      </c>
      <c r="Q533" s="487"/>
      <c r="R533" s="487"/>
      <c r="S533" s="487"/>
      <c r="T533" s="493"/>
    </row>
    <row r="534" spans="1:20" x14ac:dyDescent="0.3">
      <c r="A534" s="487" t="b">
        <v>0</v>
      </c>
      <c r="B534" s="487">
        <f t="shared" si="97"/>
        <v>-157</v>
      </c>
      <c r="C534" s="508" t="s">
        <v>7212</v>
      </c>
      <c r="D534" s="487" t="s">
        <v>4619</v>
      </c>
      <c r="E534" s="487">
        <f t="shared" ca="1" si="98"/>
        <v>5</v>
      </c>
      <c r="F534" s="506">
        <v>4</v>
      </c>
      <c r="G534" s="493"/>
      <c r="H534" s="487">
        <f t="shared" ca="1" si="99"/>
        <v>15</v>
      </c>
      <c r="I534" s="490"/>
      <c r="J534" s="502"/>
      <c r="K534" s="502"/>
      <c r="L534" s="493"/>
      <c r="M534" s="505" t="str">
        <f ca="1">IFERROR(IF(COUNTIF($B$509:$B533,"&lt;0")&lt;&gt;1,OFFSET($C532,-COUNTIF($B$509:$B533,"&lt;0")+3,0),""),"")</f>
        <v/>
      </c>
      <c r="N534" s="505">
        <f ca="1">IFERROR(IF(COUNTA($D$509:D533)=1,0,OFFSET($F532,-COUNTA($D$509:D533)+3,0)),"")</f>
        <v>1</v>
      </c>
      <c r="O534" s="487"/>
      <c r="P534" s="487">
        <f t="shared" si="100"/>
        <v>23</v>
      </c>
      <c r="Q534" s="487"/>
      <c r="R534" s="487"/>
      <c r="S534" s="487"/>
      <c r="T534" s="493"/>
    </row>
    <row r="535" spans="1:20" x14ac:dyDescent="0.3">
      <c r="A535" s="487" t="b">
        <v>0</v>
      </c>
      <c r="B535" s="487">
        <f t="shared" si="97"/>
        <v>-156</v>
      </c>
      <c r="C535" s="508" t="s">
        <v>7213</v>
      </c>
      <c r="D535" s="487" t="s">
        <v>4619</v>
      </c>
      <c r="E535" s="487">
        <f t="shared" ca="1" si="98"/>
        <v>6</v>
      </c>
      <c r="F535" s="506">
        <v>4</v>
      </c>
      <c r="G535" s="493"/>
      <c r="H535" s="487">
        <f t="shared" ca="1" si="99"/>
        <v>15</v>
      </c>
      <c r="I535" s="490"/>
      <c r="J535" s="502"/>
      <c r="K535" s="502"/>
      <c r="L535" s="493"/>
      <c r="M535" s="505" t="str">
        <f ca="1">IFERROR(IF(COUNTIF($B$509:$B534,"&lt;0")&lt;&gt;1,OFFSET($C533,-COUNTIF($B$509:$B534,"&lt;0")+3,0),""),"")</f>
        <v/>
      </c>
      <c r="N535" s="505">
        <f ca="1">IFERROR(IF(COUNTA($D$509:D534)=1,0,OFFSET($F533,-COUNTA($D$509:D534)+3,0)),"")</f>
        <v>1</v>
      </c>
      <c r="O535" s="487"/>
      <c r="P535" s="487">
        <f t="shared" si="100"/>
        <v>24</v>
      </c>
      <c r="Q535" s="487"/>
      <c r="R535" s="487"/>
      <c r="S535" s="487"/>
      <c r="T535" s="493"/>
    </row>
    <row r="536" spans="1:20" x14ac:dyDescent="0.3">
      <c r="A536" s="487" t="b">
        <v>0</v>
      </c>
      <c r="B536" s="487">
        <f t="shared" si="97"/>
        <v>-155</v>
      </c>
      <c r="C536" s="508" t="s">
        <v>7214</v>
      </c>
      <c r="D536" s="487" t="s">
        <v>4660</v>
      </c>
      <c r="E536" s="487">
        <f t="shared" ca="1" si="98"/>
        <v>1</v>
      </c>
      <c r="F536" s="506">
        <v>5</v>
      </c>
      <c r="G536" s="493"/>
      <c r="H536" s="487">
        <f t="shared" ca="1" si="99"/>
        <v>17</v>
      </c>
      <c r="I536" s="490"/>
      <c r="J536" s="502"/>
      <c r="K536" s="502"/>
      <c r="L536" s="493"/>
      <c r="M536" s="505" t="str">
        <f ca="1">IFERROR(IF(COUNTIF($B$509:$B535,"&lt;0")&lt;&gt;1,OFFSET($C534,-COUNTIF($B$509:$B535,"&lt;0")+3,0),""),"")</f>
        <v/>
      </c>
      <c r="N536" s="505">
        <f ca="1">IFERROR(IF(COUNTA($D$509:D535)=1,0,OFFSET($F534,-COUNTA($D$509:D535)+3,0)),"")</f>
        <v>1</v>
      </c>
      <c r="O536" s="487"/>
      <c r="P536" s="487">
        <f t="shared" si="100"/>
        <v>25</v>
      </c>
      <c r="Q536" s="487"/>
      <c r="R536" s="487"/>
      <c r="S536" s="487"/>
      <c r="T536" s="493"/>
    </row>
    <row r="537" spans="1:20" x14ac:dyDescent="0.3">
      <c r="A537" s="487" t="b">
        <v>0</v>
      </c>
      <c r="B537" s="487">
        <f t="shared" si="97"/>
        <v>-154</v>
      </c>
      <c r="C537" s="508" t="s">
        <v>7215</v>
      </c>
      <c r="D537" s="487" t="s">
        <v>4660</v>
      </c>
      <c r="E537" s="487">
        <f t="shared" ca="1" si="98"/>
        <v>2</v>
      </c>
      <c r="F537" s="506">
        <v>5</v>
      </c>
      <c r="G537" s="493"/>
      <c r="H537" s="487">
        <f t="shared" ca="1" si="99"/>
        <v>17</v>
      </c>
      <c r="I537" s="490"/>
      <c r="J537" s="502"/>
      <c r="K537" s="502"/>
      <c r="L537" s="493"/>
      <c r="M537" s="505" t="str">
        <f ca="1">IFERROR(IF(COUNTIF($B$509:$B536,"&lt;0")&lt;&gt;1,OFFSET($C535,-COUNTIF($B$509:$B536,"&lt;0")+3,0),""),"")</f>
        <v/>
      </c>
      <c r="N537" s="505">
        <f ca="1">IFERROR(IF(COUNTA($D$509:D536)=1,0,OFFSET($F535,-COUNTA($D$509:D536)+3,0)),"")</f>
        <v>1</v>
      </c>
      <c r="O537" s="487"/>
      <c r="P537" s="487">
        <f t="shared" si="100"/>
        <v>26</v>
      </c>
      <c r="Q537" s="487"/>
      <c r="R537" s="487"/>
      <c r="S537" s="487"/>
      <c r="T537" s="493"/>
    </row>
    <row r="538" spans="1:20" x14ac:dyDescent="0.3">
      <c r="A538" s="487" t="b">
        <v>0</v>
      </c>
      <c r="B538" s="487">
        <f t="shared" si="97"/>
        <v>-153</v>
      </c>
      <c r="C538" s="508" t="s">
        <v>7216</v>
      </c>
      <c r="D538" s="487" t="s">
        <v>4660</v>
      </c>
      <c r="E538" s="487">
        <f t="shared" ca="1" si="98"/>
        <v>3</v>
      </c>
      <c r="F538" s="506">
        <v>5</v>
      </c>
      <c r="G538" s="493"/>
      <c r="H538" s="487">
        <f t="shared" ca="1" si="99"/>
        <v>17</v>
      </c>
      <c r="I538" s="490"/>
      <c r="J538" s="502"/>
      <c r="K538" s="502"/>
      <c r="L538" s="493"/>
      <c r="M538" s="505" t="str">
        <f ca="1">IFERROR(IF(COUNTIF($B$509:$B537,"&lt;0")&lt;&gt;1,OFFSET($C536,-COUNTIF($B$509:$B537,"&lt;0")+3,0),""),"")</f>
        <v/>
      </c>
      <c r="N538" s="505">
        <f ca="1">IFERROR(IF(COUNTA($D$509:D537)=1,0,OFFSET($F536,-COUNTA($D$509:D537)+3,0)),"")</f>
        <v>1</v>
      </c>
      <c r="O538" s="487"/>
      <c r="P538" s="487">
        <f t="shared" si="100"/>
        <v>27</v>
      </c>
      <c r="Q538" s="487"/>
      <c r="R538" s="487"/>
      <c r="S538" s="487"/>
      <c r="T538" s="493"/>
    </row>
    <row r="539" spans="1:20" x14ac:dyDescent="0.3">
      <c r="A539" s="487" t="b">
        <v>0</v>
      </c>
      <c r="B539" s="487">
        <f t="shared" si="97"/>
        <v>-152</v>
      </c>
      <c r="C539" s="508" t="s">
        <v>7217</v>
      </c>
      <c r="D539" s="487" t="s">
        <v>4660</v>
      </c>
      <c r="E539" s="487">
        <f t="shared" ca="1" si="98"/>
        <v>4</v>
      </c>
      <c r="F539" s="506">
        <v>5</v>
      </c>
      <c r="G539" s="493"/>
      <c r="H539" s="487">
        <f t="shared" ca="1" si="99"/>
        <v>17</v>
      </c>
      <c r="I539" s="490"/>
      <c r="J539" s="502"/>
      <c r="K539" s="502"/>
      <c r="L539" s="493"/>
      <c r="M539" s="505" t="str">
        <f ca="1">IFERROR(IF(COUNTIF($B$509:$B538,"&lt;0")&lt;&gt;1,OFFSET($C537,-COUNTIF($B$509:$B538,"&lt;0")+3,0),""),"")</f>
        <v/>
      </c>
      <c r="N539" s="505">
        <f ca="1">IFERROR(IF(COUNTA($D$509:D538)=1,0,OFFSET($F537,-COUNTA($D$509:D538)+3,0)),"")</f>
        <v>1</v>
      </c>
      <c r="O539" s="487"/>
      <c r="P539" s="487">
        <f t="shared" si="100"/>
        <v>28</v>
      </c>
      <c r="Q539" s="487"/>
      <c r="R539" s="487"/>
      <c r="S539" s="487"/>
      <c r="T539" s="493"/>
    </row>
    <row r="540" spans="1:20" x14ac:dyDescent="0.3">
      <c r="A540" s="487" t="b">
        <v>0</v>
      </c>
      <c r="B540" s="487">
        <f t="shared" si="97"/>
        <v>-151</v>
      </c>
      <c r="C540" s="508" t="s">
        <v>7218</v>
      </c>
      <c r="D540" s="487" t="s">
        <v>4660</v>
      </c>
      <c r="E540" s="487">
        <f t="shared" ca="1" si="98"/>
        <v>5</v>
      </c>
      <c r="F540" s="506">
        <v>5</v>
      </c>
      <c r="G540" s="493"/>
      <c r="H540" s="487">
        <f t="shared" ca="1" si="99"/>
        <v>17</v>
      </c>
      <c r="I540" s="490"/>
      <c r="J540" s="502"/>
      <c r="K540" s="502"/>
      <c r="L540" s="493"/>
      <c r="M540" s="505" t="str">
        <f ca="1">IFERROR(IF(COUNTIF($B$509:$B539,"&lt;0")&lt;&gt;1,OFFSET($C538,-COUNTIF($B$509:$B539,"&lt;0")+3,0),""),"")</f>
        <v/>
      </c>
      <c r="N540" s="505">
        <f ca="1">IFERROR(IF(COUNTA($D$509:D539)=1,0,OFFSET($F538,-COUNTA($D$509:D539)+3,0)),"")</f>
        <v>1</v>
      </c>
      <c r="O540" s="487"/>
      <c r="P540" s="487">
        <f t="shared" si="100"/>
        <v>29</v>
      </c>
      <c r="Q540" s="487"/>
      <c r="R540" s="487"/>
      <c r="S540" s="487"/>
      <c r="T540" s="493"/>
    </row>
    <row r="541" spans="1:20" x14ac:dyDescent="0.3">
      <c r="A541" s="487" t="b">
        <v>0</v>
      </c>
      <c r="B541" s="487">
        <f t="shared" si="97"/>
        <v>-150</v>
      </c>
      <c r="C541" s="508" t="s">
        <v>7219</v>
      </c>
      <c r="D541" s="487" t="s">
        <v>4660</v>
      </c>
      <c r="E541" s="487">
        <f t="shared" ca="1" si="98"/>
        <v>6</v>
      </c>
      <c r="F541" s="506">
        <v>5</v>
      </c>
      <c r="G541" s="493"/>
      <c r="H541" s="487">
        <f t="shared" ca="1" si="99"/>
        <v>17</v>
      </c>
      <c r="I541" s="490"/>
      <c r="J541" s="502"/>
      <c r="K541" s="502"/>
      <c r="L541" s="493"/>
      <c r="M541" s="505" t="str">
        <f ca="1">IFERROR(IF(COUNTIF($B$509:$B540,"&lt;0")&lt;&gt;1,OFFSET($C539,-COUNTIF($B$509:$B540,"&lt;0")+3,0),""),"")</f>
        <v/>
      </c>
      <c r="N541" s="505">
        <f ca="1">IFERROR(IF(COUNTA($D$509:D540)=1,0,OFFSET($F539,-COUNTA($D$509:D540)+3,0)),"")</f>
        <v>1</v>
      </c>
      <c r="O541" s="487"/>
      <c r="P541" s="487">
        <f t="shared" si="100"/>
        <v>30</v>
      </c>
      <c r="Q541" s="487"/>
      <c r="R541" s="487"/>
      <c r="S541" s="487"/>
      <c r="T541" s="493"/>
    </row>
    <row r="542" spans="1:20" x14ac:dyDescent="0.3">
      <c r="A542" s="487" t="b">
        <v>0</v>
      </c>
      <c r="B542" s="487">
        <f t="shared" si="97"/>
        <v>-149</v>
      </c>
      <c r="C542" s="508" t="s">
        <v>7220</v>
      </c>
      <c r="D542" s="487" t="s">
        <v>4701</v>
      </c>
      <c r="E542" s="487">
        <f t="shared" ca="1" si="98"/>
        <v>1</v>
      </c>
      <c r="F542" s="506">
        <v>6</v>
      </c>
      <c r="G542" s="493"/>
      <c r="H542" s="487">
        <f t="shared" ca="1" si="99"/>
        <v>19</v>
      </c>
      <c r="I542" s="490"/>
      <c r="J542" s="502"/>
      <c r="K542" s="502"/>
      <c r="L542" s="493"/>
      <c r="M542" s="505" t="str">
        <f ca="1">IFERROR(IF(COUNTIF($B$509:$B541,"&lt;0")&lt;&gt;1,OFFSET($C540,-COUNTIF($B$509:$B541,"&lt;0")+3,0),""),"")</f>
        <v/>
      </c>
      <c r="N542" s="505">
        <f ca="1">IFERROR(IF(COUNTA($D$509:D541)=1,0,OFFSET($F540,-COUNTA($D$509:D541)+3,0)),"")</f>
        <v>1</v>
      </c>
      <c r="O542" s="487"/>
      <c r="P542" s="487">
        <f t="shared" si="100"/>
        <v>31</v>
      </c>
      <c r="Q542" s="487"/>
      <c r="R542" s="487"/>
      <c r="S542" s="487"/>
      <c r="T542" s="493"/>
    </row>
    <row r="543" spans="1:20" x14ac:dyDescent="0.3">
      <c r="A543" s="487" t="b">
        <v>0</v>
      </c>
      <c r="B543" s="487">
        <f t="shared" si="97"/>
        <v>-148</v>
      </c>
      <c r="C543" s="508" t="s">
        <v>7221</v>
      </c>
      <c r="D543" s="487" t="s">
        <v>4701</v>
      </c>
      <c r="E543" s="487">
        <f t="shared" ca="1" si="98"/>
        <v>2</v>
      </c>
      <c r="F543" s="506">
        <v>6</v>
      </c>
      <c r="G543" s="493"/>
      <c r="H543" s="487">
        <f t="shared" ca="1" si="99"/>
        <v>19</v>
      </c>
      <c r="I543" s="490"/>
      <c r="J543" s="502"/>
      <c r="K543" s="502"/>
      <c r="L543" s="493"/>
      <c r="M543" s="505" t="str">
        <f ca="1">IFERROR(IF(COUNTIF($B$509:$B542,"&lt;0")&lt;&gt;1,OFFSET($C541,-COUNTIF($B$509:$B542,"&lt;0")+3,0),""),"")</f>
        <v/>
      </c>
      <c r="N543" s="505">
        <f ca="1">IFERROR(IF(COUNTA($D$509:D542)=1,0,OFFSET($F541,-COUNTA($D$509:D542)+3,0)),"")</f>
        <v>1</v>
      </c>
      <c r="O543" s="487"/>
      <c r="P543" s="487">
        <f t="shared" si="100"/>
        <v>32</v>
      </c>
      <c r="Q543" s="487"/>
      <c r="R543" s="487"/>
      <c r="S543" s="487"/>
      <c r="T543" s="493"/>
    </row>
    <row r="544" spans="1:20" x14ac:dyDescent="0.3">
      <c r="A544" s="487" t="b">
        <v>0</v>
      </c>
      <c r="B544" s="487">
        <f t="shared" si="97"/>
        <v>-147</v>
      </c>
      <c r="C544" s="508" t="s">
        <v>7222</v>
      </c>
      <c r="D544" s="487" t="s">
        <v>4701</v>
      </c>
      <c r="E544" s="487">
        <f t="shared" ca="1" si="98"/>
        <v>3</v>
      </c>
      <c r="F544" s="506">
        <v>6</v>
      </c>
      <c r="G544" s="493"/>
      <c r="H544" s="487">
        <f t="shared" ca="1" si="99"/>
        <v>19</v>
      </c>
      <c r="I544" s="490"/>
      <c r="J544" s="502"/>
      <c r="K544" s="502"/>
      <c r="L544" s="493"/>
      <c r="M544" s="505" t="str">
        <f ca="1">IFERROR(IF(COUNTIF($B$509:$B543,"&lt;0")&lt;&gt;1,OFFSET($C542,-COUNTIF($B$509:$B543,"&lt;0")+3,0),""),"")</f>
        <v/>
      </c>
      <c r="N544" s="505">
        <f ca="1">IFERROR(IF(COUNTA($D$509:D543)=1,0,OFFSET($F542,-COUNTA($D$509:D543)+3,0)),"")</f>
        <v>1</v>
      </c>
      <c r="O544" s="487"/>
      <c r="P544" s="487">
        <f t="shared" si="100"/>
        <v>33</v>
      </c>
      <c r="Q544" s="487"/>
      <c r="R544" s="487"/>
      <c r="S544" s="487"/>
      <c r="T544" s="493"/>
    </row>
    <row r="545" spans="1:20" x14ac:dyDescent="0.3">
      <c r="A545" s="487" t="b">
        <v>0</v>
      </c>
      <c r="B545" s="487">
        <f t="shared" si="97"/>
        <v>-146</v>
      </c>
      <c r="C545" s="508" t="s">
        <v>7223</v>
      </c>
      <c r="D545" s="487" t="s">
        <v>4701</v>
      </c>
      <c r="E545" s="487">
        <f t="shared" ca="1" si="98"/>
        <v>4</v>
      </c>
      <c r="F545" s="506">
        <v>6</v>
      </c>
      <c r="G545" s="493"/>
      <c r="H545" s="487">
        <f t="shared" ca="1" si="99"/>
        <v>19</v>
      </c>
      <c r="I545" s="490"/>
      <c r="J545" s="502"/>
      <c r="K545" s="502"/>
      <c r="L545" s="493"/>
      <c r="M545" s="505" t="str">
        <f ca="1">IFERROR(IF(COUNTIF($B$509:$B544,"&lt;0")&lt;&gt;1,OFFSET($C543,-COUNTIF($B$509:$B544,"&lt;0")+3,0),""),"")</f>
        <v/>
      </c>
      <c r="N545" s="505">
        <f ca="1">IFERROR(IF(COUNTA($D$509:D544)=1,0,OFFSET($F543,-COUNTA($D$509:D544)+3,0)),"")</f>
        <v>1</v>
      </c>
      <c r="O545" s="487"/>
      <c r="P545" s="487">
        <f t="shared" si="100"/>
        <v>34</v>
      </c>
      <c r="Q545" s="487"/>
      <c r="R545" s="487"/>
      <c r="S545" s="487"/>
      <c r="T545" s="493"/>
    </row>
    <row r="546" spans="1:20" x14ac:dyDescent="0.3">
      <c r="A546" s="487" t="b">
        <v>0</v>
      </c>
      <c r="B546" s="487">
        <f t="shared" si="97"/>
        <v>-145</v>
      </c>
      <c r="C546" s="508" t="s">
        <v>7224</v>
      </c>
      <c r="D546" s="487" t="s">
        <v>4701</v>
      </c>
      <c r="E546" s="487">
        <f t="shared" ca="1" si="98"/>
        <v>5</v>
      </c>
      <c r="F546" s="506">
        <v>6</v>
      </c>
      <c r="G546" s="493"/>
      <c r="H546" s="487">
        <f t="shared" ca="1" si="99"/>
        <v>19</v>
      </c>
      <c r="I546" s="490"/>
      <c r="J546" s="502"/>
      <c r="K546" s="502"/>
      <c r="L546" s="493"/>
      <c r="M546" s="505" t="str">
        <f ca="1">IFERROR(IF(COUNTIF($B$509:$B545,"&lt;0")&lt;&gt;1,OFFSET($C544,-COUNTIF($B$509:$B545,"&lt;0")+3,0),""),"")</f>
        <v/>
      </c>
      <c r="N546" s="505">
        <f ca="1">IFERROR(IF(COUNTA($D$509:D545)=1,0,OFFSET($F544,-COUNTA($D$509:D545)+3,0)),"")</f>
        <v>1</v>
      </c>
      <c r="O546" s="487"/>
      <c r="P546" s="487">
        <f t="shared" si="100"/>
        <v>35</v>
      </c>
      <c r="Q546" s="487"/>
      <c r="R546" s="487"/>
      <c r="S546" s="487"/>
      <c r="T546" s="493"/>
    </row>
    <row r="547" spans="1:20" x14ac:dyDescent="0.3">
      <c r="A547" s="487" t="b">
        <v>0</v>
      </c>
      <c r="B547" s="487">
        <f t="shared" si="97"/>
        <v>-144</v>
      </c>
      <c r="C547" s="508" t="s">
        <v>7225</v>
      </c>
      <c r="D547" s="487" t="s">
        <v>4701</v>
      </c>
      <c r="E547" s="487">
        <f t="shared" ca="1" si="98"/>
        <v>6</v>
      </c>
      <c r="F547" s="506">
        <v>6</v>
      </c>
      <c r="G547" s="493"/>
      <c r="H547" s="487">
        <f t="shared" ca="1" si="99"/>
        <v>19</v>
      </c>
      <c r="I547" s="490"/>
      <c r="J547" s="502"/>
      <c r="K547" s="502"/>
      <c r="L547" s="493"/>
      <c r="M547" s="505" t="str">
        <f ca="1">IFERROR(IF(COUNTIF($B$509:$B546,"&lt;0")&lt;&gt;1,OFFSET($C545,-COUNTIF($B$509:$B546,"&lt;0")+3,0),""),"")</f>
        <v/>
      </c>
      <c r="N547" s="505">
        <f ca="1">IFERROR(IF(COUNTA($D$509:D546)=1,0,OFFSET($F545,-COUNTA($D$509:D546)+3,0)),"")</f>
        <v>1</v>
      </c>
      <c r="O547" s="487"/>
      <c r="P547" s="487">
        <f t="shared" si="100"/>
        <v>36</v>
      </c>
      <c r="Q547" s="487"/>
      <c r="R547" s="487"/>
      <c r="S547" s="487"/>
      <c r="T547" s="493"/>
    </row>
    <row r="548" spans="1:20" x14ac:dyDescent="0.3">
      <c r="A548" s="487" t="b">
        <v>0</v>
      </c>
      <c r="B548" s="487">
        <f t="shared" si="97"/>
        <v>-143</v>
      </c>
      <c r="C548" s="508" t="s">
        <v>7226</v>
      </c>
      <c r="D548" s="487" t="s">
        <v>4742</v>
      </c>
      <c r="E548" s="487">
        <f t="shared" ca="1" si="98"/>
        <v>1</v>
      </c>
      <c r="F548" s="506">
        <v>7</v>
      </c>
      <c r="G548" s="493"/>
      <c r="H548" s="487">
        <f t="shared" ca="1" si="99"/>
        <v>21</v>
      </c>
      <c r="I548" s="490"/>
      <c r="J548" s="502"/>
      <c r="K548" s="502"/>
      <c r="L548" s="493"/>
      <c r="M548" s="505" t="str">
        <f ca="1">IFERROR(IF(COUNTIF($B$509:$B547,"&lt;0")&lt;&gt;1,OFFSET($C546,-COUNTIF($B$509:$B547,"&lt;0")+3,0),""),"")</f>
        <v/>
      </c>
      <c r="N548" s="505">
        <f ca="1">IFERROR(IF(COUNTA($D$509:D547)=1,0,OFFSET($F546,-COUNTA($D$509:D547)+3,0)),"")</f>
        <v>1</v>
      </c>
      <c r="O548" s="487"/>
      <c r="P548" s="487">
        <f t="shared" si="100"/>
        <v>37</v>
      </c>
      <c r="Q548" s="487"/>
      <c r="R548" s="487"/>
      <c r="S548" s="487"/>
      <c r="T548" s="493"/>
    </row>
    <row r="549" spans="1:20" x14ac:dyDescent="0.3">
      <c r="A549" s="487" t="b">
        <v>0</v>
      </c>
      <c r="B549" s="487">
        <f t="shared" si="97"/>
        <v>-142</v>
      </c>
      <c r="C549" s="508" t="s">
        <v>7227</v>
      </c>
      <c r="D549" s="487" t="s">
        <v>4742</v>
      </c>
      <c r="E549" s="487">
        <f t="shared" ca="1" si="98"/>
        <v>2</v>
      </c>
      <c r="F549" s="506">
        <v>7</v>
      </c>
      <c r="G549" s="493"/>
      <c r="H549" s="487">
        <f t="shared" ca="1" si="99"/>
        <v>21</v>
      </c>
      <c r="I549" s="490"/>
      <c r="J549" s="502"/>
      <c r="K549" s="502"/>
      <c r="L549" s="493"/>
      <c r="M549" s="505" t="str">
        <f ca="1">IFERROR(IF(COUNTIF($B$509:$B548,"&lt;0")&lt;&gt;1,OFFSET($C547,-COUNTIF($B$509:$B548,"&lt;0")+3,0),""),"")</f>
        <v/>
      </c>
      <c r="N549" s="505">
        <f ca="1">IFERROR(IF(COUNTA($D$509:D548)=1,0,OFFSET($F547,-COUNTA($D$509:D548)+3,0)),"")</f>
        <v>1</v>
      </c>
      <c r="O549" s="487"/>
      <c r="P549" s="487">
        <f t="shared" si="100"/>
        <v>38</v>
      </c>
      <c r="Q549" s="487"/>
      <c r="R549" s="487"/>
      <c r="S549" s="487"/>
      <c r="T549" s="493"/>
    </row>
    <row r="550" spans="1:20" x14ac:dyDescent="0.3">
      <c r="A550" s="487" t="b">
        <v>0</v>
      </c>
      <c r="B550" s="487">
        <f t="shared" si="97"/>
        <v>-141</v>
      </c>
      <c r="C550" s="508" t="s">
        <v>7228</v>
      </c>
      <c r="D550" s="487" t="s">
        <v>4742</v>
      </c>
      <c r="E550" s="487">
        <f t="shared" ca="1" si="98"/>
        <v>3</v>
      </c>
      <c r="F550" s="506">
        <v>7</v>
      </c>
      <c r="G550" s="493"/>
      <c r="H550" s="487">
        <f t="shared" ca="1" si="99"/>
        <v>21</v>
      </c>
      <c r="I550" s="490"/>
      <c r="J550" s="502"/>
      <c r="K550" s="502"/>
      <c r="L550" s="493"/>
      <c r="M550" s="505" t="str">
        <f ca="1">IFERROR(IF(COUNTIF($B$509:$B549,"&lt;0")&lt;&gt;1,OFFSET($C548,-COUNTIF($B$509:$B549,"&lt;0")+3,0),""),"")</f>
        <v/>
      </c>
      <c r="N550" s="505">
        <f ca="1">IFERROR(IF(COUNTA($D$509:D549)=1,0,OFFSET($F548,-COUNTA($D$509:D549)+3,0)),"")</f>
        <v>1</v>
      </c>
      <c r="O550" s="487"/>
      <c r="P550" s="487">
        <f t="shared" si="100"/>
        <v>39</v>
      </c>
      <c r="Q550" s="487"/>
      <c r="R550" s="487"/>
      <c r="S550" s="487"/>
      <c r="T550" s="493"/>
    </row>
    <row r="551" spans="1:20" x14ac:dyDescent="0.3">
      <c r="A551" s="487" t="b">
        <v>0</v>
      </c>
      <c r="B551" s="487">
        <f t="shared" si="97"/>
        <v>-140</v>
      </c>
      <c r="C551" s="508" t="s">
        <v>7229</v>
      </c>
      <c r="D551" s="487" t="s">
        <v>4742</v>
      </c>
      <c r="E551" s="487">
        <f t="shared" ca="1" si="98"/>
        <v>4</v>
      </c>
      <c r="F551" s="506">
        <v>7</v>
      </c>
      <c r="G551" s="493"/>
      <c r="H551" s="487">
        <f t="shared" ca="1" si="99"/>
        <v>21</v>
      </c>
      <c r="I551" s="490"/>
      <c r="J551" s="502"/>
      <c r="K551" s="502"/>
      <c r="L551" s="493"/>
      <c r="M551" s="505" t="str">
        <f ca="1">IFERROR(IF(COUNTIF($B$509:$B550,"&lt;0")&lt;&gt;1,OFFSET($C549,-COUNTIF($B$509:$B550,"&lt;0")+3,0),""),"")</f>
        <v/>
      </c>
      <c r="N551" s="505">
        <f ca="1">IFERROR(IF(COUNTA($D$509:D550)=1,0,OFFSET($F549,-COUNTA($D$509:D550)+3,0)),"")</f>
        <v>1</v>
      </c>
      <c r="O551" s="487"/>
      <c r="P551" s="487">
        <f t="shared" si="100"/>
        <v>40</v>
      </c>
      <c r="Q551" s="487"/>
      <c r="R551" s="487"/>
      <c r="S551" s="487"/>
      <c r="T551" s="493"/>
    </row>
    <row r="552" spans="1:20" x14ac:dyDescent="0.3">
      <c r="A552" s="487" t="b">
        <v>0</v>
      </c>
      <c r="B552" s="487">
        <f t="shared" si="97"/>
        <v>-139</v>
      </c>
      <c r="C552" s="508" t="s">
        <v>7230</v>
      </c>
      <c r="D552" s="487" t="s">
        <v>4742</v>
      </c>
      <c r="E552" s="487">
        <f t="shared" ca="1" si="98"/>
        <v>5</v>
      </c>
      <c r="F552" s="506">
        <v>7</v>
      </c>
      <c r="G552" s="493"/>
      <c r="H552" s="487">
        <f t="shared" ca="1" si="99"/>
        <v>21</v>
      </c>
      <c r="I552" s="490"/>
      <c r="J552" s="502"/>
      <c r="K552" s="502"/>
      <c r="L552" s="493"/>
      <c r="M552" s="505" t="str">
        <f ca="1">IFERROR(IF(COUNTIF($B$509:$B551,"&lt;0")&lt;&gt;1,OFFSET($C550,-COUNTIF($B$509:$B551,"&lt;0")+3,0),""),"")</f>
        <v/>
      </c>
      <c r="N552" s="505">
        <f ca="1">IFERROR(IF(COUNTA($D$509:D551)=1,0,OFFSET($F550,-COUNTA($D$509:D551)+3,0)),"")</f>
        <v>1</v>
      </c>
      <c r="O552" s="487"/>
      <c r="P552" s="487">
        <f t="shared" si="100"/>
        <v>41</v>
      </c>
      <c r="Q552" s="487"/>
      <c r="R552" s="487"/>
      <c r="S552" s="487"/>
      <c r="T552" s="493"/>
    </row>
    <row r="553" spans="1:20" x14ac:dyDescent="0.3">
      <c r="A553" s="487" t="b">
        <v>0</v>
      </c>
      <c r="B553" s="487">
        <f t="shared" si="97"/>
        <v>-138</v>
      </c>
      <c r="C553" s="508" t="s">
        <v>7231</v>
      </c>
      <c r="D553" s="487" t="s">
        <v>4742</v>
      </c>
      <c r="E553" s="487">
        <f t="shared" ca="1" si="98"/>
        <v>6</v>
      </c>
      <c r="F553" s="506">
        <v>7</v>
      </c>
      <c r="G553" s="493"/>
      <c r="H553" s="487">
        <f t="shared" ca="1" si="99"/>
        <v>21</v>
      </c>
      <c r="I553" s="490"/>
      <c r="J553" s="502"/>
      <c r="K553" s="502"/>
      <c r="L553" s="493"/>
      <c r="M553" s="505" t="str">
        <f ca="1">IFERROR(IF(COUNTIF($B$509:$B552,"&lt;0")&lt;&gt;1,OFFSET($C551,-COUNTIF($B$509:$B552,"&lt;0")+3,0),""),"")</f>
        <v/>
      </c>
      <c r="N553" s="505">
        <f ca="1">IFERROR(IF(COUNTA($D$509:D552)=1,0,OFFSET($F551,-COUNTA($D$509:D552)+3,0)),"")</f>
        <v>1</v>
      </c>
      <c r="O553" s="487"/>
      <c r="P553" s="487">
        <f t="shared" si="100"/>
        <v>42</v>
      </c>
      <c r="Q553" s="487"/>
      <c r="R553" s="487"/>
      <c r="S553" s="487"/>
      <c r="T553" s="493"/>
    </row>
    <row r="554" spans="1:20" x14ac:dyDescent="0.3">
      <c r="A554" s="487" t="b">
        <v>0</v>
      </c>
      <c r="B554" s="487">
        <f t="shared" si="97"/>
        <v>-137</v>
      </c>
      <c r="C554" s="508" t="s">
        <v>7232</v>
      </c>
      <c r="D554" s="487" t="s">
        <v>4783</v>
      </c>
      <c r="E554" s="487">
        <f t="shared" ca="1" si="98"/>
        <v>1</v>
      </c>
      <c r="F554" s="506">
        <v>8</v>
      </c>
      <c r="G554" s="493"/>
      <c r="H554" s="487">
        <f t="shared" ca="1" si="99"/>
        <v>23</v>
      </c>
      <c r="I554" s="490"/>
      <c r="J554" s="502"/>
      <c r="K554" s="502"/>
      <c r="L554" s="493"/>
      <c r="M554" s="505" t="str">
        <f ca="1">IFERROR(IF(COUNTIF($B$509:$B553,"&lt;0")&lt;&gt;1,OFFSET($C552,-COUNTIF($B$509:$B553,"&lt;0")+3,0),""),"")</f>
        <v/>
      </c>
      <c r="N554" s="505">
        <f ca="1">IFERROR(IF(COUNTA($D$509:D553)=1,0,OFFSET($F552,-COUNTA($D$509:D553)+3,0)),"")</f>
        <v>1</v>
      </c>
      <c r="O554" s="487"/>
      <c r="P554" s="487">
        <f t="shared" si="100"/>
        <v>43</v>
      </c>
      <c r="Q554" s="487"/>
      <c r="R554" s="487"/>
      <c r="S554" s="487"/>
      <c r="T554" s="493"/>
    </row>
    <row r="555" spans="1:20" x14ac:dyDescent="0.3">
      <c r="A555" s="487" t="b">
        <v>0</v>
      </c>
      <c r="B555" s="487">
        <f t="shared" si="97"/>
        <v>-136</v>
      </c>
      <c r="C555" s="508" t="s">
        <v>7233</v>
      </c>
      <c r="D555" s="487" t="s">
        <v>4783</v>
      </c>
      <c r="E555" s="487">
        <f t="shared" ca="1" si="98"/>
        <v>2</v>
      </c>
      <c r="F555" s="506">
        <v>8</v>
      </c>
      <c r="G555" s="493"/>
      <c r="H555" s="487">
        <f t="shared" ca="1" si="99"/>
        <v>23</v>
      </c>
      <c r="I555" s="490"/>
      <c r="J555" s="502"/>
      <c r="K555" s="502"/>
      <c r="L555" s="493"/>
      <c r="M555" s="505" t="str">
        <f ca="1">IFERROR(IF(COUNTIF($B$509:$B554,"&lt;0")&lt;&gt;1,OFFSET($C553,-COUNTIF($B$509:$B554,"&lt;0")+3,0),""),"")</f>
        <v/>
      </c>
      <c r="N555" s="505">
        <f ca="1">IFERROR(IF(COUNTA($D$509:D554)=1,0,OFFSET($F553,-COUNTA($D$509:D554)+3,0)),"")</f>
        <v>1</v>
      </c>
      <c r="O555" s="487"/>
      <c r="P555" s="487">
        <f t="shared" si="100"/>
        <v>44</v>
      </c>
      <c r="Q555" s="487"/>
      <c r="R555" s="487"/>
      <c r="S555" s="487"/>
      <c r="T555" s="493"/>
    </row>
    <row r="556" spans="1:20" x14ac:dyDescent="0.3">
      <c r="A556" s="487" t="b">
        <v>0</v>
      </c>
      <c r="B556" s="487">
        <f t="shared" si="97"/>
        <v>-135</v>
      </c>
      <c r="C556" s="508" t="s">
        <v>7234</v>
      </c>
      <c r="D556" s="487" t="s">
        <v>4783</v>
      </c>
      <c r="E556" s="487">
        <f t="shared" ca="1" si="98"/>
        <v>3</v>
      </c>
      <c r="F556" s="506">
        <v>8</v>
      </c>
      <c r="G556" s="493"/>
      <c r="H556" s="487">
        <f t="shared" ca="1" si="99"/>
        <v>23</v>
      </c>
      <c r="I556" s="490"/>
      <c r="J556" s="502"/>
      <c r="K556" s="502"/>
      <c r="L556" s="493"/>
      <c r="M556" s="505" t="str">
        <f ca="1">IFERROR(IF(COUNTIF($B$509:$B555,"&lt;0")&lt;&gt;1,OFFSET($C554,-COUNTIF($B$509:$B555,"&lt;0")+3,0),""),"")</f>
        <v/>
      </c>
      <c r="N556" s="505">
        <f ca="1">IFERROR(IF(COUNTA($D$509:D555)=1,0,OFFSET($F554,-COUNTA($D$509:D555)+3,0)),"")</f>
        <v>1</v>
      </c>
      <c r="O556" s="487"/>
      <c r="P556" s="487">
        <f t="shared" si="100"/>
        <v>45</v>
      </c>
      <c r="Q556" s="487"/>
      <c r="R556" s="487"/>
      <c r="S556" s="487"/>
      <c r="T556" s="493"/>
    </row>
    <row r="557" spans="1:20" x14ac:dyDescent="0.3">
      <c r="A557" s="487" t="b">
        <v>0</v>
      </c>
      <c r="B557" s="487">
        <f t="shared" si="97"/>
        <v>-134</v>
      </c>
      <c r="C557" s="508" t="s">
        <v>7235</v>
      </c>
      <c r="D557" s="487" t="s">
        <v>4783</v>
      </c>
      <c r="E557" s="487">
        <f t="shared" ca="1" si="98"/>
        <v>4</v>
      </c>
      <c r="F557" s="506">
        <v>8</v>
      </c>
      <c r="G557" s="493"/>
      <c r="H557" s="487">
        <f t="shared" ca="1" si="99"/>
        <v>23</v>
      </c>
      <c r="I557" s="490"/>
      <c r="J557" s="502"/>
      <c r="K557" s="502"/>
      <c r="L557" s="493"/>
      <c r="M557" s="505" t="str">
        <f ca="1">IFERROR(IF(COUNTIF($B$509:$B556,"&lt;0")&lt;&gt;1,OFFSET($C555,-COUNTIF($B$509:$B556,"&lt;0")+3,0),""),"")</f>
        <v/>
      </c>
      <c r="N557" s="505">
        <f ca="1">IFERROR(IF(COUNTA($D$509:D556)=1,0,OFFSET($F555,-COUNTA($D$509:D556)+3,0)),"")</f>
        <v>1</v>
      </c>
      <c r="O557" s="487"/>
      <c r="P557" s="487">
        <f t="shared" si="100"/>
        <v>46</v>
      </c>
      <c r="Q557" s="487"/>
      <c r="R557" s="487"/>
      <c r="S557" s="487"/>
      <c r="T557" s="493"/>
    </row>
    <row r="558" spans="1:20" x14ac:dyDescent="0.3">
      <c r="A558" s="487" t="b">
        <v>0</v>
      </c>
      <c r="B558" s="487">
        <f t="shared" si="97"/>
        <v>-133</v>
      </c>
      <c r="C558" s="508" t="s">
        <v>7236</v>
      </c>
      <c r="D558" s="487" t="s">
        <v>4783</v>
      </c>
      <c r="E558" s="487">
        <f t="shared" ca="1" si="98"/>
        <v>5</v>
      </c>
      <c r="F558" s="506">
        <v>8</v>
      </c>
      <c r="G558" s="493"/>
      <c r="H558" s="487">
        <f t="shared" ca="1" si="99"/>
        <v>23</v>
      </c>
      <c r="I558" s="490"/>
      <c r="J558" s="502"/>
      <c r="K558" s="502"/>
      <c r="L558" s="493"/>
      <c r="M558" s="505" t="str">
        <f ca="1">IFERROR(IF(COUNTIF($B$509:$B557,"&lt;0")&lt;&gt;1,OFFSET($C556,-COUNTIF($B$509:$B557,"&lt;0")+3,0),""),"")</f>
        <v/>
      </c>
      <c r="N558" s="505">
        <f ca="1">IFERROR(IF(COUNTA($D$509:D557)=1,0,OFFSET($F556,-COUNTA($D$509:D557)+3,0)),"")</f>
        <v>1</v>
      </c>
      <c r="O558" s="487"/>
      <c r="P558" s="487">
        <f t="shared" si="100"/>
        <v>47</v>
      </c>
      <c r="Q558" s="487"/>
      <c r="R558" s="487"/>
      <c r="S558" s="487"/>
      <c r="T558" s="493"/>
    </row>
    <row r="559" spans="1:20" x14ac:dyDescent="0.3">
      <c r="A559" s="487" t="b">
        <v>0</v>
      </c>
      <c r="B559" s="487">
        <f t="shared" si="97"/>
        <v>-132</v>
      </c>
      <c r="C559" s="508" t="s">
        <v>7237</v>
      </c>
      <c r="D559" s="487" t="s">
        <v>4783</v>
      </c>
      <c r="E559" s="487">
        <f t="shared" ca="1" si="98"/>
        <v>6</v>
      </c>
      <c r="F559" s="506">
        <v>8</v>
      </c>
      <c r="G559" s="493"/>
      <c r="H559" s="487">
        <f t="shared" ca="1" si="99"/>
        <v>23</v>
      </c>
      <c r="I559" s="490"/>
      <c r="J559" s="502"/>
      <c r="K559" s="502"/>
      <c r="L559" s="493"/>
      <c r="M559" s="505" t="str">
        <f ca="1">IFERROR(IF(COUNTIF($B$509:$B558,"&lt;0")&lt;&gt;1,OFFSET($C557,-COUNTIF($B$509:$B558,"&lt;0")+3,0),""),"")</f>
        <v/>
      </c>
      <c r="N559" s="505">
        <f ca="1">IFERROR(IF(COUNTA($D$509:D558)=1,0,OFFSET($F557,-COUNTA($D$509:D558)+3,0)),"")</f>
        <v>1</v>
      </c>
      <c r="O559" s="487"/>
      <c r="P559" s="487">
        <f t="shared" si="100"/>
        <v>48</v>
      </c>
      <c r="Q559" s="487"/>
      <c r="R559" s="487"/>
      <c r="S559" s="487"/>
      <c r="T559" s="493"/>
    </row>
    <row r="560" spans="1:20" x14ac:dyDescent="0.3">
      <c r="A560" s="487" t="b">
        <v>0</v>
      </c>
      <c r="B560" s="487">
        <f t="shared" si="97"/>
        <v>-131</v>
      </c>
      <c r="C560" s="508" t="s">
        <v>7238</v>
      </c>
      <c r="D560" s="487" t="s">
        <v>4824</v>
      </c>
      <c r="E560" s="487">
        <f t="shared" ca="1" si="98"/>
        <v>1</v>
      </c>
      <c r="F560" s="506">
        <v>9</v>
      </c>
      <c r="G560" s="493"/>
      <c r="H560" s="487">
        <f t="shared" ca="1" si="99"/>
        <v>25</v>
      </c>
      <c r="I560" s="490"/>
      <c r="J560" s="502"/>
      <c r="K560" s="502"/>
      <c r="L560" s="493"/>
      <c r="M560" s="505" t="str">
        <f ca="1">IFERROR(IF(COUNTIF($B$509:$B559,"&lt;0")&lt;&gt;1,OFFSET($C558,-COUNTIF($B$509:$B559,"&lt;0")+3,0),""),"")</f>
        <v/>
      </c>
      <c r="N560" s="505">
        <f ca="1">IFERROR(IF(COUNTA($D$509:D559)=1,0,OFFSET($F558,-COUNTA($D$509:D559)+3,0)),"")</f>
        <v>1</v>
      </c>
      <c r="O560" s="487"/>
      <c r="P560" s="487">
        <f t="shared" si="100"/>
        <v>49</v>
      </c>
      <c r="Q560" s="487"/>
      <c r="R560" s="487"/>
      <c r="S560" s="487"/>
      <c r="T560" s="493"/>
    </row>
    <row r="561" spans="1:20" x14ac:dyDescent="0.3">
      <c r="A561" s="487" t="b">
        <v>0</v>
      </c>
      <c r="B561" s="487">
        <f t="shared" si="97"/>
        <v>-130</v>
      </c>
      <c r="C561" s="508" t="s">
        <v>7239</v>
      </c>
      <c r="D561" s="487" t="s">
        <v>4824</v>
      </c>
      <c r="E561" s="487">
        <f t="shared" ca="1" si="98"/>
        <v>2</v>
      </c>
      <c r="F561" s="506">
        <v>9</v>
      </c>
      <c r="G561" s="493"/>
      <c r="H561" s="487">
        <f t="shared" ca="1" si="99"/>
        <v>25</v>
      </c>
      <c r="I561" s="490"/>
      <c r="J561" s="502"/>
      <c r="K561" s="502"/>
      <c r="L561" s="493"/>
      <c r="M561" s="505" t="str">
        <f ca="1">IFERROR(IF(COUNTIF($B$509:$B560,"&lt;0")&lt;&gt;1,OFFSET($C559,-COUNTIF($B$509:$B560,"&lt;0")+3,0),""),"")</f>
        <v/>
      </c>
      <c r="N561" s="505">
        <f ca="1">IFERROR(IF(COUNTA($D$509:D560)=1,0,OFFSET($F559,-COUNTA($D$509:D560)+3,0)),"")</f>
        <v>1</v>
      </c>
      <c r="O561" s="487"/>
      <c r="P561" s="487">
        <f t="shared" si="100"/>
        <v>50</v>
      </c>
      <c r="Q561" s="487"/>
      <c r="R561" s="487"/>
      <c r="S561" s="487"/>
      <c r="T561" s="493"/>
    </row>
    <row r="562" spans="1:20" x14ac:dyDescent="0.3">
      <c r="A562" s="487" t="b">
        <v>0</v>
      </c>
      <c r="B562" s="487">
        <f t="shared" si="97"/>
        <v>-129</v>
      </c>
      <c r="C562" s="508" t="s">
        <v>7240</v>
      </c>
      <c r="D562" s="487" t="s">
        <v>4824</v>
      </c>
      <c r="E562" s="487">
        <f t="shared" ca="1" si="98"/>
        <v>3</v>
      </c>
      <c r="F562" s="506">
        <v>9</v>
      </c>
      <c r="G562" s="493"/>
      <c r="H562" s="487">
        <f t="shared" ca="1" si="99"/>
        <v>25</v>
      </c>
      <c r="I562" s="490"/>
      <c r="J562" s="502"/>
      <c r="K562" s="502"/>
      <c r="L562" s="493"/>
      <c r="M562" s="505" t="str">
        <f ca="1">IFERROR(IF(COUNTIF($B$509:$B561,"&lt;0")&lt;&gt;1,OFFSET($C560,-COUNTIF($B$509:$B561,"&lt;0")+3,0),""),"")</f>
        <v/>
      </c>
      <c r="N562" s="505">
        <f ca="1">IFERROR(IF(COUNTA($D$509:D561)=1,0,OFFSET($F560,-COUNTA($D$509:D561)+3,0)),"")</f>
        <v>1</v>
      </c>
      <c r="O562" s="487"/>
      <c r="P562" s="487">
        <f t="shared" si="100"/>
        <v>51</v>
      </c>
      <c r="Q562" s="487"/>
      <c r="R562" s="487"/>
      <c r="S562" s="487"/>
      <c r="T562" s="493"/>
    </row>
    <row r="563" spans="1:20" x14ac:dyDescent="0.3">
      <c r="A563" s="487" t="b">
        <v>0</v>
      </c>
      <c r="B563" s="487">
        <f t="shared" si="97"/>
        <v>-128</v>
      </c>
      <c r="C563" s="508" t="s">
        <v>7241</v>
      </c>
      <c r="D563" s="487" t="s">
        <v>4824</v>
      </c>
      <c r="E563" s="487">
        <f t="shared" ca="1" si="98"/>
        <v>4</v>
      </c>
      <c r="F563" s="506">
        <v>9</v>
      </c>
      <c r="G563" s="493"/>
      <c r="H563" s="487">
        <f t="shared" ca="1" si="99"/>
        <v>25</v>
      </c>
      <c r="I563" s="490"/>
      <c r="J563" s="502"/>
      <c r="K563" s="502"/>
      <c r="L563" s="493"/>
      <c r="M563" s="505" t="str">
        <f ca="1">IFERROR(IF(COUNTIF($B$509:$B562,"&lt;0")&lt;&gt;1,OFFSET($C561,-COUNTIF($B$509:$B562,"&lt;0")+3,0),""),"")</f>
        <v/>
      </c>
      <c r="N563" s="505">
        <f ca="1">IFERROR(IF(COUNTA($D$509:D562)=1,0,OFFSET($F561,-COUNTA($D$509:D562)+3,0)),"")</f>
        <v>1</v>
      </c>
      <c r="O563" s="487"/>
      <c r="P563" s="487">
        <f t="shared" si="100"/>
        <v>52</v>
      </c>
      <c r="Q563" s="487"/>
      <c r="R563" s="487"/>
      <c r="S563" s="487"/>
      <c r="T563" s="493"/>
    </row>
    <row r="564" spans="1:20" x14ac:dyDescent="0.3">
      <c r="A564" s="487" t="b">
        <v>0</v>
      </c>
      <c r="B564" s="487">
        <f t="shared" si="97"/>
        <v>-127</v>
      </c>
      <c r="C564" s="508" t="s">
        <v>7242</v>
      </c>
      <c r="D564" s="487" t="s">
        <v>4824</v>
      </c>
      <c r="E564" s="487">
        <f t="shared" ca="1" si="98"/>
        <v>5</v>
      </c>
      <c r="F564" s="506">
        <v>9</v>
      </c>
      <c r="G564" s="493"/>
      <c r="H564" s="487">
        <f t="shared" ca="1" si="99"/>
        <v>25</v>
      </c>
      <c r="I564" s="490"/>
      <c r="J564" s="502"/>
      <c r="K564" s="502"/>
      <c r="L564" s="493"/>
      <c r="M564" s="505" t="str">
        <f ca="1">IFERROR(IF(COUNTIF($B$509:$B563,"&lt;0")&lt;&gt;1,OFFSET($C562,-COUNTIF($B$509:$B563,"&lt;0")+3,0),""),"")</f>
        <v/>
      </c>
      <c r="N564" s="505">
        <f ca="1">IFERROR(IF(COUNTA($D$509:D563)=1,0,OFFSET($F562,-COUNTA($D$509:D563)+3,0)),"")</f>
        <v>1</v>
      </c>
      <c r="O564" s="487"/>
      <c r="P564" s="487">
        <f t="shared" si="100"/>
        <v>53</v>
      </c>
      <c r="Q564" s="487"/>
      <c r="R564" s="487"/>
      <c r="S564" s="487"/>
      <c r="T564" s="493"/>
    </row>
    <row r="565" spans="1:20" x14ac:dyDescent="0.3">
      <c r="A565" s="487" t="b">
        <v>0</v>
      </c>
      <c r="B565" s="487">
        <f t="shared" si="97"/>
        <v>-126</v>
      </c>
      <c r="C565" s="508" t="s">
        <v>7243</v>
      </c>
      <c r="D565" s="487" t="s">
        <v>4824</v>
      </c>
      <c r="E565" s="487">
        <f t="shared" ca="1" si="98"/>
        <v>6</v>
      </c>
      <c r="F565" s="506">
        <v>9</v>
      </c>
      <c r="G565" s="493"/>
      <c r="H565" s="487">
        <f t="shared" ca="1" si="99"/>
        <v>25</v>
      </c>
      <c r="I565" s="490"/>
      <c r="J565" s="502"/>
      <c r="K565" s="502"/>
      <c r="L565" s="493"/>
      <c r="M565" s="505" t="str">
        <f ca="1">IFERROR(IF(COUNTIF($B$509:$B564,"&lt;0")&lt;&gt;1,OFFSET($C563,-COUNTIF($B$509:$B564,"&lt;0")+3,0),""),"")</f>
        <v/>
      </c>
      <c r="N565" s="505">
        <f ca="1">IFERROR(IF(COUNTA($D$509:D564)=1,0,OFFSET($F563,-COUNTA($D$509:D564)+3,0)),"")</f>
        <v>1</v>
      </c>
      <c r="O565" s="487"/>
      <c r="P565" s="487">
        <f t="shared" si="100"/>
        <v>54</v>
      </c>
      <c r="Q565" s="487"/>
      <c r="R565" s="487"/>
      <c r="S565" s="487"/>
      <c r="T565" s="493"/>
    </row>
    <row r="566" spans="1:20" x14ac:dyDescent="0.3">
      <c r="A566" s="487" t="b">
        <v>0</v>
      </c>
      <c r="B566" s="487">
        <f t="shared" si="97"/>
        <v>-125</v>
      </c>
      <c r="C566" s="508" t="s">
        <v>7244</v>
      </c>
      <c r="D566" s="487" t="s">
        <v>4865</v>
      </c>
      <c r="E566" s="487">
        <f t="shared" ca="1" si="98"/>
        <v>1</v>
      </c>
      <c r="F566" s="506">
        <v>10</v>
      </c>
      <c r="G566" s="493"/>
      <c r="H566" s="487">
        <f t="shared" ca="1" si="99"/>
        <v>27</v>
      </c>
      <c r="I566" s="490"/>
      <c r="J566" s="502"/>
      <c r="K566" s="502"/>
      <c r="L566" s="493"/>
      <c r="M566" s="505" t="str">
        <f ca="1">IFERROR(IF(COUNTIF($B$509:$B565,"&lt;0")&lt;&gt;1,OFFSET($C564,-COUNTIF($B$509:$B565,"&lt;0")+3,0),""),"")</f>
        <v/>
      </c>
      <c r="N566" s="505">
        <f ca="1">IFERROR(IF(COUNTA($D$509:D565)=1,0,OFFSET($F564,-COUNTA($D$509:D565)+3,0)),"")</f>
        <v>1</v>
      </c>
      <c r="O566" s="487"/>
      <c r="P566" s="487">
        <f t="shared" si="100"/>
        <v>55</v>
      </c>
      <c r="Q566" s="487"/>
      <c r="R566" s="487"/>
      <c r="S566" s="487"/>
      <c r="T566" s="493"/>
    </row>
    <row r="567" spans="1:20" x14ac:dyDescent="0.3">
      <c r="A567" s="487" t="b">
        <v>0</v>
      </c>
      <c r="B567" s="487">
        <f t="shared" si="97"/>
        <v>-124</v>
      </c>
      <c r="C567" s="508" t="s">
        <v>7245</v>
      </c>
      <c r="D567" s="487" t="s">
        <v>4865</v>
      </c>
      <c r="E567" s="487">
        <f t="shared" ca="1" si="98"/>
        <v>2</v>
      </c>
      <c r="F567" s="506">
        <v>10</v>
      </c>
      <c r="G567" s="493"/>
      <c r="H567" s="487">
        <f t="shared" ca="1" si="99"/>
        <v>27</v>
      </c>
      <c r="I567" s="490"/>
      <c r="J567" s="502"/>
      <c r="K567" s="502"/>
      <c r="L567" s="493"/>
      <c r="M567" s="505" t="str">
        <f ca="1">IFERROR(IF(COUNTIF($B$509:$B566,"&lt;0")&lt;&gt;1,OFFSET($C565,-COUNTIF($B$509:$B566,"&lt;0")+3,0),""),"")</f>
        <v/>
      </c>
      <c r="N567" s="505">
        <f ca="1">IFERROR(IF(COUNTA($D$509:D566)=1,0,OFFSET($F565,-COUNTA($D$509:D566)+3,0)),"")</f>
        <v>1</v>
      </c>
      <c r="O567" s="487"/>
      <c r="P567" s="487">
        <f t="shared" si="100"/>
        <v>56</v>
      </c>
      <c r="Q567" s="487"/>
      <c r="R567" s="487"/>
      <c r="S567" s="487"/>
      <c r="T567" s="493"/>
    </row>
    <row r="568" spans="1:20" x14ac:dyDescent="0.3">
      <c r="A568" s="487" t="b">
        <v>0</v>
      </c>
      <c r="B568" s="487">
        <f t="shared" si="97"/>
        <v>-123</v>
      </c>
      <c r="C568" s="508" t="s">
        <v>7246</v>
      </c>
      <c r="D568" s="487" t="s">
        <v>4865</v>
      </c>
      <c r="E568" s="487">
        <f t="shared" ca="1" si="98"/>
        <v>3</v>
      </c>
      <c r="F568" s="506">
        <v>10</v>
      </c>
      <c r="G568" s="493"/>
      <c r="H568" s="487">
        <f t="shared" ca="1" si="99"/>
        <v>27</v>
      </c>
      <c r="I568" s="490"/>
      <c r="J568" s="502"/>
      <c r="K568" s="502"/>
      <c r="L568" s="493"/>
      <c r="M568" s="505" t="str">
        <f ca="1">IFERROR(IF(COUNTIF($B$509:$B567,"&lt;0")&lt;&gt;1,OFFSET($C566,-COUNTIF($B$509:$B567,"&lt;0")+3,0),""),"")</f>
        <v/>
      </c>
      <c r="N568" s="505">
        <f ca="1">IFERROR(IF(COUNTA($D$509:D567)=1,0,OFFSET($F566,-COUNTA($D$509:D567)+3,0)),"")</f>
        <v>1</v>
      </c>
      <c r="O568" s="487"/>
      <c r="P568" s="487">
        <f t="shared" si="100"/>
        <v>57</v>
      </c>
      <c r="Q568" s="487"/>
      <c r="R568" s="487"/>
      <c r="S568" s="487"/>
      <c r="T568" s="493"/>
    </row>
    <row r="569" spans="1:20" x14ac:dyDescent="0.3">
      <c r="A569" s="487" t="b">
        <v>0</v>
      </c>
      <c r="B569" s="487">
        <f t="shared" si="97"/>
        <v>-122</v>
      </c>
      <c r="C569" s="508" t="s">
        <v>7247</v>
      </c>
      <c r="D569" s="487" t="s">
        <v>4865</v>
      </c>
      <c r="E569" s="487">
        <f t="shared" ca="1" si="98"/>
        <v>4</v>
      </c>
      <c r="F569" s="506">
        <v>10</v>
      </c>
      <c r="G569" s="493"/>
      <c r="H569" s="487">
        <f t="shared" ca="1" si="99"/>
        <v>27</v>
      </c>
      <c r="I569" s="490"/>
      <c r="J569" s="502"/>
      <c r="K569" s="502"/>
      <c r="L569" s="493"/>
      <c r="M569" s="505" t="str">
        <f ca="1">IFERROR(IF(COUNTIF($B$509:$B568,"&lt;0")&lt;&gt;1,OFFSET($C567,-COUNTIF($B$509:$B568,"&lt;0")+3,0),""),"")</f>
        <v/>
      </c>
      <c r="N569" s="505">
        <f ca="1">IFERROR(IF(COUNTA($D$509:D568)=1,0,OFFSET($F567,-COUNTA($D$509:D568)+3,0)),"")</f>
        <v>1</v>
      </c>
      <c r="O569" s="487"/>
      <c r="P569" s="487">
        <f t="shared" si="100"/>
        <v>58</v>
      </c>
      <c r="Q569" s="487"/>
      <c r="R569" s="487"/>
      <c r="S569" s="487"/>
      <c r="T569" s="493"/>
    </row>
    <row r="570" spans="1:20" x14ac:dyDescent="0.3">
      <c r="A570" s="487" t="b">
        <v>0</v>
      </c>
      <c r="B570" s="487">
        <f t="shared" si="97"/>
        <v>-121</v>
      </c>
      <c r="C570" s="508" t="s">
        <v>7248</v>
      </c>
      <c r="D570" s="487" t="s">
        <v>4865</v>
      </c>
      <c r="E570" s="487">
        <f t="shared" ca="1" si="98"/>
        <v>5</v>
      </c>
      <c r="F570" s="506">
        <v>10</v>
      </c>
      <c r="G570" s="493"/>
      <c r="H570" s="487">
        <f t="shared" ca="1" si="99"/>
        <v>27</v>
      </c>
      <c r="I570" s="490"/>
      <c r="J570" s="502"/>
      <c r="K570" s="502"/>
      <c r="L570" s="493"/>
      <c r="M570" s="505" t="str">
        <f ca="1">IFERROR(IF(COUNTIF($B$509:$B569,"&lt;0")&lt;&gt;1,OFFSET($C568,-COUNTIF($B$509:$B569,"&lt;0")+3,0),""),"")</f>
        <v/>
      </c>
      <c r="N570" s="505">
        <f ca="1">IFERROR(IF(COUNTA($D$509:D569)=1,0,OFFSET($F568,-COUNTA($D$509:D569)+3,0)),"")</f>
        <v>1</v>
      </c>
      <c r="O570" s="487"/>
      <c r="P570" s="487">
        <f t="shared" si="100"/>
        <v>59</v>
      </c>
      <c r="Q570" s="487"/>
      <c r="R570" s="487"/>
      <c r="S570" s="487"/>
      <c r="T570" s="493"/>
    </row>
    <row r="571" spans="1:20" x14ac:dyDescent="0.3">
      <c r="A571" s="487" t="b">
        <v>0</v>
      </c>
      <c r="B571" s="487">
        <f t="shared" si="97"/>
        <v>-120</v>
      </c>
      <c r="C571" s="508" t="s">
        <v>7249</v>
      </c>
      <c r="D571" s="487" t="s">
        <v>4865</v>
      </c>
      <c r="E571" s="487">
        <f t="shared" ca="1" si="98"/>
        <v>6</v>
      </c>
      <c r="F571" s="506">
        <v>10</v>
      </c>
      <c r="G571" s="493"/>
      <c r="H571" s="487">
        <f t="shared" ca="1" si="99"/>
        <v>27</v>
      </c>
      <c r="I571" s="490"/>
      <c r="J571" s="502"/>
      <c r="K571" s="502"/>
      <c r="L571" s="493"/>
      <c r="M571" s="505" t="str">
        <f ca="1">IFERROR(IF(COUNTIF($B$509:$B570,"&lt;0")&lt;&gt;1,OFFSET($C569,-COUNTIF($B$509:$B570,"&lt;0")+3,0),""),"")</f>
        <v/>
      </c>
      <c r="N571" s="505">
        <f ca="1">IFERROR(IF(COUNTA($D$509:D570)=1,0,OFFSET($F569,-COUNTA($D$509:D570)+3,0)),"")</f>
        <v>1</v>
      </c>
      <c r="O571" s="487"/>
      <c r="P571" s="487">
        <f t="shared" si="100"/>
        <v>60</v>
      </c>
      <c r="Q571" s="487"/>
      <c r="R571" s="487"/>
      <c r="S571" s="487"/>
      <c r="T571" s="493"/>
    </row>
    <row r="572" spans="1:20" x14ac:dyDescent="0.3">
      <c r="A572" s="487" t="b">
        <v>0</v>
      </c>
      <c r="B572" s="487">
        <f t="shared" si="97"/>
        <v>-119</v>
      </c>
      <c r="C572" s="508" t="s">
        <v>7250</v>
      </c>
      <c r="D572" s="487" t="s">
        <v>4906</v>
      </c>
      <c r="E572" s="487">
        <f t="shared" ca="1" si="98"/>
        <v>1</v>
      </c>
      <c r="F572" s="506">
        <v>11</v>
      </c>
      <c r="G572" s="493"/>
      <c r="H572" s="487">
        <f t="shared" ca="1" si="99"/>
        <v>29</v>
      </c>
      <c r="I572" s="490"/>
      <c r="J572" s="502"/>
      <c r="K572" s="502"/>
      <c r="L572" s="493"/>
      <c r="M572" s="505" t="str">
        <f ca="1">IFERROR(IF(COUNTIF($B$509:$B571,"&lt;0")&lt;&gt;1,OFFSET($C570,-COUNTIF($B$509:$B571,"&lt;0")+3,0),""),"")</f>
        <v/>
      </c>
      <c r="N572" s="505">
        <f ca="1">IFERROR(IF(COUNTA($D$509:D571)=1,0,OFFSET($F570,-COUNTA($D$509:D571)+3,0)),"")</f>
        <v>1</v>
      </c>
      <c r="O572" s="487"/>
      <c r="P572" s="487">
        <f t="shared" si="100"/>
        <v>61</v>
      </c>
      <c r="Q572" s="487"/>
      <c r="R572" s="487"/>
      <c r="S572" s="487"/>
      <c r="T572" s="493"/>
    </row>
    <row r="573" spans="1:20" x14ac:dyDescent="0.3">
      <c r="A573" s="487" t="b">
        <v>0</v>
      </c>
      <c r="B573" s="487">
        <f t="shared" si="97"/>
        <v>-118</v>
      </c>
      <c r="C573" s="508" t="s">
        <v>7251</v>
      </c>
      <c r="D573" s="487" t="s">
        <v>4906</v>
      </c>
      <c r="E573" s="487">
        <f t="shared" ca="1" si="98"/>
        <v>2</v>
      </c>
      <c r="F573" s="506">
        <v>11</v>
      </c>
      <c r="G573" s="493"/>
      <c r="H573" s="487">
        <f t="shared" ca="1" si="99"/>
        <v>29</v>
      </c>
      <c r="I573" s="490"/>
      <c r="J573" s="502"/>
      <c r="K573" s="502"/>
      <c r="L573" s="493"/>
      <c r="M573" s="505" t="str">
        <f ca="1">IFERROR(IF(COUNTIF($B$509:$B572,"&lt;0")&lt;&gt;1,OFFSET($C571,-COUNTIF($B$509:$B572,"&lt;0")+3,0),""),"")</f>
        <v/>
      </c>
      <c r="N573" s="505">
        <f ca="1">IFERROR(IF(COUNTA($D$509:D572)=1,0,OFFSET($F571,-COUNTA($D$509:D572)+3,0)),"")</f>
        <v>1</v>
      </c>
      <c r="O573" s="487"/>
      <c r="P573" s="487">
        <f t="shared" si="100"/>
        <v>62</v>
      </c>
      <c r="Q573" s="487"/>
      <c r="R573" s="487"/>
      <c r="S573" s="487"/>
      <c r="T573" s="493"/>
    </row>
    <row r="574" spans="1:20" x14ac:dyDescent="0.3">
      <c r="A574" s="487" t="b">
        <v>0</v>
      </c>
      <c r="B574" s="487">
        <f t="shared" si="97"/>
        <v>-117</v>
      </c>
      <c r="C574" s="508" t="s">
        <v>7252</v>
      </c>
      <c r="D574" s="487" t="s">
        <v>4906</v>
      </c>
      <c r="E574" s="487">
        <f t="shared" ca="1" si="98"/>
        <v>3</v>
      </c>
      <c r="F574" s="506">
        <v>11</v>
      </c>
      <c r="G574" s="493"/>
      <c r="H574" s="487">
        <f t="shared" ca="1" si="99"/>
        <v>29</v>
      </c>
      <c r="I574" s="490"/>
      <c r="J574" s="502"/>
      <c r="K574" s="502"/>
      <c r="L574" s="493"/>
      <c r="M574" s="505" t="str">
        <f ca="1">IFERROR(IF(COUNTIF($B$509:$B573,"&lt;0")&lt;&gt;1,OFFSET($C572,-COUNTIF($B$509:$B573,"&lt;0")+3,0),""),"")</f>
        <v/>
      </c>
      <c r="N574" s="505">
        <f ca="1">IFERROR(IF(COUNTA($D$509:D573)=1,0,OFFSET($F572,-COUNTA($D$509:D573)+3,0)),"")</f>
        <v>1</v>
      </c>
      <c r="O574" s="487"/>
      <c r="P574" s="487">
        <f t="shared" si="100"/>
        <v>63</v>
      </c>
      <c r="Q574" s="487"/>
      <c r="R574" s="487"/>
      <c r="S574" s="487"/>
      <c r="T574" s="493"/>
    </row>
    <row r="575" spans="1:20" x14ac:dyDescent="0.3">
      <c r="A575" s="487" t="b">
        <v>0</v>
      </c>
      <c r="B575" s="487">
        <f t="shared" si="97"/>
        <v>-116</v>
      </c>
      <c r="C575" s="508" t="s">
        <v>7253</v>
      </c>
      <c r="D575" s="487" t="s">
        <v>4906</v>
      </c>
      <c r="E575" s="487">
        <f t="shared" ca="1" si="98"/>
        <v>4</v>
      </c>
      <c r="F575" s="506">
        <v>11</v>
      </c>
      <c r="G575" s="493"/>
      <c r="H575" s="487">
        <f t="shared" ca="1" si="99"/>
        <v>29</v>
      </c>
      <c r="I575" s="490"/>
      <c r="J575" s="502"/>
      <c r="K575" s="502"/>
      <c r="L575" s="493"/>
      <c r="M575" s="505" t="str">
        <f ca="1">IFERROR(IF(COUNTIF($B$509:$B574,"&lt;0")&lt;&gt;1,OFFSET($C573,-COUNTIF($B$509:$B574,"&lt;0")+3,0),""),"")</f>
        <v/>
      </c>
      <c r="N575" s="505">
        <f ca="1">IFERROR(IF(COUNTA($D$509:D574)=1,0,OFFSET($F573,-COUNTA($D$509:D574)+3,0)),"")</f>
        <v>1</v>
      </c>
      <c r="O575" s="487"/>
      <c r="P575" s="487">
        <f t="shared" si="100"/>
        <v>64</v>
      </c>
      <c r="Q575" s="487"/>
      <c r="R575" s="487"/>
      <c r="S575" s="487"/>
      <c r="T575" s="493"/>
    </row>
    <row r="576" spans="1:20" x14ac:dyDescent="0.3">
      <c r="A576" s="487" t="b">
        <v>0</v>
      </c>
      <c r="B576" s="487">
        <f t="shared" ref="B576:B639" si="101">B575+1</f>
        <v>-115</v>
      </c>
      <c r="C576" s="508" t="s">
        <v>7254</v>
      </c>
      <c r="D576" s="487" t="s">
        <v>4906</v>
      </c>
      <c r="E576" s="487">
        <f t="shared" ref="E576:E639" ca="1" si="102">COUNTIF(F509:F576,F576)</f>
        <v>5</v>
      </c>
      <c r="F576" s="506">
        <v>11</v>
      </c>
      <c r="G576" s="493"/>
      <c r="H576" s="487">
        <f t="shared" ref="H576:H639" ca="1" si="103">IF(F576=1,9,IF(E575=MAX(E574:E576),H574+2,H575))</f>
        <v>29</v>
      </c>
      <c r="I576" s="490"/>
      <c r="J576" s="502"/>
      <c r="K576" s="502"/>
      <c r="L576" s="493"/>
      <c r="M576" s="505" t="str">
        <f ca="1">IFERROR(IF(COUNTIF($B$509:$B575,"&lt;0")&lt;&gt;1,OFFSET($C574,-COUNTIF($B$509:$B575,"&lt;0")+3,0),""),"")</f>
        <v/>
      </c>
      <c r="N576" s="505">
        <f ca="1">IFERROR(IF(COUNTA($D$509:D575)=1,0,OFFSET($F574,-COUNTA($D$509:D575)+3,0)),"")</f>
        <v>1</v>
      </c>
      <c r="O576" s="487"/>
      <c r="P576" s="487">
        <f t="shared" ref="P576:P639" si="104">IF(NOT(_xlfn.ISFORMULA(I576)),P575+1,0)</f>
        <v>65</v>
      </c>
      <c r="Q576" s="487"/>
      <c r="R576" s="487"/>
      <c r="S576" s="487"/>
      <c r="T576" s="493"/>
    </row>
    <row r="577" spans="1:20" x14ac:dyDescent="0.3">
      <c r="A577" s="487" t="b">
        <v>0</v>
      </c>
      <c r="B577" s="487">
        <f t="shared" si="101"/>
        <v>-114</v>
      </c>
      <c r="C577" s="508" t="s">
        <v>7255</v>
      </c>
      <c r="D577" s="487" t="s">
        <v>4906</v>
      </c>
      <c r="E577" s="487">
        <f t="shared" ca="1" si="102"/>
        <v>6</v>
      </c>
      <c r="F577" s="506">
        <v>11</v>
      </c>
      <c r="G577" s="493"/>
      <c r="H577" s="487">
        <f t="shared" ca="1" si="103"/>
        <v>29</v>
      </c>
      <c r="I577" s="490"/>
      <c r="J577" s="502"/>
      <c r="K577" s="502"/>
      <c r="L577" s="493"/>
      <c r="M577" s="505" t="str">
        <f ca="1">IFERROR(IF(COUNTIF($B$509:$B576,"&lt;0")&lt;&gt;1,OFFSET($C575,-COUNTIF($B$509:$B576,"&lt;0")+3,0),""),"")</f>
        <v/>
      </c>
      <c r="N577" s="505">
        <f ca="1">IFERROR(IF(COUNTA($D$509:D576)=1,0,OFFSET($F575,-COUNTA($D$509:D576)+3,0)),"")</f>
        <v>1</v>
      </c>
      <c r="O577" s="487"/>
      <c r="P577" s="487">
        <f t="shared" si="104"/>
        <v>66</v>
      </c>
      <c r="Q577" s="487"/>
      <c r="R577" s="487"/>
      <c r="S577" s="487"/>
      <c r="T577" s="493"/>
    </row>
    <row r="578" spans="1:20" x14ac:dyDescent="0.3">
      <c r="A578" s="487" t="b">
        <v>0</v>
      </c>
      <c r="B578" s="487">
        <f t="shared" si="101"/>
        <v>-113</v>
      </c>
      <c r="C578" s="508" t="s">
        <v>7256</v>
      </c>
      <c r="D578" s="487" t="s">
        <v>4947</v>
      </c>
      <c r="E578" s="487">
        <f t="shared" ca="1" si="102"/>
        <v>1</v>
      </c>
      <c r="F578" s="506">
        <v>12</v>
      </c>
      <c r="G578" s="493"/>
      <c r="H578" s="487">
        <f t="shared" ca="1" si="103"/>
        <v>31</v>
      </c>
      <c r="I578" s="490"/>
      <c r="J578" s="502"/>
      <c r="K578" s="502"/>
      <c r="L578" s="493"/>
      <c r="M578" s="505" t="str">
        <f ca="1">IFERROR(IF(COUNTIF($B$509:$B577,"&lt;0")&lt;&gt;1,OFFSET($C576,-COUNTIF($B$509:$B577,"&lt;0")+3,0),""),"")</f>
        <v/>
      </c>
      <c r="N578" s="505">
        <f ca="1">IFERROR(IF(COUNTA($D$509:D577)=1,0,OFFSET($F576,-COUNTA($D$509:D577)+3,0)),"")</f>
        <v>1</v>
      </c>
      <c r="O578" s="487"/>
      <c r="P578" s="487">
        <f t="shared" si="104"/>
        <v>67</v>
      </c>
      <c r="Q578" s="487"/>
      <c r="R578" s="487"/>
      <c r="S578" s="487"/>
      <c r="T578" s="493"/>
    </row>
    <row r="579" spans="1:20" x14ac:dyDescent="0.3">
      <c r="A579" s="487" t="b">
        <v>0</v>
      </c>
      <c r="B579" s="487">
        <f t="shared" si="101"/>
        <v>-112</v>
      </c>
      <c r="C579" s="508" t="s">
        <v>7257</v>
      </c>
      <c r="D579" s="487" t="s">
        <v>4947</v>
      </c>
      <c r="E579" s="487">
        <f t="shared" si="102"/>
        <v>2</v>
      </c>
      <c r="F579" s="506">
        <v>12</v>
      </c>
      <c r="G579" s="493"/>
      <c r="H579" s="487">
        <f t="shared" ca="1" si="103"/>
        <v>31</v>
      </c>
      <c r="I579" s="490"/>
      <c r="J579" s="502"/>
      <c r="K579" s="502"/>
      <c r="L579" s="493"/>
      <c r="M579" s="505" t="str">
        <f ca="1">IFERROR(IF(COUNTIF($B$509:$B578,"&lt;0")&lt;&gt;1,OFFSET($C577,-COUNTIF($B$509:$B578,"&lt;0")+3,0),""),"")</f>
        <v/>
      </c>
      <c r="N579" s="505">
        <f ca="1">IFERROR(IF(COUNTA($D$509:D578)=1,0,OFFSET($F577,-COUNTA($D$509:D578)+3,0)),"")</f>
        <v>1</v>
      </c>
      <c r="O579" s="487"/>
      <c r="P579" s="487">
        <f t="shared" si="104"/>
        <v>68</v>
      </c>
      <c r="Q579" s="487"/>
      <c r="R579" s="487"/>
      <c r="S579" s="487"/>
      <c r="T579" s="493"/>
    </row>
    <row r="580" spans="1:20" x14ac:dyDescent="0.3">
      <c r="A580" s="487" t="b">
        <v>0</v>
      </c>
      <c r="B580" s="487">
        <f t="shared" si="101"/>
        <v>-111</v>
      </c>
      <c r="C580" s="508" t="s">
        <v>7258</v>
      </c>
      <c r="D580" s="487" t="s">
        <v>4947</v>
      </c>
      <c r="E580" s="487">
        <f t="shared" si="102"/>
        <v>3</v>
      </c>
      <c r="F580" s="506">
        <v>12</v>
      </c>
      <c r="G580" s="493"/>
      <c r="H580" s="487">
        <f t="shared" ca="1" si="103"/>
        <v>31</v>
      </c>
      <c r="I580" s="490"/>
      <c r="J580" s="502"/>
      <c r="K580" s="502"/>
      <c r="L580" s="493"/>
      <c r="M580" s="505" t="str">
        <f ca="1">IFERROR(IF(COUNTIF($B$509:$B579,"&lt;0")&lt;&gt;1,OFFSET($C578,-COUNTIF($B$509:$B579,"&lt;0")+3,0),""),"")</f>
        <v/>
      </c>
      <c r="N580" s="505">
        <f ca="1">IFERROR(IF(COUNTA($D$509:D579)=1,0,OFFSET($F578,-COUNTA($D$509:D579)+3,0)),"")</f>
        <v>1</v>
      </c>
      <c r="O580" s="487"/>
      <c r="P580" s="487">
        <f t="shared" si="104"/>
        <v>69</v>
      </c>
      <c r="Q580" s="487"/>
      <c r="R580" s="487"/>
      <c r="S580" s="487"/>
      <c r="T580" s="493"/>
    </row>
    <row r="581" spans="1:20" x14ac:dyDescent="0.3">
      <c r="A581" s="487" t="b">
        <v>0</v>
      </c>
      <c r="B581" s="487">
        <f t="shared" si="101"/>
        <v>-110</v>
      </c>
      <c r="C581" s="508" t="s">
        <v>7259</v>
      </c>
      <c r="D581" s="487" t="s">
        <v>4947</v>
      </c>
      <c r="E581" s="487">
        <f t="shared" si="102"/>
        <v>4</v>
      </c>
      <c r="F581" s="506">
        <v>12</v>
      </c>
      <c r="G581" s="493"/>
      <c r="H581" s="487">
        <f t="shared" ca="1" si="103"/>
        <v>31</v>
      </c>
      <c r="I581" s="490"/>
      <c r="J581" s="502"/>
      <c r="K581" s="502"/>
      <c r="L581" s="493"/>
      <c r="M581" s="505" t="str">
        <f ca="1">IFERROR(IF(COUNTIF($B$509:$B580,"&lt;0")&lt;&gt;1,OFFSET($C579,-COUNTIF($B$509:$B580,"&lt;0")+3,0),""),"")</f>
        <v/>
      </c>
      <c r="N581" s="505">
        <f ca="1">IFERROR(IF(COUNTA($D$509:D580)=1,0,OFFSET($F579,-COUNTA($D$509:D580)+3,0)),"")</f>
        <v>1</v>
      </c>
      <c r="O581" s="487"/>
      <c r="P581" s="487">
        <f t="shared" si="104"/>
        <v>70</v>
      </c>
      <c r="Q581" s="487"/>
      <c r="R581" s="487"/>
      <c r="S581" s="487"/>
      <c r="T581" s="493"/>
    </row>
    <row r="582" spans="1:20" x14ac:dyDescent="0.3">
      <c r="A582" s="487" t="b">
        <v>0</v>
      </c>
      <c r="B582" s="487">
        <f t="shared" si="101"/>
        <v>-109</v>
      </c>
      <c r="C582" s="508" t="s">
        <v>7260</v>
      </c>
      <c r="D582" s="487" t="s">
        <v>4947</v>
      </c>
      <c r="E582" s="487">
        <f t="shared" si="102"/>
        <v>5</v>
      </c>
      <c r="F582" s="506">
        <v>12</v>
      </c>
      <c r="G582" s="493"/>
      <c r="H582" s="487">
        <f t="shared" ca="1" si="103"/>
        <v>31</v>
      </c>
      <c r="I582" s="490"/>
      <c r="J582" s="502"/>
      <c r="K582" s="502"/>
      <c r="L582" s="493"/>
      <c r="M582" s="505" t="str">
        <f ca="1">IFERROR(IF(COUNTIF($B$509:$B581,"&lt;0")&lt;&gt;1,OFFSET($C580,-COUNTIF($B$509:$B581,"&lt;0")+3,0),""),"")</f>
        <v/>
      </c>
      <c r="N582" s="505">
        <f ca="1">IFERROR(IF(COUNTA($D$509:D581)=1,0,OFFSET($F580,-COUNTA($D$509:D581)+3,0)),"")</f>
        <v>1</v>
      </c>
      <c r="O582" s="487"/>
      <c r="P582" s="487">
        <f t="shared" si="104"/>
        <v>71</v>
      </c>
      <c r="Q582" s="487"/>
      <c r="R582" s="487"/>
      <c r="S582" s="487"/>
      <c r="T582" s="493"/>
    </row>
    <row r="583" spans="1:20" x14ac:dyDescent="0.3">
      <c r="A583" s="487" t="b">
        <v>0</v>
      </c>
      <c r="B583" s="487">
        <f t="shared" si="101"/>
        <v>-108</v>
      </c>
      <c r="C583" s="508" t="s">
        <v>7261</v>
      </c>
      <c r="D583" s="487" t="s">
        <v>4947</v>
      </c>
      <c r="E583" s="487">
        <f t="shared" si="102"/>
        <v>6</v>
      </c>
      <c r="F583" s="506">
        <v>12</v>
      </c>
      <c r="G583" s="493"/>
      <c r="H583" s="487">
        <f t="shared" ca="1" si="103"/>
        <v>31</v>
      </c>
      <c r="I583" s="490"/>
      <c r="J583" s="502"/>
      <c r="K583" s="502"/>
      <c r="L583" s="493"/>
      <c r="M583" s="505" t="str">
        <f ca="1">IFERROR(IF(COUNTIF($B$509:$B582,"&lt;0")&lt;&gt;1,OFFSET($C581,-COUNTIF($B$509:$B582,"&lt;0")+3,0),""),"")</f>
        <v/>
      </c>
      <c r="N583" s="505">
        <f ca="1">IFERROR(IF(COUNTA($D$509:D582)=1,0,OFFSET($F581,-COUNTA($D$509:D582)+3,0)),"")</f>
        <v>1</v>
      </c>
      <c r="O583" s="487"/>
      <c r="P583" s="487">
        <f t="shared" si="104"/>
        <v>72</v>
      </c>
      <c r="Q583" s="487"/>
      <c r="R583" s="487"/>
      <c r="S583" s="487"/>
      <c r="T583" s="493"/>
    </row>
    <row r="584" spans="1:20" x14ac:dyDescent="0.3">
      <c r="A584" s="487" t="b">
        <v>0</v>
      </c>
      <c r="B584" s="487">
        <f t="shared" si="101"/>
        <v>-107</v>
      </c>
      <c r="C584" s="508" t="s">
        <v>7262</v>
      </c>
      <c r="D584" s="487" t="s">
        <v>4988</v>
      </c>
      <c r="E584" s="487">
        <f t="shared" si="102"/>
        <v>1</v>
      </c>
      <c r="F584" s="506">
        <v>13</v>
      </c>
      <c r="G584" s="493"/>
      <c r="H584" s="487">
        <f t="shared" ca="1" si="103"/>
        <v>33</v>
      </c>
      <c r="I584" s="490"/>
      <c r="J584" s="502"/>
      <c r="K584" s="502"/>
      <c r="L584" s="493"/>
      <c r="M584" s="505" t="str">
        <f ca="1">IFERROR(IF(COUNTIF($B$509:$B583,"&lt;0")&lt;&gt;1,OFFSET($C582,-COUNTIF($B$509:$B583,"&lt;0")+3,0),""),"")</f>
        <v/>
      </c>
      <c r="N584" s="505">
        <f ca="1">IFERROR(IF(COUNTA($D$509:D583)=1,0,OFFSET($F582,-COUNTA($D$509:D583)+3,0)),"")</f>
        <v>1</v>
      </c>
      <c r="O584" s="487"/>
      <c r="P584" s="487">
        <f t="shared" si="104"/>
        <v>73</v>
      </c>
      <c r="Q584" s="487"/>
      <c r="R584" s="487"/>
      <c r="S584" s="487"/>
      <c r="T584" s="493"/>
    </row>
    <row r="585" spans="1:20" x14ac:dyDescent="0.3">
      <c r="A585" s="487" t="b">
        <v>0</v>
      </c>
      <c r="B585" s="487">
        <f t="shared" si="101"/>
        <v>-106</v>
      </c>
      <c r="C585" s="508" t="s">
        <v>7263</v>
      </c>
      <c r="D585" s="487" t="s">
        <v>4988</v>
      </c>
      <c r="E585" s="487">
        <f t="shared" si="102"/>
        <v>2</v>
      </c>
      <c r="F585" s="506">
        <v>13</v>
      </c>
      <c r="G585" s="493"/>
      <c r="H585" s="487">
        <f t="shared" ca="1" si="103"/>
        <v>33</v>
      </c>
      <c r="I585" s="490"/>
      <c r="J585" s="502"/>
      <c r="K585" s="502"/>
      <c r="L585" s="493"/>
      <c r="M585" s="505" t="str">
        <f ca="1">IFERROR(IF(COUNTIF($B$509:$B584,"&lt;0")&lt;&gt;1,OFFSET($C583,-COUNTIF($B$509:$B584,"&lt;0")+3,0),""),"")</f>
        <v/>
      </c>
      <c r="N585" s="505">
        <f ca="1">IFERROR(IF(COUNTA($D$509:D584)=1,0,OFFSET($F583,-COUNTA($D$509:D584)+3,0)),"")</f>
        <v>1</v>
      </c>
      <c r="O585" s="487"/>
      <c r="P585" s="487">
        <f t="shared" si="104"/>
        <v>74</v>
      </c>
      <c r="Q585" s="487"/>
      <c r="R585" s="487"/>
      <c r="S585" s="487"/>
      <c r="T585" s="493"/>
    </row>
    <row r="586" spans="1:20" x14ac:dyDescent="0.3">
      <c r="A586" s="487" t="b">
        <v>0</v>
      </c>
      <c r="B586" s="487">
        <f t="shared" si="101"/>
        <v>-105</v>
      </c>
      <c r="C586" s="508" t="s">
        <v>7264</v>
      </c>
      <c r="D586" s="487" t="s">
        <v>4988</v>
      </c>
      <c r="E586" s="487">
        <f t="shared" si="102"/>
        <v>3</v>
      </c>
      <c r="F586" s="506">
        <v>13</v>
      </c>
      <c r="G586" s="493"/>
      <c r="H586" s="487">
        <f t="shared" ca="1" si="103"/>
        <v>33</v>
      </c>
      <c r="I586" s="490"/>
      <c r="J586" s="502"/>
      <c r="K586" s="502"/>
      <c r="L586" s="493"/>
      <c r="M586" s="505" t="str">
        <f ca="1">IFERROR(IF(COUNTIF($B$509:$B585,"&lt;0")&lt;&gt;1,OFFSET($C584,-COUNTIF($B$509:$B585,"&lt;0")+3,0),""),"")</f>
        <v/>
      </c>
      <c r="N586" s="505">
        <f ca="1">IFERROR(IF(COUNTA($D$509:D585)=1,0,OFFSET($F584,-COUNTA($D$509:D585)+3,0)),"")</f>
        <v>1</v>
      </c>
      <c r="O586" s="487"/>
      <c r="P586" s="487">
        <f t="shared" si="104"/>
        <v>75</v>
      </c>
      <c r="Q586" s="487"/>
      <c r="R586" s="487"/>
      <c r="S586" s="487"/>
      <c r="T586" s="493"/>
    </row>
    <row r="587" spans="1:20" x14ac:dyDescent="0.3">
      <c r="A587" s="487" t="b">
        <v>0</v>
      </c>
      <c r="B587" s="487">
        <f t="shared" si="101"/>
        <v>-104</v>
      </c>
      <c r="C587" s="508" t="s">
        <v>7265</v>
      </c>
      <c r="D587" s="487" t="s">
        <v>4988</v>
      </c>
      <c r="E587" s="487">
        <f t="shared" si="102"/>
        <v>4</v>
      </c>
      <c r="F587" s="506">
        <v>13</v>
      </c>
      <c r="G587" s="493"/>
      <c r="H587" s="487">
        <f t="shared" ca="1" si="103"/>
        <v>33</v>
      </c>
      <c r="I587" s="490"/>
      <c r="J587" s="502"/>
      <c r="K587" s="502"/>
      <c r="L587" s="493"/>
      <c r="M587" s="505" t="str">
        <f ca="1">IFERROR(IF(COUNTIF($B$509:$B586,"&lt;0")&lt;&gt;1,OFFSET($C585,-COUNTIF($B$509:$B586,"&lt;0")+3,0),""),"")</f>
        <v/>
      </c>
      <c r="N587" s="505">
        <f ca="1">IFERROR(IF(COUNTA($D$509:D586)=1,0,OFFSET($F585,-COUNTA($D$509:D586)+3,0)),"")</f>
        <v>1</v>
      </c>
      <c r="O587" s="487"/>
      <c r="P587" s="487">
        <f t="shared" si="104"/>
        <v>76</v>
      </c>
      <c r="Q587" s="487"/>
      <c r="R587" s="487"/>
      <c r="S587" s="487"/>
      <c r="T587" s="493"/>
    </row>
    <row r="588" spans="1:20" x14ac:dyDescent="0.3">
      <c r="A588" s="487" t="b">
        <v>0</v>
      </c>
      <c r="B588" s="487">
        <f t="shared" si="101"/>
        <v>-103</v>
      </c>
      <c r="C588" s="508" t="s">
        <v>7266</v>
      </c>
      <c r="D588" s="487" t="s">
        <v>4988</v>
      </c>
      <c r="E588" s="487">
        <f t="shared" si="102"/>
        <v>5</v>
      </c>
      <c r="F588" s="506">
        <v>13</v>
      </c>
      <c r="G588" s="493"/>
      <c r="H588" s="487">
        <f t="shared" ca="1" si="103"/>
        <v>33</v>
      </c>
      <c r="I588" s="490"/>
      <c r="J588" s="502"/>
      <c r="K588" s="502"/>
      <c r="L588" s="493"/>
      <c r="M588" s="505" t="str">
        <f ca="1">IFERROR(IF(COUNTIF($B$509:$B587,"&lt;0")&lt;&gt;1,OFFSET($C586,-COUNTIF($B$509:$B587,"&lt;0")+3,0),""),"")</f>
        <v/>
      </c>
      <c r="N588" s="505">
        <f ca="1">IFERROR(IF(COUNTA($D$509:D587)=1,0,OFFSET($F586,-COUNTA($D$509:D587)+3,0)),"")</f>
        <v>1</v>
      </c>
      <c r="O588" s="487"/>
      <c r="P588" s="487">
        <f t="shared" si="104"/>
        <v>77</v>
      </c>
      <c r="Q588" s="487"/>
      <c r="R588" s="487"/>
      <c r="S588" s="487"/>
      <c r="T588" s="493"/>
    </row>
    <row r="589" spans="1:20" x14ac:dyDescent="0.3">
      <c r="A589" s="487" t="b">
        <v>0</v>
      </c>
      <c r="B589" s="487">
        <f t="shared" si="101"/>
        <v>-102</v>
      </c>
      <c r="C589" s="508" t="s">
        <v>7267</v>
      </c>
      <c r="D589" s="487" t="s">
        <v>4988</v>
      </c>
      <c r="E589" s="487">
        <f t="shared" si="102"/>
        <v>6</v>
      </c>
      <c r="F589" s="506">
        <v>13</v>
      </c>
      <c r="G589" s="493"/>
      <c r="H589" s="487">
        <f t="shared" ca="1" si="103"/>
        <v>33</v>
      </c>
      <c r="I589" s="490"/>
      <c r="J589" s="502"/>
      <c r="K589" s="502"/>
      <c r="L589" s="493"/>
      <c r="M589" s="505" t="str">
        <f ca="1">IFERROR(IF(COUNTIF($B$509:$B588,"&lt;0")&lt;&gt;1,OFFSET($C587,-COUNTIF($B$509:$B588,"&lt;0")+3,0),""),"")</f>
        <v/>
      </c>
      <c r="N589" s="505">
        <f ca="1">IFERROR(IF(COUNTA($D$509:D588)=1,0,OFFSET($F587,-COUNTA($D$509:D588)+3,0)),"")</f>
        <v>1</v>
      </c>
      <c r="O589" s="487"/>
      <c r="P589" s="487">
        <f t="shared" si="104"/>
        <v>78</v>
      </c>
      <c r="Q589" s="487"/>
      <c r="R589" s="487"/>
      <c r="S589" s="487"/>
      <c r="T589" s="493"/>
    </row>
    <row r="590" spans="1:20" x14ac:dyDescent="0.3">
      <c r="A590" s="487" t="b">
        <v>0</v>
      </c>
      <c r="B590" s="487">
        <f t="shared" si="101"/>
        <v>-101</v>
      </c>
      <c r="C590" s="508" t="s">
        <v>7268</v>
      </c>
      <c r="D590" s="487" t="s">
        <v>5029</v>
      </c>
      <c r="E590" s="487">
        <f t="shared" si="102"/>
        <v>1</v>
      </c>
      <c r="F590" s="506">
        <v>14</v>
      </c>
      <c r="G590" s="493"/>
      <c r="H590" s="487">
        <f t="shared" ca="1" si="103"/>
        <v>35</v>
      </c>
      <c r="I590" s="490"/>
      <c r="J590" s="502"/>
      <c r="K590" s="502"/>
      <c r="L590" s="493"/>
      <c r="M590" s="505" t="str">
        <f ca="1">IFERROR(IF(COUNTIF($B$509:$B589,"&lt;0")&lt;&gt;1,OFFSET($C588,-COUNTIF($B$509:$B589,"&lt;0")+3,0),""),"")</f>
        <v/>
      </c>
      <c r="N590" s="505">
        <f ca="1">IFERROR(IF(COUNTA($D$509:D589)=1,0,OFFSET($F588,-COUNTA($D$509:D589)+3,0)),"")</f>
        <v>1</v>
      </c>
      <c r="O590" s="487"/>
      <c r="P590" s="487">
        <f t="shared" si="104"/>
        <v>79</v>
      </c>
      <c r="Q590" s="487"/>
      <c r="R590" s="487"/>
      <c r="S590" s="487"/>
      <c r="T590" s="493"/>
    </row>
    <row r="591" spans="1:20" x14ac:dyDescent="0.3">
      <c r="A591" s="487" t="b">
        <v>0</v>
      </c>
      <c r="B591" s="487">
        <f t="shared" si="101"/>
        <v>-100</v>
      </c>
      <c r="C591" s="508" t="s">
        <v>7269</v>
      </c>
      <c r="D591" s="487" t="s">
        <v>5029</v>
      </c>
      <c r="E591" s="487">
        <f t="shared" si="102"/>
        <v>2</v>
      </c>
      <c r="F591" s="506">
        <v>14</v>
      </c>
      <c r="G591" s="493"/>
      <c r="H591" s="487">
        <f t="shared" ca="1" si="103"/>
        <v>35</v>
      </c>
      <c r="I591" s="490"/>
      <c r="J591" s="502"/>
      <c r="K591" s="502"/>
      <c r="L591" s="493"/>
      <c r="M591" s="505" t="str">
        <f ca="1">IFERROR(IF(COUNTIF($B$509:$B590,"&lt;0")&lt;&gt;1,OFFSET($C589,-COUNTIF($B$509:$B590,"&lt;0")+3,0),""),"")</f>
        <v/>
      </c>
      <c r="N591" s="505">
        <f ca="1">IFERROR(IF(COUNTA($D$509:D590)=1,0,OFFSET($F589,-COUNTA($D$509:D590)+3,0)),"")</f>
        <v>1</v>
      </c>
      <c r="O591" s="487"/>
      <c r="P591" s="487">
        <f t="shared" si="104"/>
        <v>80</v>
      </c>
      <c r="Q591" s="487"/>
      <c r="R591" s="487"/>
      <c r="S591" s="487"/>
      <c r="T591" s="493"/>
    </row>
    <row r="592" spans="1:20" x14ac:dyDescent="0.3">
      <c r="A592" s="487" t="b">
        <v>0</v>
      </c>
      <c r="B592" s="487">
        <f t="shared" si="101"/>
        <v>-99</v>
      </c>
      <c r="C592" s="508" t="s">
        <v>7270</v>
      </c>
      <c r="D592" s="487" t="s">
        <v>5029</v>
      </c>
      <c r="E592" s="487">
        <f t="shared" si="102"/>
        <v>3</v>
      </c>
      <c r="F592" s="506">
        <v>14</v>
      </c>
      <c r="G592" s="493"/>
      <c r="H592" s="487">
        <f t="shared" ca="1" si="103"/>
        <v>35</v>
      </c>
      <c r="I592" s="490"/>
      <c r="J592" s="502"/>
      <c r="K592" s="502"/>
      <c r="L592" s="493"/>
      <c r="M592" s="505" t="str">
        <f ca="1">IFERROR(IF(COUNTIF($B$509:$B591,"&lt;0")&lt;&gt;1,OFFSET($C590,-COUNTIF($B$509:$B591,"&lt;0")+3,0),""),"")</f>
        <v/>
      </c>
      <c r="N592" s="505">
        <f ca="1">IFERROR(IF(COUNTA($D$509:D591)=1,0,OFFSET($F590,-COUNTA($D$509:D591)+3,0)),"")</f>
        <v>1</v>
      </c>
      <c r="O592" s="487"/>
      <c r="P592" s="487">
        <f t="shared" si="104"/>
        <v>81</v>
      </c>
      <c r="Q592" s="487"/>
      <c r="R592" s="487"/>
      <c r="S592" s="487"/>
      <c r="T592" s="493"/>
    </row>
    <row r="593" spans="1:20" x14ac:dyDescent="0.3">
      <c r="A593" s="487" t="b">
        <v>0</v>
      </c>
      <c r="B593" s="487">
        <f t="shared" si="101"/>
        <v>-98</v>
      </c>
      <c r="C593" s="508" t="s">
        <v>7271</v>
      </c>
      <c r="D593" s="487" t="s">
        <v>5029</v>
      </c>
      <c r="E593" s="487">
        <f t="shared" si="102"/>
        <v>4</v>
      </c>
      <c r="F593" s="506">
        <v>14</v>
      </c>
      <c r="G593" s="493"/>
      <c r="H593" s="487">
        <f t="shared" ca="1" si="103"/>
        <v>35</v>
      </c>
      <c r="I593" s="490"/>
      <c r="J593" s="502"/>
      <c r="K593" s="502"/>
      <c r="L593" s="493"/>
      <c r="M593" s="505" t="str">
        <f ca="1">IFERROR(IF(COUNTIF($B$509:$B592,"&lt;0")&lt;&gt;1,OFFSET($C591,-COUNTIF($B$509:$B592,"&lt;0")+3,0),""),"")</f>
        <v/>
      </c>
      <c r="N593" s="505">
        <f ca="1">IFERROR(IF(COUNTA($D$509:D592)=1,0,OFFSET($F591,-COUNTA($D$509:D592)+3,0)),"")</f>
        <v>1</v>
      </c>
      <c r="O593" s="487"/>
      <c r="P593" s="487">
        <f t="shared" si="104"/>
        <v>82</v>
      </c>
      <c r="Q593" s="487"/>
      <c r="R593" s="487"/>
      <c r="S593" s="487"/>
      <c r="T593" s="493"/>
    </row>
    <row r="594" spans="1:20" x14ac:dyDescent="0.3">
      <c r="A594" s="487" t="b">
        <v>0</v>
      </c>
      <c r="B594" s="487">
        <f t="shared" si="101"/>
        <v>-97</v>
      </c>
      <c r="C594" s="508" t="s">
        <v>7272</v>
      </c>
      <c r="D594" s="487" t="s">
        <v>5029</v>
      </c>
      <c r="E594" s="487">
        <f t="shared" si="102"/>
        <v>5</v>
      </c>
      <c r="F594" s="506">
        <v>14</v>
      </c>
      <c r="G594" s="493"/>
      <c r="H594" s="487">
        <f t="shared" ca="1" si="103"/>
        <v>35</v>
      </c>
      <c r="I594" s="490"/>
      <c r="J594" s="502"/>
      <c r="K594" s="502"/>
      <c r="L594" s="493"/>
      <c r="M594" s="505" t="str">
        <f ca="1">IFERROR(IF(COUNTIF($B$509:$B593,"&lt;0")&lt;&gt;1,OFFSET($C592,-COUNTIF($B$509:$B593,"&lt;0")+3,0),""),"")</f>
        <v/>
      </c>
      <c r="N594" s="505">
        <f ca="1">IFERROR(IF(COUNTA($D$509:D593)=1,0,OFFSET($F592,-COUNTA($D$509:D593)+3,0)),"")</f>
        <v>1</v>
      </c>
      <c r="O594" s="487"/>
      <c r="P594" s="487">
        <f t="shared" si="104"/>
        <v>83</v>
      </c>
      <c r="Q594" s="487"/>
      <c r="R594" s="487"/>
      <c r="S594" s="487"/>
      <c r="T594" s="493"/>
    </row>
    <row r="595" spans="1:20" x14ac:dyDescent="0.3">
      <c r="A595" s="487" t="b">
        <v>0</v>
      </c>
      <c r="B595" s="487">
        <f t="shared" si="101"/>
        <v>-96</v>
      </c>
      <c r="C595" s="508" t="s">
        <v>7273</v>
      </c>
      <c r="D595" s="487" t="s">
        <v>5029</v>
      </c>
      <c r="E595" s="487">
        <f t="shared" si="102"/>
        <v>6</v>
      </c>
      <c r="F595" s="506">
        <v>14</v>
      </c>
      <c r="G595" s="493"/>
      <c r="H595" s="487">
        <f t="shared" ca="1" si="103"/>
        <v>35</v>
      </c>
      <c r="I595" s="490"/>
      <c r="J595" s="502"/>
      <c r="K595" s="502"/>
      <c r="L595" s="493"/>
      <c r="M595" s="505" t="str">
        <f ca="1">IFERROR(IF(COUNTIF($B$509:$B594,"&lt;0")&lt;&gt;1,OFFSET($C593,-COUNTIF($B$509:$B594,"&lt;0")+3,0),""),"")</f>
        <v/>
      </c>
      <c r="N595" s="505">
        <f ca="1">IFERROR(IF(COUNTA($D$509:D594)=1,0,OFFSET($F593,-COUNTA($D$509:D594)+3,0)),"")</f>
        <v>1</v>
      </c>
      <c r="O595" s="487"/>
      <c r="P595" s="487">
        <f t="shared" si="104"/>
        <v>84</v>
      </c>
      <c r="Q595" s="487"/>
      <c r="R595" s="487"/>
      <c r="S595" s="487"/>
      <c r="T595" s="493"/>
    </row>
    <row r="596" spans="1:20" x14ac:dyDescent="0.3">
      <c r="A596" s="487" t="b">
        <v>0</v>
      </c>
      <c r="B596" s="487">
        <f t="shared" si="101"/>
        <v>-95</v>
      </c>
      <c r="C596" s="508" t="s">
        <v>7274</v>
      </c>
      <c r="D596" s="487" t="s">
        <v>5070</v>
      </c>
      <c r="E596" s="487">
        <f t="shared" si="102"/>
        <v>1</v>
      </c>
      <c r="F596" s="506">
        <v>15</v>
      </c>
      <c r="G596" s="493"/>
      <c r="H596" s="487">
        <f t="shared" ca="1" si="103"/>
        <v>37</v>
      </c>
      <c r="I596" s="490"/>
      <c r="J596" s="502"/>
      <c r="K596" s="502"/>
      <c r="L596" s="493"/>
      <c r="M596" s="505" t="str">
        <f ca="1">IFERROR(IF(COUNTIF($B$509:$B595,"&lt;0")&lt;&gt;1,OFFSET($C594,-COUNTIF($B$509:$B595,"&lt;0")+3,0),""),"")</f>
        <v/>
      </c>
      <c r="N596" s="505">
        <f ca="1">IFERROR(IF(COUNTA($D$509:D595)=1,0,OFFSET($F594,-COUNTA($D$509:D595)+3,0)),"")</f>
        <v>1</v>
      </c>
      <c r="O596" s="487"/>
      <c r="P596" s="487">
        <f t="shared" si="104"/>
        <v>85</v>
      </c>
      <c r="Q596" s="487"/>
      <c r="R596" s="487"/>
      <c r="S596" s="487"/>
      <c r="T596" s="493"/>
    </row>
    <row r="597" spans="1:20" x14ac:dyDescent="0.3">
      <c r="A597" s="487" t="b">
        <v>0</v>
      </c>
      <c r="B597" s="487">
        <f t="shared" si="101"/>
        <v>-94</v>
      </c>
      <c r="C597" s="508" t="s">
        <v>7275</v>
      </c>
      <c r="D597" s="487" t="s">
        <v>5070</v>
      </c>
      <c r="E597" s="487">
        <f t="shared" si="102"/>
        <v>2</v>
      </c>
      <c r="F597" s="506">
        <v>15</v>
      </c>
      <c r="G597" s="493"/>
      <c r="H597" s="487">
        <f t="shared" ca="1" si="103"/>
        <v>37</v>
      </c>
      <c r="I597" s="490"/>
      <c r="J597" s="502"/>
      <c r="K597" s="502"/>
      <c r="L597" s="493"/>
      <c r="M597" s="505" t="str">
        <f ca="1">IFERROR(IF(COUNTIF($B$509:$B596,"&lt;0")&lt;&gt;1,OFFSET($C595,-COUNTIF($B$509:$B596,"&lt;0")+3,0),""),"")</f>
        <v/>
      </c>
      <c r="N597" s="505">
        <f ca="1">IFERROR(IF(COUNTA($D$509:D596)=1,0,OFFSET($F595,-COUNTA($D$509:D596)+3,0)),"")</f>
        <v>1</v>
      </c>
      <c r="O597" s="487"/>
      <c r="P597" s="487">
        <f t="shared" si="104"/>
        <v>86</v>
      </c>
      <c r="Q597" s="487"/>
      <c r="R597" s="487"/>
      <c r="S597" s="487"/>
      <c r="T597" s="493"/>
    </row>
    <row r="598" spans="1:20" x14ac:dyDescent="0.3">
      <c r="A598" s="487" t="b">
        <v>0</v>
      </c>
      <c r="B598" s="487">
        <f t="shared" si="101"/>
        <v>-93</v>
      </c>
      <c r="C598" s="508" t="s">
        <v>7276</v>
      </c>
      <c r="D598" s="487" t="s">
        <v>5070</v>
      </c>
      <c r="E598" s="487">
        <f t="shared" si="102"/>
        <v>3</v>
      </c>
      <c r="F598" s="506">
        <v>15</v>
      </c>
      <c r="G598" s="493"/>
      <c r="H598" s="487">
        <f t="shared" ca="1" si="103"/>
        <v>37</v>
      </c>
      <c r="I598" s="490"/>
      <c r="J598" s="502"/>
      <c r="K598" s="502"/>
      <c r="L598" s="493"/>
      <c r="M598" s="505" t="str">
        <f ca="1">IFERROR(IF(COUNTIF($B$509:$B597,"&lt;0")&lt;&gt;1,OFFSET($C596,-COUNTIF($B$509:$B597,"&lt;0")+3,0),""),"")</f>
        <v/>
      </c>
      <c r="N598" s="505">
        <f ca="1">IFERROR(IF(COUNTA($D$509:D597)=1,0,OFFSET($F596,-COUNTA($D$509:D597)+3,0)),"")</f>
        <v>1</v>
      </c>
      <c r="O598" s="487"/>
      <c r="P598" s="487">
        <f t="shared" si="104"/>
        <v>87</v>
      </c>
      <c r="Q598" s="487"/>
      <c r="R598" s="487"/>
      <c r="S598" s="487"/>
      <c r="T598" s="493"/>
    </row>
    <row r="599" spans="1:20" x14ac:dyDescent="0.3">
      <c r="A599" s="487" t="b">
        <v>0</v>
      </c>
      <c r="B599" s="487">
        <f t="shared" si="101"/>
        <v>-92</v>
      </c>
      <c r="C599" s="508" t="s">
        <v>7277</v>
      </c>
      <c r="D599" s="487" t="s">
        <v>5070</v>
      </c>
      <c r="E599" s="487">
        <f t="shared" si="102"/>
        <v>4</v>
      </c>
      <c r="F599" s="506">
        <v>15</v>
      </c>
      <c r="G599" s="493"/>
      <c r="H599" s="487">
        <f t="shared" ca="1" si="103"/>
        <v>37</v>
      </c>
      <c r="I599" s="490"/>
      <c r="J599" s="502"/>
      <c r="K599" s="502"/>
      <c r="L599" s="493"/>
      <c r="M599" s="505" t="str">
        <f ca="1">IFERROR(IF(COUNTIF($B$509:$B598,"&lt;0")&lt;&gt;1,OFFSET($C597,-COUNTIF($B$509:$B598,"&lt;0")+3,0),""),"")</f>
        <v/>
      </c>
      <c r="N599" s="505">
        <f ca="1">IFERROR(IF(COUNTA($D$509:D598)=1,0,OFFSET($F597,-COUNTA($D$509:D598)+3,0)),"")</f>
        <v>1</v>
      </c>
      <c r="O599" s="487"/>
      <c r="P599" s="487">
        <f t="shared" si="104"/>
        <v>88</v>
      </c>
      <c r="Q599" s="487"/>
      <c r="R599" s="487"/>
      <c r="S599" s="487"/>
      <c r="T599" s="493"/>
    </row>
    <row r="600" spans="1:20" x14ac:dyDescent="0.3">
      <c r="A600" s="487" t="b">
        <v>0</v>
      </c>
      <c r="B600" s="487">
        <f t="shared" si="101"/>
        <v>-91</v>
      </c>
      <c r="C600" s="508" t="s">
        <v>7278</v>
      </c>
      <c r="D600" s="487" t="s">
        <v>5070</v>
      </c>
      <c r="E600" s="487">
        <f t="shared" si="102"/>
        <v>5</v>
      </c>
      <c r="F600" s="506">
        <v>15</v>
      </c>
      <c r="G600" s="493"/>
      <c r="H600" s="487">
        <f t="shared" ca="1" si="103"/>
        <v>37</v>
      </c>
      <c r="I600" s="490"/>
      <c r="J600" s="502"/>
      <c r="K600" s="502"/>
      <c r="L600" s="493"/>
      <c r="M600" s="505" t="str">
        <f ca="1">IFERROR(IF(COUNTIF($B$509:$B599,"&lt;0")&lt;&gt;1,OFFSET($C598,-COUNTIF($B$509:$B599,"&lt;0")+3,0),""),"")</f>
        <v/>
      </c>
      <c r="N600" s="505">
        <f ca="1">IFERROR(IF(COUNTA($D$509:D599)=1,0,OFFSET($F598,-COUNTA($D$509:D599)+3,0)),"")</f>
        <v>1</v>
      </c>
      <c r="O600" s="487"/>
      <c r="P600" s="487">
        <f t="shared" si="104"/>
        <v>89</v>
      </c>
      <c r="Q600" s="487"/>
      <c r="R600" s="487"/>
      <c r="S600" s="487"/>
      <c r="T600" s="493"/>
    </row>
    <row r="601" spans="1:20" x14ac:dyDescent="0.3">
      <c r="A601" s="487" t="b">
        <v>0</v>
      </c>
      <c r="B601" s="487">
        <f t="shared" si="101"/>
        <v>-90</v>
      </c>
      <c r="C601" s="508" t="s">
        <v>7279</v>
      </c>
      <c r="D601" s="487" t="s">
        <v>5070</v>
      </c>
      <c r="E601" s="487">
        <f t="shared" si="102"/>
        <v>6</v>
      </c>
      <c r="F601" s="506">
        <v>15</v>
      </c>
      <c r="G601" s="493"/>
      <c r="H601" s="487">
        <f t="shared" ca="1" si="103"/>
        <v>37</v>
      </c>
      <c r="I601" s="490"/>
      <c r="J601" s="502"/>
      <c r="K601" s="502"/>
      <c r="L601" s="493"/>
      <c r="M601" s="505" t="str">
        <f ca="1">IFERROR(IF(COUNTIF($B$509:$B600,"&lt;0")&lt;&gt;1,OFFSET($C599,-COUNTIF($B$509:$B600,"&lt;0")+3,0),""),"")</f>
        <v/>
      </c>
      <c r="N601" s="505">
        <f ca="1">IFERROR(IF(COUNTA($D$509:D600)=1,0,OFFSET($F599,-COUNTA($D$509:D600)+3,0)),"")</f>
        <v>1</v>
      </c>
      <c r="O601" s="487"/>
      <c r="P601" s="487">
        <f t="shared" si="104"/>
        <v>90</v>
      </c>
      <c r="Q601" s="487"/>
      <c r="R601" s="487"/>
      <c r="S601" s="487"/>
      <c r="T601" s="493"/>
    </row>
    <row r="602" spans="1:20" x14ac:dyDescent="0.3">
      <c r="A602" s="487" t="b">
        <v>0</v>
      </c>
      <c r="B602" s="487">
        <f t="shared" si="101"/>
        <v>-89</v>
      </c>
      <c r="C602" s="508" t="s">
        <v>7280</v>
      </c>
      <c r="D602" s="487" t="s">
        <v>5111</v>
      </c>
      <c r="E602" s="487">
        <f t="shared" si="102"/>
        <v>1</v>
      </c>
      <c r="F602" s="506">
        <v>16</v>
      </c>
      <c r="G602" s="493"/>
      <c r="H602" s="487">
        <f t="shared" ca="1" si="103"/>
        <v>39</v>
      </c>
      <c r="I602" s="490"/>
      <c r="J602" s="502"/>
      <c r="K602" s="502"/>
      <c r="L602" s="493"/>
      <c r="M602" s="505" t="str">
        <f ca="1">IFERROR(IF(COUNTIF($B$509:$B601,"&lt;0")&lt;&gt;1,OFFSET($C600,-COUNTIF($B$509:$B601,"&lt;0")+3,0),""),"")</f>
        <v/>
      </c>
      <c r="N602" s="505">
        <f ca="1">IFERROR(IF(COUNTA($D$509:D601)=1,0,OFFSET($F600,-COUNTA($D$509:D601)+3,0)),"")</f>
        <v>1</v>
      </c>
      <c r="O602" s="487"/>
      <c r="P602" s="487">
        <f t="shared" si="104"/>
        <v>91</v>
      </c>
      <c r="Q602" s="487"/>
      <c r="R602" s="487"/>
      <c r="S602" s="487"/>
      <c r="T602" s="493"/>
    </row>
    <row r="603" spans="1:20" x14ac:dyDescent="0.3">
      <c r="A603" s="487" t="b">
        <v>0</v>
      </c>
      <c r="B603" s="487">
        <f t="shared" si="101"/>
        <v>-88</v>
      </c>
      <c r="C603" s="508" t="s">
        <v>7281</v>
      </c>
      <c r="D603" s="487" t="s">
        <v>5111</v>
      </c>
      <c r="E603" s="487">
        <f t="shared" si="102"/>
        <v>2</v>
      </c>
      <c r="F603" s="506">
        <v>16</v>
      </c>
      <c r="G603" s="493"/>
      <c r="H603" s="487">
        <f t="shared" ca="1" si="103"/>
        <v>39</v>
      </c>
      <c r="I603" s="490"/>
      <c r="J603" s="502"/>
      <c r="K603" s="502"/>
      <c r="L603" s="493"/>
      <c r="M603" s="505" t="str">
        <f ca="1">IFERROR(IF(COUNTIF($B$509:$B602,"&lt;0")&lt;&gt;1,OFFSET($C601,-COUNTIF($B$509:$B602,"&lt;0")+3,0),""),"")</f>
        <v/>
      </c>
      <c r="N603" s="505">
        <f ca="1">IFERROR(IF(COUNTA($D$509:D602)=1,0,OFFSET($F601,-COUNTA($D$509:D602)+3,0)),"")</f>
        <v>1</v>
      </c>
      <c r="O603" s="487"/>
      <c r="P603" s="487">
        <f t="shared" si="104"/>
        <v>92</v>
      </c>
      <c r="Q603" s="487"/>
      <c r="R603" s="487"/>
      <c r="S603" s="487"/>
      <c r="T603" s="493"/>
    </row>
    <row r="604" spans="1:20" x14ac:dyDescent="0.3">
      <c r="A604" s="487" t="b">
        <v>0</v>
      </c>
      <c r="B604" s="487">
        <f t="shared" si="101"/>
        <v>-87</v>
      </c>
      <c r="C604" s="508" t="s">
        <v>7282</v>
      </c>
      <c r="D604" s="487" t="s">
        <v>5111</v>
      </c>
      <c r="E604" s="487">
        <f t="shared" si="102"/>
        <v>3</v>
      </c>
      <c r="F604" s="506">
        <v>16</v>
      </c>
      <c r="G604" s="493"/>
      <c r="H604" s="487">
        <f t="shared" ca="1" si="103"/>
        <v>39</v>
      </c>
      <c r="I604" s="490"/>
      <c r="J604" s="502"/>
      <c r="K604" s="502"/>
      <c r="L604" s="493"/>
      <c r="M604" s="505" t="str">
        <f ca="1">IFERROR(IF(COUNTIF($B$509:$B603,"&lt;0")&lt;&gt;1,OFFSET($C602,-COUNTIF($B$509:$B603,"&lt;0")+3,0),""),"")</f>
        <v/>
      </c>
      <c r="N604" s="505">
        <f ca="1">IFERROR(IF(COUNTA($D$509:D603)=1,0,OFFSET($F602,-COUNTA($D$509:D603)+3,0)),"")</f>
        <v>1</v>
      </c>
      <c r="O604" s="487"/>
      <c r="P604" s="487">
        <f t="shared" si="104"/>
        <v>93</v>
      </c>
      <c r="Q604" s="487"/>
      <c r="R604" s="487"/>
      <c r="S604" s="487"/>
      <c r="T604" s="493"/>
    </row>
    <row r="605" spans="1:20" x14ac:dyDescent="0.3">
      <c r="A605" s="487" t="b">
        <v>0</v>
      </c>
      <c r="B605" s="487">
        <f t="shared" si="101"/>
        <v>-86</v>
      </c>
      <c r="C605" s="508" t="s">
        <v>7283</v>
      </c>
      <c r="D605" s="487" t="s">
        <v>5111</v>
      </c>
      <c r="E605" s="487">
        <f t="shared" si="102"/>
        <v>4</v>
      </c>
      <c r="F605" s="506">
        <v>16</v>
      </c>
      <c r="G605" s="493"/>
      <c r="H605" s="487">
        <f t="shared" ca="1" si="103"/>
        <v>39</v>
      </c>
      <c r="I605" s="490"/>
      <c r="J605" s="502"/>
      <c r="K605" s="502"/>
      <c r="L605" s="493"/>
      <c r="M605" s="505" t="str">
        <f ca="1">IFERROR(IF(COUNTIF($B$509:$B604,"&lt;0")&lt;&gt;1,OFFSET($C603,-COUNTIF($B$509:$B604,"&lt;0")+3,0),""),"")</f>
        <v/>
      </c>
      <c r="N605" s="505">
        <f ca="1">IFERROR(IF(COUNTA($D$509:D604)=1,0,OFFSET($F603,-COUNTA($D$509:D604)+3,0)),"")</f>
        <v>1</v>
      </c>
      <c r="O605" s="487"/>
      <c r="P605" s="487">
        <f t="shared" si="104"/>
        <v>94</v>
      </c>
      <c r="Q605" s="487"/>
      <c r="R605" s="487"/>
      <c r="S605" s="487"/>
      <c r="T605" s="493"/>
    </row>
    <row r="606" spans="1:20" x14ac:dyDescent="0.3">
      <c r="A606" s="487" t="b">
        <v>0</v>
      </c>
      <c r="B606" s="487">
        <f t="shared" si="101"/>
        <v>-85</v>
      </c>
      <c r="C606" s="508" t="s">
        <v>7284</v>
      </c>
      <c r="D606" s="487" t="s">
        <v>5111</v>
      </c>
      <c r="E606" s="487">
        <f t="shared" si="102"/>
        <v>5</v>
      </c>
      <c r="F606" s="506">
        <v>16</v>
      </c>
      <c r="G606" s="493"/>
      <c r="H606" s="487">
        <f t="shared" ca="1" si="103"/>
        <v>39</v>
      </c>
      <c r="I606" s="490"/>
      <c r="J606" s="502"/>
      <c r="K606" s="502"/>
      <c r="L606" s="493"/>
      <c r="M606" s="505" t="str">
        <f ca="1">IFERROR(IF(COUNTIF($B$509:$B605,"&lt;0")&lt;&gt;1,OFFSET($C604,-COUNTIF($B$509:$B605,"&lt;0")+3,0),""),"")</f>
        <v/>
      </c>
      <c r="N606" s="505">
        <f ca="1">IFERROR(IF(COUNTA($D$509:D605)=1,0,OFFSET($F604,-COUNTA($D$509:D605)+3,0)),"")</f>
        <v>1</v>
      </c>
      <c r="O606" s="487"/>
      <c r="P606" s="487">
        <f t="shared" si="104"/>
        <v>95</v>
      </c>
      <c r="Q606" s="487"/>
      <c r="R606" s="487"/>
      <c r="S606" s="487"/>
      <c r="T606" s="493"/>
    </row>
    <row r="607" spans="1:20" x14ac:dyDescent="0.3">
      <c r="A607" s="487" t="b">
        <v>0</v>
      </c>
      <c r="B607" s="487">
        <f t="shared" si="101"/>
        <v>-84</v>
      </c>
      <c r="C607" s="508" t="s">
        <v>7285</v>
      </c>
      <c r="D607" s="487" t="s">
        <v>5111</v>
      </c>
      <c r="E607" s="487">
        <f t="shared" si="102"/>
        <v>6</v>
      </c>
      <c r="F607" s="506">
        <v>16</v>
      </c>
      <c r="G607" s="493"/>
      <c r="H607" s="487">
        <f t="shared" ca="1" si="103"/>
        <v>39</v>
      </c>
      <c r="I607" s="490"/>
      <c r="J607" s="502"/>
      <c r="K607" s="502"/>
      <c r="L607" s="493"/>
      <c r="M607" s="505" t="str">
        <f ca="1">IFERROR(IF(COUNTIF($B$509:$B606,"&lt;0")&lt;&gt;1,OFFSET($C605,-COUNTIF($B$509:$B606,"&lt;0")+3,0),""),"")</f>
        <v/>
      </c>
      <c r="N607" s="505">
        <f ca="1">IFERROR(IF(COUNTA($D$509:D606)=1,0,OFFSET($F605,-COUNTA($D$509:D606)+3,0)),"")</f>
        <v>1</v>
      </c>
      <c r="O607" s="487"/>
      <c r="P607" s="487">
        <f t="shared" si="104"/>
        <v>96</v>
      </c>
      <c r="Q607" s="487"/>
      <c r="R607" s="487"/>
      <c r="S607" s="487"/>
      <c r="T607" s="493"/>
    </row>
    <row r="608" spans="1:20" x14ac:dyDescent="0.3">
      <c r="A608" s="487" t="b">
        <v>0</v>
      </c>
      <c r="B608" s="487">
        <f t="shared" si="101"/>
        <v>-83</v>
      </c>
      <c r="C608" s="508" t="s">
        <v>7286</v>
      </c>
      <c r="D608" s="487" t="s">
        <v>5152</v>
      </c>
      <c r="E608" s="487">
        <f t="shared" si="102"/>
        <v>1</v>
      </c>
      <c r="F608" s="506">
        <v>17</v>
      </c>
      <c r="G608" s="493"/>
      <c r="H608" s="487">
        <f t="shared" ca="1" si="103"/>
        <v>41</v>
      </c>
      <c r="I608" s="490"/>
      <c r="J608" s="502"/>
      <c r="K608" s="502"/>
      <c r="L608" s="493"/>
      <c r="M608" s="505" t="str">
        <f ca="1">IFERROR(IF(COUNTIF($B$509:$B607,"&lt;0")&lt;&gt;1,OFFSET($C606,-COUNTIF($B$509:$B607,"&lt;0")+3,0),""),"")</f>
        <v/>
      </c>
      <c r="N608" s="505">
        <f ca="1">IFERROR(IF(COUNTA($D$509:D607)=1,0,OFFSET($F606,-COUNTA($D$509:D607)+3,0)),"")</f>
        <v>1</v>
      </c>
      <c r="O608" s="487"/>
      <c r="P608" s="487">
        <f t="shared" si="104"/>
        <v>97</v>
      </c>
      <c r="Q608" s="487"/>
      <c r="R608" s="487"/>
      <c r="S608" s="487"/>
      <c r="T608" s="493"/>
    </row>
    <row r="609" spans="1:20" x14ac:dyDescent="0.3">
      <c r="A609" s="487" t="b">
        <v>0</v>
      </c>
      <c r="B609" s="487">
        <f t="shared" si="101"/>
        <v>-82</v>
      </c>
      <c r="C609" s="508" t="s">
        <v>7287</v>
      </c>
      <c r="D609" s="487" t="s">
        <v>5152</v>
      </c>
      <c r="E609" s="487">
        <f t="shared" si="102"/>
        <v>2</v>
      </c>
      <c r="F609" s="506">
        <v>17</v>
      </c>
      <c r="G609" s="493"/>
      <c r="H609" s="487">
        <f t="shared" ca="1" si="103"/>
        <v>41</v>
      </c>
      <c r="I609" s="490"/>
      <c r="J609" s="502"/>
      <c r="K609" s="502"/>
      <c r="L609" s="493"/>
      <c r="M609" s="505" t="str">
        <f ca="1">IFERROR(IF(COUNTIF($B$509:$B608,"&lt;0")&lt;&gt;1,OFFSET($C607,-COUNTIF($B$509:$B608,"&lt;0")+3,0),""),"")</f>
        <v/>
      </c>
      <c r="N609" s="505">
        <f ca="1">IFERROR(IF(COUNTA($D$509:D608)=1,0,OFFSET($F607,-COUNTA($D$509:D608)+3,0)),"")</f>
        <v>1</v>
      </c>
      <c r="O609" s="487"/>
      <c r="P609" s="487">
        <f t="shared" si="104"/>
        <v>98</v>
      </c>
      <c r="Q609" s="487"/>
      <c r="R609" s="487"/>
      <c r="S609" s="487"/>
      <c r="T609" s="493"/>
    </row>
    <row r="610" spans="1:20" x14ac:dyDescent="0.3">
      <c r="A610" s="487" t="b">
        <v>0</v>
      </c>
      <c r="B610" s="487">
        <f t="shared" si="101"/>
        <v>-81</v>
      </c>
      <c r="C610" s="508" t="s">
        <v>7288</v>
      </c>
      <c r="D610" s="487" t="s">
        <v>5152</v>
      </c>
      <c r="E610" s="487">
        <f t="shared" si="102"/>
        <v>3</v>
      </c>
      <c r="F610" s="506">
        <v>17</v>
      </c>
      <c r="G610" s="493"/>
      <c r="H610" s="487">
        <f t="shared" ca="1" si="103"/>
        <v>41</v>
      </c>
      <c r="I610" s="490"/>
      <c r="J610" s="502"/>
      <c r="K610" s="502"/>
      <c r="L610" s="493"/>
      <c r="M610" s="505" t="str">
        <f ca="1">IFERROR(IF(COUNTIF($B$509:$B609,"&lt;0")&lt;&gt;1,OFFSET($C608,-COUNTIF($B$509:$B609,"&lt;0")+3,0),""),"")</f>
        <v/>
      </c>
      <c r="N610" s="505">
        <f ca="1">IFERROR(IF(COUNTA($D$509:D609)=1,0,OFFSET($F608,-COUNTA($D$509:D609)+3,0)),"")</f>
        <v>1</v>
      </c>
      <c r="O610" s="487"/>
      <c r="P610" s="487">
        <f t="shared" si="104"/>
        <v>99</v>
      </c>
      <c r="Q610" s="487"/>
      <c r="R610" s="487"/>
      <c r="S610" s="487"/>
      <c r="T610" s="493"/>
    </row>
    <row r="611" spans="1:20" x14ac:dyDescent="0.3">
      <c r="A611" s="487" t="b">
        <v>0</v>
      </c>
      <c r="B611" s="487">
        <f t="shared" si="101"/>
        <v>-80</v>
      </c>
      <c r="C611" s="508" t="s">
        <v>7289</v>
      </c>
      <c r="D611" s="487" t="s">
        <v>5152</v>
      </c>
      <c r="E611" s="487">
        <f t="shared" si="102"/>
        <v>4</v>
      </c>
      <c r="F611" s="506">
        <v>17</v>
      </c>
      <c r="G611" s="493"/>
      <c r="H611" s="487">
        <f t="shared" ca="1" si="103"/>
        <v>41</v>
      </c>
      <c r="I611" s="490"/>
      <c r="J611" s="502"/>
      <c r="K611" s="502"/>
      <c r="L611" s="493"/>
      <c r="M611" s="505" t="str">
        <f ca="1">IFERROR(IF(COUNTIF($B$509:$B610,"&lt;0")&lt;&gt;1,OFFSET($C609,-COUNTIF($B$509:$B610,"&lt;0")+3,0),""),"")</f>
        <v/>
      </c>
      <c r="N611" s="505">
        <f ca="1">IFERROR(IF(COUNTA($D$509:D610)=1,0,OFFSET($F609,-COUNTA($D$509:D610)+3,0)),"")</f>
        <v>1</v>
      </c>
      <c r="O611" s="487"/>
      <c r="P611" s="487">
        <f t="shared" si="104"/>
        <v>100</v>
      </c>
      <c r="Q611" s="487"/>
      <c r="R611" s="487"/>
      <c r="S611" s="487"/>
      <c r="T611" s="493"/>
    </row>
    <row r="612" spans="1:20" x14ac:dyDescent="0.3">
      <c r="A612" s="487" t="b">
        <v>0</v>
      </c>
      <c r="B612" s="487">
        <f t="shared" si="101"/>
        <v>-79</v>
      </c>
      <c r="C612" s="508" t="s">
        <v>7290</v>
      </c>
      <c r="D612" s="487" t="s">
        <v>5152</v>
      </c>
      <c r="E612" s="487">
        <f t="shared" si="102"/>
        <v>5</v>
      </c>
      <c r="F612" s="506">
        <v>17</v>
      </c>
      <c r="G612" s="493"/>
      <c r="H612" s="487">
        <f t="shared" ca="1" si="103"/>
        <v>41</v>
      </c>
      <c r="I612" s="490"/>
      <c r="J612" s="502"/>
      <c r="K612" s="502"/>
      <c r="L612" s="493"/>
      <c r="M612" s="505" t="str">
        <f ca="1">IFERROR(IF(COUNTIF($B$509:$B611,"&lt;0")&lt;&gt;1,OFFSET($C610,-COUNTIF($B$509:$B611,"&lt;0")+3,0),""),"")</f>
        <v/>
      </c>
      <c r="N612" s="505">
        <f ca="1">IFERROR(IF(COUNTA($D$509:D611)=1,0,OFFSET($F610,-COUNTA($D$509:D611)+3,0)),"")</f>
        <v>1</v>
      </c>
      <c r="O612" s="487"/>
      <c r="P612" s="487">
        <f t="shared" si="104"/>
        <v>101</v>
      </c>
      <c r="Q612" s="487"/>
      <c r="R612" s="487"/>
      <c r="S612" s="487"/>
      <c r="T612" s="493"/>
    </row>
    <row r="613" spans="1:20" x14ac:dyDescent="0.3">
      <c r="A613" s="487" t="b">
        <v>0</v>
      </c>
      <c r="B613" s="487">
        <f t="shared" si="101"/>
        <v>-78</v>
      </c>
      <c r="C613" s="508" t="s">
        <v>7291</v>
      </c>
      <c r="D613" s="487" t="s">
        <v>5152</v>
      </c>
      <c r="E613" s="487">
        <f t="shared" si="102"/>
        <v>6</v>
      </c>
      <c r="F613" s="506">
        <v>17</v>
      </c>
      <c r="G613" s="493"/>
      <c r="H613" s="487">
        <f t="shared" ca="1" si="103"/>
        <v>41</v>
      </c>
      <c r="I613" s="490"/>
      <c r="J613" s="502"/>
      <c r="K613" s="502"/>
      <c r="L613" s="493"/>
      <c r="M613" s="505" t="str">
        <f ca="1">IFERROR(IF(COUNTIF($B$509:$B612,"&lt;0")&lt;&gt;1,OFFSET($C611,-COUNTIF($B$509:$B612,"&lt;0")+3,0),""),"")</f>
        <v/>
      </c>
      <c r="N613" s="505">
        <f ca="1">IFERROR(IF(COUNTA($D$509:D612)=1,0,OFFSET($F611,-COUNTA($D$509:D612)+3,0)),"")</f>
        <v>1</v>
      </c>
      <c r="O613" s="487"/>
      <c r="P613" s="487">
        <f t="shared" si="104"/>
        <v>102</v>
      </c>
      <c r="Q613" s="487"/>
      <c r="R613" s="487"/>
      <c r="S613" s="487"/>
      <c r="T613" s="493"/>
    </row>
    <row r="614" spans="1:20" x14ac:dyDescent="0.3">
      <c r="A614" s="487" t="b">
        <v>0</v>
      </c>
      <c r="B614" s="487">
        <f t="shared" si="101"/>
        <v>-77</v>
      </c>
      <c r="C614" s="508" t="s">
        <v>7292</v>
      </c>
      <c r="D614" s="487" t="s">
        <v>5193</v>
      </c>
      <c r="E614" s="487">
        <f t="shared" si="102"/>
        <v>1</v>
      </c>
      <c r="F614" s="506">
        <v>18</v>
      </c>
      <c r="G614" s="493"/>
      <c r="H614" s="487">
        <f t="shared" ca="1" si="103"/>
        <v>43</v>
      </c>
      <c r="I614" s="490"/>
      <c r="J614" s="502"/>
      <c r="K614" s="502"/>
      <c r="L614" s="493"/>
      <c r="M614" s="505" t="str">
        <f ca="1">IFERROR(IF(COUNTIF($B$509:$B613,"&lt;0")&lt;&gt;1,OFFSET($C612,-COUNTIF($B$509:$B613,"&lt;0")+3,0),""),"")</f>
        <v/>
      </c>
      <c r="N614" s="505">
        <f ca="1">IFERROR(IF(COUNTA($D$509:D613)=1,0,OFFSET($F612,-COUNTA($D$509:D613)+3,0)),"")</f>
        <v>1</v>
      </c>
      <c r="O614" s="487"/>
      <c r="P614" s="487">
        <f t="shared" si="104"/>
        <v>103</v>
      </c>
      <c r="Q614" s="487"/>
      <c r="R614" s="487"/>
      <c r="S614" s="487"/>
      <c r="T614" s="493"/>
    </row>
    <row r="615" spans="1:20" x14ac:dyDescent="0.3">
      <c r="A615" s="487" t="b">
        <v>0</v>
      </c>
      <c r="B615" s="487">
        <f t="shared" si="101"/>
        <v>-76</v>
      </c>
      <c r="C615" s="508" t="s">
        <v>7293</v>
      </c>
      <c r="D615" s="487" t="s">
        <v>5193</v>
      </c>
      <c r="E615" s="487">
        <f t="shared" si="102"/>
        <v>2</v>
      </c>
      <c r="F615" s="506">
        <v>18</v>
      </c>
      <c r="G615" s="493"/>
      <c r="H615" s="487">
        <f t="shared" ca="1" si="103"/>
        <v>43</v>
      </c>
      <c r="I615" s="490"/>
      <c r="J615" s="502"/>
      <c r="K615" s="502"/>
      <c r="L615" s="493"/>
      <c r="M615" s="505" t="str">
        <f ca="1">IFERROR(IF(COUNTIF($B$509:$B614,"&lt;0")&lt;&gt;1,OFFSET($C613,-COUNTIF($B$509:$B614,"&lt;0")+3,0),""),"")</f>
        <v/>
      </c>
      <c r="N615" s="505">
        <f ca="1">IFERROR(IF(COUNTA($D$509:D614)=1,0,OFFSET($F613,-COUNTA($D$509:D614)+3,0)),"")</f>
        <v>1</v>
      </c>
      <c r="O615" s="487"/>
      <c r="P615" s="487">
        <f t="shared" si="104"/>
        <v>104</v>
      </c>
      <c r="Q615" s="487"/>
      <c r="R615" s="487"/>
      <c r="S615" s="487"/>
      <c r="T615" s="493"/>
    </row>
    <row r="616" spans="1:20" x14ac:dyDescent="0.3">
      <c r="A616" s="487" t="b">
        <v>0</v>
      </c>
      <c r="B616" s="487">
        <f t="shared" si="101"/>
        <v>-75</v>
      </c>
      <c r="C616" s="508" t="s">
        <v>7294</v>
      </c>
      <c r="D616" s="487" t="s">
        <v>5193</v>
      </c>
      <c r="E616" s="487">
        <f t="shared" si="102"/>
        <v>3</v>
      </c>
      <c r="F616" s="506">
        <v>18</v>
      </c>
      <c r="G616" s="493"/>
      <c r="H616" s="487">
        <f t="shared" ca="1" si="103"/>
        <v>43</v>
      </c>
      <c r="I616" s="490"/>
      <c r="J616" s="502"/>
      <c r="K616" s="502"/>
      <c r="L616" s="493"/>
      <c r="M616" s="505" t="str">
        <f ca="1">IFERROR(IF(COUNTIF($B$509:$B615,"&lt;0")&lt;&gt;1,OFFSET($C614,-COUNTIF($B$509:$B615,"&lt;0")+3,0),""),"")</f>
        <v/>
      </c>
      <c r="N616" s="505">
        <f ca="1">IFERROR(IF(COUNTA($D$509:D615)=1,0,OFFSET($F614,-COUNTA($D$509:D615)+3,0)),"")</f>
        <v>1</v>
      </c>
      <c r="O616" s="487"/>
      <c r="P616" s="487">
        <f t="shared" si="104"/>
        <v>105</v>
      </c>
      <c r="Q616" s="487"/>
      <c r="R616" s="487"/>
      <c r="S616" s="487"/>
      <c r="T616" s="493"/>
    </row>
    <row r="617" spans="1:20" x14ac:dyDescent="0.3">
      <c r="A617" s="487" t="b">
        <v>0</v>
      </c>
      <c r="B617" s="487">
        <f t="shared" si="101"/>
        <v>-74</v>
      </c>
      <c r="C617" s="508" t="s">
        <v>7295</v>
      </c>
      <c r="D617" s="487" t="s">
        <v>5193</v>
      </c>
      <c r="E617" s="487">
        <f t="shared" si="102"/>
        <v>4</v>
      </c>
      <c r="F617" s="506">
        <v>18</v>
      </c>
      <c r="G617" s="493"/>
      <c r="H617" s="487">
        <f t="shared" ca="1" si="103"/>
        <v>43</v>
      </c>
      <c r="I617" s="490"/>
      <c r="J617" s="502"/>
      <c r="K617" s="502"/>
      <c r="L617" s="493"/>
      <c r="M617" s="505" t="str">
        <f ca="1">IFERROR(IF(COUNTIF($B$509:$B616,"&lt;0")&lt;&gt;1,OFFSET($C615,-COUNTIF($B$509:$B616,"&lt;0")+3,0),""),"")</f>
        <v/>
      </c>
      <c r="N617" s="505">
        <f ca="1">IFERROR(IF(COUNTA($D$509:D616)=1,0,OFFSET($F615,-COUNTA($D$509:D616)+3,0)),"")</f>
        <v>1</v>
      </c>
      <c r="O617" s="487"/>
      <c r="P617" s="487">
        <f t="shared" si="104"/>
        <v>106</v>
      </c>
      <c r="Q617" s="487"/>
      <c r="R617" s="487"/>
      <c r="S617" s="487"/>
      <c r="T617" s="493"/>
    </row>
    <row r="618" spans="1:20" x14ac:dyDescent="0.3">
      <c r="A618" s="487" t="b">
        <v>0</v>
      </c>
      <c r="B618" s="487">
        <f t="shared" si="101"/>
        <v>-73</v>
      </c>
      <c r="C618" s="508" t="s">
        <v>7296</v>
      </c>
      <c r="D618" s="487" t="s">
        <v>5193</v>
      </c>
      <c r="E618" s="487">
        <f t="shared" si="102"/>
        <v>5</v>
      </c>
      <c r="F618" s="506">
        <v>18</v>
      </c>
      <c r="G618" s="493"/>
      <c r="H618" s="487">
        <f t="shared" ca="1" si="103"/>
        <v>43</v>
      </c>
      <c r="I618" s="490"/>
      <c r="J618" s="502"/>
      <c r="K618" s="502"/>
      <c r="L618" s="493"/>
      <c r="M618" s="505" t="str">
        <f ca="1">IFERROR(IF(COUNTIF($B$509:$B617,"&lt;0")&lt;&gt;1,OFFSET($C616,-COUNTIF($B$509:$B617,"&lt;0")+3,0),""),"")</f>
        <v/>
      </c>
      <c r="N618" s="505">
        <f ca="1">IFERROR(IF(COUNTA($D$509:D617)=1,0,OFFSET($F616,-COUNTA($D$509:D617)+3,0)),"")</f>
        <v>1</v>
      </c>
      <c r="O618" s="487"/>
      <c r="P618" s="487">
        <f t="shared" si="104"/>
        <v>107</v>
      </c>
      <c r="Q618" s="487"/>
      <c r="R618" s="487"/>
      <c r="S618" s="487"/>
      <c r="T618" s="493"/>
    </row>
    <row r="619" spans="1:20" x14ac:dyDescent="0.3">
      <c r="A619" s="487" t="b">
        <v>0</v>
      </c>
      <c r="B619" s="487">
        <f t="shared" si="101"/>
        <v>-72</v>
      </c>
      <c r="C619" s="508" t="s">
        <v>7297</v>
      </c>
      <c r="D619" s="487" t="s">
        <v>5193</v>
      </c>
      <c r="E619" s="487">
        <f t="shared" si="102"/>
        <v>6</v>
      </c>
      <c r="F619" s="506">
        <v>18</v>
      </c>
      <c r="G619" s="493"/>
      <c r="H619" s="487">
        <f t="shared" ca="1" si="103"/>
        <v>43</v>
      </c>
      <c r="I619" s="490"/>
      <c r="J619" s="502"/>
      <c r="K619" s="502"/>
      <c r="L619" s="493"/>
      <c r="M619" s="505" t="str">
        <f ca="1">IFERROR(IF(COUNTIF($B$509:$B618,"&lt;0")&lt;&gt;1,OFFSET($C617,-COUNTIF($B$509:$B618,"&lt;0")+3,0),""),"")</f>
        <v/>
      </c>
      <c r="N619" s="505">
        <f ca="1">IFERROR(IF(COUNTA($D$509:D618)=1,0,OFFSET($F617,-COUNTA($D$509:D618)+3,0)),"")</f>
        <v>1</v>
      </c>
      <c r="O619" s="487"/>
      <c r="P619" s="487">
        <f t="shared" si="104"/>
        <v>108</v>
      </c>
      <c r="Q619" s="487"/>
      <c r="R619" s="487"/>
      <c r="S619" s="487"/>
      <c r="T619" s="493"/>
    </row>
    <row r="620" spans="1:20" x14ac:dyDescent="0.3">
      <c r="A620" s="487" t="b">
        <v>0</v>
      </c>
      <c r="B620" s="487">
        <f t="shared" si="101"/>
        <v>-71</v>
      </c>
      <c r="C620" s="508" t="s">
        <v>7298</v>
      </c>
      <c r="D620" s="487" t="s">
        <v>5234</v>
      </c>
      <c r="E620" s="487">
        <f t="shared" si="102"/>
        <v>1</v>
      </c>
      <c r="F620" s="506">
        <v>19</v>
      </c>
      <c r="G620" s="493"/>
      <c r="H620" s="487">
        <f t="shared" ca="1" si="103"/>
        <v>45</v>
      </c>
      <c r="I620" s="490"/>
      <c r="J620" s="502"/>
      <c r="K620" s="502"/>
      <c r="L620" s="493"/>
      <c r="M620" s="505" t="str">
        <f ca="1">IFERROR(IF(COUNTIF($B$509:$B619,"&lt;0")&lt;&gt;1,OFFSET($C618,-COUNTIF($B$509:$B619,"&lt;0")+3,0),""),"")</f>
        <v/>
      </c>
      <c r="N620" s="505">
        <f ca="1">IFERROR(IF(COUNTA($D$509:D619)=1,0,OFFSET($F618,-COUNTA($D$509:D619)+3,0)),"")</f>
        <v>1</v>
      </c>
      <c r="O620" s="487"/>
      <c r="P620" s="487">
        <f t="shared" si="104"/>
        <v>109</v>
      </c>
      <c r="Q620" s="487"/>
      <c r="R620" s="487"/>
      <c r="S620" s="487"/>
      <c r="T620" s="493"/>
    </row>
    <row r="621" spans="1:20" x14ac:dyDescent="0.3">
      <c r="A621" s="487" t="b">
        <v>0</v>
      </c>
      <c r="B621" s="487">
        <f t="shared" si="101"/>
        <v>-70</v>
      </c>
      <c r="C621" s="508" t="s">
        <v>7299</v>
      </c>
      <c r="D621" s="487" t="s">
        <v>5234</v>
      </c>
      <c r="E621" s="487">
        <f t="shared" si="102"/>
        <v>2</v>
      </c>
      <c r="F621" s="506">
        <v>19</v>
      </c>
      <c r="G621" s="493"/>
      <c r="H621" s="487">
        <f t="shared" ca="1" si="103"/>
        <v>45</v>
      </c>
      <c r="I621" s="490"/>
      <c r="J621" s="502"/>
      <c r="K621" s="502"/>
      <c r="L621" s="493"/>
      <c r="M621" s="505" t="str">
        <f ca="1">IFERROR(IF(COUNTIF($B$509:$B620,"&lt;0")&lt;&gt;1,OFFSET($C619,-COUNTIF($B$509:$B620,"&lt;0")+3,0),""),"")</f>
        <v/>
      </c>
      <c r="N621" s="505">
        <f ca="1">IFERROR(IF(COUNTA($D$509:D620)=1,0,OFFSET($F619,-COUNTA($D$509:D620)+3,0)),"")</f>
        <v>1</v>
      </c>
      <c r="O621" s="487"/>
      <c r="P621" s="487">
        <f t="shared" si="104"/>
        <v>110</v>
      </c>
      <c r="Q621" s="487"/>
      <c r="R621" s="487"/>
      <c r="S621" s="487"/>
      <c r="T621" s="493"/>
    </row>
    <row r="622" spans="1:20" x14ac:dyDescent="0.3">
      <c r="A622" s="487" t="b">
        <v>0</v>
      </c>
      <c r="B622" s="487">
        <f t="shared" si="101"/>
        <v>-69</v>
      </c>
      <c r="C622" s="508" t="s">
        <v>7300</v>
      </c>
      <c r="D622" s="487" t="s">
        <v>5234</v>
      </c>
      <c r="E622" s="487">
        <f t="shared" si="102"/>
        <v>3</v>
      </c>
      <c r="F622" s="506">
        <v>19</v>
      </c>
      <c r="G622" s="493"/>
      <c r="H622" s="487">
        <f t="shared" ca="1" si="103"/>
        <v>45</v>
      </c>
      <c r="I622" s="490"/>
      <c r="J622" s="502"/>
      <c r="K622" s="502"/>
      <c r="L622" s="493"/>
      <c r="M622" s="505" t="str">
        <f ca="1">IFERROR(IF(COUNTIF($B$509:$B621,"&lt;0")&lt;&gt;1,OFFSET($C620,-COUNTIF($B$509:$B621,"&lt;0")+3,0),""),"")</f>
        <v/>
      </c>
      <c r="N622" s="505">
        <f ca="1">IFERROR(IF(COUNTA($D$509:D621)=1,0,OFFSET($F620,-COUNTA($D$509:D621)+3,0)),"")</f>
        <v>1</v>
      </c>
      <c r="O622" s="487"/>
      <c r="P622" s="487">
        <f t="shared" si="104"/>
        <v>111</v>
      </c>
      <c r="Q622" s="487"/>
      <c r="R622" s="487"/>
      <c r="S622" s="487"/>
      <c r="T622" s="493"/>
    </row>
    <row r="623" spans="1:20" x14ac:dyDescent="0.3">
      <c r="A623" s="487" t="b">
        <v>0</v>
      </c>
      <c r="B623" s="487">
        <f t="shared" si="101"/>
        <v>-68</v>
      </c>
      <c r="C623" s="508" t="s">
        <v>7301</v>
      </c>
      <c r="D623" s="487" t="s">
        <v>5234</v>
      </c>
      <c r="E623" s="487">
        <f t="shared" si="102"/>
        <v>4</v>
      </c>
      <c r="F623" s="506">
        <v>19</v>
      </c>
      <c r="G623" s="493"/>
      <c r="H623" s="487">
        <f t="shared" ca="1" si="103"/>
        <v>45</v>
      </c>
      <c r="I623" s="490"/>
      <c r="J623" s="502"/>
      <c r="K623" s="502"/>
      <c r="L623" s="493"/>
      <c r="M623" s="505" t="str">
        <f ca="1">IFERROR(IF(COUNTIF($B$509:$B622,"&lt;0")&lt;&gt;1,OFFSET($C621,-COUNTIF($B$509:$B622,"&lt;0")+3,0),""),"")</f>
        <v/>
      </c>
      <c r="N623" s="505">
        <f ca="1">IFERROR(IF(COUNTA($D$509:D622)=1,0,OFFSET($F621,-COUNTA($D$509:D622)+3,0)),"")</f>
        <v>1</v>
      </c>
      <c r="O623" s="487"/>
      <c r="P623" s="487">
        <f t="shared" si="104"/>
        <v>112</v>
      </c>
      <c r="Q623" s="487"/>
      <c r="R623" s="487"/>
      <c r="S623" s="487"/>
      <c r="T623" s="493"/>
    </row>
    <row r="624" spans="1:20" x14ac:dyDescent="0.3">
      <c r="A624" s="487" t="b">
        <v>0</v>
      </c>
      <c r="B624" s="487">
        <f t="shared" si="101"/>
        <v>-67</v>
      </c>
      <c r="C624" s="508" t="s">
        <v>7302</v>
      </c>
      <c r="D624" s="487" t="s">
        <v>5234</v>
      </c>
      <c r="E624" s="487">
        <f t="shared" si="102"/>
        <v>5</v>
      </c>
      <c r="F624" s="506">
        <v>19</v>
      </c>
      <c r="G624" s="493"/>
      <c r="H624" s="487">
        <f t="shared" ca="1" si="103"/>
        <v>45</v>
      </c>
      <c r="I624" s="490"/>
      <c r="J624" s="502"/>
      <c r="K624" s="502"/>
      <c r="L624" s="493"/>
      <c r="M624" s="505" t="str">
        <f ca="1">IFERROR(IF(COUNTIF($B$509:$B623,"&lt;0")&lt;&gt;1,OFFSET($C622,-COUNTIF($B$509:$B623,"&lt;0")+3,0),""),"")</f>
        <v/>
      </c>
      <c r="N624" s="505">
        <f ca="1">IFERROR(IF(COUNTA($D$509:D623)=1,0,OFFSET($F622,-COUNTA($D$509:D623)+3,0)),"")</f>
        <v>1</v>
      </c>
      <c r="O624" s="487"/>
      <c r="P624" s="487">
        <f t="shared" si="104"/>
        <v>113</v>
      </c>
      <c r="Q624" s="487"/>
      <c r="R624" s="487"/>
      <c r="S624" s="487"/>
      <c r="T624" s="493"/>
    </row>
    <row r="625" spans="1:20" x14ac:dyDescent="0.3">
      <c r="A625" s="487" t="b">
        <v>0</v>
      </c>
      <c r="B625" s="487">
        <f t="shared" si="101"/>
        <v>-66</v>
      </c>
      <c r="C625" s="508" t="s">
        <v>7303</v>
      </c>
      <c r="D625" s="487" t="s">
        <v>5234</v>
      </c>
      <c r="E625" s="487">
        <f t="shared" si="102"/>
        <v>6</v>
      </c>
      <c r="F625" s="506">
        <v>19</v>
      </c>
      <c r="G625" s="493"/>
      <c r="H625" s="487">
        <f t="shared" ca="1" si="103"/>
        <v>45</v>
      </c>
      <c r="I625" s="490"/>
      <c r="J625" s="502"/>
      <c r="K625" s="502"/>
      <c r="L625" s="493"/>
      <c r="M625" s="505" t="str">
        <f ca="1">IFERROR(IF(COUNTIF($B$509:$B624,"&lt;0")&lt;&gt;1,OFFSET($C623,-COUNTIF($B$509:$B624,"&lt;0")+3,0),""),"")</f>
        <v/>
      </c>
      <c r="N625" s="505">
        <f ca="1">IFERROR(IF(COUNTA($D$509:D624)=1,0,OFFSET($F623,-COUNTA($D$509:D624)+3,0)),"")</f>
        <v>1</v>
      </c>
      <c r="O625" s="487"/>
      <c r="P625" s="487">
        <f t="shared" si="104"/>
        <v>114</v>
      </c>
      <c r="Q625" s="487"/>
      <c r="R625" s="487"/>
      <c r="S625" s="487"/>
      <c r="T625" s="493"/>
    </row>
    <row r="626" spans="1:20" x14ac:dyDescent="0.3">
      <c r="A626" s="487" t="b">
        <v>0</v>
      </c>
      <c r="B626" s="487">
        <f t="shared" si="101"/>
        <v>-65</v>
      </c>
      <c r="C626" s="508" t="s">
        <v>7304</v>
      </c>
      <c r="D626" s="487" t="s">
        <v>5275</v>
      </c>
      <c r="E626" s="487">
        <f t="shared" si="102"/>
        <v>1</v>
      </c>
      <c r="F626" s="506">
        <v>20</v>
      </c>
      <c r="G626" s="493"/>
      <c r="H626" s="487">
        <f t="shared" ca="1" si="103"/>
        <v>47</v>
      </c>
      <c r="I626" s="490"/>
      <c r="J626" s="502"/>
      <c r="K626" s="502"/>
      <c r="L626" s="493"/>
      <c r="M626" s="505" t="str">
        <f ca="1">IFERROR(IF(COUNTIF($B$509:$B625,"&lt;0")&lt;&gt;1,OFFSET($C624,-COUNTIF($B$509:$B625,"&lt;0")+3,0),""),"")</f>
        <v/>
      </c>
      <c r="N626" s="505">
        <f ca="1">IFERROR(IF(COUNTA($D$509:D625)=1,0,OFFSET($F624,-COUNTA($D$509:D625)+3,0)),"")</f>
        <v>1</v>
      </c>
      <c r="O626" s="487"/>
      <c r="P626" s="487">
        <f t="shared" si="104"/>
        <v>115</v>
      </c>
      <c r="Q626" s="487"/>
      <c r="R626" s="487"/>
      <c r="S626" s="487"/>
      <c r="T626" s="493"/>
    </row>
    <row r="627" spans="1:20" x14ac:dyDescent="0.3">
      <c r="A627" s="487" t="b">
        <v>0</v>
      </c>
      <c r="B627" s="487">
        <f t="shared" si="101"/>
        <v>-64</v>
      </c>
      <c r="C627" s="508" t="s">
        <v>7305</v>
      </c>
      <c r="D627" s="487" t="s">
        <v>5275</v>
      </c>
      <c r="E627" s="487">
        <f t="shared" si="102"/>
        <v>2</v>
      </c>
      <c r="F627" s="506">
        <v>20</v>
      </c>
      <c r="G627" s="493"/>
      <c r="H627" s="487">
        <f t="shared" ca="1" si="103"/>
        <v>47</v>
      </c>
      <c r="I627" s="490"/>
      <c r="J627" s="502"/>
      <c r="K627" s="502"/>
      <c r="L627" s="493"/>
      <c r="M627" s="505" t="str">
        <f ca="1">IFERROR(IF(COUNTIF($B$509:$B626,"&lt;0")&lt;&gt;1,OFFSET($C625,-COUNTIF($B$509:$B626,"&lt;0")+3,0),""),"")</f>
        <v/>
      </c>
      <c r="N627" s="505">
        <f ca="1">IFERROR(IF(COUNTA($D$509:D626)=1,0,OFFSET($F625,-COUNTA($D$509:D626)+3,0)),"")</f>
        <v>1</v>
      </c>
      <c r="O627" s="487"/>
      <c r="P627" s="487">
        <f t="shared" si="104"/>
        <v>116</v>
      </c>
      <c r="Q627" s="487"/>
      <c r="R627" s="487"/>
      <c r="S627" s="487"/>
      <c r="T627" s="493"/>
    </row>
    <row r="628" spans="1:20" x14ac:dyDescent="0.3">
      <c r="A628" s="487" t="b">
        <v>0</v>
      </c>
      <c r="B628" s="487">
        <f t="shared" si="101"/>
        <v>-63</v>
      </c>
      <c r="C628" s="508" t="s">
        <v>7306</v>
      </c>
      <c r="D628" s="487" t="s">
        <v>5275</v>
      </c>
      <c r="E628" s="487">
        <f t="shared" si="102"/>
        <v>3</v>
      </c>
      <c r="F628" s="506">
        <v>20</v>
      </c>
      <c r="G628" s="493"/>
      <c r="H628" s="487">
        <f t="shared" ca="1" si="103"/>
        <v>47</v>
      </c>
      <c r="I628" s="490"/>
      <c r="J628" s="502"/>
      <c r="K628" s="502"/>
      <c r="L628" s="493"/>
      <c r="M628" s="505" t="str">
        <f ca="1">IFERROR(IF(COUNTIF($B$509:$B627,"&lt;0")&lt;&gt;1,OFFSET($C626,-COUNTIF($B$509:$B627,"&lt;0")+3,0),""),"")</f>
        <v/>
      </c>
      <c r="N628" s="505">
        <f ca="1">IFERROR(IF(COUNTA($D$509:D627)=1,0,OFFSET($F626,-COUNTA($D$509:D627)+3,0)),"")</f>
        <v>1</v>
      </c>
      <c r="O628" s="487"/>
      <c r="P628" s="487">
        <f t="shared" si="104"/>
        <v>117</v>
      </c>
      <c r="Q628" s="487"/>
      <c r="R628" s="487"/>
      <c r="S628" s="487"/>
      <c r="T628" s="493"/>
    </row>
    <row r="629" spans="1:20" x14ac:dyDescent="0.3">
      <c r="A629" s="487" t="b">
        <v>0</v>
      </c>
      <c r="B629" s="487">
        <f t="shared" si="101"/>
        <v>-62</v>
      </c>
      <c r="C629" s="508" t="s">
        <v>7307</v>
      </c>
      <c r="D629" s="487" t="s">
        <v>5275</v>
      </c>
      <c r="E629" s="487">
        <f t="shared" si="102"/>
        <v>4</v>
      </c>
      <c r="F629" s="506">
        <v>20</v>
      </c>
      <c r="G629" s="493"/>
      <c r="H629" s="487">
        <f t="shared" ca="1" si="103"/>
        <v>47</v>
      </c>
      <c r="I629" s="490"/>
      <c r="J629" s="502"/>
      <c r="K629" s="502"/>
      <c r="L629" s="493"/>
      <c r="M629" s="505" t="str">
        <f ca="1">IFERROR(IF(COUNTIF($B$509:$B628,"&lt;0")&lt;&gt;1,OFFSET($C627,-COUNTIF($B$509:$B628,"&lt;0")+3,0),""),"")</f>
        <v/>
      </c>
      <c r="N629" s="505">
        <f ca="1">IFERROR(IF(COUNTA($D$509:D628)=1,0,OFFSET($F627,-COUNTA($D$509:D628)+3,0)),"")</f>
        <v>1</v>
      </c>
      <c r="O629" s="487"/>
      <c r="P629" s="487">
        <f t="shared" si="104"/>
        <v>118</v>
      </c>
      <c r="Q629" s="487"/>
      <c r="R629" s="487"/>
      <c r="S629" s="487"/>
      <c r="T629" s="493"/>
    </row>
    <row r="630" spans="1:20" x14ac:dyDescent="0.3">
      <c r="A630" s="487" t="b">
        <v>0</v>
      </c>
      <c r="B630" s="487">
        <f t="shared" si="101"/>
        <v>-61</v>
      </c>
      <c r="C630" s="508" t="s">
        <v>7308</v>
      </c>
      <c r="D630" s="487" t="s">
        <v>5275</v>
      </c>
      <c r="E630" s="487">
        <f t="shared" si="102"/>
        <v>5</v>
      </c>
      <c r="F630" s="506">
        <v>20</v>
      </c>
      <c r="G630" s="493"/>
      <c r="H630" s="487">
        <f t="shared" ca="1" si="103"/>
        <v>47</v>
      </c>
      <c r="I630" s="490"/>
      <c r="J630" s="502"/>
      <c r="K630" s="502"/>
      <c r="L630" s="493"/>
      <c r="M630" s="505" t="str">
        <f ca="1">IFERROR(IF(COUNTIF($B$509:$B629,"&lt;0")&lt;&gt;1,OFFSET($C628,-COUNTIF($B$509:$B629,"&lt;0")+3,0),""),"")</f>
        <v/>
      </c>
      <c r="N630" s="505">
        <f ca="1">IFERROR(IF(COUNTA($D$509:D629)=1,0,OFFSET($F628,-COUNTA($D$509:D629)+3,0)),"")</f>
        <v>1</v>
      </c>
      <c r="O630" s="487"/>
      <c r="P630" s="487">
        <f t="shared" si="104"/>
        <v>119</v>
      </c>
      <c r="Q630" s="487"/>
      <c r="R630" s="487"/>
      <c r="S630" s="487"/>
      <c r="T630" s="493"/>
    </row>
    <row r="631" spans="1:20" x14ac:dyDescent="0.3">
      <c r="A631" s="487" t="b">
        <v>0</v>
      </c>
      <c r="B631" s="487">
        <f t="shared" si="101"/>
        <v>-60</v>
      </c>
      <c r="C631" s="508" t="s">
        <v>7309</v>
      </c>
      <c r="D631" s="487" t="s">
        <v>5275</v>
      </c>
      <c r="E631" s="487">
        <f t="shared" si="102"/>
        <v>6</v>
      </c>
      <c r="F631" s="506">
        <v>20</v>
      </c>
      <c r="G631" s="493"/>
      <c r="H631" s="487">
        <f t="shared" ca="1" si="103"/>
        <v>47</v>
      </c>
      <c r="I631" s="490"/>
      <c r="J631" s="502"/>
      <c r="K631" s="502"/>
      <c r="L631" s="493"/>
      <c r="M631" s="505" t="str">
        <f ca="1">IFERROR(IF(COUNTIF($B$509:$B630,"&lt;0")&lt;&gt;1,OFFSET($C629,-COUNTIF($B$509:$B630,"&lt;0")+3,0),""),"")</f>
        <v/>
      </c>
      <c r="N631" s="505">
        <f ca="1">IFERROR(IF(COUNTA($D$509:D630)=1,0,OFFSET($F629,-COUNTA($D$509:D630)+3,0)),"")</f>
        <v>1</v>
      </c>
      <c r="O631" s="487"/>
      <c r="P631" s="487">
        <f t="shared" si="104"/>
        <v>120</v>
      </c>
      <c r="Q631" s="487"/>
      <c r="R631" s="487"/>
      <c r="S631" s="487"/>
      <c r="T631" s="493"/>
    </row>
    <row r="632" spans="1:20" x14ac:dyDescent="0.3">
      <c r="A632" s="487" t="b">
        <v>0</v>
      </c>
      <c r="B632" s="487">
        <f t="shared" si="101"/>
        <v>-59</v>
      </c>
      <c r="C632" s="508" t="s">
        <v>7310</v>
      </c>
      <c r="D632" s="487" t="s">
        <v>5316</v>
      </c>
      <c r="E632" s="487">
        <f t="shared" si="102"/>
        <v>1</v>
      </c>
      <c r="F632" s="506">
        <v>21</v>
      </c>
      <c r="G632" s="493"/>
      <c r="H632" s="487">
        <f t="shared" ca="1" si="103"/>
        <v>49</v>
      </c>
      <c r="I632" s="490"/>
      <c r="J632" s="502"/>
      <c r="K632" s="502"/>
      <c r="L632" s="493"/>
      <c r="M632" s="505" t="str">
        <f ca="1">IFERROR(IF(COUNTIF($B$509:$B631,"&lt;0")&lt;&gt;1,OFFSET($C630,-COUNTIF($B$509:$B631,"&lt;0")+3,0),""),"")</f>
        <v/>
      </c>
      <c r="N632" s="505">
        <f ca="1">IFERROR(IF(COUNTA($D$509:D631)=1,0,OFFSET($F630,-COUNTA($D$509:D631)+3,0)),"")</f>
        <v>1</v>
      </c>
      <c r="O632" s="487"/>
      <c r="P632" s="487">
        <f t="shared" si="104"/>
        <v>121</v>
      </c>
      <c r="Q632" s="487"/>
      <c r="R632" s="487"/>
      <c r="S632" s="487"/>
      <c r="T632" s="493"/>
    </row>
    <row r="633" spans="1:20" x14ac:dyDescent="0.3">
      <c r="A633" s="487" t="b">
        <v>0</v>
      </c>
      <c r="B633" s="487">
        <f t="shared" si="101"/>
        <v>-58</v>
      </c>
      <c r="C633" s="508" t="s">
        <v>7311</v>
      </c>
      <c r="D633" s="487" t="s">
        <v>5316</v>
      </c>
      <c r="E633" s="487">
        <f t="shared" si="102"/>
        <v>2</v>
      </c>
      <c r="F633" s="506">
        <v>21</v>
      </c>
      <c r="G633" s="493"/>
      <c r="H633" s="487">
        <f t="shared" ca="1" si="103"/>
        <v>49</v>
      </c>
      <c r="I633" s="490"/>
      <c r="J633" s="502"/>
      <c r="K633" s="502"/>
      <c r="L633" s="493"/>
      <c r="M633" s="505" t="str">
        <f ca="1">IFERROR(IF(COUNTIF($B$509:$B632,"&lt;0")&lt;&gt;1,OFFSET($C631,-COUNTIF($B$509:$B632,"&lt;0")+3,0),""),"")</f>
        <v/>
      </c>
      <c r="N633" s="505">
        <f ca="1">IFERROR(IF(COUNTA($D$509:D632)=1,0,OFFSET($F631,-COUNTA($D$509:D632)+3,0)),"")</f>
        <v>1</v>
      </c>
      <c r="O633" s="487"/>
      <c r="P633" s="487">
        <f t="shared" si="104"/>
        <v>122</v>
      </c>
      <c r="Q633" s="487"/>
      <c r="R633" s="487"/>
      <c r="S633" s="487"/>
      <c r="T633" s="493"/>
    </row>
    <row r="634" spans="1:20" x14ac:dyDescent="0.3">
      <c r="A634" s="487" t="b">
        <v>0</v>
      </c>
      <c r="B634" s="487">
        <f t="shared" si="101"/>
        <v>-57</v>
      </c>
      <c r="C634" s="508" t="s">
        <v>7312</v>
      </c>
      <c r="D634" s="487" t="s">
        <v>5316</v>
      </c>
      <c r="E634" s="487">
        <f t="shared" si="102"/>
        <v>3</v>
      </c>
      <c r="F634" s="506">
        <v>21</v>
      </c>
      <c r="G634" s="493"/>
      <c r="H634" s="487">
        <f t="shared" ca="1" si="103"/>
        <v>49</v>
      </c>
      <c r="I634" s="490"/>
      <c r="J634" s="502"/>
      <c r="K634" s="502"/>
      <c r="L634" s="493"/>
      <c r="M634" s="505" t="str">
        <f ca="1">IFERROR(IF(COUNTIF($B$509:$B633,"&lt;0")&lt;&gt;1,OFFSET($C632,-COUNTIF($B$509:$B633,"&lt;0")+3,0),""),"")</f>
        <v/>
      </c>
      <c r="N634" s="505">
        <f ca="1">IFERROR(IF(COUNTA($D$509:D633)=1,0,OFFSET($F632,-COUNTA($D$509:D633)+3,0)),"")</f>
        <v>1</v>
      </c>
      <c r="O634" s="487"/>
      <c r="P634" s="487">
        <f t="shared" si="104"/>
        <v>123</v>
      </c>
      <c r="Q634" s="487"/>
      <c r="R634" s="487"/>
      <c r="S634" s="487"/>
      <c r="T634" s="493"/>
    </row>
    <row r="635" spans="1:20" x14ac:dyDescent="0.3">
      <c r="A635" s="487" t="b">
        <v>0</v>
      </c>
      <c r="B635" s="487">
        <f t="shared" si="101"/>
        <v>-56</v>
      </c>
      <c r="C635" s="508" t="s">
        <v>7313</v>
      </c>
      <c r="D635" s="487" t="s">
        <v>5316</v>
      </c>
      <c r="E635" s="487">
        <f t="shared" si="102"/>
        <v>4</v>
      </c>
      <c r="F635" s="506">
        <v>21</v>
      </c>
      <c r="G635" s="493"/>
      <c r="H635" s="487">
        <f t="shared" ca="1" si="103"/>
        <v>49</v>
      </c>
      <c r="I635" s="490"/>
      <c r="J635" s="502"/>
      <c r="K635" s="502"/>
      <c r="L635" s="493"/>
      <c r="M635" s="505" t="str">
        <f ca="1">IFERROR(IF(COUNTIF($B$509:$B634,"&lt;0")&lt;&gt;1,OFFSET($C633,-COUNTIF($B$509:$B634,"&lt;0")+3,0),""),"")</f>
        <v/>
      </c>
      <c r="N635" s="505">
        <f ca="1">IFERROR(IF(COUNTA($D$509:D634)=1,0,OFFSET($F633,-COUNTA($D$509:D634)+3,0)),"")</f>
        <v>1</v>
      </c>
      <c r="O635" s="487"/>
      <c r="P635" s="487">
        <f t="shared" si="104"/>
        <v>124</v>
      </c>
      <c r="Q635" s="487"/>
      <c r="R635" s="487"/>
      <c r="S635" s="487"/>
      <c r="T635" s="493"/>
    </row>
    <row r="636" spans="1:20" x14ac:dyDescent="0.3">
      <c r="A636" s="487" t="b">
        <v>0</v>
      </c>
      <c r="B636" s="487">
        <f t="shared" si="101"/>
        <v>-55</v>
      </c>
      <c r="C636" s="508" t="s">
        <v>7314</v>
      </c>
      <c r="D636" s="487" t="s">
        <v>5316</v>
      </c>
      <c r="E636" s="487">
        <f t="shared" si="102"/>
        <v>5</v>
      </c>
      <c r="F636" s="506">
        <v>21</v>
      </c>
      <c r="G636" s="493"/>
      <c r="H636" s="487">
        <f t="shared" ca="1" si="103"/>
        <v>49</v>
      </c>
      <c r="I636" s="490"/>
      <c r="J636" s="502"/>
      <c r="K636" s="502"/>
      <c r="L636" s="493"/>
      <c r="M636" s="505" t="str">
        <f ca="1">IFERROR(IF(COUNTIF($B$509:$B635,"&lt;0")&lt;&gt;1,OFFSET($C634,-COUNTIF($B$509:$B635,"&lt;0")+3,0),""),"")</f>
        <v/>
      </c>
      <c r="N636" s="505">
        <f ca="1">IFERROR(IF(COUNTA($D$509:D635)=1,0,OFFSET($F634,-COUNTA($D$509:D635)+3,0)),"")</f>
        <v>1</v>
      </c>
      <c r="O636" s="487"/>
      <c r="P636" s="487">
        <f t="shared" si="104"/>
        <v>125</v>
      </c>
      <c r="Q636" s="487"/>
      <c r="R636" s="487"/>
      <c r="S636" s="487"/>
      <c r="T636" s="493"/>
    </row>
    <row r="637" spans="1:20" x14ac:dyDescent="0.3">
      <c r="A637" s="487" t="b">
        <v>0</v>
      </c>
      <c r="B637" s="487">
        <f t="shared" si="101"/>
        <v>-54</v>
      </c>
      <c r="C637" s="508" t="s">
        <v>7315</v>
      </c>
      <c r="D637" s="487" t="s">
        <v>5316</v>
      </c>
      <c r="E637" s="487">
        <f t="shared" si="102"/>
        <v>6</v>
      </c>
      <c r="F637" s="506">
        <v>21</v>
      </c>
      <c r="G637" s="493"/>
      <c r="H637" s="487">
        <f t="shared" ca="1" si="103"/>
        <v>49</v>
      </c>
      <c r="I637" s="490"/>
      <c r="J637" s="502"/>
      <c r="K637" s="502"/>
      <c r="L637" s="493"/>
      <c r="M637" s="505" t="str">
        <f ca="1">IFERROR(IF(COUNTIF($B$509:$B636,"&lt;0")&lt;&gt;1,OFFSET($C635,-COUNTIF($B$509:$B636,"&lt;0")+3,0),""),"")</f>
        <v/>
      </c>
      <c r="N637" s="505">
        <f ca="1">IFERROR(IF(COUNTA($D$509:D636)=1,0,OFFSET($F635,-COUNTA($D$509:D636)+3,0)),"")</f>
        <v>1</v>
      </c>
      <c r="O637" s="487"/>
      <c r="P637" s="487">
        <f t="shared" si="104"/>
        <v>126</v>
      </c>
      <c r="Q637" s="487"/>
      <c r="R637" s="487"/>
      <c r="S637" s="487"/>
      <c r="T637" s="493"/>
    </row>
    <row r="638" spans="1:20" x14ac:dyDescent="0.3">
      <c r="A638" s="487" t="b">
        <v>0</v>
      </c>
      <c r="B638" s="487">
        <f t="shared" si="101"/>
        <v>-53</v>
      </c>
      <c r="C638" s="508" t="s">
        <v>7316</v>
      </c>
      <c r="D638" s="487" t="s">
        <v>5357</v>
      </c>
      <c r="E638" s="487">
        <f t="shared" si="102"/>
        <v>1</v>
      </c>
      <c r="F638" s="506">
        <v>22</v>
      </c>
      <c r="G638" s="493"/>
      <c r="H638" s="487">
        <f t="shared" ca="1" si="103"/>
        <v>51</v>
      </c>
      <c r="I638" s="490"/>
      <c r="J638" s="502"/>
      <c r="K638" s="502"/>
      <c r="L638" s="493"/>
      <c r="M638" s="505" t="str">
        <f ca="1">IFERROR(IF(COUNTIF($B$509:$B637,"&lt;0")&lt;&gt;1,OFFSET($C636,-COUNTIF($B$509:$B637,"&lt;0")+3,0),""),"")</f>
        <v/>
      </c>
      <c r="N638" s="505">
        <f ca="1">IFERROR(IF(COUNTA($D$509:D637)=1,0,OFFSET($F636,-COUNTA($D$509:D637)+3,0)),"")</f>
        <v>1</v>
      </c>
      <c r="O638" s="487"/>
      <c r="P638" s="487">
        <f t="shared" si="104"/>
        <v>127</v>
      </c>
      <c r="Q638" s="487"/>
      <c r="R638" s="487"/>
      <c r="S638" s="487"/>
      <c r="T638" s="493"/>
    </row>
    <row r="639" spans="1:20" x14ac:dyDescent="0.3">
      <c r="A639" s="487" t="b">
        <v>0</v>
      </c>
      <c r="B639" s="487">
        <f t="shared" si="101"/>
        <v>-52</v>
      </c>
      <c r="C639" s="508" t="s">
        <v>7317</v>
      </c>
      <c r="D639" s="487" t="s">
        <v>5357</v>
      </c>
      <c r="E639" s="487">
        <f t="shared" si="102"/>
        <v>2</v>
      </c>
      <c r="F639" s="506">
        <v>22</v>
      </c>
      <c r="G639" s="493"/>
      <c r="H639" s="487">
        <f t="shared" ca="1" si="103"/>
        <v>51</v>
      </c>
      <c r="I639" s="490"/>
      <c r="J639" s="502"/>
      <c r="K639" s="502"/>
      <c r="L639" s="493"/>
      <c r="M639" s="505" t="str">
        <f ca="1">IFERROR(IF(COUNTIF($B$509:$B638,"&lt;0")&lt;&gt;1,OFFSET($C637,-COUNTIF($B$509:$B638,"&lt;0")+3,0),""),"")</f>
        <v/>
      </c>
      <c r="N639" s="505">
        <f ca="1">IFERROR(IF(COUNTA($D$509:D638)=1,0,OFFSET($F637,-COUNTA($D$509:D638)+3,0)),"")</f>
        <v>1</v>
      </c>
      <c r="O639" s="487"/>
      <c r="P639" s="487">
        <f t="shared" si="104"/>
        <v>128</v>
      </c>
      <c r="Q639" s="487"/>
      <c r="R639" s="487"/>
      <c r="S639" s="487"/>
      <c r="T639" s="493"/>
    </row>
    <row r="640" spans="1:20" x14ac:dyDescent="0.3">
      <c r="A640" s="487" t="b">
        <v>0</v>
      </c>
      <c r="B640" s="487">
        <f t="shared" ref="B640:B703" si="105">B639+1</f>
        <v>-51</v>
      </c>
      <c r="C640" s="508" t="s">
        <v>7318</v>
      </c>
      <c r="D640" s="487" t="s">
        <v>5357</v>
      </c>
      <c r="E640" s="487">
        <f t="shared" ref="E640:E703" si="106">COUNTIF(F573:F640,F640)</f>
        <v>3</v>
      </c>
      <c r="F640" s="506">
        <v>22</v>
      </c>
      <c r="G640" s="493"/>
      <c r="H640" s="487">
        <f t="shared" ref="H640:H703" ca="1" si="107">IF(F640=1,9,IF(E639=MAX(E638:E640),H638+2,H639))</f>
        <v>51</v>
      </c>
      <c r="I640" s="490"/>
      <c r="J640" s="502"/>
      <c r="K640" s="502"/>
      <c r="L640" s="493"/>
      <c r="M640" s="505" t="str">
        <f ca="1">IFERROR(IF(COUNTIF($B$509:$B639,"&lt;0")&lt;&gt;1,OFFSET($C638,-COUNTIF($B$509:$B639,"&lt;0")+3,0),""),"")</f>
        <v/>
      </c>
      <c r="N640" s="505">
        <f ca="1">IFERROR(IF(COUNTA($D$509:D639)=1,0,OFFSET($F638,-COUNTA($D$509:D639)+3,0)),"")</f>
        <v>1</v>
      </c>
      <c r="O640" s="487"/>
      <c r="P640" s="487">
        <f t="shared" ref="P640:P703" si="108">IF(NOT(_xlfn.ISFORMULA(I640)),P639+1,0)</f>
        <v>129</v>
      </c>
      <c r="Q640" s="487"/>
      <c r="R640" s="487"/>
      <c r="S640" s="487"/>
      <c r="T640" s="493"/>
    </row>
    <row r="641" spans="1:20" x14ac:dyDescent="0.3">
      <c r="A641" s="487" t="b">
        <v>0</v>
      </c>
      <c r="B641" s="487">
        <f t="shared" si="105"/>
        <v>-50</v>
      </c>
      <c r="C641" s="508" t="s">
        <v>7319</v>
      </c>
      <c r="D641" s="487" t="s">
        <v>5357</v>
      </c>
      <c r="E641" s="487">
        <f t="shared" si="106"/>
        <v>4</v>
      </c>
      <c r="F641" s="506">
        <v>22</v>
      </c>
      <c r="G641" s="493"/>
      <c r="H641" s="487">
        <f t="shared" ca="1" si="107"/>
        <v>51</v>
      </c>
      <c r="I641" s="490"/>
      <c r="J641" s="502"/>
      <c r="K641" s="502"/>
      <c r="L641" s="493"/>
      <c r="M641" s="505" t="str">
        <f ca="1">IFERROR(IF(COUNTIF($B$509:$B640,"&lt;0")&lt;&gt;1,OFFSET($C639,-COUNTIF($B$509:$B640,"&lt;0")+3,0),""),"")</f>
        <v/>
      </c>
      <c r="N641" s="505">
        <f ca="1">IFERROR(IF(COUNTA($D$509:D640)=1,0,OFFSET($F639,-COUNTA($D$509:D640)+3,0)),"")</f>
        <v>1</v>
      </c>
      <c r="O641" s="487"/>
      <c r="P641" s="487">
        <f t="shared" si="108"/>
        <v>130</v>
      </c>
      <c r="Q641" s="487"/>
      <c r="R641" s="487"/>
      <c r="S641" s="487"/>
      <c r="T641" s="493"/>
    </row>
    <row r="642" spans="1:20" x14ac:dyDescent="0.3">
      <c r="A642" s="487" t="b">
        <v>0</v>
      </c>
      <c r="B642" s="487">
        <f t="shared" si="105"/>
        <v>-49</v>
      </c>
      <c r="C642" s="508" t="s">
        <v>7320</v>
      </c>
      <c r="D642" s="487" t="s">
        <v>5357</v>
      </c>
      <c r="E642" s="487">
        <f t="shared" si="106"/>
        <v>5</v>
      </c>
      <c r="F642" s="506">
        <v>22</v>
      </c>
      <c r="G642" s="493"/>
      <c r="H642" s="487">
        <f t="shared" ca="1" si="107"/>
        <v>51</v>
      </c>
      <c r="I642" s="490"/>
      <c r="J642" s="502"/>
      <c r="K642" s="502"/>
      <c r="L642" s="493"/>
      <c r="M642" s="505" t="str">
        <f ca="1">IFERROR(IF(COUNTIF($B$509:$B641,"&lt;0")&lt;&gt;1,OFFSET($C640,-COUNTIF($B$509:$B641,"&lt;0")+3,0),""),"")</f>
        <v/>
      </c>
      <c r="N642" s="505">
        <f ca="1">IFERROR(IF(COUNTA($D$509:D641)=1,0,OFFSET($F640,-COUNTA($D$509:D641)+3,0)),"")</f>
        <v>1</v>
      </c>
      <c r="O642" s="487"/>
      <c r="P642" s="487">
        <f t="shared" si="108"/>
        <v>131</v>
      </c>
      <c r="Q642" s="487"/>
      <c r="R642" s="487"/>
      <c r="S642" s="487"/>
      <c r="T642" s="493"/>
    </row>
    <row r="643" spans="1:20" x14ac:dyDescent="0.3">
      <c r="A643" s="487" t="b">
        <v>0</v>
      </c>
      <c r="B643" s="487">
        <f t="shared" si="105"/>
        <v>-48</v>
      </c>
      <c r="C643" s="508" t="s">
        <v>7321</v>
      </c>
      <c r="D643" s="487" t="s">
        <v>5357</v>
      </c>
      <c r="E643" s="487">
        <f t="shared" si="106"/>
        <v>6</v>
      </c>
      <c r="F643" s="506">
        <v>22</v>
      </c>
      <c r="G643" s="493"/>
      <c r="H643" s="487">
        <f t="shared" ca="1" si="107"/>
        <v>51</v>
      </c>
      <c r="I643" s="490"/>
      <c r="J643" s="502"/>
      <c r="K643" s="502"/>
      <c r="L643" s="493"/>
      <c r="M643" s="505" t="str">
        <f ca="1">IFERROR(IF(COUNTIF($B$509:$B642,"&lt;0")&lt;&gt;1,OFFSET($C641,-COUNTIF($B$509:$B642,"&lt;0")+3,0),""),"")</f>
        <v/>
      </c>
      <c r="N643" s="505">
        <f ca="1">IFERROR(IF(COUNTA($D$509:D642)=1,0,OFFSET($F641,-COUNTA($D$509:D642)+3,0)),"")</f>
        <v>1</v>
      </c>
      <c r="O643" s="487"/>
      <c r="P643" s="487">
        <f t="shared" si="108"/>
        <v>132</v>
      </c>
      <c r="Q643" s="487"/>
      <c r="R643" s="487"/>
      <c r="S643" s="487"/>
      <c r="T643" s="493"/>
    </row>
    <row r="644" spans="1:20" x14ac:dyDescent="0.3">
      <c r="A644" s="487" t="b">
        <v>0</v>
      </c>
      <c r="B644" s="487">
        <f t="shared" si="105"/>
        <v>-47</v>
      </c>
      <c r="C644" s="508" t="s">
        <v>7322</v>
      </c>
      <c r="D644" s="487" t="s">
        <v>5398</v>
      </c>
      <c r="E644" s="487">
        <f t="shared" si="106"/>
        <v>1</v>
      </c>
      <c r="F644" s="506">
        <v>23</v>
      </c>
      <c r="G644" s="493"/>
      <c r="H644" s="487">
        <f t="shared" ca="1" si="107"/>
        <v>53</v>
      </c>
      <c r="I644" s="490"/>
      <c r="J644" s="502"/>
      <c r="K644" s="502"/>
      <c r="L644" s="493"/>
      <c r="M644" s="505" t="str">
        <f ca="1">IFERROR(IF(COUNTIF($B$509:$B643,"&lt;0")&lt;&gt;1,OFFSET($C642,-COUNTIF($B$509:$B643,"&lt;0")+3,0),""),"")</f>
        <v/>
      </c>
      <c r="N644" s="505">
        <f ca="1">IFERROR(IF(COUNTA($D$509:D643)=1,0,OFFSET($F642,-COUNTA($D$509:D643)+3,0)),"")</f>
        <v>1</v>
      </c>
      <c r="O644" s="487"/>
      <c r="P644" s="487">
        <f t="shared" si="108"/>
        <v>133</v>
      </c>
      <c r="Q644" s="487"/>
      <c r="R644" s="487"/>
      <c r="S644" s="487"/>
      <c r="T644" s="493"/>
    </row>
    <row r="645" spans="1:20" x14ac:dyDescent="0.3">
      <c r="A645" s="487" t="b">
        <v>0</v>
      </c>
      <c r="B645" s="487">
        <f t="shared" si="105"/>
        <v>-46</v>
      </c>
      <c r="C645" s="508" t="s">
        <v>7323</v>
      </c>
      <c r="D645" s="487" t="s">
        <v>5398</v>
      </c>
      <c r="E645" s="487">
        <f t="shared" si="106"/>
        <v>2</v>
      </c>
      <c r="F645" s="506">
        <v>23</v>
      </c>
      <c r="G645" s="493"/>
      <c r="H645" s="487">
        <f t="shared" ca="1" si="107"/>
        <v>53</v>
      </c>
      <c r="I645" s="490"/>
      <c r="J645" s="502"/>
      <c r="K645" s="502"/>
      <c r="L645" s="493"/>
      <c r="M645" s="505" t="str">
        <f ca="1">IFERROR(IF(COUNTIF($B$509:$B644,"&lt;0")&lt;&gt;1,OFFSET($C643,-COUNTIF($B$509:$B644,"&lt;0")+3,0),""),"")</f>
        <v/>
      </c>
      <c r="N645" s="505">
        <f ca="1">IFERROR(IF(COUNTA($D$509:D644)=1,0,OFFSET($F643,-COUNTA($D$509:D644)+3,0)),"")</f>
        <v>1</v>
      </c>
      <c r="O645" s="487"/>
      <c r="P645" s="487">
        <f t="shared" si="108"/>
        <v>134</v>
      </c>
      <c r="Q645" s="487"/>
      <c r="R645" s="487"/>
      <c r="S645" s="487"/>
      <c r="T645" s="493"/>
    </row>
    <row r="646" spans="1:20" x14ac:dyDescent="0.3">
      <c r="A646" s="487" t="b">
        <v>0</v>
      </c>
      <c r="B646" s="487">
        <f t="shared" si="105"/>
        <v>-45</v>
      </c>
      <c r="C646" s="508" t="s">
        <v>7324</v>
      </c>
      <c r="D646" s="487" t="s">
        <v>5398</v>
      </c>
      <c r="E646" s="487">
        <f t="shared" si="106"/>
        <v>3</v>
      </c>
      <c r="F646" s="506">
        <v>23</v>
      </c>
      <c r="G646" s="493"/>
      <c r="H646" s="487">
        <f t="shared" ca="1" si="107"/>
        <v>53</v>
      </c>
      <c r="I646" s="490"/>
      <c r="J646" s="502"/>
      <c r="K646" s="502"/>
      <c r="L646" s="493"/>
      <c r="M646" s="505" t="str">
        <f ca="1">IFERROR(IF(COUNTIF($B$509:$B645,"&lt;0")&lt;&gt;1,OFFSET($C644,-COUNTIF($B$509:$B645,"&lt;0")+3,0),""),"")</f>
        <v/>
      </c>
      <c r="N646" s="505">
        <f ca="1">IFERROR(IF(COUNTA($D$509:D645)=1,0,OFFSET($F644,-COUNTA($D$509:D645)+3,0)),"")</f>
        <v>1</v>
      </c>
      <c r="O646" s="487"/>
      <c r="P646" s="487">
        <f t="shared" si="108"/>
        <v>135</v>
      </c>
      <c r="Q646" s="487"/>
      <c r="R646" s="487"/>
      <c r="S646" s="487"/>
      <c r="T646" s="493"/>
    </row>
    <row r="647" spans="1:20" x14ac:dyDescent="0.3">
      <c r="A647" s="487" t="b">
        <v>0</v>
      </c>
      <c r="B647" s="487">
        <f t="shared" si="105"/>
        <v>-44</v>
      </c>
      <c r="C647" s="508" t="s">
        <v>7325</v>
      </c>
      <c r="D647" s="487" t="s">
        <v>5398</v>
      </c>
      <c r="E647" s="487">
        <f t="shared" si="106"/>
        <v>4</v>
      </c>
      <c r="F647" s="506">
        <v>23</v>
      </c>
      <c r="G647" s="493"/>
      <c r="H647" s="487">
        <f t="shared" ca="1" si="107"/>
        <v>53</v>
      </c>
      <c r="I647" s="490"/>
      <c r="J647" s="502"/>
      <c r="K647" s="502"/>
      <c r="L647" s="493"/>
      <c r="M647" s="505" t="str">
        <f ca="1">IFERROR(IF(COUNTIF($B$509:$B646,"&lt;0")&lt;&gt;1,OFFSET($C645,-COUNTIF($B$509:$B646,"&lt;0")+3,0),""),"")</f>
        <v/>
      </c>
      <c r="N647" s="505">
        <f ca="1">IFERROR(IF(COUNTA($D$509:D646)=1,0,OFFSET($F645,-COUNTA($D$509:D646)+3,0)),"")</f>
        <v>1</v>
      </c>
      <c r="O647" s="487"/>
      <c r="P647" s="487">
        <f t="shared" si="108"/>
        <v>136</v>
      </c>
      <c r="Q647" s="487"/>
      <c r="R647" s="487"/>
      <c r="S647" s="487"/>
      <c r="T647" s="493"/>
    </row>
    <row r="648" spans="1:20" x14ac:dyDescent="0.3">
      <c r="A648" s="487" t="b">
        <v>0</v>
      </c>
      <c r="B648" s="487">
        <f t="shared" si="105"/>
        <v>-43</v>
      </c>
      <c r="C648" s="508" t="s">
        <v>7326</v>
      </c>
      <c r="D648" s="487" t="s">
        <v>5398</v>
      </c>
      <c r="E648" s="487">
        <f t="shared" si="106"/>
        <v>5</v>
      </c>
      <c r="F648" s="506">
        <v>23</v>
      </c>
      <c r="G648" s="493"/>
      <c r="H648" s="487">
        <f t="shared" ca="1" si="107"/>
        <v>53</v>
      </c>
      <c r="I648" s="490"/>
      <c r="J648" s="502"/>
      <c r="K648" s="502"/>
      <c r="L648" s="493"/>
      <c r="M648" s="505" t="str">
        <f ca="1">IFERROR(IF(COUNTIF($B$509:$B647,"&lt;0")&lt;&gt;1,OFFSET($C646,-COUNTIF($B$509:$B647,"&lt;0")+3,0),""),"")</f>
        <v/>
      </c>
      <c r="N648" s="505">
        <f ca="1">IFERROR(IF(COUNTA($D$509:D647)=1,0,OFFSET($F646,-COUNTA($D$509:D647)+3,0)),"")</f>
        <v>1</v>
      </c>
      <c r="O648" s="487"/>
      <c r="P648" s="487">
        <f t="shared" si="108"/>
        <v>137</v>
      </c>
      <c r="Q648" s="487"/>
      <c r="R648" s="487"/>
      <c r="S648" s="487"/>
      <c r="T648" s="493"/>
    </row>
    <row r="649" spans="1:20" x14ac:dyDescent="0.3">
      <c r="A649" s="487" t="b">
        <v>0</v>
      </c>
      <c r="B649" s="487">
        <f t="shared" si="105"/>
        <v>-42</v>
      </c>
      <c r="C649" s="508" t="s">
        <v>7327</v>
      </c>
      <c r="D649" s="487" t="s">
        <v>5398</v>
      </c>
      <c r="E649" s="487">
        <f t="shared" si="106"/>
        <v>6</v>
      </c>
      <c r="F649" s="506">
        <v>23</v>
      </c>
      <c r="G649" s="493"/>
      <c r="H649" s="487">
        <f t="shared" ca="1" si="107"/>
        <v>53</v>
      </c>
      <c r="I649" s="490"/>
      <c r="J649" s="502"/>
      <c r="K649" s="502"/>
      <c r="L649" s="493"/>
      <c r="M649" s="505" t="str">
        <f ca="1">IFERROR(IF(COUNTIF($B$509:$B648,"&lt;0")&lt;&gt;1,OFFSET($C647,-COUNTIF($B$509:$B648,"&lt;0")+3,0),""),"")</f>
        <v/>
      </c>
      <c r="N649" s="505">
        <f ca="1">IFERROR(IF(COUNTA($D$509:D648)=1,0,OFFSET($F647,-COUNTA($D$509:D648)+3,0)),"")</f>
        <v>1</v>
      </c>
      <c r="O649" s="487"/>
      <c r="P649" s="487">
        <f t="shared" si="108"/>
        <v>138</v>
      </c>
      <c r="Q649" s="487"/>
      <c r="R649" s="487"/>
      <c r="S649" s="487"/>
      <c r="T649" s="493"/>
    </row>
    <row r="650" spans="1:20" x14ac:dyDescent="0.3">
      <c r="A650" s="487" t="b">
        <v>0</v>
      </c>
      <c r="B650" s="487">
        <f t="shared" si="105"/>
        <v>-41</v>
      </c>
      <c r="C650" s="508" t="s">
        <v>7328</v>
      </c>
      <c r="D650" s="487" t="s">
        <v>5439</v>
      </c>
      <c r="E650" s="487">
        <f t="shared" si="106"/>
        <v>1</v>
      </c>
      <c r="F650" s="506">
        <v>24</v>
      </c>
      <c r="G650" s="493"/>
      <c r="H650" s="487">
        <f t="shared" ca="1" si="107"/>
        <v>55</v>
      </c>
      <c r="I650" s="490"/>
      <c r="J650" s="502"/>
      <c r="K650" s="502"/>
      <c r="L650" s="493"/>
      <c r="M650" s="505" t="str">
        <f ca="1">IFERROR(IF(COUNTIF($B$509:$B649,"&lt;0")&lt;&gt;1,OFFSET($C648,-COUNTIF($B$509:$B649,"&lt;0")+3,0),""),"")</f>
        <v/>
      </c>
      <c r="N650" s="505">
        <f ca="1">IFERROR(IF(COUNTA($D$509:D649)=1,0,OFFSET($F648,-COUNTA($D$509:D649)+3,0)),"")</f>
        <v>1</v>
      </c>
      <c r="O650" s="487"/>
      <c r="P650" s="487">
        <f t="shared" si="108"/>
        <v>139</v>
      </c>
      <c r="Q650" s="487"/>
      <c r="R650" s="487"/>
      <c r="S650" s="487"/>
      <c r="T650" s="493"/>
    </row>
    <row r="651" spans="1:20" x14ac:dyDescent="0.3">
      <c r="A651" s="487" t="b">
        <v>0</v>
      </c>
      <c r="B651" s="487">
        <f t="shared" si="105"/>
        <v>-40</v>
      </c>
      <c r="C651" s="508" t="s">
        <v>7329</v>
      </c>
      <c r="D651" s="487" t="s">
        <v>5439</v>
      </c>
      <c r="E651" s="487">
        <f t="shared" si="106"/>
        <v>2</v>
      </c>
      <c r="F651" s="506">
        <v>24</v>
      </c>
      <c r="G651" s="493"/>
      <c r="H651" s="487">
        <f t="shared" ca="1" si="107"/>
        <v>55</v>
      </c>
      <c r="I651" s="490"/>
      <c r="J651" s="502"/>
      <c r="K651" s="502"/>
      <c r="L651" s="493"/>
      <c r="M651" s="505" t="str">
        <f ca="1">IFERROR(IF(COUNTIF($B$509:$B650,"&lt;0")&lt;&gt;1,OFFSET($C649,-COUNTIF($B$509:$B650,"&lt;0")+3,0),""),"")</f>
        <v/>
      </c>
      <c r="N651" s="505">
        <f ca="1">IFERROR(IF(COUNTA($D$509:D650)=1,0,OFFSET($F649,-COUNTA($D$509:D650)+3,0)),"")</f>
        <v>1</v>
      </c>
      <c r="O651" s="487"/>
      <c r="P651" s="487">
        <f t="shared" si="108"/>
        <v>140</v>
      </c>
      <c r="Q651" s="487"/>
      <c r="R651" s="487"/>
      <c r="S651" s="487"/>
      <c r="T651" s="493"/>
    </row>
    <row r="652" spans="1:20" x14ac:dyDescent="0.3">
      <c r="A652" s="487" t="b">
        <v>0</v>
      </c>
      <c r="B652" s="487">
        <f t="shared" si="105"/>
        <v>-39</v>
      </c>
      <c r="C652" s="508" t="s">
        <v>7330</v>
      </c>
      <c r="D652" s="487" t="s">
        <v>5439</v>
      </c>
      <c r="E652" s="487">
        <f t="shared" si="106"/>
        <v>3</v>
      </c>
      <c r="F652" s="506">
        <v>24</v>
      </c>
      <c r="G652" s="493"/>
      <c r="H652" s="487">
        <f t="shared" ca="1" si="107"/>
        <v>55</v>
      </c>
      <c r="I652" s="490"/>
      <c r="J652" s="502"/>
      <c r="K652" s="502"/>
      <c r="L652" s="493"/>
      <c r="M652" s="505" t="str">
        <f ca="1">IFERROR(IF(COUNTIF($B$509:$B651,"&lt;0")&lt;&gt;1,OFFSET($C650,-COUNTIF($B$509:$B651,"&lt;0")+3,0),""),"")</f>
        <v/>
      </c>
      <c r="N652" s="505">
        <f ca="1">IFERROR(IF(COUNTA($D$509:D651)=1,0,OFFSET($F650,-COUNTA($D$509:D651)+3,0)),"")</f>
        <v>1</v>
      </c>
      <c r="O652" s="487"/>
      <c r="P652" s="487">
        <f t="shared" si="108"/>
        <v>141</v>
      </c>
      <c r="Q652" s="487"/>
      <c r="R652" s="487"/>
      <c r="S652" s="487"/>
      <c r="T652" s="493"/>
    </row>
    <row r="653" spans="1:20" x14ac:dyDescent="0.3">
      <c r="A653" s="487" t="b">
        <v>0</v>
      </c>
      <c r="B653" s="487">
        <f t="shared" si="105"/>
        <v>-38</v>
      </c>
      <c r="C653" s="508" t="s">
        <v>7331</v>
      </c>
      <c r="D653" s="487" t="s">
        <v>5439</v>
      </c>
      <c r="E653" s="487">
        <f t="shared" si="106"/>
        <v>4</v>
      </c>
      <c r="F653" s="506">
        <v>24</v>
      </c>
      <c r="G653" s="493"/>
      <c r="H653" s="487">
        <f t="shared" ca="1" si="107"/>
        <v>55</v>
      </c>
      <c r="I653" s="490"/>
      <c r="J653" s="502"/>
      <c r="K653" s="502"/>
      <c r="L653" s="493"/>
      <c r="M653" s="505" t="str">
        <f ca="1">IFERROR(IF(COUNTIF($B$509:$B652,"&lt;0")&lt;&gt;1,OFFSET($C651,-COUNTIF($B$509:$B652,"&lt;0")+3,0),""),"")</f>
        <v/>
      </c>
      <c r="N653" s="505">
        <f ca="1">IFERROR(IF(COUNTA($D$509:D652)=1,0,OFFSET($F651,-COUNTA($D$509:D652)+3,0)),"")</f>
        <v>1</v>
      </c>
      <c r="O653" s="487"/>
      <c r="P653" s="487">
        <f t="shared" si="108"/>
        <v>142</v>
      </c>
      <c r="Q653" s="487"/>
      <c r="R653" s="487"/>
      <c r="S653" s="487"/>
      <c r="T653" s="493"/>
    </row>
    <row r="654" spans="1:20" x14ac:dyDescent="0.3">
      <c r="A654" s="487" t="b">
        <v>0</v>
      </c>
      <c r="B654" s="487">
        <f t="shared" si="105"/>
        <v>-37</v>
      </c>
      <c r="C654" s="508" t="s">
        <v>7332</v>
      </c>
      <c r="D654" s="487" t="s">
        <v>5439</v>
      </c>
      <c r="E654" s="487">
        <f t="shared" si="106"/>
        <v>5</v>
      </c>
      <c r="F654" s="506">
        <v>24</v>
      </c>
      <c r="G654" s="493"/>
      <c r="H654" s="487">
        <f t="shared" ca="1" si="107"/>
        <v>55</v>
      </c>
      <c r="I654" s="490"/>
      <c r="J654" s="502"/>
      <c r="K654" s="502"/>
      <c r="L654" s="493"/>
      <c r="M654" s="505" t="str">
        <f ca="1">IFERROR(IF(COUNTIF($B$509:$B653,"&lt;0")&lt;&gt;1,OFFSET($C652,-COUNTIF($B$509:$B653,"&lt;0")+3,0),""),"")</f>
        <v/>
      </c>
      <c r="N654" s="505">
        <f ca="1">IFERROR(IF(COUNTA($D$509:D653)=1,0,OFFSET($F652,-COUNTA($D$509:D653)+3,0)),"")</f>
        <v>1</v>
      </c>
      <c r="O654" s="487"/>
      <c r="P654" s="487">
        <f t="shared" si="108"/>
        <v>143</v>
      </c>
      <c r="Q654" s="487"/>
      <c r="R654" s="487"/>
      <c r="S654" s="487"/>
      <c r="T654" s="493"/>
    </row>
    <row r="655" spans="1:20" x14ac:dyDescent="0.3">
      <c r="A655" s="487" t="b">
        <v>0</v>
      </c>
      <c r="B655" s="487">
        <f t="shared" si="105"/>
        <v>-36</v>
      </c>
      <c r="C655" s="508" t="s">
        <v>7333</v>
      </c>
      <c r="D655" s="487" t="s">
        <v>5439</v>
      </c>
      <c r="E655" s="487">
        <f t="shared" si="106"/>
        <v>6</v>
      </c>
      <c r="F655" s="506">
        <v>24</v>
      </c>
      <c r="G655" s="493"/>
      <c r="H655" s="487">
        <f t="shared" ca="1" si="107"/>
        <v>55</v>
      </c>
      <c r="I655" s="490"/>
      <c r="J655" s="502"/>
      <c r="K655" s="502"/>
      <c r="L655" s="493"/>
      <c r="M655" s="505" t="str">
        <f ca="1">IFERROR(IF(COUNTIF($B$509:$B654,"&lt;0")&lt;&gt;1,OFFSET($C653,-COUNTIF($B$509:$B654,"&lt;0")+3,0),""),"")</f>
        <v/>
      </c>
      <c r="N655" s="505">
        <f ca="1">IFERROR(IF(COUNTA($D$509:D654)=1,0,OFFSET($F653,-COUNTA($D$509:D654)+3,0)),"")</f>
        <v>1</v>
      </c>
      <c r="O655" s="487"/>
      <c r="P655" s="487">
        <f t="shared" si="108"/>
        <v>144</v>
      </c>
      <c r="Q655" s="487"/>
      <c r="R655" s="487"/>
      <c r="S655" s="487"/>
      <c r="T655" s="493"/>
    </row>
    <row r="656" spans="1:20" x14ac:dyDescent="0.3">
      <c r="A656" s="487" t="b">
        <v>0</v>
      </c>
      <c r="B656" s="487">
        <f t="shared" si="105"/>
        <v>-35</v>
      </c>
      <c r="C656" s="508" t="s">
        <v>7334</v>
      </c>
      <c r="D656" s="487" t="s">
        <v>5480</v>
      </c>
      <c r="E656" s="487">
        <f t="shared" si="106"/>
        <v>1</v>
      </c>
      <c r="F656" s="506">
        <v>25</v>
      </c>
      <c r="G656" s="493"/>
      <c r="H656" s="487">
        <f t="shared" ca="1" si="107"/>
        <v>57</v>
      </c>
      <c r="I656" s="490"/>
      <c r="J656" s="502"/>
      <c r="K656" s="502"/>
      <c r="L656" s="493"/>
      <c r="M656" s="505" t="str">
        <f ca="1">IFERROR(IF(COUNTIF($B$509:$B655,"&lt;0")&lt;&gt;1,OFFSET($C654,-COUNTIF($B$509:$B655,"&lt;0")+3,0),""),"")</f>
        <v/>
      </c>
      <c r="N656" s="505">
        <f ca="1">IFERROR(IF(COUNTA($D$509:D655)=1,0,OFFSET($F654,-COUNTA($D$509:D655)+3,0)),"")</f>
        <v>1</v>
      </c>
      <c r="O656" s="487"/>
      <c r="P656" s="487">
        <f t="shared" si="108"/>
        <v>145</v>
      </c>
      <c r="Q656" s="487"/>
      <c r="R656" s="487"/>
      <c r="S656" s="487"/>
      <c r="T656" s="493"/>
    </row>
    <row r="657" spans="1:20" x14ac:dyDescent="0.3">
      <c r="A657" s="487" t="b">
        <v>0</v>
      </c>
      <c r="B657" s="487">
        <f t="shared" si="105"/>
        <v>-34</v>
      </c>
      <c r="C657" s="508" t="s">
        <v>7335</v>
      </c>
      <c r="D657" s="487" t="s">
        <v>5480</v>
      </c>
      <c r="E657" s="487">
        <f t="shared" si="106"/>
        <v>2</v>
      </c>
      <c r="F657" s="506">
        <v>25</v>
      </c>
      <c r="G657" s="493"/>
      <c r="H657" s="487">
        <f t="shared" ca="1" si="107"/>
        <v>57</v>
      </c>
      <c r="I657" s="490"/>
      <c r="J657" s="502"/>
      <c r="K657" s="502"/>
      <c r="L657" s="493"/>
      <c r="M657" s="505" t="str">
        <f ca="1">IFERROR(IF(COUNTIF($B$509:$B656,"&lt;0")&lt;&gt;1,OFFSET($C655,-COUNTIF($B$509:$B656,"&lt;0")+3,0),""),"")</f>
        <v/>
      </c>
      <c r="N657" s="505">
        <f ca="1">IFERROR(IF(COUNTA($D$509:D656)=1,0,OFFSET($F655,-COUNTA($D$509:D656)+3,0)),"")</f>
        <v>1</v>
      </c>
      <c r="O657" s="487"/>
      <c r="P657" s="487">
        <f t="shared" si="108"/>
        <v>146</v>
      </c>
      <c r="Q657" s="487"/>
      <c r="R657" s="487"/>
      <c r="S657" s="487"/>
      <c r="T657" s="493"/>
    </row>
    <row r="658" spans="1:20" x14ac:dyDescent="0.3">
      <c r="A658" s="487" t="b">
        <v>0</v>
      </c>
      <c r="B658" s="487">
        <f t="shared" si="105"/>
        <v>-33</v>
      </c>
      <c r="C658" s="508" t="s">
        <v>7336</v>
      </c>
      <c r="D658" s="487" t="s">
        <v>5480</v>
      </c>
      <c r="E658" s="487">
        <f t="shared" si="106"/>
        <v>3</v>
      </c>
      <c r="F658" s="506">
        <v>25</v>
      </c>
      <c r="G658" s="493"/>
      <c r="H658" s="487">
        <f t="shared" ca="1" si="107"/>
        <v>57</v>
      </c>
      <c r="I658" s="490"/>
      <c r="J658" s="502"/>
      <c r="K658" s="502"/>
      <c r="L658" s="493"/>
      <c r="M658" s="505" t="str">
        <f ca="1">IFERROR(IF(COUNTIF($B$509:$B657,"&lt;0")&lt;&gt;1,OFFSET($C656,-COUNTIF($B$509:$B657,"&lt;0")+3,0),""),"")</f>
        <v/>
      </c>
      <c r="N658" s="505">
        <f ca="1">IFERROR(IF(COUNTA($D$509:D657)=1,0,OFFSET($F656,-COUNTA($D$509:D657)+3,0)),"")</f>
        <v>1</v>
      </c>
      <c r="O658" s="487"/>
      <c r="P658" s="487">
        <f t="shared" si="108"/>
        <v>147</v>
      </c>
      <c r="Q658" s="487"/>
      <c r="R658" s="487"/>
      <c r="S658" s="487"/>
      <c r="T658" s="493"/>
    </row>
    <row r="659" spans="1:20" x14ac:dyDescent="0.3">
      <c r="A659" s="487" t="b">
        <v>0</v>
      </c>
      <c r="B659" s="487">
        <f t="shared" si="105"/>
        <v>-32</v>
      </c>
      <c r="C659" s="508" t="s">
        <v>7337</v>
      </c>
      <c r="D659" s="487" t="s">
        <v>5480</v>
      </c>
      <c r="E659" s="487">
        <f t="shared" si="106"/>
        <v>4</v>
      </c>
      <c r="F659" s="506">
        <v>25</v>
      </c>
      <c r="G659" s="493"/>
      <c r="H659" s="487">
        <f t="shared" ca="1" si="107"/>
        <v>57</v>
      </c>
      <c r="I659" s="490"/>
      <c r="J659" s="502"/>
      <c r="K659" s="502"/>
      <c r="L659" s="493"/>
      <c r="M659" s="505" t="str">
        <f ca="1">IFERROR(IF(COUNTIF($B$509:$B658,"&lt;0")&lt;&gt;1,OFFSET($C657,-COUNTIF($B$509:$B658,"&lt;0")+3,0),""),"")</f>
        <v/>
      </c>
      <c r="N659" s="505">
        <f ca="1">IFERROR(IF(COUNTA($D$509:D658)=1,0,OFFSET($F657,-COUNTA($D$509:D658)+3,0)),"")</f>
        <v>1</v>
      </c>
      <c r="O659" s="487"/>
      <c r="P659" s="487">
        <f t="shared" si="108"/>
        <v>148</v>
      </c>
      <c r="Q659" s="487"/>
      <c r="R659" s="487"/>
      <c r="S659" s="487"/>
      <c r="T659" s="493"/>
    </row>
    <row r="660" spans="1:20" x14ac:dyDescent="0.3">
      <c r="A660" s="487" t="b">
        <v>0</v>
      </c>
      <c r="B660" s="487">
        <f t="shared" si="105"/>
        <v>-31</v>
      </c>
      <c r="C660" s="508" t="s">
        <v>7338</v>
      </c>
      <c r="D660" s="487" t="s">
        <v>5480</v>
      </c>
      <c r="E660" s="487">
        <f t="shared" si="106"/>
        <v>5</v>
      </c>
      <c r="F660" s="506">
        <v>25</v>
      </c>
      <c r="G660" s="493"/>
      <c r="H660" s="487">
        <f t="shared" ca="1" si="107"/>
        <v>57</v>
      </c>
      <c r="I660" s="490"/>
      <c r="J660" s="502"/>
      <c r="K660" s="502"/>
      <c r="L660" s="493"/>
      <c r="M660" s="505" t="str">
        <f ca="1">IFERROR(IF(COUNTIF($B$509:$B659,"&lt;0")&lt;&gt;1,OFFSET($C658,-COUNTIF($B$509:$B659,"&lt;0")+3,0),""),"")</f>
        <v/>
      </c>
      <c r="N660" s="505">
        <f ca="1">IFERROR(IF(COUNTA($D$509:D659)=1,0,OFFSET($F658,-COUNTA($D$509:D659)+3,0)),"")</f>
        <v>1</v>
      </c>
      <c r="O660" s="487"/>
      <c r="P660" s="487">
        <f t="shared" si="108"/>
        <v>149</v>
      </c>
      <c r="Q660" s="487"/>
      <c r="R660" s="487"/>
      <c r="S660" s="487"/>
      <c r="T660" s="493"/>
    </row>
    <row r="661" spans="1:20" x14ac:dyDescent="0.3">
      <c r="A661" s="487" t="b">
        <v>0</v>
      </c>
      <c r="B661" s="487">
        <f t="shared" si="105"/>
        <v>-30</v>
      </c>
      <c r="C661" s="508" t="s">
        <v>7339</v>
      </c>
      <c r="D661" s="487" t="s">
        <v>5480</v>
      </c>
      <c r="E661" s="487">
        <f t="shared" si="106"/>
        <v>6</v>
      </c>
      <c r="F661" s="506">
        <v>25</v>
      </c>
      <c r="G661" s="493"/>
      <c r="H661" s="487">
        <f t="shared" ca="1" si="107"/>
        <v>57</v>
      </c>
      <c r="I661" s="490"/>
      <c r="J661" s="502"/>
      <c r="K661" s="502"/>
      <c r="L661" s="493"/>
      <c r="M661" s="505" t="str">
        <f ca="1">IFERROR(IF(COUNTIF($B$509:$B660,"&lt;0")&lt;&gt;1,OFFSET($C659,-COUNTIF($B$509:$B660,"&lt;0")+3,0),""),"")</f>
        <v/>
      </c>
      <c r="N661" s="505">
        <f ca="1">IFERROR(IF(COUNTA($D$509:D660)=1,0,OFFSET($F659,-COUNTA($D$509:D660)+3,0)),"")</f>
        <v>1</v>
      </c>
      <c r="O661" s="487"/>
      <c r="P661" s="487">
        <f t="shared" si="108"/>
        <v>150</v>
      </c>
      <c r="Q661" s="487"/>
      <c r="R661" s="487"/>
      <c r="S661" s="487"/>
      <c r="T661" s="493"/>
    </row>
    <row r="662" spans="1:20" x14ac:dyDescent="0.3">
      <c r="A662" s="487" t="b">
        <v>0</v>
      </c>
      <c r="B662" s="487">
        <f t="shared" si="105"/>
        <v>-29</v>
      </c>
      <c r="C662" s="508" t="s">
        <v>7340</v>
      </c>
      <c r="D662" s="487" t="s">
        <v>5521</v>
      </c>
      <c r="E662" s="487">
        <f t="shared" si="106"/>
        <v>1</v>
      </c>
      <c r="F662" s="506">
        <v>26</v>
      </c>
      <c r="G662" s="493"/>
      <c r="H662" s="487">
        <f t="shared" ca="1" si="107"/>
        <v>59</v>
      </c>
      <c r="I662" s="490"/>
      <c r="J662" s="502"/>
      <c r="K662" s="502"/>
      <c r="L662" s="493"/>
      <c r="M662" s="505" t="str">
        <f ca="1">IFERROR(IF(COUNTIF($B$509:$B661,"&lt;0")&lt;&gt;1,OFFSET($C660,-COUNTIF($B$509:$B661,"&lt;0")+3,0),""),"")</f>
        <v/>
      </c>
      <c r="N662" s="505">
        <f ca="1">IFERROR(IF(COUNTA($D$509:D661)=1,0,OFFSET($F660,-COUNTA($D$509:D661)+3,0)),"")</f>
        <v>1</v>
      </c>
      <c r="O662" s="487"/>
      <c r="P662" s="487">
        <f t="shared" si="108"/>
        <v>151</v>
      </c>
      <c r="Q662" s="487"/>
      <c r="R662" s="487"/>
      <c r="S662" s="487"/>
      <c r="T662" s="493"/>
    </row>
    <row r="663" spans="1:20" x14ac:dyDescent="0.3">
      <c r="A663" s="487" t="b">
        <v>0</v>
      </c>
      <c r="B663" s="487">
        <f t="shared" si="105"/>
        <v>-28</v>
      </c>
      <c r="C663" s="508" t="s">
        <v>7341</v>
      </c>
      <c r="D663" s="487" t="s">
        <v>5521</v>
      </c>
      <c r="E663" s="487">
        <f t="shared" si="106"/>
        <v>2</v>
      </c>
      <c r="F663" s="506">
        <v>26</v>
      </c>
      <c r="G663" s="493"/>
      <c r="H663" s="487">
        <f t="shared" ca="1" si="107"/>
        <v>59</v>
      </c>
      <c r="I663" s="490"/>
      <c r="J663" s="502"/>
      <c r="K663" s="502"/>
      <c r="L663" s="493"/>
      <c r="M663" s="505" t="str">
        <f ca="1">IFERROR(IF(COUNTIF($B$509:$B662,"&lt;0")&lt;&gt;1,OFFSET($C661,-COUNTIF($B$509:$B662,"&lt;0")+3,0),""),"")</f>
        <v/>
      </c>
      <c r="N663" s="505">
        <f ca="1">IFERROR(IF(COUNTA($D$509:D662)=1,0,OFFSET($F661,-COUNTA($D$509:D662)+3,0)),"")</f>
        <v>1</v>
      </c>
      <c r="O663" s="487"/>
      <c r="P663" s="487">
        <f t="shared" si="108"/>
        <v>152</v>
      </c>
      <c r="Q663" s="487"/>
      <c r="R663" s="487"/>
      <c r="S663" s="487"/>
      <c r="T663" s="493"/>
    </row>
    <row r="664" spans="1:20" x14ac:dyDescent="0.3">
      <c r="A664" s="487" t="b">
        <v>0</v>
      </c>
      <c r="B664" s="487">
        <f t="shared" si="105"/>
        <v>-27</v>
      </c>
      <c r="C664" s="508" t="s">
        <v>7342</v>
      </c>
      <c r="D664" s="487" t="s">
        <v>5521</v>
      </c>
      <c r="E664" s="487">
        <f t="shared" si="106"/>
        <v>3</v>
      </c>
      <c r="F664" s="506">
        <v>26</v>
      </c>
      <c r="G664" s="493"/>
      <c r="H664" s="487">
        <f t="shared" ca="1" si="107"/>
        <v>59</v>
      </c>
      <c r="I664" s="490"/>
      <c r="J664" s="502"/>
      <c r="K664" s="502"/>
      <c r="L664" s="493"/>
      <c r="M664" s="505" t="str">
        <f ca="1">IFERROR(IF(COUNTIF($B$509:$B663,"&lt;0")&lt;&gt;1,OFFSET($C662,-COUNTIF($B$509:$B663,"&lt;0")+3,0),""),"")</f>
        <v/>
      </c>
      <c r="N664" s="505">
        <f ca="1">IFERROR(IF(COUNTA($D$509:D663)=1,0,OFFSET($F662,-COUNTA($D$509:D663)+3,0)),"")</f>
        <v>1</v>
      </c>
      <c r="O664" s="487"/>
      <c r="P664" s="487">
        <f t="shared" si="108"/>
        <v>153</v>
      </c>
      <c r="Q664" s="487"/>
      <c r="R664" s="487"/>
      <c r="S664" s="487"/>
      <c r="T664" s="493"/>
    </row>
    <row r="665" spans="1:20" x14ac:dyDescent="0.3">
      <c r="A665" s="487" t="b">
        <v>0</v>
      </c>
      <c r="B665" s="487">
        <f t="shared" si="105"/>
        <v>-26</v>
      </c>
      <c r="C665" s="508" t="s">
        <v>7343</v>
      </c>
      <c r="D665" s="487" t="s">
        <v>5521</v>
      </c>
      <c r="E665" s="487">
        <f t="shared" si="106"/>
        <v>4</v>
      </c>
      <c r="F665" s="506">
        <v>26</v>
      </c>
      <c r="G665" s="493"/>
      <c r="H665" s="487">
        <f t="shared" ca="1" si="107"/>
        <v>59</v>
      </c>
      <c r="I665" s="490"/>
      <c r="J665" s="502"/>
      <c r="K665" s="502"/>
      <c r="L665" s="493"/>
      <c r="M665" s="505" t="str">
        <f ca="1">IFERROR(IF(COUNTIF($B$509:$B664,"&lt;0")&lt;&gt;1,OFFSET($C663,-COUNTIF($B$509:$B664,"&lt;0")+3,0),""),"")</f>
        <v/>
      </c>
      <c r="N665" s="505">
        <f ca="1">IFERROR(IF(COUNTA($D$509:D664)=1,0,OFFSET($F663,-COUNTA($D$509:D664)+3,0)),"")</f>
        <v>1</v>
      </c>
      <c r="O665" s="487"/>
      <c r="P665" s="487">
        <f t="shared" si="108"/>
        <v>154</v>
      </c>
      <c r="Q665" s="487"/>
      <c r="R665" s="487"/>
      <c r="S665" s="487"/>
      <c r="T665" s="493"/>
    </row>
    <row r="666" spans="1:20" x14ac:dyDescent="0.3">
      <c r="A666" s="487" t="b">
        <v>0</v>
      </c>
      <c r="B666" s="487">
        <f t="shared" si="105"/>
        <v>-25</v>
      </c>
      <c r="C666" s="508" t="s">
        <v>7344</v>
      </c>
      <c r="D666" s="487" t="s">
        <v>5521</v>
      </c>
      <c r="E666" s="487">
        <f t="shared" si="106"/>
        <v>5</v>
      </c>
      <c r="F666" s="506">
        <v>26</v>
      </c>
      <c r="G666" s="493"/>
      <c r="H666" s="487">
        <f t="shared" ca="1" si="107"/>
        <v>59</v>
      </c>
      <c r="I666" s="490"/>
      <c r="J666" s="502"/>
      <c r="K666" s="502"/>
      <c r="L666" s="493"/>
      <c r="M666" s="505" t="str">
        <f ca="1">IFERROR(IF(COUNTIF($B$509:$B665,"&lt;0")&lt;&gt;1,OFFSET($C664,-COUNTIF($B$509:$B665,"&lt;0")+3,0),""),"")</f>
        <v/>
      </c>
      <c r="N666" s="505">
        <f ca="1">IFERROR(IF(COUNTA($D$509:D665)=1,0,OFFSET($F664,-COUNTA($D$509:D665)+3,0)),"")</f>
        <v>1</v>
      </c>
      <c r="O666" s="487"/>
      <c r="P666" s="487">
        <f t="shared" si="108"/>
        <v>155</v>
      </c>
      <c r="Q666" s="487"/>
      <c r="R666" s="487"/>
      <c r="S666" s="487"/>
      <c r="T666" s="493"/>
    </row>
    <row r="667" spans="1:20" x14ac:dyDescent="0.3">
      <c r="A667" s="487" t="b">
        <v>0</v>
      </c>
      <c r="B667" s="487">
        <f t="shared" si="105"/>
        <v>-24</v>
      </c>
      <c r="C667" s="508" t="s">
        <v>7345</v>
      </c>
      <c r="D667" s="487" t="s">
        <v>5521</v>
      </c>
      <c r="E667" s="487">
        <f t="shared" si="106"/>
        <v>6</v>
      </c>
      <c r="F667" s="506">
        <v>26</v>
      </c>
      <c r="G667" s="493"/>
      <c r="H667" s="487">
        <f t="shared" ca="1" si="107"/>
        <v>59</v>
      </c>
      <c r="I667" s="490"/>
      <c r="J667" s="502"/>
      <c r="K667" s="502"/>
      <c r="L667" s="493"/>
      <c r="M667" s="505" t="str">
        <f ca="1">IFERROR(IF(COUNTIF($B$509:$B666,"&lt;0")&lt;&gt;1,OFFSET($C665,-COUNTIF($B$509:$B666,"&lt;0")+3,0),""),"")</f>
        <v/>
      </c>
      <c r="N667" s="505">
        <f ca="1">IFERROR(IF(COUNTA($D$509:D666)=1,0,OFFSET($F665,-COUNTA($D$509:D666)+3,0)),"")</f>
        <v>1</v>
      </c>
      <c r="O667" s="487"/>
      <c r="P667" s="487">
        <f t="shared" si="108"/>
        <v>156</v>
      </c>
      <c r="Q667" s="487"/>
      <c r="R667" s="487"/>
      <c r="S667" s="487"/>
      <c r="T667" s="493"/>
    </row>
    <row r="668" spans="1:20" x14ac:dyDescent="0.3">
      <c r="A668" s="487" t="b">
        <v>0</v>
      </c>
      <c r="B668" s="487">
        <f t="shared" si="105"/>
        <v>-23</v>
      </c>
      <c r="C668" s="508" t="s">
        <v>7346</v>
      </c>
      <c r="D668" s="487" t="s">
        <v>5562</v>
      </c>
      <c r="E668" s="487">
        <f t="shared" si="106"/>
        <v>1</v>
      </c>
      <c r="F668" s="506">
        <v>27</v>
      </c>
      <c r="G668" s="493"/>
      <c r="H668" s="487">
        <f t="shared" ca="1" si="107"/>
        <v>61</v>
      </c>
      <c r="I668" s="490"/>
      <c r="J668" s="502"/>
      <c r="K668" s="502"/>
      <c r="L668" s="493"/>
      <c r="M668" s="505" t="str">
        <f ca="1">IFERROR(IF(COUNTIF($B$509:$B667,"&lt;0")&lt;&gt;1,OFFSET($C666,-COUNTIF($B$509:$B667,"&lt;0")+3,0),""),"")</f>
        <v/>
      </c>
      <c r="N668" s="505">
        <f ca="1">IFERROR(IF(COUNTA($D$509:D667)=1,0,OFFSET($F666,-COUNTA($D$509:D667)+3,0)),"")</f>
        <v>1</v>
      </c>
      <c r="O668" s="487"/>
      <c r="P668" s="487">
        <f t="shared" si="108"/>
        <v>157</v>
      </c>
      <c r="Q668" s="487"/>
      <c r="R668" s="487"/>
      <c r="S668" s="487"/>
      <c r="T668" s="493"/>
    </row>
    <row r="669" spans="1:20" x14ac:dyDescent="0.3">
      <c r="A669" s="487" t="b">
        <v>0</v>
      </c>
      <c r="B669" s="487">
        <f t="shared" si="105"/>
        <v>-22</v>
      </c>
      <c r="C669" s="508" t="s">
        <v>7347</v>
      </c>
      <c r="D669" s="487" t="s">
        <v>5562</v>
      </c>
      <c r="E669" s="487">
        <f t="shared" si="106"/>
        <v>2</v>
      </c>
      <c r="F669" s="506">
        <v>27</v>
      </c>
      <c r="G669" s="493"/>
      <c r="H669" s="487">
        <f t="shared" ca="1" si="107"/>
        <v>61</v>
      </c>
      <c r="I669" s="490"/>
      <c r="J669" s="502"/>
      <c r="K669" s="502"/>
      <c r="L669" s="493"/>
      <c r="M669" s="505" t="str">
        <f ca="1">IFERROR(IF(COUNTIF($B$509:$B668,"&lt;0")&lt;&gt;1,OFFSET($C667,-COUNTIF($B$509:$B668,"&lt;0")+3,0),""),"")</f>
        <v/>
      </c>
      <c r="N669" s="505">
        <f ca="1">IFERROR(IF(COUNTA($D$509:D668)=1,0,OFFSET($F667,-COUNTA($D$509:D668)+3,0)),"")</f>
        <v>1</v>
      </c>
      <c r="O669" s="487"/>
      <c r="P669" s="487">
        <f t="shared" si="108"/>
        <v>158</v>
      </c>
      <c r="Q669" s="487"/>
      <c r="R669" s="487"/>
      <c r="S669" s="487"/>
      <c r="T669" s="493"/>
    </row>
    <row r="670" spans="1:20" x14ac:dyDescent="0.3">
      <c r="A670" s="487" t="b">
        <v>0</v>
      </c>
      <c r="B670" s="487">
        <f t="shared" si="105"/>
        <v>-21</v>
      </c>
      <c r="C670" s="508" t="s">
        <v>7348</v>
      </c>
      <c r="D670" s="487" t="s">
        <v>5562</v>
      </c>
      <c r="E670" s="487">
        <f t="shared" si="106"/>
        <v>3</v>
      </c>
      <c r="F670" s="506">
        <v>27</v>
      </c>
      <c r="G670" s="493"/>
      <c r="H670" s="487">
        <f t="shared" ca="1" si="107"/>
        <v>61</v>
      </c>
      <c r="I670" s="490"/>
      <c r="J670" s="502"/>
      <c r="K670" s="502"/>
      <c r="L670" s="493"/>
      <c r="M670" s="505" t="str">
        <f ca="1">IFERROR(IF(COUNTIF($B$509:$B669,"&lt;0")&lt;&gt;1,OFFSET($C668,-COUNTIF($B$509:$B669,"&lt;0")+3,0),""),"")</f>
        <v/>
      </c>
      <c r="N670" s="505">
        <f ca="1">IFERROR(IF(COUNTA($D$509:D669)=1,0,OFFSET($F668,-COUNTA($D$509:D669)+3,0)),"")</f>
        <v>1</v>
      </c>
      <c r="O670" s="487"/>
      <c r="P670" s="487">
        <f t="shared" si="108"/>
        <v>159</v>
      </c>
      <c r="Q670" s="487"/>
      <c r="R670" s="487"/>
      <c r="S670" s="487"/>
      <c r="T670" s="493"/>
    </row>
    <row r="671" spans="1:20" x14ac:dyDescent="0.3">
      <c r="A671" s="487" t="b">
        <v>0</v>
      </c>
      <c r="B671" s="487">
        <f t="shared" si="105"/>
        <v>-20</v>
      </c>
      <c r="C671" s="508" t="s">
        <v>7349</v>
      </c>
      <c r="D671" s="487" t="s">
        <v>5562</v>
      </c>
      <c r="E671" s="487">
        <f t="shared" si="106"/>
        <v>4</v>
      </c>
      <c r="F671" s="506">
        <v>27</v>
      </c>
      <c r="G671" s="493"/>
      <c r="H671" s="487">
        <f t="shared" ca="1" si="107"/>
        <v>61</v>
      </c>
      <c r="I671" s="490"/>
      <c r="J671" s="502"/>
      <c r="K671" s="502"/>
      <c r="L671" s="493"/>
      <c r="M671" s="505" t="str">
        <f ca="1">IFERROR(IF(COUNTIF($B$509:$B670,"&lt;0")&lt;&gt;1,OFFSET($C669,-COUNTIF($B$509:$B670,"&lt;0")+3,0),""),"")</f>
        <v/>
      </c>
      <c r="N671" s="505">
        <f ca="1">IFERROR(IF(COUNTA($D$509:D670)=1,0,OFFSET($F669,-COUNTA($D$509:D670)+3,0)),"")</f>
        <v>1</v>
      </c>
      <c r="O671" s="487"/>
      <c r="P671" s="487">
        <f t="shared" si="108"/>
        <v>160</v>
      </c>
      <c r="Q671" s="487"/>
      <c r="R671" s="487"/>
      <c r="S671" s="487"/>
      <c r="T671" s="493"/>
    </row>
    <row r="672" spans="1:20" x14ac:dyDescent="0.3">
      <c r="A672" s="487" t="b">
        <v>0</v>
      </c>
      <c r="B672" s="487">
        <f t="shared" si="105"/>
        <v>-19</v>
      </c>
      <c r="C672" s="508" t="s">
        <v>7350</v>
      </c>
      <c r="D672" s="487" t="s">
        <v>5562</v>
      </c>
      <c r="E672" s="487">
        <f t="shared" si="106"/>
        <v>5</v>
      </c>
      <c r="F672" s="506">
        <v>27</v>
      </c>
      <c r="G672" s="493"/>
      <c r="H672" s="487">
        <f t="shared" ca="1" si="107"/>
        <v>61</v>
      </c>
      <c r="I672" s="490"/>
      <c r="J672" s="502"/>
      <c r="K672" s="502"/>
      <c r="L672" s="493"/>
      <c r="M672" s="505" t="str">
        <f ca="1">IFERROR(IF(COUNTIF($B$509:$B671,"&lt;0")&lt;&gt;1,OFFSET($C670,-COUNTIF($B$509:$B671,"&lt;0")+3,0),""),"")</f>
        <v/>
      </c>
      <c r="N672" s="505">
        <f ca="1">IFERROR(IF(COUNTA($D$509:D671)=1,0,OFFSET($F670,-COUNTA($D$509:D671)+3,0)),"")</f>
        <v>1</v>
      </c>
      <c r="O672" s="487"/>
      <c r="P672" s="487">
        <f t="shared" si="108"/>
        <v>161</v>
      </c>
      <c r="Q672" s="487"/>
      <c r="R672" s="487"/>
      <c r="S672" s="487"/>
      <c r="T672" s="493"/>
    </row>
    <row r="673" spans="1:20" x14ac:dyDescent="0.3">
      <c r="A673" s="487" t="b">
        <v>0</v>
      </c>
      <c r="B673" s="487">
        <f t="shared" si="105"/>
        <v>-18</v>
      </c>
      <c r="C673" s="508" t="s">
        <v>7351</v>
      </c>
      <c r="D673" s="487" t="s">
        <v>5562</v>
      </c>
      <c r="E673" s="487">
        <f t="shared" si="106"/>
        <v>6</v>
      </c>
      <c r="F673" s="506">
        <v>27</v>
      </c>
      <c r="G673" s="493"/>
      <c r="H673" s="487">
        <f t="shared" ca="1" si="107"/>
        <v>61</v>
      </c>
      <c r="I673" s="490"/>
      <c r="J673" s="502"/>
      <c r="K673" s="502"/>
      <c r="L673" s="493"/>
      <c r="M673" s="505" t="str">
        <f ca="1">IFERROR(IF(COUNTIF($B$509:$B672,"&lt;0")&lt;&gt;1,OFFSET($C671,-COUNTIF($B$509:$B672,"&lt;0")+3,0),""),"")</f>
        <v/>
      </c>
      <c r="N673" s="505">
        <f ca="1">IFERROR(IF(COUNTA($D$509:D672)=1,0,OFFSET($F671,-COUNTA($D$509:D672)+3,0)),"")</f>
        <v>1</v>
      </c>
      <c r="O673" s="487"/>
      <c r="P673" s="487">
        <f t="shared" si="108"/>
        <v>162</v>
      </c>
      <c r="Q673" s="487"/>
      <c r="R673" s="487"/>
      <c r="S673" s="487"/>
      <c r="T673" s="493"/>
    </row>
    <row r="674" spans="1:20" x14ac:dyDescent="0.3">
      <c r="A674" s="487" t="b">
        <v>0</v>
      </c>
      <c r="B674" s="487">
        <f t="shared" si="105"/>
        <v>-17</v>
      </c>
      <c r="C674" s="508" t="s">
        <v>7352</v>
      </c>
      <c r="D674" s="487" t="s">
        <v>5603</v>
      </c>
      <c r="E674" s="487">
        <f t="shared" si="106"/>
        <v>1</v>
      </c>
      <c r="F674" s="506">
        <v>28</v>
      </c>
      <c r="G674" s="493"/>
      <c r="H674" s="487">
        <f t="shared" ca="1" si="107"/>
        <v>63</v>
      </c>
      <c r="I674" s="490"/>
      <c r="J674" s="502"/>
      <c r="K674" s="502"/>
      <c r="L674" s="493"/>
      <c r="M674" s="505" t="str">
        <f ca="1">IFERROR(IF(COUNTIF($B$509:$B673,"&lt;0")&lt;&gt;1,OFFSET($C672,-COUNTIF($B$509:$B673,"&lt;0")+3,0),""),"")</f>
        <v/>
      </c>
      <c r="N674" s="505">
        <f ca="1">IFERROR(IF(COUNTA($D$509:D673)=1,0,OFFSET($F672,-COUNTA($D$509:D673)+3,0)),"")</f>
        <v>1</v>
      </c>
      <c r="O674" s="487"/>
      <c r="P674" s="487">
        <f t="shared" si="108"/>
        <v>163</v>
      </c>
      <c r="Q674" s="487"/>
      <c r="R674" s="487"/>
      <c r="S674" s="487"/>
      <c r="T674" s="493"/>
    </row>
    <row r="675" spans="1:20" x14ac:dyDescent="0.3">
      <c r="A675" s="487" t="b">
        <v>0</v>
      </c>
      <c r="B675" s="487">
        <f t="shared" si="105"/>
        <v>-16</v>
      </c>
      <c r="C675" s="508" t="s">
        <v>7353</v>
      </c>
      <c r="D675" s="487" t="s">
        <v>5603</v>
      </c>
      <c r="E675" s="487">
        <f t="shared" si="106"/>
        <v>2</v>
      </c>
      <c r="F675" s="506">
        <v>28</v>
      </c>
      <c r="G675" s="493"/>
      <c r="H675" s="487">
        <f t="shared" ca="1" si="107"/>
        <v>63</v>
      </c>
      <c r="I675" s="490"/>
      <c r="J675" s="502"/>
      <c r="K675" s="502"/>
      <c r="L675" s="493"/>
      <c r="M675" s="505" t="str">
        <f ca="1">IFERROR(IF(COUNTIF($B$509:$B674,"&lt;0")&lt;&gt;1,OFFSET($C673,-COUNTIF($B$509:$B674,"&lt;0")+3,0),""),"")</f>
        <v/>
      </c>
      <c r="N675" s="505">
        <f ca="1">IFERROR(IF(COUNTA($D$509:D674)=1,0,OFFSET($F673,-COUNTA($D$509:D674)+3,0)),"")</f>
        <v>1</v>
      </c>
      <c r="O675" s="487"/>
      <c r="P675" s="487">
        <f t="shared" si="108"/>
        <v>164</v>
      </c>
      <c r="Q675" s="487"/>
      <c r="R675" s="487"/>
      <c r="S675" s="487"/>
      <c r="T675" s="493"/>
    </row>
    <row r="676" spans="1:20" x14ac:dyDescent="0.3">
      <c r="A676" s="487" t="b">
        <v>0</v>
      </c>
      <c r="B676" s="487">
        <f t="shared" si="105"/>
        <v>-15</v>
      </c>
      <c r="C676" s="508" t="s">
        <v>7354</v>
      </c>
      <c r="D676" s="487" t="s">
        <v>5603</v>
      </c>
      <c r="E676" s="487">
        <f t="shared" si="106"/>
        <v>3</v>
      </c>
      <c r="F676" s="506">
        <v>28</v>
      </c>
      <c r="G676" s="493"/>
      <c r="H676" s="487">
        <f t="shared" ca="1" si="107"/>
        <v>63</v>
      </c>
      <c r="I676" s="490"/>
      <c r="J676" s="502"/>
      <c r="K676" s="502"/>
      <c r="L676" s="493"/>
      <c r="M676" s="505" t="str">
        <f ca="1">IFERROR(IF(COUNTIF($B$509:$B675,"&lt;0")&lt;&gt;1,OFFSET($C674,-COUNTIF($B$509:$B675,"&lt;0")+3,0),""),"")</f>
        <v/>
      </c>
      <c r="N676" s="505">
        <f ca="1">IFERROR(IF(COUNTA($D$509:D675)=1,0,OFFSET($F674,-COUNTA($D$509:D675)+3,0)),"")</f>
        <v>1</v>
      </c>
      <c r="O676" s="487"/>
      <c r="P676" s="487">
        <f t="shared" si="108"/>
        <v>165</v>
      </c>
      <c r="Q676" s="487"/>
      <c r="R676" s="487"/>
      <c r="S676" s="487"/>
      <c r="T676" s="493"/>
    </row>
    <row r="677" spans="1:20" x14ac:dyDescent="0.3">
      <c r="A677" s="487" t="b">
        <v>0</v>
      </c>
      <c r="B677" s="487">
        <f t="shared" si="105"/>
        <v>-14</v>
      </c>
      <c r="C677" s="508" t="s">
        <v>7355</v>
      </c>
      <c r="D677" s="487" t="s">
        <v>5603</v>
      </c>
      <c r="E677" s="487">
        <f t="shared" si="106"/>
        <v>4</v>
      </c>
      <c r="F677" s="506">
        <v>28</v>
      </c>
      <c r="G677" s="493"/>
      <c r="H677" s="487">
        <f t="shared" ca="1" si="107"/>
        <v>63</v>
      </c>
      <c r="I677" s="490"/>
      <c r="J677" s="502"/>
      <c r="K677" s="502"/>
      <c r="L677" s="493"/>
      <c r="M677" s="505" t="str">
        <f ca="1">IFERROR(IF(COUNTIF($B$509:$B676,"&lt;0")&lt;&gt;1,OFFSET($C675,-COUNTIF($B$509:$B676,"&lt;0")+3,0),""),"")</f>
        <v/>
      </c>
      <c r="N677" s="505">
        <f ca="1">IFERROR(IF(COUNTA($D$509:D676)=1,0,OFFSET($F675,-COUNTA($D$509:D676)+3,0)),"")</f>
        <v>1</v>
      </c>
      <c r="O677" s="487"/>
      <c r="P677" s="487">
        <f t="shared" si="108"/>
        <v>166</v>
      </c>
      <c r="Q677" s="487"/>
      <c r="R677" s="487"/>
      <c r="S677" s="487"/>
      <c r="T677" s="493"/>
    </row>
    <row r="678" spans="1:20" x14ac:dyDescent="0.3">
      <c r="A678" s="487" t="b">
        <v>0</v>
      </c>
      <c r="B678" s="487">
        <f t="shared" si="105"/>
        <v>-13</v>
      </c>
      <c r="C678" s="508" t="s">
        <v>7356</v>
      </c>
      <c r="D678" s="487" t="s">
        <v>5603</v>
      </c>
      <c r="E678" s="487">
        <f t="shared" si="106"/>
        <v>5</v>
      </c>
      <c r="F678" s="506">
        <v>28</v>
      </c>
      <c r="G678" s="493"/>
      <c r="H678" s="487">
        <f t="shared" ca="1" si="107"/>
        <v>63</v>
      </c>
      <c r="I678" s="490"/>
      <c r="J678" s="502"/>
      <c r="K678" s="502"/>
      <c r="L678" s="493"/>
      <c r="M678" s="505" t="str">
        <f ca="1">IFERROR(IF(COUNTIF($B$509:$B677,"&lt;0")&lt;&gt;1,OFFSET($C676,-COUNTIF($B$509:$B677,"&lt;0")+3,0),""),"")</f>
        <v/>
      </c>
      <c r="N678" s="505">
        <f ca="1">IFERROR(IF(COUNTA($D$509:D677)=1,0,OFFSET($F676,-COUNTA($D$509:D677)+3,0)),"")</f>
        <v>1</v>
      </c>
      <c r="O678" s="487"/>
      <c r="P678" s="487">
        <f t="shared" si="108"/>
        <v>167</v>
      </c>
      <c r="Q678" s="487"/>
      <c r="R678" s="487"/>
      <c r="S678" s="487"/>
      <c r="T678" s="493"/>
    </row>
    <row r="679" spans="1:20" x14ac:dyDescent="0.3">
      <c r="A679" s="487" t="b">
        <v>0</v>
      </c>
      <c r="B679" s="487">
        <f t="shared" si="105"/>
        <v>-12</v>
      </c>
      <c r="C679" s="508" t="s">
        <v>7357</v>
      </c>
      <c r="D679" s="487" t="s">
        <v>5603</v>
      </c>
      <c r="E679" s="487">
        <f t="shared" si="106"/>
        <v>6</v>
      </c>
      <c r="F679" s="506">
        <v>28</v>
      </c>
      <c r="G679" s="493"/>
      <c r="H679" s="487">
        <f t="shared" ca="1" si="107"/>
        <v>63</v>
      </c>
      <c r="I679" s="490"/>
      <c r="J679" s="502"/>
      <c r="K679" s="502"/>
      <c r="L679" s="493"/>
      <c r="M679" s="505" t="str">
        <f ca="1">IFERROR(IF(COUNTIF($B$509:$B678,"&lt;0")&lt;&gt;1,OFFSET($C677,-COUNTIF($B$509:$B678,"&lt;0")+3,0),""),"")</f>
        <v/>
      </c>
      <c r="N679" s="505">
        <f ca="1">IFERROR(IF(COUNTA($D$509:D678)=1,0,OFFSET($F677,-COUNTA($D$509:D678)+3,0)),"")</f>
        <v>1</v>
      </c>
      <c r="O679" s="487"/>
      <c r="P679" s="487">
        <f t="shared" si="108"/>
        <v>168</v>
      </c>
      <c r="Q679" s="487"/>
      <c r="R679" s="487"/>
      <c r="S679" s="487"/>
      <c r="T679" s="493"/>
    </row>
    <row r="680" spans="1:20" x14ac:dyDescent="0.3">
      <c r="A680" s="487" t="b">
        <v>0</v>
      </c>
      <c r="B680" s="487">
        <f t="shared" si="105"/>
        <v>-11</v>
      </c>
      <c r="C680" s="508" t="s">
        <v>7358</v>
      </c>
      <c r="D680" s="487" t="s">
        <v>5644</v>
      </c>
      <c r="E680" s="487">
        <f t="shared" si="106"/>
        <v>1</v>
      </c>
      <c r="F680" s="506">
        <v>29</v>
      </c>
      <c r="G680" s="493"/>
      <c r="H680" s="487">
        <f t="shared" ca="1" si="107"/>
        <v>65</v>
      </c>
      <c r="I680" s="490"/>
      <c r="J680" s="502"/>
      <c r="K680" s="502"/>
      <c r="L680" s="493"/>
      <c r="M680" s="505" t="str">
        <f ca="1">IFERROR(IF(COUNTIF($B$509:$B679,"&lt;0")&lt;&gt;1,OFFSET($C678,-COUNTIF($B$509:$B679,"&lt;0")+3,0),""),"")</f>
        <v/>
      </c>
      <c r="N680" s="505">
        <f ca="1">IFERROR(IF(COUNTA($D$509:D679)=1,0,OFFSET($F678,-COUNTA($D$509:D679)+3,0)),"")</f>
        <v>1</v>
      </c>
      <c r="O680" s="487"/>
      <c r="P680" s="487">
        <f t="shared" si="108"/>
        <v>169</v>
      </c>
      <c r="Q680" s="487"/>
      <c r="R680" s="487"/>
      <c r="S680" s="487"/>
      <c r="T680" s="493"/>
    </row>
    <row r="681" spans="1:20" x14ac:dyDescent="0.3">
      <c r="A681" s="487" t="b">
        <v>0</v>
      </c>
      <c r="B681" s="487">
        <f t="shared" si="105"/>
        <v>-10</v>
      </c>
      <c r="C681" s="508" t="s">
        <v>7359</v>
      </c>
      <c r="D681" s="487" t="s">
        <v>5644</v>
      </c>
      <c r="E681" s="487">
        <f t="shared" si="106"/>
        <v>2</v>
      </c>
      <c r="F681" s="506">
        <v>29</v>
      </c>
      <c r="G681" s="493"/>
      <c r="H681" s="487">
        <f t="shared" ca="1" si="107"/>
        <v>65</v>
      </c>
      <c r="I681" s="490"/>
      <c r="J681" s="502"/>
      <c r="K681" s="502"/>
      <c r="L681" s="493"/>
      <c r="M681" s="505" t="str">
        <f ca="1">IFERROR(IF(COUNTIF($B$509:$B680,"&lt;0")&lt;&gt;1,OFFSET($C679,-COUNTIF($B$509:$B680,"&lt;0")+3,0),""),"")</f>
        <v/>
      </c>
      <c r="N681" s="505">
        <f ca="1">IFERROR(IF(COUNTA($D$509:D680)=1,0,OFFSET($F679,-COUNTA($D$509:D680)+3,0)),"")</f>
        <v>1</v>
      </c>
      <c r="O681" s="487"/>
      <c r="P681" s="487">
        <f t="shared" si="108"/>
        <v>170</v>
      </c>
      <c r="Q681" s="487"/>
      <c r="R681" s="487"/>
      <c r="S681" s="487"/>
      <c r="T681" s="493"/>
    </row>
    <row r="682" spans="1:20" x14ac:dyDescent="0.3">
      <c r="A682" s="487" t="b">
        <v>0</v>
      </c>
      <c r="B682" s="487">
        <f t="shared" si="105"/>
        <v>-9</v>
      </c>
      <c r="C682" s="508" t="s">
        <v>7360</v>
      </c>
      <c r="D682" s="487" t="s">
        <v>5644</v>
      </c>
      <c r="E682" s="487">
        <f t="shared" si="106"/>
        <v>3</v>
      </c>
      <c r="F682" s="506">
        <v>29</v>
      </c>
      <c r="G682" s="493"/>
      <c r="H682" s="487">
        <f t="shared" ca="1" si="107"/>
        <v>65</v>
      </c>
      <c r="I682" s="490"/>
      <c r="J682" s="502"/>
      <c r="K682" s="502"/>
      <c r="L682" s="493"/>
      <c r="M682" s="505" t="str">
        <f ca="1">IFERROR(IF(COUNTIF($B$509:$B681,"&lt;0")&lt;&gt;1,OFFSET($C680,-COUNTIF($B$509:$B681,"&lt;0")+3,0),""),"")</f>
        <v/>
      </c>
      <c r="N682" s="505">
        <f ca="1">IFERROR(IF(COUNTA($D$509:D681)=1,0,OFFSET($F680,-COUNTA($D$509:D681)+3,0)),"")</f>
        <v>1</v>
      </c>
      <c r="O682" s="487"/>
      <c r="P682" s="487">
        <f t="shared" si="108"/>
        <v>171</v>
      </c>
      <c r="Q682" s="487"/>
      <c r="R682" s="487"/>
      <c r="S682" s="487"/>
      <c r="T682" s="493"/>
    </row>
    <row r="683" spans="1:20" x14ac:dyDescent="0.3">
      <c r="A683" s="487" t="b">
        <v>0</v>
      </c>
      <c r="B683" s="487">
        <f t="shared" si="105"/>
        <v>-8</v>
      </c>
      <c r="C683" s="508" t="s">
        <v>7361</v>
      </c>
      <c r="D683" s="487" t="s">
        <v>5644</v>
      </c>
      <c r="E683" s="487">
        <f t="shared" si="106"/>
        <v>4</v>
      </c>
      <c r="F683" s="506">
        <v>29</v>
      </c>
      <c r="G683" s="493"/>
      <c r="H683" s="487">
        <f t="shared" ca="1" si="107"/>
        <v>65</v>
      </c>
      <c r="I683" s="490"/>
      <c r="J683" s="502"/>
      <c r="K683" s="502"/>
      <c r="L683" s="493"/>
      <c r="M683" s="505" t="str">
        <f ca="1">IFERROR(IF(COUNTIF($B$509:$B682,"&lt;0")&lt;&gt;1,OFFSET($C681,-COUNTIF($B$509:$B682,"&lt;0")+3,0),""),"")</f>
        <v/>
      </c>
      <c r="N683" s="505">
        <f ca="1">IFERROR(IF(COUNTA($D$509:D682)=1,0,OFFSET($F681,-COUNTA($D$509:D682)+3,0)),"")</f>
        <v>1</v>
      </c>
      <c r="O683" s="487"/>
      <c r="P683" s="487">
        <f t="shared" si="108"/>
        <v>172</v>
      </c>
      <c r="Q683" s="487"/>
      <c r="R683" s="487"/>
      <c r="S683" s="487"/>
      <c r="T683" s="493"/>
    </row>
    <row r="684" spans="1:20" x14ac:dyDescent="0.3">
      <c r="A684" s="487" t="b">
        <v>0</v>
      </c>
      <c r="B684" s="487">
        <f t="shared" si="105"/>
        <v>-7</v>
      </c>
      <c r="C684" s="508" t="s">
        <v>7362</v>
      </c>
      <c r="D684" s="487" t="s">
        <v>5644</v>
      </c>
      <c r="E684" s="487">
        <f t="shared" si="106"/>
        <v>5</v>
      </c>
      <c r="F684" s="506">
        <v>29</v>
      </c>
      <c r="G684" s="493"/>
      <c r="H684" s="487">
        <f t="shared" ca="1" si="107"/>
        <v>65</v>
      </c>
      <c r="I684" s="490"/>
      <c r="J684" s="502"/>
      <c r="K684" s="502"/>
      <c r="L684" s="493"/>
      <c r="M684" s="505" t="str">
        <f ca="1">IFERROR(IF(COUNTIF($B$509:$B683,"&lt;0")&lt;&gt;1,OFFSET($C682,-COUNTIF($B$509:$B683,"&lt;0")+3,0),""),"")</f>
        <v/>
      </c>
      <c r="N684" s="505">
        <f ca="1">IFERROR(IF(COUNTA($D$509:D683)=1,0,OFFSET($F682,-COUNTA($D$509:D683)+3,0)),"")</f>
        <v>1</v>
      </c>
      <c r="O684" s="487"/>
      <c r="P684" s="487">
        <f t="shared" si="108"/>
        <v>173</v>
      </c>
      <c r="Q684" s="487"/>
      <c r="R684" s="487"/>
      <c r="S684" s="487"/>
      <c r="T684" s="493"/>
    </row>
    <row r="685" spans="1:20" x14ac:dyDescent="0.3">
      <c r="A685" s="487" t="b">
        <v>0</v>
      </c>
      <c r="B685" s="487">
        <f t="shared" si="105"/>
        <v>-6</v>
      </c>
      <c r="C685" s="508" t="s">
        <v>7363</v>
      </c>
      <c r="D685" s="487" t="s">
        <v>5644</v>
      </c>
      <c r="E685" s="487">
        <f t="shared" si="106"/>
        <v>6</v>
      </c>
      <c r="F685" s="506">
        <v>29</v>
      </c>
      <c r="G685" s="493"/>
      <c r="H685" s="487">
        <f t="shared" ca="1" si="107"/>
        <v>65</v>
      </c>
      <c r="I685" s="490"/>
      <c r="J685" s="502"/>
      <c r="K685" s="502"/>
      <c r="L685" s="493"/>
      <c r="M685" s="505" t="str">
        <f ca="1">IFERROR(IF(COUNTIF($B$509:$B684,"&lt;0")&lt;&gt;1,OFFSET($C683,-COUNTIF($B$509:$B684,"&lt;0")+3,0),""),"")</f>
        <v/>
      </c>
      <c r="N685" s="505">
        <f ca="1">IFERROR(IF(COUNTA($D$509:D684)=1,0,OFFSET($F683,-COUNTA($D$509:D684)+3,0)),"")</f>
        <v>1</v>
      </c>
      <c r="O685" s="487"/>
      <c r="P685" s="487">
        <f t="shared" si="108"/>
        <v>174</v>
      </c>
      <c r="Q685" s="487"/>
      <c r="R685" s="487"/>
      <c r="S685" s="487"/>
      <c r="T685" s="493"/>
    </row>
    <row r="686" spans="1:20" x14ac:dyDescent="0.3">
      <c r="A686" s="487" t="b">
        <v>0</v>
      </c>
      <c r="B686" s="487">
        <f t="shared" si="105"/>
        <v>-5</v>
      </c>
      <c r="C686" s="508" t="s">
        <v>7364</v>
      </c>
      <c r="D686" s="487" t="s">
        <v>5685</v>
      </c>
      <c r="E686" s="487">
        <f t="shared" si="106"/>
        <v>1</v>
      </c>
      <c r="F686" s="506">
        <v>30</v>
      </c>
      <c r="G686" s="493"/>
      <c r="H686" s="487">
        <f t="shared" ca="1" si="107"/>
        <v>67</v>
      </c>
      <c r="I686" s="490"/>
      <c r="J686" s="502"/>
      <c r="K686" s="502"/>
      <c r="L686" s="493"/>
      <c r="M686" s="505" t="str">
        <f ca="1">IFERROR(IF(COUNTIF($B$509:$B685,"&lt;0")&lt;&gt;1,OFFSET($C684,-COUNTIF($B$509:$B685,"&lt;0")+3,0),""),"")</f>
        <v/>
      </c>
      <c r="N686" s="505">
        <f ca="1">IFERROR(IF(COUNTA($D$509:D685)=1,0,OFFSET($F684,-COUNTA($D$509:D685)+3,0)),"")</f>
        <v>1</v>
      </c>
      <c r="O686" s="487"/>
      <c r="P686" s="487">
        <f t="shared" si="108"/>
        <v>175</v>
      </c>
      <c r="Q686" s="487"/>
      <c r="R686" s="487"/>
      <c r="S686" s="487"/>
      <c r="T686" s="493"/>
    </row>
    <row r="687" spans="1:20" x14ac:dyDescent="0.3">
      <c r="A687" s="487" t="b">
        <v>0</v>
      </c>
      <c r="B687" s="487">
        <f t="shared" si="105"/>
        <v>-4</v>
      </c>
      <c r="C687" s="508" t="s">
        <v>7365</v>
      </c>
      <c r="D687" s="487" t="s">
        <v>5685</v>
      </c>
      <c r="E687" s="487">
        <f t="shared" si="106"/>
        <v>2</v>
      </c>
      <c r="F687" s="506">
        <v>30</v>
      </c>
      <c r="G687" s="493"/>
      <c r="H687" s="487">
        <f t="shared" ca="1" si="107"/>
        <v>67</v>
      </c>
      <c r="I687" s="490"/>
      <c r="J687" s="502"/>
      <c r="K687" s="502"/>
      <c r="L687" s="493"/>
      <c r="M687" s="505" t="str">
        <f ca="1">IFERROR(IF(COUNTIF($B$509:$B686,"&lt;0")&lt;&gt;1,OFFSET($C685,-COUNTIF($B$509:$B686,"&lt;0")+3,0),""),"")</f>
        <v/>
      </c>
      <c r="N687" s="505">
        <f ca="1">IFERROR(IF(COUNTA($D$509:D686)=1,0,OFFSET($F685,-COUNTA($D$509:D686)+3,0)),"")</f>
        <v>1</v>
      </c>
      <c r="O687" s="487"/>
      <c r="P687" s="487">
        <f t="shared" si="108"/>
        <v>176</v>
      </c>
      <c r="Q687" s="487"/>
      <c r="R687" s="487"/>
      <c r="S687" s="487"/>
      <c r="T687" s="493"/>
    </row>
    <row r="688" spans="1:20" x14ac:dyDescent="0.3">
      <c r="A688" s="487" t="b">
        <v>0</v>
      </c>
      <c r="B688" s="487">
        <f t="shared" si="105"/>
        <v>-3</v>
      </c>
      <c r="C688" s="508" t="s">
        <v>7366</v>
      </c>
      <c r="D688" s="487" t="s">
        <v>5685</v>
      </c>
      <c r="E688" s="487">
        <f t="shared" si="106"/>
        <v>3</v>
      </c>
      <c r="F688" s="506">
        <v>30</v>
      </c>
      <c r="G688" s="493"/>
      <c r="H688" s="487">
        <f t="shared" ca="1" si="107"/>
        <v>67</v>
      </c>
      <c r="I688" s="490"/>
      <c r="J688" s="502"/>
      <c r="K688" s="502"/>
      <c r="L688" s="493"/>
      <c r="M688" s="505" t="str">
        <f ca="1">IFERROR(IF(COUNTIF($B$509:$B687,"&lt;0")&lt;&gt;1,OFFSET($C686,-COUNTIF($B$509:$B687,"&lt;0")+3,0),""),"")</f>
        <v/>
      </c>
      <c r="N688" s="505">
        <f ca="1">IFERROR(IF(COUNTA($D$509:D687)=1,0,OFFSET($F686,-COUNTA($D$509:D687)+3,0)),"")</f>
        <v>1</v>
      </c>
      <c r="O688" s="487"/>
      <c r="P688" s="487">
        <f t="shared" si="108"/>
        <v>177</v>
      </c>
      <c r="Q688" s="487"/>
      <c r="R688" s="487"/>
      <c r="S688" s="487"/>
      <c r="T688" s="493"/>
    </row>
    <row r="689" spans="1:20" x14ac:dyDescent="0.3">
      <c r="A689" s="487" t="b">
        <v>0</v>
      </c>
      <c r="B689" s="487">
        <f t="shared" si="105"/>
        <v>-2</v>
      </c>
      <c r="C689" s="508" t="s">
        <v>7367</v>
      </c>
      <c r="D689" s="487" t="s">
        <v>5685</v>
      </c>
      <c r="E689" s="487">
        <f t="shared" si="106"/>
        <v>4</v>
      </c>
      <c r="F689" s="506">
        <v>30</v>
      </c>
      <c r="G689" s="493"/>
      <c r="H689" s="487">
        <f t="shared" ca="1" si="107"/>
        <v>67</v>
      </c>
      <c r="I689" s="490"/>
      <c r="J689" s="502"/>
      <c r="K689" s="502"/>
      <c r="L689" s="493"/>
      <c r="M689" s="505" t="str">
        <f ca="1">IFERROR(IF(COUNTIF($B$509:$B688,"&lt;0")&lt;&gt;1,OFFSET($C687,-COUNTIF($B$509:$B688,"&lt;0")+3,0),""),"")</f>
        <v/>
      </c>
      <c r="N689" s="505">
        <f ca="1">IFERROR(IF(COUNTA($D$509:D688)=1,0,OFFSET($F687,-COUNTA($D$509:D688)+3,0)),"")</f>
        <v>1</v>
      </c>
      <c r="O689" s="487"/>
      <c r="P689" s="487">
        <f t="shared" si="108"/>
        <v>178</v>
      </c>
      <c r="Q689" s="487"/>
      <c r="R689" s="487"/>
      <c r="S689" s="487"/>
      <c r="T689" s="493"/>
    </row>
    <row r="690" spans="1:20" x14ac:dyDescent="0.3">
      <c r="A690" s="487" t="b">
        <v>0</v>
      </c>
      <c r="B690" s="487">
        <f t="shared" si="105"/>
        <v>-1</v>
      </c>
      <c r="C690" s="508" t="s">
        <v>7368</v>
      </c>
      <c r="D690" s="487" t="s">
        <v>5685</v>
      </c>
      <c r="E690" s="487">
        <f t="shared" si="106"/>
        <v>5</v>
      </c>
      <c r="F690" s="506">
        <v>30</v>
      </c>
      <c r="G690" s="493"/>
      <c r="H690" s="487">
        <f t="shared" ca="1" si="107"/>
        <v>67</v>
      </c>
      <c r="I690" s="490"/>
      <c r="J690" s="502"/>
      <c r="K690" s="502"/>
      <c r="L690" s="493"/>
      <c r="M690" s="505" t="str">
        <f ca="1">IFERROR(IF(COUNTIF($B$509:$B689,"&lt;0")&lt;&gt;1,OFFSET($C688,-COUNTIF($B$509:$B689,"&lt;0")+3,0),""),"")</f>
        <v/>
      </c>
      <c r="N690" s="505">
        <f ca="1">IFERROR(IF(COUNTA($D$509:D689)=1,0,OFFSET($F688,-COUNTA($D$509:D689)+3,0)),"")</f>
        <v>1</v>
      </c>
      <c r="O690" s="487"/>
      <c r="P690" s="487">
        <f t="shared" si="108"/>
        <v>179</v>
      </c>
      <c r="Q690" s="487"/>
      <c r="R690" s="487"/>
      <c r="S690" s="487"/>
      <c r="T690" s="493"/>
    </row>
    <row r="691" spans="1:20" x14ac:dyDescent="0.3">
      <c r="A691" s="487" t="b">
        <v>0</v>
      </c>
      <c r="B691" s="487">
        <f t="shared" si="105"/>
        <v>0</v>
      </c>
      <c r="C691" s="508" t="s">
        <v>7369</v>
      </c>
      <c r="D691" s="487" t="s">
        <v>5685</v>
      </c>
      <c r="E691" s="487">
        <f t="shared" si="106"/>
        <v>6</v>
      </c>
      <c r="F691" s="506">
        <v>30</v>
      </c>
      <c r="G691" s="493"/>
      <c r="H691" s="487">
        <f t="shared" ca="1" si="107"/>
        <v>67</v>
      </c>
      <c r="I691" s="490"/>
      <c r="J691" s="502"/>
      <c r="K691" s="502"/>
      <c r="L691" s="493"/>
      <c r="M691" s="505" t="str">
        <f ca="1">IFERROR(IF(COUNTIF($B$509:$B690,"&lt;0")&lt;&gt;1,OFFSET($C689,-COUNTIF($B$509:$B690,"&lt;0")+3,0),""),"")</f>
        <v/>
      </c>
      <c r="N691" s="505">
        <f ca="1">IFERROR(IF(COUNTA($D$509:D690)=1,0,OFFSET($F689,-COUNTA($D$509:D690)+3,0)),"")</f>
        <v>1</v>
      </c>
      <c r="O691" s="487"/>
      <c r="P691" s="487">
        <f t="shared" si="108"/>
        <v>180</v>
      </c>
      <c r="Q691" s="487"/>
      <c r="R691" s="487"/>
      <c r="S691" s="487"/>
      <c r="T691" s="493"/>
    </row>
    <row r="692" spans="1:20" x14ac:dyDescent="0.3">
      <c r="A692" s="487" t="b">
        <f t="shared" ref="A692:A755" ca="1" si="109">IF(OR(I692&lt;&gt;"",J692&lt;&gt;"",K692&lt;&gt;""),TRUE,FALSE)</f>
        <v>1</v>
      </c>
      <c r="B692" s="487">
        <f t="shared" si="105"/>
        <v>1</v>
      </c>
      <c r="C692" s="509" t="str">
        <f t="shared" ref="C692:C755" ca="1" si="110">M692</f>
        <v>a173p000006iLZvAAM</v>
      </c>
      <c r="D692" s="487"/>
      <c r="E692" s="487">
        <f t="shared" ca="1" si="106"/>
        <v>1</v>
      </c>
      <c r="F692" s="506">
        <f ca="1">IF(COUNTA(D$510:D692)=1,"",OFFSET(F690,-COUNTA(D$510:D692)+3,0))</f>
        <v>1</v>
      </c>
      <c r="G692" s="493" t="str">
        <f t="shared" ref="G692:G755" ca="1" si="111">IFERROR(IF(INDIRECT("'Coverage Indicators - Section I'!G"&amp;$I184)=0,"",INDIRECT("'Coverage Indicators - Section I'!G"&amp;$I184)),"")</f>
        <v/>
      </c>
      <c r="H692" s="487">
        <f t="shared" ca="1" si="107"/>
        <v>9</v>
      </c>
      <c r="I692" s="490">
        <f t="shared" ref="I692:I755" ca="1" si="112">IFERROR(CHOOSE(E692,IFERROR(IF(INDIRECT("'Coverage Indicators - Section D'!P"&amp;H692)=0,"",INDIRECT("'Coverage Indicators - Section D'!P"&amp;H692)*100),""),IFERROR(IF(INDIRECT("'Coverage Indicators - Section D'!S"&amp;H692)=0,"",INDIRECT("'Coverage Indicators - Section D'!S"&amp;H692)*100),""),IFERROR(IF(INDIRECT("'Coverage Indicators - Section D'!V"&amp;H692)=0,"",INDIRECT("'Coverage Indicators - Section D'!V"&amp;H692)*100),""),IFERROR(IF(INDIRECT("'Coverage Indicators - Section D'!Y"&amp;H692)=0,"",INDIRECT("'Coverage Indicators - Section D'!Y"&amp;H692)*100),""),IFERROR(IF(INDIRECT("'Coverage Indicators - Section D'!AB"&amp;H692)=0,"",INDIRECT("'Coverage Indicators - Section D'!AB"&amp;H692)*100),""),IFERROR(IF(INDIRECT("'Coverage Indicators - Section D'!AE"&amp;H692)=0,"",INDIRECT("'Coverage Indicators - Section D'!AE"&amp;H692)*100),""),IFERROR(IF(INDIRECT("'Coverage Indicators - SectionD'!AH"&amp;H692)=0,"",INDIRECT("'CoverageIndicators-SectionD'!AH"&amp;H692)*100),""),),"")</f>
        <v>94.999834431603688</v>
      </c>
      <c r="J692" s="502">
        <f t="shared" ref="J692:J755" ca="1" si="113">IFERROR(CHOOSE(E692,IFERROR(IF(INDIRECT("'Coverage Indicators - Section D'!O"&amp;H692+1)=0,"",INDIRECT("'Coverage Indicators - Section D'!O"&amp;H692+1)),""),IFERROR(IF(INDIRECT("'Coverage Indicators - Section D'!R"&amp;H692+1)=0,"",INDIRECT("'Coverage Indicators - Section D'!R"&amp;H692+1)),""),IFERROR(IF(INDIRECT("'Coverage Indicators - Section D'!U"&amp;H692+1)=0,"",INDIRECT("'Coverage Indicators - Section D'!U"&amp;H692+1)),""),IFERROR(IF(INDIRECT("'Coverage Indicators - Section D'!X"&amp;H692+1)=0,"",INDIRECT("'Coverage Indicators - Section D'!X"&amp;H692+1)),""),IFERROR(IF(INDIRECT("'Coverage Indicators - Section D'!AA"&amp;H692+1)=0,"",INDIRECT("'Coverage Indicators - Section D'!AA"&amp;H692+1)),""),IFERROR(IF(INDIRECT("'Coverage Indicators - Section D'!AD"&amp;H692+1)=0,"",INDIRECT("'Coverage Indicators - Section D'!AD"&amp;H692+1)),""),IFERROR(IF(INDIRECT("'Coverage Indicators - Section D'!AG"&amp;H692+1)=0,"",INDIRECT("'Coverage Indicators - Section D'!AG"&amp;H692+1)),""),IFERROR(IF(INDIRECT("'Coverage Indicators - Section D'!AJ"&amp;H692+1)=0,"",INDIRECT("'Coverage Indicators - Section D'!AJ"&amp;H692+1)),""),,),"")</f>
        <v>15099.5</v>
      </c>
      <c r="K692" s="502">
        <f t="shared" ref="K692:K755" ca="1" si="114">IFERROR(CHOOSE(E692,IFERROR(IF(INDIRECT("'Coverage Indicators - Section D'!O"&amp;H692)=0,"",INDIRECT("'Coverage Indicators - Section D'!O"&amp;H692)),""),IFERROR(IF(INDIRECT("'Coverage Indicators - Section D'!R"&amp;H692)=0,"",INDIRECT("'Coverage Indicators - Section D'!R"&amp;H692)),""),IFERROR(IF(INDIRECT("'Coverage Indicators - Section D'!U"&amp;H692)=0,"",INDIRECT("'Coverage Indicators - Section D'!U"&amp;H692)),""),IFERROR(IF(INDIRECT("'Coverage Indicators - Section D'!X"&amp;H692)=0,"",INDIRECT("'Coverage Indicators - Section D'!X"&amp;H692)),""),IFERROR(IF(INDIRECT("'Coverage Indicators - Section D'!AA"&amp;H692)=0,"",INDIRECT("'Coverage Indicators - Section D'!AA"&amp;H692)),""),IFERROR(IF(INDIRECT("'Coverage Indicators - Section D'!AD"&amp;H692)=0,"",INDIRECT("'Coverage Indicators - Section D'!AD"&amp;H692)),""),IFERROR(IF(INDIRECT("'Coverage Indicators - Section D'!AG"&amp;H692)=0,"",INDIRECT("'Coverage Indicators - Section D'!AG"&amp;H692)),""),IFERROR(IF(INDIRECT("'Coverage Indicators - Section D'!AJ"&amp;H692)=0,"",INDIRECT("'Coverage Indicators - Section D'!AJ"&amp;H692)),""),,),"")</f>
        <v>14344.5</v>
      </c>
      <c r="L692" s="493" t="str">
        <f t="shared" ref="L692:L755" ca="1" si="115">IF(IFERROR(CHOOSE(E692,IFERROR(IF(INDIRECT("'Coverage Indicators - Section D'!Q"&amp;H692)=0,"",INDIRECT("'Coverage Indicators - Section D'!Q"&amp;H692+1)),""),IFERROR(IF(INDIRECT("'Coverage Indicators - Section D'!W"&amp;H692)=0,"",INDIRECT("'Coverage Indicators - Section D'!W"&amp;H692+1)),""),IFERROR(IF(INDIRECT("'Coverage Indicators - Section D'!Z"&amp;H692)=0,"",INDIRECT("'Coverage Indicators - Section D'!Z"&amp;H692+1)),""),IFERROR(IF(INDIRECT("'Coverage Indicators - Section D'!AC"&amp;H692)=0,"",INDIRECT("'Coverage Indicators - Section D'!AC"&amp;H692+1)),""),IFERROR(IF(INDIRECT("'Coverage Indicators - Section D'!AF"&amp;H692)=0,"",INDIRECT("'Coverage Indicators - Section D'!AF"&amp;H692+1)),""),IFERROR(IF(INDIRECT("'Coverage Indicators - Section D'!AI"&amp;H692)=0,"",INDIRECT("'Coverage Indicators - Section D'!AI"&amp;H692+1)),""),IFERROR(IF(INDIRECT("'Coverage Indicators - Section D'!AL"&amp;H692)=0,"",INDIRECT("'Coverage Indicators - Section D'!AL"&amp;H692+1)),"")),"")=0,"",CHOOSE(E692,IFERROR(IF(INDIRECT("'Coverage Indicators - Section D'!Q"&amp;H692)=0,"",INDIRECT("'Coverage Indicators - Section D'!Q"&amp;H692+1)),""),IFERROR(IF(INDIRECT("'Coverage Indicators - Section D'!W"&amp;H692)=0,"",INDIRECT("'Coverage Indicators - Section D'!W"&amp;H692+1)),""),IFERROR(IF(INDIRECT("'Coverage Indicators - Section D'!Z"&amp;H692)=0,"",INDIRECT("'Coverage Indicators - Section D'!Z"&amp;H692+1)),""),IFERROR(IF(INDIRECT("'Coverage Indicators - Section D'!AC"&amp;H692)=0,"",INDIRECT("'Coverage Indicators - Section D'!AC"&amp;H692+1)),""),IFERROR(IF(INDIRECT("'Coverage Indicators - Section D'!AF"&amp;H692)=0,"",INDIRECT("'Coverage Indicators - Section D'!AF"&amp;H692+1)),""),IFERROR(IF(INDIRECT("'Coverage Indicators - Section D'!AI"&amp;H692)=0,"",INDIRECT("'Coverage Indicators - Section D'!AI"&amp;H692+1)),""),IFERROR(IF(INDIRECT("'Coverage Indicators - Section D'!AL"&amp;H692)=0,"",INDIRECT("'Coverage Indicators - Section D'!AL"&amp;H692+1)),"")))</f>
        <v/>
      </c>
      <c r="M692" s="505" t="str">
        <f ca="1">IFERROR(IF(COUNTIF($B$509:$B691,"&lt;0")&lt;&gt;1,OFFSET($C690,-COUNTIF($B$509:$B691,"&lt;0")+3,0),""),"")</f>
        <v>a173p000006iLZvAAM</v>
      </c>
      <c r="N692" s="505">
        <f ca="1">IFERROR(IF(COUNTA($D$509:D691)=1,0,OFFSET($F690,-COUNTA($D$509:D691)+3,0)),"")</f>
        <v>1</v>
      </c>
      <c r="O692" s="487"/>
      <c r="P692" s="487">
        <f t="shared" si="108"/>
        <v>0</v>
      </c>
      <c r="Q692" s="487"/>
      <c r="R692" s="487"/>
      <c r="S692" s="487"/>
      <c r="T692" s="493"/>
    </row>
    <row r="693" spans="1:20" x14ac:dyDescent="0.3">
      <c r="A693" s="487" t="b">
        <f t="shared" ca="1" si="109"/>
        <v>1</v>
      </c>
      <c r="B693" s="487">
        <f t="shared" si="105"/>
        <v>2</v>
      </c>
      <c r="C693" s="509" t="str">
        <f t="shared" ca="1" si="110"/>
        <v>a173p000006iLaPAAU</v>
      </c>
      <c r="D693" s="487"/>
      <c r="E693" s="487">
        <f t="shared" ca="1" si="106"/>
        <v>2</v>
      </c>
      <c r="F693" s="506">
        <f ca="1">IF(COUNTA(D$510:D693)=1,"",OFFSET(F691,-COUNTA(D$510:D693)+3,0))</f>
        <v>1</v>
      </c>
      <c r="G693" s="493" t="str">
        <f t="shared" ca="1" si="111"/>
        <v/>
      </c>
      <c r="H693" s="487">
        <f t="shared" ca="1" si="107"/>
        <v>9</v>
      </c>
      <c r="I693" s="490">
        <f t="shared" ca="1" si="112"/>
        <v>94.999834431603688</v>
      </c>
      <c r="J693" s="502">
        <f t="shared" ca="1" si="113"/>
        <v>30199</v>
      </c>
      <c r="K693" s="502">
        <f t="shared" ca="1" si="114"/>
        <v>28689</v>
      </c>
      <c r="L693" s="493" t="str">
        <f t="shared" ca="1" si="115"/>
        <v/>
      </c>
      <c r="M693" s="505" t="str">
        <f ca="1">IFERROR(IF(COUNTIF($B$509:$B692,"&lt;0")&lt;&gt;1,OFFSET($C691,-COUNTIF($B$509:$B692,"&lt;0")+3,0),""),"")</f>
        <v>a173p000006iLaPAAU</v>
      </c>
      <c r="N693" s="505">
        <f ca="1">IFERROR(IF(COUNTA($D$509:D692)=1,0,OFFSET($F691,-COUNTA($D$509:D692)+3,0)),"")</f>
        <v>1</v>
      </c>
      <c r="O693" s="487"/>
      <c r="P693" s="487">
        <f t="shared" si="108"/>
        <v>0</v>
      </c>
      <c r="Q693" s="487"/>
      <c r="R693" s="487"/>
      <c r="S693" s="487"/>
      <c r="T693" s="493"/>
    </row>
    <row r="694" spans="1:20" x14ac:dyDescent="0.3">
      <c r="A694" s="487" t="b">
        <f t="shared" ca="1" si="109"/>
        <v>1</v>
      </c>
      <c r="B694" s="487">
        <f t="shared" si="105"/>
        <v>3</v>
      </c>
      <c r="C694" s="509" t="str">
        <f t="shared" ca="1" si="110"/>
        <v>a173p000006iLatAAE</v>
      </c>
      <c r="D694" s="487"/>
      <c r="E694" s="487">
        <f t="shared" ca="1" si="106"/>
        <v>3</v>
      </c>
      <c r="F694" s="506">
        <f ca="1">IF(COUNTA(D$510:D694)=1,"",OFFSET(F692,-COUNTA(D$510:D694)+3,0))</f>
        <v>1</v>
      </c>
      <c r="G694" s="493" t="str">
        <f t="shared" ca="1" si="111"/>
        <v/>
      </c>
      <c r="H694" s="487">
        <f t="shared" ca="1" si="107"/>
        <v>9</v>
      </c>
      <c r="I694" s="490">
        <f t="shared" ca="1" si="112"/>
        <v>95.997000093747076</v>
      </c>
      <c r="J694" s="502">
        <f t="shared" ca="1" si="113"/>
        <v>10667</v>
      </c>
      <c r="K694" s="502">
        <f t="shared" ca="1" si="114"/>
        <v>10240</v>
      </c>
      <c r="L694" s="493" t="str">
        <f t="shared" ca="1" si="115"/>
        <v/>
      </c>
      <c r="M694" s="505" t="str">
        <f ca="1">IFERROR(IF(COUNTIF($B$509:$B693,"&lt;0")&lt;&gt;1,OFFSET($C692,-COUNTIF($B$509:$B693,"&lt;0")+3,0),""),"")</f>
        <v>a173p000006iLatAAE</v>
      </c>
      <c r="N694" s="505">
        <f ca="1">IFERROR(IF(COUNTA($D$509:D693)=1,0,OFFSET($F692,-COUNTA($D$509:D693)+3,0)),"")</f>
        <v>1</v>
      </c>
      <c r="O694" s="487"/>
      <c r="P694" s="487">
        <f t="shared" si="108"/>
        <v>0</v>
      </c>
      <c r="Q694" s="487"/>
      <c r="R694" s="487"/>
      <c r="S694" s="487"/>
      <c r="T694" s="493"/>
    </row>
    <row r="695" spans="1:20" x14ac:dyDescent="0.3">
      <c r="A695" s="487" t="b">
        <f t="shared" ca="1" si="109"/>
        <v>1</v>
      </c>
      <c r="B695" s="487">
        <f t="shared" si="105"/>
        <v>4</v>
      </c>
      <c r="C695" s="509" t="str">
        <f t="shared" ca="1" si="110"/>
        <v>a173p000006iLbNAAU</v>
      </c>
      <c r="D695" s="487"/>
      <c r="E695" s="487">
        <f t="shared" ca="1" si="106"/>
        <v>4</v>
      </c>
      <c r="F695" s="506">
        <f ca="1">IF(COUNTA(D$510:D695)=1,"",OFFSET(F693,-COUNTA(D$510:D695)+3,0))</f>
        <v>1</v>
      </c>
      <c r="G695" s="493" t="str">
        <f t="shared" ca="1" si="111"/>
        <v/>
      </c>
      <c r="H695" s="487">
        <f t="shared" ca="1" si="107"/>
        <v>9</v>
      </c>
      <c r="I695" s="490">
        <f t="shared" ca="1" si="112"/>
        <v>95.997000093747076</v>
      </c>
      <c r="J695" s="502">
        <f t="shared" ca="1" si="113"/>
        <v>21334</v>
      </c>
      <c r="K695" s="502">
        <f t="shared" ca="1" si="114"/>
        <v>20480</v>
      </c>
      <c r="L695" s="493" t="str">
        <f t="shared" ca="1" si="115"/>
        <v/>
      </c>
      <c r="M695" s="505" t="str">
        <f ca="1">IFERROR(IF(COUNTIF($B$509:$B694,"&lt;0")&lt;&gt;1,OFFSET($C693,-COUNTIF($B$509:$B694,"&lt;0")+3,0),""),"")</f>
        <v>a173p000006iLbNAAU</v>
      </c>
      <c r="N695" s="505">
        <f ca="1">IFERROR(IF(COUNTA($D$509:D694)=1,0,OFFSET($F693,-COUNTA($D$509:D694)+3,0)),"")</f>
        <v>1</v>
      </c>
      <c r="O695" s="487"/>
      <c r="P695" s="487">
        <f t="shared" si="108"/>
        <v>0</v>
      </c>
      <c r="Q695" s="487"/>
      <c r="R695" s="487"/>
      <c r="S695" s="487"/>
      <c r="T695" s="493"/>
    </row>
    <row r="696" spans="1:20" x14ac:dyDescent="0.3">
      <c r="A696" s="487" t="b">
        <f t="shared" ca="1" si="109"/>
        <v>1</v>
      </c>
      <c r="B696" s="487">
        <f t="shared" si="105"/>
        <v>5</v>
      </c>
      <c r="C696" s="509" t="str">
        <f t="shared" ca="1" si="110"/>
        <v>a173p000006iLbrAAE</v>
      </c>
      <c r="D696" s="487"/>
      <c r="E696" s="487">
        <f t="shared" ca="1" si="106"/>
        <v>5</v>
      </c>
      <c r="F696" s="506">
        <f ca="1">IF(COUNTA(D$510:D696)=1,"",OFFSET(F694,-COUNTA(D$510:D696)+3,0))</f>
        <v>1</v>
      </c>
      <c r="G696" s="493" t="str">
        <f t="shared" ca="1" si="111"/>
        <v/>
      </c>
      <c r="H696" s="487">
        <f t="shared" ca="1" si="107"/>
        <v>9</v>
      </c>
      <c r="I696" s="490">
        <f t="shared" ca="1" si="112"/>
        <v>96.99811202013845</v>
      </c>
      <c r="J696" s="502">
        <f t="shared" ca="1" si="113"/>
        <v>7945</v>
      </c>
      <c r="K696" s="502">
        <f t="shared" ca="1" si="114"/>
        <v>7706.5</v>
      </c>
      <c r="L696" s="493" t="str">
        <f t="shared" ca="1" si="115"/>
        <v/>
      </c>
      <c r="M696" s="505" t="str">
        <f ca="1">IFERROR(IF(COUNTIF($B$509:$B695,"&lt;0")&lt;&gt;1,OFFSET($C694,-COUNTIF($B$509:$B695,"&lt;0")+3,0),""),"")</f>
        <v>a173p000006iLbrAAE</v>
      </c>
      <c r="N696" s="505">
        <f ca="1">IFERROR(IF(COUNTA($D$509:D695)=1,0,OFFSET($F694,-COUNTA($D$509:D695)+3,0)),"")</f>
        <v>1</v>
      </c>
      <c r="O696" s="487"/>
      <c r="P696" s="487">
        <f t="shared" si="108"/>
        <v>0</v>
      </c>
      <c r="Q696" s="487"/>
      <c r="R696" s="487"/>
      <c r="S696" s="487"/>
      <c r="T696" s="493"/>
    </row>
    <row r="697" spans="1:20" x14ac:dyDescent="0.3">
      <c r="A697" s="487" t="b">
        <f t="shared" ca="1" si="109"/>
        <v>1</v>
      </c>
      <c r="B697" s="487">
        <f t="shared" si="105"/>
        <v>6</v>
      </c>
      <c r="C697" s="509" t="str">
        <f t="shared" ca="1" si="110"/>
        <v>a173p000006iLcLAAU</v>
      </c>
      <c r="D697" s="487"/>
      <c r="E697" s="487">
        <f t="shared" ca="1" si="106"/>
        <v>6</v>
      </c>
      <c r="F697" s="506">
        <f ca="1">IF(COUNTA(D$510:D697)=1,"",OFFSET(F695,-COUNTA(D$510:D697)+3,0))</f>
        <v>1</v>
      </c>
      <c r="G697" s="493" t="str">
        <f t="shared" ca="1" si="111"/>
        <v/>
      </c>
      <c r="H697" s="487">
        <f t="shared" ca="1" si="107"/>
        <v>9</v>
      </c>
      <c r="I697" s="490">
        <f t="shared" ca="1" si="112"/>
        <v>96.99811202013845</v>
      </c>
      <c r="J697" s="502">
        <f t="shared" ca="1" si="113"/>
        <v>15890</v>
      </c>
      <c r="K697" s="502">
        <f t="shared" ca="1" si="114"/>
        <v>15413</v>
      </c>
      <c r="L697" s="493" t="str">
        <f t="shared" ca="1" si="115"/>
        <v/>
      </c>
      <c r="M697" s="505" t="str">
        <f ca="1">IFERROR(IF(COUNTIF($B$509:$B696,"&lt;0")&lt;&gt;1,OFFSET($C695,-COUNTIF($B$509:$B696,"&lt;0")+3,0),""),"")</f>
        <v>a173p000006iLcLAAU</v>
      </c>
      <c r="N697" s="505">
        <f ca="1">IFERROR(IF(COUNTA($D$509:D696)=1,0,OFFSET($F695,-COUNTA($D$509:D696)+3,0)),"")</f>
        <v>1</v>
      </c>
      <c r="O697" s="487"/>
      <c r="P697" s="487">
        <f t="shared" si="108"/>
        <v>0</v>
      </c>
      <c r="Q697" s="487"/>
      <c r="R697" s="487"/>
      <c r="S697" s="487"/>
      <c r="T697" s="493"/>
    </row>
    <row r="698" spans="1:20" x14ac:dyDescent="0.3">
      <c r="A698" s="487" t="b">
        <f t="shared" ca="1" si="109"/>
        <v>1</v>
      </c>
      <c r="B698" s="487">
        <f t="shared" si="105"/>
        <v>7</v>
      </c>
      <c r="C698" s="509" t="str">
        <f t="shared" ca="1" si="110"/>
        <v>a173p000006iLZwAAM</v>
      </c>
      <c r="D698" s="487"/>
      <c r="E698" s="487">
        <f t="shared" ca="1" si="106"/>
        <v>1</v>
      </c>
      <c r="F698" s="506">
        <f ca="1">IF(COUNTA(D$510:D698)=1,"",OFFSET(F696,-COUNTA(D$510:D698)+3,0))</f>
        <v>2</v>
      </c>
      <c r="G698" s="493" t="str">
        <f t="shared" ca="1" si="111"/>
        <v/>
      </c>
      <c r="H698" s="487">
        <f t="shared" ca="1" si="107"/>
        <v>11</v>
      </c>
      <c r="I698" s="490">
        <f t="shared" ca="1" si="112"/>
        <v>66.000372462598548</v>
      </c>
      <c r="J698" s="502">
        <f t="shared" ca="1" si="113"/>
        <v>24163.5</v>
      </c>
      <c r="K698" s="502">
        <f t="shared" ca="1" si="114"/>
        <v>15948</v>
      </c>
      <c r="L698" s="493" t="str">
        <f t="shared" ca="1" si="115"/>
        <v/>
      </c>
      <c r="M698" s="505" t="str">
        <f ca="1">IFERROR(IF(COUNTIF($B$509:$B697,"&lt;0")&lt;&gt;1,OFFSET($C696,-COUNTIF($B$509:$B697,"&lt;0")+3,0),""),"")</f>
        <v>a173p000006iLZwAAM</v>
      </c>
      <c r="N698" s="505">
        <f ca="1">IFERROR(IF(COUNTA($D$509:D697)=1,0,OFFSET($F696,-COUNTA($D$509:D697)+3,0)),"")</f>
        <v>2</v>
      </c>
      <c r="O698" s="487"/>
      <c r="P698" s="487">
        <f t="shared" si="108"/>
        <v>0</v>
      </c>
      <c r="Q698" s="487"/>
      <c r="R698" s="487"/>
      <c r="S698" s="487"/>
      <c r="T698" s="493"/>
    </row>
    <row r="699" spans="1:20" x14ac:dyDescent="0.3">
      <c r="A699" s="487" t="b">
        <f t="shared" ca="1" si="109"/>
        <v>1</v>
      </c>
      <c r="B699" s="487">
        <f t="shared" si="105"/>
        <v>8</v>
      </c>
      <c r="C699" s="509" t="str">
        <f t="shared" ca="1" si="110"/>
        <v>a173p000006iLaQAAU</v>
      </c>
      <c r="D699" s="487"/>
      <c r="E699" s="487">
        <f t="shared" ca="1" si="106"/>
        <v>2</v>
      </c>
      <c r="F699" s="506">
        <f ca="1">IF(COUNTA(D$510:D699)=1,"",OFFSET(F697,-COUNTA(D$510:D699)+3,0))</f>
        <v>2</v>
      </c>
      <c r="G699" s="493" t="str">
        <f t="shared" ca="1" si="111"/>
        <v/>
      </c>
      <c r="H699" s="487">
        <f t="shared" ca="1" si="107"/>
        <v>11</v>
      </c>
      <c r="I699" s="490">
        <f t="shared" ca="1" si="112"/>
        <v>66.000372462598548</v>
      </c>
      <c r="J699" s="502">
        <f t="shared" ca="1" si="113"/>
        <v>48327</v>
      </c>
      <c r="K699" s="502">
        <f t="shared" ca="1" si="114"/>
        <v>31896</v>
      </c>
      <c r="L699" s="493" t="str">
        <f t="shared" ca="1" si="115"/>
        <v/>
      </c>
      <c r="M699" s="505" t="str">
        <f ca="1">IFERROR(IF(COUNTIF($B$509:$B698,"&lt;0")&lt;&gt;1,OFFSET($C697,-COUNTIF($B$509:$B698,"&lt;0")+3,0),""),"")</f>
        <v>a173p000006iLaQAAU</v>
      </c>
      <c r="N699" s="505">
        <f ca="1">IFERROR(IF(COUNTA($D$509:D698)=1,0,OFFSET($F697,-COUNTA($D$509:D698)+3,0)),"")</f>
        <v>2</v>
      </c>
      <c r="O699" s="487"/>
      <c r="P699" s="487">
        <f t="shared" si="108"/>
        <v>0</v>
      </c>
      <c r="Q699" s="487"/>
      <c r="R699" s="487"/>
      <c r="S699" s="487"/>
      <c r="T699" s="493"/>
    </row>
    <row r="700" spans="1:20" x14ac:dyDescent="0.3">
      <c r="A700" s="487" t="b">
        <f t="shared" ca="1" si="109"/>
        <v>1</v>
      </c>
      <c r="B700" s="487">
        <f t="shared" si="105"/>
        <v>9</v>
      </c>
      <c r="C700" s="509" t="str">
        <f t="shared" ca="1" si="110"/>
        <v>a173p000006iLauAAE</v>
      </c>
      <c r="D700" s="487"/>
      <c r="E700" s="487">
        <f t="shared" ca="1" si="106"/>
        <v>3</v>
      </c>
      <c r="F700" s="506">
        <f ca="1">IF(COUNTA(D$510:D700)=1,"",OFFSET(F698,-COUNTA(D$510:D700)+3,0))</f>
        <v>2</v>
      </c>
      <c r="G700" s="493" t="str">
        <f t="shared" ca="1" si="111"/>
        <v/>
      </c>
      <c r="H700" s="487">
        <f t="shared" ca="1" si="107"/>
        <v>11</v>
      </c>
      <c r="I700" s="490">
        <f t="shared" ca="1" si="112"/>
        <v>71.99913431837409</v>
      </c>
      <c r="J700" s="502">
        <f t="shared" ca="1" si="113"/>
        <v>25413.5</v>
      </c>
      <c r="K700" s="502">
        <f t="shared" ca="1" si="114"/>
        <v>18297.5</v>
      </c>
      <c r="L700" s="493" t="str">
        <f t="shared" ca="1" si="115"/>
        <v/>
      </c>
      <c r="M700" s="505" t="str">
        <f ca="1">IFERROR(IF(COUNTIF($B$509:$B699,"&lt;0")&lt;&gt;1,OFFSET($C698,-COUNTIF($B$509:$B699,"&lt;0")+3,0),""),"")</f>
        <v>a173p000006iLauAAE</v>
      </c>
      <c r="N700" s="505">
        <f ca="1">IFERROR(IF(COUNTA($D$509:D699)=1,0,OFFSET($F698,-COUNTA($D$509:D699)+3,0)),"")</f>
        <v>2</v>
      </c>
      <c r="O700" s="487"/>
      <c r="P700" s="487">
        <f t="shared" si="108"/>
        <v>0</v>
      </c>
      <c r="Q700" s="487"/>
      <c r="R700" s="487"/>
      <c r="S700" s="487"/>
      <c r="T700" s="493"/>
    </row>
    <row r="701" spans="1:20" x14ac:dyDescent="0.3">
      <c r="A701" s="487" t="b">
        <f t="shared" ca="1" si="109"/>
        <v>1</v>
      </c>
      <c r="B701" s="487">
        <f t="shared" si="105"/>
        <v>10</v>
      </c>
      <c r="C701" s="509" t="str">
        <f t="shared" ca="1" si="110"/>
        <v>a173p000006iLbOAAU</v>
      </c>
      <c r="D701" s="487"/>
      <c r="E701" s="487">
        <f t="shared" ca="1" si="106"/>
        <v>4</v>
      </c>
      <c r="F701" s="506">
        <f ca="1">IF(COUNTA(D$510:D701)=1,"",OFFSET(F699,-COUNTA(D$510:D701)+3,0))</f>
        <v>2</v>
      </c>
      <c r="G701" s="493" t="str">
        <f t="shared" ca="1" si="111"/>
        <v/>
      </c>
      <c r="H701" s="487">
        <f t="shared" ca="1" si="107"/>
        <v>11</v>
      </c>
      <c r="I701" s="490">
        <f t="shared" ca="1" si="112"/>
        <v>71.99913431837409</v>
      </c>
      <c r="J701" s="502">
        <f t="shared" ca="1" si="113"/>
        <v>50827</v>
      </c>
      <c r="K701" s="502">
        <f t="shared" ca="1" si="114"/>
        <v>36595</v>
      </c>
      <c r="L701" s="493" t="str">
        <f t="shared" ca="1" si="115"/>
        <v/>
      </c>
      <c r="M701" s="505" t="str">
        <f ca="1">IFERROR(IF(COUNTIF($B$509:$B700,"&lt;0")&lt;&gt;1,OFFSET($C699,-COUNTIF($B$509:$B700,"&lt;0")+3,0),""),"")</f>
        <v>a173p000006iLbOAAU</v>
      </c>
      <c r="N701" s="505">
        <f ca="1">IFERROR(IF(COUNTA($D$509:D700)=1,0,OFFSET($F699,-COUNTA($D$509:D700)+3,0)),"")</f>
        <v>2</v>
      </c>
      <c r="O701" s="487"/>
      <c r="P701" s="487">
        <f t="shared" si="108"/>
        <v>0</v>
      </c>
      <c r="Q701" s="487"/>
      <c r="R701" s="487"/>
      <c r="S701" s="487"/>
      <c r="T701" s="493"/>
    </row>
    <row r="702" spans="1:20" x14ac:dyDescent="0.3">
      <c r="A702" s="487" t="b">
        <f t="shared" ca="1" si="109"/>
        <v>1</v>
      </c>
      <c r="B702" s="487">
        <f t="shared" si="105"/>
        <v>11</v>
      </c>
      <c r="C702" s="509" t="str">
        <f t="shared" ca="1" si="110"/>
        <v>a173p000006iLbsAAE</v>
      </c>
      <c r="D702" s="487"/>
      <c r="E702" s="487">
        <f t="shared" ca="1" si="106"/>
        <v>5</v>
      </c>
      <c r="F702" s="506">
        <f ca="1">IF(COUNTA(D$510:D702)=1,"",OFFSET(F700,-COUNTA(D$510:D702)+3,0))</f>
        <v>2</v>
      </c>
      <c r="G702" s="493" t="str">
        <f t="shared" ca="1" si="111"/>
        <v/>
      </c>
      <c r="H702" s="487">
        <f t="shared" ca="1" si="107"/>
        <v>11</v>
      </c>
      <c r="I702" s="490">
        <f t="shared" ca="1" si="112"/>
        <v>77.999887486639039</v>
      </c>
      <c r="J702" s="502">
        <f t="shared" ca="1" si="113"/>
        <v>26663.5</v>
      </c>
      <c r="K702" s="502">
        <f t="shared" ca="1" si="114"/>
        <v>20797.5</v>
      </c>
      <c r="L702" s="493" t="str">
        <f t="shared" ca="1" si="115"/>
        <v/>
      </c>
      <c r="M702" s="505" t="str">
        <f ca="1">IFERROR(IF(COUNTIF($B$509:$B701,"&lt;0")&lt;&gt;1,OFFSET($C700,-COUNTIF($B$509:$B701,"&lt;0")+3,0),""),"")</f>
        <v>a173p000006iLbsAAE</v>
      </c>
      <c r="N702" s="505">
        <f ca="1">IFERROR(IF(COUNTA($D$509:D701)=1,0,OFFSET($F700,-COUNTA($D$509:D701)+3,0)),"")</f>
        <v>2</v>
      </c>
      <c r="O702" s="487"/>
      <c r="P702" s="487">
        <f t="shared" si="108"/>
        <v>0</v>
      </c>
      <c r="Q702" s="487"/>
      <c r="R702" s="487"/>
      <c r="S702" s="487"/>
      <c r="T702" s="493"/>
    </row>
    <row r="703" spans="1:20" x14ac:dyDescent="0.3">
      <c r="A703" s="487" t="b">
        <f t="shared" ca="1" si="109"/>
        <v>1</v>
      </c>
      <c r="B703" s="487">
        <f t="shared" si="105"/>
        <v>12</v>
      </c>
      <c r="C703" s="509" t="str">
        <f t="shared" ca="1" si="110"/>
        <v>a173p000006iLcMAAU</v>
      </c>
      <c r="D703" s="487"/>
      <c r="E703" s="487">
        <f t="shared" ca="1" si="106"/>
        <v>6</v>
      </c>
      <c r="F703" s="506">
        <f ca="1">IF(COUNTA(D$510:D703)=1,"",OFFSET(F701,-COUNTA(D$510:D703)+3,0))</f>
        <v>2</v>
      </c>
      <c r="G703" s="493" t="str">
        <f t="shared" ca="1" si="111"/>
        <v/>
      </c>
      <c r="H703" s="487">
        <f t="shared" ca="1" si="107"/>
        <v>11</v>
      </c>
      <c r="I703" s="490">
        <f t="shared" ca="1" si="112"/>
        <v>77.999887486639039</v>
      </c>
      <c r="J703" s="502">
        <f t="shared" ca="1" si="113"/>
        <v>53327</v>
      </c>
      <c r="K703" s="502">
        <f t="shared" ca="1" si="114"/>
        <v>41595</v>
      </c>
      <c r="L703" s="493" t="str">
        <f t="shared" ca="1" si="115"/>
        <v/>
      </c>
      <c r="M703" s="505" t="str">
        <f ca="1">IFERROR(IF(COUNTIF($B$509:$B702,"&lt;0")&lt;&gt;1,OFFSET($C701,-COUNTIF($B$509:$B702,"&lt;0")+3,0),""),"")</f>
        <v>a173p000006iLcMAAU</v>
      </c>
      <c r="N703" s="505">
        <f ca="1">IFERROR(IF(COUNTA($D$509:D702)=1,0,OFFSET($F701,-COUNTA($D$509:D702)+3,0)),"")</f>
        <v>2</v>
      </c>
      <c r="O703" s="487"/>
      <c r="P703" s="487">
        <f t="shared" si="108"/>
        <v>0</v>
      </c>
      <c r="Q703" s="487"/>
      <c r="R703" s="487"/>
      <c r="S703" s="487"/>
      <c r="T703" s="493"/>
    </row>
    <row r="704" spans="1:20" x14ac:dyDescent="0.3">
      <c r="A704" s="487" t="b">
        <f t="shared" ca="1" si="109"/>
        <v>1</v>
      </c>
      <c r="B704" s="487">
        <f t="shared" ref="B704:B767" si="116">B703+1</f>
        <v>13</v>
      </c>
      <c r="C704" s="509" t="str">
        <f t="shared" ca="1" si="110"/>
        <v>a173p000006iLZxAAM</v>
      </c>
      <c r="D704" s="487"/>
      <c r="E704" s="487">
        <f t="shared" ref="E704:E767" ca="1" si="117">COUNTIF(F637:F704,F704)</f>
        <v>1</v>
      </c>
      <c r="F704" s="506">
        <f ca="1">IF(COUNTA(D$510:D704)=1,"",OFFSET(F702,-COUNTA(D$510:D704)+3,0))</f>
        <v>3</v>
      </c>
      <c r="G704" s="493" t="str">
        <f t="shared" ca="1" si="111"/>
        <v/>
      </c>
      <c r="H704" s="487">
        <f t="shared" ref="H704:H767" ca="1" si="118">IF(F704=1,9,IF(E703=MAX(E702:E704),H702+2,H703))</f>
        <v>13</v>
      </c>
      <c r="I704" s="490">
        <f t="shared" ca="1" si="112"/>
        <v>48</v>
      </c>
      <c r="J704" s="502">
        <f t="shared" ca="1" si="113"/>
        <v>1077908</v>
      </c>
      <c r="K704" s="502">
        <f t="shared" ca="1" si="114"/>
        <v>517395.83999999997</v>
      </c>
      <c r="L704" s="493" t="str">
        <f t="shared" ca="1" si="115"/>
        <v/>
      </c>
      <c r="M704" s="505" t="str">
        <f ca="1">IFERROR(IF(COUNTIF($B$509:$B703,"&lt;0")&lt;&gt;1,OFFSET($C702,-COUNTIF($B$509:$B703,"&lt;0")+3,0),""),"")</f>
        <v>a173p000006iLZxAAM</v>
      </c>
      <c r="N704" s="505">
        <f ca="1">IFERROR(IF(COUNTA($D$509:D703)=1,0,OFFSET($F702,-COUNTA($D$509:D703)+3,0)),"")</f>
        <v>3</v>
      </c>
      <c r="O704" s="487"/>
      <c r="P704" s="487">
        <f t="shared" ref="P704:P767" si="119">IF(NOT(_xlfn.ISFORMULA(I704)),P703+1,0)</f>
        <v>0</v>
      </c>
      <c r="Q704" s="487"/>
      <c r="R704" s="487"/>
      <c r="S704" s="487"/>
      <c r="T704" s="493"/>
    </row>
    <row r="705" spans="1:20" x14ac:dyDescent="0.3">
      <c r="A705" s="487" t="b">
        <f t="shared" ca="1" si="109"/>
        <v>1</v>
      </c>
      <c r="B705" s="487">
        <f t="shared" si="116"/>
        <v>14</v>
      </c>
      <c r="C705" s="509" t="str">
        <f t="shared" ca="1" si="110"/>
        <v>a173p000006iLaRAAU</v>
      </c>
      <c r="D705" s="487"/>
      <c r="E705" s="487">
        <f t="shared" ca="1" si="117"/>
        <v>2</v>
      </c>
      <c r="F705" s="506">
        <f ca="1">IF(COUNTA(D$510:D705)=1,"",OFFSET(F703,-COUNTA(D$510:D705)+3,0))</f>
        <v>3</v>
      </c>
      <c r="G705" s="493" t="str">
        <f t="shared" ca="1" si="111"/>
        <v/>
      </c>
      <c r="H705" s="487">
        <f t="shared" ca="1" si="118"/>
        <v>13</v>
      </c>
      <c r="I705" s="490">
        <f t="shared" ca="1" si="112"/>
        <v>96</v>
      </c>
      <c r="J705" s="502">
        <f t="shared" ca="1" si="113"/>
        <v>1077908</v>
      </c>
      <c r="K705" s="502">
        <f t="shared" ca="1" si="114"/>
        <v>1034791.6799999999</v>
      </c>
      <c r="L705" s="493" t="str">
        <f t="shared" ca="1" si="115"/>
        <v/>
      </c>
      <c r="M705" s="505" t="str">
        <f ca="1">IFERROR(IF(COUNTIF($B$509:$B704,"&lt;0")&lt;&gt;1,OFFSET($C703,-COUNTIF($B$509:$B704,"&lt;0")+3,0),""),"")</f>
        <v>a173p000006iLaRAAU</v>
      </c>
      <c r="N705" s="505">
        <f ca="1">IFERROR(IF(COUNTA($D$509:D704)=1,0,OFFSET($F703,-COUNTA($D$509:D704)+3,0)),"")</f>
        <v>3</v>
      </c>
      <c r="O705" s="487"/>
      <c r="P705" s="487">
        <f t="shared" si="119"/>
        <v>0</v>
      </c>
      <c r="Q705" s="487"/>
      <c r="R705" s="487"/>
      <c r="S705" s="487"/>
      <c r="T705" s="493"/>
    </row>
    <row r="706" spans="1:20" x14ac:dyDescent="0.3">
      <c r="A706" s="487" t="b">
        <f t="shared" ca="1" si="109"/>
        <v>1</v>
      </c>
      <c r="B706" s="487">
        <f t="shared" si="116"/>
        <v>15</v>
      </c>
      <c r="C706" s="509" t="str">
        <f t="shared" ca="1" si="110"/>
        <v>a173p000006iLavAAE</v>
      </c>
      <c r="D706" s="487"/>
      <c r="E706" s="487">
        <f t="shared" ca="1" si="117"/>
        <v>3</v>
      </c>
      <c r="F706" s="506">
        <f ca="1">IF(COUNTA(D$510:D706)=1,"",OFFSET(F704,-COUNTA(D$510:D706)+3,0))</f>
        <v>3</v>
      </c>
      <c r="G706" s="493" t="str">
        <f t="shared" ca="1" si="111"/>
        <v/>
      </c>
      <c r="H706" s="487">
        <f t="shared" ca="1" si="118"/>
        <v>13</v>
      </c>
      <c r="I706" s="490">
        <f t="shared" ca="1" si="112"/>
        <v>48.500000000000007</v>
      </c>
      <c r="J706" s="502">
        <f t="shared" ca="1" si="113"/>
        <v>1084915</v>
      </c>
      <c r="K706" s="502">
        <f t="shared" ca="1" si="114"/>
        <v>526183.77500000002</v>
      </c>
      <c r="L706" s="493" t="str">
        <f t="shared" ca="1" si="115"/>
        <v/>
      </c>
      <c r="M706" s="505" t="str">
        <f ca="1">IFERROR(IF(COUNTIF($B$509:$B705,"&lt;0")&lt;&gt;1,OFFSET($C704,-COUNTIF($B$509:$B705,"&lt;0")+3,0),""),"")</f>
        <v>a173p000006iLavAAE</v>
      </c>
      <c r="N706" s="505">
        <f ca="1">IFERROR(IF(COUNTA($D$509:D705)=1,0,OFFSET($F704,-COUNTA($D$509:D705)+3,0)),"")</f>
        <v>3</v>
      </c>
      <c r="O706" s="487"/>
      <c r="P706" s="487">
        <f t="shared" si="119"/>
        <v>0</v>
      </c>
      <c r="Q706" s="487"/>
      <c r="R706" s="487"/>
      <c r="S706" s="487"/>
      <c r="T706" s="493"/>
    </row>
    <row r="707" spans="1:20" x14ac:dyDescent="0.3">
      <c r="A707" s="487" t="b">
        <f t="shared" ca="1" si="109"/>
        <v>1</v>
      </c>
      <c r="B707" s="487">
        <f t="shared" si="116"/>
        <v>16</v>
      </c>
      <c r="C707" s="509" t="str">
        <f t="shared" ca="1" si="110"/>
        <v>a173p000006iLbPAAU</v>
      </c>
      <c r="D707" s="487"/>
      <c r="E707" s="487">
        <f t="shared" ca="1" si="117"/>
        <v>4</v>
      </c>
      <c r="F707" s="506">
        <f ca="1">IF(COUNTA(D$510:D707)=1,"",OFFSET(F705,-COUNTA(D$510:D707)+3,0))</f>
        <v>3</v>
      </c>
      <c r="G707" s="493" t="str">
        <f t="shared" ca="1" si="111"/>
        <v/>
      </c>
      <c r="H707" s="487">
        <f t="shared" ca="1" si="118"/>
        <v>13</v>
      </c>
      <c r="I707" s="490">
        <f t="shared" ca="1" si="112"/>
        <v>97.000000000000014</v>
      </c>
      <c r="J707" s="502">
        <f t="shared" ca="1" si="113"/>
        <v>1084915</v>
      </c>
      <c r="K707" s="502">
        <f t="shared" ca="1" si="114"/>
        <v>1052367.55</v>
      </c>
      <c r="L707" s="493" t="str">
        <f t="shared" ca="1" si="115"/>
        <v/>
      </c>
      <c r="M707" s="505" t="str">
        <f ca="1">IFERROR(IF(COUNTIF($B$509:$B706,"&lt;0")&lt;&gt;1,OFFSET($C705,-COUNTIF($B$509:$B706,"&lt;0")+3,0),""),"")</f>
        <v>a173p000006iLbPAAU</v>
      </c>
      <c r="N707" s="505">
        <f ca="1">IFERROR(IF(COUNTA($D$509:D706)=1,0,OFFSET($F705,-COUNTA($D$509:D706)+3,0)),"")</f>
        <v>3</v>
      </c>
      <c r="O707" s="487"/>
      <c r="P707" s="487">
        <f t="shared" si="119"/>
        <v>0</v>
      </c>
      <c r="Q707" s="487"/>
      <c r="R707" s="487"/>
      <c r="S707" s="487"/>
      <c r="T707" s="493"/>
    </row>
    <row r="708" spans="1:20" x14ac:dyDescent="0.3">
      <c r="A708" s="487" t="b">
        <f t="shared" ca="1" si="109"/>
        <v>1</v>
      </c>
      <c r="B708" s="487">
        <f t="shared" si="116"/>
        <v>17</v>
      </c>
      <c r="C708" s="509" t="str">
        <f t="shared" ca="1" si="110"/>
        <v>a173p000006iLbtAAE</v>
      </c>
      <c r="D708" s="487"/>
      <c r="E708" s="487">
        <f t="shared" ca="1" si="117"/>
        <v>5</v>
      </c>
      <c r="F708" s="506">
        <f ca="1">IF(COUNTA(D$510:D708)=1,"",OFFSET(F706,-COUNTA(D$510:D708)+3,0))</f>
        <v>3</v>
      </c>
      <c r="G708" s="493" t="str">
        <f t="shared" ca="1" si="111"/>
        <v/>
      </c>
      <c r="H708" s="487">
        <f t="shared" ca="1" si="118"/>
        <v>13</v>
      </c>
      <c r="I708" s="490">
        <f t="shared" ca="1" si="112"/>
        <v>49.000000000000007</v>
      </c>
      <c r="J708" s="502">
        <f t="shared" ca="1" si="113"/>
        <v>1091922</v>
      </c>
      <c r="K708" s="502">
        <f t="shared" ca="1" si="114"/>
        <v>535041.78</v>
      </c>
      <c r="L708" s="493" t="str">
        <f t="shared" ca="1" si="115"/>
        <v/>
      </c>
      <c r="M708" s="505" t="str">
        <f ca="1">IFERROR(IF(COUNTIF($B$509:$B707,"&lt;0")&lt;&gt;1,OFFSET($C706,-COUNTIF($B$509:$B707,"&lt;0")+3,0),""),"")</f>
        <v>a173p000006iLbtAAE</v>
      </c>
      <c r="N708" s="505">
        <f ca="1">IFERROR(IF(COUNTA($D$509:D707)=1,0,OFFSET($F706,-COUNTA($D$509:D707)+3,0)),"")</f>
        <v>3</v>
      </c>
      <c r="O708" s="487"/>
      <c r="P708" s="487">
        <f t="shared" si="119"/>
        <v>0</v>
      </c>
      <c r="Q708" s="487"/>
      <c r="R708" s="487"/>
      <c r="S708" s="487"/>
      <c r="T708" s="493"/>
    </row>
    <row r="709" spans="1:20" x14ac:dyDescent="0.3">
      <c r="A709" s="487" t="b">
        <f t="shared" ca="1" si="109"/>
        <v>1</v>
      </c>
      <c r="B709" s="487">
        <f t="shared" si="116"/>
        <v>18</v>
      </c>
      <c r="C709" s="509" t="str">
        <f t="shared" ca="1" si="110"/>
        <v>a173p000006iLcNAAU</v>
      </c>
      <c r="D709" s="487"/>
      <c r="E709" s="487">
        <f t="shared" ca="1" si="117"/>
        <v>6</v>
      </c>
      <c r="F709" s="506">
        <f ca="1">IF(COUNTA(D$510:D709)=1,"",OFFSET(F707,-COUNTA(D$510:D709)+3,0))</f>
        <v>3</v>
      </c>
      <c r="G709" s="493" t="str">
        <f t="shared" ca="1" si="111"/>
        <v/>
      </c>
      <c r="H709" s="487">
        <f t="shared" ca="1" si="118"/>
        <v>13</v>
      </c>
      <c r="I709" s="490">
        <f t="shared" ca="1" si="112"/>
        <v>98.000000000000014</v>
      </c>
      <c r="J709" s="502">
        <f t="shared" ca="1" si="113"/>
        <v>1091922</v>
      </c>
      <c r="K709" s="502">
        <f t="shared" ca="1" si="114"/>
        <v>1070083.56</v>
      </c>
      <c r="L709" s="493" t="str">
        <f t="shared" ca="1" si="115"/>
        <v/>
      </c>
      <c r="M709" s="505" t="str">
        <f ca="1">IFERROR(IF(COUNTIF($B$509:$B708,"&lt;0")&lt;&gt;1,OFFSET($C707,-COUNTIF($B$509:$B708,"&lt;0")+3,0),""),"")</f>
        <v>a173p000006iLcNAAU</v>
      </c>
      <c r="N709" s="505">
        <f ca="1">IFERROR(IF(COUNTA($D$509:D708)=1,0,OFFSET($F707,-COUNTA($D$509:D708)+3,0)),"")</f>
        <v>3</v>
      </c>
      <c r="O709" s="487"/>
      <c r="P709" s="487">
        <f t="shared" si="119"/>
        <v>0</v>
      </c>
      <c r="Q709" s="487"/>
      <c r="R709" s="487"/>
      <c r="S709" s="487"/>
      <c r="T709" s="493"/>
    </row>
    <row r="710" spans="1:20" x14ac:dyDescent="0.3">
      <c r="A710" s="487" t="b">
        <f t="shared" ca="1" si="109"/>
        <v>1</v>
      </c>
      <c r="B710" s="487">
        <f t="shared" si="116"/>
        <v>19</v>
      </c>
      <c r="C710" s="509" t="str">
        <f t="shared" ca="1" si="110"/>
        <v>a173p000006iLZyAAM</v>
      </c>
      <c r="D710" s="487"/>
      <c r="E710" s="487">
        <f t="shared" ca="1" si="117"/>
        <v>1</v>
      </c>
      <c r="F710" s="506">
        <f ca="1">IF(COUNTA(D$510:D710)=1,"",OFFSET(F708,-COUNTA(D$510:D710)+3,0))</f>
        <v>4</v>
      </c>
      <c r="G710" s="493" t="str">
        <f t="shared" ca="1" si="111"/>
        <v/>
      </c>
      <c r="H710" s="487">
        <f t="shared" ca="1" si="118"/>
        <v>15</v>
      </c>
      <c r="I710" s="490">
        <f t="shared" ca="1" si="112"/>
        <v>42.5</v>
      </c>
      <c r="J710" s="502">
        <f t="shared" ca="1" si="113"/>
        <v>17345</v>
      </c>
      <c r="K710" s="502">
        <f t="shared" ca="1" si="114"/>
        <v>7371.625</v>
      </c>
      <c r="L710" s="493" t="str">
        <f t="shared" ca="1" si="115"/>
        <v/>
      </c>
      <c r="M710" s="505" t="str">
        <f ca="1">IFERROR(IF(COUNTIF($B$509:$B709,"&lt;0")&lt;&gt;1,OFFSET($C708,-COUNTIF($B$509:$B709,"&lt;0")+3,0),""),"")</f>
        <v>a173p000006iLZyAAM</v>
      </c>
      <c r="N710" s="505">
        <f ca="1">IFERROR(IF(COUNTA($D$509:D709)=1,0,OFFSET($F708,-COUNTA($D$509:D709)+3,0)),"")</f>
        <v>4</v>
      </c>
      <c r="O710" s="487"/>
      <c r="P710" s="487">
        <f t="shared" si="119"/>
        <v>0</v>
      </c>
      <c r="Q710" s="487"/>
      <c r="R710" s="487"/>
      <c r="S710" s="487"/>
      <c r="T710" s="493"/>
    </row>
    <row r="711" spans="1:20" x14ac:dyDescent="0.3">
      <c r="A711" s="487" t="b">
        <f t="shared" ca="1" si="109"/>
        <v>1</v>
      </c>
      <c r="B711" s="487">
        <f t="shared" si="116"/>
        <v>20</v>
      </c>
      <c r="C711" s="509" t="str">
        <f t="shared" ca="1" si="110"/>
        <v>a173p000006iLaSAAU</v>
      </c>
      <c r="D711" s="487"/>
      <c r="E711" s="487">
        <f t="shared" ca="1" si="117"/>
        <v>2</v>
      </c>
      <c r="F711" s="506">
        <f ca="1">IF(COUNTA(D$510:D711)=1,"",OFFSET(F709,-COUNTA(D$510:D711)+3,0))</f>
        <v>4</v>
      </c>
      <c r="G711" s="493" t="str">
        <f t="shared" ca="1" si="111"/>
        <v/>
      </c>
      <c r="H711" s="487">
        <f t="shared" ca="1" si="118"/>
        <v>15</v>
      </c>
      <c r="I711" s="490">
        <f t="shared" ca="1" si="112"/>
        <v>85</v>
      </c>
      <c r="J711" s="502">
        <f t="shared" ca="1" si="113"/>
        <v>17345</v>
      </c>
      <c r="K711" s="502">
        <f t="shared" ca="1" si="114"/>
        <v>14743.25</v>
      </c>
      <c r="L711" s="493" t="str">
        <f t="shared" ca="1" si="115"/>
        <v/>
      </c>
      <c r="M711" s="505" t="str">
        <f ca="1">IFERROR(IF(COUNTIF($B$509:$B710,"&lt;0")&lt;&gt;1,OFFSET($C709,-COUNTIF($B$509:$B710,"&lt;0")+3,0),""),"")</f>
        <v>a173p000006iLaSAAU</v>
      </c>
      <c r="N711" s="505">
        <f ca="1">IFERROR(IF(COUNTA($D$509:D710)=1,0,OFFSET($F709,-COUNTA($D$509:D710)+3,0)),"")</f>
        <v>4</v>
      </c>
      <c r="O711" s="487"/>
      <c r="P711" s="487">
        <f t="shared" si="119"/>
        <v>0</v>
      </c>
      <c r="Q711" s="487"/>
      <c r="R711" s="487"/>
      <c r="S711" s="487"/>
      <c r="T711" s="493"/>
    </row>
    <row r="712" spans="1:20" x14ac:dyDescent="0.3">
      <c r="A712" s="487" t="b">
        <f t="shared" ca="1" si="109"/>
        <v>1</v>
      </c>
      <c r="B712" s="487">
        <f t="shared" si="116"/>
        <v>21</v>
      </c>
      <c r="C712" s="509" t="str">
        <f t="shared" ca="1" si="110"/>
        <v>a173p000006iLawAAE</v>
      </c>
      <c r="D712" s="487"/>
      <c r="E712" s="487">
        <f t="shared" ca="1" si="117"/>
        <v>3</v>
      </c>
      <c r="F712" s="506">
        <f ca="1">IF(COUNTA(D$510:D712)=1,"",OFFSET(F710,-COUNTA(D$510:D712)+3,0))</f>
        <v>4</v>
      </c>
      <c r="G712" s="493" t="str">
        <f t="shared" ca="1" si="111"/>
        <v/>
      </c>
      <c r="H712" s="487">
        <f t="shared" ca="1" si="118"/>
        <v>15</v>
      </c>
      <c r="I712" s="490">
        <f t="shared" ca="1" si="112"/>
        <v>43.5</v>
      </c>
      <c r="J712" s="502">
        <f t="shared" ca="1" si="113"/>
        <v>16595</v>
      </c>
      <c r="K712" s="502">
        <f t="shared" ca="1" si="114"/>
        <v>7218.8249999999998</v>
      </c>
      <c r="L712" s="493" t="str">
        <f t="shared" ca="1" si="115"/>
        <v/>
      </c>
      <c r="M712" s="505" t="str">
        <f ca="1">IFERROR(IF(COUNTIF($B$509:$B711,"&lt;0")&lt;&gt;1,OFFSET($C710,-COUNTIF($B$509:$B711,"&lt;0")+3,0),""),"")</f>
        <v>a173p000006iLawAAE</v>
      </c>
      <c r="N712" s="505">
        <f ca="1">IFERROR(IF(COUNTA($D$509:D711)=1,0,OFFSET($F710,-COUNTA($D$509:D711)+3,0)),"")</f>
        <v>4</v>
      </c>
      <c r="O712" s="487"/>
      <c r="P712" s="487">
        <f t="shared" si="119"/>
        <v>0</v>
      </c>
      <c r="Q712" s="487"/>
      <c r="R712" s="487"/>
      <c r="S712" s="487"/>
      <c r="T712" s="493"/>
    </row>
    <row r="713" spans="1:20" x14ac:dyDescent="0.3">
      <c r="A713" s="487" t="b">
        <f t="shared" ca="1" si="109"/>
        <v>1</v>
      </c>
      <c r="B713" s="487">
        <f t="shared" si="116"/>
        <v>22</v>
      </c>
      <c r="C713" s="509" t="str">
        <f t="shared" ca="1" si="110"/>
        <v>a173p000006iLbQAAU</v>
      </c>
      <c r="D713" s="487"/>
      <c r="E713" s="487">
        <f t="shared" ca="1" si="117"/>
        <v>4</v>
      </c>
      <c r="F713" s="506">
        <f ca="1">IF(COUNTA(D$510:D713)=1,"",OFFSET(F711,-COUNTA(D$510:D713)+3,0))</f>
        <v>4</v>
      </c>
      <c r="G713" s="493" t="str">
        <f t="shared" ca="1" si="111"/>
        <v/>
      </c>
      <c r="H713" s="487">
        <f t="shared" ca="1" si="118"/>
        <v>15</v>
      </c>
      <c r="I713" s="490">
        <f t="shared" ca="1" si="112"/>
        <v>87</v>
      </c>
      <c r="J713" s="502">
        <f t="shared" ca="1" si="113"/>
        <v>16595</v>
      </c>
      <c r="K713" s="502">
        <f t="shared" ca="1" si="114"/>
        <v>14437.65</v>
      </c>
      <c r="L713" s="493" t="str">
        <f t="shared" ca="1" si="115"/>
        <v/>
      </c>
      <c r="M713" s="505" t="str">
        <f ca="1">IFERROR(IF(COUNTIF($B$509:$B712,"&lt;0")&lt;&gt;1,OFFSET($C711,-COUNTIF($B$509:$B712,"&lt;0")+3,0),""),"")</f>
        <v>a173p000006iLbQAAU</v>
      </c>
      <c r="N713" s="505">
        <f ca="1">IFERROR(IF(COUNTA($D$509:D712)=1,0,OFFSET($F711,-COUNTA($D$509:D712)+3,0)),"")</f>
        <v>4</v>
      </c>
      <c r="O713" s="487"/>
      <c r="P713" s="487">
        <f t="shared" si="119"/>
        <v>0</v>
      </c>
      <c r="Q713" s="487"/>
      <c r="R713" s="487"/>
      <c r="S713" s="487"/>
      <c r="T713" s="493"/>
    </row>
    <row r="714" spans="1:20" x14ac:dyDescent="0.3">
      <c r="A714" s="487" t="b">
        <f t="shared" ca="1" si="109"/>
        <v>1</v>
      </c>
      <c r="B714" s="487">
        <f t="shared" si="116"/>
        <v>23</v>
      </c>
      <c r="C714" s="509" t="str">
        <f t="shared" ca="1" si="110"/>
        <v>a173p000006iLbuAAE</v>
      </c>
      <c r="D714" s="487"/>
      <c r="E714" s="487">
        <f t="shared" ca="1" si="117"/>
        <v>5</v>
      </c>
      <c r="F714" s="506">
        <f ca="1">IF(COUNTA(D$510:D714)=1,"",OFFSET(F712,-COUNTA(D$510:D714)+3,0))</f>
        <v>4</v>
      </c>
      <c r="G714" s="493" t="str">
        <f t="shared" ca="1" si="111"/>
        <v/>
      </c>
      <c r="H714" s="487">
        <f t="shared" ca="1" si="118"/>
        <v>15</v>
      </c>
      <c r="I714" s="490">
        <f t="shared" ca="1" si="112"/>
        <v>45</v>
      </c>
      <c r="J714" s="502">
        <f t="shared" ca="1" si="113"/>
        <v>15827</v>
      </c>
      <c r="K714" s="502">
        <f t="shared" ca="1" si="114"/>
        <v>7122.1500000000005</v>
      </c>
      <c r="L714" s="493" t="str">
        <f t="shared" ca="1" si="115"/>
        <v/>
      </c>
      <c r="M714" s="505" t="str">
        <f ca="1">IFERROR(IF(COUNTIF($B$509:$B713,"&lt;0")&lt;&gt;1,OFFSET($C712,-COUNTIF($B$509:$B713,"&lt;0")+3,0),""),"")</f>
        <v>a173p000006iLbuAAE</v>
      </c>
      <c r="N714" s="505">
        <f ca="1">IFERROR(IF(COUNTA($D$509:D713)=1,0,OFFSET($F712,-COUNTA($D$509:D713)+3,0)),"")</f>
        <v>4</v>
      </c>
      <c r="O714" s="487"/>
      <c r="P714" s="487">
        <f t="shared" si="119"/>
        <v>0</v>
      </c>
      <c r="Q714" s="487"/>
      <c r="R714" s="487"/>
      <c r="S714" s="487"/>
      <c r="T714" s="493"/>
    </row>
    <row r="715" spans="1:20" x14ac:dyDescent="0.3">
      <c r="A715" s="487" t="b">
        <f t="shared" ca="1" si="109"/>
        <v>1</v>
      </c>
      <c r="B715" s="487">
        <f t="shared" si="116"/>
        <v>24</v>
      </c>
      <c r="C715" s="509" t="str">
        <f t="shared" ca="1" si="110"/>
        <v>a173p000006iLcOAAU</v>
      </c>
      <c r="D715" s="487"/>
      <c r="E715" s="487">
        <f t="shared" ca="1" si="117"/>
        <v>6</v>
      </c>
      <c r="F715" s="506">
        <f ca="1">IF(COUNTA(D$510:D715)=1,"",OFFSET(F713,-COUNTA(D$510:D715)+3,0))</f>
        <v>4</v>
      </c>
      <c r="G715" s="493" t="str">
        <f t="shared" ca="1" si="111"/>
        <v/>
      </c>
      <c r="H715" s="487">
        <f t="shared" ca="1" si="118"/>
        <v>15</v>
      </c>
      <c r="I715" s="490">
        <f t="shared" ca="1" si="112"/>
        <v>90</v>
      </c>
      <c r="J715" s="502">
        <f t="shared" ca="1" si="113"/>
        <v>15827</v>
      </c>
      <c r="K715" s="502">
        <f t="shared" ca="1" si="114"/>
        <v>14244.300000000001</v>
      </c>
      <c r="L715" s="493" t="str">
        <f t="shared" ca="1" si="115"/>
        <v/>
      </c>
      <c r="M715" s="505" t="str">
        <f ca="1">IFERROR(IF(COUNTIF($B$509:$B714,"&lt;0")&lt;&gt;1,OFFSET($C713,-COUNTIF($B$509:$B714,"&lt;0")+3,0),""),"")</f>
        <v>a173p000006iLcOAAU</v>
      </c>
      <c r="N715" s="505">
        <f ca="1">IFERROR(IF(COUNTA($D$509:D714)=1,0,OFFSET($F713,-COUNTA($D$509:D714)+3,0)),"")</f>
        <v>4</v>
      </c>
      <c r="O715" s="487"/>
      <c r="P715" s="487">
        <f t="shared" si="119"/>
        <v>0</v>
      </c>
      <c r="Q715" s="487"/>
      <c r="R715" s="487"/>
      <c r="S715" s="487"/>
      <c r="T715" s="493"/>
    </row>
    <row r="716" spans="1:20" x14ac:dyDescent="0.3">
      <c r="A716" s="487" t="b">
        <f t="shared" ca="1" si="109"/>
        <v>1</v>
      </c>
      <c r="B716" s="487">
        <f t="shared" si="116"/>
        <v>25</v>
      </c>
      <c r="C716" s="509" t="str">
        <f t="shared" ca="1" si="110"/>
        <v>a173p000006iLZzAAM</v>
      </c>
      <c r="D716" s="487"/>
      <c r="E716" s="487">
        <f t="shared" ca="1" si="117"/>
        <v>1</v>
      </c>
      <c r="F716" s="506">
        <f ca="1">IF(COUNTA(D$510:D716)=1,"",OFFSET(F714,-COUNTA(D$510:D716)+3,0))</f>
        <v>5</v>
      </c>
      <c r="G716" s="493" t="str">
        <f t="shared" ca="1" si="111"/>
        <v/>
      </c>
      <c r="H716" s="487">
        <f t="shared" ca="1" si="118"/>
        <v>17</v>
      </c>
      <c r="I716" s="490">
        <f t="shared" ca="1" si="112"/>
        <v>67</v>
      </c>
      <c r="J716" s="502">
        <f t="shared" ca="1" si="113"/>
        <v>8672.5</v>
      </c>
      <c r="K716" s="502">
        <f t="shared" ca="1" si="114"/>
        <v>5810.5750000000007</v>
      </c>
      <c r="L716" s="493" t="str">
        <f t="shared" ca="1" si="115"/>
        <v/>
      </c>
      <c r="M716" s="505" t="str">
        <f ca="1">IFERROR(IF(COUNTIF($B$509:$B715,"&lt;0")&lt;&gt;1,OFFSET($C714,-COUNTIF($B$509:$B715,"&lt;0")+3,0),""),"")</f>
        <v>a173p000006iLZzAAM</v>
      </c>
      <c r="N716" s="505">
        <f ca="1">IFERROR(IF(COUNTA($D$509:D715)=1,0,OFFSET($F714,-COUNTA($D$509:D715)+3,0)),"")</f>
        <v>5</v>
      </c>
      <c r="O716" s="487"/>
      <c r="P716" s="487">
        <f t="shared" si="119"/>
        <v>0</v>
      </c>
      <c r="Q716" s="487"/>
      <c r="R716" s="487"/>
      <c r="S716" s="487"/>
      <c r="T716" s="493"/>
    </row>
    <row r="717" spans="1:20" x14ac:dyDescent="0.3">
      <c r="A717" s="487" t="b">
        <f t="shared" ca="1" si="109"/>
        <v>1</v>
      </c>
      <c r="B717" s="487">
        <f t="shared" si="116"/>
        <v>26</v>
      </c>
      <c r="C717" s="509" t="str">
        <f t="shared" ca="1" si="110"/>
        <v>a173p000006iLaTAAU</v>
      </c>
      <c r="D717" s="487"/>
      <c r="E717" s="487">
        <f t="shared" ca="1" si="117"/>
        <v>2</v>
      </c>
      <c r="F717" s="506">
        <f ca="1">IF(COUNTA(D$510:D717)=1,"",OFFSET(F715,-COUNTA(D$510:D717)+3,0))</f>
        <v>5</v>
      </c>
      <c r="G717" s="493" t="str">
        <f t="shared" ca="1" si="111"/>
        <v/>
      </c>
      <c r="H717" s="487">
        <f t="shared" ca="1" si="118"/>
        <v>17</v>
      </c>
      <c r="I717" s="490">
        <f t="shared" ca="1" si="112"/>
        <v>67</v>
      </c>
      <c r="J717" s="502">
        <f t="shared" ca="1" si="113"/>
        <v>17345</v>
      </c>
      <c r="K717" s="502">
        <f t="shared" ca="1" si="114"/>
        <v>11621.150000000001</v>
      </c>
      <c r="L717" s="493" t="str">
        <f t="shared" ca="1" si="115"/>
        <v/>
      </c>
      <c r="M717" s="505" t="str">
        <f ca="1">IFERROR(IF(COUNTIF($B$509:$B716,"&lt;0")&lt;&gt;1,OFFSET($C715,-COUNTIF($B$509:$B716,"&lt;0")+3,0),""),"")</f>
        <v>a173p000006iLaTAAU</v>
      </c>
      <c r="N717" s="505">
        <f ca="1">IFERROR(IF(COUNTA($D$509:D716)=1,0,OFFSET($F715,-COUNTA($D$509:D716)+3,0)),"")</f>
        <v>5</v>
      </c>
      <c r="O717" s="487"/>
      <c r="P717" s="487">
        <f t="shared" si="119"/>
        <v>0</v>
      </c>
      <c r="Q717" s="487"/>
      <c r="R717" s="487"/>
      <c r="S717" s="487"/>
      <c r="T717" s="493"/>
    </row>
    <row r="718" spans="1:20" x14ac:dyDescent="0.3">
      <c r="A718" s="487" t="b">
        <f t="shared" ca="1" si="109"/>
        <v>1</v>
      </c>
      <c r="B718" s="487">
        <f t="shared" si="116"/>
        <v>27</v>
      </c>
      <c r="C718" s="509" t="str">
        <f t="shared" ca="1" si="110"/>
        <v>a173p000006iLaxAAE</v>
      </c>
      <c r="D718" s="487"/>
      <c r="E718" s="487">
        <f t="shared" ca="1" si="117"/>
        <v>3</v>
      </c>
      <c r="F718" s="506">
        <f ca="1">IF(COUNTA(D$510:D718)=1,"",OFFSET(F716,-COUNTA(D$510:D718)+3,0))</f>
        <v>5</v>
      </c>
      <c r="G718" s="493" t="str">
        <f t="shared" ca="1" si="111"/>
        <v/>
      </c>
      <c r="H718" s="487">
        <f t="shared" ca="1" si="118"/>
        <v>17</v>
      </c>
      <c r="I718" s="490">
        <f t="shared" ca="1" si="112"/>
        <v>74</v>
      </c>
      <c r="J718" s="502">
        <f t="shared" ca="1" si="113"/>
        <v>8297.5</v>
      </c>
      <c r="K718" s="502">
        <f t="shared" ca="1" si="114"/>
        <v>6140.15</v>
      </c>
      <c r="L718" s="493" t="str">
        <f t="shared" ca="1" si="115"/>
        <v/>
      </c>
      <c r="M718" s="505" t="str">
        <f ca="1">IFERROR(IF(COUNTIF($B$509:$B717,"&lt;0")&lt;&gt;1,OFFSET($C716,-COUNTIF($B$509:$B717,"&lt;0")+3,0),""),"")</f>
        <v>a173p000006iLaxAAE</v>
      </c>
      <c r="N718" s="505">
        <f ca="1">IFERROR(IF(COUNTA($D$509:D717)=1,0,OFFSET($F716,-COUNTA($D$509:D717)+3,0)),"")</f>
        <v>5</v>
      </c>
      <c r="O718" s="487"/>
      <c r="P718" s="487">
        <f t="shared" si="119"/>
        <v>0</v>
      </c>
      <c r="Q718" s="487"/>
      <c r="R718" s="487"/>
      <c r="S718" s="487"/>
      <c r="T718" s="493"/>
    </row>
    <row r="719" spans="1:20" x14ac:dyDescent="0.3">
      <c r="A719" s="487" t="b">
        <f t="shared" ca="1" si="109"/>
        <v>1</v>
      </c>
      <c r="B719" s="487">
        <f t="shared" si="116"/>
        <v>28</v>
      </c>
      <c r="C719" s="509" t="str">
        <f t="shared" ca="1" si="110"/>
        <v>a173p000006iLbRAAU</v>
      </c>
      <c r="D719" s="487"/>
      <c r="E719" s="487">
        <f t="shared" ca="1" si="117"/>
        <v>4</v>
      </c>
      <c r="F719" s="506">
        <f ca="1">IF(COUNTA(D$510:D719)=1,"",OFFSET(F717,-COUNTA(D$510:D719)+3,0))</f>
        <v>5</v>
      </c>
      <c r="G719" s="493" t="str">
        <f t="shared" ca="1" si="111"/>
        <v/>
      </c>
      <c r="H719" s="487">
        <f t="shared" ca="1" si="118"/>
        <v>17</v>
      </c>
      <c r="I719" s="490">
        <f t="shared" ca="1" si="112"/>
        <v>74</v>
      </c>
      <c r="J719" s="502">
        <f t="shared" ca="1" si="113"/>
        <v>16595</v>
      </c>
      <c r="K719" s="502">
        <f t="shared" ca="1" si="114"/>
        <v>12280.3</v>
      </c>
      <c r="L719" s="493" t="str">
        <f t="shared" ca="1" si="115"/>
        <v/>
      </c>
      <c r="M719" s="505" t="str">
        <f ca="1">IFERROR(IF(COUNTIF($B$509:$B718,"&lt;0")&lt;&gt;1,OFFSET($C717,-COUNTIF($B$509:$B718,"&lt;0")+3,0),""),"")</f>
        <v>a173p000006iLbRAAU</v>
      </c>
      <c r="N719" s="505">
        <f ca="1">IFERROR(IF(COUNTA($D$509:D718)=1,0,OFFSET($F717,-COUNTA($D$509:D718)+3,0)),"")</f>
        <v>5</v>
      </c>
      <c r="O719" s="487"/>
      <c r="P719" s="487">
        <f t="shared" si="119"/>
        <v>0</v>
      </c>
      <c r="Q719" s="487"/>
      <c r="R719" s="487"/>
      <c r="S719" s="487"/>
      <c r="T719" s="493"/>
    </row>
    <row r="720" spans="1:20" x14ac:dyDescent="0.3">
      <c r="A720" s="487" t="b">
        <f t="shared" ca="1" si="109"/>
        <v>1</v>
      </c>
      <c r="B720" s="487">
        <f t="shared" si="116"/>
        <v>29</v>
      </c>
      <c r="C720" s="509" t="str">
        <f t="shared" ca="1" si="110"/>
        <v>a173p000006iLbvAAE</v>
      </c>
      <c r="D720" s="487"/>
      <c r="E720" s="487">
        <f t="shared" ca="1" si="117"/>
        <v>5</v>
      </c>
      <c r="F720" s="506">
        <f ca="1">IF(COUNTA(D$510:D720)=1,"",OFFSET(F718,-COUNTA(D$510:D720)+3,0))</f>
        <v>5</v>
      </c>
      <c r="G720" s="493" t="str">
        <f t="shared" ca="1" si="111"/>
        <v/>
      </c>
      <c r="H720" s="487">
        <f t="shared" ca="1" si="118"/>
        <v>17</v>
      </c>
      <c r="I720" s="490">
        <f t="shared" ca="1" si="112"/>
        <v>81</v>
      </c>
      <c r="J720" s="502">
        <f t="shared" ca="1" si="113"/>
        <v>7913.5</v>
      </c>
      <c r="K720" s="502">
        <f t="shared" ca="1" si="114"/>
        <v>6409.9350000000004</v>
      </c>
      <c r="L720" s="493" t="str">
        <f t="shared" ca="1" si="115"/>
        <v/>
      </c>
      <c r="M720" s="505" t="str">
        <f ca="1">IFERROR(IF(COUNTIF($B$509:$B719,"&lt;0")&lt;&gt;1,OFFSET($C718,-COUNTIF($B$509:$B719,"&lt;0")+3,0),""),"")</f>
        <v>a173p000006iLbvAAE</v>
      </c>
      <c r="N720" s="505">
        <f ca="1">IFERROR(IF(COUNTA($D$509:D719)=1,0,OFFSET($F718,-COUNTA($D$509:D719)+3,0)),"")</f>
        <v>5</v>
      </c>
      <c r="O720" s="487"/>
      <c r="P720" s="487">
        <f t="shared" si="119"/>
        <v>0</v>
      </c>
      <c r="Q720" s="487"/>
      <c r="R720" s="487"/>
      <c r="S720" s="487"/>
      <c r="T720" s="493"/>
    </row>
    <row r="721" spans="1:20" x14ac:dyDescent="0.3">
      <c r="A721" s="487" t="b">
        <f t="shared" ca="1" si="109"/>
        <v>1</v>
      </c>
      <c r="B721" s="487">
        <f t="shared" si="116"/>
        <v>30</v>
      </c>
      <c r="C721" s="509" t="str">
        <f t="shared" ca="1" si="110"/>
        <v>a173p000006iLcPAAU</v>
      </c>
      <c r="D721" s="487"/>
      <c r="E721" s="487">
        <f t="shared" ca="1" si="117"/>
        <v>6</v>
      </c>
      <c r="F721" s="506">
        <f ca="1">IF(COUNTA(D$510:D721)=1,"",OFFSET(F719,-COUNTA(D$510:D721)+3,0))</f>
        <v>5</v>
      </c>
      <c r="G721" s="493" t="str">
        <f t="shared" ca="1" si="111"/>
        <v/>
      </c>
      <c r="H721" s="487">
        <f t="shared" ca="1" si="118"/>
        <v>17</v>
      </c>
      <c r="I721" s="490">
        <f t="shared" ca="1" si="112"/>
        <v>81</v>
      </c>
      <c r="J721" s="502">
        <f t="shared" ca="1" si="113"/>
        <v>15827</v>
      </c>
      <c r="K721" s="502">
        <f t="shared" ca="1" si="114"/>
        <v>12819.87</v>
      </c>
      <c r="L721" s="493" t="str">
        <f t="shared" ca="1" si="115"/>
        <v/>
      </c>
      <c r="M721" s="505" t="str">
        <f ca="1">IFERROR(IF(COUNTIF($B$509:$B720,"&lt;0")&lt;&gt;1,OFFSET($C719,-COUNTIF($B$509:$B720,"&lt;0")+3,0),""),"")</f>
        <v>a173p000006iLcPAAU</v>
      </c>
      <c r="N721" s="505">
        <f ca="1">IFERROR(IF(COUNTA($D$509:D720)=1,0,OFFSET($F719,-COUNTA($D$509:D720)+3,0)),"")</f>
        <v>5</v>
      </c>
      <c r="O721" s="487"/>
      <c r="P721" s="487">
        <f t="shared" si="119"/>
        <v>0</v>
      </c>
      <c r="Q721" s="487"/>
      <c r="R721" s="487"/>
      <c r="S721" s="487"/>
      <c r="T721" s="493"/>
    </row>
    <row r="722" spans="1:20" x14ac:dyDescent="0.3">
      <c r="A722" s="487" t="b">
        <f t="shared" ca="1" si="109"/>
        <v>1</v>
      </c>
      <c r="B722" s="487">
        <f t="shared" si="116"/>
        <v>31</v>
      </c>
      <c r="C722" s="509" t="str">
        <f t="shared" ca="1" si="110"/>
        <v>a173p000006iLa0AAE</v>
      </c>
      <c r="D722" s="487"/>
      <c r="E722" s="487">
        <f t="shared" ca="1" si="117"/>
        <v>1</v>
      </c>
      <c r="F722" s="506">
        <f ca="1">IF(COUNTA(D$510:D722)=1,"",OFFSET(F720,-COUNTA(D$510:D722)+3,0))</f>
        <v>6</v>
      </c>
      <c r="G722" s="493" t="str">
        <f t="shared" ca="1" si="111"/>
        <v/>
      </c>
      <c r="H722" s="487">
        <f t="shared" ca="1" si="118"/>
        <v>19</v>
      </c>
      <c r="I722" s="490">
        <f t="shared" ca="1" si="112"/>
        <v>70.359663719778439</v>
      </c>
      <c r="J722" s="502">
        <f t="shared" ca="1" si="113"/>
        <v>417955</v>
      </c>
      <c r="K722" s="502">
        <f t="shared" ca="1" si="114"/>
        <v>294071.73249999998</v>
      </c>
      <c r="L722" s="493" t="str">
        <f t="shared" ca="1" si="115"/>
        <v/>
      </c>
      <c r="M722" s="505" t="str">
        <f ca="1">IFERROR(IF(COUNTIF($B$509:$B721,"&lt;0")&lt;&gt;1,OFFSET($C720,-COUNTIF($B$509:$B721,"&lt;0")+3,0),""),"")</f>
        <v>a173p000006iLa0AAE</v>
      </c>
      <c r="N722" s="505">
        <f ca="1">IFERROR(IF(COUNTA($D$509:D721)=1,0,OFFSET($F720,-COUNTA($D$509:D721)+3,0)),"")</f>
        <v>6</v>
      </c>
      <c r="O722" s="487"/>
      <c r="P722" s="487">
        <f t="shared" si="119"/>
        <v>0</v>
      </c>
      <c r="Q722" s="487"/>
      <c r="R722" s="487"/>
      <c r="S722" s="487"/>
      <c r="T722" s="493"/>
    </row>
    <row r="723" spans="1:20" x14ac:dyDescent="0.3">
      <c r="A723" s="487" t="b">
        <f t="shared" ca="1" si="109"/>
        <v>1</v>
      </c>
      <c r="B723" s="487">
        <f t="shared" si="116"/>
        <v>32</v>
      </c>
      <c r="C723" s="509" t="str">
        <f t="shared" ca="1" si="110"/>
        <v>a173p000006iLaUAAU</v>
      </c>
      <c r="D723" s="487"/>
      <c r="E723" s="487">
        <f t="shared" ca="1" si="117"/>
        <v>2</v>
      </c>
      <c r="F723" s="506">
        <f ca="1">IF(COUNTA(D$510:D723)=1,"",OFFSET(F721,-COUNTA(D$510:D723)+3,0))</f>
        <v>6</v>
      </c>
      <c r="G723" s="493" t="str">
        <f t="shared" ca="1" si="111"/>
        <v/>
      </c>
      <c r="H723" s="487">
        <f t="shared" ca="1" si="118"/>
        <v>19</v>
      </c>
      <c r="I723" s="490">
        <f t="shared" ca="1" si="112"/>
        <v>72.3</v>
      </c>
      <c r="J723" s="502">
        <f t="shared" ca="1" si="113"/>
        <v>417955</v>
      </c>
      <c r="K723" s="502">
        <f t="shared" ca="1" si="114"/>
        <v>302181.46499999997</v>
      </c>
      <c r="L723" s="493" t="str">
        <f t="shared" ca="1" si="115"/>
        <v/>
      </c>
      <c r="M723" s="505" t="str">
        <f ca="1">IFERROR(IF(COUNTIF($B$509:$B722,"&lt;0")&lt;&gt;1,OFFSET($C721,-COUNTIF($B$509:$B722,"&lt;0")+3,0),""),"")</f>
        <v>a173p000006iLaUAAU</v>
      </c>
      <c r="N723" s="505">
        <f ca="1">IFERROR(IF(COUNTA($D$509:D722)=1,0,OFFSET($F721,-COUNTA($D$509:D722)+3,0)),"")</f>
        <v>6</v>
      </c>
      <c r="O723" s="487"/>
      <c r="P723" s="487">
        <f t="shared" si="119"/>
        <v>0</v>
      </c>
      <c r="Q723" s="487"/>
      <c r="R723" s="487"/>
      <c r="S723" s="487"/>
      <c r="T723" s="493"/>
    </row>
    <row r="724" spans="1:20" x14ac:dyDescent="0.3">
      <c r="A724" s="487" t="b">
        <f t="shared" ca="1" si="109"/>
        <v>1</v>
      </c>
      <c r="B724" s="487">
        <f t="shared" si="116"/>
        <v>33</v>
      </c>
      <c r="C724" s="509" t="str">
        <f t="shared" ca="1" si="110"/>
        <v>a173p000006iLayAAE</v>
      </c>
      <c r="D724" s="487"/>
      <c r="E724" s="487">
        <f t="shared" ca="1" si="117"/>
        <v>3</v>
      </c>
      <c r="F724" s="506">
        <f ca="1">IF(COUNTA(D$510:D724)=1,"",OFFSET(F722,-COUNTA(D$510:D724)+3,0))</f>
        <v>6</v>
      </c>
      <c r="G724" s="493" t="str">
        <f t="shared" ca="1" si="111"/>
        <v/>
      </c>
      <c r="H724" s="487">
        <f t="shared" ca="1" si="118"/>
        <v>19</v>
      </c>
      <c r="I724" s="490">
        <f t="shared" ca="1" si="112"/>
        <v>75.087915293569893</v>
      </c>
      <c r="J724" s="502">
        <f t="shared" ca="1" si="113"/>
        <v>412389</v>
      </c>
      <c r="K724" s="502">
        <f t="shared" ca="1" si="114"/>
        <v>309654.30299999996</v>
      </c>
      <c r="L724" s="493" t="str">
        <f t="shared" ca="1" si="115"/>
        <v/>
      </c>
      <c r="M724" s="505" t="str">
        <f ca="1">IFERROR(IF(COUNTIF($B$509:$B723,"&lt;0")&lt;&gt;1,OFFSET($C722,-COUNTIF($B$509:$B723,"&lt;0")+3,0),""),"")</f>
        <v>a173p000006iLayAAE</v>
      </c>
      <c r="N724" s="505">
        <f ca="1">IFERROR(IF(COUNTA($D$509:D723)=1,0,OFFSET($F722,-COUNTA($D$509:D723)+3,0)),"")</f>
        <v>6</v>
      </c>
      <c r="O724" s="487"/>
      <c r="P724" s="487">
        <f t="shared" si="119"/>
        <v>0</v>
      </c>
      <c r="Q724" s="487"/>
      <c r="R724" s="487"/>
      <c r="S724" s="487"/>
      <c r="T724" s="493"/>
    </row>
    <row r="725" spans="1:20" x14ac:dyDescent="0.3">
      <c r="A725" s="487" t="b">
        <f t="shared" ca="1" si="109"/>
        <v>1</v>
      </c>
      <c r="B725" s="487">
        <f t="shared" si="116"/>
        <v>34</v>
      </c>
      <c r="C725" s="509" t="str">
        <f t="shared" ca="1" si="110"/>
        <v>a173p000006iLbSAAU</v>
      </c>
      <c r="D725" s="487"/>
      <c r="E725" s="487">
        <f t="shared" ca="1" si="117"/>
        <v>4</v>
      </c>
      <c r="F725" s="506">
        <f ca="1">IF(COUNTA(D$510:D725)=1,"",OFFSET(F723,-COUNTA(D$510:D725)+3,0))</f>
        <v>6</v>
      </c>
      <c r="G725" s="493" t="str">
        <f t="shared" ca="1" si="111"/>
        <v/>
      </c>
      <c r="H725" s="487">
        <f t="shared" ca="1" si="118"/>
        <v>19</v>
      </c>
      <c r="I725" s="490">
        <f t="shared" ca="1" si="112"/>
        <v>76.900000000000006</v>
      </c>
      <c r="J725" s="502">
        <f t="shared" ca="1" si="113"/>
        <v>412389</v>
      </c>
      <c r="K725" s="502">
        <f t="shared" ca="1" si="114"/>
        <v>317127.141</v>
      </c>
      <c r="L725" s="493" t="str">
        <f t="shared" ca="1" si="115"/>
        <v/>
      </c>
      <c r="M725" s="505" t="str">
        <f ca="1">IFERROR(IF(COUNTIF($B$509:$B724,"&lt;0")&lt;&gt;1,OFFSET($C723,-COUNTIF($B$509:$B724,"&lt;0")+3,0),""),"")</f>
        <v>a173p000006iLbSAAU</v>
      </c>
      <c r="N725" s="505">
        <f ca="1">IFERROR(IF(COUNTA($D$509:D724)=1,0,OFFSET($F723,-COUNTA($D$509:D724)+3,0)),"")</f>
        <v>6</v>
      </c>
      <c r="O725" s="487"/>
      <c r="P725" s="487">
        <f t="shared" si="119"/>
        <v>0</v>
      </c>
      <c r="Q725" s="487"/>
      <c r="R725" s="487"/>
      <c r="S725" s="487"/>
      <c r="T725" s="493"/>
    </row>
    <row r="726" spans="1:20" x14ac:dyDescent="0.3">
      <c r="A726" s="487" t="b">
        <f t="shared" ca="1" si="109"/>
        <v>1</v>
      </c>
      <c r="B726" s="487">
        <f t="shared" si="116"/>
        <v>35</v>
      </c>
      <c r="C726" s="509" t="str">
        <f t="shared" ca="1" si="110"/>
        <v>a173p000006iLbwAAE</v>
      </c>
      <c r="D726" s="487"/>
      <c r="E726" s="487">
        <f t="shared" ca="1" si="117"/>
        <v>5</v>
      </c>
      <c r="F726" s="506">
        <f ca="1">IF(COUNTA(D$510:D726)=1,"",OFFSET(F724,-COUNTA(D$510:D726)+3,0))</f>
        <v>6</v>
      </c>
      <c r="G726" s="493" t="str">
        <f t="shared" ca="1" si="111"/>
        <v/>
      </c>
      <c r="H726" s="487">
        <f t="shared" ca="1" si="118"/>
        <v>19</v>
      </c>
      <c r="I726" s="490">
        <f t="shared" ca="1" si="112"/>
        <v>79.76461058852766</v>
      </c>
      <c r="J726" s="502">
        <f t="shared" ca="1" si="113"/>
        <v>406421</v>
      </c>
      <c r="K726" s="502">
        <f t="shared" ca="1" si="114"/>
        <v>324180.12800000003</v>
      </c>
      <c r="L726" s="493" t="str">
        <f t="shared" ca="1" si="115"/>
        <v/>
      </c>
      <c r="M726" s="505" t="str">
        <f ca="1">IFERROR(IF(COUNTIF($B$509:$B725,"&lt;0")&lt;&gt;1,OFFSET($C724,-COUNTIF($B$509:$B725,"&lt;0")+3,0),""),"")</f>
        <v>a173p000006iLbwAAE</v>
      </c>
      <c r="N726" s="505">
        <f ca="1">IFERROR(IF(COUNTA($D$509:D725)=1,0,OFFSET($F724,-COUNTA($D$509:D725)+3,0)),"")</f>
        <v>6</v>
      </c>
      <c r="O726" s="487"/>
      <c r="P726" s="487">
        <f t="shared" si="119"/>
        <v>0</v>
      </c>
      <c r="Q726" s="487"/>
      <c r="R726" s="487"/>
      <c r="S726" s="487"/>
      <c r="T726" s="493"/>
    </row>
    <row r="727" spans="1:20" x14ac:dyDescent="0.3">
      <c r="A727" s="487" t="b">
        <f t="shared" ca="1" si="109"/>
        <v>1</v>
      </c>
      <c r="B727" s="487">
        <f t="shared" si="116"/>
        <v>36</v>
      </c>
      <c r="C727" s="509" t="str">
        <f t="shared" ca="1" si="110"/>
        <v>a173p000006iLcQAAU</v>
      </c>
      <c r="D727" s="487"/>
      <c r="E727" s="487">
        <f t="shared" ca="1" si="117"/>
        <v>6</v>
      </c>
      <c r="F727" s="506">
        <f ca="1">IF(COUNTA(D$510:D727)=1,"",OFFSET(F725,-COUNTA(D$510:D727)+3,0))</f>
        <v>6</v>
      </c>
      <c r="G727" s="493" t="str">
        <f t="shared" ca="1" si="111"/>
        <v/>
      </c>
      <c r="H727" s="487">
        <f t="shared" ca="1" si="118"/>
        <v>19</v>
      </c>
      <c r="I727" s="490">
        <f t="shared" ca="1" si="112"/>
        <v>81.5</v>
      </c>
      <c r="J727" s="502">
        <f t="shared" ca="1" si="113"/>
        <v>406421</v>
      </c>
      <c r="K727" s="502">
        <f t="shared" ca="1" si="114"/>
        <v>331233.11499999999</v>
      </c>
      <c r="L727" s="493" t="str">
        <f t="shared" ca="1" si="115"/>
        <v/>
      </c>
      <c r="M727" s="505" t="str">
        <f ca="1">IFERROR(IF(COUNTIF($B$509:$B726,"&lt;0")&lt;&gt;1,OFFSET($C725,-COUNTIF($B$509:$B726,"&lt;0")+3,0),""),"")</f>
        <v>a173p000006iLcQAAU</v>
      </c>
      <c r="N727" s="505">
        <f ca="1">IFERROR(IF(COUNTA($D$509:D726)=1,0,OFFSET($F725,-COUNTA($D$509:D726)+3,0)),"")</f>
        <v>6</v>
      </c>
      <c r="O727" s="487"/>
      <c r="P727" s="487">
        <f t="shared" si="119"/>
        <v>0</v>
      </c>
      <c r="Q727" s="487"/>
      <c r="R727" s="487"/>
      <c r="S727" s="487"/>
      <c r="T727" s="493"/>
    </row>
    <row r="728" spans="1:20" x14ac:dyDescent="0.3">
      <c r="A728" s="487" t="b">
        <f t="shared" ca="1" si="109"/>
        <v>1</v>
      </c>
      <c r="B728" s="487">
        <f t="shared" si="116"/>
        <v>37</v>
      </c>
      <c r="C728" s="509" t="str">
        <f t="shared" ca="1" si="110"/>
        <v>a173p000006iLa1AAE</v>
      </c>
      <c r="D728" s="487"/>
      <c r="E728" s="487">
        <f t="shared" ca="1" si="117"/>
        <v>1</v>
      </c>
      <c r="F728" s="506">
        <f ca="1">IF(COUNTA(D$510:D728)=1,"",OFFSET(F726,-COUNTA(D$510:D728)+3,0))</f>
        <v>7</v>
      </c>
      <c r="G728" s="493" t="str">
        <f t="shared" ca="1" si="111"/>
        <v/>
      </c>
      <c r="H728" s="487">
        <f t="shared" ca="1" si="118"/>
        <v>21</v>
      </c>
      <c r="I728" s="490">
        <f t="shared" ca="1" si="112"/>
        <v>70.520040561319618</v>
      </c>
      <c r="J728" s="502">
        <f t="shared" ca="1" si="113"/>
        <v>391506</v>
      </c>
      <c r="K728" s="502">
        <f t="shared" ca="1" si="114"/>
        <v>276090.19</v>
      </c>
      <c r="L728" s="493" t="str">
        <f t="shared" ca="1" si="115"/>
        <v/>
      </c>
      <c r="M728" s="505" t="str">
        <f ca="1">IFERROR(IF(COUNTIF($B$509:$B727,"&lt;0")&lt;&gt;1,OFFSET($C726,-COUNTIF($B$509:$B727,"&lt;0")+3,0),""),"")</f>
        <v>a173p000006iLa1AAE</v>
      </c>
      <c r="N728" s="505">
        <f ca="1">IFERROR(IF(COUNTA($D$509:D727)=1,0,OFFSET($F726,-COUNTA($D$509:D727)+3,0)),"")</f>
        <v>7</v>
      </c>
      <c r="O728" s="487"/>
      <c r="P728" s="487">
        <f t="shared" si="119"/>
        <v>0</v>
      </c>
      <c r="Q728" s="487"/>
      <c r="R728" s="487"/>
      <c r="S728" s="487"/>
      <c r="T728" s="493"/>
    </row>
    <row r="729" spans="1:20" x14ac:dyDescent="0.3">
      <c r="A729" s="487" t="b">
        <f t="shared" ca="1" si="109"/>
        <v>1</v>
      </c>
      <c r="B729" s="487">
        <f t="shared" si="116"/>
        <v>38</v>
      </c>
      <c r="C729" s="509" t="str">
        <f t="shared" ca="1" si="110"/>
        <v>a173p000006iLaVAAU</v>
      </c>
      <c r="D729" s="487"/>
      <c r="E729" s="487">
        <f t="shared" ca="1" si="117"/>
        <v>2</v>
      </c>
      <c r="F729" s="506">
        <f ca="1">IF(COUNTA(D$510:D729)=1,"",OFFSET(F727,-COUNTA(D$510:D729)+3,0))</f>
        <v>7</v>
      </c>
      <c r="G729" s="493" t="str">
        <f t="shared" ca="1" si="111"/>
        <v/>
      </c>
      <c r="H729" s="487">
        <f t="shared" ca="1" si="118"/>
        <v>21</v>
      </c>
      <c r="I729" s="490">
        <f t="shared" ca="1" si="112"/>
        <v>73</v>
      </c>
      <c r="J729" s="502">
        <f t="shared" ca="1" si="113"/>
        <v>391506</v>
      </c>
      <c r="K729" s="502">
        <f t="shared" ca="1" si="114"/>
        <v>285799.38</v>
      </c>
      <c r="L729" s="493" t="str">
        <f t="shared" ca="1" si="115"/>
        <v/>
      </c>
      <c r="M729" s="505" t="str">
        <f ca="1">IFERROR(IF(COUNTIF($B$509:$B728,"&lt;0")&lt;&gt;1,OFFSET($C727,-COUNTIF($B$509:$B728,"&lt;0")+3,0),""),"")</f>
        <v>a173p000006iLaVAAU</v>
      </c>
      <c r="N729" s="505">
        <f ca="1">IFERROR(IF(COUNTA($D$509:D728)=1,0,OFFSET($F727,-COUNTA($D$509:D728)+3,0)),"")</f>
        <v>7</v>
      </c>
      <c r="O729" s="487"/>
      <c r="P729" s="487">
        <f t="shared" si="119"/>
        <v>0</v>
      </c>
      <c r="Q729" s="487"/>
      <c r="R729" s="487"/>
      <c r="S729" s="487"/>
      <c r="T729" s="493"/>
    </row>
    <row r="730" spans="1:20" x14ac:dyDescent="0.3">
      <c r="A730" s="487" t="b">
        <f t="shared" ca="1" si="109"/>
        <v>1</v>
      </c>
      <c r="B730" s="487">
        <f t="shared" si="116"/>
        <v>39</v>
      </c>
      <c r="C730" s="509" t="str">
        <f t="shared" ca="1" si="110"/>
        <v>a173p000006iLazAAE</v>
      </c>
      <c r="D730" s="487"/>
      <c r="E730" s="487">
        <f t="shared" ca="1" si="117"/>
        <v>3</v>
      </c>
      <c r="F730" s="506">
        <f ca="1">IF(COUNTA(D$510:D730)=1,"",OFFSET(F728,-COUNTA(D$510:D730)+3,0))</f>
        <v>7</v>
      </c>
      <c r="G730" s="493" t="str">
        <f t="shared" ca="1" si="111"/>
        <v/>
      </c>
      <c r="H730" s="487">
        <f t="shared" ca="1" si="118"/>
        <v>21</v>
      </c>
      <c r="I730" s="490">
        <f t="shared" ca="1" si="112"/>
        <v>75.794066074973529</v>
      </c>
      <c r="J730" s="502">
        <f t="shared" ca="1" si="113"/>
        <v>388377</v>
      </c>
      <c r="K730" s="502">
        <f t="shared" ca="1" si="114"/>
        <v>294366.71999999997</v>
      </c>
      <c r="L730" s="493" t="str">
        <f t="shared" ca="1" si="115"/>
        <v/>
      </c>
      <c r="M730" s="505" t="str">
        <f ca="1">IFERROR(IF(COUNTIF($B$509:$B729,"&lt;0")&lt;&gt;1,OFFSET($C728,-COUNTIF($B$509:$B729,"&lt;0")+3,0),""),"")</f>
        <v>a173p000006iLazAAE</v>
      </c>
      <c r="N730" s="505">
        <f ca="1">IFERROR(IF(COUNTA($D$509:D729)=1,0,OFFSET($F728,-COUNTA($D$509:D729)+3,0)),"")</f>
        <v>7</v>
      </c>
      <c r="O730" s="487"/>
      <c r="P730" s="487">
        <f t="shared" si="119"/>
        <v>0</v>
      </c>
      <c r="Q730" s="487"/>
      <c r="R730" s="487"/>
      <c r="S730" s="487"/>
      <c r="T730" s="493"/>
    </row>
    <row r="731" spans="1:20" x14ac:dyDescent="0.3">
      <c r="A731" s="487" t="b">
        <f t="shared" ca="1" si="109"/>
        <v>1</v>
      </c>
      <c r="B731" s="487">
        <f t="shared" si="116"/>
        <v>40</v>
      </c>
      <c r="C731" s="509" t="str">
        <f t="shared" ca="1" si="110"/>
        <v>a173p000006iLbTAAU</v>
      </c>
      <c r="D731" s="487"/>
      <c r="E731" s="487">
        <f t="shared" ca="1" si="117"/>
        <v>4</v>
      </c>
      <c r="F731" s="506">
        <f ca="1">IF(COUNTA(D$510:D731)=1,"",OFFSET(F729,-COUNTA(D$510:D731)+3,0))</f>
        <v>7</v>
      </c>
      <c r="G731" s="493" t="str">
        <f t="shared" ca="1" si="111"/>
        <v/>
      </c>
      <c r="H731" s="487">
        <f t="shared" ca="1" si="118"/>
        <v>21</v>
      </c>
      <c r="I731" s="490">
        <f t="shared" ca="1" si="112"/>
        <v>78</v>
      </c>
      <c r="J731" s="502">
        <f t="shared" ca="1" si="113"/>
        <v>388377</v>
      </c>
      <c r="K731" s="502">
        <f t="shared" ca="1" si="114"/>
        <v>302934.06</v>
      </c>
      <c r="L731" s="493" t="str">
        <f t="shared" ca="1" si="115"/>
        <v/>
      </c>
      <c r="M731" s="505" t="str">
        <f ca="1">IFERROR(IF(COUNTIF($B$509:$B730,"&lt;0")&lt;&gt;1,OFFSET($C729,-COUNTIF($B$509:$B730,"&lt;0")+3,0),""),"")</f>
        <v>a173p000006iLbTAAU</v>
      </c>
      <c r="N731" s="505">
        <f ca="1">IFERROR(IF(COUNTA($D$509:D730)=1,0,OFFSET($F729,-COUNTA($D$509:D730)+3,0)),"")</f>
        <v>7</v>
      </c>
      <c r="O731" s="487"/>
      <c r="P731" s="487">
        <f t="shared" si="119"/>
        <v>0</v>
      </c>
      <c r="Q731" s="487"/>
      <c r="R731" s="487"/>
      <c r="S731" s="487"/>
      <c r="T731" s="493"/>
    </row>
    <row r="732" spans="1:20" x14ac:dyDescent="0.3">
      <c r="A732" s="487" t="b">
        <f t="shared" ca="1" si="109"/>
        <v>1</v>
      </c>
      <c r="B732" s="487">
        <f t="shared" si="116"/>
        <v>41</v>
      </c>
      <c r="C732" s="509" t="str">
        <f t="shared" ca="1" si="110"/>
        <v>a173p000006iLbxAAE</v>
      </c>
      <c r="D732" s="487"/>
      <c r="E732" s="487">
        <f t="shared" ca="1" si="117"/>
        <v>5</v>
      </c>
      <c r="F732" s="506">
        <f ca="1">IF(COUNTA(D$510:D732)=1,"",OFFSET(F730,-COUNTA(D$510:D732)+3,0))</f>
        <v>7</v>
      </c>
      <c r="G732" s="493" t="str">
        <f t="shared" ca="1" si="111"/>
        <v/>
      </c>
      <c r="H732" s="487">
        <f t="shared" ca="1" si="118"/>
        <v>21</v>
      </c>
      <c r="I732" s="490">
        <f t="shared" ca="1" si="112"/>
        <v>80.36734216497338</v>
      </c>
      <c r="J732" s="502">
        <f t="shared" ca="1" si="113"/>
        <v>384753</v>
      </c>
      <c r="K732" s="502">
        <f t="shared" ca="1" si="114"/>
        <v>309215.76</v>
      </c>
      <c r="L732" s="493" t="str">
        <f t="shared" ca="1" si="115"/>
        <v/>
      </c>
      <c r="M732" s="505" t="str">
        <f ca="1">IFERROR(IF(COUNTIF($B$509:$B731,"&lt;0")&lt;&gt;1,OFFSET($C730,-COUNTIF($B$509:$B731,"&lt;0")+3,0),""),"")</f>
        <v>a173p000006iLbxAAE</v>
      </c>
      <c r="N732" s="505">
        <f ca="1">IFERROR(IF(COUNTA($D$509:D731)=1,0,OFFSET($F730,-COUNTA($D$509:D731)+3,0)),"")</f>
        <v>7</v>
      </c>
      <c r="O732" s="487"/>
      <c r="P732" s="487">
        <f t="shared" si="119"/>
        <v>0</v>
      </c>
      <c r="Q732" s="487"/>
      <c r="R732" s="487"/>
      <c r="S732" s="487"/>
      <c r="T732" s="493"/>
    </row>
    <row r="733" spans="1:20" x14ac:dyDescent="0.3">
      <c r="A733" s="487" t="b">
        <f t="shared" ca="1" si="109"/>
        <v>1</v>
      </c>
      <c r="B733" s="487">
        <f t="shared" si="116"/>
        <v>42</v>
      </c>
      <c r="C733" s="509" t="str">
        <f t="shared" ca="1" si="110"/>
        <v>a173p000006iLcRAAU</v>
      </c>
      <c r="D733" s="487"/>
      <c r="E733" s="487">
        <f t="shared" ca="1" si="117"/>
        <v>6</v>
      </c>
      <c r="F733" s="506">
        <f ca="1">IF(COUNTA(D$510:D733)=1,"",OFFSET(F731,-COUNTA(D$510:D733)+3,0))</f>
        <v>7</v>
      </c>
      <c r="G733" s="493" t="str">
        <f t="shared" ca="1" si="111"/>
        <v/>
      </c>
      <c r="H733" s="487">
        <f t="shared" ca="1" si="118"/>
        <v>21</v>
      </c>
      <c r="I733" s="490">
        <f t="shared" ca="1" si="112"/>
        <v>82</v>
      </c>
      <c r="J733" s="502">
        <f t="shared" ca="1" si="113"/>
        <v>384753</v>
      </c>
      <c r="K733" s="502">
        <f t="shared" ca="1" si="114"/>
        <v>315497.45999999996</v>
      </c>
      <c r="L733" s="493" t="str">
        <f t="shared" ca="1" si="115"/>
        <v/>
      </c>
      <c r="M733" s="505" t="str">
        <f ca="1">IFERROR(IF(COUNTIF($B$509:$B732,"&lt;0")&lt;&gt;1,OFFSET($C731,-COUNTIF($B$509:$B732,"&lt;0")+3,0),""),"")</f>
        <v>a173p000006iLcRAAU</v>
      </c>
      <c r="N733" s="505">
        <f ca="1">IFERROR(IF(COUNTA($D$509:D732)=1,0,OFFSET($F731,-COUNTA($D$509:D732)+3,0)),"")</f>
        <v>7</v>
      </c>
      <c r="O733" s="487"/>
      <c r="P733" s="487">
        <f t="shared" si="119"/>
        <v>0</v>
      </c>
      <c r="Q733" s="487"/>
      <c r="R733" s="487"/>
      <c r="S733" s="487"/>
      <c r="T733" s="493"/>
    </row>
    <row r="734" spans="1:20" x14ac:dyDescent="0.3">
      <c r="A734" s="487" t="b">
        <f t="shared" ca="1" si="109"/>
        <v>1</v>
      </c>
      <c r="B734" s="487">
        <f t="shared" si="116"/>
        <v>43</v>
      </c>
      <c r="C734" s="509" t="str">
        <f t="shared" ca="1" si="110"/>
        <v>a173p000006iLa2AAE</v>
      </c>
      <c r="D734" s="487"/>
      <c r="E734" s="487">
        <f t="shared" ca="1" si="117"/>
        <v>1</v>
      </c>
      <c r="F734" s="506">
        <f ca="1">IF(COUNTA(D$510:D734)=1,"",OFFSET(F732,-COUNTA(D$510:D734)+3,0))</f>
        <v>8</v>
      </c>
      <c r="G734" s="493" t="str">
        <f t="shared" ca="1" si="111"/>
        <v/>
      </c>
      <c r="H734" s="487">
        <f t="shared" ca="1" si="118"/>
        <v>23</v>
      </c>
      <c r="I734" s="490">
        <f t="shared" ca="1" si="112"/>
        <v>53.034303050924358</v>
      </c>
      <c r="J734" s="502">
        <f t="shared" ca="1" si="113"/>
        <v>26451</v>
      </c>
      <c r="K734" s="502">
        <f t="shared" ca="1" si="114"/>
        <v>14028.103500000001</v>
      </c>
      <c r="L734" s="493" t="str">
        <f t="shared" ca="1" si="115"/>
        <v/>
      </c>
      <c r="M734" s="505" t="str">
        <f ca="1">IFERROR(IF(COUNTIF($B$509:$B733,"&lt;0")&lt;&gt;1,OFFSET($C732,-COUNTIF($B$509:$B733,"&lt;0")+3,0),""),"")</f>
        <v>a173p000006iLa2AAE</v>
      </c>
      <c r="N734" s="505">
        <f ca="1">IFERROR(IF(COUNTA($D$509:D733)=1,0,OFFSET($F732,-COUNTA($D$509:D733)+3,0)),"")</f>
        <v>8</v>
      </c>
      <c r="O734" s="487"/>
      <c r="P734" s="487">
        <f t="shared" si="119"/>
        <v>0</v>
      </c>
      <c r="Q734" s="487"/>
      <c r="R734" s="487"/>
      <c r="S734" s="487"/>
      <c r="T734" s="493"/>
    </row>
    <row r="735" spans="1:20" x14ac:dyDescent="0.3">
      <c r="A735" s="487" t="b">
        <f t="shared" ca="1" si="109"/>
        <v>1</v>
      </c>
      <c r="B735" s="487">
        <f t="shared" si="116"/>
        <v>44</v>
      </c>
      <c r="C735" s="509" t="str">
        <f t="shared" ca="1" si="110"/>
        <v>a173p000006iLaWAAU</v>
      </c>
      <c r="D735" s="487"/>
      <c r="E735" s="487">
        <f t="shared" ca="1" si="117"/>
        <v>2</v>
      </c>
      <c r="F735" s="506">
        <f ca="1">IF(COUNTA(D$510:D735)=1,"",OFFSET(F733,-COUNTA(D$510:D735)+3,0))</f>
        <v>8</v>
      </c>
      <c r="G735" s="493" t="str">
        <f t="shared" ca="1" si="111"/>
        <v/>
      </c>
      <c r="H735" s="487">
        <f t="shared" ca="1" si="118"/>
        <v>23</v>
      </c>
      <c r="I735" s="490">
        <f t="shared" ca="1" si="112"/>
        <v>55.7</v>
      </c>
      <c r="J735" s="502">
        <f t="shared" ca="1" si="113"/>
        <v>26451</v>
      </c>
      <c r="K735" s="502">
        <f t="shared" ca="1" si="114"/>
        <v>14733.207000000002</v>
      </c>
      <c r="L735" s="493" t="str">
        <f t="shared" ca="1" si="115"/>
        <v/>
      </c>
      <c r="M735" s="505" t="str">
        <f ca="1">IFERROR(IF(COUNTIF($B$509:$B734,"&lt;0")&lt;&gt;1,OFFSET($C733,-COUNTIF($B$509:$B734,"&lt;0")+3,0),""),"")</f>
        <v>a173p000006iLaWAAU</v>
      </c>
      <c r="N735" s="505">
        <f ca="1">IFERROR(IF(COUNTA($D$509:D734)=1,0,OFFSET($F733,-COUNTA($D$509:D734)+3,0)),"")</f>
        <v>8</v>
      </c>
      <c r="O735" s="487"/>
      <c r="P735" s="487">
        <f t="shared" si="119"/>
        <v>0</v>
      </c>
      <c r="Q735" s="487"/>
      <c r="R735" s="487"/>
      <c r="S735" s="487"/>
      <c r="T735" s="493"/>
    </row>
    <row r="736" spans="1:20" x14ac:dyDescent="0.3">
      <c r="A736" s="487" t="b">
        <f t="shared" ca="1" si="109"/>
        <v>1</v>
      </c>
      <c r="B736" s="487">
        <f t="shared" si="116"/>
        <v>45</v>
      </c>
      <c r="C736" s="509" t="str">
        <f t="shared" ca="1" si="110"/>
        <v>a173p000006iLb0AAE</v>
      </c>
      <c r="D736" s="487"/>
      <c r="E736" s="487">
        <f t="shared" ca="1" si="117"/>
        <v>3</v>
      </c>
      <c r="F736" s="506">
        <f ca="1">IF(COUNTA(D$510:D736)=1,"",OFFSET(F734,-COUNTA(D$510:D736)+3,0))</f>
        <v>8</v>
      </c>
      <c r="G736" s="493" t="str">
        <f t="shared" ca="1" si="111"/>
        <v/>
      </c>
      <c r="H736" s="487">
        <f t="shared" ca="1" si="118"/>
        <v>23</v>
      </c>
      <c r="I736" s="490">
        <f t="shared" ca="1" si="112"/>
        <v>63.427564236038812</v>
      </c>
      <c r="J736" s="502">
        <f t="shared" ca="1" si="113"/>
        <v>24013</v>
      </c>
      <c r="K736" s="502">
        <f t="shared" ca="1" si="114"/>
        <v>15230.861000000001</v>
      </c>
      <c r="L736" s="493" t="str">
        <f t="shared" ca="1" si="115"/>
        <v/>
      </c>
      <c r="M736" s="505" t="str">
        <f ca="1">IFERROR(IF(COUNTIF($B$509:$B735,"&lt;0")&lt;&gt;1,OFFSET($C734,-COUNTIF($B$509:$B735,"&lt;0")+3,0),""),"")</f>
        <v>a173p000006iLb0AAE</v>
      </c>
      <c r="N736" s="505">
        <f ca="1">IFERROR(IF(COUNTA($D$509:D735)=1,0,OFFSET($F734,-COUNTA($D$509:D735)+3,0)),"")</f>
        <v>8</v>
      </c>
      <c r="O736" s="487"/>
      <c r="P736" s="487">
        <f t="shared" si="119"/>
        <v>0</v>
      </c>
      <c r="Q736" s="487"/>
      <c r="R736" s="487"/>
      <c r="S736" s="487"/>
      <c r="T736" s="493"/>
    </row>
    <row r="737" spans="1:20" x14ac:dyDescent="0.3">
      <c r="A737" s="487" t="b">
        <f t="shared" ca="1" si="109"/>
        <v>1</v>
      </c>
      <c r="B737" s="487">
        <f t="shared" si="116"/>
        <v>46</v>
      </c>
      <c r="C737" s="509" t="str">
        <f t="shared" ca="1" si="110"/>
        <v>a173p000006iLbUAAU</v>
      </c>
      <c r="D737" s="487"/>
      <c r="E737" s="487">
        <f t="shared" ca="1" si="117"/>
        <v>4</v>
      </c>
      <c r="F737" s="506">
        <f ca="1">IF(COUNTA(D$510:D737)=1,"",OFFSET(F735,-COUNTA(D$510:D737)+3,0))</f>
        <v>8</v>
      </c>
      <c r="G737" s="493" t="str">
        <f t="shared" ca="1" si="111"/>
        <v/>
      </c>
      <c r="H737" s="487">
        <f t="shared" ca="1" si="118"/>
        <v>23</v>
      </c>
      <c r="I737" s="490">
        <f t="shared" ca="1" si="112"/>
        <v>65.5</v>
      </c>
      <c r="J737" s="502">
        <f t="shared" ca="1" si="113"/>
        <v>24013</v>
      </c>
      <c r="K737" s="502">
        <f t="shared" ca="1" si="114"/>
        <v>15728.515000000001</v>
      </c>
      <c r="L737" s="493" t="str">
        <f t="shared" ca="1" si="115"/>
        <v/>
      </c>
      <c r="M737" s="505" t="str">
        <f ca="1">IFERROR(IF(COUNTIF($B$509:$B736,"&lt;0")&lt;&gt;1,OFFSET($C735,-COUNTIF($B$509:$B736,"&lt;0")+3,0),""),"")</f>
        <v>a173p000006iLbUAAU</v>
      </c>
      <c r="N737" s="505">
        <f ca="1">IFERROR(IF(COUNTA($D$509:D736)=1,0,OFFSET($F735,-COUNTA($D$509:D736)+3,0)),"")</f>
        <v>8</v>
      </c>
      <c r="O737" s="487"/>
      <c r="P737" s="487">
        <f t="shared" si="119"/>
        <v>0</v>
      </c>
      <c r="Q737" s="487"/>
      <c r="R737" s="487"/>
      <c r="S737" s="487"/>
      <c r="T737" s="493"/>
    </row>
    <row r="738" spans="1:20" x14ac:dyDescent="0.3">
      <c r="A738" s="487" t="b">
        <f t="shared" ca="1" si="109"/>
        <v>1</v>
      </c>
      <c r="B738" s="487">
        <f t="shared" si="116"/>
        <v>47</v>
      </c>
      <c r="C738" s="509" t="str">
        <f t="shared" ca="1" si="110"/>
        <v>a173p000006iLbyAAE</v>
      </c>
      <c r="D738" s="487"/>
      <c r="E738" s="487">
        <f t="shared" ca="1" si="117"/>
        <v>5</v>
      </c>
      <c r="F738" s="506">
        <f ca="1">IF(COUNTA(D$510:D738)=1,"",OFFSET(F736,-COUNTA(D$510:D738)+3,0))</f>
        <v>8</v>
      </c>
      <c r="G738" s="493" t="str">
        <f t="shared" ca="1" si="111"/>
        <v/>
      </c>
      <c r="H738" s="487">
        <f t="shared" ca="1" si="118"/>
        <v>23</v>
      </c>
      <c r="I738" s="490">
        <f t="shared" ca="1" si="112"/>
        <v>73.944339579102831</v>
      </c>
      <c r="J738" s="502">
        <f t="shared" ca="1" si="113"/>
        <v>21668</v>
      </c>
      <c r="K738" s="502">
        <f t="shared" ca="1" si="114"/>
        <v>16022.2595</v>
      </c>
      <c r="L738" s="493" t="str">
        <f t="shared" ca="1" si="115"/>
        <v/>
      </c>
      <c r="M738" s="505" t="str">
        <f ca="1">IFERROR(IF(COUNTIF($B$509:$B737,"&lt;0")&lt;&gt;1,OFFSET($C736,-COUNTIF($B$509:$B737,"&lt;0")+3,0),""),"")</f>
        <v>a173p000006iLbyAAE</v>
      </c>
      <c r="N738" s="505">
        <f ca="1">IFERROR(IF(COUNTA($D$509:D737)=1,0,OFFSET($F736,-COUNTA($D$509:D737)+3,0)),"")</f>
        <v>8</v>
      </c>
      <c r="O738" s="487"/>
      <c r="P738" s="487">
        <f t="shared" si="119"/>
        <v>0</v>
      </c>
      <c r="Q738" s="487"/>
      <c r="R738" s="487"/>
      <c r="S738" s="487"/>
      <c r="T738" s="493"/>
    </row>
    <row r="739" spans="1:20" x14ac:dyDescent="0.3">
      <c r="A739" s="487" t="b">
        <f t="shared" ca="1" si="109"/>
        <v>1</v>
      </c>
      <c r="B739" s="487">
        <f t="shared" si="116"/>
        <v>48</v>
      </c>
      <c r="C739" s="509" t="str">
        <f t="shared" ca="1" si="110"/>
        <v>a173p000006iLcSAAU</v>
      </c>
      <c r="D739" s="487"/>
      <c r="E739" s="487">
        <f t="shared" ca="1" si="117"/>
        <v>6</v>
      </c>
      <c r="F739" s="506">
        <f ca="1">IF(COUNTA(D$510:D739)=1,"",OFFSET(F737,-COUNTA(D$510:D739)+3,0))</f>
        <v>8</v>
      </c>
      <c r="G739" s="493" t="str">
        <f t="shared" ca="1" si="111"/>
        <v/>
      </c>
      <c r="H739" s="487">
        <f t="shared" ca="1" si="118"/>
        <v>23</v>
      </c>
      <c r="I739" s="490">
        <f t="shared" ca="1" si="112"/>
        <v>75.3</v>
      </c>
      <c r="J739" s="502">
        <f t="shared" ca="1" si="113"/>
        <v>21668</v>
      </c>
      <c r="K739" s="502">
        <f t="shared" ca="1" si="114"/>
        <v>16316.004000000001</v>
      </c>
      <c r="L739" s="493" t="str">
        <f t="shared" ca="1" si="115"/>
        <v/>
      </c>
      <c r="M739" s="505" t="str">
        <f ca="1">IFERROR(IF(COUNTIF($B$509:$B738,"&lt;0")&lt;&gt;1,OFFSET($C737,-COUNTIF($B$509:$B738,"&lt;0")+3,0),""),"")</f>
        <v>a173p000006iLcSAAU</v>
      </c>
      <c r="N739" s="505">
        <f ca="1">IFERROR(IF(COUNTA($D$509:D738)=1,0,OFFSET($F737,-COUNTA($D$509:D738)+3,0)),"")</f>
        <v>8</v>
      </c>
      <c r="O739" s="487"/>
      <c r="P739" s="487">
        <f t="shared" si="119"/>
        <v>0</v>
      </c>
      <c r="Q739" s="487"/>
      <c r="R739" s="487"/>
      <c r="S739" s="487"/>
      <c r="T739" s="493"/>
    </row>
    <row r="740" spans="1:20" x14ac:dyDescent="0.3">
      <c r="A740" s="487" t="b">
        <f t="shared" ca="1" si="109"/>
        <v>1</v>
      </c>
      <c r="B740" s="487">
        <f t="shared" si="116"/>
        <v>49</v>
      </c>
      <c r="C740" s="509" t="str">
        <f t="shared" ca="1" si="110"/>
        <v>a173p000006iLa3AAE</v>
      </c>
      <c r="D740" s="487"/>
      <c r="E740" s="487">
        <f t="shared" ca="1" si="117"/>
        <v>1</v>
      </c>
      <c r="F740" s="506">
        <f ca="1">IF(COUNTA(D$510:D740)=1,"",OFFSET(F738,-COUNTA(D$510:D740)+3,0))</f>
        <v>9</v>
      </c>
      <c r="G740" s="493" t="str">
        <f t="shared" ca="1" si="111"/>
        <v/>
      </c>
      <c r="H740" s="487">
        <f t="shared" ca="1" si="118"/>
        <v>25</v>
      </c>
      <c r="I740" s="490">
        <f t="shared" ca="1" si="112"/>
        <v>83</v>
      </c>
      <c r="J740" s="502">
        <f t="shared" ca="1" si="113"/>
        <v>155020.96049999999</v>
      </c>
      <c r="K740" s="502">
        <f t="shared" ca="1" si="114"/>
        <v>128667.39721499998</v>
      </c>
      <c r="L740" s="493" t="str">
        <f t="shared" ca="1" si="115"/>
        <v/>
      </c>
      <c r="M740" s="505" t="str">
        <f ca="1">IFERROR(IF(COUNTIF($B$509:$B739,"&lt;0")&lt;&gt;1,OFFSET($C738,-COUNTIF($B$509:$B739,"&lt;0")+3,0),""),"")</f>
        <v>a173p000006iLa3AAE</v>
      </c>
      <c r="N740" s="505">
        <f ca="1">IFERROR(IF(COUNTA($D$509:D739)=1,0,OFFSET($F738,-COUNTA($D$509:D739)+3,0)),"")</f>
        <v>9</v>
      </c>
      <c r="O740" s="487"/>
      <c r="P740" s="487">
        <f t="shared" si="119"/>
        <v>0</v>
      </c>
      <c r="Q740" s="487"/>
      <c r="R740" s="487"/>
      <c r="S740" s="487"/>
      <c r="T740" s="493"/>
    </row>
    <row r="741" spans="1:20" x14ac:dyDescent="0.3">
      <c r="A741" s="487" t="b">
        <f t="shared" ca="1" si="109"/>
        <v>1</v>
      </c>
      <c r="B741" s="487">
        <f t="shared" si="116"/>
        <v>50</v>
      </c>
      <c r="C741" s="509" t="str">
        <f t="shared" ca="1" si="110"/>
        <v>a173p000006iLaXAAU</v>
      </c>
      <c r="D741" s="487"/>
      <c r="E741" s="487">
        <f t="shared" ca="1" si="117"/>
        <v>2</v>
      </c>
      <c r="F741" s="506">
        <f ca="1">IF(COUNTA(D$510:D741)=1,"",OFFSET(F739,-COUNTA(D$510:D741)+3,0))</f>
        <v>9</v>
      </c>
      <c r="G741" s="493" t="str">
        <f t="shared" ca="1" si="111"/>
        <v/>
      </c>
      <c r="H741" s="487">
        <f t="shared" ca="1" si="118"/>
        <v>25</v>
      </c>
      <c r="I741" s="490">
        <f t="shared" ca="1" si="112"/>
        <v>83</v>
      </c>
      <c r="J741" s="502">
        <f t="shared" ca="1" si="113"/>
        <v>310041.92099999997</v>
      </c>
      <c r="K741" s="502">
        <f t="shared" ca="1" si="114"/>
        <v>257334.79442999995</v>
      </c>
      <c r="L741" s="493" t="str">
        <f t="shared" ca="1" si="115"/>
        <v/>
      </c>
      <c r="M741" s="505" t="str">
        <f ca="1">IFERROR(IF(COUNTIF($B$509:$B740,"&lt;0")&lt;&gt;1,OFFSET($C739,-COUNTIF($B$509:$B740,"&lt;0")+3,0),""),"")</f>
        <v>a173p000006iLaXAAU</v>
      </c>
      <c r="N741" s="505">
        <f ca="1">IFERROR(IF(COUNTA($D$509:D740)=1,0,OFFSET($F739,-COUNTA($D$509:D740)+3,0)),"")</f>
        <v>9</v>
      </c>
      <c r="O741" s="487"/>
      <c r="P741" s="487">
        <f t="shared" si="119"/>
        <v>0</v>
      </c>
      <c r="Q741" s="487"/>
      <c r="R741" s="487"/>
      <c r="S741" s="487"/>
      <c r="T741" s="493"/>
    </row>
    <row r="742" spans="1:20" x14ac:dyDescent="0.3">
      <c r="A742" s="487" t="b">
        <f t="shared" ca="1" si="109"/>
        <v>1</v>
      </c>
      <c r="B742" s="487">
        <f t="shared" si="116"/>
        <v>51</v>
      </c>
      <c r="C742" s="509" t="str">
        <f t="shared" ca="1" si="110"/>
        <v>a173p000006iLb1AAE</v>
      </c>
      <c r="D742" s="487"/>
      <c r="E742" s="487">
        <f t="shared" ca="1" si="117"/>
        <v>3</v>
      </c>
      <c r="F742" s="506">
        <f ca="1">IF(COUNTA(D$510:D742)=1,"",OFFSET(F740,-COUNTA(D$510:D742)+3,0))</f>
        <v>9</v>
      </c>
      <c r="G742" s="493" t="str">
        <f t="shared" ca="1" si="111"/>
        <v/>
      </c>
      <c r="H742" s="487">
        <f t="shared" ca="1" si="118"/>
        <v>25</v>
      </c>
      <c r="I742" s="490">
        <f t="shared" ca="1" si="112"/>
        <v>88</v>
      </c>
      <c r="J742" s="502">
        <f t="shared" ca="1" si="113"/>
        <v>164883.98149999999</v>
      </c>
      <c r="K742" s="502">
        <f t="shared" ca="1" si="114"/>
        <v>145097.90372</v>
      </c>
      <c r="L742" s="493" t="str">
        <f t="shared" ca="1" si="115"/>
        <v/>
      </c>
      <c r="M742" s="505" t="str">
        <f ca="1">IFERROR(IF(COUNTIF($B$509:$B741,"&lt;0")&lt;&gt;1,OFFSET($C740,-COUNTIF($B$509:$B741,"&lt;0")+3,0),""),"")</f>
        <v>a173p000006iLb1AAE</v>
      </c>
      <c r="N742" s="505">
        <f ca="1">IFERROR(IF(COUNTA($D$509:D741)=1,0,OFFSET($F740,-COUNTA($D$509:D741)+3,0)),"")</f>
        <v>9</v>
      </c>
      <c r="O742" s="487"/>
      <c r="P742" s="487">
        <f t="shared" si="119"/>
        <v>0</v>
      </c>
      <c r="Q742" s="487"/>
      <c r="R742" s="487"/>
      <c r="S742" s="487"/>
      <c r="T742" s="493"/>
    </row>
    <row r="743" spans="1:20" x14ac:dyDescent="0.3">
      <c r="A743" s="487" t="b">
        <f t="shared" ca="1" si="109"/>
        <v>1</v>
      </c>
      <c r="B743" s="487">
        <f t="shared" si="116"/>
        <v>52</v>
      </c>
      <c r="C743" s="509" t="str">
        <f t="shared" ca="1" si="110"/>
        <v>a173p000006iLbVAAU</v>
      </c>
      <c r="D743" s="487"/>
      <c r="E743" s="487">
        <f t="shared" ca="1" si="117"/>
        <v>4</v>
      </c>
      <c r="F743" s="506">
        <f ca="1">IF(COUNTA(D$510:D743)=1,"",OFFSET(F741,-COUNTA(D$510:D743)+3,0))</f>
        <v>9</v>
      </c>
      <c r="G743" s="493" t="str">
        <f t="shared" ca="1" si="111"/>
        <v/>
      </c>
      <c r="H743" s="487">
        <f t="shared" ca="1" si="118"/>
        <v>25</v>
      </c>
      <c r="I743" s="490">
        <f t="shared" ca="1" si="112"/>
        <v>88</v>
      </c>
      <c r="J743" s="502">
        <f t="shared" ca="1" si="113"/>
        <v>329767.96299999999</v>
      </c>
      <c r="K743" s="502">
        <f t="shared" ca="1" si="114"/>
        <v>290195.80744</v>
      </c>
      <c r="L743" s="493" t="str">
        <f t="shared" ca="1" si="115"/>
        <v/>
      </c>
      <c r="M743" s="505" t="str">
        <f ca="1">IFERROR(IF(COUNTIF($B$509:$B742,"&lt;0")&lt;&gt;1,OFFSET($C741,-COUNTIF($B$509:$B742,"&lt;0")+3,0),""),"")</f>
        <v>a173p000006iLbVAAU</v>
      </c>
      <c r="N743" s="505">
        <f ca="1">IFERROR(IF(COUNTA($D$509:D742)=1,0,OFFSET($F741,-COUNTA($D$509:D742)+3,0)),"")</f>
        <v>9</v>
      </c>
      <c r="O743" s="487"/>
      <c r="P743" s="487">
        <f t="shared" si="119"/>
        <v>0</v>
      </c>
      <c r="Q743" s="487"/>
      <c r="R743" s="487"/>
      <c r="S743" s="487"/>
      <c r="T743" s="493"/>
    </row>
    <row r="744" spans="1:20" x14ac:dyDescent="0.3">
      <c r="A744" s="487" t="b">
        <f t="shared" ca="1" si="109"/>
        <v>1</v>
      </c>
      <c r="B744" s="487">
        <f t="shared" si="116"/>
        <v>53</v>
      </c>
      <c r="C744" s="509" t="str">
        <f t="shared" ca="1" si="110"/>
        <v>a173p000006iLbzAAE</v>
      </c>
      <c r="D744" s="487"/>
      <c r="E744" s="487">
        <f t="shared" ca="1" si="117"/>
        <v>5</v>
      </c>
      <c r="F744" s="506">
        <f ca="1">IF(COUNTA(D$510:D744)=1,"",OFFSET(F742,-COUNTA(D$510:D744)+3,0))</f>
        <v>9</v>
      </c>
      <c r="G744" s="493" t="str">
        <f t="shared" ca="1" si="111"/>
        <v/>
      </c>
      <c r="H744" s="487">
        <f t="shared" ca="1" si="118"/>
        <v>25</v>
      </c>
      <c r="I744" s="490">
        <f t="shared" ca="1" si="112"/>
        <v>92</v>
      </c>
      <c r="J744" s="502">
        <f t="shared" ca="1" si="113"/>
        <v>174747.0025</v>
      </c>
      <c r="K744" s="502">
        <f t="shared" ca="1" si="114"/>
        <v>160767.24230000001</v>
      </c>
      <c r="L744" s="493" t="str">
        <f t="shared" ca="1" si="115"/>
        <v/>
      </c>
      <c r="M744" s="505" t="str">
        <f ca="1">IFERROR(IF(COUNTIF($B$509:$B743,"&lt;0")&lt;&gt;1,OFFSET($C742,-COUNTIF($B$509:$B743,"&lt;0")+3,0),""),"")</f>
        <v>a173p000006iLbzAAE</v>
      </c>
      <c r="N744" s="505">
        <f ca="1">IFERROR(IF(COUNTA($D$509:D743)=1,0,OFFSET($F742,-COUNTA($D$509:D743)+3,0)),"")</f>
        <v>9</v>
      </c>
      <c r="O744" s="487"/>
      <c r="P744" s="487">
        <f t="shared" si="119"/>
        <v>0</v>
      </c>
      <c r="Q744" s="487"/>
      <c r="R744" s="487"/>
      <c r="S744" s="487"/>
      <c r="T744" s="493"/>
    </row>
    <row r="745" spans="1:20" x14ac:dyDescent="0.3">
      <c r="A745" s="487" t="b">
        <f t="shared" ca="1" si="109"/>
        <v>1</v>
      </c>
      <c r="B745" s="487">
        <f t="shared" si="116"/>
        <v>54</v>
      </c>
      <c r="C745" s="509" t="str">
        <f t="shared" ca="1" si="110"/>
        <v>a173p000006iLcTAAU</v>
      </c>
      <c r="D745" s="487"/>
      <c r="E745" s="487">
        <f t="shared" ca="1" si="117"/>
        <v>6</v>
      </c>
      <c r="F745" s="506">
        <f ca="1">IF(COUNTA(D$510:D745)=1,"",OFFSET(F743,-COUNTA(D$510:D745)+3,0))</f>
        <v>9</v>
      </c>
      <c r="G745" s="493" t="str">
        <f t="shared" ca="1" si="111"/>
        <v/>
      </c>
      <c r="H745" s="487">
        <f t="shared" ca="1" si="118"/>
        <v>25</v>
      </c>
      <c r="I745" s="490">
        <f t="shared" ca="1" si="112"/>
        <v>92</v>
      </c>
      <c r="J745" s="502">
        <f t="shared" ca="1" si="113"/>
        <v>349494.005</v>
      </c>
      <c r="K745" s="502">
        <f t="shared" ca="1" si="114"/>
        <v>321534.48460000003</v>
      </c>
      <c r="L745" s="493" t="str">
        <f t="shared" ca="1" si="115"/>
        <v/>
      </c>
      <c r="M745" s="505" t="str">
        <f ca="1">IFERROR(IF(COUNTIF($B$509:$B744,"&lt;0")&lt;&gt;1,OFFSET($C743,-COUNTIF($B$509:$B744,"&lt;0")+3,0),""),"")</f>
        <v>a173p000006iLcTAAU</v>
      </c>
      <c r="N745" s="505">
        <f ca="1">IFERROR(IF(COUNTA($D$509:D744)=1,0,OFFSET($F743,-COUNTA($D$509:D744)+3,0)),"")</f>
        <v>9</v>
      </c>
      <c r="O745" s="487"/>
      <c r="P745" s="487">
        <f t="shared" si="119"/>
        <v>0</v>
      </c>
      <c r="Q745" s="487"/>
      <c r="R745" s="487"/>
      <c r="S745" s="487"/>
      <c r="T745" s="493"/>
    </row>
    <row r="746" spans="1:20" x14ac:dyDescent="0.3">
      <c r="A746" s="487" t="b">
        <f t="shared" ca="1" si="109"/>
        <v>1</v>
      </c>
      <c r="B746" s="487">
        <f t="shared" si="116"/>
        <v>55</v>
      </c>
      <c r="C746" s="509" t="str">
        <f t="shared" ca="1" si="110"/>
        <v>a173p000006iLa4AAE</v>
      </c>
      <c r="D746" s="487"/>
      <c r="E746" s="487">
        <f t="shared" ca="1" si="117"/>
        <v>1</v>
      </c>
      <c r="F746" s="506">
        <f ca="1">IF(COUNTA(D$510:D746)=1,"",OFFSET(F744,-COUNTA(D$510:D746)+3,0))</f>
        <v>10</v>
      </c>
      <c r="G746" s="493" t="str">
        <f t="shared" ca="1" si="111"/>
        <v/>
      </c>
      <c r="H746" s="487">
        <f t="shared" ca="1" si="118"/>
        <v>27</v>
      </c>
      <c r="I746" s="490">
        <f t="shared" ca="1" si="112"/>
        <v>100</v>
      </c>
      <c r="J746" s="502">
        <f t="shared" ca="1" si="113"/>
        <v>11824.5</v>
      </c>
      <c r="K746" s="502">
        <f t="shared" ca="1" si="114"/>
        <v>11824.5</v>
      </c>
      <c r="L746" s="493" t="str">
        <f t="shared" ca="1" si="115"/>
        <v/>
      </c>
      <c r="M746" s="505" t="str">
        <f ca="1">IFERROR(IF(COUNTIF($B$509:$B745,"&lt;0")&lt;&gt;1,OFFSET($C744,-COUNTIF($B$509:$B745,"&lt;0")+3,0),""),"")</f>
        <v>a173p000006iLa4AAE</v>
      </c>
      <c r="N746" s="505">
        <f ca="1">IFERROR(IF(COUNTA($D$509:D745)=1,0,OFFSET($F744,-COUNTA($D$509:D745)+3,0)),"")</f>
        <v>10</v>
      </c>
      <c r="O746" s="487"/>
      <c r="P746" s="487">
        <f t="shared" si="119"/>
        <v>0</v>
      </c>
      <c r="Q746" s="487"/>
      <c r="R746" s="487"/>
      <c r="S746" s="487"/>
      <c r="T746" s="493"/>
    </row>
    <row r="747" spans="1:20" x14ac:dyDescent="0.3">
      <c r="A747" s="487" t="b">
        <f t="shared" ca="1" si="109"/>
        <v>1</v>
      </c>
      <c r="B747" s="487">
        <f t="shared" si="116"/>
        <v>56</v>
      </c>
      <c r="C747" s="509" t="str">
        <f t="shared" ca="1" si="110"/>
        <v>a173p000006iLaYAAU</v>
      </c>
      <c r="D747" s="487"/>
      <c r="E747" s="487">
        <f t="shared" ca="1" si="117"/>
        <v>2</v>
      </c>
      <c r="F747" s="506">
        <f ca="1">IF(COUNTA(D$510:D747)=1,"",OFFSET(F745,-COUNTA(D$510:D747)+3,0))</f>
        <v>10</v>
      </c>
      <c r="G747" s="493" t="str">
        <f t="shared" ca="1" si="111"/>
        <v/>
      </c>
      <c r="H747" s="487">
        <f t="shared" ca="1" si="118"/>
        <v>27</v>
      </c>
      <c r="I747" s="490">
        <f t="shared" ca="1" si="112"/>
        <v>100</v>
      </c>
      <c r="J747" s="502">
        <f t="shared" ca="1" si="113"/>
        <v>23649</v>
      </c>
      <c r="K747" s="502">
        <f t="shared" ca="1" si="114"/>
        <v>23649</v>
      </c>
      <c r="L747" s="493" t="str">
        <f t="shared" ca="1" si="115"/>
        <v/>
      </c>
      <c r="M747" s="505" t="str">
        <f ca="1">IFERROR(IF(COUNTIF($B$509:$B746,"&lt;0")&lt;&gt;1,OFFSET($C745,-COUNTIF($B$509:$B746,"&lt;0")+3,0),""),"")</f>
        <v>a173p000006iLaYAAU</v>
      </c>
      <c r="N747" s="505">
        <f ca="1">IFERROR(IF(COUNTA($D$509:D746)=1,0,OFFSET($F745,-COUNTA($D$509:D746)+3,0)),"")</f>
        <v>10</v>
      </c>
      <c r="O747" s="487"/>
      <c r="P747" s="487">
        <f t="shared" si="119"/>
        <v>0</v>
      </c>
      <c r="Q747" s="487"/>
      <c r="R747" s="487"/>
      <c r="S747" s="487"/>
      <c r="T747" s="493"/>
    </row>
    <row r="748" spans="1:20" x14ac:dyDescent="0.3">
      <c r="A748" s="487" t="b">
        <f t="shared" ca="1" si="109"/>
        <v>1</v>
      </c>
      <c r="B748" s="487">
        <f t="shared" si="116"/>
        <v>57</v>
      </c>
      <c r="C748" s="509" t="str">
        <f t="shared" ca="1" si="110"/>
        <v>a173p000006iLb2AAE</v>
      </c>
      <c r="D748" s="487"/>
      <c r="E748" s="487">
        <f t="shared" ca="1" si="117"/>
        <v>3</v>
      </c>
      <c r="F748" s="506">
        <f ca="1">IF(COUNTA(D$510:D748)=1,"",OFFSET(F746,-COUNTA(D$510:D748)+3,0))</f>
        <v>10</v>
      </c>
      <c r="G748" s="493" t="str">
        <f t="shared" ca="1" si="111"/>
        <v/>
      </c>
      <c r="H748" s="487">
        <f t="shared" ca="1" si="118"/>
        <v>27</v>
      </c>
      <c r="I748" s="490">
        <f t="shared" ca="1" si="112"/>
        <v>100</v>
      </c>
      <c r="J748" s="502">
        <f t="shared" ca="1" si="113"/>
        <v>12271.5</v>
      </c>
      <c r="K748" s="502">
        <f t="shared" ca="1" si="114"/>
        <v>12271.5</v>
      </c>
      <c r="L748" s="493" t="str">
        <f t="shared" ca="1" si="115"/>
        <v/>
      </c>
      <c r="M748" s="505" t="str">
        <f ca="1">IFERROR(IF(COUNTIF($B$509:$B747,"&lt;0")&lt;&gt;1,OFFSET($C746,-COUNTIF($B$509:$B747,"&lt;0")+3,0),""),"")</f>
        <v>a173p000006iLb2AAE</v>
      </c>
      <c r="N748" s="505">
        <f ca="1">IFERROR(IF(COUNTA($D$509:D747)=1,0,OFFSET($F746,-COUNTA($D$509:D747)+3,0)),"")</f>
        <v>10</v>
      </c>
      <c r="O748" s="487"/>
      <c r="P748" s="487">
        <f t="shared" si="119"/>
        <v>0</v>
      </c>
      <c r="Q748" s="487"/>
      <c r="R748" s="487"/>
      <c r="S748" s="487"/>
      <c r="T748" s="493"/>
    </row>
    <row r="749" spans="1:20" x14ac:dyDescent="0.3">
      <c r="A749" s="487" t="b">
        <f t="shared" ca="1" si="109"/>
        <v>1</v>
      </c>
      <c r="B749" s="487">
        <f t="shared" si="116"/>
        <v>58</v>
      </c>
      <c r="C749" s="509" t="str">
        <f t="shared" ca="1" si="110"/>
        <v>a173p000006iLbWAAU</v>
      </c>
      <c r="D749" s="487"/>
      <c r="E749" s="487">
        <f t="shared" ca="1" si="117"/>
        <v>4</v>
      </c>
      <c r="F749" s="506">
        <f ca="1">IF(COUNTA(D$510:D749)=1,"",OFFSET(F747,-COUNTA(D$510:D749)+3,0))</f>
        <v>10</v>
      </c>
      <c r="G749" s="493" t="str">
        <f t="shared" ca="1" si="111"/>
        <v/>
      </c>
      <c r="H749" s="487">
        <f t="shared" ca="1" si="118"/>
        <v>27</v>
      </c>
      <c r="I749" s="490">
        <f t="shared" ca="1" si="112"/>
        <v>100</v>
      </c>
      <c r="J749" s="502">
        <f t="shared" ca="1" si="113"/>
        <v>24543</v>
      </c>
      <c r="K749" s="502">
        <f t="shared" ca="1" si="114"/>
        <v>24543</v>
      </c>
      <c r="L749" s="493" t="str">
        <f t="shared" ca="1" si="115"/>
        <v/>
      </c>
      <c r="M749" s="505" t="str">
        <f ca="1">IFERROR(IF(COUNTIF($B$509:$B748,"&lt;0")&lt;&gt;1,OFFSET($C747,-COUNTIF($B$509:$B748,"&lt;0")+3,0),""),"")</f>
        <v>a173p000006iLbWAAU</v>
      </c>
      <c r="N749" s="505">
        <f ca="1">IFERROR(IF(COUNTA($D$509:D748)=1,0,OFFSET($F747,-COUNTA($D$509:D748)+3,0)),"")</f>
        <v>10</v>
      </c>
      <c r="O749" s="487"/>
      <c r="P749" s="487">
        <f t="shared" si="119"/>
        <v>0</v>
      </c>
      <c r="Q749" s="487"/>
      <c r="R749" s="487"/>
      <c r="S749" s="487"/>
      <c r="T749" s="493"/>
    </row>
    <row r="750" spans="1:20" x14ac:dyDescent="0.3">
      <c r="A750" s="487" t="b">
        <f t="shared" ca="1" si="109"/>
        <v>1</v>
      </c>
      <c r="B750" s="487">
        <f t="shared" si="116"/>
        <v>59</v>
      </c>
      <c r="C750" s="509" t="str">
        <f t="shared" ca="1" si="110"/>
        <v>a173p000006iLc0AAE</v>
      </c>
      <c r="D750" s="487"/>
      <c r="E750" s="487">
        <f t="shared" ca="1" si="117"/>
        <v>5</v>
      </c>
      <c r="F750" s="506">
        <f ca="1">IF(COUNTA(D$510:D750)=1,"",OFFSET(F748,-COUNTA(D$510:D750)+3,0))</f>
        <v>10</v>
      </c>
      <c r="G750" s="493" t="str">
        <f t="shared" ca="1" si="111"/>
        <v/>
      </c>
      <c r="H750" s="487">
        <f t="shared" ca="1" si="118"/>
        <v>27</v>
      </c>
      <c r="I750" s="490">
        <f t="shared" ca="1" si="112"/>
        <v>100</v>
      </c>
      <c r="J750" s="502">
        <f t="shared" ca="1" si="113"/>
        <v>12877</v>
      </c>
      <c r="K750" s="502">
        <f t="shared" ca="1" si="114"/>
        <v>12877</v>
      </c>
      <c r="L750" s="493" t="str">
        <f t="shared" ca="1" si="115"/>
        <v/>
      </c>
      <c r="M750" s="505" t="str">
        <f ca="1">IFERROR(IF(COUNTIF($B$509:$B749,"&lt;0")&lt;&gt;1,OFFSET($C748,-COUNTIF($B$509:$B749,"&lt;0")+3,0),""),"")</f>
        <v>a173p000006iLc0AAE</v>
      </c>
      <c r="N750" s="505">
        <f ca="1">IFERROR(IF(COUNTA($D$509:D749)=1,0,OFFSET($F748,-COUNTA($D$509:D749)+3,0)),"")</f>
        <v>10</v>
      </c>
      <c r="O750" s="487"/>
      <c r="P750" s="487">
        <f t="shared" si="119"/>
        <v>0</v>
      </c>
      <c r="Q750" s="487"/>
      <c r="R750" s="487"/>
      <c r="S750" s="487"/>
      <c r="T750" s="493"/>
    </row>
    <row r="751" spans="1:20" x14ac:dyDescent="0.3">
      <c r="A751" s="487" t="b">
        <f t="shared" ca="1" si="109"/>
        <v>1</v>
      </c>
      <c r="B751" s="487">
        <f t="shared" si="116"/>
        <v>60</v>
      </c>
      <c r="C751" s="509" t="str">
        <f t="shared" ca="1" si="110"/>
        <v>a173p000006iLcUAAU</v>
      </c>
      <c r="D751" s="487"/>
      <c r="E751" s="487">
        <f t="shared" ca="1" si="117"/>
        <v>6</v>
      </c>
      <c r="F751" s="506">
        <f ca="1">IF(COUNTA(D$510:D751)=1,"",OFFSET(F749,-COUNTA(D$510:D751)+3,0))</f>
        <v>10</v>
      </c>
      <c r="G751" s="493" t="str">
        <f t="shared" ca="1" si="111"/>
        <v/>
      </c>
      <c r="H751" s="487">
        <f t="shared" ca="1" si="118"/>
        <v>27</v>
      </c>
      <c r="I751" s="490">
        <f t="shared" ca="1" si="112"/>
        <v>100</v>
      </c>
      <c r="J751" s="502">
        <f t="shared" ca="1" si="113"/>
        <v>25754</v>
      </c>
      <c r="K751" s="502">
        <f t="shared" ca="1" si="114"/>
        <v>25754</v>
      </c>
      <c r="L751" s="493" t="str">
        <f t="shared" ca="1" si="115"/>
        <v/>
      </c>
      <c r="M751" s="505" t="str">
        <f ca="1">IFERROR(IF(COUNTIF($B$509:$B750,"&lt;0")&lt;&gt;1,OFFSET($C749,-COUNTIF($B$509:$B750,"&lt;0")+3,0),""),"")</f>
        <v>a173p000006iLcUAAU</v>
      </c>
      <c r="N751" s="505">
        <f ca="1">IFERROR(IF(COUNTA($D$509:D750)=1,0,OFFSET($F749,-COUNTA($D$509:D750)+3,0)),"")</f>
        <v>10</v>
      </c>
      <c r="O751" s="487"/>
      <c r="P751" s="487">
        <f t="shared" si="119"/>
        <v>0</v>
      </c>
      <c r="Q751" s="487"/>
      <c r="R751" s="487"/>
      <c r="S751" s="487"/>
      <c r="T751" s="493"/>
    </row>
    <row r="752" spans="1:20" x14ac:dyDescent="0.3">
      <c r="A752" s="487" t="b">
        <f t="shared" ca="1" si="109"/>
        <v>1</v>
      </c>
      <c r="B752" s="487">
        <f t="shared" si="116"/>
        <v>61</v>
      </c>
      <c r="C752" s="509" t="str">
        <f t="shared" ca="1" si="110"/>
        <v>a173p000006iLa5AAE</v>
      </c>
      <c r="D752" s="487"/>
      <c r="E752" s="487">
        <f t="shared" ca="1" si="117"/>
        <v>1</v>
      </c>
      <c r="F752" s="506">
        <f ca="1">IF(COUNTA(D$510:D752)=1,"",OFFSET(F750,-COUNTA(D$510:D752)+3,0))</f>
        <v>11</v>
      </c>
      <c r="G752" s="493" t="str">
        <f t="shared" ca="1" si="111"/>
        <v/>
      </c>
      <c r="H752" s="487">
        <f t="shared" ca="1" si="118"/>
        <v>29</v>
      </c>
      <c r="I752" s="490">
        <f t="shared" ca="1" si="112"/>
        <v>100</v>
      </c>
      <c r="J752" s="502">
        <f t="shared" ca="1" si="113"/>
        <v>113</v>
      </c>
      <c r="K752" s="502">
        <f t="shared" ca="1" si="114"/>
        <v>113</v>
      </c>
      <c r="L752" s="493" t="str">
        <f t="shared" ca="1" si="115"/>
        <v/>
      </c>
      <c r="M752" s="505" t="str">
        <f ca="1">IFERROR(IF(COUNTIF($B$509:$B751,"&lt;0")&lt;&gt;1,OFFSET($C750,-COUNTIF($B$509:$B751,"&lt;0")+3,0),""),"")</f>
        <v>a173p000006iLa5AAE</v>
      </c>
      <c r="N752" s="505">
        <f ca="1">IFERROR(IF(COUNTA($D$509:D751)=1,0,OFFSET($F750,-COUNTA($D$509:D751)+3,0)),"")</f>
        <v>11</v>
      </c>
      <c r="O752" s="487"/>
      <c r="P752" s="487">
        <f t="shared" si="119"/>
        <v>0</v>
      </c>
      <c r="Q752" s="487"/>
      <c r="R752" s="487"/>
      <c r="S752" s="487"/>
      <c r="T752" s="493"/>
    </row>
    <row r="753" spans="1:20" x14ac:dyDescent="0.3">
      <c r="A753" s="487" t="b">
        <f t="shared" ca="1" si="109"/>
        <v>1</v>
      </c>
      <c r="B753" s="487">
        <f t="shared" si="116"/>
        <v>62</v>
      </c>
      <c r="C753" s="509" t="str">
        <f t="shared" ca="1" si="110"/>
        <v>a173p000006iLaZAAU</v>
      </c>
      <c r="D753" s="487"/>
      <c r="E753" s="487">
        <f t="shared" ca="1" si="117"/>
        <v>2</v>
      </c>
      <c r="F753" s="506">
        <f ca="1">IF(COUNTA(D$510:D753)=1,"",OFFSET(F751,-COUNTA(D$510:D753)+3,0))</f>
        <v>11</v>
      </c>
      <c r="G753" s="493" t="str">
        <f t="shared" ca="1" si="111"/>
        <v/>
      </c>
      <c r="H753" s="487">
        <f t="shared" ca="1" si="118"/>
        <v>29</v>
      </c>
      <c r="I753" s="490">
        <f t="shared" ca="1" si="112"/>
        <v>100</v>
      </c>
      <c r="J753" s="502">
        <f t="shared" ca="1" si="113"/>
        <v>113</v>
      </c>
      <c r="K753" s="502">
        <f t="shared" ca="1" si="114"/>
        <v>113</v>
      </c>
      <c r="L753" s="493" t="str">
        <f t="shared" ca="1" si="115"/>
        <v/>
      </c>
      <c r="M753" s="505" t="str">
        <f ca="1">IFERROR(IF(COUNTIF($B$509:$B752,"&lt;0")&lt;&gt;1,OFFSET($C751,-COUNTIF($B$509:$B752,"&lt;0")+3,0),""),"")</f>
        <v>a173p000006iLaZAAU</v>
      </c>
      <c r="N753" s="505">
        <f ca="1">IFERROR(IF(COUNTA($D$509:D752)=1,0,OFFSET($F751,-COUNTA($D$509:D752)+3,0)),"")</f>
        <v>11</v>
      </c>
      <c r="O753" s="487"/>
      <c r="P753" s="487">
        <f t="shared" si="119"/>
        <v>0</v>
      </c>
      <c r="Q753" s="487"/>
      <c r="R753" s="487"/>
      <c r="S753" s="487"/>
      <c r="T753" s="493"/>
    </row>
    <row r="754" spans="1:20" x14ac:dyDescent="0.3">
      <c r="A754" s="487" t="b">
        <f t="shared" ca="1" si="109"/>
        <v>1</v>
      </c>
      <c r="B754" s="487">
        <f t="shared" si="116"/>
        <v>63</v>
      </c>
      <c r="C754" s="509" t="str">
        <f t="shared" ca="1" si="110"/>
        <v>a173p000006iLb3AAE</v>
      </c>
      <c r="D754" s="487"/>
      <c r="E754" s="487">
        <f t="shared" ca="1" si="117"/>
        <v>3</v>
      </c>
      <c r="F754" s="506">
        <f ca="1">IF(COUNTA(D$510:D754)=1,"",OFFSET(F752,-COUNTA(D$510:D754)+3,0))</f>
        <v>11</v>
      </c>
      <c r="G754" s="493" t="str">
        <f t="shared" ca="1" si="111"/>
        <v/>
      </c>
      <c r="H754" s="487">
        <f t="shared" ca="1" si="118"/>
        <v>29</v>
      </c>
      <c r="I754" s="490">
        <f t="shared" ca="1" si="112"/>
        <v>100</v>
      </c>
      <c r="J754" s="502">
        <f t="shared" ca="1" si="113"/>
        <v>113</v>
      </c>
      <c r="K754" s="502">
        <f t="shared" ca="1" si="114"/>
        <v>113</v>
      </c>
      <c r="L754" s="493" t="str">
        <f t="shared" ca="1" si="115"/>
        <v/>
      </c>
      <c r="M754" s="505" t="str">
        <f ca="1">IFERROR(IF(COUNTIF($B$509:$B753,"&lt;0")&lt;&gt;1,OFFSET($C752,-COUNTIF($B$509:$B753,"&lt;0")+3,0),""),"")</f>
        <v>a173p000006iLb3AAE</v>
      </c>
      <c r="N754" s="505">
        <f ca="1">IFERROR(IF(COUNTA($D$509:D753)=1,0,OFFSET($F752,-COUNTA($D$509:D753)+3,0)),"")</f>
        <v>11</v>
      </c>
      <c r="O754" s="487"/>
      <c r="P754" s="487">
        <f t="shared" si="119"/>
        <v>0</v>
      </c>
      <c r="Q754" s="487"/>
      <c r="R754" s="487"/>
      <c r="S754" s="487"/>
      <c r="T754" s="493"/>
    </row>
    <row r="755" spans="1:20" x14ac:dyDescent="0.3">
      <c r="A755" s="487" t="b">
        <f t="shared" ca="1" si="109"/>
        <v>1</v>
      </c>
      <c r="B755" s="487">
        <f t="shared" si="116"/>
        <v>64</v>
      </c>
      <c r="C755" s="509" t="str">
        <f t="shared" ca="1" si="110"/>
        <v>a173p000006iLbXAAU</v>
      </c>
      <c r="D755" s="487"/>
      <c r="E755" s="487">
        <f t="shared" ca="1" si="117"/>
        <v>4</v>
      </c>
      <c r="F755" s="506">
        <f ca="1">IF(COUNTA(D$510:D755)=1,"",OFFSET(F753,-COUNTA(D$510:D755)+3,0))</f>
        <v>11</v>
      </c>
      <c r="G755" s="493" t="str">
        <f t="shared" ca="1" si="111"/>
        <v/>
      </c>
      <c r="H755" s="487">
        <f t="shared" ca="1" si="118"/>
        <v>29</v>
      </c>
      <c r="I755" s="490">
        <f t="shared" ca="1" si="112"/>
        <v>100</v>
      </c>
      <c r="J755" s="502">
        <f t="shared" ca="1" si="113"/>
        <v>113</v>
      </c>
      <c r="K755" s="502">
        <f t="shared" ca="1" si="114"/>
        <v>113</v>
      </c>
      <c r="L755" s="493" t="str">
        <f t="shared" ca="1" si="115"/>
        <v/>
      </c>
      <c r="M755" s="505" t="str">
        <f ca="1">IFERROR(IF(COUNTIF($B$509:$B754,"&lt;0")&lt;&gt;1,OFFSET($C753,-COUNTIF($B$509:$B754,"&lt;0")+3,0),""),"")</f>
        <v>a173p000006iLbXAAU</v>
      </c>
      <c r="N755" s="505">
        <f ca="1">IFERROR(IF(COUNTA($D$509:D754)=1,0,OFFSET($F753,-COUNTA($D$509:D754)+3,0)),"")</f>
        <v>11</v>
      </c>
      <c r="O755" s="487"/>
      <c r="P755" s="487">
        <f t="shared" si="119"/>
        <v>0</v>
      </c>
      <c r="Q755" s="487"/>
      <c r="R755" s="487"/>
      <c r="S755" s="487"/>
      <c r="T755" s="493"/>
    </row>
    <row r="756" spans="1:20" x14ac:dyDescent="0.3">
      <c r="A756" s="487" t="b">
        <f t="shared" ref="A756:A819" ca="1" si="120">IF(OR(I756&lt;&gt;"",J756&lt;&gt;"",K756&lt;&gt;""),TRUE,FALSE)</f>
        <v>1</v>
      </c>
      <c r="B756" s="487">
        <f t="shared" si="116"/>
        <v>65</v>
      </c>
      <c r="C756" s="509" t="str">
        <f t="shared" ref="C756:C819" ca="1" si="121">M756</f>
        <v>a173p000006iLc1AAE</v>
      </c>
      <c r="D756" s="487"/>
      <c r="E756" s="487">
        <f t="shared" ca="1" si="117"/>
        <v>5</v>
      </c>
      <c r="F756" s="506">
        <f ca="1">IF(COUNTA(D$510:D756)=1,"",OFFSET(F754,-COUNTA(D$510:D756)+3,0))</f>
        <v>11</v>
      </c>
      <c r="G756" s="493" t="str">
        <f t="shared" ref="G756:G819" ca="1" si="122">IFERROR(IF(INDIRECT("'Coverage Indicators - Section I'!G"&amp;$I248)=0,"",INDIRECT("'Coverage Indicators - Section I'!G"&amp;$I248)),"")</f>
        <v/>
      </c>
      <c r="H756" s="487">
        <f t="shared" ca="1" si="118"/>
        <v>29</v>
      </c>
      <c r="I756" s="490">
        <f t="shared" ref="I756:I819" ca="1" si="123">IFERROR(CHOOSE(E756,IFERROR(IF(INDIRECT("'Coverage Indicators - Section D'!P"&amp;H756)=0,"",INDIRECT("'Coverage Indicators - Section D'!P"&amp;H756)*100),""),IFERROR(IF(INDIRECT("'Coverage Indicators - Section D'!S"&amp;H756)=0,"",INDIRECT("'Coverage Indicators - Section D'!S"&amp;H756)*100),""),IFERROR(IF(INDIRECT("'Coverage Indicators - Section D'!V"&amp;H756)=0,"",INDIRECT("'Coverage Indicators - Section D'!V"&amp;H756)*100),""),IFERROR(IF(INDIRECT("'Coverage Indicators - Section D'!Y"&amp;H756)=0,"",INDIRECT("'Coverage Indicators - Section D'!Y"&amp;H756)*100),""),IFERROR(IF(INDIRECT("'Coverage Indicators - Section D'!AB"&amp;H756)=0,"",INDIRECT("'Coverage Indicators - Section D'!AB"&amp;H756)*100),""),IFERROR(IF(INDIRECT("'Coverage Indicators - Section D'!AE"&amp;H756)=0,"",INDIRECT("'Coverage Indicators - Section D'!AE"&amp;H756)*100),""),IFERROR(IF(INDIRECT("'Coverage Indicators - SectionD'!AH"&amp;H756)=0,"",INDIRECT("'CoverageIndicators-SectionD'!AH"&amp;H756)*100),""),),"")</f>
        <v>100</v>
      </c>
      <c r="J756" s="502">
        <f t="shared" ref="J756:J819" ca="1" si="124">IFERROR(CHOOSE(E756,IFERROR(IF(INDIRECT("'Coverage Indicators - Section D'!O"&amp;H756+1)=0,"",INDIRECT("'Coverage Indicators - Section D'!O"&amp;H756+1)),""),IFERROR(IF(INDIRECT("'Coverage Indicators - Section D'!R"&amp;H756+1)=0,"",INDIRECT("'Coverage Indicators - Section D'!R"&amp;H756+1)),""),IFERROR(IF(INDIRECT("'Coverage Indicators - Section D'!U"&amp;H756+1)=0,"",INDIRECT("'Coverage Indicators - Section D'!U"&amp;H756+1)),""),IFERROR(IF(INDIRECT("'Coverage Indicators - Section D'!X"&amp;H756+1)=0,"",INDIRECT("'Coverage Indicators - Section D'!X"&amp;H756+1)),""),IFERROR(IF(INDIRECT("'Coverage Indicators - Section D'!AA"&amp;H756+1)=0,"",INDIRECT("'Coverage Indicators - Section D'!AA"&amp;H756+1)),""),IFERROR(IF(INDIRECT("'Coverage Indicators - Section D'!AD"&amp;H756+1)=0,"",INDIRECT("'Coverage Indicators - Section D'!AD"&amp;H756+1)),""),IFERROR(IF(INDIRECT("'Coverage Indicators - Section D'!AG"&amp;H756+1)=0,"",INDIRECT("'Coverage Indicators - Section D'!AG"&amp;H756+1)),""),IFERROR(IF(INDIRECT("'Coverage Indicators - Section D'!AJ"&amp;H756+1)=0,"",INDIRECT("'Coverage Indicators - Section D'!AJ"&amp;H756+1)),""),,),"")</f>
        <v>113</v>
      </c>
      <c r="K756" s="502">
        <f t="shared" ref="K756:K819" ca="1" si="125">IFERROR(CHOOSE(E756,IFERROR(IF(INDIRECT("'Coverage Indicators - Section D'!O"&amp;H756)=0,"",INDIRECT("'Coverage Indicators - Section D'!O"&amp;H756)),""),IFERROR(IF(INDIRECT("'Coverage Indicators - Section D'!R"&amp;H756)=0,"",INDIRECT("'Coverage Indicators - Section D'!R"&amp;H756)),""),IFERROR(IF(INDIRECT("'Coverage Indicators - Section D'!U"&amp;H756)=0,"",INDIRECT("'Coverage Indicators - Section D'!U"&amp;H756)),""),IFERROR(IF(INDIRECT("'Coverage Indicators - Section D'!X"&amp;H756)=0,"",INDIRECT("'Coverage Indicators - Section D'!X"&amp;H756)),""),IFERROR(IF(INDIRECT("'Coverage Indicators - Section D'!AA"&amp;H756)=0,"",INDIRECT("'Coverage Indicators - Section D'!AA"&amp;H756)),""),IFERROR(IF(INDIRECT("'Coverage Indicators - Section D'!AD"&amp;H756)=0,"",INDIRECT("'Coverage Indicators - Section D'!AD"&amp;H756)),""),IFERROR(IF(INDIRECT("'Coverage Indicators - Section D'!AG"&amp;H756)=0,"",INDIRECT("'Coverage Indicators - Section D'!AG"&amp;H756)),""),IFERROR(IF(INDIRECT("'Coverage Indicators - Section D'!AJ"&amp;H756)=0,"",INDIRECT("'Coverage Indicators - Section D'!AJ"&amp;H756)),""),,),"")</f>
        <v>113</v>
      </c>
      <c r="L756" s="493" t="str">
        <f t="shared" ref="L756:L819" ca="1" si="126">IF(IFERROR(CHOOSE(E756,IFERROR(IF(INDIRECT("'Coverage Indicators - Section D'!Q"&amp;H756)=0,"",INDIRECT("'Coverage Indicators - Section D'!Q"&amp;H756+1)),""),IFERROR(IF(INDIRECT("'Coverage Indicators - Section D'!W"&amp;H756)=0,"",INDIRECT("'Coverage Indicators - Section D'!W"&amp;H756+1)),""),IFERROR(IF(INDIRECT("'Coverage Indicators - Section D'!Z"&amp;H756)=0,"",INDIRECT("'Coverage Indicators - Section D'!Z"&amp;H756+1)),""),IFERROR(IF(INDIRECT("'Coverage Indicators - Section D'!AC"&amp;H756)=0,"",INDIRECT("'Coverage Indicators - Section D'!AC"&amp;H756+1)),""),IFERROR(IF(INDIRECT("'Coverage Indicators - Section D'!AF"&amp;H756)=0,"",INDIRECT("'Coverage Indicators - Section D'!AF"&amp;H756+1)),""),IFERROR(IF(INDIRECT("'Coverage Indicators - Section D'!AI"&amp;H756)=0,"",INDIRECT("'Coverage Indicators - Section D'!AI"&amp;H756+1)),""),IFERROR(IF(INDIRECT("'Coverage Indicators - Section D'!AL"&amp;H756)=0,"",INDIRECT("'Coverage Indicators - Section D'!AL"&amp;H756+1)),"")),"")=0,"",CHOOSE(E756,IFERROR(IF(INDIRECT("'Coverage Indicators - Section D'!Q"&amp;H756)=0,"",INDIRECT("'Coverage Indicators - Section D'!Q"&amp;H756+1)),""),IFERROR(IF(INDIRECT("'Coverage Indicators - Section D'!W"&amp;H756)=0,"",INDIRECT("'Coverage Indicators - Section D'!W"&amp;H756+1)),""),IFERROR(IF(INDIRECT("'Coverage Indicators - Section D'!Z"&amp;H756)=0,"",INDIRECT("'Coverage Indicators - Section D'!Z"&amp;H756+1)),""),IFERROR(IF(INDIRECT("'Coverage Indicators - Section D'!AC"&amp;H756)=0,"",INDIRECT("'Coverage Indicators - Section D'!AC"&amp;H756+1)),""),IFERROR(IF(INDIRECT("'Coverage Indicators - Section D'!AF"&amp;H756)=0,"",INDIRECT("'Coverage Indicators - Section D'!AF"&amp;H756+1)),""),IFERROR(IF(INDIRECT("'Coverage Indicators - Section D'!AI"&amp;H756)=0,"",INDIRECT("'Coverage Indicators - Section D'!AI"&amp;H756+1)),""),IFERROR(IF(INDIRECT("'Coverage Indicators - Section D'!AL"&amp;H756)=0,"",INDIRECT("'Coverage Indicators - Section D'!AL"&amp;H756+1)),"")))</f>
        <v/>
      </c>
      <c r="M756" s="505" t="str">
        <f ca="1">IFERROR(IF(COUNTIF($B$509:$B755,"&lt;0")&lt;&gt;1,OFFSET($C754,-COUNTIF($B$509:$B755,"&lt;0")+3,0),""),"")</f>
        <v>a173p000006iLc1AAE</v>
      </c>
      <c r="N756" s="505">
        <f ca="1">IFERROR(IF(COUNTA($D$509:D755)=1,0,OFFSET($F754,-COUNTA($D$509:D755)+3,0)),"")</f>
        <v>11</v>
      </c>
      <c r="O756" s="487"/>
      <c r="P756" s="487">
        <f t="shared" si="119"/>
        <v>0</v>
      </c>
      <c r="Q756" s="487"/>
      <c r="R756" s="487"/>
      <c r="S756" s="487"/>
      <c r="T756" s="493"/>
    </row>
    <row r="757" spans="1:20" x14ac:dyDescent="0.3">
      <c r="A757" s="487" t="b">
        <f t="shared" ca="1" si="120"/>
        <v>1</v>
      </c>
      <c r="B757" s="487">
        <f t="shared" si="116"/>
        <v>66</v>
      </c>
      <c r="C757" s="509" t="str">
        <f t="shared" ca="1" si="121"/>
        <v>a173p000006iLcVAAU</v>
      </c>
      <c r="D757" s="487"/>
      <c r="E757" s="487">
        <f t="shared" ca="1" si="117"/>
        <v>6</v>
      </c>
      <c r="F757" s="506">
        <f ca="1">IF(COUNTA(D$510:D757)=1,"",OFFSET(F755,-COUNTA(D$510:D757)+3,0))</f>
        <v>11</v>
      </c>
      <c r="G757" s="493" t="str">
        <f t="shared" ca="1" si="122"/>
        <v/>
      </c>
      <c r="H757" s="487">
        <f t="shared" ca="1" si="118"/>
        <v>29</v>
      </c>
      <c r="I757" s="490">
        <f t="shared" ca="1" si="123"/>
        <v>100</v>
      </c>
      <c r="J757" s="502">
        <f t="shared" ca="1" si="124"/>
        <v>113</v>
      </c>
      <c r="K757" s="502">
        <f t="shared" ca="1" si="125"/>
        <v>113</v>
      </c>
      <c r="L757" s="493" t="str">
        <f t="shared" ca="1" si="126"/>
        <v/>
      </c>
      <c r="M757" s="505" t="str">
        <f ca="1">IFERROR(IF(COUNTIF($B$509:$B756,"&lt;0")&lt;&gt;1,OFFSET($C755,-COUNTIF($B$509:$B756,"&lt;0")+3,0),""),"")</f>
        <v>a173p000006iLcVAAU</v>
      </c>
      <c r="N757" s="505">
        <f ca="1">IFERROR(IF(COUNTA($D$509:D756)=1,0,OFFSET($F755,-COUNTA($D$509:D756)+3,0)),"")</f>
        <v>11</v>
      </c>
      <c r="O757" s="487"/>
      <c r="P757" s="487">
        <f t="shared" si="119"/>
        <v>0</v>
      </c>
      <c r="Q757" s="487"/>
      <c r="R757" s="487"/>
      <c r="S757" s="487"/>
      <c r="T757" s="493"/>
    </row>
    <row r="758" spans="1:20" x14ac:dyDescent="0.3">
      <c r="A758" s="487" t="b">
        <f t="shared" ca="1" si="120"/>
        <v>1</v>
      </c>
      <c r="B758" s="487">
        <f t="shared" si="116"/>
        <v>67</v>
      </c>
      <c r="C758" s="509" t="str">
        <f t="shared" ca="1" si="121"/>
        <v>a173p000006iLa6AAE</v>
      </c>
      <c r="D758" s="487"/>
      <c r="E758" s="487">
        <f t="shared" ca="1" si="117"/>
        <v>1</v>
      </c>
      <c r="F758" s="506">
        <f ca="1">IF(COUNTA(D$510:D758)=1,"",OFFSET(F756,-COUNTA(D$510:D758)+3,0))</f>
        <v>12</v>
      </c>
      <c r="G758" s="493" t="str">
        <f t="shared" ca="1" si="122"/>
        <v/>
      </c>
      <c r="H758" s="487">
        <f t="shared" ca="1" si="118"/>
        <v>31</v>
      </c>
      <c r="I758" s="490">
        <f t="shared" ca="1" si="123"/>
        <v>80</v>
      </c>
      <c r="J758" s="502">
        <f t="shared" ca="1" si="124"/>
        <v>4531</v>
      </c>
      <c r="K758" s="502">
        <f t="shared" ca="1" si="125"/>
        <v>3624.8</v>
      </c>
      <c r="L758" s="493" t="str">
        <f t="shared" ca="1" si="126"/>
        <v/>
      </c>
      <c r="M758" s="505" t="str">
        <f ca="1">IFERROR(IF(COUNTIF($B$509:$B757,"&lt;0")&lt;&gt;1,OFFSET($C756,-COUNTIF($B$509:$B757,"&lt;0")+3,0),""),"")</f>
        <v>a173p000006iLa6AAE</v>
      </c>
      <c r="N758" s="505">
        <f ca="1">IFERROR(IF(COUNTA($D$509:D757)=1,0,OFFSET($F756,-COUNTA($D$509:D757)+3,0)),"")</f>
        <v>12</v>
      </c>
      <c r="O758" s="487"/>
      <c r="P758" s="487">
        <f t="shared" si="119"/>
        <v>0</v>
      </c>
      <c r="Q758" s="487"/>
      <c r="R758" s="487"/>
      <c r="S758" s="487"/>
      <c r="T758" s="493"/>
    </row>
    <row r="759" spans="1:20" x14ac:dyDescent="0.3">
      <c r="A759" s="487" t="b">
        <f t="shared" ca="1" si="120"/>
        <v>1</v>
      </c>
      <c r="B759" s="487">
        <f t="shared" si="116"/>
        <v>68</v>
      </c>
      <c r="C759" s="509" t="str">
        <f t="shared" ca="1" si="121"/>
        <v>a173p000006iLaaAAE</v>
      </c>
      <c r="D759" s="487"/>
      <c r="E759" s="487">
        <f t="shared" ca="1" si="117"/>
        <v>2</v>
      </c>
      <c r="F759" s="506">
        <f ca="1">IF(COUNTA(D$510:D759)=1,"",OFFSET(F757,-COUNTA(D$510:D759)+3,0))</f>
        <v>12</v>
      </c>
      <c r="G759" s="493" t="str">
        <f t="shared" ca="1" si="122"/>
        <v/>
      </c>
      <c r="H759" s="487">
        <f t="shared" ca="1" si="118"/>
        <v>31</v>
      </c>
      <c r="I759" s="490">
        <f t="shared" ca="1" si="123"/>
        <v>80</v>
      </c>
      <c r="J759" s="502">
        <f t="shared" ca="1" si="124"/>
        <v>4531</v>
      </c>
      <c r="K759" s="502">
        <f t="shared" ca="1" si="125"/>
        <v>3624.8</v>
      </c>
      <c r="L759" s="493" t="str">
        <f t="shared" ca="1" si="126"/>
        <v/>
      </c>
      <c r="M759" s="505" t="str">
        <f ca="1">IFERROR(IF(COUNTIF($B$509:$B758,"&lt;0")&lt;&gt;1,OFFSET($C757,-COUNTIF($B$509:$B758,"&lt;0")+3,0),""),"")</f>
        <v>a173p000006iLaaAAE</v>
      </c>
      <c r="N759" s="505">
        <f ca="1">IFERROR(IF(COUNTA($D$509:D758)=1,0,OFFSET($F757,-COUNTA($D$509:D758)+3,0)),"")</f>
        <v>12</v>
      </c>
      <c r="O759" s="487"/>
      <c r="P759" s="487">
        <f t="shared" si="119"/>
        <v>0</v>
      </c>
      <c r="Q759" s="487"/>
      <c r="R759" s="487"/>
      <c r="S759" s="487"/>
      <c r="T759" s="493"/>
    </row>
    <row r="760" spans="1:20" x14ac:dyDescent="0.3">
      <c r="A760" s="487" t="b">
        <f t="shared" ca="1" si="120"/>
        <v>1</v>
      </c>
      <c r="B760" s="487">
        <f t="shared" si="116"/>
        <v>69</v>
      </c>
      <c r="C760" s="509" t="str">
        <f t="shared" ca="1" si="121"/>
        <v>a173p000006iLb4AAE</v>
      </c>
      <c r="D760" s="487"/>
      <c r="E760" s="487">
        <f t="shared" ca="1" si="117"/>
        <v>3</v>
      </c>
      <c r="F760" s="506">
        <f ca="1">IF(COUNTA(D$510:D760)=1,"",OFFSET(F758,-COUNTA(D$510:D760)+3,0))</f>
        <v>12</v>
      </c>
      <c r="G760" s="493" t="str">
        <f t="shared" ca="1" si="122"/>
        <v/>
      </c>
      <c r="H760" s="487">
        <f t="shared" ca="1" si="118"/>
        <v>31</v>
      </c>
      <c r="I760" s="490">
        <f t="shared" ca="1" si="123"/>
        <v>80</v>
      </c>
      <c r="J760" s="502">
        <f t="shared" ca="1" si="124"/>
        <v>4648.5</v>
      </c>
      <c r="K760" s="502">
        <f t="shared" ca="1" si="125"/>
        <v>3718.8</v>
      </c>
      <c r="L760" s="493" t="str">
        <f t="shared" ca="1" si="126"/>
        <v/>
      </c>
      <c r="M760" s="505" t="str">
        <f ca="1">IFERROR(IF(COUNTIF($B$509:$B759,"&lt;0")&lt;&gt;1,OFFSET($C758,-COUNTIF($B$509:$B759,"&lt;0")+3,0),""),"")</f>
        <v>a173p000006iLb4AAE</v>
      </c>
      <c r="N760" s="505">
        <f ca="1">IFERROR(IF(COUNTA($D$509:D759)=1,0,OFFSET($F758,-COUNTA($D$509:D759)+3,0)),"")</f>
        <v>12</v>
      </c>
      <c r="O760" s="487"/>
      <c r="P760" s="487">
        <f t="shared" si="119"/>
        <v>0</v>
      </c>
      <c r="Q760" s="487"/>
      <c r="R760" s="487"/>
      <c r="S760" s="487"/>
      <c r="T760" s="493"/>
    </row>
    <row r="761" spans="1:20" x14ac:dyDescent="0.3">
      <c r="A761" s="487" t="b">
        <f t="shared" ca="1" si="120"/>
        <v>1</v>
      </c>
      <c r="B761" s="487">
        <f t="shared" si="116"/>
        <v>70</v>
      </c>
      <c r="C761" s="509" t="str">
        <f t="shared" ca="1" si="121"/>
        <v>a173p000006iLbYAAU</v>
      </c>
      <c r="D761" s="487"/>
      <c r="E761" s="487">
        <f t="shared" ca="1" si="117"/>
        <v>4</v>
      </c>
      <c r="F761" s="506">
        <f ca="1">IF(COUNTA(D$510:D761)=1,"",OFFSET(F759,-COUNTA(D$510:D761)+3,0))</f>
        <v>12</v>
      </c>
      <c r="G761" s="493" t="str">
        <f t="shared" ca="1" si="122"/>
        <v/>
      </c>
      <c r="H761" s="487">
        <f t="shared" ca="1" si="118"/>
        <v>31</v>
      </c>
      <c r="I761" s="490">
        <f t="shared" ca="1" si="123"/>
        <v>80</v>
      </c>
      <c r="J761" s="502">
        <f t="shared" ca="1" si="124"/>
        <v>4648.5</v>
      </c>
      <c r="K761" s="502">
        <f t="shared" ca="1" si="125"/>
        <v>3718.8</v>
      </c>
      <c r="L761" s="493" t="str">
        <f t="shared" ca="1" si="126"/>
        <v/>
      </c>
      <c r="M761" s="505" t="str">
        <f ca="1">IFERROR(IF(COUNTIF($B$509:$B760,"&lt;0")&lt;&gt;1,OFFSET($C759,-COUNTIF($B$509:$B760,"&lt;0")+3,0),""),"")</f>
        <v>a173p000006iLbYAAU</v>
      </c>
      <c r="N761" s="505">
        <f ca="1">IFERROR(IF(COUNTA($D$509:D760)=1,0,OFFSET($F759,-COUNTA($D$509:D760)+3,0)),"")</f>
        <v>12</v>
      </c>
      <c r="O761" s="487"/>
      <c r="P761" s="487">
        <f t="shared" si="119"/>
        <v>0</v>
      </c>
      <c r="Q761" s="487"/>
      <c r="R761" s="487"/>
      <c r="S761" s="487"/>
      <c r="T761" s="493"/>
    </row>
    <row r="762" spans="1:20" x14ac:dyDescent="0.3">
      <c r="A762" s="487" t="b">
        <f t="shared" ca="1" si="120"/>
        <v>1</v>
      </c>
      <c r="B762" s="487">
        <f t="shared" si="116"/>
        <v>71</v>
      </c>
      <c r="C762" s="509" t="str">
        <f t="shared" ca="1" si="121"/>
        <v>a173p000006iLc2AAE</v>
      </c>
      <c r="D762" s="487"/>
      <c r="E762" s="487">
        <f t="shared" ca="1" si="117"/>
        <v>5</v>
      </c>
      <c r="F762" s="506">
        <f ca="1">IF(COUNTA(D$510:D762)=1,"",OFFSET(F760,-COUNTA(D$510:D762)+3,0))</f>
        <v>12</v>
      </c>
      <c r="G762" s="493" t="str">
        <f t="shared" ca="1" si="122"/>
        <v/>
      </c>
      <c r="H762" s="487">
        <f t="shared" ca="1" si="118"/>
        <v>31</v>
      </c>
      <c r="I762" s="490">
        <f t="shared" ca="1" si="123"/>
        <v>80</v>
      </c>
      <c r="J762" s="502">
        <f t="shared" ca="1" si="124"/>
        <v>4769.5</v>
      </c>
      <c r="K762" s="502">
        <f t="shared" ca="1" si="125"/>
        <v>3815.6000000000004</v>
      </c>
      <c r="L762" s="493" t="str">
        <f t="shared" ca="1" si="126"/>
        <v/>
      </c>
      <c r="M762" s="505" t="str">
        <f ca="1">IFERROR(IF(COUNTIF($B$509:$B761,"&lt;0")&lt;&gt;1,OFFSET($C760,-COUNTIF($B$509:$B761,"&lt;0")+3,0),""),"")</f>
        <v>a173p000006iLc2AAE</v>
      </c>
      <c r="N762" s="505">
        <f ca="1">IFERROR(IF(COUNTA($D$509:D761)=1,0,OFFSET($F760,-COUNTA($D$509:D761)+3,0)),"")</f>
        <v>12</v>
      </c>
      <c r="O762" s="487"/>
      <c r="P762" s="487">
        <f t="shared" si="119"/>
        <v>0</v>
      </c>
      <c r="Q762" s="487"/>
      <c r="R762" s="487"/>
      <c r="S762" s="487"/>
      <c r="T762" s="493"/>
    </row>
    <row r="763" spans="1:20" x14ac:dyDescent="0.3">
      <c r="A763" s="487" t="b">
        <f t="shared" ca="1" si="120"/>
        <v>1</v>
      </c>
      <c r="B763" s="487">
        <f t="shared" si="116"/>
        <v>72</v>
      </c>
      <c r="C763" s="509" t="str">
        <f t="shared" ca="1" si="121"/>
        <v>a173p000006iLcWAAU</v>
      </c>
      <c r="D763" s="487"/>
      <c r="E763" s="487">
        <f t="shared" ca="1" si="117"/>
        <v>6</v>
      </c>
      <c r="F763" s="506">
        <f ca="1">IF(COUNTA(D$510:D763)=1,"",OFFSET(F761,-COUNTA(D$510:D763)+3,0))</f>
        <v>12</v>
      </c>
      <c r="G763" s="493" t="str">
        <f t="shared" ca="1" si="122"/>
        <v/>
      </c>
      <c r="H763" s="487">
        <f t="shared" ca="1" si="118"/>
        <v>31</v>
      </c>
      <c r="I763" s="490">
        <f t="shared" ca="1" si="123"/>
        <v>80</v>
      </c>
      <c r="J763" s="502">
        <f t="shared" ca="1" si="124"/>
        <v>4769.5</v>
      </c>
      <c r="K763" s="502">
        <f t="shared" ca="1" si="125"/>
        <v>3815.6000000000004</v>
      </c>
      <c r="L763" s="493" t="str">
        <f t="shared" ca="1" si="126"/>
        <v/>
      </c>
      <c r="M763" s="505" t="str">
        <f ca="1">IFERROR(IF(COUNTIF($B$509:$B762,"&lt;0")&lt;&gt;1,OFFSET($C761,-COUNTIF($B$509:$B762,"&lt;0")+3,0),""),"")</f>
        <v>a173p000006iLcWAAU</v>
      </c>
      <c r="N763" s="505">
        <f ca="1">IFERROR(IF(COUNTA($D$509:D762)=1,0,OFFSET($F761,-COUNTA($D$509:D762)+3,0)),"")</f>
        <v>12</v>
      </c>
      <c r="O763" s="487"/>
      <c r="P763" s="487">
        <f t="shared" si="119"/>
        <v>0</v>
      </c>
      <c r="Q763" s="487"/>
      <c r="R763" s="487"/>
      <c r="S763" s="487"/>
      <c r="T763" s="493"/>
    </row>
    <row r="764" spans="1:20" x14ac:dyDescent="0.3">
      <c r="A764" s="487" t="b">
        <f t="shared" ca="1" si="120"/>
        <v>1</v>
      </c>
      <c r="B764" s="487">
        <f t="shared" si="116"/>
        <v>73</v>
      </c>
      <c r="C764" s="509" t="str">
        <f t="shared" ca="1" si="121"/>
        <v>a173p000006iLa7AAE</v>
      </c>
      <c r="D764" s="487"/>
      <c r="E764" s="487">
        <f t="shared" ca="1" si="117"/>
        <v>1</v>
      </c>
      <c r="F764" s="506">
        <f ca="1">IF(COUNTA(D$510:D764)=1,"",OFFSET(F762,-COUNTA(D$510:D764)+3,0))</f>
        <v>13</v>
      </c>
      <c r="G764" s="493" t="str">
        <f t="shared" ca="1" si="122"/>
        <v/>
      </c>
      <c r="H764" s="487">
        <f t="shared" ca="1" si="118"/>
        <v>33</v>
      </c>
      <c r="I764" s="490">
        <f t="shared" ca="1" si="123"/>
        <v>95</v>
      </c>
      <c r="J764" s="502">
        <f t="shared" ca="1" si="124"/>
        <v>7637.5</v>
      </c>
      <c r="K764" s="502">
        <f t="shared" ca="1" si="125"/>
        <v>7255.625</v>
      </c>
      <c r="L764" s="493" t="str">
        <f t="shared" ca="1" si="126"/>
        <v/>
      </c>
      <c r="M764" s="505" t="str">
        <f ca="1">IFERROR(IF(COUNTIF($B$509:$B763,"&lt;0")&lt;&gt;1,OFFSET($C762,-COUNTIF($B$509:$B763,"&lt;0")+3,0),""),"")</f>
        <v>a173p000006iLa7AAE</v>
      </c>
      <c r="N764" s="505">
        <f ca="1">IFERROR(IF(COUNTA($D$509:D763)=1,0,OFFSET($F762,-COUNTA($D$509:D763)+3,0)),"")</f>
        <v>13</v>
      </c>
      <c r="O764" s="487"/>
      <c r="P764" s="487">
        <f t="shared" si="119"/>
        <v>0</v>
      </c>
      <c r="Q764" s="487"/>
      <c r="R764" s="487"/>
      <c r="S764" s="487"/>
      <c r="T764" s="493"/>
    </row>
    <row r="765" spans="1:20" x14ac:dyDescent="0.3">
      <c r="A765" s="487" t="b">
        <f t="shared" ca="1" si="120"/>
        <v>1</v>
      </c>
      <c r="B765" s="487">
        <f t="shared" si="116"/>
        <v>74</v>
      </c>
      <c r="C765" s="509" t="str">
        <f t="shared" ca="1" si="121"/>
        <v>a173p000006iLabAAE</v>
      </c>
      <c r="D765" s="487"/>
      <c r="E765" s="487">
        <f t="shared" ca="1" si="117"/>
        <v>2</v>
      </c>
      <c r="F765" s="506">
        <f ca="1">IF(COUNTA(D$510:D765)=1,"",OFFSET(F763,-COUNTA(D$510:D765)+3,0))</f>
        <v>13</v>
      </c>
      <c r="G765" s="493" t="str">
        <f t="shared" ca="1" si="122"/>
        <v/>
      </c>
      <c r="H765" s="487">
        <f t="shared" ca="1" si="118"/>
        <v>33</v>
      </c>
      <c r="I765" s="490">
        <f t="shared" ca="1" si="123"/>
        <v>95</v>
      </c>
      <c r="J765" s="502">
        <f t="shared" ca="1" si="124"/>
        <v>7637.5</v>
      </c>
      <c r="K765" s="502">
        <f t="shared" ca="1" si="125"/>
        <v>7255.625</v>
      </c>
      <c r="L765" s="493" t="str">
        <f t="shared" ca="1" si="126"/>
        <v/>
      </c>
      <c r="M765" s="505" t="str">
        <f ca="1">IFERROR(IF(COUNTIF($B$509:$B764,"&lt;0")&lt;&gt;1,OFFSET($C763,-COUNTIF($B$509:$B764,"&lt;0")+3,0),""),"")</f>
        <v>a173p000006iLabAAE</v>
      </c>
      <c r="N765" s="505">
        <f ca="1">IFERROR(IF(COUNTA($D$509:D764)=1,0,OFFSET($F763,-COUNTA($D$509:D764)+3,0)),"")</f>
        <v>13</v>
      </c>
      <c r="O765" s="487"/>
      <c r="P765" s="487">
        <f t="shared" si="119"/>
        <v>0</v>
      </c>
      <c r="Q765" s="487"/>
      <c r="R765" s="487"/>
      <c r="S765" s="487"/>
      <c r="T765" s="493"/>
    </row>
    <row r="766" spans="1:20" x14ac:dyDescent="0.3">
      <c r="A766" s="487" t="b">
        <f t="shared" ca="1" si="120"/>
        <v>1</v>
      </c>
      <c r="B766" s="487">
        <f t="shared" si="116"/>
        <v>75</v>
      </c>
      <c r="C766" s="509" t="str">
        <f t="shared" ca="1" si="121"/>
        <v>a173p000006iLb5AAE</v>
      </c>
      <c r="D766" s="487"/>
      <c r="E766" s="487">
        <f t="shared" ca="1" si="117"/>
        <v>3</v>
      </c>
      <c r="F766" s="506">
        <f ca="1">IF(COUNTA(D$510:D766)=1,"",OFFSET(F764,-COUNTA(D$510:D766)+3,0))</f>
        <v>13</v>
      </c>
      <c r="G766" s="493" t="str">
        <f t="shared" ca="1" si="122"/>
        <v/>
      </c>
      <c r="H766" s="487">
        <f t="shared" ca="1" si="118"/>
        <v>33</v>
      </c>
      <c r="I766" s="490">
        <f t="shared" ca="1" si="123"/>
        <v>95</v>
      </c>
      <c r="J766" s="502">
        <f t="shared" ca="1" si="124"/>
        <v>7836</v>
      </c>
      <c r="K766" s="502">
        <f t="shared" ca="1" si="125"/>
        <v>7444.2</v>
      </c>
      <c r="L766" s="493" t="str">
        <f t="shared" ca="1" si="126"/>
        <v/>
      </c>
      <c r="M766" s="505" t="str">
        <f ca="1">IFERROR(IF(COUNTIF($B$509:$B765,"&lt;0")&lt;&gt;1,OFFSET($C764,-COUNTIF($B$509:$B765,"&lt;0")+3,0),""),"")</f>
        <v>a173p000006iLb5AAE</v>
      </c>
      <c r="N766" s="505">
        <f ca="1">IFERROR(IF(COUNTA($D$509:D765)=1,0,OFFSET($F764,-COUNTA($D$509:D765)+3,0)),"")</f>
        <v>13</v>
      </c>
      <c r="O766" s="487"/>
      <c r="P766" s="487">
        <f t="shared" si="119"/>
        <v>0</v>
      </c>
      <c r="Q766" s="487"/>
      <c r="R766" s="487"/>
      <c r="S766" s="487"/>
      <c r="T766" s="493"/>
    </row>
    <row r="767" spans="1:20" x14ac:dyDescent="0.3">
      <c r="A767" s="487" t="b">
        <f t="shared" ca="1" si="120"/>
        <v>1</v>
      </c>
      <c r="B767" s="487">
        <f t="shared" si="116"/>
        <v>76</v>
      </c>
      <c r="C767" s="509" t="str">
        <f t="shared" ca="1" si="121"/>
        <v>a173p000006iLbZAAU</v>
      </c>
      <c r="D767" s="487"/>
      <c r="E767" s="487">
        <f t="shared" ca="1" si="117"/>
        <v>4</v>
      </c>
      <c r="F767" s="506">
        <f ca="1">IF(COUNTA(D$510:D767)=1,"",OFFSET(F765,-COUNTA(D$510:D767)+3,0))</f>
        <v>13</v>
      </c>
      <c r="G767" s="493" t="str">
        <f t="shared" ca="1" si="122"/>
        <v/>
      </c>
      <c r="H767" s="487">
        <f t="shared" ca="1" si="118"/>
        <v>33</v>
      </c>
      <c r="I767" s="490">
        <f t="shared" ca="1" si="123"/>
        <v>95</v>
      </c>
      <c r="J767" s="502">
        <f t="shared" ca="1" si="124"/>
        <v>7836</v>
      </c>
      <c r="K767" s="502">
        <f t="shared" ca="1" si="125"/>
        <v>7444.2</v>
      </c>
      <c r="L767" s="493" t="str">
        <f t="shared" ca="1" si="126"/>
        <v/>
      </c>
      <c r="M767" s="505" t="str">
        <f ca="1">IFERROR(IF(COUNTIF($B$509:$B766,"&lt;0")&lt;&gt;1,OFFSET($C765,-COUNTIF($B$509:$B766,"&lt;0")+3,0),""),"")</f>
        <v>a173p000006iLbZAAU</v>
      </c>
      <c r="N767" s="505">
        <f ca="1">IFERROR(IF(COUNTA($D$509:D766)=1,0,OFFSET($F765,-COUNTA($D$509:D766)+3,0)),"")</f>
        <v>13</v>
      </c>
      <c r="O767" s="487"/>
      <c r="P767" s="487">
        <f t="shared" si="119"/>
        <v>0</v>
      </c>
      <c r="Q767" s="487"/>
      <c r="R767" s="487"/>
      <c r="S767" s="487"/>
      <c r="T767" s="493"/>
    </row>
    <row r="768" spans="1:20" x14ac:dyDescent="0.3">
      <c r="A768" s="487" t="b">
        <f t="shared" ca="1" si="120"/>
        <v>1</v>
      </c>
      <c r="B768" s="487">
        <f t="shared" ref="B768:B831" si="127">B767+1</f>
        <v>77</v>
      </c>
      <c r="C768" s="509" t="str">
        <f t="shared" ca="1" si="121"/>
        <v>a173p000006iLc3AAE</v>
      </c>
      <c r="D768" s="487"/>
      <c r="E768" s="487">
        <f t="shared" ref="E768:E831" ca="1" si="128">COUNTIF(F701:F768,F768)</f>
        <v>5</v>
      </c>
      <c r="F768" s="506">
        <f ca="1">IF(COUNTA(D$510:D768)=1,"",OFFSET(F766,-COUNTA(D$510:D768)+3,0))</f>
        <v>13</v>
      </c>
      <c r="G768" s="493" t="str">
        <f t="shared" ca="1" si="122"/>
        <v/>
      </c>
      <c r="H768" s="487">
        <f t="shared" ref="H768:H831" ca="1" si="129">IF(F768=1,9,IF(E767=MAX(E766:E768),H766+2,H767))</f>
        <v>33</v>
      </c>
      <c r="I768" s="490">
        <f t="shared" ca="1" si="123"/>
        <v>95</v>
      </c>
      <c r="J768" s="502">
        <f t="shared" ca="1" si="124"/>
        <v>8040</v>
      </c>
      <c r="K768" s="502">
        <f t="shared" ca="1" si="125"/>
        <v>7638</v>
      </c>
      <c r="L768" s="493" t="str">
        <f t="shared" ca="1" si="126"/>
        <v/>
      </c>
      <c r="M768" s="505" t="str">
        <f ca="1">IFERROR(IF(COUNTIF($B$509:$B767,"&lt;0")&lt;&gt;1,OFFSET($C766,-COUNTIF($B$509:$B767,"&lt;0")+3,0),""),"")</f>
        <v>a173p000006iLc3AAE</v>
      </c>
      <c r="N768" s="505">
        <f ca="1">IFERROR(IF(COUNTA($D$509:D767)=1,0,OFFSET($F766,-COUNTA($D$509:D767)+3,0)),"")</f>
        <v>13</v>
      </c>
      <c r="O768" s="487"/>
      <c r="P768" s="487">
        <f t="shared" ref="P768:P831" si="130">IF(NOT(_xlfn.ISFORMULA(I768)),P767+1,0)</f>
        <v>0</v>
      </c>
      <c r="Q768" s="487"/>
      <c r="R768" s="487"/>
      <c r="S768" s="487"/>
      <c r="T768" s="493"/>
    </row>
    <row r="769" spans="1:20" x14ac:dyDescent="0.3">
      <c r="A769" s="487" t="b">
        <f t="shared" ca="1" si="120"/>
        <v>1</v>
      </c>
      <c r="B769" s="487">
        <f t="shared" si="127"/>
        <v>78</v>
      </c>
      <c r="C769" s="509" t="str">
        <f t="shared" ca="1" si="121"/>
        <v>a173p000006iLcXAAU</v>
      </c>
      <c r="D769" s="487"/>
      <c r="E769" s="487">
        <f t="shared" ca="1" si="128"/>
        <v>6</v>
      </c>
      <c r="F769" s="506">
        <f ca="1">IF(COUNTA(D$510:D769)=1,"",OFFSET(F767,-COUNTA(D$510:D769)+3,0))</f>
        <v>13</v>
      </c>
      <c r="G769" s="493" t="str">
        <f t="shared" ca="1" si="122"/>
        <v/>
      </c>
      <c r="H769" s="487">
        <f t="shared" ca="1" si="129"/>
        <v>33</v>
      </c>
      <c r="I769" s="490">
        <f t="shared" ca="1" si="123"/>
        <v>95</v>
      </c>
      <c r="J769" s="502">
        <f t="shared" ca="1" si="124"/>
        <v>8040</v>
      </c>
      <c r="K769" s="502">
        <f t="shared" ca="1" si="125"/>
        <v>7638</v>
      </c>
      <c r="L769" s="493" t="str">
        <f t="shared" ca="1" si="126"/>
        <v/>
      </c>
      <c r="M769" s="505" t="str">
        <f ca="1">IFERROR(IF(COUNTIF($B$509:$B768,"&lt;0")&lt;&gt;1,OFFSET($C767,-COUNTIF($B$509:$B768,"&lt;0")+3,0),""),"")</f>
        <v>a173p000006iLcXAAU</v>
      </c>
      <c r="N769" s="505">
        <f ca="1">IFERROR(IF(COUNTA($D$509:D768)=1,0,OFFSET($F767,-COUNTA($D$509:D768)+3,0)),"")</f>
        <v>13</v>
      </c>
      <c r="O769" s="487"/>
      <c r="P769" s="487">
        <f t="shared" si="130"/>
        <v>0</v>
      </c>
      <c r="Q769" s="487"/>
      <c r="R769" s="487"/>
      <c r="S769" s="487"/>
      <c r="T769" s="493"/>
    </row>
    <row r="770" spans="1:20" x14ac:dyDescent="0.3">
      <c r="A770" s="487" t="b">
        <f t="shared" ca="1" si="120"/>
        <v>1</v>
      </c>
      <c r="B770" s="487">
        <f t="shared" si="127"/>
        <v>79</v>
      </c>
      <c r="C770" s="509" t="str">
        <f t="shared" ca="1" si="121"/>
        <v>a173p000006iLa8AAE</v>
      </c>
      <c r="D770" s="487"/>
      <c r="E770" s="487">
        <f t="shared" ca="1" si="128"/>
        <v>1</v>
      </c>
      <c r="F770" s="506">
        <f ca="1">IF(COUNTA(D$510:D770)=1,"",OFFSET(F768,-COUNTA(D$510:D770)+3,0))</f>
        <v>14</v>
      </c>
      <c r="G770" s="493" t="str">
        <f t="shared" ca="1" si="122"/>
        <v/>
      </c>
      <c r="H770" s="487">
        <f t="shared" ca="1" si="129"/>
        <v>35</v>
      </c>
      <c r="I770" s="490">
        <f t="shared" ca="1" si="123"/>
        <v>60</v>
      </c>
      <c r="J770" s="502">
        <f t="shared" ca="1" si="124"/>
        <v>4302</v>
      </c>
      <c r="K770" s="502">
        <f t="shared" ca="1" si="125"/>
        <v>2581.1999999999998</v>
      </c>
      <c r="L770" s="493" t="str">
        <f t="shared" ca="1" si="126"/>
        <v/>
      </c>
      <c r="M770" s="505" t="str">
        <f ca="1">IFERROR(IF(COUNTIF($B$509:$B769,"&lt;0")&lt;&gt;1,OFFSET($C768,-COUNTIF($B$509:$B769,"&lt;0")+3,0),""),"")</f>
        <v>a173p000006iLa8AAE</v>
      </c>
      <c r="N770" s="505">
        <f ca="1">IFERROR(IF(COUNTA($D$509:D769)=1,0,OFFSET($F768,-COUNTA($D$509:D769)+3,0)),"")</f>
        <v>14</v>
      </c>
      <c r="O770" s="487"/>
      <c r="P770" s="487">
        <f t="shared" si="130"/>
        <v>0</v>
      </c>
      <c r="Q770" s="487"/>
      <c r="R770" s="487"/>
      <c r="S770" s="487"/>
      <c r="T770" s="493"/>
    </row>
    <row r="771" spans="1:20" x14ac:dyDescent="0.3">
      <c r="A771" s="487" t="b">
        <f t="shared" ca="1" si="120"/>
        <v>1</v>
      </c>
      <c r="B771" s="487">
        <f t="shared" si="127"/>
        <v>80</v>
      </c>
      <c r="C771" s="509" t="str">
        <f t="shared" ca="1" si="121"/>
        <v>a173p000006iLacAAE</v>
      </c>
      <c r="D771" s="487"/>
      <c r="E771" s="487">
        <f t="shared" ca="1" si="128"/>
        <v>2</v>
      </c>
      <c r="F771" s="506">
        <f ca="1">IF(COUNTA(D$510:D771)=1,"",OFFSET(F769,-COUNTA(D$510:D771)+3,0))</f>
        <v>14</v>
      </c>
      <c r="G771" s="493" t="str">
        <f t="shared" ca="1" si="122"/>
        <v/>
      </c>
      <c r="H771" s="487">
        <f t="shared" ca="1" si="129"/>
        <v>35</v>
      </c>
      <c r="I771" s="490">
        <f t="shared" ca="1" si="123"/>
        <v>60</v>
      </c>
      <c r="J771" s="502">
        <f t="shared" ca="1" si="124"/>
        <v>4302</v>
      </c>
      <c r="K771" s="502">
        <f t="shared" ca="1" si="125"/>
        <v>2581.1999999999998</v>
      </c>
      <c r="L771" s="493" t="str">
        <f t="shared" ca="1" si="126"/>
        <v/>
      </c>
      <c r="M771" s="505" t="str">
        <f ca="1">IFERROR(IF(COUNTIF($B$509:$B770,"&lt;0")&lt;&gt;1,OFFSET($C769,-COUNTIF($B$509:$B770,"&lt;0")+3,0),""),"")</f>
        <v>a173p000006iLacAAE</v>
      </c>
      <c r="N771" s="505">
        <f ca="1">IFERROR(IF(COUNTA($D$509:D770)=1,0,OFFSET($F769,-COUNTA($D$509:D770)+3,0)),"")</f>
        <v>14</v>
      </c>
      <c r="O771" s="487"/>
      <c r="P771" s="487">
        <f t="shared" si="130"/>
        <v>0</v>
      </c>
      <c r="Q771" s="487"/>
      <c r="R771" s="487"/>
      <c r="S771" s="487"/>
      <c r="T771" s="493"/>
    </row>
    <row r="772" spans="1:20" x14ac:dyDescent="0.3">
      <c r="A772" s="487" t="b">
        <f t="shared" ca="1" si="120"/>
        <v>1</v>
      </c>
      <c r="B772" s="487">
        <f t="shared" si="127"/>
        <v>81</v>
      </c>
      <c r="C772" s="509" t="str">
        <f t="shared" ca="1" si="121"/>
        <v>a173p000006iLb6AAE</v>
      </c>
      <c r="D772" s="487"/>
      <c r="E772" s="487">
        <f t="shared" ca="1" si="128"/>
        <v>3</v>
      </c>
      <c r="F772" s="506">
        <f ca="1">IF(COUNTA(D$510:D772)=1,"",OFFSET(F770,-COUNTA(D$510:D772)+3,0))</f>
        <v>14</v>
      </c>
      <c r="G772" s="493" t="str">
        <f t="shared" ca="1" si="122"/>
        <v/>
      </c>
      <c r="H772" s="487">
        <f t="shared" ca="1" si="129"/>
        <v>35</v>
      </c>
      <c r="I772" s="490">
        <f t="shared" ca="1" si="123"/>
        <v>70</v>
      </c>
      <c r="J772" s="502">
        <f t="shared" ca="1" si="124"/>
        <v>4413.5</v>
      </c>
      <c r="K772" s="502">
        <f t="shared" ca="1" si="125"/>
        <v>3089.45</v>
      </c>
      <c r="L772" s="493" t="str">
        <f t="shared" ca="1" si="126"/>
        <v/>
      </c>
      <c r="M772" s="505" t="str">
        <f ca="1">IFERROR(IF(COUNTIF($B$509:$B771,"&lt;0")&lt;&gt;1,OFFSET($C770,-COUNTIF($B$509:$B771,"&lt;0")+3,0),""),"")</f>
        <v>a173p000006iLb6AAE</v>
      </c>
      <c r="N772" s="505">
        <f ca="1">IFERROR(IF(COUNTA($D$509:D771)=1,0,OFFSET($F770,-COUNTA($D$509:D771)+3,0)),"")</f>
        <v>14</v>
      </c>
      <c r="O772" s="487"/>
      <c r="P772" s="487">
        <f t="shared" si="130"/>
        <v>0</v>
      </c>
      <c r="Q772" s="487"/>
      <c r="R772" s="487"/>
      <c r="S772" s="487"/>
      <c r="T772" s="493"/>
    </row>
    <row r="773" spans="1:20" x14ac:dyDescent="0.3">
      <c r="A773" s="487" t="b">
        <f t="shared" ca="1" si="120"/>
        <v>1</v>
      </c>
      <c r="B773" s="487">
        <f t="shared" si="127"/>
        <v>82</v>
      </c>
      <c r="C773" s="509" t="str">
        <f t="shared" ca="1" si="121"/>
        <v>a173p000006iLbaAAE</v>
      </c>
      <c r="D773" s="487"/>
      <c r="E773" s="487">
        <f t="shared" ca="1" si="128"/>
        <v>4</v>
      </c>
      <c r="F773" s="506">
        <f ca="1">IF(COUNTA(D$510:D773)=1,"",OFFSET(F771,-COUNTA(D$510:D773)+3,0))</f>
        <v>14</v>
      </c>
      <c r="G773" s="493" t="str">
        <f t="shared" ca="1" si="122"/>
        <v/>
      </c>
      <c r="H773" s="487">
        <f t="shared" ca="1" si="129"/>
        <v>35</v>
      </c>
      <c r="I773" s="490">
        <f t="shared" ca="1" si="123"/>
        <v>70</v>
      </c>
      <c r="J773" s="502">
        <f t="shared" ca="1" si="124"/>
        <v>4413.5</v>
      </c>
      <c r="K773" s="502">
        <f t="shared" ca="1" si="125"/>
        <v>3089.45</v>
      </c>
      <c r="L773" s="493" t="str">
        <f t="shared" ca="1" si="126"/>
        <v/>
      </c>
      <c r="M773" s="505" t="str">
        <f ca="1">IFERROR(IF(COUNTIF($B$509:$B772,"&lt;0")&lt;&gt;1,OFFSET($C771,-COUNTIF($B$509:$B772,"&lt;0")+3,0),""),"")</f>
        <v>a173p000006iLbaAAE</v>
      </c>
      <c r="N773" s="505">
        <f ca="1">IFERROR(IF(COUNTA($D$509:D772)=1,0,OFFSET($F771,-COUNTA($D$509:D772)+3,0)),"")</f>
        <v>14</v>
      </c>
      <c r="O773" s="487"/>
      <c r="P773" s="487">
        <f t="shared" si="130"/>
        <v>0</v>
      </c>
      <c r="Q773" s="487"/>
      <c r="R773" s="487"/>
      <c r="S773" s="487"/>
      <c r="T773" s="493"/>
    </row>
    <row r="774" spans="1:20" x14ac:dyDescent="0.3">
      <c r="A774" s="487" t="b">
        <f t="shared" ca="1" si="120"/>
        <v>1</v>
      </c>
      <c r="B774" s="487">
        <f t="shared" si="127"/>
        <v>83</v>
      </c>
      <c r="C774" s="509" t="str">
        <f t="shared" ca="1" si="121"/>
        <v>a173p000006iLc4AAE</v>
      </c>
      <c r="D774" s="487"/>
      <c r="E774" s="487">
        <f t="shared" ca="1" si="128"/>
        <v>5</v>
      </c>
      <c r="F774" s="506">
        <f ca="1">IF(COUNTA(D$510:D774)=1,"",OFFSET(F772,-COUNTA(D$510:D774)+3,0))</f>
        <v>14</v>
      </c>
      <c r="G774" s="493" t="str">
        <f t="shared" ca="1" si="122"/>
        <v/>
      </c>
      <c r="H774" s="487">
        <f t="shared" ca="1" si="129"/>
        <v>35</v>
      </c>
      <c r="I774" s="490">
        <f t="shared" ca="1" si="123"/>
        <v>80</v>
      </c>
      <c r="J774" s="502">
        <f t="shared" ca="1" si="124"/>
        <v>4528.5</v>
      </c>
      <c r="K774" s="502">
        <f t="shared" ca="1" si="125"/>
        <v>3622.8</v>
      </c>
      <c r="L774" s="493" t="str">
        <f t="shared" ca="1" si="126"/>
        <v/>
      </c>
      <c r="M774" s="505" t="str">
        <f ca="1">IFERROR(IF(COUNTIF($B$509:$B773,"&lt;0")&lt;&gt;1,OFFSET($C772,-COUNTIF($B$509:$B773,"&lt;0")+3,0),""),"")</f>
        <v>a173p000006iLc4AAE</v>
      </c>
      <c r="N774" s="505">
        <f ca="1">IFERROR(IF(COUNTA($D$509:D773)=1,0,OFFSET($F772,-COUNTA($D$509:D773)+3,0)),"")</f>
        <v>14</v>
      </c>
      <c r="O774" s="487"/>
      <c r="P774" s="487">
        <f t="shared" si="130"/>
        <v>0</v>
      </c>
      <c r="Q774" s="487"/>
      <c r="R774" s="487"/>
      <c r="S774" s="487"/>
      <c r="T774" s="493"/>
    </row>
    <row r="775" spans="1:20" x14ac:dyDescent="0.3">
      <c r="A775" s="487" t="b">
        <f t="shared" ca="1" si="120"/>
        <v>1</v>
      </c>
      <c r="B775" s="487">
        <f t="shared" si="127"/>
        <v>84</v>
      </c>
      <c r="C775" s="509" t="str">
        <f t="shared" ca="1" si="121"/>
        <v>a173p000006iLcYAAU</v>
      </c>
      <c r="D775" s="487"/>
      <c r="E775" s="487">
        <f t="shared" ca="1" si="128"/>
        <v>6</v>
      </c>
      <c r="F775" s="506">
        <f ca="1">IF(COUNTA(D$510:D775)=1,"",OFFSET(F773,-COUNTA(D$510:D775)+3,0))</f>
        <v>14</v>
      </c>
      <c r="G775" s="493" t="str">
        <f t="shared" ca="1" si="122"/>
        <v/>
      </c>
      <c r="H775" s="487">
        <f t="shared" ca="1" si="129"/>
        <v>35</v>
      </c>
      <c r="I775" s="490">
        <f t="shared" ca="1" si="123"/>
        <v>80</v>
      </c>
      <c r="J775" s="502">
        <f t="shared" ca="1" si="124"/>
        <v>4528.5</v>
      </c>
      <c r="K775" s="502">
        <f t="shared" ca="1" si="125"/>
        <v>3622.8</v>
      </c>
      <c r="L775" s="493" t="str">
        <f t="shared" ca="1" si="126"/>
        <v/>
      </c>
      <c r="M775" s="505" t="str">
        <f ca="1">IFERROR(IF(COUNTIF($B$509:$B774,"&lt;0")&lt;&gt;1,OFFSET($C773,-COUNTIF($B$509:$B774,"&lt;0")+3,0),""),"")</f>
        <v>a173p000006iLcYAAU</v>
      </c>
      <c r="N775" s="505">
        <f ca="1">IFERROR(IF(COUNTA($D$509:D774)=1,0,OFFSET($F773,-COUNTA($D$509:D774)+3,0)),"")</f>
        <v>14</v>
      </c>
      <c r="O775" s="487"/>
      <c r="P775" s="487">
        <f t="shared" si="130"/>
        <v>0</v>
      </c>
      <c r="Q775" s="487"/>
      <c r="R775" s="487"/>
      <c r="S775" s="487"/>
      <c r="T775" s="493"/>
    </row>
    <row r="776" spans="1:20" x14ac:dyDescent="0.3">
      <c r="A776" s="487" t="b">
        <f t="shared" ca="1" si="120"/>
        <v>1</v>
      </c>
      <c r="B776" s="487">
        <f t="shared" si="127"/>
        <v>85</v>
      </c>
      <c r="C776" s="509" t="str">
        <f t="shared" ca="1" si="121"/>
        <v>a173p000006iLa9AAE</v>
      </c>
      <c r="D776" s="487"/>
      <c r="E776" s="487">
        <f t="shared" ca="1" si="128"/>
        <v>1</v>
      </c>
      <c r="F776" s="506">
        <f ca="1">IF(COUNTA(D$510:D776)=1,"",OFFSET(F774,-COUNTA(D$510:D776)+3,0))</f>
        <v>15</v>
      </c>
      <c r="G776" s="493" t="str">
        <f t="shared" ca="1" si="122"/>
        <v/>
      </c>
      <c r="H776" s="487">
        <f t="shared" ca="1" si="129"/>
        <v>37</v>
      </c>
      <c r="I776" s="490">
        <f t="shared" ca="1" si="123"/>
        <v>25</v>
      </c>
      <c r="J776" s="502">
        <f t="shared" ca="1" si="124"/>
        <v>609828.21800000011</v>
      </c>
      <c r="K776" s="502">
        <f t="shared" ca="1" si="125"/>
        <v>152457.05450000003</v>
      </c>
      <c r="L776" s="493" t="str">
        <f t="shared" ca="1" si="126"/>
        <v/>
      </c>
      <c r="M776" s="505" t="str">
        <f ca="1">IFERROR(IF(COUNTIF($B$509:$B775,"&lt;0")&lt;&gt;1,OFFSET($C774,-COUNTIF($B$509:$B775,"&lt;0")+3,0),""),"")</f>
        <v>a173p000006iLa9AAE</v>
      </c>
      <c r="N776" s="505">
        <f ca="1">IFERROR(IF(COUNTA($D$509:D775)=1,0,OFFSET($F774,-COUNTA($D$509:D775)+3,0)),"")</f>
        <v>15</v>
      </c>
      <c r="O776" s="487"/>
      <c r="P776" s="487">
        <f t="shared" si="130"/>
        <v>0</v>
      </c>
      <c r="Q776" s="487"/>
      <c r="R776" s="487"/>
      <c r="S776" s="487"/>
      <c r="T776" s="493"/>
    </row>
    <row r="777" spans="1:20" x14ac:dyDescent="0.3">
      <c r="A777" s="487" t="b">
        <f t="shared" ca="1" si="120"/>
        <v>1</v>
      </c>
      <c r="B777" s="487">
        <f t="shared" si="127"/>
        <v>86</v>
      </c>
      <c r="C777" s="509" t="str">
        <f t="shared" ca="1" si="121"/>
        <v>a173p000006iLadAAE</v>
      </c>
      <c r="D777" s="487"/>
      <c r="E777" s="487">
        <f t="shared" ca="1" si="128"/>
        <v>2</v>
      </c>
      <c r="F777" s="506">
        <f ca="1">IF(COUNTA(D$510:D777)=1,"",OFFSET(F775,-COUNTA(D$510:D777)+3,0))</f>
        <v>15</v>
      </c>
      <c r="G777" s="493" t="str">
        <f t="shared" ca="1" si="122"/>
        <v/>
      </c>
      <c r="H777" s="487">
        <f t="shared" ca="1" si="129"/>
        <v>37</v>
      </c>
      <c r="I777" s="490">
        <f t="shared" ca="1" si="123"/>
        <v>50</v>
      </c>
      <c r="J777" s="502">
        <f t="shared" ca="1" si="124"/>
        <v>609828.21800000011</v>
      </c>
      <c r="K777" s="502">
        <f t="shared" ca="1" si="125"/>
        <v>304914.10900000005</v>
      </c>
      <c r="L777" s="493" t="str">
        <f t="shared" ca="1" si="126"/>
        <v/>
      </c>
      <c r="M777" s="505" t="str">
        <f ca="1">IFERROR(IF(COUNTIF($B$509:$B776,"&lt;0")&lt;&gt;1,OFFSET($C775,-COUNTIF($B$509:$B776,"&lt;0")+3,0),""),"")</f>
        <v>a173p000006iLadAAE</v>
      </c>
      <c r="N777" s="505">
        <f ca="1">IFERROR(IF(COUNTA($D$509:D776)=1,0,OFFSET($F775,-COUNTA($D$509:D776)+3,0)),"")</f>
        <v>15</v>
      </c>
      <c r="O777" s="487"/>
      <c r="P777" s="487">
        <f t="shared" si="130"/>
        <v>0</v>
      </c>
      <c r="Q777" s="487"/>
      <c r="R777" s="487"/>
      <c r="S777" s="487"/>
      <c r="T777" s="493"/>
    </row>
    <row r="778" spans="1:20" x14ac:dyDescent="0.3">
      <c r="A778" s="487" t="b">
        <f t="shared" ca="1" si="120"/>
        <v>1</v>
      </c>
      <c r="B778" s="487">
        <f t="shared" si="127"/>
        <v>87</v>
      </c>
      <c r="C778" s="509" t="str">
        <f t="shared" ca="1" si="121"/>
        <v>a173p000006iLb7AAE</v>
      </c>
      <c r="D778" s="487"/>
      <c r="E778" s="487">
        <f t="shared" ca="1" si="128"/>
        <v>3</v>
      </c>
      <c r="F778" s="506">
        <f ca="1">IF(COUNTA(D$510:D778)=1,"",OFFSET(F776,-COUNTA(D$510:D778)+3,0))</f>
        <v>15</v>
      </c>
      <c r="G778" s="493" t="str">
        <f t="shared" ca="1" si="122"/>
        <v/>
      </c>
      <c r="H778" s="487">
        <f t="shared" ca="1" si="129"/>
        <v>37</v>
      </c>
      <c r="I778" s="490">
        <f t="shared" ca="1" si="123"/>
        <v>25</v>
      </c>
      <c r="J778" s="502">
        <f t="shared" ca="1" si="124"/>
        <v>625683.96400000004</v>
      </c>
      <c r="K778" s="502">
        <f t="shared" ca="1" si="125"/>
        <v>156420.99100000001</v>
      </c>
      <c r="L778" s="493" t="str">
        <f t="shared" ca="1" si="126"/>
        <v/>
      </c>
      <c r="M778" s="505" t="str">
        <f ca="1">IFERROR(IF(COUNTIF($B$509:$B777,"&lt;0")&lt;&gt;1,OFFSET($C776,-COUNTIF($B$509:$B777,"&lt;0")+3,0),""),"")</f>
        <v>a173p000006iLb7AAE</v>
      </c>
      <c r="N778" s="505">
        <f ca="1">IFERROR(IF(COUNTA($D$509:D777)=1,0,OFFSET($F776,-COUNTA($D$509:D777)+3,0)),"")</f>
        <v>15</v>
      </c>
      <c r="O778" s="487"/>
      <c r="P778" s="487">
        <f t="shared" si="130"/>
        <v>0</v>
      </c>
      <c r="Q778" s="487"/>
      <c r="R778" s="487"/>
      <c r="S778" s="487"/>
      <c r="T778" s="493"/>
    </row>
    <row r="779" spans="1:20" x14ac:dyDescent="0.3">
      <c r="A779" s="487" t="b">
        <f t="shared" ca="1" si="120"/>
        <v>1</v>
      </c>
      <c r="B779" s="487">
        <f t="shared" si="127"/>
        <v>88</v>
      </c>
      <c r="C779" s="509" t="str">
        <f t="shared" ca="1" si="121"/>
        <v>a173p000006iLbbAAE</v>
      </c>
      <c r="D779" s="487"/>
      <c r="E779" s="487">
        <f t="shared" ca="1" si="128"/>
        <v>4</v>
      </c>
      <c r="F779" s="506">
        <f ca="1">IF(COUNTA(D$510:D779)=1,"",OFFSET(F777,-COUNTA(D$510:D779)+3,0))</f>
        <v>15</v>
      </c>
      <c r="G779" s="493" t="str">
        <f t="shared" ca="1" si="122"/>
        <v/>
      </c>
      <c r="H779" s="487">
        <f t="shared" ca="1" si="129"/>
        <v>37</v>
      </c>
      <c r="I779" s="490">
        <f t="shared" ca="1" si="123"/>
        <v>50</v>
      </c>
      <c r="J779" s="502">
        <f t="shared" ca="1" si="124"/>
        <v>625683.96400000004</v>
      </c>
      <c r="K779" s="502">
        <f t="shared" ca="1" si="125"/>
        <v>312841.98200000002</v>
      </c>
      <c r="L779" s="493" t="str">
        <f t="shared" ca="1" si="126"/>
        <v/>
      </c>
      <c r="M779" s="505" t="str">
        <f ca="1">IFERROR(IF(COUNTIF($B$509:$B778,"&lt;0")&lt;&gt;1,OFFSET($C777,-COUNTIF($B$509:$B778,"&lt;0")+3,0),""),"")</f>
        <v>a173p000006iLbbAAE</v>
      </c>
      <c r="N779" s="505">
        <f ca="1">IFERROR(IF(COUNTA($D$509:D778)=1,0,OFFSET($F777,-COUNTA($D$509:D778)+3,0)),"")</f>
        <v>15</v>
      </c>
      <c r="O779" s="487"/>
      <c r="P779" s="487">
        <f t="shared" si="130"/>
        <v>0</v>
      </c>
      <c r="Q779" s="487"/>
      <c r="R779" s="487"/>
      <c r="S779" s="487"/>
      <c r="T779" s="493"/>
    </row>
    <row r="780" spans="1:20" x14ac:dyDescent="0.3">
      <c r="A780" s="487" t="b">
        <f t="shared" ca="1" si="120"/>
        <v>1</v>
      </c>
      <c r="B780" s="487">
        <f t="shared" si="127"/>
        <v>89</v>
      </c>
      <c r="C780" s="509" t="str">
        <f t="shared" ca="1" si="121"/>
        <v>a173p000006iLc5AAE</v>
      </c>
      <c r="D780" s="487"/>
      <c r="E780" s="487">
        <f t="shared" ca="1" si="128"/>
        <v>5</v>
      </c>
      <c r="F780" s="506">
        <f ca="1">IF(COUNTA(D$510:D780)=1,"",OFFSET(F778,-COUNTA(D$510:D780)+3,0))</f>
        <v>15</v>
      </c>
      <c r="G780" s="493" t="str">
        <f t="shared" ca="1" si="122"/>
        <v/>
      </c>
      <c r="H780" s="487">
        <f t="shared" ca="1" si="129"/>
        <v>37</v>
      </c>
      <c r="I780" s="490">
        <f t="shared" ca="1" si="123"/>
        <v>25</v>
      </c>
      <c r="J780" s="502">
        <f t="shared" ca="1" si="124"/>
        <v>641951.71200000006</v>
      </c>
      <c r="K780" s="502">
        <f t="shared" ca="1" si="125"/>
        <v>160487.92800000001</v>
      </c>
      <c r="L780" s="493" t="str">
        <f t="shared" ca="1" si="126"/>
        <v/>
      </c>
      <c r="M780" s="505" t="str">
        <f ca="1">IFERROR(IF(COUNTIF($B$509:$B779,"&lt;0")&lt;&gt;1,OFFSET($C778,-COUNTIF($B$509:$B779,"&lt;0")+3,0),""),"")</f>
        <v>a173p000006iLc5AAE</v>
      </c>
      <c r="N780" s="505">
        <f ca="1">IFERROR(IF(COUNTA($D$509:D779)=1,0,OFFSET($F778,-COUNTA($D$509:D779)+3,0)),"")</f>
        <v>15</v>
      </c>
      <c r="O780" s="487"/>
      <c r="P780" s="487">
        <f t="shared" si="130"/>
        <v>0</v>
      </c>
      <c r="Q780" s="487"/>
      <c r="R780" s="487"/>
      <c r="S780" s="487"/>
      <c r="T780" s="493"/>
    </row>
    <row r="781" spans="1:20" x14ac:dyDescent="0.3">
      <c r="A781" s="487" t="b">
        <f t="shared" ca="1" si="120"/>
        <v>1</v>
      </c>
      <c r="B781" s="487">
        <f t="shared" si="127"/>
        <v>90</v>
      </c>
      <c r="C781" s="509" t="str">
        <f t="shared" ca="1" si="121"/>
        <v>a173p000006iLcZAAU</v>
      </c>
      <c r="D781" s="487"/>
      <c r="E781" s="487">
        <f t="shared" ca="1" si="128"/>
        <v>6</v>
      </c>
      <c r="F781" s="506">
        <f ca="1">IF(COUNTA(D$510:D781)=1,"",OFFSET(F779,-COUNTA(D$510:D781)+3,0))</f>
        <v>15</v>
      </c>
      <c r="G781" s="493" t="str">
        <f t="shared" ca="1" si="122"/>
        <v/>
      </c>
      <c r="H781" s="487">
        <f t="shared" ca="1" si="129"/>
        <v>37</v>
      </c>
      <c r="I781" s="490">
        <f t="shared" ca="1" si="123"/>
        <v>50</v>
      </c>
      <c r="J781" s="502">
        <f t="shared" ca="1" si="124"/>
        <v>641951.71200000006</v>
      </c>
      <c r="K781" s="502">
        <f t="shared" ca="1" si="125"/>
        <v>320975.85600000003</v>
      </c>
      <c r="L781" s="493" t="str">
        <f t="shared" ca="1" si="126"/>
        <v/>
      </c>
      <c r="M781" s="505" t="str">
        <f ca="1">IFERROR(IF(COUNTIF($B$509:$B780,"&lt;0")&lt;&gt;1,OFFSET($C779,-COUNTIF($B$509:$B780,"&lt;0")+3,0),""),"")</f>
        <v>a173p000006iLcZAAU</v>
      </c>
      <c r="N781" s="505">
        <f ca="1">IFERROR(IF(COUNTA($D$509:D780)=1,0,OFFSET($F779,-COUNTA($D$509:D780)+3,0)),"")</f>
        <v>15</v>
      </c>
      <c r="O781" s="487"/>
      <c r="P781" s="487">
        <f t="shared" si="130"/>
        <v>0</v>
      </c>
      <c r="Q781" s="487"/>
      <c r="R781" s="487"/>
      <c r="S781" s="487"/>
      <c r="T781" s="493"/>
    </row>
    <row r="782" spans="1:20" x14ac:dyDescent="0.3">
      <c r="A782" s="487" t="b">
        <f t="shared" ca="1" si="120"/>
        <v>1</v>
      </c>
      <c r="B782" s="487">
        <f t="shared" si="127"/>
        <v>91</v>
      </c>
      <c r="C782" s="509" t="str">
        <f t="shared" ca="1" si="121"/>
        <v>a173p000006iLaAAAU</v>
      </c>
      <c r="D782" s="487"/>
      <c r="E782" s="487">
        <f t="shared" ca="1" si="128"/>
        <v>1</v>
      </c>
      <c r="F782" s="506">
        <f ca="1">IF(COUNTA(D$510:D782)=1,"",OFFSET(F780,-COUNTA(D$510:D782)+3,0))</f>
        <v>16</v>
      </c>
      <c r="G782" s="493" t="str">
        <f t="shared" ca="1" si="122"/>
        <v/>
      </c>
      <c r="H782" s="487">
        <f t="shared" ca="1" si="129"/>
        <v>39</v>
      </c>
      <c r="I782" s="490">
        <f t="shared" ca="1" si="123"/>
        <v>100.36764705882352</v>
      </c>
      <c r="J782" s="502">
        <f t="shared" ca="1" si="124"/>
        <v>68</v>
      </c>
      <c r="K782" s="502">
        <f t="shared" ca="1" si="125"/>
        <v>68.25</v>
      </c>
      <c r="L782" s="493" t="str">
        <f t="shared" ca="1" si="126"/>
        <v/>
      </c>
      <c r="M782" s="505" t="str">
        <f ca="1">IFERROR(IF(COUNTIF($B$509:$B781,"&lt;0")&lt;&gt;1,OFFSET($C780,-COUNTIF($B$509:$B781,"&lt;0")+3,0),""),"")</f>
        <v>a173p000006iLaAAAU</v>
      </c>
      <c r="N782" s="505">
        <f ca="1">IFERROR(IF(COUNTA($D$509:D781)=1,0,OFFSET($F780,-COUNTA($D$509:D781)+3,0)),"")</f>
        <v>16</v>
      </c>
      <c r="O782" s="487"/>
      <c r="P782" s="487">
        <f t="shared" si="130"/>
        <v>0</v>
      </c>
      <c r="Q782" s="487"/>
      <c r="R782" s="487"/>
      <c r="S782" s="487"/>
      <c r="T782" s="493"/>
    </row>
    <row r="783" spans="1:20" x14ac:dyDescent="0.3">
      <c r="A783" s="487" t="b">
        <f t="shared" ca="1" si="120"/>
        <v>1</v>
      </c>
      <c r="B783" s="487">
        <f t="shared" si="127"/>
        <v>92</v>
      </c>
      <c r="C783" s="509" t="str">
        <f t="shared" ca="1" si="121"/>
        <v>a173p000006iLaeAAE</v>
      </c>
      <c r="D783" s="487"/>
      <c r="E783" s="487">
        <f t="shared" ca="1" si="128"/>
        <v>2</v>
      </c>
      <c r="F783" s="506">
        <f ca="1">IF(COUNTA(D$510:D783)=1,"",OFFSET(F781,-COUNTA(D$510:D783)+3,0))</f>
        <v>16</v>
      </c>
      <c r="G783" s="493" t="str">
        <f t="shared" ca="1" si="122"/>
        <v/>
      </c>
      <c r="H783" s="487">
        <f t="shared" ca="1" si="129"/>
        <v>39</v>
      </c>
      <c r="I783" s="490">
        <f t="shared" ca="1" si="123"/>
        <v>100</v>
      </c>
      <c r="J783" s="502">
        <f t="shared" ca="1" si="124"/>
        <v>193</v>
      </c>
      <c r="K783" s="502">
        <f t="shared" ca="1" si="125"/>
        <v>193</v>
      </c>
      <c r="L783" s="493" t="str">
        <f t="shared" ca="1" si="126"/>
        <v/>
      </c>
      <c r="M783" s="505" t="str">
        <f ca="1">IFERROR(IF(COUNTIF($B$509:$B782,"&lt;0")&lt;&gt;1,OFFSET($C781,-COUNTIF($B$509:$B782,"&lt;0")+3,0),""),"")</f>
        <v>a173p000006iLaeAAE</v>
      </c>
      <c r="N783" s="505">
        <f ca="1">IFERROR(IF(COUNTA($D$509:D782)=1,0,OFFSET($F781,-COUNTA($D$509:D782)+3,0)),"")</f>
        <v>16</v>
      </c>
      <c r="O783" s="487"/>
      <c r="P783" s="487">
        <f t="shared" si="130"/>
        <v>0</v>
      </c>
      <c r="Q783" s="487"/>
      <c r="R783" s="487"/>
      <c r="S783" s="487"/>
      <c r="T783" s="493"/>
    </row>
    <row r="784" spans="1:20" x14ac:dyDescent="0.3">
      <c r="A784" s="487" t="b">
        <f t="shared" ca="1" si="120"/>
        <v>1</v>
      </c>
      <c r="B784" s="487">
        <f t="shared" si="127"/>
        <v>93</v>
      </c>
      <c r="C784" s="509" t="str">
        <f t="shared" ca="1" si="121"/>
        <v>a173p000006iLb8AAE</v>
      </c>
      <c r="D784" s="487"/>
      <c r="E784" s="487">
        <f t="shared" ca="1" si="128"/>
        <v>3</v>
      </c>
      <c r="F784" s="506">
        <f ca="1">IF(COUNTA(D$510:D784)=1,"",OFFSET(F782,-COUNTA(D$510:D784)+3,0))</f>
        <v>16</v>
      </c>
      <c r="G784" s="493" t="str">
        <f t="shared" ca="1" si="122"/>
        <v/>
      </c>
      <c r="H784" s="487">
        <f t="shared" ca="1" si="129"/>
        <v>39</v>
      </c>
      <c r="I784" s="490">
        <f t="shared" ca="1" si="123"/>
        <v>100</v>
      </c>
      <c r="J784" s="502">
        <f t="shared" ca="1" si="124"/>
        <v>67</v>
      </c>
      <c r="K784" s="502">
        <f t="shared" ca="1" si="125"/>
        <v>67</v>
      </c>
      <c r="L784" s="493" t="str">
        <f t="shared" ca="1" si="126"/>
        <v/>
      </c>
      <c r="M784" s="505" t="str">
        <f ca="1">IFERROR(IF(COUNTIF($B$509:$B783,"&lt;0")&lt;&gt;1,OFFSET($C782,-COUNTIF($B$509:$B783,"&lt;0")+3,0),""),"")</f>
        <v>a173p000006iLb8AAE</v>
      </c>
      <c r="N784" s="505">
        <f ca="1">IFERROR(IF(COUNTA($D$509:D783)=1,0,OFFSET($F782,-COUNTA($D$509:D783)+3,0)),"")</f>
        <v>16</v>
      </c>
      <c r="O784" s="487"/>
      <c r="P784" s="487">
        <f t="shared" si="130"/>
        <v>0</v>
      </c>
      <c r="Q784" s="487"/>
      <c r="R784" s="487"/>
      <c r="S784" s="487"/>
      <c r="T784" s="493"/>
    </row>
    <row r="785" spans="1:20" x14ac:dyDescent="0.3">
      <c r="A785" s="487" t="b">
        <f t="shared" ca="1" si="120"/>
        <v>1</v>
      </c>
      <c r="B785" s="487">
        <f t="shared" si="127"/>
        <v>94</v>
      </c>
      <c r="C785" s="509" t="str">
        <f t="shared" ca="1" si="121"/>
        <v>a173p000006iLbcAAE</v>
      </c>
      <c r="D785" s="487"/>
      <c r="E785" s="487">
        <f t="shared" ca="1" si="128"/>
        <v>4</v>
      </c>
      <c r="F785" s="506">
        <f ca="1">IF(COUNTA(D$510:D785)=1,"",OFFSET(F783,-COUNTA(D$510:D785)+3,0))</f>
        <v>16</v>
      </c>
      <c r="G785" s="493" t="str">
        <f t="shared" ca="1" si="122"/>
        <v/>
      </c>
      <c r="H785" s="487">
        <f t="shared" ca="1" si="129"/>
        <v>39</v>
      </c>
      <c r="I785" s="490">
        <f t="shared" ca="1" si="123"/>
        <v>100</v>
      </c>
      <c r="J785" s="502">
        <f t="shared" ca="1" si="124"/>
        <v>201</v>
      </c>
      <c r="K785" s="502">
        <f t="shared" ca="1" si="125"/>
        <v>201</v>
      </c>
      <c r="L785" s="493" t="str">
        <f t="shared" ca="1" si="126"/>
        <v/>
      </c>
      <c r="M785" s="505" t="str">
        <f ca="1">IFERROR(IF(COUNTIF($B$509:$B784,"&lt;0")&lt;&gt;1,OFFSET($C783,-COUNTIF($B$509:$B784,"&lt;0")+3,0),""),"")</f>
        <v>a173p000006iLbcAAE</v>
      </c>
      <c r="N785" s="505">
        <f ca="1">IFERROR(IF(COUNTA($D$509:D784)=1,0,OFFSET($F783,-COUNTA($D$509:D784)+3,0)),"")</f>
        <v>16</v>
      </c>
      <c r="O785" s="487"/>
      <c r="P785" s="487">
        <f t="shared" si="130"/>
        <v>0</v>
      </c>
      <c r="Q785" s="487"/>
      <c r="R785" s="487"/>
      <c r="S785" s="487"/>
      <c r="T785" s="493"/>
    </row>
    <row r="786" spans="1:20" x14ac:dyDescent="0.3">
      <c r="A786" s="487" t="b">
        <f t="shared" ca="1" si="120"/>
        <v>1</v>
      </c>
      <c r="B786" s="487">
        <f t="shared" si="127"/>
        <v>95</v>
      </c>
      <c r="C786" s="509" t="str">
        <f t="shared" ca="1" si="121"/>
        <v>a173p000006iLc6AAE</v>
      </c>
      <c r="D786" s="487"/>
      <c r="E786" s="487">
        <f t="shared" ca="1" si="128"/>
        <v>5</v>
      </c>
      <c r="F786" s="506">
        <f ca="1">IF(COUNTA(D$510:D786)=1,"",OFFSET(F784,-COUNTA(D$510:D786)+3,0))</f>
        <v>16</v>
      </c>
      <c r="G786" s="493" t="str">
        <f t="shared" ca="1" si="122"/>
        <v/>
      </c>
      <c r="H786" s="487">
        <f t="shared" ca="1" si="129"/>
        <v>39</v>
      </c>
      <c r="I786" s="490">
        <f t="shared" ca="1" si="123"/>
        <v>100</v>
      </c>
      <c r="J786" s="502">
        <f t="shared" ca="1" si="124"/>
        <v>69</v>
      </c>
      <c r="K786" s="502">
        <f t="shared" ca="1" si="125"/>
        <v>69</v>
      </c>
      <c r="L786" s="493" t="str">
        <f t="shared" ca="1" si="126"/>
        <v/>
      </c>
      <c r="M786" s="505" t="str">
        <f ca="1">IFERROR(IF(COUNTIF($B$509:$B785,"&lt;0")&lt;&gt;1,OFFSET($C784,-COUNTIF($B$509:$B785,"&lt;0")+3,0),""),"")</f>
        <v>a173p000006iLc6AAE</v>
      </c>
      <c r="N786" s="505">
        <f ca="1">IFERROR(IF(COUNTA($D$509:D785)=1,0,OFFSET($F784,-COUNTA($D$509:D785)+3,0)),"")</f>
        <v>16</v>
      </c>
      <c r="O786" s="487"/>
      <c r="P786" s="487">
        <f t="shared" si="130"/>
        <v>0</v>
      </c>
      <c r="Q786" s="487"/>
      <c r="R786" s="487"/>
      <c r="S786" s="487"/>
      <c r="T786" s="493"/>
    </row>
    <row r="787" spans="1:20" x14ac:dyDescent="0.3">
      <c r="A787" s="487" t="b">
        <f t="shared" ca="1" si="120"/>
        <v>1</v>
      </c>
      <c r="B787" s="487">
        <f t="shared" si="127"/>
        <v>96</v>
      </c>
      <c r="C787" s="509" t="str">
        <f t="shared" ca="1" si="121"/>
        <v>a173p000006iLcaAAE</v>
      </c>
      <c r="D787" s="487"/>
      <c r="E787" s="487">
        <f t="shared" ca="1" si="128"/>
        <v>6</v>
      </c>
      <c r="F787" s="506">
        <f ca="1">IF(COUNTA(D$510:D787)=1,"",OFFSET(F785,-COUNTA(D$510:D787)+3,0))</f>
        <v>16</v>
      </c>
      <c r="G787" s="493" t="str">
        <f t="shared" ca="1" si="122"/>
        <v/>
      </c>
      <c r="H787" s="487">
        <f t="shared" ca="1" si="129"/>
        <v>39</v>
      </c>
      <c r="I787" s="490">
        <f t="shared" ca="1" si="123"/>
        <v>100</v>
      </c>
      <c r="J787" s="502">
        <f t="shared" ca="1" si="124"/>
        <v>206</v>
      </c>
      <c r="K787" s="502">
        <f t="shared" ca="1" si="125"/>
        <v>206</v>
      </c>
      <c r="L787" s="493" t="str">
        <f t="shared" ca="1" si="126"/>
        <v/>
      </c>
      <c r="M787" s="505" t="str">
        <f ca="1">IFERROR(IF(COUNTIF($B$509:$B786,"&lt;0")&lt;&gt;1,OFFSET($C785,-COUNTIF($B$509:$B786,"&lt;0")+3,0),""),"")</f>
        <v>a173p000006iLcaAAE</v>
      </c>
      <c r="N787" s="505">
        <f ca="1">IFERROR(IF(COUNTA($D$509:D786)=1,0,OFFSET($F785,-COUNTA($D$509:D786)+3,0)),"")</f>
        <v>16</v>
      </c>
      <c r="O787" s="487"/>
      <c r="P787" s="487">
        <f t="shared" si="130"/>
        <v>0</v>
      </c>
      <c r="Q787" s="487"/>
      <c r="R787" s="487"/>
      <c r="S787" s="487"/>
      <c r="T787" s="493"/>
    </row>
    <row r="788" spans="1:20" x14ac:dyDescent="0.3">
      <c r="A788" s="487" t="b">
        <f t="shared" ca="1" si="120"/>
        <v>1</v>
      </c>
      <c r="B788" s="487">
        <f t="shared" si="127"/>
        <v>97</v>
      </c>
      <c r="C788" s="509" t="str">
        <f t="shared" ca="1" si="121"/>
        <v>a173p000006iLaBAAU</v>
      </c>
      <c r="D788" s="487"/>
      <c r="E788" s="487">
        <f t="shared" ca="1" si="128"/>
        <v>1</v>
      </c>
      <c r="F788" s="506">
        <f ca="1">IF(COUNTA(D$510:D788)=1,"",OFFSET(F786,-COUNTA(D$510:D788)+3,0))</f>
        <v>17</v>
      </c>
      <c r="G788" s="493" t="str">
        <f t="shared" ca="1" si="122"/>
        <v/>
      </c>
      <c r="H788" s="487">
        <f t="shared" ca="1" si="129"/>
        <v>41</v>
      </c>
      <c r="I788" s="490">
        <f t="shared" ca="1" si="123"/>
        <v>100</v>
      </c>
      <c r="J788" s="502">
        <f t="shared" ca="1" si="124"/>
        <v>163</v>
      </c>
      <c r="K788" s="502">
        <f t="shared" ca="1" si="125"/>
        <v>163</v>
      </c>
      <c r="L788" s="493" t="str">
        <f t="shared" ca="1" si="126"/>
        <v/>
      </c>
      <c r="M788" s="505" t="str">
        <f ca="1">IFERROR(IF(COUNTIF($B$509:$B787,"&lt;0")&lt;&gt;1,OFFSET($C786,-COUNTIF($B$509:$B787,"&lt;0")+3,0),""),"")</f>
        <v>a173p000006iLaBAAU</v>
      </c>
      <c r="N788" s="505">
        <f ca="1">IFERROR(IF(COUNTA($D$509:D787)=1,0,OFFSET($F786,-COUNTA($D$509:D787)+3,0)),"")</f>
        <v>17</v>
      </c>
      <c r="O788" s="487"/>
      <c r="P788" s="487">
        <f t="shared" si="130"/>
        <v>0</v>
      </c>
      <c r="Q788" s="487"/>
      <c r="R788" s="487"/>
      <c r="S788" s="487"/>
      <c r="T788" s="493"/>
    </row>
    <row r="789" spans="1:20" x14ac:dyDescent="0.3">
      <c r="A789" s="487" t="b">
        <f t="shared" ca="1" si="120"/>
        <v>1</v>
      </c>
      <c r="B789" s="487">
        <f t="shared" si="127"/>
        <v>98</v>
      </c>
      <c r="C789" s="509" t="str">
        <f t="shared" ca="1" si="121"/>
        <v>a173p000006iLafAAE</v>
      </c>
      <c r="D789" s="487"/>
      <c r="E789" s="487">
        <f t="shared" ca="1" si="128"/>
        <v>2</v>
      </c>
      <c r="F789" s="506">
        <f ca="1">IF(COUNTA(D$510:D789)=1,"",OFFSET(F787,-COUNTA(D$510:D789)+3,0))</f>
        <v>17</v>
      </c>
      <c r="G789" s="493" t="str">
        <f t="shared" ca="1" si="122"/>
        <v/>
      </c>
      <c r="H789" s="487">
        <f t="shared" ca="1" si="129"/>
        <v>41</v>
      </c>
      <c r="I789" s="490">
        <f t="shared" ca="1" si="123"/>
        <v>100</v>
      </c>
      <c r="J789" s="502">
        <f t="shared" ca="1" si="124"/>
        <v>490</v>
      </c>
      <c r="K789" s="502">
        <f t="shared" ca="1" si="125"/>
        <v>490</v>
      </c>
      <c r="L789" s="493" t="str">
        <f t="shared" ca="1" si="126"/>
        <v/>
      </c>
      <c r="M789" s="505" t="str">
        <f ca="1">IFERROR(IF(COUNTIF($B$509:$B788,"&lt;0")&lt;&gt;1,OFFSET($C787,-COUNTIF($B$509:$B788,"&lt;0")+3,0),""),"")</f>
        <v>a173p000006iLafAAE</v>
      </c>
      <c r="N789" s="505">
        <f ca="1">IFERROR(IF(COUNTA($D$509:D788)=1,0,OFFSET($F787,-COUNTA($D$509:D788)+3,0)),"")</f>
        <v>17</v>
      </c>
      <c r="O789" s="487"/>
      <c r="P789" s="487">
        <f t="shared" si="130"/>
        <v>0</v>
      </c>
      <c r="Q789" s="487"/>
      <c r="R789" s="487"/>
      <c r="S789" s="487"/>
      <c r="T789" s="493"/>
    </row>
    <row r="790" spans="1:20" x14ac:dyDescent="0.3">
      <c r="A790" s="487" t="b">
        <f t="shared" ca="1" si="120"/>
        <v>1</v>
      </c>
      <c r="B790" s="487">
        <f t="shared" si="127"/>
        <v>99</v>
      </c>
      <c r="C790" s="509" t="str">
        <f t="shared" ca="1" si="121"/>
        <v>a173p000006iLb9AAE</v>
      </c>
      <c r="D790" s="487"/>
      <c r="E790" s="487">
        <f t="shared" ca="1" si="128"/>
        <v>3</v>
      </c>
      <c r="F790" s="506">
        <f ca="1">IF(COUNTA(D$510:D790)=1,"",OFFSET(F788,-COUNTA(D$510:D790)+3,0))</f>
        <v>17</v>
      </c>
      <c r="G790" s="493" t="str">
        <f t="shared" ca="1" si="122"/>
        <v/>
      </c>
      <c r="H790" s="487">
        <f t="shared" ca="1" si="129"/>
        <v>41</v>
      </c>
      <c r="I790" s="490">
        <f t="shared" ca="1" si="123"/>
        <v>100</v>
      </c>
      <c r="J790" s="502">
        <f t="shared" ca="1" si="124"/>
        <v>168</v>
      </c>
      <c r="K790" s="502">
        <f t="shared" ca="1" si="125"/>
        <v>168</v>
      </c>
      <c r="L790" s="493" t="str">
        <f t="shared" ca="1" si="126"/>
        <v/>
      </c>
      <c r="M790" s="505" t="str">
        <f ca="1">IFERROR(IF(COUNTIF($B$509:$B789,"&lt;0")&lt;&gt;1,OFFSET($C788,-COUNTIF($B$509:$B789,"&lt;0")+3,0),""),"")</f>
        <v>a173p000006iLb9AAE</v>
      </c>
      <c r="N790" s="505">
        <f ca="1">IFERROR(IF(COUNTA($D$509:D789)=1,0,OFFSET($F788,-COUNTA($D$509:D789)+3,0)),"")</f>
        <v>17</v>
      </c>
      <c r="O790" s="487"/>
      <c r="P790" s="487">
        <f t="shared" si="130"/>
        <v>0</v>
      </c>
      <c r="Q790" s="487"/>
      <c r="R790" s="487"/>
      <c r="S790" s="487"/>
      <c r="T790" s="493"/>
    </row>
    <row r="791" spans="1:20" x14ac:dyDescent="0.3">
      <c r="A791" s="487" t="b">
        <f t="shared" ca="1" si="120"/>
        <v>1</v>
      </c>
      <c r="B791" s="487">
        <f t="shared" si="127"/>
        <v>100</v>
      </c>
      <c r="C791" s="509" t="str">
        <f t="shared" ca="1" si="121"/>
        <v>a173p000006iLbdAAE</v>
      </c>
      <c r="D791" s="487"/>
      <c r="E791" s="487">
        <f t="shared" ca="1" si="128"/>
        <v>4</v>
      </c>
      <c r="F791" s="506">
        <f ca="1">IF(COUNTA(D$510:D791)=1,"",OFFSET(F789,-COUNTA(D$510:D791)+3,0))</f>
        <v>17</v>
      </c>
      <c r="G791" s="493" t="str">
        <f t="shared" ca="1" si="122"/>
        <v/>
      </c>
      <c r="H791" s="487">
        <f t="shared" ca="1" si="129"/>
        <v>41</v>
      </c>
      <c r="I791" s="490">
        <f t="shared" ca="1" si="123"/>
        <v>100</v>
      </c>
      <c r="J791" s="502">
        <f t="shared" ca="1" si="124"/>
        <v>503</v>
      </c>
      <c r="K791" s="502">
        <f t="shared" ca="1" si="125"/>
        <v>503</v>
      </c>
      <c r="L791" s="493" t="str">
        <f t="shared" ca="1" si="126"/>
        <v/>
      </c>
      <c r="M791" s="505" t="str">
        <f ca="1">IFERROR(IF(COUNTIF($B$509:$B790,"&lt;0")&lt;&gt;1,OFFSET($C789,-COUNTIF($B$509:$B790,"&lt;0")+3,0),""),"")</f>
        <v>a173p000006iLbdAAE</v>
      </c>
      <c r="N791" s="505">
        <f ca="1">IFERROR(IF(COUNTA($D$509:D790)=1,0,OFFSET($F789,-COUNTA($D$509:D790)+3,0)),"")</f>
        <v>17</v>
      </c>
      <c r="O791" s="487"/>
      <c r="P791" s="487">
        <f t="shared" si="130"/>
        <v>0</v>
      </c>
      <c r="Q791" s="487"/>
      <c r="R791" s="487"/>
      <c r="S791" s="487"/>
      <c r="T791" s="493"/>
    </row>
    <row r="792" spans="1:20" x14ac:dyDescent="0.3">
      <c r="A792" s="487" t="b">
        <f t="shared" ca="1" si="120"/>
        <v>1</v>
      </c>
      <c r="B792" s="487">
        <f t="shared" si="127"/>
        <v>101</v>
      </c>
      <c r="C792" s="509" t="str">
        <f t="shared" ca="1" si="121"/>
        <v>a173p000006iLc7AAE</v>
      </c>
      <c r="D792" s="487"/>
      <c r="E792" s="487">
        <f t="shared" ca="1" si="128"/>
        <v>5</v>
      </c>
      <c r="F792" s="506">
        <f ca="1">IF(COUNTA(D$510:D792)=1,"",OFFSET(F790,-COUNTA(D$510:D792)+3,0))</f>
        <v>17</v>
      </c>
      <c r="G792" s="493" t="str">
        <f t="shared" ca="1" si="122"/>
        <v/>
      </c>
      <c r="H792" s="487">
        <f t="shared" ca="1" si="129"/>
        <v>41</v>
      </c>
      <c r="I792" s="490">
        <f t="shared" ca="1" si="123"/>
        <v>100</v>
      </c>
      <c r="J792" s="502">
        <f t="shared" ca="1" si="124"/>
        <v>172</v>
      </c>
      <c r="K792" s="502">
        <f t="shared" ca="1" si="125"/>
        <v>172</v>
      </c>
      <c r="L792" s="493" t="str">
        <f t="shared" ca="1" si="126"/>
        <v/>
      </c>
      <c r="M792" s="505" t="str">
        <f ca="1">IFERROR(IF(COUNTIF($B$509:$B791,"&lt;0")&lt;&gt;1,OFFSET($C790,-COUNTIF($B$509:$B791,"&lt;0")+3,0),""),"")</f>
        <v>a173p000006iLc7AAE</v>
      </c>
      <c r="N792" s="505">
        <f ca="1">IFERROR(IF(COUNTA($D$509:D791)=1,0,OFFSET($F790,-COUNTA($D$509:D791)+3,0)),"")</f>
        <v>17</v>
      </c>
      <c r="O792" s="487"/>
      <c r="P792" s="487">
        <f t="shared" si="130"/>
        <v>0</v>
      </c>
      <c r="Q792" s="487"/>
      <c r="R792" s="487"/>
      <c r="S792" s="487"/>
      <c r="T792" s="493"/>
    </row>
    <row r="793" spans="1:20" x14ac:dyDescent="0.3">
      <c r="A793" s="487" t="b">
        <f t="shared" ca="1" si="120"/>
        <v>1</v>
      </c>
      <c r="B793" s="487">
        <f t="shared" si="127"/>
        <v>102</v>
      </c>
      <c r="C793" s="509" t="str">
        <f t="shared" ca="1" si="121"/>
        <v>a173p000006iLcbAAE</v>
      </c>
      <c r="D793" s="487"/>
      <c r="E793" s="487">
        <f t="shared" ca="1" si="128"/>
        <v>6</v>
      </c>
      <c r="F793" s="506">
        <f ca="1">IF(COUNTA(D$510:D793)=1,"",OFFSET(F791,-COUNTA(D$510:D793)+3,0))</f>
        <v>17</v>
      </c>
      <c r="G793" s="493" t="str">
        <f t="shared" ca="1" si="122"/>
        <v/>
      </c>
      <c r="H793" s="487">
        <f t="shared" ca="1" si="129"/>
        <v>41</v>
      </c>
      <c r="I793" s="490">
        <f t="shared" ca="1" si="123"/>
        <v>100</v>
      </c>
      <c r="J793" s="502">
        <f t="shared" ca="1" si="124"/>
        <v>515</v>
      </c>
      <c r="K793" s="502">
        <f t="shared" ca="1" si="125"/>
        <v>515</v>
      </c>
      <c r="L793" s="493" t="str">
        <f t="shared" ca="1" si="126"/>
        <v/>
      </c>
      <c r="M793" s="505" t="str">
        <f ca="1">IFERROR(IF(COUNTIF($B$509:$B792,"&lt;0")&lt;&gt;1,OFFSET($C791,-COUNTIF($B$509:$B792,"&lt;0")+3,0),""),"")</f>
        <v>a173p000006iLcbAAE</v>
      </c>
      <c r="N793" s="505">
        <f ca="1">IFERROR(IF(COUNTA($D$509:D792)=1,0,OFFSET($F791,-COUNTA($D$509:D792)+3,0)),"")</f>
        <v>17</v>
      </c>
      <c r="O793" s="487"/>
      <c r="P793" s="487">
        <f t="shared" si="130"/>
        <v>0</v>
      </c>
      <c r="Q793" s="487"/>
      <c r="R793" s="487"/>
      <c r="S793" s="487"/>
      <c r="T793" s="493"/>
    </row>
    <row r="794" spans="1:20" x14ac:dyDescent="0.3">
      <c r="A794" s="487" t="b">
        <f t="shared" ca="1" si="120"/>
        <v>1</v>
      </c>
      <c r="B794" s="487">
        <f t="shared" si="127"/>
        <v>103</v>
      </c>
      <c r="C794" s="509" t="str">
        <f t="shared" ca="1" si="121"/>
        <v>a173p000006iLaCAAU</v>
      </c>
      <c r="D794" s="487"/>
      <c r="E794" s="487">
        <f t="shared" ca="1" si="128"/>
        <v>1</v>
      </c>
      <c r="F794" s="506">
        <f ca="1">IF(COUNTA(D$510:D794)=1,"",OFFSET(F792,-COUNTA(D$510:D794)+3,0))</f>
        <v>18</v>
      </c>
      <c r="G794" s="493" t="str">
        <f t="shared" ca="1" si="122"/>
        <v/>
      </c>
      <c r="H794" s="487">
        <f t="shared" ca="1" si="129"/>
        <v>43</v>
      </c>
      <c r="I794" s="490">
        <f t="shared" ca="1" si="123"/>
        <v>100</v>
      </c>
      <c r="J794" s="502">
        <f t="shared" ca="1" si="124"/>
        <v>35</v>
      </c>
      <c r="K794" s="502">
        <f t="shared" ca="1" si="125"/>
        <v>35</v>
      </c>
      <c r="L794" s="493" t="str">
        <f t="shared" ca="1" si="126"/>
        <v/>
      </c>
      <c r="M794" s="505" t="str">
        <f ca="1">IFERROR(IF(COUNTIF($B$509:$B793,"&lt;0")&lt;&gt;1,OFFSET($C792,-COUNTIF($B$509:$B793,"&lt;0")+3,0),""),"")</f>
        <v>a173p000006iLaCAAU</v>
      </c>
      <c r="N794" s="505">
        <f ca="1">IFERROR(IF(COUNTA($D$509:D793)=1,0,OFFSET($F792,-COUNTA($D$509:D793)+3,0)),"")</f>
        <v>18</v>
      </c>
      <c r="O794" s="487"/>
      <c r="P794" s="487">
        <f t="shared" si="130"/>
        <v>0</v>
      </c>
      <c r="Q794" s="487"/>
      <c r="R794" s="487"/>
      <c r="S794" s="487"/>
      <c r="T794" s="493"/>
    </row>
    <row r="795" spans="1:20" x14ac:dyDescent="0.3">
      <c r="A795" s="487" t="b">
        <f t="shared" ca="1" si="120"/>
        <v>1</v>
      </c>
      <c r="B795" s="487">
        <f t="shared" si="127"/>
        <v>104</v>
      </c>
      <c r="C795" s="509" t="str">
        <f t="shared" ca="1" si="121"/>
        <v>a173p000006iLagAAE</v>
      </c>
      <c r="D795" s="487"/>
      <c r="E795" s="487">
        <f t="shared" ca="1" si="128"/>
        <v>2</v>
      </c>
      <c r="F795" s="506">
        <f ca="1">IF(COUNTA(D$510:D795)=1,"",OFFSET(F793,-COUNTA(D$510:D795)+3,0))</f>
        <v>18</v>
      </c>
      <c r="G795" s="493" t="str">
        <f t="shared" ca="1" si="122"/>
        <v/>
      </c>
      <c r="H795" s="487">
        <f t="shared" ca="1" si="129"/>
        <v>43</v>
      </c>
      <c r="I795" s="490">
        <f t="shared" ca="1" si="123"/>
        <v>100</v>
      </c>
      <c r="J795" s="502">
        <f t="shared" ca="1" si="124"/>
        <v>103</v>
      </c>
      <c r="K795" s="502">
        <f t="shared" ca="1" si="125"/>
        <v>103</v>
      </c>
      <c r="L795" s="493" t="str">
        <f t="shared" ca="1" si="126"/>
        <v/>
      </c>
      <c r="M795" s="505" t="str">
        <f ca="1">IFERROR(IF(COUNTIF($B$509:$B794,"&lt;0")&lt;&gt;1,OFFSET($C793,-COUNTIF($B$509:$B794,"&lt;0")+3,0),""),"")</f>
        <v>a173p000006iLagAAE</v>
      </c>
      <c r="N795" s="505">
        <f ca="1">IFERROR(IF(COUNTA($D$509:D794)=1,0,OFFSET($F793,-COUNTA($D$509:D794)+3,0)),"")</f>
        <v>18</v>
      </c>
      <c r="O795" s="487"/>
      <c r="P795" s="487">
        <f t="shared" si="130"/>
        <v>0</v>
      </c>
      <c r="Q795" s="487"/>
      <c r="R795" s="487"/>
      <c r="S795" s="487"/>
      <c r="T795" s="493"/>
    </row>
    <row r="796" spans="1:20" x14ac:dyDescent="0.3">
      <c r="A796" s="487" t="b">
        <f t="shared" ca="1" si="120"/>
        <v>1</v>
      </c>
      <c r="B796" s="487">
        <f t="shared" si="127"/>
        <v>105</v>
      </c>
      <c r="C796" s="509" t="str">
        <f t="shared" ca="1" si="121"/>
        <v>a173p000006iLbAAAU</v>
      </c>
      <c r="D796" s="487"/>
      <c r="E796" s="487">
        <f t="shared" ca="1" si="128"/>
        <v>3</v>
      </c>
      <c r="F796" s="506">
        <f ca="1">IF(COUNTA(D$510:D796)=1,"",OFFSET(F794,-COUNTA(D$510:D796)+3,0))</f>
        <v>18</v>
      </c>
      <c r="G796" s="493" t="str">
        <f t="shared" ca="1" si="122"/>
        <v/>
      </c>
      <c r="H796" s="487">
        <f t="shared" ca="1" si="129"/>
        <v>43</v>
      </c>
      <c r="I796" s="490">
        <f t="shared" ca="1" si="123"/>
        <v>100</v>
      </c>
      <c r="J796" s="502">
        <f t="shared" ca="1" si="124"/>
        <v>35</v>
      </c>
      <c r="K796" s="502">
        <f t="shared" ca="1" si="125"/>
        <v>35</v>
      </c>
      <c r="L796" s="493" t="str">
        <f t="shared" ca="1" si="126"/>
        <v/>
      </c>
      <c r="M796" s="505" t="str">
        <f ca="1">IFERROR(IF(COUNTIF($B$509:$B795,"&lt;0")&lt;&gt;1,OFFSET($C794,-COUNTIF($B$509:$B795,"&lt;0")+3,0),""),"")</f>
        <v>a173p000006iLbAAAU</v>
      </c>
      <c r="N796" s="505">
        <f ca="1">IFERROR(IF(COUNTA($D$509:D795)=1,0,OFFSET($F794,-COUNTA($D$509:D795)+3,0)),"")</f>
        <v>18</v>
      </c>
      <c r="O796" s="487"/>
      <c r="P796" s="487">
        <f t="shared" si="130"/>
        <v>0</v>
      </c>
      <c r="Q796" s="487"/>
      <c r="R796" s="487"/>
      <c r="S796" s="487"/>
      <c r="T796" s="493"/>
    </row>
    <row r="797" spans="1:20" x14ac:dyDescent="0.3">
      <c r="A797" s="487" t="b">
        <f t="shared" ca="1" si="120"/>
        <v>1</v>
      </c>
      <c r="B797" s="487">
        <f t="shared" si="127"/>
        <v>106</v>
      </c>
      <c r="C797" s="509" t="str">
        <f t="shared" ca="1" si="121"/>
        <v>a173p000006iLbeAAE</v>
      </c>
      <c r="D797" s="487"/>
      <c r="E797" s="487">
        <f t="shared" ca="1" si="128"/>
        <v>4</v>
      </c>
      <c r="F797" s="506">
        <f ca="1">IF(COUNTA(D$510:D797)=1,"",OFFSET(F795,-COUNTA(D$510:D797)+3,0))</f>
        <v>18</v>
      </c>
      <c r="G797" s="493" t="str">
        <f t="shared" ca="1" si="122"/>
        <v/>
      </c>
      <c r="H797" s="487">
        <f t="shared" ca="1" si="129"/>
        <v>43</v>
      </c>
      <c r="I797" s="490">
        <f t="shared" ca="1" si="123"/>
        <v>100</v>
      </c>
      <c r="J797" s="502">
        <f t="shared" ca="1" si="124"/>
        <v>106</v>
      </c>
      <c r="K797" s="502">
        <f t="shared" ca="1" si="125"/>
        <v>106</v>
      </c>
      <c r="L797" s="493" t="str">
        <f t="shared" ca="1" si="126"/>
        <v/>
      </c>
      <c r="M797" s="505" t="str">
        <f ca="1">IFERROR(IF(COUNTIF($B$509:$B796,"&lt;0")&lt;&gt;1,OFFSET($C795,-COUNTIF($B$509:$B796,"&lt;0")+3,0),""),"")</f>
        <v>a173p000006iLbeAAE</v>
      </c>
      <c r="N797" s="505">
        <f ca="1">IFERROR(IF(COUNTA($D$509:D796)=1,0,OFFSET($F795,-COUNTA($D$509:D796)+3,0)),"")</f>
        <v>18</v>
      </c>
      <c r="O797" s="487"/>
      <c r="P797" s="487">
        <f t="shared" si="130"/>
        <v>0</v>
      </c>
      <c r="Q797" s="487"/>
      <c r="R797" s="487"/>
      <c r="S797" s="487"/>
      <c r="T797" s="493"/>
    </row>
    <row r="798" spans="1:20" x14ac:dyDescent="0.3">
      <c r="A798" s="487" t="b">
        <f t="shared" ca="1" si="120"/>
        <v>1</v>
      </c>
      <c r="B798" s="487">
        <f t="shared" si="127"/>
        <v>107</v>
      </c>
      <c r="C798" s="509" t="str">
        <f t="shared" ca="1" si="121"/>
        <v>a173p000006iLc8AAE</v>
      </c>
      <c r="D798" s="487"/>
      <c r="E798" s="487">
        <f t="shared" ca="1" si="128"/>
        <v>5</v>
      </c>
      <c r="F798" s="506">
        <f ca="1">IF(COUNTA(D$510:D798)=1,"",OFFSET(F796,-COUNTA(D$510:D798)+3,0))</f>
        <v>18</v>
      </c>
      <c r="G798" s="493" t="str">
        <f t="shared" ca="1" si="122"/>
        <v/>
      </c>
      <c r="H798" s="487">
        <f t="shared" ca="1" si="129"/>
        <v>43</v>
      </c>
      <c r="I798" s="490">
        <f t="shared" ca="1" si="123"/>
        <v>100</v>
      </c>
      <c r="J798" s="502">
        <f t="shared" ca="1" si="124"/>
        <v>36</v>
      </c>
      <c r="K798" s="502">
        <f t="shared" ca="1" si="125"/>
        <v>36</v>
      </c>
      <c r="L798" s="493" t="str">
        <f t="shared" ca="1" si="126"/>
        <v/>
      </c>
      <c r="M798" s="505" t="str">
        <f ca="1">IFERROR(IF(COUNTIF($B$509:$B797,"&lt;0")&lt;&gt;1,OFFSET($C796,-COUNTIF($B$509:$B797,"&lt;0")+3,0),""),"")</f>
        <v>a173p000006iLc8AAE</v>
      </c>
      <c r="N798" s="505">
        <f ca="1">IFERROR(IF(COUNTA($D$509:D797)=1,0,OFFSET($F796,-COUNTA($D$509:D797)+3,0)),"")</f>
        <v>18</v>
      </c>
      <c r="O798" s="487"/>
      <c r="P798" s="487">
        <f t="shared" si="130"/>
        <v>0</v>
      </c>
      <c r="Q798" s="487"/>
      <c r="R798" s="487"/>
      <c r="S798" s="487"/>
      <c r="T798" s="493"/>
    </row>
    <row r="799" spans="1:20" x14ac:dyDescent="0.3">
      <c r="A799" s="487" t="b">
        <f t="shared" ca="1" si="120"/>
        <v>1</v>
      </c>
      <c r="B799" s="487">
        <f t="shared" si="127"/>
        <v>108</v>
      </c>
      <c r="C799" s="509" t="str">
        <f t="shared" ca="1" si="121"/>
        <v>a173p000006iLccAAE</v>
      </c>
      <c r="D799" s="487"/>
      <c r="E799" s="487">
        <f t="shared" ca="1" si="128"/>
        <v>6</v>
      </c>
      <c r="F799" s="506">
        <f ca="1">IF(COUNTA(D$510:D799)=1,"",OFFSET(F797,-COUNTA(D$510:D799)+3,0))</f>
        <v>18</v>
      </c>
      <c r="G799" s="493" t="str">
        <f t="shared" ca="1" si="122"/>
        <v/>
      </c>
      <c r="H799" s="487">
        <f t="shared" ca="1" si="129"/>
        <v>43</v>
      </c>
      <c r="I799" s="490">
        <f t="shared" ca="1" si="123"/>
        <v>100</v>
      </c>
      <c r="J799" s="502">
        <f t="shared" ca="1" si="124"/>
        <v>109</v>
      </c>
      <c r="K799" s="502">
        <f t="shared" ca="1" si="125"/>
        <v>109</v>
      </c>
      <c r="L799" s="493" t="str">
        <f t="shared" ca="1" si="126"/>
        <v/>
      </c>
      <c r="M799" s="505" t="str">
        <f ca="1">IFERROR(IF(COUNTIF($B$509:$B798,"&lt;0")&lt;&gt;1,OFFSET($C797,-COUNTIF($B$509:$B798,"&lt;0")+3,0),""),"")</f>
        <v>a173p000006iLccAAE</v>
      </c>
      <c r="N799" s="505">
        <f ca="1">IFERROR(IF(COUNTA($D$509:D798)=1,0,OFFSET($F797,-COUNTA($D$509:D798)+3,0)),"")</f>
        <v>18</v>
      </c>
      <c r="O799" s="487"/>
      <c r="P799" s="487">
        <f t="shared" si="130"/>
        <v>0</v>
      </c>
      <c r="Q799" s="487"/>
      <c r="R799" s="487"/>
      <c r="S799" s="487"/>
      <c r="T799" s="493"/>
    </row>
    <row r="800" spans="1:20" x14ac:dyDescent="0.3">
      <c r="A800" s="487" t="b">
        <f t="shared" ca="1" si="120"/>
        <v>1</v>
      </c>
      <c r="B800" s="487">
        <f t="shared" si="127"/>
        <v>109</v>
      </c>
      <c r="C800" s="509" t="str">
        <f t="shared" ca="1" si="121"/>
        <v>a173p000006iLaDAAU</v>
      </c>
      <c r="D800" s="487"/>
      <c r="E800" s="487">
        <f t="shared" ca="1" si="128"/>
        <v>1</v>
      </c>
      <c r="F800" s="506">
        <f ca="1">IF(COUNTA(D$510:D800)=1,"",OFFSET(F798,-COUNTA(D$510:D800)+3,0))</f>
        <v>19</v>
      </c>
      <c r="G800" s="493" t="str">
        <f t="shared" ca="1" si="122"/>
        <v/>
      </c>
      <c r="H800" s="487">
        <f t="shared" ca="1" si="129"/>
        <v>45</v>
      </c>
      <c r="I800" s="490">
        <f t="shared" ca="1" si="123"/>
        <v>11.800000000000002</v>
      </c>
      <c r="J800" s="502">
        <f t="shared" ca="1" si="124"/>
        <v>473</v>
      </c>
      <c r="K800" s="502">
        <f t="shared" ca="1" si="125"/>
        <v>55.814000000000007</v>
      </c>
      <c r="L800" s="493" t="str">
        <f t="shared" ca="1" si="126"/>
        <v/>
      </c>
      <c r="M800" s="505" t="str">
        <f ca="1">IFERROR(IF(COUNTIF($B$509:$B799,"&lt;0")&lt;&gt;1,OFFSET($C798,-COUNTIF($B$509:$B799,"&lt;0")+3,0),""),"")</f>
        <v>a173p000006iLaDAAU</v>
      </c>
      <c r="N800" s="505">
        <f ca="1">IFERROR(IF(COUNTA($D$509:D799)=1,0,OFFSET($F798,-COUNTA($D$509:D799)+3,0)),"")</f>
        <v>19</v>
      </c>
      <c r="O800" s="487"/>
      <c r="P800" s="487">
        <f t="shared" si="130"/>
        <v>0</v>
      </c>
      <c r="Q800" s="487"/>
      <c r="R800" s="487"/>
      <c r="S800" s="487"/>
      <c r="T800" s="493"/>
    </row>
    <row r="801" spans="1:20" x14ac:dyDescent="0.3">
      <c r="A801" s="487" t="b">
        <f t="shared" ca="1" si="120"/>
        <v>1</v>
      </c>
      <c r="B801" s="487">
        <f t="shared" si="127"/>
        <v>110</v>
      </c>
      <c r="C801" s="509" t="str">
        <f t="shared" ca="1" si="121"/>
        <v>a173p000006iLahAAE</v>
      </c>
      <c r="D801" s="487"/>
      <c r="E801" s="487">
        <f t="shared" ca="1" si="128"/>
        <v>2</v>
      </c>
      <c r="F801" s="506">
        <f ca="1">IF(COUNTA(D$510:D801)=1,"",OFFSET(F799,-COUNTA(D$510:D801)+3,0))</f>
        <v>19</v>
      </c>
      <c r="G801" s="493" t="str">
        <f t="shared" ca="1" si="122"/>
        <v/>
      </c>
      <c r="H801" s="487">
        <f t="shared" ca="1" si="129"/>
        <v>45</v>
      </c>
      <c r="I801" s="490">
        <f t="shared" ca="1" si="123"/>
        <v>23.600000000000005</v>
      </c>
      <c r="J801" s="502">
        <f t="shared" ca="1" si="124"/>
        <v>473</v>
      </c>
      <c r="K801" s="502">
        <f t="shared" ca="1" si="125"/>
        <v>111.62800000000001</v>
      </c>
      <c r="L801" s="493" t="str">
        <f t="shared" ca="1" si="126"/>
        <v/>
      </c>
      <c r="M801" s="505" t="str">
        <f ca="1">IFERROR(IF(COUNTIF($B$509:$B800,"&lt;0")&lt;&gt;1,OFFSET($C799,-COUNTIF($B$509:$B800,"&lt;0")+3,0),""),"")</f>
        <v>a173p000006iLahAAE</v>
      </c>
      <c r="N801" s="505">
        <f ca="1">IFERROR(IF(COUNTA($D$509:D800)=1,0,OFFSET($F799,-COUNTA($D$509:D800)+3,0)),"")</f>
        <v>19</v>
      </c>
      <c r="O801" s="487"/>
      <c r="P801" s="487">
        <f t="shared" si="130"/>
        <v>0</v>
      </c>
      <c r="Q801" s="487"/>
      <c r="R801" s="487"/>
      <c r="S801" s="487"/>
      <c r="T801" s="493"/>
    </row>
    <row r="802" spans="1:20" x14ac:dyDescent="0.3">
      <c r="A802" s="487" t="b">
        <f t="shared" ca="1" si="120"/>
        <v>1</v>
      </c>
      <c r="B802" s="487">
        <f t="shared" si="127"/>
        <v>111</v>
      </c>
      <c r="C802" s="509" t="str">
        <f t="shared" ca="1" si="121"/>
        <v>a173p000006iLbBAAU</v>
      </c>
      <c r="D802" s="487"/>
      <c r="E802" s="487">
        <f t="shared" ca="1" si="128"/>
        <v>3</v>
      </c>
      <c r="F802" s="506">
        <f ca="1">IF(COUNTA(D$510:D802)=1,"",OFFSET(F800,-COUNTA(D$510:D802)+3,0))</f>
        <v>19</v>
      </c>
      <c r="G802" s="493" t="str">
        <f t="shared" ca="1" si="122"/>
        <v/>
      </c>
      <c r="H802" s="487">
        <f t="shared" ca="1" si="129"/>
        <v>45</v>
      </c>
      <c r="I802" s="490">
        <f t="shared" ca="1" si="123"/>
        <v>11.8</v>
      </c>
      <c r="J802" s="502">
        <f t="shared" ca="1" si="124"/>
        <v>485</v>
      </c>
      <c r="K802" s="502">
        <f t="shared" ca="1" si="125"/>
        <v>57.230000000000004</v>
      </c>
      <c r="L802" s="493" t="str">
        <f t="shared" ca="1" si="126"/>
        <v/>
      </c>
      <c r="M802" s="505" t="str">
        <f ca="1">IFERROR(IF(COUNTIF($B$509:$B801,"&lt;0")&lt;&gt;1,OFFSET($C800,-COUNTIF($B$509:$B801,"&lt;0")+3,0),""),"")</f>
        <v>a173p000006iLbBAAU</v>
      </c>
      <c r="N802" s="505">
        <f ca="1">IFERROR(IF(COUNTA($D$509:D801)=1,0,OFFSET($F800,-COUNTA($D$509:D801)+3,0)),"")</f>
        <v>19</v>
      </c>
      <c r="O802" s="487"/>
      <c r="P802" s="487">
        <f t="shared" si="130"/>
        <v>0</v>
      </c>
      <c r="Q802" s="487"/>
      <c r="R802" s="487"/>
      <c r="S802" s="487"/>
      <c r="T802" s="493"/>
    </row>
    <row r="803" spans="1:20" x14ac:dyDescent="0.3">
      <c r="A803" s="487" t="b">
        <f t="shared" ca="1" si="120"/>
        <v>1</v>
      </c>
      <c r="B803" s="487">
        <f t="shared" si="127"/>
        <v>112</v>
      </c>
      <c r="C803" s="509" t="str">
        <f t="shared" ca="1" si="121"/>
        <v>a173p000006iLbfAAE</v>
      </c>
      <c r="D803" s="487"/>
      <c r="E803" s="487">
        <f t="shared" ca="1" si="128"/>
        <v>4</v>
      </c>
      <c r="F803" s="506">
        <f ca="1">IF(COUNTA(D$510:D803)=1,"",OFFSET(F801,-COUNTA(D$510:D803)+3,0))</f>
        <v>19</v>
      </c>
      <c r="G803" s="493" t="str">
        <f t="shared" ca="1" si="122"/>
        <v/>
      </c>
      <c r="H803" s="487">
        <f t="shared" ca="1" si="129"/>
        <v>45</v>
      </c>
      <c r="I803" s="490">
        <f t="shared" ca="1" si="123"/>
        <v>23.6</v>
      </c>
      <c r="J803" s="502">
        <f t="shared" ca="1" si="124"/>
        <v>485</v>
      </c>
      <c r="K803" s="502">
        <f t="shared" ca="1" si="125"/>
        <v>114.46000000000001</v>
      </c>
      <c r="L803" s="493" t="str">
        <f t="shared" ca="1" si="126"/>
        <v/>
      </c>
      <c r="M803" s="505" t="str">
        <f ca="1">IFERROR(IF(COUNTIF($B$509:$B802,"&lt;0")&lt;&gt;1,OFFSET($C801,-COUNTIF($B$509:$B802,"&lt;0")+3,0),""),"")</f>
        <v>a173p000006iLbfAAE</v>
      </c>
      <c r="N803" s="505">
        <f ca="1">IFERROR(IF(COUNTA($D$509:D802)=1,0,OFFSET($F801,-COUNTA($D$509:D802)+3,0)),"")</f>
        <v>19</v>
      </c>
      <c r="O803" s="487"/>
      <c r="P803" s="487">
        <f t="shared" si="130"/>
        <v>0</v>
      </c>
      <c r="Q803" s="487"/>
      <c r="R803" s="487"/>
      <c r="S803" s="487"/>
      <c r="T803" s="493"/>
    </row>
    <row r="804" spans="1:20" x14ac:dyDescent="0.3">
      <c r="A804" s="487" t="b">
        <f t="shared" ca="1" si="120"/>
        <v>1</v>
      </c>
      <c r="B804" s="487">
        <f t="shared" si="127"/>
        <v>113</v>
      </c>
      <c r="C804" s="509" t="str">
        <f t="shared" ca="1" si="121"/>
        <v>a173p000006iLc9AAE</v>
      </c>
      <c r="D804" s="487"/>
      <c r="E804" s="487">
        <f t="shared" ca="1" si="128"/>
        <v>5</v>
      </c>
      <c r="F804" s="506">
        <f ca="1">IF(COUNTA(D$510:D804)=1,"",OFFSET(F802,-COUNTA(D$510:D804)+3,0))</f>
        <v>19</v>
      </c>
      <c r="G804" s="493" t="str">
        <f t="shared" ca="1" si="122"/>
        <v/>
      </c>
      <c r="H804" s="487">
        <f t="shared" ca="1" si="129"/>
        <v>45</v>
      </c>
      <c r="I804" s="490">
        <f t="shared" ca="1" si="123"/>
        <v>11.8</v>
      </c>
      <c r="J804" s="502">
        <f t="shared" ca="1" si="124"/>
        <v>497</v>
      </c>
      <c r="K804" s="502">
        <f t="shared" ca="1" si="125"/>
        <v>58.646000000000001</v>
      </c>
      <c r="L804" s="493" t="str">
        <f t="shared" ca="1" si="126"/>
        <v/>
      </c>
      <c r="M804" s="505" t="str">
        <f ca="1">IFERROR(IF(COUNTIF($B$509:$B803,"&lt;0")&lt;&gt;1,OFFSET($C802,-COUNTIF($B$509:$B803,"&lt;0")+3,0),""),"")</f>
        <v>a173p000006iLc9AAE</v>
      </c>
      <c r="N804" s="505">
        <f ca="1">IFERROR(IF(COUNTA($D$509:D803)=1,0,OFFSET($F802,-COUNTA($D$509:D803)+3,0)),"")</f>
        <v>19</v>
      </c>
      <c r="O804" s="487"/>
      <c r="P804" s="487">
        <f t="shared" si="130"/>
        <v>0</v>
      </c>
      <c r="Q804" s="487"/>
      <c r="R804" s="487"/>
      <c r="S804" s="487"/>
      <c r="T804" s="493"/>
    </row>
    <row r="805" spans="1:20" x14ac:dyDescent="0.3">
      <c r="A805" s="487" t="b">
        <f t="shared" ca="1" si="120"/>
        <v>1</v>
      </c>
      <c r="B805" s="487">
        <f t="shared" si="127"/>
        <v>114</v>
      </c>
      <c r="C805" s="509" t="str">
        <f t="shared" ca="1" si="121"/>
        <v>a173p000006iLcdAAE</v>
      </c>
      <c r="D805" s="487"/>
      <c r="E805" s="487">
        <f t="shared" ca="1" si="128"/>
        <v>6</v>
      </c>
      <c r="F805" s="506">
        <f ca="1">IF(COUNTA(D$510:D805)=1,"",OFFSET(F803,-COUNTA(D$510:D805)+3,0))</f>
        <v>19</v>
      </c>
      <c r="G805" s="493" t="str">
        <f t="shared" ca="1" si="122"/>
        <v/>
      </c>
      <c r="H805" s="487">
        <f t="shared" ca="1" si="129"/>
        <v>45</v>
      </c>
      <c r="I805" s="490">
        <f t="shared" ca="1" si="123"/>
        <v>23.6</v>
      </c>
      <c r="J805" s="502">
        <f t="shared" ca="1" si="124"/>
        <v>497</v>
      </c>
      <c r="K805" s="502">
        <f t="shared" ca="1" si="125"/>
        <v>117.292</v>
      </c>
      <c r="L805" s="493" t="str">
        <f t="shared" ca="1" si="126"/>
        <v/>
      </c>
      <c r="M805" s="505" t="str">
        <f ca="1">IFERROR(IF(COUNTIF($B$509:$B804,"&lt;0")&lt;&gt;1,OFFSET($C803,-COUNTIF($B$509:$B804,"&lt;0")+3,0),""),"")</f>
        <v>a173p000006iLcdAAE</v>
      </c>
      <c r="N805" s="505">
        <f ca="1">IFERROR(IF(COUNTA($D$509:D804)=1,0,OFFSET($F803,-COUNTA($D$509:D804)+3,0)),"")</f>
        <v>19</v>
      </c>
      <c r="O805" s="487"/>
      <c r="P805" s="487">
        <f t="shared" si="130"/>
        <v>0</v>
      </c>
      <c r="Q805" s="487"/>
      <c r="R805" s="487"/>
      <c r="S805" s="487"/>
      <c r="T805" s="493"/>
    </row>
    <row r="806" spans="1:20" x14ac:dyDescent="0.3">
      <c r="A806" s="487" t="b">
        <f t="shared" ca="1" si="120"/>
        <v>1</v>
      </c>
      <c r="B806" s="487">
        <f t="shared" si="127"/>
        <v>115</v>
      </c>
      <c r="C806" s="509" t="str">
        <f t="shared" ca="1" si="121"/>
        <v>a173p000006iLaEAAU</v>
      </c>
      <c r="D806" s="487"/>
      <c r="E806" s="487">
        <f t="shared" ca="1" si="128"/>
        <v>1</v>
      </c>
      <c r="F806" s="506">
        <f ca="1">IF(COUNTA(D$510:D806)=1,"",OFFSET(F804,-COUNTA(D$510:D806)+3,0))</f>
        <v>20</v>
      </c>
      <c r="G806" s="493" t="str">
        <f t="shared" ca="1" si="122"/>
        <v/>
      </c>
      <c r="H806" s="487">
        <f t="shared" ca="1" si="129"/>
        <v>47</v>
      </c>
      <c r="I806" s="490">
        <f t="shared" ca="1" si="123"/>
        <v>15</v>
      </c>
      <c r="J806" s="502">
        <f t="shared" ca="1" si="124"/>
        <v>232792.30000000002</v>
      </c>
      <c r="K806" s="502">
        <f t="shared" ca="1" si="125"/>
        <v>34918.845000000001</v>
      </c>
      <c r="L806" s="493" t="str">
        <f t="shared" ca="1" si="126"/>
        <v/>
      </c>
      <c r="M806" s="505" t="str">
        <f ca="1">IFERROR(IF(COUNTIF($B$509:$B805,"&lt;0")&lt;&gt;1,OFFSET($C804,-COUNTIF($B$509:$B805,"&lt;0")+3,0),""),"")</f>
        <v>a173p000006iLaEAAU</v>
      </c>
      <c r="N806" s="505">
        <f ca="1">IFERROR(IF(COUNTA($D$509:D805)=1,0,OFFSET($F804,-COUNTA($D$509:D805)+3,0)),"")</f>
        <v>20</v>
      </c>
      <c r="O806" s="487"/>
      <c r="P806" s="487">
        <f t="shared" si="130"/>
        <v>0</v>
      </c>
      <c r="Q806" s="487"/>
      <c r="R806" s="487"/>
      <c r="S806" s="487"/>
      <c r="T806" s="493"/>
    </row>
    <row r="807" spans="1:20" x14ac:dyDescent="0.3">
      <c r="A807" s="487" t="b">
        <f t="shared" ca="1" si="120"/>
        <v>1</v>
      </c>
      <c r="B807" s="487">
        <f t="shared" si="127"/>
        <v>116</v>
      </c>
      <c r="C807" s="509" t="str">
        <f t="shared" ca="1" si="121"/>
        <v>a173p000006iLaiAAE</v>
      </c>
      <c r="D807" s="487"/>
      <c r="E807" s="487">
        <f t="shared" ca="1" si="128"/>
        <v>2</v>
      </c>
      <c r="F807" s="506">
        <f ca="1">IF(COUNTA(D$510:D807)=1,"",OFFSET(F805,-COUNTA(D$510:D807)+3,0))</f>
        <v>20</v>
      </c>
      <c r="G807" s="493" t="str">
        <f t="shared" ca="1" si="122"/>
        <v/>
      </c>
      <c r="H807" s="487">
        <f t="shared" ca="1" si="129"/>
        <v>47</v>
      </c>
      <c r="I807" s="490">
        <f t="shared" ca="1" si="123"/>
        <v>30</v>
      </c>
      <c r="J807" s="502">
        <f t="shared" ca="1" si="124"/>
        <v>232792.30000000002</v>
      </c>
      <c r="K807" s="502">
        <f t="shared" ca="1" si="125"/>
        <v>69837.69</v>
      </c>
      <c r="L807" s="493" t="str">
        <f t="shared" ca="1" si="126"/>
        <v/>
      </c>
      <c r="M807" s="505" t="str">
        <f ca="1">IFERROR(IF(COUNTIF($B$509:$B806,"&lt;0")&lt;&gt;1,OFFSET($C805,-COUNTIF($B$509:$B806,"&lt;0")+3,0),""),"")</f>
        <v>a173p000006iLaiAAE</v>
      </c>
      <c r="N807" s="505">
        <f ca="1">IFERROR(IF(COUNTA($D$509:D806)=1,0,OFFSET($F805,-COUNTA($D$509:D806)+3,0)),"")</f>
        <v>20</v>
      </c>
      <c r="O807" s="487"/>
      <c r="P807" s="487">
        <f t="shared" si="130"/>
        <v>0</v>
      </c>
      <c r="Q807" s="487"/>
      <c r="R807" s="487"/>
      <c r="S807" s="487"/>
      <c r="T807" s="493"/>
    </row>
    <row r="808" spans="1:20" x14ac:dyDescent="0.3">
      <c r="A808" s="487" t="b">
        <f t="shared" ca="1" si="120"/>
        <v>1</v>
      </c>
      <c r="B808" s="487">
        <f t="shared" si="127"/>
        <v>117</v>
      </c>
      <c r="C808" s="509" t="str">
        <f t="shared" ca="1" si="121"/>
        <v>a173p000006iLbCAAU</v>
      </c>
      <c r="D808" s="487"/>
      <c r="E808" s="487">
        <f t="shared" ca="1" si="128"/>
        <v>3</v>
      </c>
      <c r="F808" s="506">
        <f ca="1">IF(COUNTA(D$510:D808)=1,"",OFFSET(F806,-COUNTA(D$510:D808)+3,0))</f>
        <v>20</v>
      </c>
      <c r="G808" s="493" t="str">
        <f t="shared" ca="1" si="122"/>
        <v/>
      </c>
      <c r="H808" s="487">
        <f t="shared" ca="1" si="129"/>
        <v>47</v>
      </c>
      <c r="I808" s="490">
        <f t="shared" ca="1" si="123"/>
        <v>15</v>
      </c>
      <c r="J808" s="502">
        <f t="shared" ca="1" si="124"/>
        <v>238844.84</v>
      </c>
      <c r="K808" s="502">
        <f t="shared" ca="1" si="125"/>
        <v>35826.725999999995</v>
      </c>
      <c r="L808" s="493" t="str">
        <f t="shared" ca="1" si="126"/>
        <v/>
      </c>
      <c r="M808" s="505" t="str">
        <f ca="1">IFERROR(IF(COUNTIF($B$509:$B807,"&lt;0")&lt;&gt;1,OFFSET($C806,-COUNTIF($B$509:$B807,"&lt;0")+3,0),""),"")</f>
        <v>a173p000006iLbCAAU</v>
      </c>
      <c r="N808" s="505">
        <f ca="1">IFERROR(IF(COUNTA($D$509:D807)=1,0,OFFSET($F806,-COUNTA($D$509:D807)+3,0)),"")</f>
        <v>20</v>
      </c>
      <c r="O808" s="487"/>
      <c r="P808" s="487">
        <f t="shared" si="130"/>
        <v>0</v>
      </c>
      <c r="Q808" s="487"/>
      <c r="R808" s="487"/>
      <c r="S808" s="487"/>
      <c r="T808" s="493"/>
    </row>
    <row r="809" spans="1:20" x14ac:dyDescent="0.3">
      <c r="A809" s="487" t="b">
        <f t="shared" ca="1" si="120"/>
        <v>1</v>
      </c>
      <c r="B809" s="487">
        <f t="shared" si="127"/>
        <v>118</v>
      </c>
      <c r="C809" s="509" t="str">
        <f t="shared" ca="1" si="121"/>
        <v>a173p000006iLbgAAE</v>
      </c>
      <c r="D809" s="487"/>
      <c r="E809" s="487">
        <f t="shared" ca="1" si="128"/>
        <v>4</v>
      </c>
      <c r="F809" s="506">
        <f ca="1">IF(COUNTA(D$510:D809)=1,"",OFFSET(F807,-COUNTA(D$510:D809)+3,0))</f>
        <v>20</v>
      </c>
      <c r="G809" s="493" t="str">
        <f t="shared" ca="1" si="122"/>
        <v/>
      </c>
      <c r="H809" s="487">
        <f t="shared" ca="1" si="129"/>
        <v>47</v>
      </c>
      <c r="I809" s="490">
        <f t="shared" ca="1" si="123"/>
        <v>30</v>
      </c>
      <c r="J809" s="502">
        <f t="shared" ca="1" si="124"/>
        <v>238844.84</v>
      </c>
      <c r="K809" s="502">
        <f t="shared" ca="1" si="125"/>
        <v>71653.45199999999</v>
      </c>
      <c r="L809" s="493" t="str">
        <f t="shared" ca="1" si="126"/>
        <v/>
      </c>
      <c r="M809" s="505" t="str">
        <f ca="1">IFERROR(IF(COUNTIF($B$509:$B808,"&lt;0")&lt;&gt;1,OFFSET($C807,-COUNTIF($B$509:$B808,"&lt;0")+3,0),""),"")</f>
        <v>a173p000006iLbgAAE</v>
      </c>
      <c r="N809" s="505">
        <f ca="1">IFERROR(IF(COUNTA($D$509:D808)=1,0,OFFSET($F807,-COUNTA($D$509:D808)+3,0)),"")</f>
        <v>20</v>
      </c>
      <c r="O809" s="487"/>
      <c r="P809" s="487">
        <f t="shared" si="130"/>
        <v>0</v>
      </c>
      <c r="Q809" s="487"/>
      <c r="R809" s="487"/>
      <c r="S809" s="487"/>
      <c r="T809" s="493"/>
    </row>
    <row r="810" spans="1:20" x14ac:dyDescent="0.3">
      <c r="A810" s="487" t="b">
        <f t="shared" ca="1" si="120"/>
        <v>1</v>
      </c>
      <c r="B810" s="487">
        <f t="shared" si="127"/>
        <v>119</v>
      </c>
      <c r="C810" s="509" t="str">
        <f t="shared" ca="1" si="121"/>
        <v>a173p000006iLcAAAU</v>
      </c>
      <c r="D810" s="487"/>
      <c r="E810" s="487">
        <f t="shared" ca="1" si="128"/>
        <v>5</v>
      </c>
      <c r="F810" s="506">
        <f ca="1">IF(COUNTA(D$510:D810)=1,"",OFFSET(F808,-COUNTA(D$510:D810)+3,0))</f>
        <v>20</v>
      </c>
      <c r="G810" s="493" t="str">
        <f t="shared" ca="1" si="122"/>
        <v/>
      </c>
      <c r="H810" s="487">
        <f t="shared" ca="1" si="129"/>
        <v>47</v>
      </c>
      <c r="I810" s="490">
        <f t="shared" ca="1" si="123"/>
        <v>15</v>
      </c>
      <c r="J810" s="502">
        <f t="shared" ca="1" si="124"/>
        <v>245054.94</v>
      </c>
      <c r="K810" s="502">
        <f t="shared" ca="1" si="125"/>
        <v>36758.241000000002</v>
      </c>
      <c r="L810" s="493" t="str">
        <f t="shared" ca="1" si="126"/>
        <v/>
      </c>
      <c r="M810" s="505" t="str">
        <f ca="1">IFERROR(IF(COUNTIF($B$509:$B809,"&lt;0")&lt;&gt;1,OFFSET($C808,-COUNTIF($B$509:$B809,"&lt;0")+3,0),""),"")</f>
        <v>a173p000006iLcAAAU</v>
      </c>
      <c r="N810" s="505">
        <f ca="1">IFERROR(IF(COUNTA($D$509:D809)=1,0,OFFSET($F808,-COUNTA($D$509:D809)+3,0)),"")</f>
        <v>20</v>
      </c>
      <c r="O810" s="487"/>
      <c r="P810" s="487">
        <f t="shared" si="130"/>
        <v>0</v>
      </c>
      <c r="Q810" s="487"/>
      <c r="R810" s="487"/>
      <c r="S810" s="487"/>
      <c r="T810" s="493"/>
    </row>
    <row r="811" spans="1:20" x14ac:dyDescent="0.3">
      <c r="A811" s="487" t="b">
        <f t="shared" ca="1" si="120"/>
        <v>1</v>
      </c>
      <c r="B811" s="487">
        <f t="shared" si="127"/>
        <v>120</v>
      </c>
      <c r="C811" s="509" t="str">
        <f t="shared" ca="1" si="121"/>
        <v>a173p000006iLceAAE</v>
      </c>
      <c r="D811" s="487"/>
      <c r="E811" s="487">
        <f t="shared" ca="1" si="128"/>
        <v>6</v>
      </c>
      <c r="F811" s="506">
        <f ca="1">IF(COUNTA(D$510:D811)=1,"",OFFSET(F809,-COUNTA(D$510:D811)+3,0))</f>
        <v>20</v>
      </c>
      <c r="G811" s="493" t="str">
        <f t="shared" ca="1" si="122"/>
        <v/>
      </c>
      <c r="H811" s="487">
        <f t="shared" ca="1" si="129"/>
        <v>47</v>
      </c>
      <c r="I811" s="490">
        <f t="shared" ca="1" si="123"/>
        <v>30</v>
      </c>
      <c r="J811" s="502">
        <f t="shared" ca="1" si="124"/>
        <v>245054.94</v>
      </c>
      <c r="K811" s="502">
        <f t="shared" ca="1" si="125"/>
        <v>73516.482000000004</v>
      </c>
      <c r="L811" s="493" t="str">
        <f t="shared" ca="1" si="126"/>
        <v/>
      </c>
      <c r="M811" s="505" t="str">
        <f ca="1">IFERROR(IF(COUNTIF($B$509:$B810,"&lt;0")&lt;&gt;1,OFFSET($C809,-COUNTIF($B$509:$B810,"&lt;0")+3,0),""),"")</f>
        <v>a173p000006iLceAAE</v>
      </c>
      <c r="N811" s="505">
        <f ca="1">IFERROR(IF(COUNTA($D$509:D810)=1,0,OFFSET($F809,-COUNTA($D$509:D810)+3,0)),"")</f>
        <v>20</v>
      </c>
      <c r="O811" s="487"/>
      <c r="P811" s="487">
        <f t="shared" si="130"/>
        <v>0</v>
      </c>
      <c r="Q811" s="487"/>
      <c r="R811" s="487"/>
      <c r="S811" s="487"/>
      <c r="T811" s="493"/>
    </row>
    <row r="812" spans="1:20" x14ac:dyDescent="0.3">
      <c r="A812" s="487" t="b">
        <f t="shared" ca="1" si="120"/>
        <v>0</v>
      </c>
      <c r="B812" s="487">
        <f t="shared" si="127"/>
        <v>121</v>
      </c>
      <c r="C812" s="509" t="str">
        <f t="shared" ca="1" si="121"/>
        <v>a173p000006iLaFAAU</v>
      </c>
      <c r="D812" s="487"/>
      <c r="E812" s="487">
        <f t="shared" ca="1" si="128"/>
        <v>1</v>
      </c>
      <c r="F812" s="506">
        <f ca="1">IF(COUNTA(D$510:D812)=1,"",OFFSET(F810,-COUNTA(D$510:D812)+3,0))</f>
        <v>21</v>
      </c>
      <c r="G812" s="493" t="str">
        <f t="shared" ca="1" si="122"/>
        <v/>
      </c>
      <c r="H812" s="487">
        <f t="shared" ca="1" si="129"/>
        <v>49</v>
      </c>
      <c r="I812" s="490" t="str">
        <f t="shared" ca="1" si="123"/>
        <v/>
      </c>
      <c r="J812" s="502" t="str">
        <f t="shared" ca="1" si="124"/>
        <v/>
      </c>
      <c r="K812" s="502" t="str">
        <f t="shared" ca="1" si="125"/>
        <v/>
      </c>
      <c r="L812" s="493" t="str">
        <f t="shared" ca="1" si="126"/>
        <v/>
      </c>
      <c r="M812" s="505" t="str">
        <f ca="1">IFERROR(IF(COUNTIF($B$509:$B811,"&lt;0")&lt;&gt;1,OFFSET($C810,-COUNTIF($B$509:$B811,"&lt;0")+3,0),""),"")</f>
        <v>a173p000006iLaFAAU</v>
      </c>
      <c r="N812" s="505">
        <f ca="1">IFERROR(IF(COUNTA($D$509:D811)=1,0,OFFSET($F810,-COUNTA($D$509:D811)+3,0)),"")</f>
        <v>21</v>
      </c>
      <c r="O812" s="487"/>
      <c r="P812" s="487">
        <f t="shared" si="130"/>
        <v>0</v>
      </c>
      <c r="Q812" s="487"/>
      <c r="R812" s="487"/>
      <c r="S812" s="487"/>
      <c r="T812" s="493"/>
    </row>
    <row r="813" spans="1:20" x14ac:dyDescent="0.3">
      <c r="A813" s="487" t="b">
        <f t="shared" ca="1" si="120"/>
        <v>0</v>
      </c>
      <c r="B813" s="487">
        <f t="shared" si="127"/>
        <v>122</v>
      </c>
      <c r="C813" s="509" t="str">
        <f t="shared" ca="1" si="121"/>
        <v>a173p000006iLajAAE</v>
      </c>
      <c r="D813" s="487"/>
      <c r="E813" s="487">
        <f t="shared" ca="1" si="128"/>
        <v>2</v>
      </c>
      <c r="F813" s="506">
        <f ca="1">IF(COUNTA(D$510:D813)=1,"",OFFSET(F811,-COUNTA(D$510:D813)+3,0))</f>
        <v>21</v>
      </c>
      <c r="G813" s="493" t="str">
        <f t="shared" ca="1" si="122"/>
        <v/>
      </c>
      <c r="H813" s="487">
        <f t="shared" ca="1" si="129"/>
        <v>49</v>
      </c>
      <c r="I813" s="490" t="str">
        <f t="shared" ca="1" si="123"/>
        <v/>
      </c>
      <c r="J813" s="502" t="str">
        <f t="shared" ca="1" si="124"/>
        <v/>
      </c>
      <c r="K813" s="502" t="str">
        <f t="shared" ca="1" si="125"/>
        <v/>
      </c>
      <c r="L813" s="493" t="str">
        <f t="shared" ca="1" si="126"/>
        <v/>
      </c>
      <c r="M813" s="505" t="str">
        <f ca="1">IFERROR(IF(COUNTIF($B$509:$B812,"&lt;0")&lt;&gt;1,OFFSET($C811,-COUNTIF($B$509:$B812,"&lt;0")+3,0),""),"")</f>
        <v>a173p000006iLajAAE</v>
      </c>
      <c r="N813" s="505">
        <f ca="1">IFERROR(IF(COUNTA($D$509:D812)=1,0,OFFSET($F811,-COUNTA($D$509:D812)+3,0)),"")</f>
        <v>21</v>
      </c>
      <c r="O813" s="487"/>
      <c r="P813" s="487">
        <f t="shared" si="130"/>
        <v>0</v>
      </c>
      <c r="Q813" s="487"/>
      <c r="R813" s="487"/>
      <c r="S813" s="487"/>
      <c r="T813" s="493"/>
    </row>
    <row r="814" spans="1:20" x14ac:dyDescent="0.3">
      <c r="A814" s="487" t="b">
        <f t="shared" ca="1" si="120"/>
        <v>0</v>
      </c>
      <c r="B814" s="487">
        <f t="shared" si="127"/>
        <v>123</v>
      </c>
      <c r="C814" s="509" t="str">
        <f t="shared" ca="1" si="121"/>
        <v>a173p000006iLbDAAU</v>
      </c>
      <c r="D814" s="487"/>
      <c r="E814" s="487">
        <f t="shared" ca="1" si="128"/>
        <v>3</v>
      </c>
      <c r="F814" s="506">
        <f ca="1">IF(COUNTA(D$510:D814)=1,"",OFFSET(F812,-COUNTA(D$510:D814)+3,0))</f>
        <v>21</v>
      </c>
      <c r="G814" s="493" t="str">
        <f t="shared" ca="1" si="122"/>
        <v/>
      </c>
      <c r="H814" s="487">
        <f t="shared" ca="1" si="129"/>
        <v>49</v>
      </c>
      <c r="I814" s="490" t="str">
        <f t="shared" ca="1" si="123"/>
        <v/>
      </c>
      <c r="J814" s="502" t="str">
        <f t="shared" ca="1" si="124"/>
        <v/>
      </c>
      <c r="K814" s="502" t="str">
        <f t="shared" ca="1" si="125"/>
        <v/>
      </c>
      <c r="L814" s="493" t="str">
        <f t="shared" ca="1" si="126"/>
        <v/>
      </c>
      <c r="M814" s="505" t="str">
        <f ca="1">IFERROR(IF(COUNTIF($B$509:$B813,"&lt;0")&lt;&gt;1,OFFSET($C812,-COUNTIF($B$509:$B813,"&lt;0")+3,0),""),"")</f>
        <v>a173p000006iLbDAAU</v>
      </c>
      <c r="N814" s="505">
        <f ca="1">IFERROR(IF(COUNTA($D$509:D813)=1,0,OFFSET($F812,-COUNTA($D$509:D813)+3,0)),"")</f>
        <v>21</v>
      </c>
      <c r="O814" s="487"/>
      <c r="P814" s="487">
        <f t="shared" si="130"/>
        <v>0</v>
      </c>
      <c r="Q814" s="487"/>
      <c r="R814" s="487"/>
      <c r="S814" s="487"/>
      <c r="T814" s="493"/>
    </row>
    <row r="815" spans="1:20" x14ac:dyDescent="0.3">
      <c r="A815" s="487" t="b">
        <f t="shared" ca="1" si="120"/>
        <v>0</v>
      </c>
      <c r="B815" s="487">
        <f t="shared" si="127"/>
        <v>124</v>
      </c>
      <c r="C815" s="509" t="str">
        <f t="shared" ca="1" si="121"/>
        <v>a173p000006iLbhAAE</v>
      </c>
      <c r="D815" s="487"/>
      <c r="E815" s="487">
        <f t="shared" ca="1" si="128"/>
        <v>4</v>
      </c>
      <c r="F815" s="506">
        <f ca="1">IF(COUNTA(D$510:D815)=1,"",OFFSET(F813,-COUNTA(D$510:D815)+3,0))</f>
        <v>21</v>
      </c>
      <c r="G815" s="493" t="str">
        <f t="shared" ca="1" si="122"/>
        <v/>
      </c>
      <c r="H815" s="487">
        <f t="shared" ca="1" si="129"/>
        <v>49</v>
      </c>
      <c r="I815" s="490" t="str">
        <f t="shared" ca="1" si="123"/>
        <v/>
      </c>
      <c r="J815" s="502" t="str">
        <f t="shared" ca="1" si="124"/>
        <v/>
      </c>
      <c r="K815" s="502" t="str">
        <f t="shared" ca="1" si="125"/>
        <v/>
      </c>
      <c r="L815" s="493" t="str">
        <f t="shared" ca="1" si="126"/>
        <v/>
      </c>
      <c r="M815" s="505" t="str">
        <f ca="1">IFERROR(IF(COUNTIF($B$509:$B814,"&lt;0")&lt;&gt;1,OFFSET($C813,-COUNTIF($B$509:$B814,"&lt;0")+3,0),""),"")</f>
        <v>a173p000006iLbhAAE</v>
      </c>
      <c r="N815" s="505">
        <f ca="1">IFERROR(IF(COUNTA($D$509:D814)=1,0,OFFSET($F813,-COUNTA($D$509:D814)+3,0)),"")</f>
        <v>21</v>
      </c>
      <c r="O815" s="487"/>
      <c r="P815" s="487">
        <f t="shared" si="130"/>
        <v>0</v>
      </c>
      <c r="Q815" s="487"/>
      <c r="R815" s="487"/>
      <c r="S815" s="487"/>
      <c r="T815" s="493"/>
    </row>
    <row r="816" spans="1:20" x14ac:dyDescent="0.3">
      <c r="A816" s="487" t="b">
        <f t="shared" ca="1" si="120"/>
        <v>0</v>
      </c>
      <c r="B816" s="487">
        <f t="shared" si="127"/>
        <v>125</v>
      </c>
      <c r="C816" s="509" t="str">
        <f t="shared" ca="1" si="121"/>
        <v>a173p000006iLcBAAU</v>
      </c>
      <c r="D816" s="487"/>
      <c r="E816" s="487">
        <f t="shared" ca="1" si="128"/>
        <v>5</v>
      </c>
      <c r="F816" s="506">
        <f ca="1">IF(COUNTA(D$510:D816)=1,"",OFFSET(F814,-COUNTA(D$510:D816)+3,0))</f>
        <v>21</v>
      </c>
      <c r="G816" s="493" t="str">
        <f t="shared" ca="1" si="122"/>
        <v/>
      </c>
      <c r="H816" s="487">
        <f t="shared" ca="1" si="129"/>
        <v>49</v>
      </c>
      <c r="I816" s="490" t="str">
        <f t="shared" ca="1" si="123"/>
        <v/>
      </c>
      <c r="J816" s="502" t="str">
        <f t="shared" ca="1" si="124"/>
        <v/>
      </c>
      <c r="K816" s="502" t="str">
        <f t="shared" ca="1" si="125"/>
        <v/>
      </c>
      <c r="L816" s="493" t="str">
        <f t="shared" ca="1" si="126"/>
        <v/>
      </c>
      <c r="M816" s="505" t="str">
        <f ca="1">IFERROR(IF(COUNTIF($B$509:$B815,"&lt;0")&lt;&gt;1,OFFSET($C814,-COUNTIF($B$509:$B815,"&lt;0")+3,0),""),"")</f>
        <v>a173p000006iLcBAAU</v>
      </c>
      <c r="N816" s="505">
        <f ca="1">IFERROR(IF(COUNTA($D$509:D815)=1,0,OFFSET($F814,-COUNTA($D$509:D815)+3,0)),"")</f>
        <v>21</v>
      </c>
      <c r="O816" s="487"/>
      <c r="P816" s="487">
        <f t="shared" si="130"/>
        <v>0</v>
      </c>
      <c r="Q816" s="487"/>
      <c r="R816" s="487"/>
      <c r="S816" s="487"/>
      <c r="T816" s="493"/>
    </row>
    <row r="817" spans="1:20" x14ac:dyDescent="0.3">
      <c r="A817" s="487" t="b">
        <f t="shared" ca="1" si="120"/>
        <v>0</v>
      </c>
      <c r="B817" s="487">
        <f t="shared" si="127"/>
        <v>126</v>
      </c>
      <c r="C817" s="509" t="str">
        <f t="shared" ca="1" si="121"/>
        <v>a173p000006iLcfAAE</v>
      </c>
      <c r="D817" s="487"/>
      <c r="E817" s="487">
        <f t="shared" ca="1" si="128"/>
        <v>6</v>
      </c>
      <c r="F817" s="506">
        <f ca="1">IF(COUNTA(D$510:D817)=1,"",OFFSET(F815,-COUNTA(D$510:D817)+3,0))</f>
        <v>21</v>
      </c>
      <c r="G817" s="493" t="str">
        <f t="shared" ca="1" si="122"/>
        <v/>
      </c>
      <c r="H817" s="487">
        <f t="shared" ca="1" si="129"/>
        <v>49</v>
      </c>
      <c r="I817" s="490" t="str">
        <f t="shared" ca="1" si="123"/>
        <v/>
      </c>
      <c r="J817" s="502" t="str">
        <f t="shared" ca="1" si="124"/>
        <v/>
      </c>
      <c r="K817" s="502" t="str">
        <f t="shared" ca="1" si="125"/>
        <v/>
      </c>
      <c r="L817" s="493" t="str">
        <f t="shared" ca="1" si="126"/>
        <v/>
      </c>
      <c r="M817" s="505" t="str">
        <f ca="1">IFERROR(IF(COUNTIF($B$509:$B816,"&lt;0")&lt;&gt;1,OFFSET($C815,-COUNTIF($B$509:$B816,"&lt;0")+3,0),""),"")</f>
        <v>a173p000006iLcfAAE</v>
      </c>
      <c r="N817" s="505">
        <f ca="1">IFERROR(IF(COUNTA($D$509:D816)=1,0,OFFSET($F815,-COUNTA($D$509:D816)+3,0)),"")</f>
        <v>21</v>
      </c>
      <c r="O817" s="487"/>
      <c r="P817" s="487">
        <f t="shared" si="130"/>
        <v>0</v>
      </c>
      <c r="Q817" s="487"/>
      <c r="R817" s="487"/>
      <c r="S817" s="487"/>
      <c r="T817" s="493"/>
    </row>
    <row r="818" spans="1:20" x14ac:dyDescent="0.3">
      <c r="A818" s="487" t="b">
        <f t="shared" ca="1" si="120"/>
        <v>0</v>
      </c>
      <c r="B818" s="487">
        <f t="shared" si="127"/>
        <v>127</v>
      </c>
      <c r="C818" s="509" t="str">
        <f t="shared" ca="1" si="121"/>
        <v>a173p000006iLaGAAU</v>
      </c>
      <c r="D818" s="487"/>
      <c r="E818" s="487">
        <f t="shared" ca="1" si="128"/>
        <v>1</v>
      </c>
      <c r="F818" s="506">
        <f ca="1">IF(COUNTA(D$510:D818)=1,"",OFFSET(F816,-COUNTA(D$510:D818)+3,0))</f>
        <v>22</v>
      </c>
      <c r="G818" s="493" t="str">
        <f t="shared" ca="1" si="122"/>
        <v/>
      </c>
      <c r="H818" s="487">
        <f t="shared" ca="1" si="129"/>
        <v>51</v>
      </c>
      <c r="I818" s="490" t="str">
        <f t="shared" ca="1" si="123"/>
        <v/>
      </c>
      <c r="J818" s="502" t="str">
        <f t="shared" ca="1" si="124"/>
        <v/>
      </c>
      <c r="K818" s="502" t="str">
        <f t="shared" ca="1" si="125"/>
        <v/>
      </c>
      <c r="L818" s="493" t="str">
        <f t="shared" ca="1" si="126"/>
        <v/>
      </c>
      <c r="M818" s="505" t="str">
        <f ca="1">IFERROR(IF(COUNTIF($B$509:$B817,"&lt;0")&lt;&gt;1,OFFSET($C816,-COUNTIF($B$509:$B817,"&lt;0")+3,0),""),"")</f>
        <v>a173p000006iLaGAAU</v>
      </c>
      <c r="N818" s="505">
        <f ca="1">IFERROR(IF(COUNTA($D$509:D817)=1,0,OFFSET($F816,-COUNTA($D$509:D817)+3,0)),"")</f>
        <v>22</v>
      </c>
      <c r="O818" s="487"/>
      <c r="P818" s="487">
        <f t="shared" si="130"/>
        <v>0</v>
      </c>
      <c r="Q818" s="487"/>
      <c r="R818" s="487"/>
      <c r="S818" s="487"/>
      <c r="T818" s="493"/>
    </row>
    <row r="819" spans="1:20" x14ac:dyDescent="0.3">
      <c r="A819" s="487" t="b">
        <f t="shared" ca="1" si="120"/>
        <v>0</v>
      </c>
      <c r="B819" s="487">
        <f t="shared" si="127"/>
        <v>128</v>
      </c>
      <c r="C819" s="509" t="str">
        <f t="shared" ca="1" si="121"/>
        <v>a173p000006iLakAAE</v>
      </c>
      <c r="D819" s="487"/>
      <c r="E819" s="487">
        <f t="shared" ca="1" si="128"/>
        <v>2</v>
      </c>
      <c r="F819" s="506">
        <f ca="1">IF(COUNTA(D$510:D819)=1,"",OFFSET(F817,-COUNTA(D$510:D819)+3,0))</f>
        <v>22</v>
      </c>
      <c r="G819" s="493" t="str">
        <f t="shared" ca="1" si="122"/>
        <v/>
      </c>
      <c r="H819" s="487">
        <f t="shared" ca="1" si="129"/>
        <v>51</v>
      </c>
      <c r="I819" s="490" t="str">
        <f t="shared" ca="1" si="123"/>
        <v/>
      </c>
      <c r="J819" s="502" t="str">
        <f t="shared" ca="1" si="124"/>
        <v/>
      </c>
      <c r="K819" s="502" t="str">
        <f t="shared" ca="1" si="125"/>
        <v/>
      </c>
      <c r="L819" s="493" t="str">
        <f t="shared" ca="1" si="126"/>
        <v/>
      </c>
      <c r="M819" s="505" t="str">
        <f ca="1">IFERROR(IF(COUNTIF($B$509:$B818,"&lt;0")&lt;&gt;1,OFFSET($C817,-COUNTIF($B$509:$B818,"&lt;0")+3,0),""),"")</f>
        <v>a173p000006iLakAAE</v>
      </c>
      <c r="N819" s="505">
        <f ca="1">IFERROR(IF(COUNTA($D$509:D818)=1,0,OFFSET($F817,-COUNTA($D$509:D818)+3,0)),"")</f>
        <v>22</v>
      </c>
      <c r="O819" s="487"/>
      <c r="P819" s="487">
        <f t="shared" si="130"/>
        <v>0</v>
      </c>
      <c r="Q819" s="487"/>
      <c r="R819" s="487"/>
      <c r="S819" s="487"/>
      <c r="T819" s="493"/>
    </row>
    <row r="820" spans="1:20" x14ac:dyDescent="0.3">
      <c r="A820" s="487" t="b">
        <f t="shared" ref="A820:A871" ca="1" si="131">IF(OR(I820&lt;&gt;"",J820&lt;&gt;"",K820&lt;&gt;""),TRUE,FALSE)</f>
        <v>0</v>
      </c>
      <c r="B820" s="487">
        <f t="shared" si="127"/>
        <v>129</v>
      </c>
      <c r="C820" s="509" t="str">
        <f t="shared" ref="C820:C871" ca="1" si="132">M820</f>
        <v>a173p000006iLbEAAU</v>
      </c>
      <c r="D820" s="487"/>
      <c r="E820" s="487">
        <f t="shared" ca="1" si="128"/>
        <v>3</v>
      </c>
      <c r="F820" s="506">
        <f ca="1">IF(COUNTA(D$510:D820)=1,"",OFFSET(F818,-COUNTA(D$510:D820)+3,0))</f>
        <v>22</v>
      </c>
      <c r="G820" s="493" t="str">
        <f t="shared" ref="G820:G871" ca="1" si="133">IFERROR(IF(INDIRECT("'Coverage Indicators - Section I'!G"&amp;$I312)=0,"",INDIRECT("'Coverage Indicators - Section I'!G"&amp;$I312)),"")</f>
        <v/>
      </c>
      <c r="H820" s="487">
        <f t="shared" ca="1" si="129"/>
        <v>51</v>
      </c>
      <c r="I820" s="490" t="str">
        <f t="shared" ref="I820:I871" ca="1" si="134">IFERROR(CHOOSE(E820,IFERROR(IF(INDIRECT("'Coverage Indicators - Section D'!P"&amp;H820)=0,"",INDIRECT("'Coverage Indicators - Section D'!P"&amp;H820)*100),""),IFERROR(IF(INDIRECT("'Coverage Indicators - Section D'!S"&amp;H820)=0,"",INDIRECT("'Coverage Indicators - Section D'!S"&amp;H820)*100),""),IFERROR(IF(INDIRECT("'Coverage Indicators - Section D'!V"&amp;H820)=0,"",INDIRECT("'Coverage Indicators - Section D'!V"&amp;H820)*100),""),IFERROR(IF(INDIRECT("'Coverage Indicators - Section D'!Y"&amp;H820)=0,"",INDIRECT("'Coverage Indicators - Section D'!Y"&amp;H820)*100),""),IFERROR(IF(INDIRECT("'Coverage Indicators - Section D'!AB"&amp;H820)=0,"",INDIRECT("'Coverage Indicators - Section D'!AB"&amp;H820)*100),""),IFERROR(IF(INDIRECT("'Coverage Indicators - Section D'!AE"&amp;H820)=0,"",INDIRECT("'Coverage Indicators - Section D'!AE"&amp;H820)*100),""),IFERROR(IF(INDIRECT("'Coverage Indicators - SectionD'!AH"&amp;H820)=0,"",INDIRECT("'CoverageIndicators-SectionD'!AH"&amp;H820)*100),""),),"")</f>
        <v/>
      </c>
      <c r="J820" s="502" t="str">
        <f t="shared" ref="J820:J871" ca="1" si="135">IFERROR(CHOOSE(E820,IFERROR(IF(INDIRECT("'Coverage Indicators - Section D'!O"&amp;H820+1)=0,"",INDIRECT("'Coverage Indicators - Section D'!O"&amp;H820+1)),""),IFERROR(IF(INDIRECT("'Coverage Indicators - Section D'!R"&amp;H820+1)=0,"",INDIRECT("'Coverage Indicators - Section D'!R"&amp;H820+1)),""),IFERROR(IF(INDIRECT("'Coverage Indicators - Section D'!U"&amp;H820+1)=0,"",INDIRECT("'Coverage Indicators - Section D'!U"&amp;H820+1)),""),IFERROR(IF(INDIRECT("'Coverage Indicators - Section D'!X"&amp;H820+1)=0,"",INDIRECT("'Coverage Indicators - Section D'!X"&amp;H820+1)),""),IFERROR(IF(INDIRECT("'Coverage Indicators - Section D'!AA"&amp;H820+1)=0,"",INDIRECT("'Coverage Indicators - Section D'!AA"&amp;H820+1)),""),IFERROR(IF(INDIRECT("'Coverage Indicators - Section D'!AD"&amp;H820+1)=0,"",INDIRECT("'Coverage Indicators - Section D'!AD"&amp;H820+1)),""),IFERROR(IF(INDIRECT("'Coverage Indicators - Section D'!AG"&amp;H820+1)=0,"",INDIRECT("'Coverage Indicators - Section D'!AG"&amp;H820+1)),""),IFERROR(IF(INDIRECT("'Coverage Indicators - Section D'!AJ"&amp;H820+1)=0,"",INDIRECT("'Coverage Indicators - Section D'!AJ"&amp;H820+1)),""),,),"")</f>
        <v/>
      </c>
      <c r="K820" s="502" t="str">
        <f t="shared" ref="K820:K871" ca="1" si="136">IFERROR(CHOOSE(E820,IFERROR(IF(INDIRECT("'Coverage Indicators - Section D'!O"&amp;H820)=0,"",INDIRECT("'Coverage Indicators - Section D'!O"&amp;H820)),""),IFERROR(IF(INDIRECT("'Coverage Indicators - Section D'!R"&amp;H820)=0,"",INDIRECT("'Coverage Indicators - Section D'!R"&amp;H820)),""),IFERROR(IF(INDIRECT("'Coverage Indicators - Section D'!U"&amp;H820)=0,"",INDIRECT("'Coverage Indicators - Section D'!U"&amp;H820)),""),IFERROR(IF(INDIRECT("'Coverage Indicators - Section D'!X"&amp;H820)=0,"",INDIRECT("'Coverage Indicators - Section D'!X"&amp;H820)),""),IFERROR(IF(INDIRECT("'Coverage Indicators - Section D'!AA"&amp;H820)=0,"",INDIRECT("'Coverage Indicators - Section D'!AA"&amp;H820)),""),IFERROR(IF(INDIRECT("'Coverage Indicators - Section D'!AD"&amp;H820)=0,"",INDIRECT("'Coverage Indicators - Section D'!AD"&amp;H820)),""),IFERROR(IF(INDIRECT("'Coverage Indicators - Section D'!AG"&amp;H820)=0,"",INDIRECT("'Coverage Indicators - Section D'!AG"&amp;H820)),""),IFERROR(IF(INDIRECT("'Coverage Indicators - Section D'!AJ"&amp;H820)=0,"",INDIRECT("'Coverage Indicators - Section D'!AJ"&amp;H820)),""),,),"")</f>
        <v/>
      </c>
      <c r="L820" s="493" t="str">
        <f t="shared" ref="L820:L871" ca="1" si="137">IF(IFERROR(CHOOSE(E820,IFERROR(IF(INDIRECT("'Coverage Indicators - Section D'!Q"&amp;H820)=0,"",INDIRECT("'Coverage Indicators - Section D'!Q"&amp;H820+1)),""),IFERROR(IF(INDIRECT("'Coverage Indicators - Section D'!W"&amp;H820)=0,"",INDIRECT("'Coverage Indicators - Section D'!W"&amp;H820+1)),""),IFERROR(IF(INDIRECT("'Coverage Indicators - Section D'!Z"&amp;H820)=0,"",INDIRECT("'Coverage Indicators - Section D'!Z"&amp;H820+1)),""),IFERROR(IF(INDIRECT("'Coverage Indicators - Section D'!AC"&amp;H820)=0,"",INDIRECT("'Coverage Indicators - Section D'!AC"&amp;H820+1)),""),IFERROR(IF(INDIRECT("'Coverage Indicators - Section D'!AF"&amp;H820)=0,"",INDIRECT("'Coverage Indicators - Section D'!AF"&amp;H820+1)),""),IFERROR(IF(INDIRECT("'Coverage Indicators - Section D'!AI"&amp;H820)=0,"",INDIRECT("'Coverage Indicators - Section D'!AI"&amp;H820+1)),""),IFERROR(IF(INDIRECT("'Coverage Indicators - Section D'!AL"&amp;H820)=0,"",INDIRECT("'Coverage Indicators - Section D'!AL"&amp;H820+1)),"")),"")=0,"",CHOOSE(E820,IFERROR(IF(INDIRECT("'Coverage Indicators - Section D'!Q"&amp;H820)=0,"",INDIRECT("'Coverage Indicators - Section D'!Q"&amp;H820+1)),""),IFERROR(IF(INDIRECT("'Coverage Indicators - Section D'!W"&amp;H820)=0,"",INDIRECT("'Coverage Indicators - Section D'!W"&amp;H820+1)),""),IFERROR(IF(INDIRECT("'Coverage Indicators - Section D'!Z"&amp;H820)=0,"",INDIRECT("'Coverage Indicators - Section D'!Z"&amp;H820+1)),""),IFERROR(IF(INDIRECT("'Coverage Indicators - Section D'!AC"&amp;H820)=0,"",INDIRECT("'Coverage Indicators - Section D'!AC"&amp;H820+1)),""),IFERROR(IF(INDIRECT("'Coverage Indicators - Section D'!AF"&amp;H820)=0,"",INDIRECT("'Coverage Indicators - Section D'!AF"&amp;H820+1)),""),IFERROR(IF(INDIRECT("'Coverage Indicators - Section D'!AI"&amp;H820)=0,"",INDIRECT("'Coverage Indicators - Section D'!AI"&amp;H820+1)),""),IFERROR(IF(INDIRECT("'Coverage Indicators - Section D'!AL"&amp;H820)=0,"",INDIRECT("'Coverage Indicators - Section D'!AL"&amp;H820+1)),"")))</f>
        <v/>
      </c>
      <c r="M820" s="505" t="str">
        <f ca="1">IFERROR(IF(COUNTIF($B$509:$B819,"&lt;0")&lt;&gt;1,OFFSET($C818,-COUNTIF($B$509:$B819,"&lt;0")+3,0),""),"")</f>
        <v>a173p000006iLbEAAU</v>
      </c>
      <c r="N820" s="505">
        <f ca="1">IFERROR(IF(COUNTA($D$509:D819)=1,0,OFFSET($F818,-COUNTA($D$509:D819)+3,0)),"")</f>
        <v>22</v>
      </c>
      <c r="O820" s="487"/>
      <c r="P820" s="487">
        <f t="shared" si="130"/>
        <v>0</v>
      </c>
      <c r="Q820" s="487"/>
      <c r="R820" s="487"/>
      <c r="S820" s="487"/>
      <c r="T820" s="493"/>
    </row>
    <row r="821" spans="1:20" x14ac:dyDescent="0.3">
      <c r="A821" s="487" t="b">
        <f t="shared" ca="1" si="131"/>
        <v>0</v>
      </c>
      <c r="B821" s="487">
        <f t="shared" si="127"/>
        <v>130</v>
      </c>
      <c r="C821" s="509" t="str">
        <f t="shared" ca="1" si="132"/>
        <v>a173p000006iLbiAAE</v>
      </c>
      <c r="D821" s="487"/>
      <c r="E821" s="487">
        <f t="shared" ca="1" si="128"/>
        <v>4</v>
      </c>
      <c r="F821" s="506">
        <f ca="1">IF(COUNTA(D$510:D821)=1,"",OFFSET(F819,-COUNTA(D$510:D821)+3,0))</f>
        <v>22</v>
      </c>
      <c r="G821" s="493" t="str">
        <f t="shared" ca="1" si="133"/>
        <v/>
      </c>
      <c r="H821" s="487">
        <f t="shared" ca="1" si="129"/>
        <v>51</v>
      </c>
      <c r="I821" s="490" t="str">
        <f t="shared" ca="1" si="134"/>
        <v/>
      </c>
      <c r="J821" s="502" t="str">
        <f t="shared" ca="1" si="135"/>
        <v/>
      </c>
      <c r="K821" s="502" t="str">
        <f t="shared" ca="1" si="136"/>
        <v/>
      </c>
      <c r="L821" s="493" t="str">
        <f t="shared" ca="1" si="137"/>
        <v/>
      </c>
      <c r="M821" s="505" t="str">
        <f ca="1">IFERROR(IF(COUNTIF($B$509:$B820,"&lt;0")&lt;&gt;1,OFFSET($C819,-COUNTIF($B$509:$B820,"&lt;0")+3,0),""),"")</f>
        <v>a173p000006iLbiAAE</v>
      </c>
      <c r="N821" s="505">
        <f ca="1">IFERROR(IF(COUNTA($D$509:D820)=1,0,OFFSET($F819,-COUNTA($D$509:D820)+3,0)),"")</f>
        <v>22</v>
      </c>
      <c r="O821" s="487"/>
      <c r="P821" s="487">
        <f t="shared" si="130"/>
        <v>0</v>
      </c>
      <c r="Q821" s="487"/>
      <c r="R821" s="487"/>
      <c r="S821" s="487"/>
      <c r="T821" s="493"/>
    </row>
    <row r="822" spans="1:20" x14ac:dyDescent="0.3">
      <c r="A822" s="487" t="b">
        <f t="shared" ca="1" si="131"/>
        <v>0</v>
      </c>
      <c r="B822" s="487">
        <f t="shared" si="127"/>
        <v>131</v>
      </c>
      <c r="C822" s="509" t="str">
        <f t="shared" ca="1" si="132"/>
        <v>a173p000006iLcCAAU</v>
      </c>
      <c r="D822" s="487"/>
      <c r="E822" s="487">
        <f t="shared" ca="1" si="128"/>
        <v>5</v>
      </c>
      <c r="F822" s="506">
        <f ca="1">IF(COUNTA(D$510:D822)=1,"",OFFSET(F820,-COUNTA(D$510:D822)+3,0))</f>
        <v>22</v>
      </c>
      <c r="G822" s="493" t="str">
        <f t="shared" ca="1" si="133"/>
        <v/>
      </c>
      <c r="H822" s="487">
        <f t="shared" ca="1" si="129"/>
        <v>51</v>
      </c>
      <c r="I822" s="490" t="str">
        <f t="shared" ca="1" si="134"/>
        <v/>
      </c>
      <c r="J822" s="502" t="str">
        <f t="shared" ca="1" si="135"/>
        <v/>
      </c>
      <c r="K822" s="502" t="str">
        <f t="shared" ca="1" si="136"/>
        <v/>
      </c>
      <c r="L822" s="493" t="str">
        <f t="shared" ca="1" si="137"/>
        <v/>
      </c>
      <c r="M822" s="505" t="str">
        <f ca="1">IFERROR(IF(COUNTIF($B$509:$B821,"&lt;0")&lt;&gt;1,OFFSET($C820,-COUNTIF($B$509:$B821,"&lt;0")+3,0),""),"")</f>
        <v>a173p000006iLcCAAU</v>
      </c>
      <c r="N822" s="505">
        <f ca="1">IFERROR(IF(COUNTA($D$509:D821)=1,0,OFFSET($F820,-COUNTA($D$509:D821)+3,0)),"")</f>
        <v>22</v>
      </c>
      <c r="O822" s="487"/>
      <c r="P822" s="487">
        <f t="shared" si="130"/>
        <v>0</v>
      </c>
      <c r="Q822" s="487"/>
      <c r="R822" s="487"/>
      <c r="S822" s="487"/>
      <c r="T822" s="493"/>
    </row>
    <row r="823" spans="1:20" x14ac:dyDescent="0.3">
      <c r="A823" s="487" t="b">
        <f t="shared" ca="1" si="131"/>
        <v>0</v>
      </c>
      <c r="B823" s="487">
        <f t="shared" si="127"/>
        <v>132</v>
      </c>
      <c r="C823" s="509" t="str">
        <f t="shared" ca="1" si="132"/>
        <v>a173p000006iLcgAAE</v>
      </c>
      <c r="D823" s="487"/>
      <c r="E823" s="487">
        <f t="shared" ca="1" si="128"/>
        <v>6</v>
      </c>
      <c r="F823" s="506">
        <f ca="1">IF(COUNTA(D$510:D823)=1,"",OFFSET(F821,-COUNTA(D$510:D823)+3,0))</f>
        <v>22</v>
      </c>
      <c r="G823" s="493" t="str">
        <f t="shared" ca="1" si="133"/>
        <v/>
      </c>
      <c r="H823" s="487">
        <f t="shared" ca="1" si="129"/>
        <v>51</v>
      </c>
      <c r="I823" s="490" t="str">
        <f t="shared" ca="1" si="134"/>
        <v/>
      </c>
      <c r="J823" s="502" t="str">
        <f t="shared" ca="1" si="135"/>
        <v/>
      </c>
      <c r="K823" s="502" t="str">
        <f t="shared" ca="1" si="136"/>
        <v/>
      </c>
      <c r="L823" s="493" t="str">
        <f t="shared" ca="1" si="137"/>
        <v/>
      </c>
      <c r="M823" s="505" t="str">
        <f ca="1">IFERROR(IF(COUNTIF($B$509:$B822,"&lt;0")&lt;&gt;1,OFFSET($C821,-COUNTIF($B$509:$B822,"&lt;0")+3,0),""),"")</f>
        <v>a173p000006iLcgAAE</v>
      </c>
      <c r="N823" s="505">
        <f ca="1">IFERROR(IF(COUNTA($D$509:D822)=1,0,OFFSET($F821,-COUNTA($D$509:D822)+3,0)),"")</f>
        <v>22</v>
      </c>
      <c r="O823" s="487"/>
      <c r="P823" s="487">
        <f t="shared" si="130"/>
        <v>0</v>
      </c>
      <c r="Q823" s="487"/>
      <c r="R823" s="487"/>
      <c r="S823" s="487"/>
      <c r="T823" s="493"/>
    </row>
    <row r="824" spans="1:20" x14ac:dyDescent="0.3">
      <c r="A824" s="487" t="b">
        <f t="shared" ca="1" si="131"/>
        <v>0</v>
      </c>
      <c r="B824" s="487">
        <f t="shared" si="127"/>
        <v>133</v>
      </c>
      <c r="C824" s="509" t="str">
        <f t="shared" ca="1" si="132"/>
        <v>a173p000006iLaHAAU</v>
      </c>
      <c r="D824" s="487"/>
      <c r="E824" s="487">
        <f t="shared" ca="1" si="128"/>
        <v>1</v>
      </c>
      <c r="F824" s="506">
        <f ca="1">IF(COUNTA(D$510:D824)=1,"",OFFSET(F822,-COUNTA(D$510:D824)+3,0))</f>
        <v>23</v>
      </c>
      <c r="G824" s="493" t="str">
        <f t="shared" ca="1" si="133"/>
        <v/>
      </c>
      <c r="H824" s="487">
        <f t="shared" ca="1" si="129"/>
        <v>53</v>
      </c>
      <c r="I824" s="490" t="str">
        <f t="shared" ca="1" si="134"/>
        <v/>
      </c>
      <c r="J824" s="502" t="str">
        <f t="shared" ca="1" si="135"/>
        <v/>
      </c>
      <c r="K824" s="502" t="str">
        <f t="shared" ca="1" si="136"/>
        <v/>
      </c>
      <c r="L824" s="493" t="str">
        <f t="shared" ca="1" si="137"/>
        <v/>
      </c>
      <c r="M824" s="505" t="str">
        <f ca="1">IFERROR(IF(COUNTIF($B$509:$B823,"&lt;0")&lt;&gt;1,OFFSET($C822,-COUNTIF($B$509:$B823,"&lt;0")+3,0),""),"")</f>
        <v>a173p000006iLaHAAU</v>
      </c>
      <c r="N824" s="505">
        <f ca="1">IFERROR(IF(COUNTA($D$509:D823)=1,0,OFFSET($F822,-COUNTA($D$509:D823)+3,0)),"")</f>
        <v>23</v>
      </c>
      <c r="O824" s="487"/>
      <c r="P824" s="487">
        <f t="shared" si="130"/>
        <v>0</v>
      </c>
      <c r="Q824" s="487"/>
      <c r="R824" s="487"/>
      <c r="S824" s="487"/>
      <c r="T824" s="493"/>
    </row>
    <row r="825" spans="1:20" x14ac:dyDescent="0.3">
      <c r="A825" s="487" t="b">
        <f t="shared" ca="1" si="131"/>
        <v>0</v>
      </c>
      <c r="B825" s="487">
        <f t="shared" si="127"/>
        <v>134</v>
      </c>
      <c r="C825" s="509" t="str">
        <f t="shared" ca="1" si="132"/>
        <v>a173p000006iLalAAE</v>
      </c>
      <c r="D825" s="487"/>
      <c r="E825" s="487">
        <f t="shared" ca="1" si="128"/>
        <v>2</v>
      </c>
      <c r="F825" s="506">
        <f ca="1">IF(COUNTA(D$510:D825)=1,"",OFFSET(F823,-COUNTA(D$510:D825)+3,0))</f>
        <v>23</v>
      </c>
      <c r="G825" s="493" t="str">
        <f t="shared" ca="1" si="133"/>
        <v/>
      </c>
      <c r="H825" s="487">
        <f t="shared" ca="1" si="129"/>
        <v>53</v>
      </c>
      <c r="I825" s="490" t="str">
        <f t="shared" ca="1" si="134"/>
        <v/>
      </c>
      <c r="J825" s="502" t="str">
        <f t="shared" ca="1" si="135"/>
        <v/>
      </c>
      <c r="K825" s="502" t="str">
        <f t="shared" ca="1" si="136"/>
        <v/>
      </c>
      <c r="L825" s="493" t="str">
        <f t="shared" ca="1" si="137"/>
        <v/>
      </c>
      <c r="M825" s="505" t="str">
        <f ca="1">IFERROR(IF(COUNTIF($B$509:$B824,"&lt;0")&lt;&gt;1,OFFSET($C823,-COUNTIF($B$509:$B824,"&lt;0")+3,0),""),"")</f>
        <v>a173p000006iLalAAE</v>
      </c>
      <c r="N825" s="505">
        <f ca="1">IFERROR(IF(COUNTA($D$509:D824)=1,0,OFFSET($F823,-COUNTA($D$509:D824)+3,0)),"")</f>
        <v>23</v>
      </c>
      <c r="O825" s="487"/>
      <c r="P825" s="487">
        <f t="shared" si="130"/>
        <v>0</v>
      </c>
      <c r="Q825" s="487"/>
      <c r="R825" s="487"/>
      <c r="S825" s="487"/>
      <c r="T825" s="493"/>
    </row>
    <row r="826" spans="1:20" x14ac:dyDescent="0.3">
      <c r="A826" s="487" t="b">
        <f t="shared" ca="1" si="131"/>
        <v>0</v>
      </c>
      <c r="B826" s="487">
        <f t="shared" si="127"/>
        <v>135</v>
      </c>
      <c r="C826" s="509" t="str">
        <f t="shared" ca="1" si="132"/>
        <v>a173p000006iLbFAAU</v>
      </c>
      <c r="D826" s="487"/>
      <c r="E826" s="487">
        <f t="shared" ca="1" si="128"/>
        <v>3</v>
      </c>
      <c r="F826" s="506">
        <f ca="1">IF(COUNTA(D$510:D826)=1,"",OFFSET(F824,-COUNTA(D$510:D826)+3,0))</f>
        <v>23</v>
      </c>
      <c r="G826" s="493" t="str">
        <f t="shared" ca="1" si="133"/>
        <v/>
      </c>
      <c r="H826" s="487">
        <f t="shared" ca="1" si="129"/>
        <v>53</v>
      </c>
      <c r="I826" s="490" t="str">
        <f t="shared" ca="1" si="134"/>
        <v/>
      </c>
      <c r="J826" s="502" t="str">
        <f t="shared" ca="1" si="135"/>
        <v/>
      </c>
      <c r="K826" s="502" t="str">
        <f t="shared" ca="1" si="136"/>
        <v/>
      </c>
      <c r="L826" s="493" t="str">
        <f t="shared" ca="1" si="137"/>
        <v/>
      </c>
      <c r="M826" s="505" t="str">
        <f ca="1">IFERROR(IF(COUNTIF($B$509:$B825,"&lt;0")&lt;&gt;1,OFFSET($C824,-COUNTIF($B$509:$B825,"&lt;0")+3,0),""),"")</f>
        <v>a173p000006iLbFAAU</v>
      </c>
      <c r="N826" s="505">
        <f ca="1">IFERROR(IF(COUNTA($D$509:D825)=1,0,OFFSET($F824,-COUNTA($D$509:D825)+3,0)),"")</f>
        <v>23</v>
      </c>
      <c r="O826" s="487"/>
      <c r="P826" s="487">
        <f t="shared" si="130"/>
        <v>0</v>
      </c>
      <c r="Q826" s="487"/>
      <c r="R826" s="487"/>
      <c r="S826" s="487"/>
      <c r="T826" s="493"/>
    </row>
    <row r="827" spans="1:20" x14ac:dyDescent="0.3">
      <c r="A827" s="487" t="b">
        <f t="shared" ca="1" si="131"/>
        <v>0</v>
      </c>
      <c r="B827" s="487">
        <f t="shared" si="127"/>
        <v>136</v>
      </c>
      <c r="C827" s="509" t="str">
        <f t="shared" ca="1" si="132"/>
        <v>a173p000006iLbjAAE</v>
      </c>
      <c r="D827" s="487"/>
      <c r="E827" s="487">
        <f t="shared" ca="1" si="128"/>
        <v>4</v>
      </c>
      <c r="F827" s="506">
        <f ca="1">IF(COUNTA(D$510:D827)=1,"",OFFSET(F825,-COUNTA(D$510:D827)+3,0))</f>
        <v>23</v>
      </c>
      <c r="G827" s="493" t="str">
        <f t="shared" ca="1" si="133"/>
        <v/>
      </c>
      <c r="H827" s="487">
        <f t="shared" ca="1" si="129"/>
        <v>53</v>
      </c>
      <c r="I827" s="490" t="str">
        <f t="shared" ca="1" si="134"/>
        <v/>
      </c>
      <c r="J827" s="502" t="str">
        <f t="shared" ca="1" si="135"/>
        <v/>
      </c>
      <c r="K827" s="502" t="str">
        <f t="shared" ca="1" si="136"/>
        <v/>
      </c>
      <c r="L827" s="493" t="str">
        <f t="shared" ca="1" si="137"/>
        <v/>
      </c>
      <c r="M827" s="505" t="str">
        <f ca="1">IFERROR(IF(COUNTIF($B$509:$B826,"&lt;0")&lt;&gt;1,OFFSET($C825,-COUNTIF($B$509:$B826,"&lt;0")+3,0),""),"")</f>
        <v>a173p000006iLbjAAE</v>
      </c>
      <c r="N827" s="505">
        <f ca="1">IFERROR(IF(COUNTA($D$509:D826)=1,0,OFFSET($F825,-COUNTA($D$509:D826)+3,0)),"")</f>
        <v>23</v>
      </c>
      <c r="O827" s="487"/>
      <c r="P827" s="487">
        <f t="shared" si="130"/>
        <v>0</v>
      </c>
      <c r="Q827" s="487"/>
      <c r="R827" s="487"/>
      <c r="S827" s="487"/>
      <c r="T827" s="493"/>
    </row>
    <row r="828" spans="1:20" x14ac:dyDescent="0.3">
      <c r="A828" s="487" t="b">
        <f t="shared" ca="1" si="131"/>
        <v>0</v>
      </c>
      <c r="B828" s="487">
        <f t="shared" si="127"/>
        <v>137</v>
      </c>
      <c r="C828" s="509" t="str">
        <f t="shared" ca="1" si="132"/>
        <v>a173p000006iLcDAAU</v>
      </c>
      <c r="D828" s="487"/>
      <c r="E828" s="487">
        <f t="shared" ca="1" si="128"/>
        <v>5</v>
      </c>
      <c r="F828" s="506">
        <f ca="1">IF(COUNTA(D$510:D828)=1,"",OFFSET(F826,-COUNTA(D$510:D828)+3,0))</f>
        <v>23</v>
      </c>
      <c r="G828" s="493" t="str">
        <f t="shared" ca="1" si="133"/>
        <v/>
      </c>
      <c r="H828" s="487">
        <f t="shared" ca="1" si="129"/>
        <v>53</v>
      </c>
      <c r="I828" s="490" t="str">
        <f t="shared" ca="1" si="134"/>
        <v/>
      </c>
      <c r="J828" s="502" t="str">
        <f t="shared" ca="1" si="135"/>
        <v/>
      </c>
      <c r="K828" s="502" t="str">
        <f t="shared" ca="1" si="136"/>
        <v/>
      </c>
      <c r="L828" s="493" t="str">
        <f t="shared" ca="1" si="137"/>
        <v/>
      </c>
      <c r="M828" s="505" t="str">
        <f ca="1">IFERROR(IF(COUNTIF($B$509:$B827,"&lt;0")&lt;&gt;1,OFFSET($C826,-COUNTIF($B$509:$B827,"&lt;0")+3,0),""),"")</f>
        <v>a173p000006iLcDAAU</v>
      </c>
      <c r="N828" s="505">
        <f ca="1">IFERROR(IF(COUNTA($D$509:D827)=1,0,OFFSET($F826,-COUNTA($D$509:D827)+3,0)),"")</f>
        <v>23</v>
      </c>
      <c r="O828" s="487"/>
      <c r="P828" s="487">
        <f t="shared" si="130"/>
        <v>0</v>
      </c>
      <c r="Q828" s="487"/>
      <c r="R828" s="487"/>
      <c r="S828" s="487"/>
      <c r="T828" s="493"/>
    </row>
    <row r="829" spans="1:20" x14ac:dyDescent="0.3">
      <c r="A829" s="487" t="b">
        <f t="shared" ca="1" si="131"/>
        <v>0</v>
      </c>
      <c r="B829" s="487">
        <f t="shared" si="127"/>
        <v>138</v>
      </c>
      <c r="C829" s="509" t="str">
        <f t="shared" ca="1" si="132"/>
        <v>a173p000006iLchAAE</v>
      </c>
      <c r="D829" s="487"/>
      <c r="E829" s="487">
        <f t="shared" ca="1" si="128"/>
        <v>6</v>
      </c>
      <c r="F829" s="506">
        <f ca="1">IF(COUNTA(D$510:D829)=1,"",OFFSET(F827,-COUNTA(D$510:D829)+3,0))</f>
        <v>23</v>
      </c>
      <c r="G829" s="493" t="str">
        <f t="shared" ca="1" si="133"/>
        <v/>
      </c>
      <c r="H829" s="487">
        <f t="shared" ca="1" si="129"/>
        <v>53</v>
      </c>
      <c r="I829" s="490" t="str">
        <f t="shared" ca="1" si="134"/>
        <v/>
      </c>
      <c r="J829" s="502" t="str">
        <f t="shared" ca="1" si="135"/>
        <v/>
      </c>
      <c r="K829" s="502" t="str">
        <f t="shared" ca="1" si="136"/>
        <v/>
      </c>
      <c r="L829" s="493" t="str">
        <f t="shared" ca="1" si="137"/>
        <v/>
      </c>
      <c r="M829" s="505" t="str">
        <f ca="1">IFERROR(IF(COUNTIF($B$509:$B828,"&lt;0")&lt;&gt;1,OFFSET($C827,-COUNTIF($B$509:$B828,"&lt;0")+3,0),""),"")</f>
        <v>a173p000006iLchAAE</v>
      </c>
      <c r="N829" s="505">
        <f ca="1">IFERROR(IF(COUNTA($D$509:D828)=1,0,OFFSET($F827,-COUNTA($D$509:D828)+3,0)),"")</f>
        <v>23</v>
      </c>
      <c r="O829" s="487"/>
      <c r="P829" s="487">
        <f t="shared" si="130"/>
        <v>0</v>
      </c>
      <c r="Q829" s="487"/>
      <c r="R829" s="487"/>
      <c r="S829" s="487"/>
      <c r="T829" s="493"/>
    </row>
    <row r="830" spans="1:20" x14ac:dyDescent="0.3">
      <c r="A830" s="487" t="b">
        <f t="shared" ca="1" si="131"/>
        <v>0</v>
      </c>
      <c r="B830" s="487">
        <f t="shared" si="127"/>
        <v>139</v>
      </c>
      <c r="C830" s="509" t="str">
        <f t="shared" ca="1" si="132"/>
        <v>a173p000006iLaIAAU</v>
      </c>
      <c r="D830" s="487"/>
      <c r="E830" s="487">
        <f t="shared" ca="1" si="128"/>
        <v>1</v>
      </c>
      <c r="F830" s="506">
        <f ca="1">IF(COUNTA(D$510:D830)=1,"",OFFSET(F828,-COUNTA(D$510:D830)+3,0))</f>
        <v>24</v>
      </c>
      <c r="G830" s="493" t="str">
        <f t="shared" ca="1" si="133"/>
        <v/>
      </c>
      <c r="H830" s="487">
        <f t="shared" ca="1" si="129"/>
        <v>55</v>
      </c>
      <c r="I830" s="490" t="str">
        <f t="shared" ca="1" si="134"/>
        <v/>
      </c>
      <c r="J830" s="502" t="str">
        <f t="shared" ca="1" si="135"/>
        <v/>
      </c>
      <c r="K830" s="502" t="str">
        <f t="shared" ca="1" si="136"/>
        <v/>
      </c>
      <c r="L830" s="493" t="str">
        <f t="shared" ca="1" si="137"/>
        <v/>
      </c>
      <c r="M830" s="505" t="str">
        <f ca="1">IFERROR(IF(COUNTIF($B$509:$B829,"&lt;0")&lt;&gt;1,OFFSET($C828,-COUNTIF($B$509:$B829,"&lt;0")+3,0),""),"")</f>
        <v>a173p000006iLaIAAU</v>
      </c>
      <c r="N830" s="505">
        <f ca="1">IFERROR(IF(COUNTA($D$509:D829)=1,0,OFFSET($F828,-COUNTA($D$509:D829)+3,0)),"")</f>
        <v>24</v>
      </c>
      <c r="O830" s="487"/>
      <c r="P830" s="487">
        <f t="shared" si="130"/>
        <v>0</v>
      </c>
      <c r="Q830" s="487"/>
      <c r="R830" s="487"/>
      <c r="S830" s="487"/>
      <c r="T830" s="493"/>
    </row>
    <row r="831" spans="1:20" x14ac:dyDescent="0.3">
      <c r="A831" s="487" t="b">
        <f t="shared" ca="1" si="131"/>
        <v>0</v>
      </c>
      <c r="B831" s="487">
        <f t="shared" si="127"/>
        <v>140</v>
      </c>
      <c r="C831" s="509" t="str">
        <f t="shared" ca="1" si="132"/>
        <v>a173p000006iLamAAE</v>
      </c>
      <c r="D831" s="487"/>
      <c r="E831" s="487">
        <f t="shared" ca="1" si="128"/>
        <v>2</v>
      </c>
      <c r="F831" s="506">
        <f ca="1">IF(COUNTA(D$510:D831)=1,"",OFFSET(F829,-COUNTA(D$510:D831)+3,0))</f>
        <v>24</v>
      </c>
      <c r="G831" s="493" t="str">
        <f t="shared" ca="1" si="133"/>
        <v/>
      </c>
      <c r="H831" s="487">
        <f t="shared" ca="1" si="129"/>
        <v>55</v>
      </c>
      <c r="I831" s="490" t="str">
        <f t="shared" ca="1" si="134"/>
        <v/>
      </c>
      <c r="J831" s="502" t="str">
        <f t="shared" ca="1" si="135"/>
        <v/>
      </c>
      <c r="K831" s="502" t="str">
        <f t="shared" ca="1" si="136"/>
        <v/>
      </c>
      <c r="L831" s="493" t="str">
        <f t="shared" ca="1" si="137"/>
        <v/>
      </c>
      <c r="M831" s="505" t="str">
        <f ca="1">IFERROR(IF(COUNTIF($B$509:$B830,"&lt;0")&lt;&gt;1,OFFSET($C829,-COUNTIF($B$509:$B830,"&lt;0")+3,0),""),"")</f>
        <v>a173p000006iLamAAE</v>
      </c>
      <c r="N831" s="505">
        <f ca="1">IFERROR(IF(COUNTA($D$509:D830)=1,0,OFFSET($F829,-COUNTA($D$509:D830)+3,0)),"")</f>
        <v>24</v>
      </c>
      <c r="O831" s="487"/>
      <c r="P831" s="487">
        <f t="shared" si="130"/>
        <v>0</v>
      </c>
      <c r="Q831" s="487"/>
      <c r="R831" s="487"/>
      <c r="S831" s="487"/>
      <c r="T831" s="493"/>
    </row>
    <row r="832" spans="1:20" x14ac:dyDescent="0.3">
      <c r="A832" s="487" t="b">
        <f t="shared" ca="1" si="131"/>
        <v>0</v>
      </c>
      <c r="B832" s="487">
        <f t="shared" ref="B832:B871" si="138">B831+1</f>
        <v>141</v>
      </c>
      <c r="C832" s="509" t="str">
        <f t="shared" ca="1" si="132"/>
        <v>a173p000006iLbGAAU</v>
      </c>
      <c r="D832" s="487"/>
      <c r="E832" s="487">
        <f t="shared" ref="E832:E871" ca="1" si="139">COUNTIF(F765:F832,F832)</f>
        <v>3</v>
      </c>
      <c r="F832" s="506">
        <f ca="1">IF(COUNTA(D$510:D832)=1,"",OFFSET(F830,-COUNTA(D$510:D832)+3,0))</f>
        <v>24</v>
      </c>
      <c r="G832" s="493" t="str">
        <f t="shared" ca="1" si="133"/>
        <v/>
      </c>
      <c r="H832" s="487">
        <f t="shared" ref="H832:H871" ca="1" si="140">IF(F832=1,9,IF(E831=MAX(E830:E832),H830+2,H831))</f>
        <v>55</v>
      </c>
      <c r="I832" s="490" t="str">
        <f t="shared" ca="1" si="134"/>
        <v/>
      </c>
      <c r="J832" s="502" t="str">
        <f t="shared" ca="1" si="135"/>
        <v/>
      </c>
      <c r="K832" s="502" t="str">
        <f t="shared" ca="1" si="136"/>
        <v/>
      </c>
      <c r="L832" s="493" t="str">
        <f t="shared" ca="1" si="137"/>
        <v/>
      </c>
      <c r="M832" s="505" t="str">
        <f ca="1">IFERROR(IF(COUNTIF($B$509:$B831,"&lt;0")&lt;&gt;1,OFFSET($C830,-COUNTIF($B$509:$B831,"&lt;0")+3,0),""),"")</f>
        <v>a173p000006iLbGAAU</v>
      </c>
      <c r="N832" s="505">
        <f ca="1">IFERROR(IF(COUNTA($D$509:D831)=1,0,OFFSET($F830,-COUNTA($D$509:D831)+3,0)),"")</f>
        <v>24</v>
      </c>
      <c r="O832" s="487"/>
      <c r="P832" s="487">
        <f t="shared" ref="P832:P871" si="141">IF(NOT(_xlfn.ISFORMULA(I832)),P831+1,0)</f>
        <v>0</v>
      </c>
      <c r="Q832" s="487"/>
      <c r="R832" s="487"/>
      <c r="S832" s="487"/>
      <c r="T832" s="493"/>
    </row>
    <row r="833" spans="1:20" x14ac:dyDescent="0.3">
      <c r="A833" s="487" t="b">
        <f t="shared" ca="1" si="131"/>
        <v>0</v>
      </c>
      <c r="B833" s="487">
        <f t="shared" si="138"/>
        <v>142</v>
      </c>
      <c r="C833" s="509" t="str">
        <f t="shared" ca="1" si="132"/>
        <v>a173p000006iLbkAAE</v>
      </c>
      <c r="D833" s="487"/>
      <c r="E833" s="487">
        <f t="shared" ca="1" si="139"/>
        <v>4</v>
      </c>
      <c r="F833" s="506">
        <f ca="1">IF(COUNTA(D$510:D833)=1,"",OFFSET(F831,-COUNTA(D$510:D833)+3,0))</f>
        <v>24</v>
      </c>
      <c r="G833" s="493" t="str">
        <f t="shared" ca="1" si="133"/>
        <v/>
      </c>
      <c r="H833" s="487">
        <f t="shared" ca="1" si="140"/>
        <v>55</v>
      </c>
      <c r="I833" s="490" t="str">
        <f t="shared" ca="1" si="134"/>
        <v/>
      </c>
      <c r="J833" s="502" t="str">
        <f t="shared" ca="1" si="135"/>
        <v/>
      </c>
      <c r="K833" s="502" t="str">
        <f t="shared" ca="1" si="136"/>
        <v/>
      </c>
      <c r="L833" s="493" t="str">
        <f t="shared" ca="1" si="137"/>
        <v/>
      </c>
      <c r="M833" s="505" t="str">
        <f ca="1">IFERROR(IF(COUNTIF($B$509:$B832,"&lt;0")&lt;&gt;1,OFFSET($C831,-COUNTIF($B$509:$B832,"&lt;0")+3,0),""),"")</f>
        <v>a173p000006iLbkAAE</v>
      </c>
      <c r="N833" s="505">
        <f ca="1">IFERROR(IF(COUNTA($D$509:D832)=1,0,OFFSET($F831,-COUNTA($D$509:D832)+3,0)),"")</f>
        <v>24</v>
      </c>
      <c r="O833" s="487"/>
      <c r="P833" s="487">
        <f t="shared" si="141"/>
        <v>0</v>
      </c>
      <c r="Q833" s="487"/>
      <c r="R833" s="487"/>
      <c r="S833" s="487"/>
      <c r="T833" s="493"/>
    </row>
    <row r="834" spans="1:20" x14ac:dyDescent="0.3">
      <c r="A834" s="487" t="b">
        <f t="shared" ca="1" si="131"/>
        <v>0</v>
      </c>
      <c r="B834" s="487">
        <f t="shared" si="138"/>
        <v>143</v>
      </c>
      <c r="C834" s="509" t="str">
        <f t="shared" ca="1" si="132"/>
        <v>a173p000006iLcEAAU</v>
      </c>
      <c r="D834" s="487"/>
      <c r="E834" s="487">
        <f t="shared" ca="1" si="139"/>
        <v>5</v>
      </c>
      <c r="F834" s="506">
        <f ca="1">IF(COUNTA(D$510:D834)=1,"",OFFSET(F832,-COUNTA(D$510:D834)+3,0))</f>
        <v>24</v>
      </c>
      <c r="G834" s="493" t="str">
        <f t="shared" ca="1" si="133"/>
        <v/>
      </c>
      <c r="H834" s="487">
        <f t="shared" ca="1" si="140"/>
        <v>55</v>
      </c>
      <c r="I834" s="490" t="str">
        <f t="shared" ca="1" si="134"/>
        <v/>
      </c>
      <c r="J834" s="502" t="str">
        <f t="shared" ca="1" si="135"/>
        <v/>
      </c>
      <c r="K834" s="502" t="str">
        <f t="shared" ca="1" si="136"/>
        <v/>
      </c>
      <c r="L834" s="493" t="str">
        <f t="shared" ca="1" si="137"/>
        <v/>
      </c>
      <c r="M834" s="505" t="str">
        <f ca="1">IFERROR(IF(COUNTIF($B$509:$B833,"&lt;0")&lt;&gt;1,OFFSET($C832,-COUNTIF($B$509:$B833,"&lt;0")+3,0),""),"")</f>
        <v>a173p000006iLcEAAU</v>
      </c>
      <c r="N834" s="505">
        <f ca="1">IFERROR(IF(COUNTA($D$509:D833)=1,0,OFFSET($F832,-COUNTA($D$509:D833)+3,0)),"")</f>
        <v>24</v>
      </c>
      <c r="O834" s="487"/>
      <c r="P834" s="487">
        <f t="shared" si="141"/>
        <v>0</v>
      </c>
      <c r="Q834" s="487"/>
      <c r="R834" s="487"/>
      <c r="S834" s="487"/>
      <c r="T834" s="493"/>
    </row>
    <row r="835" spans="1:20" x14ac:dyDescent="0.3">
      <c r="A835" s="487" t="b">
        <f t="shared" ca="1" si="131"/>
        <v>0</v>
      </c>
      <c r="B835" s="487">
        <f t="shared" si="138"/>
        <v>144</v>
      </c>
      <c r="C835" s="509" t="str">
        <f t="shared" ca="1" si="132"/>
        <v>a173p000006iLciAAE</v>
      </c>
      <c r="D835" s="487"/>
      <c r="E835" s="487">
        <f t="shared" ca="1" si="139"/>
        <v>6</v>
      </c>
      <c r="F835" s="506">
        <f ca="1">IF(COUNTA(D$510:D835)=1,"",OFFSET(F833,-COUNTA(D$510:D835)+3,0))</f>
        <v>24</v>
      </c>
      <c r="G835" s="493" t="str">
        <f t="shared" ca="1" si="133"/>
        <v/>
      </c>
      <c r="H835" s="487">
        <f t="shared" ca="1" si="140"/>
        <v>55</v>
      </c>
      <c r="I835" s="490" t="str">
        <f t="shared" ca="1" si="134"/>
        <v/>
      </c>
      <c r="J835" s="502" t="str">
        <f t="shared" ca="1" si="135"/>
        <v/>
      </c>
      <c r="K835" s="502" t="str">
        <f t="shared" ca="1" si="136"/>
        <v/>
      </c>
      <c r="L835" s="493" t="str">
        <f t="shared" ca="1" si="137"/>
        <v/>
      </c>
      <c r="M835" s="505" t="str">
        <f ca="1">IFERROR(IF(COUNTIF($B$509:$B834,"&lt;0")&lt;&gt;1,OFFSET($C833,-COUNTIF($B$509:$B834,"&lt;0")+3,0),""),"")</f>
        <v>a173p000006iLciAAE</v>
      </c>
      <c r="N835" s="505">
        <f ca="1">IFERROR(IF(COUNTA($D$509:D834)=1,0,OFFSET($F833,-COUNTA($D$509:D834)+3,0)),"")</f>
        <v>24</v>
      </c>
      <c r="O835" s="487"/>
      <c r="P835" s="487">
        <f t="shared" si="141"/>
        <v>0</v>
      </c>
      <c r="Q835" s="487"/>
      <c r="R835" s="487"/>
      <c r="S835" s="487"/>
      <c r="T835" s="493"/>
    </row>
    <row r="836" spans="1:20" x14ac:dyDescent="0.3">
      <c r="A836" s="487" t="b">
        <f t="shared" ca="1" si="131"/>
        <v>0</v>
      </c>
      <c r="B836" s="487">
        <f t="shared" si="138"/>
        <v>145</v>
      </c>
      <c r="C836" s="509" t="str">
        <f t="shared" ca="1" si="132"/>
        <v>a173p000006iLaJAAU</v>
      </c>
      <c r="D836" s="487"/>
      <c r="E836" s="487">
        <f t="shared" ca="1" si="139"/>
        <v>1</v>
      </c>
      <c r="F836" s="506">
        <f ca="1">IF(COUNTA(D$510:D836)=1,"",OFFSET(F834,-COUNTA(D$510:D836)+3,0))</f>
        <v>25</v>
      </c>
      <c r="G836" s="493" t="str">
        <f t="shared" ca="1" si="133"/>
        <v/>
      </c>
      <c r="H836" s="487">
        <f t="shared" ca="1" si="140"/>
        <v>57</v>
      </c>
      <c r="I836" s="490" t="str">
        <f t="shared" ca="1" si="134"/>
        <v/>
      </c>
      <c r="J836" s="502" t="str">
        <f t="shared" ca="1" si="135"/>
        <v/>
      </c>
      <c r="K836" s="502" t="str">
        <f t="shared" ca="1" si="136"/>
        <v/>
      </c>
      <c r="L836" s="493" t="str">
        <f t="shared" ca="1" si="137"/>
        <v/>
      </c>
      <c r="M836" s="505" t="str">
        <f ca="1">IFERROR(IF(COUNTIF($B$509:$B835,"&lt;0")&lt;&gt;1,OFFSET($C834,-COUNTIF($B$509:$B835,"&lt;0")+3,0),""),"")</f>
        <v>a173p000006iLaJAAU</v>
      </c>
      <c r="N836" s="505">
        <f ca="1">IFERROR(IF(COUNTA($D$509:D835)=1,0,OFFSET($F834,-COUNTA($D$509:D835)+3,0)),"")</f>
        <v>25</v>
      </c>
      <c r="O836" s="487"/>
      <c r="P836" s="487">
        <f t="shared" si="141"/>
        <v>0</v>
      </c>
      <c r="Q836" s="487"/>
      <c r="R836" s="487"/>
      <c r="S836" s="487"/>
      <c r="T836" s="493"/>
    </row>
    <row r="837" spans="1:20" x14ac:dyDescent="0.3">
      <c r="A837" s="487" t="b">
        <f t="shared" ca="1" si="131"/>
        <v>0</v>
      </c>
      <c r="B837" s="487">
        <f t="shared" si="138"/>
        <v>146</v>
      </c>
      <c r="C837" s="509" t="str">
        <f t="shared" ca="1" si="132"/>
        <v>a173p000006iLanAAE</v>
      </c>
      <c r="D837" s="487"/>
      <c r="E837" s="487">
        <f t="shared" ca="1" si="139"/>
        <v>2</v>
      </c>
      <c r="F837" s="506">
        <f ca="1">IF(COUNTA(D$510:D837)=1,"",OFFSET(F835,-COUNTA(D$510:D837)+3,0))</f>
        <v>25</v>
      </c>
      <c r="G837" s="493" t="str">
        <f t="shared" ca="1" si="133"/>
        <v/>
      </c>
      <c r="H837" s="487">
        <f t="shared" ca="1" si="140"/>
        <v>57</v>
      </c>
      <c r="I837" s="490" t="str">
        <f t="shared" ca="1" si="134"/>
        <v/>
      </c>
      <c r="J837" s="502" t="str">
        <f t="shared" ca="1" si="135"/>
        <v/>
      </c>
      <c r="K837" s="502" t="str">
        <f t="shared" ca="1" si="136"/>
        <v/>
      </c>
      <c r="L837" s="493" t="str">
        <f t="shared" ca="1" si="137"/>
        <v/>
      </c>
      <c r="M837" s="505" t="str">
        <f ca="1">IFERROR(IF(COUNTIF($B$509:$B836,"&lt;0")&lt;&gt;1,OFFSET($C835,-COUNTIF($B$509:$B836,"&lt;0")+3,0),""),"")</f>
        <v>a173p000006iLanAAE</v>
      </c>
      <c r="N837" s="505">
        <f ca="1">IFERROR(IF(COUNTA($D$509:D836)=1,0,OFFSET($F835,-COUNTA($D$509:D836)+3,0)),"")</f>
        <v>25</v>
      </c>
      <c r="O837" s="487"/>
      <c r="P837" s="487">
        <f t="shared" si="141"/>
        <v>0</v>
      </c>
      <c r="Q837" s="487"/>
      <c r="R837" s="487"/>
      <c r="S837" s="487"/>
      <c r="T837" s="493"/>
    </row>
    <row r="838" spans="1:20" x14ac:dyDescent="0.3">
      <c r="A838" s="487" t="b">
        <f t="shared" ca="1" si="131"/>
        <v>0</v>
      </c>
      <c r="B838" s="487">
        <f t="shared" si="138"/>
        <v>147</v>
      </c>
      <c r="C838" s="509" t="str">
        <f t="shared" ca="1" si="132"/>
        <v>a173p000006iLbHAAU</v>
      </c>
      <c r="D838" s="487"/>
      <c r="E838" s="487">
        <f t="shared" ca="1" si="139"/>
        <v>3</v>
      </c>
      <c r="F838" s="506">
        <f ca="1">IF(COUNTA(D$510:D838)=1,"",OFFSET(F836,-COUNTA(D$510:D838)+3,0))</f>
        <v>25</v>
      </c>
      <c r="G838" s="493" t="str">
        <f t="shared" ca="1" si="133"/>
        <v/>
      </c>
      <c r="H838" s="487">
        <f t="shared" ca="1" si="140"/>
        <v>57</v>
      </c>
      <c r="I838" s="490" t="str">
        <f t="shared" ca="1" si="134"/>
        <v/>
      </c>
      <c r="J838" s="502" t="str">
        <f t="shared" ca="1" si="135"/>
        <v/>
      </c>
      <c r="K838" s="502" t="str">
        <f t="shared" ca="1" si="136"/>
        <v/>
      </c>
      <c r="L838" s="493" t="str">
        <f t="shared" ca="1" si="137"/>
        <v/>
      </c>
      <c r="M838" s="505" t="str">
        <f ca="1">IFERROR(IF(COUNTIF($B$509:$B837,"&lt;0")&lt;&gt;1,OFFSET($C836,-COUNTIF($B$509:$B837,"&lt;0")+3,0),""),"")</f>
        <v>a173p000006iLbHAAU</v>
      </c>
      <c r="N838" s="505">
        <f ca="1">IFERROR(IF(COUNTA($D$509:D837)=1,0,OFFSET($F836,-COUNTA($D$509:D837)+3,0)),"")</f>
        <v>25</v>
      </c>
      <c r="O838" s="487"/>
      <c r="P838" s="487">
        <f t="shared" si="141"/>
        <v>0</v>
      </c>
      <c r="Q838" s="487"/>
      <c r="R838" s="487"/>
      <c r="S838" s="487"/>
      <c r="T838" s="493"/>
    </row>
    <row r="839" spans="1:20" x14ac:dyDescent="0.3">
      <c r="A839" s="487" t="b">
        <f t="shared" ca="1" si="131"/>
        <v>0</v>
      </c>
      <c r="B839" s="487">
        <f t="shared" si="138"/>
        <v>148</v>
      </c>
      <c r="C839" s="509" t="str">
        <f t="shared" ca="1" si="132"/>
        <v>a173p000006iLblAAE</v>
      </c>
      <c r="D839" s="487"/>
      <c r="E839" s="487">
        <f t="shared" ca="1" si="139"/>
        <v>4</v>
      </c>
      <c r="F839" s="506">
        <f ca="1">IF(COUNTA(D$510:D839)=1,"",OFFSET(F837,-COUNTA(D$510:D839)+3,0))</f>
        <v>25</v>
      </c>
      <c r="G839" s="493" t="str">
        <f t="shared" ca="1" si="133"/>
        <v/>
      </c>
      <c r="H839" s="487">
        <f t="shared" ca="1" si="140"/>
        <v>57</v>
      </c>
      <c r="I839" s="490" t="str">
        <f t="shared" ca="1" si="134"/>
        <v/>
      </c>
      <c r="J839" s="502" t="str">
        <f t="shared" ca="1" si="135"/>
        <v/>
      </c>
      <c r="K839" s="502" t="str">
        <f t="shared" ca="1" si="136"/>
        <v/>
      </c>
      <c r="L839" s="493" t="str">
        <f t="shared" ca="1" si="137"/>
        <v/>
      </c>
      <c r="M839" s="505" t="str">
        <f ca="1">IFERROR(IF(COUNTIF($B$509:$B838,"&lt;0")&lt;&gt;1,OFFSET($C837,-COUNTIF($B$509:$B838,"&lt;0")+3,0),""),"")</f>
        <v>a173p000006iLblAAE</v>
      </c>
      <c r="N839" s="505">
        <f ca="1">IFERROR(IF(COUNTA($D$509:D838)=1,0,OFFSET($F837,-COUNTA($D$509:D838)+3,0)),"")</f>
        <v>25</v>
      </c>
      <c r="O839" s="487"/>
      <c r="P839" s="487">
        <f t="shared" si="141"/>
        <v>0</v>
      </c>
      <c r="Q839" s="487"/>
      <c r="R839" s="487"/>
      <c r="S839" s="487"/>
      <c r="T839" s="493"/>
    </row>
    <row r="840" spans="1:20" x14ac:dyDescent="0.3">
      <c r="A840" s="487" t="b">
        <f t="shared" ca="1" si="131"/>
        <v>0</v>
      </c>
      <c r="B840" s="487">
        <f t="shared" si="138"/>
        <v>149</v>
      </c>
      <c r="C840" s="509" t="str">
        <f t="shared" ca="1" si="132"/>
        <v>a173p000006iLcFAAU</v>
      </c>
      <c r="D840" s="487"/>
      <c r="E840" s="487">
        <f t="shared" ca="1" si="139"/>
        <v>5</v>
      </c>
      <c r="F840" s="506">
        <f ca="1">IF(COUNTA(D$510:D840)=1,"",OFFSET(F838,-COUNTA(D$510:D840)+3,0))</f>
        <v>25</v>
      </c>
      <c r="G840" s="493" t="str">
        <f t="shared" ca="1" si="133"/>
        <v/>
      </c>
      <c r="H840" s="487">
        <f t="shared" ca="1" si="140"/>
        <v>57</v>
      </c>
      <c r="I840" s="490" t="str">
        <f t="shared" ca="1" si="134"/>
        <v/>
      </c>
      <c r="J840" s="502" t="str">
        <f t="shared" ca="1" si="135"/>
        <v/>
      </c>
      <c r="K840" s="502" t="str">
        <f t="shared" ca="1" si="136"/>
        <v/>
      </c>
      <c r="L840" s="493" t="str">
        <f t="shared" ca="1" si="137"/>
        <v/>
      </c>
      <c r="M840" s="505" t="str">
        <f ca="1">IFERROR(IF(COUNTIF($B$509:$B839,"&lt;0")&lt;&gt;1,OFFSET($C838,-COUNTIF($B$509:$B839,"&lt;0")+3,0),""),"")</f>
        <v>a173p000006iLcFAAU</v>
      </c>
      <c r="N840" s="505">
        <f ca="1">IFERROR(IF(COUNTA($D$509:D839)=1,0,OFFSET($F838,-COUNTA($D$509:D839)+3,0)),"")</f>
        <v>25</v>
      </c>
      <c r="O840" s="487"/>
      <c r="P840" s="487">
        <f t="shared" si="141"/>
        <v>0</v>
      </c>
      <c r="Q840" s="487"/>
      <c r="R840" s="487"/>
      <c r="S840" s="487"/>
      <c r="T840" s="493"/>
    </row>
    <row r="841" spans="1:20" x14ac:dyDescent="0.3">
      <c r="A841" s="487" t="b">
        <f t="shared" ca="1" si="131"/>
        <v>0</v>
      </c>
      <c r="B841" s="487">
        <f t="shared" si="138"/>
        <v>150</v>
      </c>
      <c r="C841" s="509" t="str">
        <f t="shared" ca="1" si="132"/>
        <v>a173p000006iLcjAAE</v>
      </c>
      <c r="D841" s="487"/>
      <c r="E841" s="487">
        <f t="shared" ca="1" si="139"/>
        <v>6</v>
      </c>
      <c r="F841" s="506">
        <f ca="1">IF(COUNTA(D$510:D841)=1,"",OFFSET(F839,-COUNTA(D$510:D841)+3,0))</f>
        <v>25</v>
      </c>
      <c r="G841" s="493" t="str">
        <f t="shared" ca="1" si="133"/>
        <v/>
      </c>
      <c r="H841" s="487">
        <f t="shared" ca="1" si="140"/>
        <v>57</v>
      </c>
      <c r="I841" s="490" t="str">
        <f t="shared" ca="1" si="134"/>
        <v/>
      </c>
      <c r="J841" s="502" t="str">
        <f t="shared" ca="1" si="135"/>
        <v/>
      </c>
      <c r="K841" s="502" t="str">
        <f t="shared" ca="1" si="136"/>
        <v/>
      </c>
      <c r="L841" s="493" t="str">
        <f t="shared" ca="1" si="137"/>
        <v/>
      </c>
      <c r="M841" s="505" t="str">
        <f ca="1">IFERROR(IF(COUNTIF($B$509:$B840,"&lt;0")&lt;&gt;1,OFFSET($C839,-COUNTIF($B$509:$B840,"&lt;0")+3,0),""),"")</f>
        <v>a173p000006iLcjAAE</v>
      </c>
      <c r="N841" s="505">
        <f ca="1">IFERROR(IF(COUNTA($D$509:D840)=1,0,OFFSET($F839,-COUNTA($D$509:D840)+3,0)),"")</f>
        <v>25</v>
      </c>
      <c r="O841" s="487"/>
      <c r="P841" s="487">
        <f t="shared" si="141"/>
        <v>0</v>
      </c>
      <c r="Q841" s="487"/>
      <c r="R841" s="487"/>
      <c r="S841" s="487"/>
      <c r="T841" s="493"/>
    </row>
    <row r="842" spans="1:20" x14ac:dyDescent="0.3">
      <c r="A842" s="487" t="b">
        <f t="shared" ca="1" si="131"/>
        <v>0</v>
      </c>
      <c r="B842" s="487">
        <f t="shared" si="138"/>
        <v>151</v>
      </c>
      <c r="C842" s="509" t="str">
        <f t="shared" ca="1" si="132"/>
        <v>a173p000006iLaKAAU</v>
      </c>
      <c r="D842" s="487"/>
      <c r="E842" s="487">
        <f t="shared" ca="1" si="139"/>
        <v>1</v>
      </c>
      <c r="F842" s="506">
        <f ca="1">IF(COUNTA(D$510:D842)=1,"",OFFSET(F840,-COUNTA(D$510:D842)+3,0))</f>
        <v>26</v>
      </c>
      <c r="G842" s="493" t="str">
        <f t="shared" ca="1" si="133"/>
        <v/>
      </c>
      <c r="H842" s="487">
        <f t="shared" ca="1" si="140"/>
        <v>59</v>
      </c>
      <c r="I842" s="490" t="str">
        <f t="shared" ca="1" si="134"/>
        <v/>
      </c>
      <c r="J842" s="502" t="str">
        <f t="shared" ca="1" si="135"/>
        <v/>
      </c>
      <c r="K842" s="502" t="str">
        <f t="shared" ca="1" si="136"/>
        <v/>
      </c>
      <c r="L842" s="493" t="str">
        <f t="shared" ca="1" si="137"/>
        <v/>
      </c>
      <c r="M842" s="505" t="str">
        <f ca="1">IFERROR(IF(COUNTIF($B$509:$B841,"&lt;0")&lt;&gt;1,OFFSET($C840,-COUNTIF($B$509:$B841,"&lt;0")+3,0),""),"")</f>
        <v>a173p000006iLaKAAU</v>
      </c>
      <c r="N842" s="505">
        <f ca="1">IFERROR(IF(COUNTA($D$509:D841)=1,0,OFFSET($F840,-COUNTA($D$509:D841)+3,0)),"")</f>
        <v>26</v>
      </c>
      <c r="O842" s="487"/>
      <c r="P842" s="487">
        <f t="shared" si="141"/>
        <v>0</v>
      </c>
      <c r="Q842" s="487"/>
      <c r="R842" s="487"/>
      <c r="S842" s="487"/>
      <c r="T842" s="493"/>
    </row>
    <row r="843" spans="1:20" x14ac:dyDescent="0.3">
      <c r="A843" s="487" t="b">
        <f t="shared" ca="1" si="131"/>
        <v>0</v>
      </c>
      <c r="B843" s="487">
        <f t="shared" si="138"/>
        <v>152</v>
      </c>
      <c r="C843" s="509" t="str">
        <f t="shared" ca="1" si="132"/>
        <v>a173p000006iLaoAAE</v>
      </c>
      <c r="D843" s="487"/>
      <c r="E843" s="487">
        <f t="shared" ca="1" si="139"/>
        <v>2</v>
      </c>
      <c r="F843" s="506">
        <f ca="1">IF(COUNTA(D$510:D843)=1,"",OFFSET(F841,-COUNTA(D$510:D843)+3,0))</f>
        <v>26</v>
      </c>
      <c r="G843" s="493" t="str">
        <f t="shared" ca="1" si="133"/>
        <v/>
      </c>
      <c r="H843" s="487">
        <f t="shared" ca="1" si="140"/>
        <v>59</v>
      </c>
      <c r="I843" s="490" t="str">
        <f t="shared" ca="1" si="134"/>
        <v/>
      </c>
      <c r="J843" s="502" t="str">
        <f t="shared" ca="1" si="135"/>
        <v/>
      </c>
      <c r="K843" s="502" t="str">
        <f t="shared" ca="1" si="136"/>
        <v/>
      </c>
      <c r="L843" s="493" t="str">
        <f t="shared" ca="1" si="137"/>
        <v/>
      </c>
      <c r="M843" s="505" t="str">
        <f ca="1">IFERROR(IF(COUNTIF($B$509:$B842,"&lt;0")&lt;&gt;1,OFFSET($C841,-COUNTIF($B$509:$B842,"&lt;0")+3,0),""),"")</f>
        <v>a173p000006iLaoAAE</v>
      </c>
      <c r="N843" s="505">
        <f ca="1">IFERROR(IF(COUNTA($D$509:D842)=1,0,OFFSET($F841,-COUNTA($D$509:D842)+3,0)),"")</f>
        <v>26</v>
      </c>
      <c r="O843" s="487"/>
      <c r="P843" s="487">
        <f t="shared" si="141"/>
        <v>0</v>
      </c>
      <c r="Q843" s="487"/>
      <c r="R843" s="487"/>
      <c r="S843" s="487"/>
      <c r="T843" s="493"/>
    </row>
    <row r="844" spans="1:20" x14ac:dyDescent="0.3">
      <c r="A844" s="487" t="b">
        <f t="shared" ca="1" si="131"/>
        <v>0</v>
      </c>
      <c r="B844" s="487">
        <f t="shared" si="138"/>
        <v>153</v>
      </c>
      <c r="C844" s="509" t="str">
        <f t="shared" ca="1" si="132"/>
        <v>a173p000006iLbIAAU</v>
      </c>
      <c r="D844" s="487"/>
      <c r="E844" s="487">
        <f t="shared" ca="1" si="139"/>
        <v>3</v>
      </c>
      <c r="F844" s="506">
        <f ca="1">IF(COUNTA(D$510:D844)=1,"",OFFSET(F842,-COUNTA(D$510:D844)+3,0))</f>
        <v>26</v>
      </c>
      <c r="G844" s="493" t="str">
        <f t="shared" ca="1" si="133"/>
        <v/>
      </c>
      <c r="H844" s="487">
        <f t="shared" ca="1" si="140"/>
        <v>59</v>
      </c>
      <c r="I844" s="490" t="str">
        <f t="shared" ca="1" si="134"/>
        <v/>
      </c>
      <c r="J844" s="502" t="str">
        <f t="shared" ca="1" si="135"/>
        <v/>
      </c>
      <c r="K844" s="502" t="str">
        <f t="shared" ca="1" si="136"/>
        <v/>
      </c>
      <c r="L844" s="493" t="str">
        <f t="shared" ca="1" si="137"/>
        <v/>
      </c>
      <c r="M844" s="505" t="str">
        <f ca="1">IFERROR(IF(COUNTIF($B$509:$B843,"&lt;0")&lt;&gt;1,OFFSET($C842,-COUNTIF($B$509:$B843,"&lt;0")+3,0),""),"")</f>
        <v>a173p000006iLbIAAU</v>
      </c>
      <c r="N844" s="505">
        <f ca="1">IFERROR(IF(COUNTA($D$509:D843)=1,0,OFFSET($F842,-COUNTA($D$509:D843)+3,0)),"")</f>
        <v>26</v>
      </c>
      <c r="O844" s="487"/>
      <c r="P844" s="487">
        <f t="shared" si="141"/>
        <v>0</v>
      </c>
      <c r="Q844" s="487"/>
      <c r="R844" s="487"/>
      <c r="S844" s="487"/>
      <c r="T844" s="493"/>
    </row>
    <row r="845" spans="1:20" x14ac:dyDescent="0.3">
      <c r="A845" s="487" t="b">
        <f t="shared" ca="1" si="131"/>
        <v>0</v>
      </c>
      <c r="B845" s="487">
        <f t="shared" si="138"/>
        <v>154</v>
      </c>
      <c r="C845" s="509" t="str">
        <f t="shared" ca="1" si="132"/>
        <v>a173p000006iLbmAAE</v>
      </c>
      <c r="D845" s="487"/>
      <c r="E845" s="487">
        <f t="shared" ca="1" si="139"/>
        <v>4</v>
      </c>
      <c r="F845" s="506">
        <f ca="1">IF(COUNTA(D$510:D845)=1,"",OFFSET(F843,-COUNTA(D$510:D845)+3,0))</f>
        <v>26</v>
      </c>
      <c r="G845" s="493" t="str">
        <f t="shared" ca="1" si="133"/>
        <v/>
      </c>
      <c r="H845" s="487">
        <f t="shared" ca="1" si="140"/>
        <v>59</v>
      </c>
      <c r="I845" s="490" t="str">
        <f t="shared" ca="1" si="134"/>
        <v/>
      </c>
      <c r="J845" s="502" t="str">
        <f t="shared" ca="1" si="135"/>
        <v/>
      </c>
      <c r="K845" s="502" t="str">
        <f t="shared" ca="1" si="136"/>
        <v/>
      </c>
      <c r="L845" s="493" t="str">
        <f t="shared" ca="1" si="137"/>
        <v/>
      </c>
      <c r="M845" s="505" t="str">
        <f ca="1">IFERROR(IF(COUNTIF($B$509:$B844,"&lt;0")&lt;&gt;1,OFFSET($C843,-COUNTIF($B$509:$B844,"&lt;0")+3,0),""),"")</f>
        <v>a173p000006iLbmAAE</v>
      </c>
      <c r="N845" s="505">
        <f ca="1">IFERROR(IF(COUNTA($D$509:D844)=1,0,OFFSET($F843,-COUNTA($D$509:D844)+3,0)),"")</f>
        <v>26</v>
      </c>
      <c r="O845" s="487"/>
      <c r="P845" s="487">
        <f t="shared" si="141"/>
        <v>0</v>
      </c>
      <c r="Q845" s="487"/>
      <c r="R845" s="487"/>
      <c r="S845" s="487"/>
      <c r="T845" s="493"/>
    </row>
    <row r="846" spans="1:20" x14ac:dyDescent="0.3">
      <c r="A846" s="487" t="b">
        <f t="shared" ca="1" si="131"/>
        <v>0</v>
      </c>
      <c r="B846" s="487">
        <f t="shared" si="138"/>
        <v>155</v>
      </c>
      <c r="C846" s="509" t="str">
        <f t="shared" ca="1" si="132"/>
        <v>a173p000006iLcGAAU</v>
      </c>
      <c r="D846" s="487"/>
      <c r="E846" s="487">
        <f t="shared" ca="1" si="139"/>
        <v>5</v>
      </c>
      <c r="F846" s="506">
        <f ca="1">IF(COUNTA(D$510:D846)=1,"",OFFSET(F844,-COUNTA(D$510:D846)+3,0))</f>
        <v>26</v>
      </c>
      <c r="G846" s="493" t="str">
        <f t="shared" ca="1" si="133"/>
        <v/>
      </c>
      <c r="H846" s="487">
        <f t="shared" ca="1" si="140"/>
        <v>59</v>
      </c>
      <c r="I846" s="490" t="str">
        <f t="shared" ca="1" si="134"/>
        <v/>
      </c>
      <c r="J846" s="502" t="str">
        <f t="shared" ca="1" si="135"/>
        <v/>
      </c>
      <c r="K846" s="502" t="str">
        <f t="shared" ca="1" si="136"/>
        <v/>
      </c>
      <c r="L846" s="493" t="str">
        <f t="shared" ca="1" si="137"/>
        <v/>
      </c>
      <c r="M846" s="505" t="str">
        <f ca="1">IFERROR(IF(COUNTIF($B$509:$B845,"&lt;0")&lt;&gt;1,OFFSET($C844,-COUNTIF($B$509:$B845,"&lt;0")+3,0),""),"")</f>
        <v>a173p000006iLcGAAU</v>
      </c>
      <c r="N846" s="505">
        <f ca="1">IFERROR(IF(COUNTA($D$509:D845)=1,0,OFFSET($F844,-COUNTA($D$509:D845)+3,0)),"")</f>
        <v>26</v>
      </c>
      <c r="O846" s="487"/>
      <c r="P846" s="487">
        <f t="shared" si="141"/>
        <v>0</v>
      </c>
      <c r="Q846" s="487"/>
      <c r="R846" s="487"/>
      <c r="S846" s="487"/>
      <c r="T846" s="493"/>
    </row>
    <row r="847" spans="1:20" x14ac:dyDescent="0.3">
      <c r="A847" s="487" t="b">
        <f t="shared" ca="1" si="131"/>
        <v>0</v>
      </c>
      <c r="B847" s="487">
        <f t="shared" si="138"/>
        <v>156</v>
      </c>
      <c r="C847" s="509" t="str">
        <f t="shared" ca="1" si="132"/>
        <v>a173p000006iLckAAE</v>
      </c>
      <c r="D847" s="487"/>
      <c r="E847" s="487">
        <f t="shared" ca="1" si="139"/>
        <v>6</v>
      </c>
      <c r="F847" s="506">
        <f ca="1">IF(COUNTA(D$510:D847)=1,"",OFFSET(F845,-COUNTA(D$510:D847)+3,0))</f>
        <v>26</v>
      </c>
      <c r="G847" s="493" t="str">
        <f t="shared" ca="1" si="133"/>
        <v/>
      </c>
      <c r="H847" s="487">
        <f t="shared" ca="1" si="140"/>
        <v>59</v>
      </c>
      <c r="I847" s="490" t="str">
        <f t="shared" ca="1" si="134"/>
        <v/>
      </c>
      <c r="J847" s="502" t="str">
        <f t="shared" ca="1" si="135"/>
        <v/>
      </c>
      <c r="K847" s="502" t="str">
        <f t="shared" ca="1" si="136"/>
        <v/>
      </c>
      <c r="L847" s="493" t="str">
        <f t="shared" ca="1" si="137"/>
        <v/>
      </c>
      <c r="M847" s="505" t="str">
        <f ca="1">IFERROR(IF(COUNTIF($B$509:$B846,"&lt;0")&lt;&gt;1,OFFSET($C845,-COUNTIF($B$509:$B846,"&lt;0")+3,0),""),"")</f>
        <v>a173p000006iLckAAE</v>
      </c>
      <c r="N847" s="505">
        <f ca="1">IFERROR(IF(COUNTA($D$509:D846)=1,0,OFFSET($F845,-COUNTA($D$509:D846)+3,0)),"")</f>
        <v>26</v>
      </c>
      <c r="O847" s="487"/>
      <c r="P847" s="487">
        <f t="shared" si="141"/>
        <v>0</v>
      </c>
      <c r="Q847" s="487"/>
      <c r="R847" s="487"/>
      <c r="S847" s="487"/>
      <c r="T847" s="493"/>
    </row>
    <row r="848" spans="1:20" x14ac:dyDescent="0.3">
      <c r="A848" s="487" t="b">
        <f t="shared" ca="1" si="131"/>
        <v>0</v>
      </c>
      <c r="B848" s="487">
        <f t="shared" si="138"/>
        <v>157</v>
      </c>
      <c r="C848" s="509" t="str">
        <f t="shared" ca="1" si="132"/>
        <v>a173p000006iLaLAAU</v>
      </c>
      <c r="D848" s="487"/>
      <c r="E848" s="487">
        <f t="shared" ca="1" si="139"/>
        <v>1</v>
      </c>
      <c r="F848" s="506">
        <f ca="1">IF(COUNTA(D$510:D848)=1,"",OFFSET(F846,-COUNTA(D$510:D848)+3,0))</f>
        <v>27</v>
      </c>
      <c r="G848" s="493" t="str">
        <f t="shared" ca="1" si="133"/>
        <v/>
      </c>
      <c r="H848" s="487">
        <f t="shared" ca="1" si="140"/>
        <v>61</v>
      </c>
      <c r="I848" s="490" t="str">
        <f t="shared" ca="1" si="134"/>
        <v/>
      </c>
      <c r="J848" s="502" t="str">
        <f t="shared" ca="1" si="135"/>
        <v/>
      </c>
      <c r="K848" s="502" t="str">
        <f t="shared" ca="1" si="136"/>
        <v/>
      </c>
      <c r="L848" s="493" t="str">
        <f t="shared" ca="1" si="137"/>
        <v/>
      </c>
      <c r="M848" s="505" t="str">
        <f ca="1">IFERROR(IF(COUNTIF($B$509:$B847,"&lt;0")&lt;&gt;1,OFFSET($C846,-COUNTIF($B$509:$B847,"&lt;0")+3,0),""),"")</f>
        <v>a173p000006iLaLAAU</v>
      </c>
      <c r="N848" s="505">
        <f ca="1">IFERROR(IF(COUNTA($D$509:D847)=1,0,OFFSET($F846,-COUNTA($D$509:D847)+3,0)),"")</f>
        <v>27</v>
      </c>
      <c r="O848" s="487"/>
      <c r="P848" s="487">
        <f t="shared" si="141"/>
        <v>0</v>
      </c>
      <c r="Q848" s="487"/>
      <c r="R848" s="487"/>
      <c r="S848" s="487"/>
      <c r="T848" s="493"/>
    </row>
    <row r="849" spans="1:20" x14ac:dyDescent="0.3">
      <c r="A849" s="487" t="b">
        <f t="shared" ca="1" si="131"/>
        <v>0</v>
      </c>
      <c r="B849" s="487">
        <f t="shared" si="138"/>
        <v>158</v>
      </c>
      <c r="C849" s="509" t="str">
        <f t="shared" ca="1" si="132"/>
        <v>a173p000006iLapAAE</v>
      </c>
      <c r="D849" s="487"/>
      <c r="E849" s="487">
        <f t="shared" ca="1" si="139"/>
        <v>2</v>
      </c>
      <c r="F849" s="506">
        <f ca="1">IF(COUNTA(D$510:D849)=1,"",OFFSET(F847,-COUNTA(D$510:D849)+3,0))</f>
        <v>27</v>
      </c>
      <c r="G849" s="493" t="str">
        <f t="shared" ca="1" si="133"/>
        <v/>
      </c>
      <c r="H849" s="487">
        <f t="shared" ca="1" si="140"/>
        <v>61</v>
      </c>
      <c r="I849" s="490" t="str">
        <f t="shared" ca="1" si="134"/>
        <v/>
      </c>
      <c r="J849" s="502" t="str">
        <f t="shared" ca="1" si="135"/>
        <v/>
      </c>
      <c r="K849" s="502" t="str">
        <f t="shared" ca="1" si="136"/>
        <v/>
      </c>
      <c r="L849" s="493" t="str">
        <f t="shared" ca="1" si="137"/>
        <v/>
      </c>
      <c r="M849" s="505" t="str">
        <f ca="1">IFERROR(IF(COUNTIF($B$509:$B848,"&lt;0")&lt;&gt;1,OFFSET($C847,-COUNTIF($B$509:$B848,"&lt;0")+3,0),""),"")</f>
        <v>a173p000006iLapAAE</v>
      </c>
      <c r="N849" s="505">
        <f ca="1">IFERROR(IF(COUNTA($D$509:D848)=1,0,OFFSET($F847,-COUNTA($D$509:D848)+3,0)),"")</f>
        <v>27</v>
      </c>
      <c r="O849" s="487"/>
      <c r="P849" s="487">
        <f t="shared" si="141"/>
        <v>0</v>
      </c>
      <c r="Q849" s="487"/>
      <c r="R849" s="487"/>
      <c r="S849" s="487"/>
      <c r="T849" s="493"/>
    </row>
    <row r="850" spans="1:20" x14ac:dyDescent="0.3">
      <c r="A850" s="487" t="b">
        <f t="shared" ca="1" si="131"/>
        <v>0</v>
      </c>
      <c r="B850" s="487">
        <f t="shared" si="138"/>
        <v>159</v>
      </c>
      <c r="C850" s="509" t="str">
        <f t="shared" ca="1" si="132"/>
        <v>a173p000006iLbJAAU</v>
      </c>
      <c r="D850" s="487"/>
      <c r="E850" s="487">
        <f t="shared" ca="1" si="139"/>
        <v>3</v>
      </c>
      <c r="F850" s="506">
        <f ca="1">IF(COUNTA(D$510:D850)=1,"",OFFSET(F848,-COUNTA(D$510:D850)+3,0))</f>
        <v>27</v>
      </c>
      <c r="G850" s="493" t="str">
        <f t="shared" ca="1" si="133"/>
        <v/>
      </c>
      <c r="H850" s="487">
        <f t="shared" ca="1" si="140"/>
        <v>61</v>
      </c>
      <c r="I850" s="490" t="str">
        <f t="shared" ca="1" si="134"/>
        <v/>
      </c>
      <c r="J850" s="502" t="str">
        <f t="shared" ca="1" si="135"/>
        <v/>
      </c>
      <c r="K850" s="502" t="str">
        <f t="shared" ca="1" si="136"/>
        <v/>
      </c>
      <c r="L850" s="493" t="str">
        <f t="shared" ca="1" si="137"/>
        <v/>
      </c>
      <c r="M850" s="505" t="str">
        <f ca="1">IFERROR(IF(COUNTIF($B$509:$B849,"&lt;0")&lt;&gt;1,OFFSET($C848,-COUNTIF($B$509:$B849,"&lt;0")+3,0),""),"")</f>
        <v>a173p000006iLbJAAU</v>
      </c>
      <c r="N850" s="505">
        <f ca="1">IFERROR(IF(COUNTA($D$509:D849)=1,0,OFFSET($F848,-COUNTA($D$509:D849)+3,0)),"")</f>
        <v>27</v>
      </c>
      <c r="O850" s="487"/>
      <c r="P850" s="487">
        <f t="shared" si="141"/>
        <v>0</v>
      </c>
      <c r="Q850" s="487"/>
      <c r="R850" s="487"/>
      <c r="S850" s="487"/>
      <c r="T850" s="493"/>
    </row>
    <row r="851" spans="1:20" x14ac:dyDescent="0.3">
      <c r="A851" s="487" t="b">
        <f t="shared" ca="1" si="131"/>
        <v>0</v>
      </c>
      <c r="B851" s="487">
        <f t="shared" si="138"/>
        <v>160</v>
      </c>
      <c r="C851" s="509" t="str">
        <f t="shared" ca="1" si="132"/>
        <v>a173p000006iLbnAAE</v>
      </c>
      <c r="D851" s="487"/>
      <c r="E851" s="487">
        <f t="shared" ca="1" si="139"/>
        <v>4</v>
      </c>
      <c r="F851" s="506">
        <f ca="1">IF(COUNTA(D$510:D851)=1,"",OFFSET(F849,-COUNTA(D$510:D851)+3,0))</f>
        <v>27</v>
      </c>
      <c r="G851" s="493" t="str">
        <f t="shared" ca="1" si="133"/>
        <v/>
      </c>
      <c r="H851" s="487">
        <f t="shared" ca="1" si="140"/>
        <v>61</v>
      </c>
      <c r="I851" s="490" t="str">
        <f t="shared" ca="1" si="134"/>
        <v/>
      </c>
      <c r="J851" s="502" t="str">
        <f t="shared" ca="1" si="135"/>
        <v/>
      </c>
      <c r="K851" s="502" t="str">
        <f t="shared" ca="1" si="136"/>
        <v/>
      </c>
      <c r="L851" s="493" t="str">
        <f t="shared" ca="1" si="137"/>
        <v/>
      </c>
      <c r="M851" s="505" t="str">
        <f ca="1">IFERROR(IF(COUNTIF($B$509:$B850,"&lt;0")&lt;&gt;1,OFFSET($C849,-COUNTIF($B$509:$B850,"&lt;0")+3,0),""),"")</f>
        <v>a173p000006iLbnAAE</v>
      </c>
      <c r="N851" s="505">
        <f ca="1">IFERROR(IF(COUNTA($D$509:D850)=1,0,OFFSET($F849,-COUNTA($D$509:D850)+3,0)),"")</f>
        <v>27</v>
      </c>
      <c r="O851" s="487"/>
      <c r="P851" s="487">
        <f t="shared" si="141"/>
        <v>0</v>
      </c>
      <c r="Q851" s="487"/>
      <c r="R851" s="487"/>
      <c r="S851" s="487"/>
      <c r="T851" s="493"/>
    </row>
    <row r="852" spans="1:20" x14ac:dyDescent="0.3">
      <c r="A852" s="487" t="b">
        <f t="shared" ca="1" si="131"/>
        <v>0</v>
      </c>
      <c r="B852" s="487">
        <f t="shared" si="138"/>
        <v>161</v>
      </c>
      <c r="C852" s="509" t="str">
        <f t="shared" ca="1" si="132"/>
        <v>a173p000006iLcHAAU</v>
      </c>
      <c r="D852" s="487"/>
      <c r="E852" s="487">
        <f t="shared" ca="1" si="139"/>
        <v>5</v>
      </c>
      <c r="F852" s="506">
        <f ca="1">IF(COUNTA(D$510:D852)=1,"",OFFSET(F850,-COUNTA(D$510:D852)+3,0))</f>
        <v>27</v>
      </c>
      <c r="G852" s="493" t="str">
        <f t="shared" ca="1" si="133"/>
        <v/>
      </c>
      <c r="H852" s="487">
        <f t="shared" ca="1" si="140"/>
        <v>61</v>
      </c>
      <c r="I852" s="490" t="str">
        <f t="shared" ca="1" si="134"/>
        <v/>
      </c>
      <c r="J852" s="502" t="str">
        <f t="shared" ca="1" si="135"/>
        <v/>
      </c>
      <c r="K852" s="502" t="str">
        <f t="shared" ca="1" si="136"/>
        <v/>
      </c>
      <c r="L852" s="493" t="str">
        <f t="shared" ca="1" si="137"/>
        <v/>
      </c>
      <c r="M852" s="505" t="str">
        <f ca="1">IFERROR(IF(COUNTIF($B$509:$B851,"&lt;0")&lt;&gt;1,OFFSET($C850,-COUNTIF($B$509:$B851,"&lt;0")+3,0),""),"")</f>
        <v>a173p000006iLcHAAU</v>
      </c>
      <c r="N852" s="505">
        <f ca="1">IFERROR(IF(COUNTA($D$509:D851)=1,0,OFFSET($F850,-COUNTA($D$509:D851)+3,0)),"")</f>
        <v>27</v>
      </c>
      <c r="O852" s="487"/>
      <c r="P852" s="487">
        <f t="shared" si="141"/>
        <v>0</v>
      </c>
      <c r="Q852" s="487"/>
      <c r="R852" s="487"/>
      <c r="S852" s="487"/>
      <c r="T852" s="493"/>
    </row>
    <row r="853" spans="1:20" x14ac:dyDescent="0.3">
      <c r="A853" s="487" t="b">
        <f t="shared" ca="1" si="131"/>
        <v>0</v>
      </c>
      <c r="B853" s="487">
        <f t="shared" si="138"/>
        <v>162</v>
      </c>
      <c r="C853" s="509" t="str">
        <f t="shared" ca="1" si="132"/>
        <v>a173p000006iLclAAE</v>
      </c>
      <c r="D853" s="487"/>
      <c r="E853" s="487">
        <f t="shared" ca="1" si="139"/>
        <v>6</v>
      </c>
      <c r="F853" s="506">
        <f ca="1">IF(COUNTA(D$510:D853)=1,"",OFFSET(F851,-COUNTA(D$510:D853)+3,0))</f>
        <v>27</v>
      </c>
      <c r="G853" s="493" t="str">
        <f t="shared" ca="1" si="133"/>
        <v/>
      </c>
      <c r="H853" s="487">
        <f t="shared" ca="1" si="140"/>
        <v>61</v>
      </c>
      <c r="I853" s="490" t="str">
        <f t="shared" ca="1" si="134"/>
        <v/>
      </c>
      <c r="J853" s="502" t="str">
        <f t="shared" ca="1" si="135"/>
        <v/>
      </c>
      <c r="K853" s="502" t="str">
        <f t="shared" ca="1" si="136"/>
        <v/>
      </c>
      <c r="L853" s="493" t="str">
        <f t="shared" ca="1" si="137"/>
        <v/>
      </c>
      <c r="M853" s="505" t="str">
        <f ca="1">IFERROR(IF(COUNTIF($B$509:$B852,"&lt;0")&lt;&gt;1,OFFSET($C851,-COUNTIF($B$509:$B852,"&lt;0")+3,0),""),"")</f>
        <v>a173p000006iLclAAE</v>
      </c>
      <c r="N853" s="505">
        <f ca="1">IFERROR(IF(COUNTA($D$509:D852)=1,0,OFFSET($F851,-COUNTA($D$509:D852)+3,0)),"")</f>
        <v>27</v>
      </c>
      <c r="O853" s="487"/>
      <c r="P853" s="487">
        <f t="shared" si="141"/>
        <v>0</v>
      </c>
      <c r="Q853" s="487"/>
      <c r="R853" s="487"/>
      <c r="S853" s="487"/>
      <c r="T853" s="493"/>
    </row>
    <row r="854" spans="1:20" x14ac:dyDescent="0.3">
      <c r="A854" s="487" t="b">
        <f t="shared" ca="1" si="131"/>
        <v>0</v>
      </c>
      <c r="B854" s="487">
        <f t="shared" si="138"/>
        <v>163</v>
      </c>
      <c r="C854" s="509" t="str">
        <f t="shared" ca="1" si="132"/>
        <v>a173p000006iLaMAAU</v>
      </c>
      <c r="D854" s="487"/>
      <c r="E854" s="487">
        <f t="shared" ca="1" si="139"/>
        <v>1</v>
      </c>
      <c r="F854" s="506">
        <f ca="1">IF(COUNTA(D$510:D854)=1,"",OFFSET(F852,-COUNTA(D$510:D854)+3,0))</f>
        <v>28</v>
      </c>
      <c r="G854" s="493" t="str">
        <f t="shared" ca="1" si="133"/>
        <v/>
      </c>
      <c r="H854" s="487">
        <f t="shared" ca="1" si="140"/>
        <v>63</v>
      </c>
      <c r="I854" s="490" t="str">
        <f t="shared" ca="1" si="134"/>
        <v/>
      </c>
      <c r="J854" s="502" t="str">
        <f t="shared" ca="1" si="135"/>
        <v/>
      </c>
      <c r="K854" s="502" t="str">
        <f t="shared" ca="1" si="136"/>
        <v/>
      </c>
      <c r="L854" s="493" t="str">
        <f t="shared" ca="1" si="137"/>
        <v/>
      </c>
      <c r="M854" s="505" t="str">
        <f ca="1">IFERROR(IF(COUNTIF($B$509:$B853,"&lt;0")&lt;&gt;1,OFFSET($C852,-COUNTIF($B$509:$B853,"&lt;0")+3,0),""),"")</f>
        <v>a173p000006iLaMAAU</v>
      </c>
      <c r="N854" s="505">
        <f ca="1">IFERROR(IF(COUNTA($D$509:D853)=1,0,OFFSET($F852,-COUNTA($D$509:D853)+3,0)),"")</f>
        <v>28</v>
      </c>
      <c r="O854" s="487"/>
      <c r="P854" s="487">
        <f t="shared" si="141"/>
        <v>0</v>
      </c>
      <c r="Q854" s="487"/>
      <c r="R854" s="487"/>
      <c r="S854" s="487"/>
      <c r="T854" s="493"/>
    </row>
    <row r="855" spans="1:20" x14ac:dyDescent="0.3">
      <c r="A855" s="487" t="b">
        <f t="shared" ca="1" si="131"/>
        <v>0</v>
      </c>
      <c r="B855" s="487">
        <f t="shared" si="138"/>
        <v>164</v>
      </c>
      <c r="C855" s="509" t="str">
        <f t="shared" ca="1" si="132"/>
        <v>a173p000006iLaqAAE</v>
      </c>
      <c r="D855" s="487"/>
      <c r="E855" s="487">
        <f t="shared" ca="1" si="139"/>
        <v>2</v>
      </c>
      <c r="F855" s="506">
        <f ca="1">IF(COUNTA(D$510:D855)=1,"",OFFSET(F853,-COUNTA(D$510:D855)+3,0))</f>
        <v>28</v>
      </c>
      <c r="G855" s="493" t="str">
        <f t="shared" ca="1" si="133"/>
        <v/>
      </c>
      <c r="H855" s="487">
        <f t="shared" ca="1" si="140"/>
        <v>63</v>
      </c>
      <c r="I855" s="490" t="str">
        <f t="shared" ca="1" si="134"/>
        <v/>
      </c>
      <c r="J855" s="502" t="str">
        <f t="shared" ca="1" si="135"/>
        <v/>
      </c>
      <c r="K855" s="502" t="str">
        <f t="shared" ca="1" si="136"/>
        <v/>
      </c>
      <c r="L855" s="493" t="str">
        <f t="shared" ca="1" si="137"/>
        <v/>
      </c>
      <c r="M855" s="505" t="str">
        <f ca="1">IFERROR(IF(COUNTIF($B$509:$B854,"&lt;0")&lt;&gt;1,OFFSET($C853,-COUNTIF($B$509:$B854,"&lt;0")+3,0),""),"")</f>
        <v>a173p000006iLaqAAE</v>
      </c>
      <c r="N855" s="505">
        <f ca="1">IFERROR(IF(COUNTA($D$509:D854)=1,0,OFFSET($F853,-COUNTA($D$509:D854)+3,0)),"")</f>
        <v>28</v>
      </c>
      <c r="O855" s="487"/>
      <c r="P855" s="487">
        <f t="shared" si="141"/>
        <v>0</v>
      </c>
      <c r="Q855" s="487"/>
      <c r="R855" s="487"/>
      <c r="S855" s="487"/>
      <c r="T855" s="493"/>
    </row>
    <row r="856" spans="1:20" x14ac:dyDescent="0.3">
      <c r="A856" s="487" t="b">
        <f t="shared" ca="1" si="131"/>
        <v>0</v>
      </c>
      <c r="B856" s="487">
        <f t="shared" si="138"/>
        <v>165</v>
      </c>
      <c r="C856" s="509" t="str">
        <f t="shared" ca="1" si="132"/>
        <v>a173p000006iLbKAAU</v>
      </c>
      <c r="D856" s="487"/>
      <c r="E856" s="487">
        <f t="shared" ca="1" si="139"/>
        <v>3</v>
      </c>
      <c r="F856" s="506">
        <f ca="1">IF(COUNTA(D$510:D856)=1,"",OFFSET(F854,-COUNTA(D$510:D856)+3,0))</f>
        <v>28</v>
      </c>
      <c r="G856" s="493" t="str">
        <f t="shared" ca="1" si="133"/>
        <v/>
      </c>
      <c r="H856" s="487">
        <f t="shared" ca="1" si="140"/>
        <v>63</v>
      </c>
      <c r="I856" s="490" t="str">
        <f t="shared" ca="1" si="134"/>
        <v/>
      </c>
      <c r="J856" s="502" t="str">
        <f t="shared" ca="1" si="135"/>
        <v/>
      </c>
      <c r="K856" s="502" t="str">
        <f t="shared" ca="1" si="136"/>
        <v/>
      </c>
      <c r="L856" s="493" t="str">
        <f t="shared" ca="1" si="137"/>
        <v/>
      </c>
      <c r="M856" s="505" t="str">
        <f ca="1">IFERROR(IF(COUNTIF($B$509:$B855,"&lt;0")&lt;&gt;1,OFFSET($C854,-COUNTIF($B$509:$B855,"&lt;0")+3,0),""),"")</f>
        <v>a173p000006iLbKAAU</v>
      </c>
      <c r="N856" s="505">
        <f ca="1">IFERROR(IF(COUNTA($D$509:D855)=1,0,OFFSET($F854,-COUNTA($D$509:D855)+3,0)),"")</f>
        <v>28</v>
      </c>
      <c r="O856" s="487"/>
      <c r="P856" s="487">
        <f t="shared" si="141"/>
        <v>0</v>
      </c>
      <c r="Q856" s="487"/>
      <c r="R856" s="487"/>
      <c r="S856" s="487"/>
      <c r="T856" s="493"/>
    </row>
    <row r="857" spans="1:20" x14ac:dyDescent="0.3">
      <c r="A857" s="487" t="b">
        <f t="shared" ca="1" si="131"/>
        <v>0</v>
      </c>
      <c r="B857" s="487">
        <f t="shared" si="138"/>
        <v>166</v>
      </c>
      <c r="C857" s="509" t="str">
        <f t="shared" ca="1" si="132"/>
        <v>a173p000006iLboAAE</v>
      </c>
      <c r="D857" s="487"/>
      <c r="E857" s="487">
        <f t="shared" ca="1" si="139"/>
        <v>4</v>
      </c>
      <c r="F857" s="506">
        <f ca="1">IF(COUNTA(D$510:D857)=1,"",OFFSET(F855,-COUNTA(D$510:D857)+3,0))</f>
        <v>28</v>
      </c>
      <c r="G857" s="493" t="str">
        <f t="shared" ca="1" si="133"/>
        <v/>
      </c>
      <c r="H857" s="487">
        <f t="shared" ca="1" si="140"/>
        <v>63</v>
      </c>
      <c r="I857" s="490" t="str">
        <f t="shared" ca="1" si="134"/>
        <v/>
      </c>
      <c r="J857" s="502" t="str">
        <f t="shared" ca="1" si="135"/>
        <v/>
      </c>
      <c r="K857" s="502" t="str">
        <f t="shared" ca="1" si="136"/>
        <v/>
      </c>
      <c r="L857" s="493" t="str">
        <f t="shared" ca="1" si="137"/>
        <v/>
      </c>
      <c r="M857" s="505" t="str">
        <f ca="1">IFERROR(IF(COUNTIF($B$509:$B856,"&lt;0")&lt;&gt;1,OFFSET($C855,-COUNTIF($B$509:$B856,"&lt;0")+3,0),""),"")</f>
        <v>a173p000006iLboAAE</v>
      </c>
      <c r="N857" s="505">
        <f ca="1">IFERROR(IF(COUNTA($D$509:D856)=1,0,OFFSET($F855,-COUNTA($D$509:D856)+3,0)),"")</f>
        <v>28</v>
      </c>
      <c r="O857" s="487"/>
      <c r="P857" s="487">
        <f t="shared" si="141"/>
        <v>0</v>
      </c>
      <c r="Q857" s="487"/>
      <c r="R857" s="487"/>
      <c r="S857" s="487"/>
      <c r="T857" s="493"/>
    </row>
    <row r="858" spans="1:20" x14ac:dyDescent="0.3">
      <c r="A858" s="487" t="b">
        <f t="shared" ca="1" si="131"/>
        <v>0</v>
      </c>
      <c r="B858" s="487">
        <f t="shared" si="138"/>
        <v>167</v>
      </c>
      <c r="C858" s="509" t="str">
        <f t="shared" ca="1" si="132"/>
        <v>a173p000006iLcIAAU</v>
      </c>
      <c r="D858" s="487"/>
      <c r="E858" s="487">
        <f t="shared" ca="1" si="139"/>
        <v>5</v>
      </c>
      <c r="F858" s="506">
        <f ca="1">IF(COUNTA(D$510:D858)=1,"",OFFSET(F856,-COUNTA(D$510:D858)+3,0))</f>
        <v>28</v>
      </c>
      <c r="G858" s="493" t="str">
        <f t="shared" ca="1" si="133"/>
        <v/>
      </c>
      <c r="H858" s="487">
        <f t="shared" ca="1" si="140"/>
        <v>63</v>
      </c>
      <c r="I858" s="490" t="str">
        <f t="shared" ca="1" si="134"/>
        <v/>
      </c>
      <c r="J858" s="502" t="str">
        <f t="shared" ca="1" si="135"/>
        <v/>
      </c>
      <c r="K858" s="502" t="str">
        <f t="shared" ca="1" si="136"/>
        <v/>
      </c>
      <c r="L858" s="493" t="str">
        <f t="shared" ca="1" si="137"/>
        <v/>
      </c>
      <c r="M858" s="505" t="str">
        <f ca="1">IFERROR(IF(COUNTIF($B$509:$B857,"&lt;0")&lt;&gt;1,OFFSET($C856,-COUNTIF($B$509:$B857,"&lt;0")+3,0),""),"")</f>
        <v>a173p000006iLcIAAU</v>
      </c>
      <c r="N858" s="505">
        <f ca="1">IFERROR(IF(COUNTA($D$509:D857)=1,0,OFFSET($F856,-COUNTA($D$509:D857)+3,0)),"")</f>
        <v>28</v>
      </c>
      <c r="O858" s="487"/>
      <c r="P858" s="487">
        <f t="shared" si="141"/>
        <v>0</v>
      </c>
      <c r="Q858" s="487"/>
      <c r="R858" s="487"/>
      <c r="S858" s="487"/>
      <c r="T858" s="493"/>
    </row>
    <row r="859" spans="1:20" x14ac:dyDescent="0.3">
      <c r="A859" s="487" t="b">
        <f t="shared" ca="1" si="131"/>
        <v>0</v>
      </c>
      <c r="B859" s="487">
        <f t="shared" si="138"/>
        <v>168</v>
      </c>
      <c r="C859" s="509" t="str">
        <f t="shared" ca="1" si="132"/>
        <v>a173p000006iLcmAAE</v>
      </c>
      <c r="D859" s="487"/>
      <c r="E859" s="487">
        <f t="shared" ca="1" si="139"/>
        <v>6</v>
      </c>
      <c r="F859" s="506">
        <f ca="1">IF(COUNTA(D$510:D859)=1,"",OFFSET(F857,-COUNTA(D$510:D859)+3,0))</f>
        <v>28</v>
      </c>
      <c r="G859" s="493" t="str">
        <f t="shared" ca="1" si="133"/>
        <v/>
      </c>
      <c r="H859" s="487">
        <f t="shared" ca="1" si="140"/>
        <v>63</v>
      </c>
      <c r="I859" s="490" t="str">
        <f t="shared" ca="1" si="134"/>
        <v/>
      </c>
      <c r="J859" s="502" t="str">
        <f t="shared" ca="1" si="135"/>
        <v/>
      </c>
      <c r="K859" s="502" t="str">
        <f t="shared" ca="1" si="136"/>
        <v/>
      </c>
      <c r="L859" s="493" t="str">
        <f t="shared" ca="1" si="137"/>
        <v/>
      </c>
      <c r="M859" s="505" t="str">
        <f ca="1">IFERROR(IF(COUNTIF($B$509:$B858,"&lt;0")&lt;&gt;1,OFFSET($C857,-COUNTIF($B$509:$B858,"&lt;0")+3,0),""),"")</f>
        <v>a173p000006iLcmAAE</v>
      </c>
      <c r="N859" s="505">
        <f ca="1">IFERROR(IF(COUNTA($D$509:D858)=1,0,OFFSET($F857,-COUNTA($D$509:D858)+3,0)),"")</f>
        <v>28</v>
      </c>
      <c r="O859" s="487"/>
      <c r="P859" s="487">
        <f t="shared" si="141"/>
        <v>0</v>
      </c>
      <c r="Q859" s="487"/>
      <c r="R859" s="487"/>
      <c r="S859" s="487"/>
      <c r="T859" s="493"/>
    </row>
    <row r="860" spans="1:20" x14ac:dyDescent="0.3">
      <c r="A860" s="487" t="b">
        <f t="shared" ca="1" si="131"/>
        <v>0</v>
      </c>
      <c r="B860" s="487">
        <f t="shared" si="138"/>
        <v>169</v>
      </c>
      <c r="C860" s="509" t="str">
        <f t="shared" ca="1" si="132"/>
        <v>a173p000006iLaNAAU</v>
      </c>
      <c r="D860" s="487"/>
      <c r="E860" s="487">
        <f t="shared" ca="1" si="139"/>
        <v>1</v>
      </c>
      <c r="F860" s="506">
        <f ca="1">IF(COUNTA(D$510:D860)=1,"",OFFSET(F858,-COUNTA(D$510:D860)+3,0))</f>
        <v>29</v>
      </c>
      <c r="G860" s="493" t="str">
        <f t="shared" ca="1" si="133"/>
        <v/>
      </c>
      <c r="H860" s="487">
        <f t="shared" ca="1" si="140"/>
        <v>65</v>
      </c>
      <c r="I860" s="490" t="str">
        <f t="shared" ca="1" si="134"/>
        <v/>
      </c>
      <c r="J860" s="502" t="str">
        <f t="shared" ca="1" si="135"/>
        <v/>
      </c>
      <c r="K860" s="502" t="str">
        <f t="shared" ca="1" si="136"/>
        <v/>
      </c>
      <c r="L860" s="493" t="str">
        <f t="shared" ca="1" si="137"/>
        <v/>
      </c>
      <c r="M860" s="505" t="str">
        <f ca="1">IFERROR(IF(COUNTIF($B$509:$B859,"&lt;0")&lt;&gt;1,OFFSET($C858,-COUNTIF($B$509:$B859,"&lt;0")+3,0),""),"")</f>
        <v>a173p000006iLaNAAU</v>
      </c>
      <c r="N860" s="505">
        <f ca="1">IFERROR(IF(COUNTA($D$509:D859)=1,0,OFFSET($F858,-COUNTA($D$509:D859)+3,0)),"")</f>
        <v>29</v>
      </c>
      <c r="O860" s="487"/>
      <c r="P860" s="487">
        <f t="shared" si="141"/>
        <v>0</v>
      </c>
      <c r="Q860" s="487"/>
      <c r="R860" s="487"/>
      <c r="S860" s="487"/>
      <c r="T860" s="493"/>
    </row>
    <row r="861" spans="1:20" x14ac:dyDescent="0.3">
      <c r="A861" s="487" t="b">
        <f t="shared" ca="1" si="131"/>
        <v>0</v>
      </c>
      <c r="B861" s="487">
        <f t="shared" si="138"/>
        <v>170</v>
      </c>
      <c r="C861" s="509" t="str">
        <f t="shared" ca="1" si="132"/>
        <v>a173p000006iLarAAE</v>
      </c>
      <c r="D861" s="487"/>
      <c r="E861" s="487">
        <f t="shared" ca="1" si="139"/>
        <v>2</v>
      </c>
      <c r="F861" s="506">
        <f ca="1">IF(COUNTA(D$510:D861)=1,"",OFFSET(F859,-COUNTA(D$510:D861)+3,0))</f>
        <v>29</v>
      </c>
      <c r="G861" s="493" t="str">
        <f t="shared" ca="1" si="133"/>
        <v/>
      </c>
      <c r="H861" s="487">
        <f t="shared" ca="1" si="140"/>
        <v>65</v>
      </c>
      <c r="I861" s="490" t="str">
        <f t="shared" ca="1" si="134"/>
        <v/>
      </c>
      <c r="J861" s="502" t="str">
        <f t="shared" ca="1" si="135"/>
        <v/>
      </c>
      <c r="K861" s="502" t="str">
        <f t="shared" ca="1" si="136"/>
        <v/>
      </c>
      <c r="L861" s="493" t="str">
        <f t="shared" ca="1" si="137"/>
        <v/>
      </c>
      <c r="M861" s="505" t="str">
        <f ca="1">IFERROR(IF(COUNTIF($B$509:$B860,"&lt;0")&lt;&gt;1,OFFSET($C859,-COUNTIF($B$509:$B860,"&lt;0")+3,0),""),"")</f>
        <v>a173p000006iLarAAE</v>
      </c>
      <c r="N861" s="505">
        <f ca="1">IFERROR(IF(COUNTA($D$509:D860)=1,0,OFFSET($F859,-COUNTA($D$509:D860)+3,0)),"")</f>
        <v>29</v>
      </c>
      <c r="O861" s="487"/>
      <c r="P861" s="487">
        <f t="shared" si="141"/>
        <v>0</v>
      </c>
      <c r="Q861" s="487"/>
      <c r="R861" s="487"/>
      <c r="S861" s="487"/>
      <c r="T861" s="493"/>
    </row>
    <row r="862" spans="1:20" x14ac:dyDescent="0.3">
      <c r="A862" s="487" t="b">
        <f t="shared" ca="1" si="131"/>
        <v>0</v>
      </c>
      <c r="B862" s="487">
        <f t="shared" si="138"/>
        <v>171</v>
      </c>
      <c r="C862" s="509" t="str">
        <f t="shared" ca="1" si="132"/>
        <v>a173p000006iLbLAAU</v>
      </c>
      <c r="D862" s="487"/>
      <c r="E862" s="487">
        <f t="shared" ca="1" si="139"/>
        <v>3</v>
      </c>
      <c r="F862" s="506">
        <f ca="1">IF(COUNTA(D$510:D862)=1,"",OFFSET(F860,-COUNTA(D$510:D862)+3,0))</f>
        <v>29</v>
      </c>
      <c r="G862" s="493" t="str">
        <f t="shared" ca="1" si="133"/>
        <v/>
      </c>
      <c r="H862" s="487">
        <f t="shared" ca="1" si="140"/>
        <v>65</v>
      </c>
      <c r="I862" s="490" t="str">
        <f t="shared" ca="1" si="134"/>
        <v/>
      </c>
      <c r="J862" s="502" t="str">
        <f t="shared" ca="1" si="135"/>
        <v/>
      </c>
      <c r="K862" s="502" t="str">
        <f t="shared" ca="1" si="136"/>
        <v/>
      </c>
      <c r="L862" s="493" t="str">
        <f t="shared" ca="1" si="137"/>
        <v/>
      </c>
      <c r="M862" s="505" t="str">
        <f ca="1">IFERROR(IF(COUNTIF($B$509:$B861,"&lt;0")&lt;&gt;1,OFFSET($C860,-COUNTIF($B$509:$B861,"&lt;0")+3,0),""),"")</f>
        <v>a173p000006iLbLAAU</v>
      </c>
      <c r="N862" s="505">
        <f ca="1">IFERROR(IF(COUNTA($D$509:D861)=1,0,OFFSET($F860,-COUNTA($D$509:D861)+3,0)),"")</f>
        <v>29</v>
      </c>
      <c r="O862" s="487"/>
      <c r="P862" s="487">
        <f t="shared" si="141"/>
        <v>0</v>
      </c>
      <c r="Q862" s="487"/>
      <c r="R862" s="487"/>
      <c r="S862" s="487"/>
      <c r="T862" s="493"/>
    </row>
    <row r="863" spans="1:20" x14ac:dyDescent="0.3">
      <c r="A863" s="487" t="b">
        <f t="shared" ca="1" si="131"/>
        <v>0</v>
      </c>
      <c r="B863" s="487">
        <f t="shared" si="138"/>
        <v>172</v>
      </c>
      <c r="C863" s="509" t="str">
        <f t="shared" ca="1" si="132"/>
        <v>a173p000006iLbpAAE</v>
      </c>
      <c r="D863" s="487"/>
      <c r="E863" s="487">
        <f t="shared" ca="1" si="139"/>
        <v>4</v>
      </c>
      <c r="F863" s="506">
        <f ca="1">IF(COUNTA(D$510:D863)=1,"",OFFSET(F861,-COUNTA(D$510:D863)+3,0))</f>
        <v>29</v>
      </c>
      <c r="G863" s="493" t="str">
        <f t="shared" ca="1" si="133"/>
        <v/>
      </c>
      <c r="H863" s="487">
        <f t="shared" ca="1" si="140"/>
        <v>65</v>
      </c>
      <c r="I863" s="490" t="str">
        <f t="shared" ca="1" si="134"/>
        <v/>
      </c>
      <c r="J863" s="502" t="str">
        <f t="shared" ca="1" si="135"/>
        <v/>
      </c>
      <c r="K863" s="502" t="str">
        <f t="shared" ca="1" si="136"/>
        <v/>
      </c>
      <c r="L863" s="493" t="str">
        <f t="shared" ca="1" si="137"/>
        <v/>
      </c>
      <c r="M863" s="505" t="str">
        <f ca="1">IFERROR(IF(COUNTIF($B$509:$B862,"&lt;0")&lt;&gt;1,OFFSET($C861,-COUNTIF($B$509:$B862,"&lt;0")+3,0),""),"")</f>
        <v>a173p000006iLbpAAE</v>
      </c>
      <c r="N863" s="505">
        <f ca="1">IFERROR(IF(COUNTA($D$509:D862)=1,0,OFFSET($F861,-COUNTA($D$509:D862)+3,0)),"")</f>
        <v>29</v>
      </c>
      <c r="O863" s="487"/>
      <c r="P863" s="487">
        <f t="shared" si="141"/>
        <v>0</v>
      </c>
      <c r="Q863" s="487"/>
      <c r="R863" s="487"/>
      <c r="S863" s="487"/>
      <c r="T863" s="493"/>
    </row>
    <row r="864" spans="1:20" x14ac:dyDescent="0.3">
      <c r="A864" s="487" t="b">
        <f t="shared" ca="1" si="131"/>
        <v>0</v>
      </c>
      <c r="B864" s="487">
        <f t="shared" si="138"/>
        <v>173</v>
      </c>
      <c r="C864" s="509" t="str">
        <f t="shared" ca="1" si="132"/>
        <v>a173p000006iLcJAAU</v>
      </c>
      <c r="D864" s="487"/>
      <c r="E864" s="487">
        <f t="shared" ca="1" si="139"/>
        <v>5</v>
      </c>
      <c r="F864" s="506">
        <f ca="1">IF(COUNTA(D$510:D864)=1,"",OFFSET(F862,-COUNTA(D$510:D864)+3,0))</f>
        <v>29</v>
      </c>
      <c r="G864" s="493" t="str">
        <f t="shared" ca="1" si="133"/>
        <v/>
      </c>
      <c r="H864" s="487">
        <f t="shared" ca="1" si="140"/>
        <v>65</v>
      </c>
      <c r="I864" s="490" t="str">
        <f t="shared" ca="1" si="134"/>
        <v/>
      </c>
      <c r="J864" s="502" t="str">
        <f t="shared" ca="1" si="135"/>
        <v/>
      </c>
      <c r="K864" s="502" t="str">
        <f t="shared" ca="1" si="136"/>
        <v/>
      </c>
      <c r="L864" s="493" t="str">
        <f t="shared" ca="1" si="137"/>
        <v/>
      </c>
      <c r="M864" s="505" t="str">
        <f ca="1">IFERROR(IF(COUNTIF($B$509:$B863,"&lt;0")&lt;&gt;1,OFFSET($C862,-COUNTIF($B$509:$B863,"&lt;0")+3,0),""),"")</f>
        <v>a173p000006iLcJAAU</v>
      </c>
      <c r="N864" s="505">
        <f ca="1">IFERROR(IF(COUNTA($D$509:D863)=1,0,OFFSET($F862,-COUNTA($D$509:D863)+3,0)),"")</f>
        <v>29</v>
      </c>
      <c r="O864" s="487"/>
      <c r="P864" s="487">
        <f t="shared" si="141"/>
        <v>0</v>
      </c>
      <c r="Q864" s="487"/>
      <c r="R864" s="487"/>
      <c r="S864" s="487"/>
      <c r="T864" s="493"/>
    </row>
    <row r="865" spans="1:20" x14ac:dyDescent="0.3">
      <c r="A865" s="487" t="b">
        <f t="shared" ca="1" si="131"/>
        <v>0</v>
      </c>
      <c r="B865" s="487">
        <f t="shared" si="138"/>
        <v>174</v>
      </c>
      <c r="C865" s="509" t="str">
        <f t="shared" ca="1" si="132"/>
        <v>a173p000006iLcnAAE</v>
      </c>
      <c r="D865" s="487"/>
      <c r="E865" s="487">
        <f t="shared" ca="1" si="139"/>
        <v>6</v>
      </c>
      <c r="F865" s="506">
        <f ca="1">IF(COUNTA(D$510:D865)=1,"",OFFSET(F863,-COUNTA(D$510:D865)+3,0))</f>
        <v>29</v>
      </c>
      <c r="G865" s="493" t="str">
        <f t="shared" ca="1" si="133"/>
        <v/>
      </c>
      <c r="H865" s="487">
        <f t="shared" ca="1" si="140"/>
        <v>65</v>
      </c>
      <c r="I865" s="490" t="str">
        <f t="shared" ca="1" si="134"/>
        <v/>
      </c>
      <c r="J865" s="502" t="str">
        <f t="shared" ca="1" si="135"/>
        <v/>
      </c>
      <c r="K865" s="502" t="str">
        <f t="shared" ca="1" si="136"/>
        <v/>
      </c>
      <c r="L865" s="493" t="str">
        <f t="shared" ca="1" si="137"/>
        <v/>
      </c>
      <c r="M865" s="505" t="str">
        <f ca="1">IFERROR(IF(COUNTIF($B$509:$B864,"&lt;0")&lt;&gt;1,OFFSET($C863,-COUNTIF($B$509:$B864,"&lt;0")+3,0),""),"")</f>
        <v>a173p000006iLcnAAE</v>
      </c>
      <c r="N865" s="505">
        <f ca="1">IFERROR(IF(COUNTA($D$509:D864)=1,0,OFFSET($F863,-COUNTA($D$509:D864)+3,0)),"")</f>
        <v>29</v>
      </c>
      <c r="O865" s="487"/>
      <c r="P865" s="487">
        <f t="shared" si="141"/>
        <v>0</v>
      </c>
      <c r="Q865" s="487"/>
      <c r="R865" s="487"/>
      <c r="S865" s="487"/>
      <c r="T865" s="493"/>
    </row>
    <row r="866" spans="1:20" x14ac:dyDescent="0.3">
      <c r="A866" s="487" t="b">
        <f t="shared" ca="1" si="131"/>
        <v>0</v>
      </c>
      <c r="B866" s="487">
        <f t="shared" si="138"/>
        <v>175</v>
      </c>
      <c r="C866" s="509" t="str">
        <f t="shared" ca="1" si="132"/>
        <v>a173p000006iLaOAAU</v>
      </c>
      <c r="D866" s="487"/>
      <c r="E866" s="487">
        <f t="shared" ca="1" si="139"/>
        <v>1</v>
      </c>
      <c r="F866" s="506">
        <f ca="1">IF(COUNTA(D$510:D866)=1,"",OFFSET(F864,-COUNTA(D$510:D866)+3,0))</f>
        <v>30</v>
      </c>
      <c r="G866" s="493" t="str">
        <f t="shared" ca="1" si="133"/>
        <v/>
      </c>
      <c r="H866" s="487">
        <f t="shared" ca="1" si="140"/>
        <v>67</v>
      </c>
      <c r="I866" s="490" t="str">
        <f t="shared" ca="1" si="134"/>
        <v/>
      </c>
      <c r="J866" s="502" t="str">
        <f t="shared" ca="1" si="135"/>
        <v/>
      </c>
      <c r="K866" s="502" t="str">
        <f t="shared" ca="1" si="136"/>
        <v/>
      </c>
      <c r="L866" s="493" t="str">
        <f t="shared" ca="1" si="137"/>
        <v/>
      </c>
      <c r="M866" s="505" t="str">
        <f ca="1">IFERROR(IF(COUNTIF($B$509:$B865,"&lt;0")&lt;&gt;1,OFFSET($C864,-COUNTIF($B$509:$B865,"&lt;0")+3,0),""),"")</f>
        <v>a173p000006iLaOAAU</v>
      </c>
      <c r="N866" s="505">
        <f ca="1">IFERROR(IF(COUNTA($D$509:D865)=1,0,OFFSET($F864,-COUNTA($D$509:D865)+3,0)),"")</f>
        <v>30</v>
      </c>
      <c r="O866" s="487"/>
      <c r="P866" s="487">
        <f t="shared" si="141"/>
        <v>0</v>
      </c>
      <c r="Q866" s="487"/>
      <c r="R866" s="487"/>
      <c r="S866" s="487"/>
      <c r="T866" s="493"/>
    </row>
    <row r="867" spans="1:20" x14ac:dyDescent="0.3">
      <c r="A867" s="487" t="b">
        <f t="shared" ca="1" si="131"/>
        <v>0</v>
      </c>
      <c r="B867" s="487">
        <f t="shared" si="138"/>
        <v>176</v>
      </c>
      <c r="C867" s="509" t="str">
        <f t="shared" ca="1" si="132"/>
        <v>a173p000006iLasAAE</v>
      </c>
      <c r="D867" s="487"/>
      <c r="E867" s="487">
        <f t="shared" ca="1" si="139"/>
        <v>2</v>
      </c>
      <c r="F867" s="506">
        <f ca="1">IF(COUNTA(D$510:D867)=1,"",OFFSET(F865,-COUNTA(D$510:D867)+3,0))</f>
        <v>30</v>
      </c>
      <c r="G867" s="493" t="str">
        <f t="shared" ca="1" si="133"/>
        <v/>
      </c>
      <c r="H867" s="487">
        <f t="shared" ca="1" si="140"/>
        <v>67</v>
      </c>
      <c r="I867" s="490" t="str">
        <f t="shared" ca="1" si="134"/>
        <v/>
      </c>
      <c r="J867" s="502" t="str">
        <f t="shared" ca="1" si="135"/>
        <v/>
      </c>
      <c r="K867" s="502" t="str">
        <f t="shared" ca="1" si="136"/>
        <v/>
      </c>
      <c r="L867" s="493" t="str">
        <f t="shared" ca="1" si="137"/>
        <v/>
      </c>
      <c r="M867" s="505" t="str">
        <f ca="1">IFERROR(IF(COUNTIF($B$509:$B866,"&lt;0")&lt;&gt;1,OFFSET($C865,-COUNTIF($B$509:$B866,"&lt;0")+3,0),""),"")</f>
        <v>a173p000006iLasAAE</v>
      </c>
      <c r="N867" s="505">
        <f ca="1">IFERROR(IF(COUNTA($D$509:D866)=1,0,OFFSET($F865,-COUNTA($D$509:D866)+3,0)),"")</f>
        <v>30</v>
      </c>
      <c r="O867" s="487"/>
      <c r="P867" s="487">
        <f t="shared" si="141"/>
        <v>0</v>
      </c>
      <c r="Q867" s="487"/>
      <c r="R867" s="487"/>
      <c r="S867" s="487"/>
      <c r="T867" s="493"/>
    </row>
    <row r="868" spans="1:20" x14ac:dyDescent="0.3">
      <c r="A868" s="487" t="b">
        <f t="shared" ca="1" si="131"/>
        <v>0</v>
      </c>
      <c r="B868" s="487">
        <f t="shared" si="138"/>
        <v>177</v>
      </c>
      <c r="C868" s="509" t="str">
        <f t="shared" ca="1" si="132"/>
        <v>a173p000006iLbMAAU</v>
      </c>
      <c r="D868" s="487"/>
      <c r="E868" s="487">
        <f t="shared" ca="1" si="139"/>
        <v>3</v>
      </c>
      <c r="F868" s="506">
        <f ca="1">IF(COUNTA(D$510:D868)=1,"",OFFSET(F866,-COUNTA(D$510:D868)+3,0))</f>
        <v>30</v>
      </c>
      <c r="G868" s="493" t="str">
        <f t="shared" ca="1" si="133"/>
        <v/>
      </c>
      <c r="H868" s="487">
        <f t="shared" ca="1" si="140"/>
        <v>67</v>
      </c>
      <c r="I868" s="490" t="str">
        <f t="shared" ca="1" si="134"/>
        <v/>
      </c>
      <c r="J868" s="502" t="str">
        <f t="shared" ca="1" si="135"/>
        <v/>
      </c>
      <c r="K868" s="502" t="str">
        <f t="shared" ca="1" si="136"/>
        <v/>
      </c>
      <c r="L868" s="493" t="str">
        <f t="shared" ca="1" si="137"/>
        <v/>
      </c>
      <c r="M868" s="505" t="str">
        <f ca="1">IFERROR(IF(COUNTIF($B$509:$B867,"&lt;0")&lt;&gt;1,OFFSET($C866,-COUNTIF($B$509:$B867,"&lt;0")+3,0),""),"")</f>
        <v>a173p000006iLbMAAU</v>
      </c>
      <c r="N868" s="505">
        <f ca="1">IFERROR(IF(COUNTA($D$509:D867)=1,0,OFFSET($F866,-COUNTA($D$509:D867)+3,0)),"")</f>
        <v>30</v>
      </c>
      <c r="O868" s="487"/>
      <c r="P868" s="487">
        <f t="shared" si="141"/>
        <v>0</v>
      </c>
      <c r="Q868" s="487"/>
      <c r="R868" s="487"/>
      <c r="S868" s="487"/>
      <c r="T868" s="493"/>
    </row>
    <row r="869" spans="1:20" x14ac:dyDescent="0.3">
      <c r="A869" s="487" t="b">
        <f t="shared" ca="1" si="131"/>
        <v>0</v>
      </c>
      <c r="B869" s="487">
        <f t="shared" si="138"/>
        <v>178</v>
      </c>
      <c r="C869" s="509" t="str">
        <f t="shared" ca="1" si="132"/>
        <v>a173p000006iLbqAAE</v>
      </c>
      <c r="D869" s="487"/>
      <c r="E869" s="487">
        <f t="shared" ca="1" si="139"/>
        <v>4</v>
      </c>
      <c r="F869" s="506">
        <f ca="1">IF(COUNTA(D$510:D869)=1,"",OFFSET(F867,-COUNTA(D$510:D869)+3,0))</f>
        <v>30</v>
      </c>
      <c r="G869" s="493" t="str">
        <f t="shared" ca="1" si="133"/>
        <v/>
      </c>
      <c r="H869" s="487">
        <f t="shared" ca="1" si="140"/>
        <v>67</v>
      </c>
      <c r="I869" s="490" t="str">
        <f t="shared" ca="1" si="134"/>
        <v/>
      </c>
      <c r="J869" s="502" t="str">
        <f t="shared" ca="1" si="135"/>
        <v/>
      </c>
      <c r="K869" s="502" t="str">
        <f t="shared" ca="1" si="136"/>
        <v/>
      </c>
      <c r="L869" s="493" t="str">
        <f t="shared" ca="1" si="137"/>
        <v/>
      </c>
      <c r="M869" s="505" t="str">
        <f ca="1">IFERROR(IF(COUNTIF($B$509:$B868,"&lt;0")&lt;&gt;1,OFFSET($C867,-COUNTIF($B$509:$B868,"&lt;0")+3,0),""),"")</f>
        <v>a173p000006iLbqAAE</v>
      </c>
      <c r="N869" s="505">
        <f ca="1">IFERROR(IF(COUNTA($D$509:D868)=1,0,OFFSET($F867,-COUNTA($D$509:D868)+3,0)),"")</f>
        <v>30</v>
      </c>
      <c r="O869" s="487"/>
      <c r="P869" s="487">
        <f t="shared" si="141"/>
        <v>0</v>
      </c>
      <c r="Q869" s="487"/>
      <c r="R869" s="487"/>
      <c r="S869" s="487"/>
      <c r="T869" s="493"/>
    </row>
    <row r="870" spans="1:20" x14ac:dyDescent="0.3">
      <c r="A870" s="487" t="b">
        <f t="shared" ca="1" si="131"/>
        <v>0</v>
      </c>
      <c r="B870" s="487">
        <f t="shared" si="138"/>
        <v>179</v>
      </c>
      <c r="C870" s="509" t="str">
        <f t="shared" ca="1" si="132"/>
        <v>a173p000006iLcKAAU</v>
      </c>
      <c r="D870" s="487"/>
      <c r="E870" s="487">
        <f t="shared" ca="1" si="139"/>
        <v>5</v>
      </c>
      <c r="F870" s="506">
        <f ca="1">IF(COUNTA(D$510:D870)=1,"",OFFSET(F868,-COUNTA(D$510:D870)+3,0))</f>
        <v>30</v>
      </c>
      <c r="G870" s="493" t="str">
        <f t="shared" ca="1" si="133"/>
        <v/>
      </c>
      <c r="H870" s="487">
        <f t="shared" ca="1" si="140"/>
        <v>67</v>
      </c>
      <c r="I870" s="490" t="str">
        <f t="shared" ca="1" si="134"/>
        <v/>
      </c>
      <c r="J870" s="502" t="str">
        <f t="shared" ca="1" si="135"/>
        <v/>
      </c>
      <c r="K870" s="502" t="str">
        <f t="shared" ca="1" si="136"/>
        <v/>
      </c>
      <c r="L870" s="493" t="str">
        <f t="shared" ca="1" si="137"/>
        <v/>
      </c>
      <c r="M870" s="505" t="str">
        <f ca="1">IFERROR(IF(COUNTIF($B$509:$B869,"&lt;0")&lt;&gt;1,OFFSET($C868,-COUNTIF($B$509:$B869,"&lt;0")+3,0),""),"")</f>
        <v>a173p000006iLcKAAU</v>
      </c>
      <c r="N870" s="505">
        <f ca="1">IFERROR(IF(COUNTA($D$509:D869)=1,0,OFFSET($F868,-COUNTA($D$509:D869)+3,0)),"")</f>
        <v>30</v>
      </c>
      <c r="O870" s="487"/>
      <c r="P870" s="487">
        <f t="shared" si="141"/>
        <v>0</v>
      </c>
      <c r="Q870" s="487"/>
      <c r="R870" s="487"/>
      <c r="S870" s="487"/>
      <c r="T870" s="493"/>
    </row>
    <row r="871" spans="1:20" x14ac:dyDescent="0.3">
      <c r="A871" s="487" t="b">
        <f t="shared" ca="1" si="131"/>
        <v>0</v>
      </c>
      <c r="B871" s="487">
        <f t="shared" si="138"/>
        <v>180</v>
      </c>
      <c r="C871" s="509" t="str">
        <f t="shared" ca="1" si="132"/>
        <v>a173p000006iLcoAAE</v>
      </c>
      <c r="D871" s="487"/>
      <c r="E871" s="487">
        <f t="shared" ca="1" si="139"/>
        <v>6</v>
      </c>
      <c r="F871" s="506">
        <f ca="1">IF(COUNTA(D$510:D871)=1,"",OFFSET(F869,-COUNTA(D$510:D871)+3,0))</f>
        <v>30</v>
      </c>
      <c r="G871" s="493" t="str">
        <f t="shared" ca="1" si="133"/>
        <v/>
      </c>
      <c r="H871" s="487">
        <f t="shared" ca="1" si="140"/>
        <v>67</v>
      </c>
      <c r="I871" s="490" t="str">
        <f t="shared" ca="1" si="134"/>
        <v/>
      </c>
      <c r="J871" s="502" t="str">
        <f t="shared" ca="1" si="135"/>
        <v/>
      </c>
      <c r="K871" s="502" t="str">
        <f t="shared" ca="1" si="136"/>
        <v/>
      </c>
      <c r="L871" s="493" t="str">
        <f t="shared" ca="1" si="137"/>
        <v/>
      </c>
      <c r="M871" s="505" t="str">
        <f ca="1">IFERROR(IF(COUNTIF($B$509:$B870,"&lt;0")&lt;&gt;1,OFFSET($C869,-COUNTIF($B$509:$B870,"&lt;0")+3,0),""),"")</f>
        <v>a173p000006iLcoAAE</v>
      </c>
      <c r="N871" s="505">
        <f ca="1">IFERROR(IF(COUNTA($D$509:D870)=1,0,OFFSET($F869,-COUNTA($D$509:D870)+3,0)),"")</f>
        <v>30</v>
      </c>
      <c r="O871" s="487"/>
      <c r="P871" s="487">
        <f t="shared" si="141"/>
        <v>0</v>
      </c>
      <c r="Q871" s="487"/>
      <c r="R871" s="487"/>
      <c r="S871" s="487"/>
      <c r="T871" s="493"/>
    </row>
    <row r="873" spans="1:20" x14ac:dyDescent="0.3">
      <c r="A873" s="497" t="s">
        <v>347</v>
      </c>
      <c r="J873" s="486" t="str">
        <f ca="1">IF(ROW()&gt;'Impact Indicator Target Update'!A17,"",INDIRECT("'Impact Indicators - Section B'!A"&amp;'Impact Indicator Target Update'!D17))</f>
        <v/>
      </c>
    </row>
    <row r="874" spans="1:20" x14ac:dyDescent="0.3">
      <c r="A874" s="497"/>
    </row>
    <row r="876" spans="1:20" x14ac:dyDescent="0.3">
      <c r="A876" s="497" t="s">
        <v>277</v>
      </c>
    </row>
    <row r="877" spans="1:20" x14ac:dyDescent="0.3">
      <c r="A877" s="487" t="s">
        <v>46</v>
      </c>
      <c r="B877" s="487"/>
      <c r="C877" s="487" t="s">
        <v>48</v>
      </c>
      <c r="D877" s="487" t="s">
        <v>22</v>
      </c>
      <c r="E877" s="487" t="s">
        <v>4</v>
      </c>
      <c r="F877" s="487"/>
      <c r="G877" s="487" t="s">
        <v>2</v>
      </c>
      <c r="H877" s="487" t="s">
        <v>3</v>
      </c>
      <c r="I877" s="487" t="s">
        <v>29</v>
      </c>
      <c r="J877" s="487" t="s">
        <v>18</v>
      </c>
      <c r="K877" s="487" t="s">
        <v>362</v>
      </c>
      <c r="L877" s="487" t="s">
        <v>9</v>
      </c>
      <c r="M877" s="487" t="s">
        <v>369</v>
      </c>
      <c r="N877" s="487" t="s">
        <v>477</v>
      </c>
      <c r="O877" s="487" t="s">
        <v>478</v>
      </c>
    </row>
    <row r="878" spans="1:20" hidden="1" x14ac:dyDescent="0.3">
      <c r="A878" s="487" t="b">
        <f ca="1">IF(AND(OR(E878&lt;&gt;"",G878&lt;&gt;"",H878&lt;&gt;""),M878&lt;&gt;""),TRUE,FALSE)</f>
        <v>0</v>
      </c>
      <c r="B878" s="487"/>
      <c r="C878" s="505" t="str">
        <f ca="1">IF(COUNTA(D$877:D878)=1,"",OFFSET(C878,-COUNTA(D$877:D878)+1,0))</f>
        <v/>
      </c>
      <c r="D878" s="502"/>
      <c r="E878" s="490" t="str">
        <f ca="1">IFERROR(IF(VLOOKUP(C878,' Disaggregation - Section E '!A$316:N615,7,0)=0,"",VLOOKUP(C878,' Disaggregation - Section E '!A$316:N615,7,0)*100),"")</f>
        <v/>
      </c>
      <c r="F878" s="487"/>
      <c r="G878" s="492" t="str">
        <f ca="1">IFERROR(IF(VLOOKUP(C878,' Disaggregation - Section E '!A$316:N615,6,0)=0,"",VLOOKUP(C878,' Disaggregation - Section E '!A$316:N615,6,0)),"")</f>
        <v/>
      </c>
      <c r="H878" s="502" t="str">
        <f ca="1">IFERROR(IF(INDEX(' Disaggregation - Section E '!F$313:F615,MATCH(C878,' Disaggregation - Section E '!A$313:A615,0)+1,1)&lt;&gt;0,INDEX(' Disaggregation - Section E '!F$313:F615,MATCH(C878,' Disaggregation - Section E '!A$313:A615,0)+1,1),""),"")</f>
        <v/>
      </c>
      <c r="I878" s="493" t="str">
        <f ca="1">IFERROR(IF(VLOOKUP(C878,' Disaggregation - Section E '!A$316:N615,8,0)=0,"",VLOOKUP(C878,' Disaggregation - Section E '!A$316:N615,8,0)),"")</f>
        <v/>
      </c>
      <c r="J878" s="493" t="str">
        <f ca="1">IFERROR(IF(VLOOKUP(C878,' Disaggregation - Section E '!A$316:N615,13,0)=0,"",VLOOKUP(C878,' Disaggregation - Section E '!A$316:N615,13,0)),"")</f>
        <v/>
      </c>
      <c r="K878" s="487" t="str">
        <f ca="1">IFERROR(VLOOKUP(C878,' Disaggregation - Section E '!A$316:N615,3,0),"")</f>
        <v/>
      </c>
      <c r="L878" s="493" t="str">
        <f ca="1">IFERROR(IF(VLOOKUP(C878,' Disaggregation - Section E '!A$316:N615,14,0)=0,"",VLOOKUP(C878,' Disaggregation - Section E '!A$316:N615,14,0)),"")</f>
        <v/>
      </c>
      <c r="M878" s="487" t="str">
        <f ca="1">IFERROR(IF(VLOOKUP(C878,' Disaggregation - Section E '!A$316:T615,20,0)=0,"",VLOOKUP(C878,' Disaggregation - Section E '!A$316:T615,20,0)),"")</f>
        <v/>
      </c>
      <c r="N878" s="493" t="str">
        <f ca="1">IFERROR(IF(VLOOKUP(C878,' Disaggregation - Section E '!A$316:N615,9,0)=0,"",VLOOKUP(C878,' Disaggregation - Section E '!A$316:N615,9,0)),"")</f>
        <v/>
      </c>
      <c r="O878" s="493" t="str">
        <f ca="1">IFERROR(IF(VLOOKUP(C878,' Disaggregation - Section E '!A$315:N615,10,0)=0,"",VLOOKUP(C878,' Disaggregation - Section E '!A$316:N615,10,0)),"")</f>
        <v/>
      </c>
    </row>
    <row r="879" spans="1:20" x14ac:dyDescent="0.3">
      <c r="A879" s="487" t="b">
        <v>0</v>
      </c>
      <c r="B879" s="487"/>
      <c r="C879" s="505" t="s">
        <v>4182</v>
      </c>
      <c r="D879" s="502">
        <v>1</v>
      </c>
      <c r="E879" s="490"/>
      <c r="F879" s="487"/>
      <c r="G879" s="492"/>
      <c r="H879" s="502"/>
      <c r="I879" s="493"/>
      <c r="J879" s="493"/>
      <c r="K879" s="487" t="str">
        <f ca="1">IFERROR(VLOOKUP(C879,' Disaggregation - Section E '!A$316:N616,3,0),"")</f>
        <v>HIV O-4a⁽ᴹ⁾ Pourcentage d’hommes qui indiquent avoir utilisé un préservatif lors de leur dernier rapport anal avec un partenaire occasionel</v>
      </c>
      <c r="L879" s="493"/>
      <c r="M879" s="487"/>
      <c r="N879" s="493"/>
      <c r="O879" s="493"/>
    </row>
    <row r="880" spans="1:20" x14ac:dyDescent="0.3">
      <c r="A880" s="487" t="b">
        <v>0</v>
      </c>
      <c r="B880" s="487"/>
      <c r="C880" s="505" t="s">
        <v>4184</v>
      </c>
      <c r="D880" s="502">
        <v>1</v>
      </c>
      <c r="E880" s="490"/>
      <c r="F880" s="487"/>
      <c r="G880" s="492"/>
      <c r="H880" s="502"/>
      <c r="I880" s="493"/>
      <c r="J880" s="493"/>
      <c r="K880" s="487" t="str">
        <f ca="1">IFERROR(VLOOKUP(C880,' Disaggregation - Section E '!A$316:N617,3,0),"")</f>
        <v>HIV O-4a⁽ᴹ⁾ Pourcentage d’hommes qui indiquent avoir utilisé un préservatif lors de leur dernier rapport anal avec un partenaire occasionel</v>
      </c>
      <c r="L880" s="493"/>
      <c r="M880" s="487"/>
      <c r="N880" s="493"/>
      <c r="O880" s="493"/>
    </row>
    <row r="881" spans="1:15" x14ac:dyDescent="0.3">
      <c r="A881" s="487" t="b">
        <v>0</v>
      </c>
      <c r="B881" s="487"/>
      <c r="C881" s="505" t="s">
        <v>4186</v>
      </c>
      <c r="D881" s="502">
        <v>1</v>
      </c>
      <c r="E881" s="490"/>
      <c r="F881" s="487"/>
      <c r="G881" s="492"/>
      <c r="H881" s="502"/>
      <c r="I881" s="493"/>
      <c r="J881" s="493"/>
      <c r="K881" s="487" t="str">
        <f ca="1">IFERROR(VLOOKUP(C881,' Disaggregation - Section E '!A$316:N618,3,0),"")</f>
        <v>HIV O-4a⁽ᴹ⁾ Pourcentage d’hommes qui indiquent avoir utilisé un préservatif lors de leur dernier rapport anal avec un partenaire occasionel</v>
      </c>
      <c r="L881" s="493"/>
      <c r="M881" s="487"/>
      <c r="N881" s="493"/>
      <c r="O881" s="493"/>
    </row>
    <row r="882" spans="1:15" x14ac:dyDescent="0.3">
      <c r="A882" s="487" t="b">
        <v>0</v>
      </c>
      <c r="B882" s="487"/>
      <c r="C882" s="505" t="s">
        <v>4188</v>
      </c>
      <c r="D882" s="502">
        <v>1</v>
      </c>
      <c r="E882" s="490"/>
      <c r="F882" s="487"/>
      <c r="G882" s="492"/>
      <c r="H882" s="502"/>
      <c r="I882" s="493"/>
      <c r="J882" s="493"/>
      <c r="K882" s="487" t="str">
        <f ca="1">IFERROR(VLOOKUP(C882,' Disaggregation - Section E '!A$316:N619,3,0),"")</f>
        <v>HIV O-4a⁽ᴹ⁾ Pourcentage d’hommes qui indiquent avoir utilisé un préservatif lors de leur dernier rapport anal avec un partenaire occasionel</v>
      </c>
      <c r="L882" s="493"/>
      <c r="M882" s="487"/>
      <c r="N882" s="493"/>
      <c r="O882" s="493"/>
    </row>
    <row r="883" spans="1:15" x14ac:dyDescent="0.3">
      <c r="A883" s="487" t="b">
        <v>0</v>
      </c>
      <c r="B883" s="487"/>
      <c r="C883" s="505" t="s">
        <v>4190</v>
      </c>
      <c r="D883" s="502">
        <v>1</v>
      </c>
      <c r="E883" s="490"/>
      <c r="F883" s="487"/>
      <c r="G883" s="492"/>
      <c r="H883" s="502"/>
      <c r="I883" s="493"/>
      <c r="J883" s="493"/>
      <c r="K883" s="487" t="str">
        <f ca="1">IFERROR(VLOOKUP(C883,' Disaggregation - Section E '!A$316:N620,3,0),"")</f>
        <v>HIV O-4a⁽ᴹ⁾ Pourcentage d’hommes qui indiquent avoir utilisé un préservatif lors de leur dernier rapport anal avec un partenaire occasionel</v>
      </c>
      <c r="L883" s="493"/>
      <c r="M883" s="487"/>
      <c r="N883" s="493"/>
      <c r="O883" s="493"/>
    </row>
    <row r="884" spans="1:15" x14ac:dyDescent="0.3">
      <c r="A884" s="487" t="b">
        <v>0</v>
      </c>
      <c r="B884" s="487"/>
      <c r="C884" s="505" t="s">
        <v>4192</v>
      </c>
      <c r="D884" s="502">
        <v>1</v>
      </c>
      <c r="E884" s="490"/>
      <c r="F884" s="487"/>
      <c r="G884" s="492"/>
      <c r="H884" s="502"/>
      <c r="I884" s="493"/>
      <c r="J884" s="493"/>
      <c r="K884" s="487" t="str">
        <f ca="1">IFERROR(VLOOKUP(C884,' Disaggregation - Section E '!A$316:N621,3,0),"")</f>
        <v>HIV O-4a⁽ᴹ⁾ Pourcentage d’hommes qui indiquent avoir utilisé un préservatif lors de leur dernier rapport anal avec un partenaire occasionel</v>
      </c>
      <c r="L884" s="493"/>
      <c r="M884" s="487"/>
      <c r="N884" s="493"/>
      <c r="O884" s="493"/>
    </row>
    <row r="885" spans="1:15" x14ac:dyDescent="0.3">
      <c r="A885" s="487" t="b">
        <v>0</v>
      </c>
      <c r="B885" s="487"/>
      <c r="C885" s="505" t="s">
        <v>4194</v>
      </c>
      <c r="D885" s="502">
        <v>1</v>
      </c>
      <c r="E885" s="490"/>
      <c r="F885" s="487"/>
      <c r="G885" s="492"/>
      <c r="H885" s="502"/>
      <c r="I885" s="493"/>
      <c r="J885" s="493"/>
      <c r="K885" s="487" t="str">
        <f ca="1">IFERROR(VLOOKUP(C885,' Disaggregation - Section E '!A$316:N622,3,0),"")</f>
        <v>HIV O-4a⁽ᴹ⁾ Pourcentage d’hommes qui indiquent avoir utilisé un préservatif lors de leur dernier rapport anal avec un partenaire occasionel</v>
      </c>
      <c r="L885" s="493"/>
      <c r="M885" s="487"/>
      <c r="N885" s="493"/>
      <c r="O885" s="493"/>
    </row>
    <row r="886" spans="1:15" x14ac:dyDescent="0.3">
      <c r="A886" s="487" t="b">
        <v>0</v>
      </c>
      <c r="B886" s="487"/>
      <c r="C886" s="505" t="s">
        <v>4196</v>
      </c>
      <c r="D886" s="502">
        <v>1</v>
      </c>
      <c r="E886" s="490"/>
      <c r="F886" s="487"/>
      <c r="G886" s="492"/>
      <c r="H886" s="502"/>
      <c r="I886" s="493"/>
      <c r="J886" s="493"/>
      <c r="K886" s="487" t="str">
        <f ca="1">IFERROR(VLOOKUP(C886,' Disaggregation - Section E '!A$316:N623,3,0),"")</f>
        <v>HIV O-4a⁽ᴹ⁾ Pourcentage d’hommes qui indiquent avoir utilisé un préservatif lors de leur dernier rapport anal avec un partenaire occasionel</v>
      </c>
      <c r="L886" s="493"/>
      <c r="M886" s="487"/>
      <c r="N886" s="493"/>
      <c r="O886" s="493"/>
    </row>
    <row r="887" spans="1:15" x14ac:dyDescent="0.3">
      <c r="A887" s="487" t="b">
        <v>0</v>
      </c>
      <c r="B887" s="487"/>
      <c r="C887" s="505" t="s">
        <v>4198</v>
      </c>
      <c r="D887" s="502">
        <v>1</v>
      </c>
      <c r="E887" s="490"/>
      <c r="F887" s="487"/>
      <c r="G887" s="492"/>
      <c r="H887" s="502"/>
      <c r="I887" s="493"/>
      <c r="J887" s="493"/>
      <c r="K887" s="487" t="str">
        <f ca="1">IFERROR(VLOOKUP(C887,' Disaggregation - Section E '!A$316:N624,3,0),"")</f>
        <v>HIV O-4a⁽ᴹ⁾ Pourcentage d’hommes qui indiquent avoir utilisé un préservatif lors de leur dernier rapport anal avec un partenaire occasionel</v>
      </c>
      <c r="L887" s="493"/>
      <c r="M887" s="487"/>
      <c r="N887" s="493"/>
      <c r="O887" s="493"/>
    </row>
    <row r="888" spans="1:15" x14ac:dyDescent="0.3">
      <c r="A888" s="487" t="b">
        <v>0</v>
      </c>
      <c r="B888" s="487"/>
      <c r="C888" s="505" t="s">
        <v>4200</v>
      </c>
      <c r="D888" s="502">
        <v>1</v>
      </c>
      <c r="E888" s="490"/>
      <c r="F888" s="487"/>
      <c r="G888" s="492"/>
      <c r="H888" s="502"/>
      <c r="I888" s="493"/>
      <c r="J888" s="493"/>
      <c r="K888" s="487" t="str">
        <f ca="1">IFERROR(VLOOKUP(C888,' Disaggregation - Section E '!A$316:N625,3,0),"")</f>
        <v>HIV O-4a⁽ᴹ⁾ Pourcentage d’hommes qui indiquent avoir utilisé un préservatif lors de leur dernier rapport anal avec un partenaire occasionel</v>
      </c>
      <c r="L888" s="493"/>
      <c r="M888" s="487"/>
      <c r="N888" s="493"/>
      <c r="O888" s="493"/>
    </row>
    <row r="889" spans="1:15" x14ac:dyDescent="0.3">
      <c r="A889" s="487" t="b">
        <v>0</v>
      </c>
      <c r="B889" s="487"/>
      <c r="C889" s="505" t="s">
        <v>4203</v>
      </c>
      <c r="D889" s="502">
        <v>2</v>
      </c>
      <c r="E889" s="490"/>
      <c r="F889" s="487"/>
      <c r="G889" s="492"/>
      <c r="H889" s="502"/>
      <c r="I889" s="493"/>
      <c r="J889" s="493"/>
      <c r="K889" s="487" t="str">
        <f ca="1">IFERROR(VLOOKUP(C889,' Disaggregation - Section E '!A$316:N626,3,0),"")</f>
        <v>HIV O-5⁽ᴹ⁾ Pourcentage de professionnels du sexe qui indiquent avoir utilisé un préservatif avec leur dernier client</v>
      </c>
      <c r="L889" s="493"/>
      <c r="M889" s="487"/>
      <c r="N889" s="493"/>
      <c r="O889" s="493"/>
    </row>
    <row r="890" spans="1:15" x14ac:dyDescent="0.3">
      <c r="A890" s="487" t="b">
        <v>0</v>
      </c>
      <c r="B890" s="487"/>
      <c r="C890" s="505" t="s">
        <v>4205</v>
      </c>
      <c r="D890" s="502">
        <v>2</v>
      </c>
      <c r="E890" s="490"/>
      <c r="F890" s="487"/>
      <c r="G890" s="492"/>
      <c r="H890" s="502"/>
      <c r="I890" s="493"/>
      <c r="J890" s="493"/>
      <c r="K890" s="487" t="str">
        <f ca="1">IFERROR(VLOOKUP(C890,' Disaggregation - Section E '!A$316:N627,3,0),"")</f>
        <v>HIV O-5⁽ᴹ⁾ Pourcentage de professionnels du sexe qui indiquent avoir utilisé un préservatif avec leur dernier client</v>
      </c>
      <c r="L890" s="493"/>
      <c r="M890" s="487"/>
      <c r="N890" s="493"/>
      <c r="O890" s="493"/>
    </row>
    <row r="891" spans="1:15" x14ac:dyDescent="0.3">
      <c r="A891" s="487" t="b">
        <v>0</v>
      </c>
      <c r="B891" s="487"/>
      <c r="C891" s="505" t="s">
        <v>4207</v>
      </c>
      <c r="D891" s="502">
        <v>2</v>
      </c>
      <c r="E891" s="490"/>
      <c r="F891" s="487"/>
      <c r="G891" s="492"/>
      <c r="H891" s="502"/>
      <c r="I891" s="493"/>
      <c r="J891" s="493"/>
      <c r="K891" s="487" t="str">
        <f ca="1">IFERROR(VLOOKUP(C891,' Disaggregation - Section E '!A$316:N628,3,0),"")</f>
        <v>HIV O-5⁽ᴹ⁾ Pourcentage de professionnels du sexe qui indiquent avoir utilisé un préservatif avec leur dernier client</v>
      </c>
      <c r="L891" s="493"/>
      <c r="M891" s="487"/>
      <c r="N891" s="493"/>
      <c r="O891" s="493"/>
    </row>
    <row r="892" spans="1:15" x14ac:dyDescent="0.3">
      <c r="A892" s="487" t="b">
        <v>0</v>
      </c>
      <c r="B892" s="487"/>
      <c r="C892" s="505" t="s">
        <v>4209</v>
      </c>
      <c r="D892" s="502">
        <v>2</v>
      </c>
      <c r="E892" s="490"/>
      <c r="F892" s="487"/>
      <c r="G892" s="492"/>
      <c r="H892" s="502"/>
      <c r="I892" s="493"/>
      <c r="J892" s="493"/>
      <c r="K892" s="487" t="str">
        <f ca="1">IFERROR(VLOOKUP(C892,' Disaggregation - Section E '!A$316:N629,3,0),"")</f>
        <v>HIV O-5⁽ᴹ⁾ Pourcentage de professionnels du sexe qui indiquent avoir utilisé un préservatif avec leur dernier client</v>
      </c>
      <c r="L892" s="493"/>
      <c r="M892" s="487"/>
      <c r="N892" s="493"/>
      <c r="O892" s="493"/>
    </row>
    <row r="893" spans="1:15" x14ac:dyDescent="0.3">
      <c r="A893" s="487" t="b">
        <v>0</v>
      </c>
      <c r="B893" s="487"/>
      <c r="C893" s="505" t="s">
        <v>4211</v>
      </c>
      <c r="D893" s="502">
        <v>2</v>
      </c>
      <c r="E893" s="490"/>
      <c r="F893" s="487"/>
      <c r="G893" s="492"/>
      <c r="H893" s="502"/>
      <c r="I893" s="493"/>
      <c r="J893" s="493"/>
      <c r="K893" s="487" t="str">
        <f ca="1">IFERROR(VLOOKUP(C893,' Disaggregation - Section E '!A$316:N630,3,0),"")</f>
        <v>HIV O-5⁽ᴹ⁾ Pourcentage de professionnels du sexe qui indiquent avoir utilisé un préservatif avec leur dernier client</v>
      </c>
      <c r="L893" s="493"/>
      <c r="M893" s="487"/>
      <c r="N893" s="493"/>
      <c r="O893" s="493"/>
    </row>
    <row r="894" spans="1:15" x14ac:dyDescent="0.3">
      <c r="A894" s="487" t="b">
        <v>0</v>
      </c>
      <c r="B894" s="487"/>
      <c r="C894" s="505" t="s">
        <v>4213</v>
      </c>
      <c r="D894" s="502">
        <v>2</v>
      </c>
      <c r="E894" s="490"/>
      <c r="F894" s="487"/>
      <c r="G894" s="492"/>
      <c r="H894" s="502"/>
      <c r="I894" s="493"/>
      <c r="J894" s="493"/>
      <c r="K894" s="487" t="str">
        <f ca="1">IFERROR(VLOOKUP(C894,' Disaggregation - Section E '!A$316:N631,3,0),"")</f>
        <v>HIV O-5⁽ᴹ⁾ Pourcentage de professionnels du sexe qui indiquent avoir utilisé un préservatif avec leur dernier client</v>
      </c>
      <c r="L894" s="493"/>
      <c r="M894" s="487"/>
      <c r="N894" s="493"/>
      <c r="O894" s="493"/>
    </row>
    <row r="895" spans="1:15" x14ac:dyDescent="0.3">
      <c r="A895" s="487" t="b">
        <v>0</v>
      </c>
      <c r="B895" s="487"/>
      <c r="C895" s="505" t="s">
        <v>4215</v>
      </c>
      <c r="D895" s="502">
        <v>2</v>
      </c>
      <c r="E895" s="490"/>
      <c r="F895" s="487"/>
      <c r="G895" s="492"/>
      <c r="H895" s="502"/>
      <c r="I895" s="493"/>
      <c r="J895" s="493"/>
      <c r="K895" s="487" t="str">
        <f ca="1">IFERROR(VLOOKUP(C895,' Disaggregation - Section E '!A$316:N632,3,0),"")</f>
        <v>HIV O-5⁽ᴹ⁾ Pourcentage de professionnels du sexe qui indiquent avoir utilisé un préservatif avec leur dernier client</v>
      </c>
      <c r="L895" s="493"/>
      <c r="M895" s="487"/>
      <c r="N895" s="493"/>
      <c r="O895" s="493"/>
    </row>
    <row r="896" spans="1:15" x14ac:dyDescent="0.3">
      <c r="A896" s="487" t="b">
        <v>0</v>
      </c>
      <c r="B896" s="487"/>
      <c r="C896" s="505" t="s">
        <v>4217</v>
      </c>
      <c r="D896" s="502">
        <v>2</v>
      </c>
      <c r="E896" s="490"/>
      <c r="F896" s="487"/>
      <c r="G896" s="492"/>
      <c r="H896" s="502"/>
      <c r="I896" s="493"/>
      <c r="J896" s="493"/>
      <c r="K896" s="487" t="str">
        <f ca="1">IFERROR(VLOOKUP(C896,' Disaggregation - Section E '!A$316:N633,3,0),"")</f>
        <v>HIV O-5⁽ᴹ⁾ Pourcentage de professionnels du sexe qui indiquent avoir utilisé un préservatif avec leur dernier client</v>
      </c>
      <c r="L896" s="493"/>
      <c r="M896" s="487"/>
      <c r="N896" s="493"/>
      <c r="O896" s="493"/>
    </row>
    <row r="897" spans="1:15" x14ac:dyDescent="0.3">
      <c r="A897" s="487" t="b">
        <v>0</v>
      </c>
      <c r="B897" s="487"/>
      <c r="C897" s="505" t="s">
        <v>4219</v>
      </c>
      <c r="D897" s="502">
        <v>2</v>
      </c>
      <c r="E897" s="490"/>
      <c r="F897" s="487"/>
      <c r="G897" s="492"/>
      <c r="H897" s="502"/>
      <c r="I897" s="493"/>
      <c r="J897" s="493"/>
      <c r="K897" s="487" t="str">
        <f ca="1">IFERROR(VLOOKUP(C897,' Disaggregation - Section E '!A$316:N634,3,0),"")</f>
        <v>HIV O-5⁽ᴹ⁾ Pourcentage de professionnels du sexe qui indiquent avoir utilisé un préservatif avec leur dernier client</v>
      </c>
      <c r="L897" s="493"/>
      <c r="M897" s="487"/>
      <c r="N897" s="493"/>
      <c r="O897" s="493"/>
    </row>
    <row r="898" spans="1:15" x14ac:dyDescent="0.3">
      <c r="A898" s="487" t="b">
        <v>0</v>
      </c>
      <c r="B898" s="487"/>
      <c r="C898" s="505" t="s">
        <v>4221</v>
      </c>
      <c r="D898" s="502">
        <v>2</v>
      </c>
      <c r="E898" s="490"/>
      <c r="F898" s="487"/>
      <c r="G898" s="492"/>
      <c r="H898" s="502"/>
      <c r="I898" s="493"/>
      <c r="J898" s="493"/>
      <c r="K898" s="487" t="str">
        <f ca="1">IFERROR(VLOOKUP(C898,' Disaggregation - Section E '!A$316:N635,3,0),"")</f>
        <v>HIV O-5⁽ᴹ⁾ Pourcentage de professionnels du sexe qui indiquent avoir utilisé un préservatif avec leur dernier client</v>
      </c>
      <c r="L898" s="493"/>
      <c r="M898" s="487"/>
      <c r="N898" s="493"/>
      <c r="O898" s="493"/>
    </row>
    <row r="899" spans="1:15" x14ac:dyDescent="0.3">
      <c r="A899" s="487" t="b">
        <v>0</v>
      </c>
      <c r="B899" s="487"/>
      <c r="C899" s="505" t="s">
        <v>4224</v>
      </c>
      <c r="D899" s="502">
        <v>3</v>
      </c>
      <c r="E899" s="490"/>
      <c r="F899" s="487"/>
      <c r="G899" s="492"/>
      <c r="H899" s="502"/>
      <c r="I899" s="493"/>
      <c r="J899" s="493"/>
      <c r="K899" s="487" t="str">
        <f ca="1">IFERROR(VLOOKUP(C899,' Disaggregation - Section E '!A$316:N636,3,0),"")</f>
        <v>HIV O-12 Pourcentage de personnes vivant avec le VIH sous traitement antirétroviral qui ont une charge virale indétectable</v>
      </c>
      <c r="L899" s="493"/>
      <c r="M899" s="487"/>
      <c r="N899" s="493"/>
      <c r="O899" s="493"/>
    </row>
    <row r="900" spans="1:15" x14ac:dyDescent="0.3">
      <c r="A900" s="487" t="b">
        <v>0</v>
      </c>
      <c r="B900" s="487"/>
      <c r="C900" s="505" t="s">
        <v>4226</v>
      </c>
      <c r="D900" s="502">
        <v>3</v>
      </c>
      <c r="E900" s="490"/>
      <c r="F900" s="487"/>
      <c r="G900" s="492"/>
      <c r="H900" s="502"/>
      <c r="I900" s="493"/>
      <c r="J900" s="493"/>
      <c r="K900" s="487" t="str">
        <f ca="1">IFERROR(VLOOKUP(C900,' Disaggregation - Section E '!A$316:N637,3,0),"")</f>
        <v>HIV O-12 Pourcentage de personnes vivant avec le VIH sous traitement antirétroviral qui ont une charge virale indétectable</v>
      </c>
      <c r="L900" s="493"/>
      <c r="M900" s="487"/>
      <c r="N900" s="493"/>
      <c r="O900" s="493"/>
    </row>
    <row r="901" spans="1:15" x14ac:dyDescent="0.3">
      <c r="A901" s="487" t="b">
        <v>0</v>
      </c>
      <c r="B901" s="487"/>
      <c r="C901" s="505" t="s">
        <v>4228</v>
      </c>
      <c r="D901" s="502">
        <v>3</v>
      </c>
      <c r="E901" s="490"/>
      <c r="F901" s="487"/>
      <c r="G901" s="492"/>
      <c r="H901" s="502"/>
      <c r="I901" s="493"/>
      <c r="J901" s="493"/>
      <c r="K901" s="487" t="str">
        <f ca="1">IFERROR(VLOOKUP(C901,' Disaggregation - Section E '!A$316:N638,3,0),"")</f>
        <v>HIV O-12 Pourcentage de personnes vivant avec le VIH sous traitement antirétroviral qui ont une charge virale indétectable</v>
      </c>
      <c r="L901" s="493"/>
      <c r="M901" s="487"/>
      <c r="N901" s="493"/>
      <c r="O901" s="493"/>
    </row>
    <row r="902" spans="1:15" x14ac:dyDescent="0.3">
      <c r="A902" s="487" t="b">
        <v>0</v>
      </c>
      <c r="B902" s="487"/>
      <c r="C902" s="505" t="s">
        <v>4230</v>
      </c>
      <c r="D902" s="502">
        <v>3</v>
      </c>
      <c r="E902" s="490"/>
      <c r="F902" s="487"/>
      <c r="G902" s="492"/>
      <c r="H902" s="502"/>
      <c r="I902" s="493"/>
      <c r="J902" s="493"/>
      <c r="K902" s="487" t="str">
        <f ca="1">IFERROR(VLOOKUP(C902,' Disaggregation - Section E '!A$316:N639,3,0),"")</f>
        <v>HIV O-12 Pourcentage de personnes vivant avec le VIH sous traitement antirétroviral qui ont une charge virale indétectable</v>
      </c>
      <c r="L902" s="493"/>
      <c r="M902" s="487"/>
      <c r="N902" s="493"/>
      <c r="O902" s="493"/>
    </row>
    <row r="903" spans="1:15" x14ac:dyDescent="0.3">
      <c r="A903" s="487" t="b">
        <v>0</v>
      </c>
      <c r="B903" s="487"/>
      <c r="C903" s="505" t="s">
        <v>4232</v>
      </c>
      <c r="D903" s="502">
        <v>3</v>
      </c>
      <c r="E903" s="490"/>
      <c r="F903" s="487"/>
      <c r="G903" s="492"/>
      <c r="H903" s="502"/>
      <c r="I903" s="493"/>
      <c r="J903" s="493"/>
      <c r="K903" s="487" t="str">
        <f ca="1">IFERROR(VLOOKUP(C903,' Disaggregation - Section E '!A$316:N640,3,0),"")</f>
        <v>HIV O-12 Pourcentage de personnes vivant avec le VIH sous traitement antirétroviral qui ont une charge virale indétectable</v>
      </c>
      <c r="L903" s="493"/>
      <c r="M903" s="487"/>
      <c r="N903" s="493"/>
      <c r="O903" s="493"/>
    </row>
    <row r="904" spans="1:15" x14ac:dyDescent="0.3">
      <c r="A904" s="487" t="b">
        <v>0</v>
      </c>
      <c r="B904" s="487"/>
      <c r="C904" s="505" t="s">
        <v>4234</v>
      </c>
      <c r="D904" s="502">
        <v>3</v>
      </c>
      <c r="E904" s="490"/>
      <c r="F904" s="487"/>
      <c r="G904" s="492"/>
      <c r="H904" s="502"/>
      <c r="I904" s="493"/>
      <c r="J904" s="493"/>
      <c r="K904" s="487" t="str">
        <f ca="1">IFERROR(VLOOKUP(C904,' Disaggregation - Section E '!A$316:N641,3,0),"")</f>
        <v>HIV O-12 Pourcentage de personnes vivant avec le VIH sous traitement antirétroviral qui ont une charge virale indétectable</v>
      </c>
      <c r="L904" s="493"/>
      <c r="M904" s="487"/>
      <c r="N904" s="493"/>
      <c r="O904" s="493"/>
    </row>
    <row r="905" spans="1:15" x14ac:dyDescent="0.3">
      <c r="A905" s="487" t="b">
        <v>0</v>
      </c>
      <c r="B905" s="487"/>
      <c r="C905" s="505" t="s">
        <v>4236</v>
      </c>
      <c r="D905" s="502">
        <v>3</v>
      </c>
      <c r="E905" s="490"/>
      <c r="F905" s="487"/>
      <c r="G905" s="492"/>
      <c r="H905" s="502"/>
      <c r="I905" s="493"/>
      <c r="J905" s="493"/>
      <c r="K905" s="487" t="str">
        <f ca="1">IFERROR(VLOOKUP(C905,' Disaggregation - Section E '!A$316:N642,3,0),"")</f>
        <v>HIV O-12 Pourcentage de personnes vivant avec le VIH sous traitement antirétroviral qui ont une charge virale indétectable</v>
      </c>
      <c r="L905" s="493"/>
      <c r="M905" s="487"/>
      <c r="N905" s="493"/>
      <c r="O905" s="493"/>
    </row>
    <row r="906" spans="1:15" x14ac:dyDescent="0.3">
      <c r="A906" s="487" t="b">
        <v>0</v>
      </c>
      <c r="B906" s="487"/>
      <c r="C906" s="505" t="s">
        <v>4238</v>
      </c>
      <c r="D906" s="502">
        <v>3</v>
      </c>
      <c r="E906" s="490"/>
      <c r="F906" s="487"/>
      <c r="G906" s="492"/>
      <c r="H906" s="502"/>
      <c r="I906" s="493"/>
      <c r="J906" s="493"/>
      <c r="K906" s="487" t="str">
        <f ca="1">IFERROR(VLOOKUP(C906,' Disaggregation - Section E '!A$316:N643,3,0),"")</f>
        <v>HIV O-12 Pourcentage de personnes vivant avec le VIH sous traitement antirétroviral qui ont une charge virale indétectable</v>
      </c>
      <c r="L906" s="493"/>
      <c r="M906" s="487"/>
      <c r="N906" s="493"/>
      <c r="O906" s="493"/>
    </row>
    <row r="907" spans="1:15" x14ac:dyDescent="0.3">
      <c r="A907" s="487" t="b">
        <v>0</v>
      </c>
      <c r="B907" s="487"/>
      <c r="C907" s="505" t="s">
        <v>4240</v>
      </c>
      <c r="D907" s="502">
        <v>3</v>
      </c>
      <c r="E907" s="490"/>
      <c r="F907" s="487"/>
      <c r="G907" s="492"/>
      <c r="H907" s="502"/>
      <c r="I907" s="493"/>
      <c r="J907" s="493"/>
      <c r="K907" s="487" t="str">
        <f ca="1">IFERROR(VLOOKUP(C907,' Disaggregation - Section E '!A$316:N644,3,0),"")</f>
        <v>HIV O-12 Pourcentage de personnes vivant avec le VIH sous traitement antirétroviral qui ont une charge virale indétectable</v>
      </c>
      <c r="L907" s="493"/>
      <c r="M907" s="487"/>
      <c r="N907" s="493"/>
      <c r="O907" s="493"/>
    </row>
    <row r="908" spans="1:15" x14ac:dyDescent="0.3">
      <c r="A908" s="487" t="b">
        <v>0</v>
      </c>
      <c r="B908" s="487"/>
      <c r="C908" s="505" t="s">
        <v>4242</v>
      </c>
      <c r="D908" s="502">
        <v>3</v>
      </c>
      <c r="E908" s="490"/>
      <c r="F908" s="487"/>
      <c r="G908" s="492"/>
      <c r="H908" s="502"/>
      <c r="I908" s="493"/>
      <c r="J908" s="493"/>
      <c r="K908" s="487" t="str">
        <f ca="1">IFERROR(VLOOKUP(C908,' Disaggregation - Section E '!A$316:N645,3,0),"")</f>
        <v>HIV O-12 Pourcentage de personnes vivant avec le VIH sous traitement antirétroviral qui ont une charge virale indétectable</v>
      </c>
      <c r="L908" s="493"/>
      <c r="M908" s="487"/>
      <c r="N908" s="493"/>
      <c r="O908" s="493"/>
    </row>
    <row r="909" spans="1:15" x14ac:dyDescent="0.3">
      <c r="A909" s="487" t="b">
        <v>0</v>
      </c>
      <c r="B909" s="487"/>
      <c r="C909" s="505" t="s">
        <v>4245</v>
      </c>
      <c r="D909" s="502">
        <v>4</v>
      </c>
      <c r="E909" s="490"/>
      <c r="F909" s="487"/>
      <c r="G909" s="492"/>
      <c r="H909" s="502"/>
      <c r="I909" s="493"/>
      <c r="J909" s="493"/>
      <c r="K909" s="487" t="str">
        <f ca="1">IFERROR(VLOOKUP(C909,' Disaggregation - Section E '!A$316:N646,3,0),"")</f>
        <v xml:space="preserve">HIV O-15-Other1: Pourcentage de personnes vivant avec le VIH déclarant avoir été victimes de discrimination liée au VIH </v>
      </c>
      <c r="L909" s="493"/>
      <c r="M909" s="487"/>
      <c r="N909" s="493"/>
      <c r="O909" s="493"/>
    </row>
    <row r="910" spans="1:15" x14ac:dyDescent="0.3">
      <c r="A910" s="487" t="b">
        <v>0</v>
      </c>
      <c r="B910" s="487"/>
      <c r="C910" s="505" t="s">
        <v>4247</v>
      </c>
      <c r="D910" s="502">
        <v>4</v>
      </c>
      <c r="E910" s="490"/>
      <c r="F910" s="487"/>
      <c r="G910" s="492"/>
      <c r="H910" s="502"/>
      <c r="I910" s="493"/>
      <c r="J910" s="493"/>
      <c r="K910" s="487" t="str">
        <f ca="1">IFERROR(VLOOKUP(C910,' Disaggregation - Section E '!A$316:N647,3,0),"")</f>
        <v xml:space="preserve">HIV O-15-Other1: Pourcentage de personnes vivant avec le VIH déclarant avoir été victimes de discrimination liée au VIH </v>
      </c>
      <c r="L910" s="493"/>
      <c r="M910" s="487"/>
      <c r="N910" s="493"/>
      <c r="O910" s="493"/>
    </row>
    <row r="911" spans="1:15" x14ac:dyDescent="0.3">
      <c r="A911" s="487" t="b">
        <v>0</v>
      </c>
      <c r="B911" s="487"/>
      <c r="C911" s="505" t="s">
        <v>4249</v>
      </c>
      <c r="D911" s="502">
        <v>4</v>
      </c>
      <c r="E911" s="490"/>
      <c r="F911" s="487"/>
      <c r="G911" s="492"/>
      <c r="H911" s="502"/>
      <c r="I911" s="493"/>
      <c r="J911" s="493"/>
      <c r="K911" s="487" t="str">
        <f ca="1">IFERROR(VLOOKUP(C911,' Disaggregation - Section E '!A$316:N648,3,0),"")</f>
        <v xml:space="preserve">HIV O-15-Other1: Pourcentage de personnes vivant avec le VIH déclarant avoir été victimes de discrimination liée au VIH </v>
      </c>
      <c r="L911" s="493"/>
      <c r="M911" s="487"/>
      <c r="N911" s="493"/>
      <c r="O911" s="493"/>
    </row>
    <row r="912" spans="1:15" x14ac:dyDescent="0.3">
      <c r="A912" s="487" t="b">
        <v>0</v>
      </c>
      <c r="B912" s="487"/>
      <c r="C912" s="505" t="s">
        <v>4251</v>
      </c>
      <c r="D912" s="502">
        <v>4</v>
      </c>
      <c r="E912" s="490"/>
      <c r="F912" s="487"/>
      <c r="G912" s="492"/>
      <c r="H912" s="502"/>
      <c r="I912" s="493"/>
      <c r="J912" s="493"/>
      <c r="K912" s="487" t="str">
        <f ca="1">IFERROR(VLOOKUP(C912,' Disaggregation - Section E '!A$316:N649,3,0),"")</f>
        <v xml:space="preserve">HIV O-15-Other1: Pourcentage de personnes vivant avec le VIH déclarant avoir été victimes de discrimination liée au VIH </v>
      </c>
      <c r="L912" s="493"/>
      <c r="M912" s="487"/>
      <c r="N912" s="493"/>
      <c r="O912" s="493"/>
    </row>
    <row r="913" spans="1:15" x14ac:dyDescent="0.3">
      <c r="A913" s="487" t="b">
        <v>0</v>
      </c>
      <c r="B913" s="487"/>
      <c r="C913" s="505" t="s">
        <v>4253</v>
      </c>
      <c r="D913" s="502">
        <v>4</v>
      </c>
      <c r="E913" s="490"/>
      <c r="F913" s="487"/>
      <c r="G913" s="492"/>
      <c r="H913" s="502"/>
      <c r="I913" s="493"/>
      <c r="J913" s="493"/>
      <c r="K913" s="487" t="str">
        <f ca="1">IFERROR(VLOOKUP(C913,' Disaggregation - Section E '!A$316:N650,3,0),"")</f>
        <v xml:space="preserve">HIV O-15-Other1: Pourcentage de personnes vivant avec le VIH déclarant avoir été victimes de discrimination liée au VIH </v>
      </c>
      <c r="L913" s="493"/>
      <c r="M913" s="487"/>
      <c r="N913" s="493"/>
      <c r="O913" s="493"/>
    </row>
    <row r="914" spans="1:15" x14ac:dyDescent="0.3">
      <c r="A914" s="487" t="b">
        <v>0</v>
      </c>
      <c r="B914" s="487"/>
      <c r="C914" s="505" t="s">
        <v>4255</v>
      </c>
      <c r="D914" s="502">
        <v>4</v>
      </c>
      <c r="E914" s="490"/>
      <c r="F914" s="487"/>
      <c r="G914" s="492"/>
      <c r="H914" s="502"/>
      <c r="I914" s="493"/>
      <c r="J914" s="493"/>
      <c r="K914" s="487" t="str">
        <f ca="1">IFERROR(VLOOKUP(C914,' Disaggregation - Section E '!A$316:N651,3,0),"")</f>
        <v xml:space="preserve">HIV O-15-Other1: Pourcentage de personnes vivant avec le VIH déclarant avoir été victimes de discrimination liée au VIH </v>
      </c>
      <c r="L914" s="493"/>
      <c r="M914" s="487"/>
      <c r="N914" s="493"/>
      <c r="O914" s="493"/>
    </row>
    <row r="915" spans="1:15" x14ac:dyDescent="0.3">
      <c r="A915" s="487" t="b">
        <v>0</v>
      </c>
      <c r="B915" s="487"/>
      <c r="C915" s="505" t="s">
        <v>4257</v>
      </c>
      <c r="D915" s="502">
        <v>4</v>
      </c>
      <c r="E915" s="490"/>
      <c r="F915" s="487"/>
      <c r="G915" s="492"/>
      <c r="H915" s="502"/>
      <c r="I915" s="493"/>
      <c r="J915" s="493"/>
      <c r="K915" s="487" t="str">
        <f ca="1">IFERROR(VLOOKUP(C915,' Disaggregation - Section E '!A$316:N652,3,0),"")</f>
        <v xml:space="preserve">HIV O-15-Other1: Pourcentage de personnes vivant avec le VIH déclarant avoir été victimes de discrimination liée au VIH </v>
      </c>
      <c r="L915" s="493"/>
      <c r="M915" s="487"/>
      <c r="N915" s="493"/>
      <c r="O915" s="493"/>
    </row>
    <row r="916" spans="1:15" x14ac:dyDescent="0.3">
      <c r="A916" s="487" t="b">
        <v>0</v>
      </c>
      <c r="B916" s="487"/>
      <c r="C916" s="505" t="s">
        <v>4259</v>
      </c>
      <c r="D916" s="502">
        <v>4</v>
      </c>
      <c r="E916" s="490"/>
      <c r="F916" s="487"/>
      <c r="G916" s="492"/>
      <c r="H916" s="502"/>
      <c r="I916" s="493"/>
      <c r="J916" s="493"/>
      <c r="K916" s="487" t="str">
        <f ca="1">IFERROR(VLOOKUP(C916,' Disaggregation - Section E '!A$316:N653,3,0),"")</f>
        <v xml:space="preserve">HIV O-15-Other1: Pourcentage de personnes vivant avec le VIH déclarant avoir été victimes de discrimination liée au VIH </v>
      </c>
      <c r="L916" s="493"/>
      <c r="M916" s="487"/>
      <c r="N916" s="493"/>
      <c r="O916" s="493"/>
    </row>
    <row r="917" spans="1:15" x14ac:dyDescent="0.3">
      <c r="A917" s="487" t="b">
        <v>0</v>
      </c>
      <c r="B917" s="487"/>
      <c r="C917" s="505" t="s">
        <v>4261</v>
      </c>
      <c r="D917" s="502">
        <v>4</v>
      </c>
      <c r="E917" s="490"/>
      <c r="F917" s="487"/>
      <c r="G917" s="492"/>
      <c r="H917" s="502"/>
      <c r="I917" s="493"/>
      <c r="J917" s="493"/>
      <c r="K917" s="487" t="str">
        <f ca="1">IFERROR(VLOOKUP(C917,' Disaggregation - Section E '!A$316:N654,3,0),"")</f>
        <v xml:space="preserve">HIV O-15-Other1: Pourcentage de personnes vivant avec le VIH déclarant avoir été victimes de discrimination liée au VIH </v>
      </c>
      <c r="L917" s="493"/>
      <c r="M917" s="487"/>
      <c r="N917" s="493"/>
      <c r="O917" s="493"/>
    </row>
    <row r="918" spans="1:15" x14ac:dyDescent="0.3">
      <c r="A918" s="487" t="b">
        <v>0</v>
      </c>
      <c r="B918" s="487"/>
      <c r="C918" s="505" t="s">
        <v>4263</v>
      </c>
      <c r="D918" s="502">
        <v>4</v>
      </c>
      <c r="E918" s="490"/>
      <c r="F918" s="487"/>
      <c r="G918" s="492"/>
      <c r="H918" s="502"/>
      <c r="I918" s="493"/>
      <c r="J918" s="493"/>
      <c r="K918" s="487" t="str">
        <f ca="1">IFERROR(VLOOKUP(C918,' Disaggregation - Section E '!A$316:N655,3,0),"")</f>
        <v xml:space="preserve">HIV O-15-Other1: Pourcentage de personnes vivant avec le VIH déclarant avoir été victimes de discrimination liée au VIH </v>
      </c>
      <c r="L918" s="493"/>
      <c r="M918" s="487"/>
      <c r="N918" s="493"/>
      <c r="O918" s="493"/>
    </row>
    <row r="919" spans="1:15" x14ac:dyDescent="0.3">
      <c r="A919" s="487" t="b">
        <v>0</v>
      </c>
      <c r="B919" s="487"/>
      <c r="C919" s="505" t="s">
        <v>4266</v>
      </c>
      <c r="D919" s="502">
        <v>5</v>
      </c>
      <c r="E919" s="490"/>
      <c r="F919" s="487"/>
      <c r="G919" s="492"/>
      <c r="H919" s="502"/>
      <c r="I919" s="493"/>
      <c r="J919" s="493"/>
      <c r="K919" s="487" t="str">
        <f ca="1">IFERROR(VLOOKUP(C919,' Disaggregation - Section E '!A$316:N656,3,0),"")</f>
        <v/>
      </c>
      <c r="L919" s="493"/>
      <c r="M919" s="487"/>
      <c r="N919" s="493"/>
      <c r="O919" s="493"/>
    </row>
    <row r="920" spans="1:15" x14ac:dyDescent="0.3">
      <c r="A920" s="487" t="b">
        <v>0</v>
      </c>
      <c r="B920" s="487"/>
      <c r="C920" s="505" t="s">
        <v>4268</v>
      </c>
      <c r="D920" s="502">
        <v>5</v>
      </c>
      <c r="E920" s="490"/>
      <c r="F920" s="487"/>
      <c r="G920" s="492"/>
      <c r="H920" s="502"/>
      <c r="I920" s="493"/>
      <c r="J920" s="493"/>
      <c r="K920" s="487" t="str">
        <f ca="1">IFERROR(VLOOKUP(C920,' Disaggregation - Section E '!A$316:N657,3,0),"")</f>
        <v/>
      </c>
      <c r="L920" s="493"/>
      <c r="M920" s="487"/>
      <c r="N920" s="493"/>
      <c r="O920" s="493"/>
    </row>
    <row r="921" spans="1:15" x14ac:dyDescent="0.3">
      <c r="A921" s="487" t="b">
        <v>0</v>
      </c>
      <c r="B921" s="487"/>
      <c r="C921" s="505" t="s">
        <v>4270</v>
      </c>
      <c r="D921" s="502">
        <v>5</v>
      </c>
      <c r="E921" s="490"/>
      <c r="F921" s="487"/>
      <c r="G921" s="492"/>
      <c r="H921" s="502"/>
      <c r="I921" s="493"/>
      <c r="J921" s="493"/>
      <c r="K921" s="487" t="str">
        <f ca="1">IFERROR(VLOOKUP(C921,' Disaggregation - Section E '!A$316:N658,3,0),"")</f>
        <v/>
      </c>
      <c r="L921" s="493"/>
      <c r="M921" s="487"/>
      <c r="N921" s="493"/>
      <c r="O921" s="493"/>
    </row>
    <row r="922" spans="1:15" x14ac:dyDescent="0.3">
      <c r="A922" s="487" t="b">
        <v>0</v>
      </c>
      <c r="B922" s="487"/>
      <c r="C922" s="505" t="s">
        <v>4272</v>
      </c>
      <c r="D922" s="502">
        <v>5</v>
      </c>
      <c r="E922" s="490"/>
      <c r="F922" s="487"/>
      <c r="G922" s="492"/>
      <c r="H922" s="502"/>
      <c r="I922" s="493"/>
      <c r="J922" s="493"/>
      <c r="K922" s="487" t="str">
        <f ca="1">IFERROR(VLOOKUP(C922,' Disaggregation - Section E '!A$316:N659,3,0),"")</f>
        <v/>
      </c>
      <c r="L922" s="493"/>
      <c r="M922" s="487"/>
      <c r="N922" s="493"/>
      <c r="O922" s="493"/>
    </row>
    <row r="923" spans="1:15" x14ac:dyDescent="0.3">
      <c r="A923" s="487" t="b">
        <v>0</v>
      </c>
      <c r="B923" s="487"/>
      <c r="C923" s="505" t="s">
        <v>4274</v>
      </c>
      <c r="D923" s="502">
        <v>5</v>
      </c>
      <c r="E923" s="490"/>
      <c r="F923" s="487"/>
      <c r="G923" s="492"/>
      <c r="H923" s="502"/>
      <c r="I923" s="493"/>
      <c r="J923" s="493"/>
      <c r="K923" s="487" t="str">
        <f ca="1">IFERROR(VLOOKUP(C923,' Disaggregation - Section E '!A$316:N660,3,0),"")</f>
        <v/>
      </c>
      <c r="L923" s="493"/>
      <c r="M923" s="487"/>
      <c r="N923" s="493"/>
      <c r="O923" s="493"/>
    </row>
    <row r="924" spans="1:15" x14ac:dyDescent="0.3">
      <c r="A924" s="487" t="b">
        <v>0</v>
      </c>
      <c r="B924" s="487"/>
      <c r="C924" s="505" t="s">
        <v>4276</v>
      </c>
      <c r="D924" s="502">
        <v>5</v>
      </c>
      <c r="E924" s="490"/>
      <c r="F924" s="487"/>
      <c r="G924" s="492"/>
      <c r="H924" s="502"/>
      <c r="I924" s="493"/>
      <c r="J924" s="493"/>
      <c r="K924" s="487" t="str">
        <f ca="1">IFERROR(VLOOKUP(C924,' Disaggregation - Section E '!A$316:N661,3,0),"")</f>
        <v/>
      </c>
      <c r="L924" s="493"/>
      <c r="M924" s="487"/>
      <c r="N924" s="493"/>
      <c r="O924" s="493"/>
    </row>
    <row r="925" spans="1:15" x14ac:dyDescent="0.3">
      <c r="A925" s="487" t="b">
        <v>0</v>
      </c>
      <c r="B925" s="487"/>
      <c r="C925" s="505" t="s">
        <v>4278</v>
      </c>
      <c r="D925" s="502">
        <v>5</v>
      </c>
      <c r="E925" s="490"/>
      <c r="F925" s="487"/>
      <c r="G925" s="492"/>
      <c r="H925" s="502"/>
      <c r="I925" s="493"/>
      <c r="J925" s="493"/>
      <c r="K925" s="487" t="str">
        <f ca="1">IFERROR(VLOOKUP(C925,' Disaggregation - Section E '!A$316:N662,3,0),"")</f>
        <v/>
      </c>
      <c r="L925" s="493"/>
      <c r="M925" s="487"/>
      <c r="N925" s="493"/>
      <c r="O925" s="493"/>
    </row>
    <row r="926" spans="1:15" x14ac:dyDescent="0.3">
      <c r="A926" s="487" t="b">
        <v>0</v>
      </c>
      <c r="B926" s="487"/>
      <c r="C926" s="505" t="s">
        <v>4280</v>
      </c>
      <c r="D926" s="502">
        <v>5</v>
      </c>
      <c r="E926" s="490"/>
      <c r="F926" s="487"/>
      <c r="G926" s="492"/>
      <c r="H926" s="502"/>
      <c r="I926" s="493"/>
      <c r="J926" s="493"/>
      <c r="K926" s="487" t="str">
        <f ca="1">IFERROR(VLOOKUP(C926,' Disaggregation - Section E '!A$316:N663,3,0),"")</f>
        <v/>
      </c>
      <c r="L926" s="493"/>
      <c r="M926" s="487"/>
      <c r="N926" s="493"/>
      <c r="O926" s="493"/>
    </row>
    <row r="927" spans="1:15" x14ac:dyDescent="0.3">
      <c r="A927" s="487" t="b">
        <v>0</v>
      </c>
      <c r="B927" s="487"/>
      <c r="C927" s="505" t="s">
        <v>4282</v>
      </c>
      <c r="D927" s="502">
        <v>5</v>
      </c>
      <c r="E927" s="490"/>
      <c r="F927" s="487"/>
      <c r="G927" s="492"/>
      <c r="H927" s="502"/>
      <c r="I927" s="493"/>
      <c r="J927" s="493"/>
      <c r="K927" s="487" t="str">
        <f ca="1">IFERROR(VLOOKUP(C927,' Disaggregation - Section E '!A$316:N664,3,0),"")</f>
        <v/>
      </c>
      <c r="L927" s="493"/>
      <c r="M927" s="487"/>
      <c r="N927" s="493"/>
      <c r="O927" s="493"/>
    </row>
    <row r="928" spans="1:15" x14ac:dyDescent="0.3">
      <c r="A928" s="487" t="b">
        <v>0</v>
      </c>
      <c r="B928" s="487"/>
      <c r="C928" s="505" t="s">
        <v>4284</v>
      </c>
      <c r="D928" s="502">
        <v>5</v>
      </c>
      <c r="E928" s="490"/>
      <c r="F928" s="487"/>
      <c r="G928" s="492"/>
      <c r="H928" s="502"/>
      <c r="I928" s="493"/>
      <c r="J928" s="493"/>
      <c r="K928" s="487" t="str">
        <f ca="1">IFERROR(VLOOKUP(C928,' Disaggregation - Section E '!A$316:N665,3,0),"")</f>
        <v/>
      </c>
      <c r="L928" s="493"/>
      <c r="M928" s="487"/>
      <c r="N928" s="493"/>
      <c r="O928" s="493"/>
    </row>
    <row r="929" spans="1:15" x14ac:dyDescent="0.3">
      <c r="A929" s="487" t="b">
        <v>0</v>
      </c>
      <c r="B929" s="487"/>
      <c r="C929" s="505" t="s">
        <v>4287</v>
      </c>
      <c r="D929" s="502">
        <v>6</v>
      </c>
      <c r="E929" s="490"/>
      <c r="F929" s="487"/>
      <c r="G929" s="492"/>
      <c r="H929" s="502"/>
      <c r="I929" s="493"/>
      <c r="J929" s="493"/>
      <c r="K929" s="487" t="str">
        <f ca="1">IFERROR(VLOOKUP(C929,' Disaggregation - Section E '!A$316:N666,3,0),"")</f>
        <v/>
      </c>
      <c r="L929" s="493"/>
      <c r="M929" s="487"/>
      <c r="N929" s="493"/>
      <c r="O929" s="493"/>
    </row>
    <row r="930" spans="1:15" x14ac:dyDescent="0.3">
      <c r="A930" s="487" t="b">
        <v>0</v>
      </c>
      <c r="B930" s="487"/>
      <c r="C930" s="505" t="s">
        <v>4289</v>
      </c>
      <c r="D930" s="502">
        <v>6</v>
      </c>
      <c r="E930" s="490"/>
      <c r="F930" s="487"/>
      <c r="G930" s="492"/>
      <c r="H930" s="502"/>
      <c r="I930" s="493"/>
      <c r="J930" s="493"/>
      <c r="K930" s="487" t="str">
        <f ca="1">IFERROR(VLOOKUP(C930,' Disaggregation - Section E '!A$316:N667,3,0),"")</f>
        <v/>
      </c>
      <c r="L930" s="493"/>
      <c r="M930" s="487"/>
      <c r="N930" s="493"/>
      <c r="O930" s="493"/>
    </row>
    <row r="931" spans="1:15" x14ac:dyDescent="0.3">
      <c r="A931" s="487" t="b">
        <v>0</v>
      </c>
      <c r="B931" s="487"/>
      <c r="C931" s="505" t="s">
        <v>4291</v>
      </c>
      <c r="D931" s="502">
        <v>6</v>
      </c>
      <c r="E931" s="490"/>
      <c r="F931" s="487"/>
      <c r="G931" s="492"/>
      <c r="H931" s="502"/>
      <c r="I931" s="493"/>
      <c r="J931" s="493"/>
      <c r="K931" s="487" t="str">
        <f ca="1">IFERROR(VLOOKUP(C931,' Disaggregation - Section E '!A$316:N668,3,0),"")</f>
        <v/>
      </c>
      <c r="L931" s="493"/>
      <c r="M931" s="487"/>
      <c r="N931" s="493"/>
      <c r="O931" s="493"/>
    </row>
    <row r="932" spans="1:15" x14ac:dyDescent="0.3">
      <c r="A932" s="487" t="b">
        <v>0</v>
      </c>
      <c r="B932" s="487"/>
      <c r="C932" s="505" t="s">
        <v>4293</v>
      </c>
      <c r="D932" s="502">
        <v>6</v>
      </c>
      <c r="E932" s="490"/>
      <c r="F932" s="487"/>
      <c r="G932" s="492"/>
      <c r="H932" s="502"/>
      <c r="I932" s="493"/>
      <c r="J932" s="493"/>
      <c r="K932" s="487" t="str">
        <f ca="1">IFERROR(VLOOKUP(C932,' Disaggregation - Section E '!A$316:N669,3,0),"")</f>
        <v/>
      </c>
      <c r="L932" s="493"/>
      <c r="M932" s="487"/>
      <c r="N932" s="493"/>
      <c r="O932" s="493"/>
    </row>
    <row r="933" spans="1:15" x14ac:dyDescent="0.3">
      <c r="A933" s="487" t="b">
        <v>0</v>
      </c>
      <c r="B933" s="487"/>
      <c r="C933" s="505" t="s">
        <v>4295</v>
      </c>
      <c r="D933" s="502">
        <v>6</v>
      </c>
      <c r="E933" s="490"/>
      <c r="F933" s="487"/>
      <c r="G933" s="492"/>
      <c r="H933" s="502"/>
      <c r="I933" s="493"/>
      <c r="J933" s="493"/>
      <c r="K933" s="487" t="str">
        <f ca="1">IFERROR(VLOOKUP(C933,' Disaggregation - Section E '!A$316:N670,3,0),"")</f>
        <v/>
      </c>
      <c r="L933" s="493"/>
      <c r="M933" s="487"/>
      <c r="N933" s="493"/>
      <c r="O933" s="493"/>
    </row>
    <row r="934" spans="1:15" x14ac:dyDescent="0.3">
      <c r="A934" s="487" t="b">
        <v>0</v>
      </c>
      <c r="B934" s="487"/>
      <c r="C934" s="505" t="s">
        <v>4297</v>
      </c>
      <c r="D934" s="502">
        <v>6</v>
      </c>
      <c r="E934" s="490"/>
      <c r="F934" s="487"/>
      <c r="G934" s="492"/>
      <c r="H934" s="502"/>
      <c r="I934" s="493"/>
      <c r="J934" s="493"/>
      <c r="K934" s="487" t="str">
        <f ca="1">IFERROR(VLOOKUP(C934,' Disaggregation - Section E '!A$316:N671,3,0),"")</f>
        <v/>
      </c>
      <c r="L934" s="493"/>
      <c r="M934" s="487"/>
      <c r="N934" s="493"/>
      <c r="O934" s="493"/>
    </row>
    <row r="935" spans="1:15" x14ac:dyDescent="0.3">
      <c r="A935" s="487" t="b">
        <v>0</v>
      </c>
      <c r="B935" s="487"/>
      <c r="C935" s="505" t="s">
        <v>4299</v>
      </c>
      <c r="D935" s="502">
        <v>6</v>
      </c>
      <c r="E935" s="490"/>
      <c r="F935" s="487"/>
      <c r="G935" s="492"/>
      <c r="H935" s="502"/>
      <c r="I935" s="493"/>
      <c r="J935" s="493"/>
      <c r="K935" s="487" t="str">
        <f ca="1">IFERROR(VLOOKUP(C935,' Disaggregation - Section E '!A$316:N672,3,0),"")</f>
        <v/>
      </c>
      <c r="L935" s="493"/>
      <c r="M935" s="487"/>
      <c r="N935" s="493"/>
      <c r="O935" s="493"/>
    </row>
    <row r="936" spans="1:15" x14ac:dyDescent="0.3">
      <c r="A936" s="487" t="b">
        <v>0</v>
      </c>
      <c r="B936" s="487"/>
      <c r="C936" s="505" t="s">
        <v>4301</v>
      </c>
      <c r="D936" s="502">
        <v>6</v>
      </c>
      <c r="E936" s="490"/>
      <c r="F936" s="487"/>
      <c r="G936" s="492"/>
      <c r="H936" s="502"/>
      <c r="I936" s="493"/>
      <c r="J936" s="493"/>
      <c r="K936" s="487" t="str">
        <f ca="1">IFERROR(VLOOKUP(C936,' Disaggregation - Section E '!A$316:N673,3,0),"")</f>
        <v/>
      </c>
      <c r="L936" s="493"/>
      <c r="M936" s="487"/>
      <c r="N936" s="493"/>
      <c r="O936" s="493"/>
    </row>
    <row r="937" spans="1:15" x14ac:dyDescent="0.3">
      <c r="A937" s="487" t="b">
        <v>0</v>
      </c>
      <c r="B937" s="487"/>
      <c r="C937" s="505" t="s">
        <v>4303</v>
      </c>
      <c r="D937" s="502">
        <v>6</v>
      </c>
      <c r="E937" s="490"/>
      <c r="F937" s="487"/>
      <c r="G937" s="492"/>
      <c r="H937" s="502"/>
      <c r="I937" s="493"/>
      <c r="J937" s="493"/>
      <c r="K937" s="487" t="str">
        <f ca="1">IFERROR(VLOOKUP(C937,' Disaggregation - Section E '!A$316:N674,3,0),"")</f>
        <v/>
      </c>
      <c r="L937" s="493"/>
      <c r="M937" s="487"/>
      <c r="N937" s="493"/>
      <c r="O937" s="493"/>
    </row>
    <row r="938" spans="1:15" x14ac:dyDescent="0.3">
      <c r="A938" s="487" t="b">
        <v>0</v>
      </c>
      <c r="B938" s="487"/>
      <c r="C938" s="505" t="s">
        <v>4305</v>
      </c>
      <c r="D938" s="502">
        <v>6</v>
      </c>
      <c r="E938" s="490"/>
      <c r="F938" s="487"/>
      <c r="G938" s="492"/>
      <c r="H938" s="502"/>
      <c r="I938" s="493"/>
      <c r="J938" s="493"/>
      <c r="K938" s="487" t="str">
        <f ca="1">IFERROR(VLOOKUP(C938,' Disaggregation - Section E '!A$316:N675,3,0),"")</f>
        <v/>
      </c>
      <c r="L938" s="493"/>
      <c r="M938" s="487"/>
      <c r="N938" s="493"/>
      <c r="O938" s="493"/>
    </row>
    <row r="939" spans="1:15" x14ac:dyDescent="0.3">
      <c r="A939" s="487" t="b">
        <v>0</v>
      </c>
      <c r="B939" s="487"/>
      <c r="C939" s="505" t="s">
        <v>4308</v>
      </c>
      <c r="D939" s="502">
        <v>7</v>
      </c>
      <c r="E939" s="490"/>
      <c r="F939" s="487"/>
      <c r="G939" s="492"/>
      <c r="H939" s="502"/>
      <c r="I939" s="493"/>
      <c r="J939" s="493"/>
      <c r="K939" s="487" t="str">
        <f ca="1">IFERROR(VLOOKUP(C939,' Disaggregation - Section E '!A$316:N676,3,0),"")</f>
        <v/>
      </c>
      <c r="L939" s="493"/>
      <c r="M939" s="487"/>
      <c r="N939" s="493"/>
      <c r="O939" s="493"/>
    </row>
    <row r="940" spans="1:15" x14ac:dyDescent="0.3">
      <c r="A940" s="487" t="b">
        <v>0</v>
      </c>
      <c r="B940" s="487"/>
      <c r="C940" s="505" t="s">
        <v>4310</v>
      </c>
      <c r="D940" s="502">
        <v>7</v>
      </c>
      <c r="E940" s="490"/>
      <c r="F940" s="487"/>
      <c r="G940" s="492"/>
      <c r="H940" s="502"/>
      <c r="I940" s="493"/>
      <c r="J940" s="493"/>
      <c r="K940" s="487" t="str">
        <f ca="1">IFERROR(VLOOKUP(C940,' Disaggregation - Section E '!A$316:N677,3,0),"")</f>
        <v/>
      </c>
      <c r="L940" s="493"/>
      <c r="M940" s="487"/>
      <c r="N940" s="493"/>
      <c r="O940" s="493"/>
    </row>
    <row r="941" spans="1:15" x14ac:dyDescent="0.3">
      <c r="A941" s="487" t="b">
        <v>0</v>
      </c>
      <c r="B941" s="487"/>
      <c r="C941" s="505" t="s">
        <v>4312</v>
      </c>
      <c r="D941" s="502">
        <v>7</v>
      </c>
      <c r="E941" s="490"/>
      <c r="F941" s="487"/>
      <c r="G941" s="492"/>
      <c r="H941" s="502"/>
      <c r="I941" s="493"/>
      <c r="J941" s="493"/>
      <c r="K941" s="487" t="str">
        <f ca="1">IFERROR(VLOOKUP(C941,' Disaggregation - Section E '!A$316:N678,3,0),"")</f>
        <v/>
      </c>
      <c r="L941" s="493"/>
      <c r="M941" s="487"/>
      <c r="N941" s="493"/>
      <c r="O941" s="493"/>
    </row>
    <row r="942" spans="1:15" x14ac:dyDescent="0.3">
      <c r="A942" s="487" t="b">
        <v>0</v>
      </c>
      <c r="B942" s="487"/>
      <c r="C942" s="505" t="s">
        <v>4314</v>
      </c>
      <c r="D942" s="502">
        <v>7</v>
      </c>
      <c r="E942" s="490"/>
      <c r="F942" s="487"/>
      <c r="G942" s="492"/>
      <c r="H942" s="502"/>
      <c r="I942" s="493"/>
      <c r="J942" s="493"/>
      <c r="K942" s="487" t="str">
        <f ca="1">IFERROR(VLOOKUP(C942,' Disaggregation - Section E '!A$316:N679,3,0),"")</f>
        <v/>
      </c>
      <c r="L942" s="493"/>
      <c r="M942" s="487"/>
      <c r="N942" s="493"/>
      <c r="O942" s="493"/>
    </row>
    <row r="943" spans="1:15" x14ac:dyDescent="0.3">
      <c r="A943" s="487" t="b">
        <v>0</v>
      </c>
      <c r="B943" s="487"/>
      <c r="C943" s="505" t="s">
        <v>4316</v>
      </c>
      <c r="D943" s="502">
        <v>7</v>
      </c>
      <c r="E943" s="490"/>
      <c r="F943" s="487"/>
      <c r="G943" s="492"/>
      <c r="H943" s="502"/>
      <c r="I943" s="493"/>
      <c r="J943" s="493"/>
      <c r="K943" s="487" t="str">
        <f ca="1">IFERROR(VLOOKUP(C943,' Disaggregation - Section E '!A$316:N680,3,0),"")</f>
        <v/>
      </c>
      <c r="L943" s="493"/>
      <c r="M943" s="487"/>
      <c r="N943" s="493"/>
      <c r="O943" s="493"/>
    </row>
    <row r="944" spans="1:15" x14ac:dyDescent="0.3">
      <c r="A944" s="487" t="b">
        <v>0</v>
      </c>
      <c r="B944" s="487"/>
      <c r="C944" s="505" t="s">
        <v>4318</v>
      </c>
      <c r="D944" s="502">
        <v>7</v>
      </c>
      <c r="E944" s="490"/>
      <c r="F944" s="487"/>
      <c r="G944" s="492"/>
      <c r="H944" s="502"/>
      <c r="I944" s="493"/>
      <c r="J944" s="493"/>
      <c r="K944" s="487" t="str">
        <f ca="1">IFERROR(VLOOKUP(C944,' Disaggregation - Section E '!A$316:N681,3,0),"")</f>
        <v/>
      </c>
      <c r="L944" s="493"/>
      <c r="M944" s="487"/>
      <c r="N944" s="493"/>
      <c r="O944" s="493"/>
    </row>
    <row r="945" spans="1:15" x14ac:dyDescent="0.3">
      <c r="A945" s="487" t="b">
        <v>0</v>
      </c>
      <c r="B945" s="487"/>
      <c r="C945" s="505" t="s">
        <v>4320</v>
      </c>
      <c r="D945" s="502">
        <v>7</v>
      </c>
      <c r="E945" s="490"/>
      <c r="F945" s="487"/>
      <c r="G945" s="492"/>
      <c r="H945" s="502"/>
      <c r="I945" s="493"/>
      <c r="J945" s="493"/>
      <c r="K945" s="487" t="str">
        <f ca="1">IFERROR(VLOOKUP(C945,' Disaggregation - Section E '!A$316:N682,3,0),"")</f>
        <v/>
      </c>
      <c r="L945" s="493"/>
      <c r="M945" s="487"/>
      <c r="N945" s="493"/>
      <c r="O945" s="493"/>
    </row>
    <row r="946" spans="1:15" x14ac:dyDescent="0.3">
      <c r="A946" s="487" t="b">
        <v>0</v>
      </c>
      <c r="B946" s="487"/>
      <c r="C946" s="505" t="s">
        <v>4322</v>
      </c>
      <c r="D946" s="502">
        <v>7</v>
      </c>
      <c r="E946" s="490"/>
      <c r="F946" s="487"/>
      <c r="G946" s="492"/>
      <c r="H946" s="502"/>
      <c r="I946" s="493"/>
      <c r="J946" s="493"/>
      <c r="K946" s="487" t="str">
        <f ca="1">IFERROR(VLOOKUP(C946,' Disaggregation - Section E '!A$316:N683,3,0),"")</f>
        <v/>
      </c>
      <c r="L946" s="493"/>
      <c r="M946" s="487"/>
      <c r="N946" s="493"/>
      <c r="O946" s="493"/>
    </row>
    <row r="947" spans="1:15" x14ac:dyDescent="0.3">
      <c r="A947" s="487" t="b">
        <v>0</v>
      </c>
      <c r="B947" s="487"/>
      <c r="C947" s="505" t="s">
        <v>4324</v>
      </c>
      <c r="D947" s="502">
        <v>7</v>
      </c>
      <c r="E947" s="490"/>
      <c r="F947" s="487"/>
      <c r="G947" s="492"/>
      <c r="H947" s="502"/>
      <c r="I947" s="493"/>
      <c r="J947" s="493"/>
      <c r="K947" s="487" t="str">
        <f ca="1">IFERROR(VLOOKUP(C947,' Disaggregation - Section E '!A$316:N684,3,0),"")</f>
        <v/>
      </c>
      <c r="L947" s="493"/>
      <c r="M947" s="487"/>
      <c r="N947" s="493"/>
      <c r="O947" s="493"/>
    </row>
    <row r="948" spans="1:15" x14ac:dyDescent="0.3">
      <c r="A948" s="487" t="b">
        <v>0</v>
      </c>
      <c r="B948" s="487"/>
      <c r="C948" s="505" t="s">
        <v>4326</v>
      </c>
      <c r="D948" s="502">
        <v>7</v>
      </c>
      <c r="E948" s="490"/>
      <c r="F948" s="487"/>
      <c r="G948" s="492"/>
      <c r="H948" s="502"/>
      <c r="I948" s="493"/>
      <c r="J948" s="493"/>
      <c r="K948" s="487" t="str">
        <f ca="1">IFERROR(VLOOKUP(C948,' Disaggregation - Section E '!A$316:N685,3,0),"")</f>
        <v/>
      </c>
      <c r="L948" s="493"/>
      <c r="M948" s="487"/>
      <c r="N948" s="493"/>
      <c r="O948" s="493"/>
    </row>
    <row r="949" spans="1:15" x14ac:dyDescent="0.3">
      <c r="A949" s="487" t="b">
        <v>0</v>
      </c>
      <c r="B949" s="487"/>
      <c r="C949" s="505" t="s">
        <v>4329</v>
      </c>
      <c r="D949" s="502">
        <v>8</v>
      </c>
      <c r="E949" s="490"/>
      <c r="F949" s="487"/>
      <c r="G949" s="492"/>
      <c r="H949" s="502"/>
      <c r="I949" s="493"/>
      <c r="J949" s="493"/>
      <c r="K949" s="487" t="str">
        <f ca="1">IFERROR(VLOOKUP(C949,' Disaggregation - Section E '!A$316:N686,3,0),"")</f>
        <v/>
      </c>
      <c r="L949" s="493"/>
      <c r="M949" s="487"/>
      <c r="N949" s="493"/>
      <c r="O949" s="493"/>
    </row>
    <row r="950" spans="1:15" x14ac:dyDescent="0.3">
      <c r="A950" s="487" t="b">
        <v>0</v>
      </c>
      <c r="B950" s="487"/>
      <c r="C950" s="505" t="s">
        <v>4331</v>
      </c>
      <c r="D950" s="502">
        <v>8</v>
      </c>
      <c r="E950" s="490"/>
      <c r="F950" s="487"/>
      <c r="G950" s="492"/>
      <c r="H950" s="502"/>
      <c r="I950" s="493"/>
      <c r="J950" s="493"/>
      <c r="K950" s="487" t="str">
        <f ca="1">IFERROR(VLOOKUP(C950,' Disaggregation - Section E '!A$316:N687,3,0),"")</f>
        <v/>
      </c>
      <c r="L950" s="493"/>
      <c r="M950" s="487"/>
      <c r="N950" s="493"/>
      <c r="O950" s="493"/>
    </row>
    <row r="951" spans="1:15" x14ac:dyDescent="0.3">
      <c r="A951" s="487" t="b">
        <v>0</v>
      </c>
      <c r="B951" s="487"/>
      <c r="C951" s="505" t="s">
        <v>4333</v>
      </c>
      <c r="D951" s="502">
        <v>8</v>
      </c>
      <c r="E951" s="490"/>
      <c r="F951" s="487"/>
      <c r="G951" s="492"/>
      <c r="H951" s="502"/>
      <c r="I951" s="493"/>
      <c r="J951" s="493"/>
      <c r="K951" s="487" t="str">
        <f ca="1">IFERROR(VLOOKUP(C951,' Disaggregation - Section E '!A$316:N688,3,0),"")</f>
        <v/>
      </c>
      <c r="L951" s="493"/>
      <c r="M951" s="487"/>
      <c r="N951" s="493"/>
      <c r="O951" s="493"/>
    </row>
    <row r="952" spans="1:15" x14ac:dyDescent="0.3">
      <c r="A952" s="487" t="b">
        <v>0</v>
      </c>
      <c r="B952" s="487"/>
      <c r="C952" s="505" t="s">
        <v>4335</v>
      </c>
      <c r="D952" s="502">
        <v>8</v>
      </c>
      <c r="E952" s="490"/>
      <c r="F952" s="487"/>
      <c r="G952" s="492"/>
      <c r="H952" s="502"/>
      <c r="I952" s="493"/>
      <c r="J952" s="493"/>
      <c r="K952" s="487" t="str">
        <f ca="1">IFERROR(VLOOKUP(C952,' Disaggregation - Section E '!A$316:N689,3,0),"")</f>
        <v/>
      </c>
      <c r="L952" s="493"/>
      <c r="M952" s="487"/>
      <c r="N952" s="493"/>
      <c r="O952" s="493"/>
    </row>
    <row r="953" spans="1:15" x14ac:dyDescent="0.3">
      <c r="A953" s="487" t="b">
        <v>0</v>
      </c>
      <c r="B953" s="487"/>
      <c r="C953" s="505" t="s">
        <v>4337</v>
      </c>
      <c r="D953" s="502">
        <v>8</v>
      </c>
      <c r="E953" s="490"/>
      <c r="F953" s="487"/>
      <c r="G953" s="492"/>
      <c r="H953" s="502"/>
      <c r="I953" s="493"/>
      <c r="J953" s="493"/>
      <c r="K953" s="487" t="str">
        <f ca="1">IFERROR(VLOOKUP(C953,' Disaggregation - Section E '!A$316:N690,3,0),"")</f>
        <v/>
      </c>
      <c r="L953" s="493"/>
      <c r="M953" s="487"/>
      <c r="N953" s="493"/>
      <c r="O953" s="493"/>
    </row>
    <row r="954" spans="1:15" x14ac:dyDescent="0.3">
      <c r="A954" s="487" t="b">
        <v>0</v>
      </c>
      <c r="B954" s="487"/>
      <c r="C954" s="505" t="s">
        <v>4339</v>
      </c>
      <c r="D954" s="502">
        <v>8</v>
      </c>
      <c r="E954" s="490"/>
      <c r="F954" s="487"/>
      <c r="G954" s="492"/>
      <c r="H954" s="502"/>
      <c r="I954" s="493"/>
      <c r="J954" s="493"/>
      <c r="K954" s="487" t="str">
        <f ca="1">IFERROR(VLOOKUP(C954,' Disaggregation - Section E '!A$316:N691,3,0),"")</f>
        <v/>
      </c>
      <c r="L954" s="493"/>
      <c r="M954" s="487"/>
      <c r="N954" s="493"/>
      <c r="O954" s="493"/>
    </row>
    <row r="955" spans="1:15" x14ac:dyDescent="0.3">
      <c r="A955" s="487" t="b">
        <v>0</v>
      </c>
      <c r="B955" s="487"/>
      <c r="C955" s="505" t="s">
        <v>4341</v>
      </c>
      <c r="D955" s="502">
        <v>8</v>
      </c>
      <c r="E955" s="490"/>
      <c r="F955" s="487"/>
      <c r="G955" s="492"/>
      <c r="H955" s="502"/>
      <c r="I955" s="493"/>
      <c r="J955" s="493"/>
      <c r="K955" s="487" t="str">
        <f ca="1">IFERROR(VLOOKUP(C955,' Disaggregation - Section E '!A$316:N692,3,0),"")</f>
        <v/>
      </c>
      <c r="L955" s="493"/>
      <c r="M955" s="487"/>
      <c r="N955" s="493"/>
      <c r="O955" s="493"/>
    </row>
    <row r="956" spans="1:15" x14ac:dyDescent="0.3">
      <c r="A956" s="487" t="b">
        <v>0</v>
      </c>
      <c r="B956" s="487"/>
      <c r="C956" s="505" t="s">
        <v>4343</v>
      </c>
      <c r="D956" s="502">
        <v>8</v>
      </c>
      <c r="E956" s="490"/>
      <c r="F956" s="487"/>
      <c r="G956" s="492"/>
      <c r="H956" s="502"/>
      <c r="I956" s="493"/>
      <c r="J956" s="493"/>
      <c r="K956" s="487" t="str">
        <f ca="1">IFERROR(VLOOKUP(C956,' Disaggregation - Section E '!A$316:N693,3,0),"")</f>
        <v/>
      </c>
      <c r="L956" s="493"/>
      <c r="M956" s="487"/>
      <c r="N956" s="493"/>
      <c r="O956" s="493"/>
    </row>
    <row r="957" spans="1:15" x14ac:dyDescent="0.3">
      <c r="A957" s="487" t="b">
        <v>0</v>
      </c>
      <c r="B957" s="487"/>
      <c r="C957" s="505" t="s">
        <v>4345</v>
      </c>
      <c r="D957" s="502">
        <v>8</v>
      </c>
      <c r="E957" s="490"/>
      <c r="F957" s="487"/>
      <c r="G957" s="492"/>
      <c r="H957" s="502"/>
      <c r="I957" s="493"/>
      <c r="J957" s="493"/>
      <c r="K957" s="487" t="str">
        <f ca="1">IFERROR(VLOOKUP(C957,' Disaggregation - Section E '!A$316:N694,3,0),"")</f>
        <v/>
      </c>
      <c r="L957" s="493"/>
      <c r="M957" s="487"/>
      <c r="N957" s="493"/>
      <c r="O957" s="493"/>
    </row>
    <row r="958" spans="1:15" x14ac:dyDescent="0.3">
      <c r="A958" s="487" t="b">
        <v>0</v>
      </c>
      <c r="B958" s="487"/>
      <c r="C958" s="505" t="s">
        <v>4347</v>
      </c>
      <c r="D958" s="502">
        <v>8</v>
      </c>
      <c r="E958" s="490"/>
      <c r="F958" s="487"/>
      <c r="G958" s="492"/>
      <c r="H958" s="502"/>
      <c r="I958" s="493"/>
      <c r="J958" s="493"/>
      <c r="K958" s="487" t="str">
        <f ca="1">IFERROR(VLOOKUP(C958,' Disaggregation - Section E '!A$316:N695,3,0),"")</f>
        <v/>
      </c>
      <c r="L958" s="493"/>
      <c r="M958" s="487"/>
      <c r="N958" s="493"/>
      <c r="O958" s="493"/>
    </row>
    <row r="959" spans="1:15" x14ac:dyDescent="0.3">
      <c r="A959" s="487" t="b">
        <v>0</v>
      </c>
      <c r="B959" s="487"/>
      <c r="C959" s="505" t="s">
        <v>4350</v>
      </c>
      <c r="D959" s="502">
        <v>9</v>
      </c>
      <c r="E959" s="490"/>
      <c r="F959" s="487"/>
      <c r="G959" s="492"/>
      <c r="H959" s="502"/>
      <c r="I959" s="493"/>
      <c r="J959" s="493"/>
      <c r="K959" s="487" t="str">
        <f ca="1">IFERROR(VLOOKUP(C959,' Disaggregation - Section E '!A$316:N696,3,0),"")</f>
        <v/>
      </c>
      <c r="L959" s="493"/>
      <c r="M959" s="487"/>
      <c r="N959" s="493"/>
      <c r="O959" s="493"/>
    </row>
    <row r="960" spans="1:15" x14ac:dyDescent="0.3">
      <c r="A960" s="487" t="b">
        <v>0</v>
      </c>
      <c r="B960" s="487"/>
      <c r="C960" s="505" t="s">
        <v>4352</v>
      </c>
      <c r="D960" s="502">
        <v>9</v>
      </c>
      <c r="E960" s="490"/>
      <c r="F960" s="487"/>
      <c r="G960" s="492"/>
      <c r="H960" s="502"/>
      <c r="I960" s="493"/>
      <c r="J960" s="493"/>
      <c r="K960" s="487" t="str">
        <f ca="1">IFERROR(VLOOKUP(C960,' Disaggregation - Section E '!A$316:N697,3,0),"")</f>
        <v/>
      </c>
      <c r="L960" s="493"/>
      <c r="M960" s="487"/>
      <c r="N960" s="493"/>
      <c r="O960" s="493"/>
    </row>
    <row r="961" spans="1:15" x14ac:dyDescent="0.3">
      <c r="A961" s="487" t="b">
        <v>0</v>
      </c>
      <c r="B961" s="487"/>
      <c r="C961" s="505" t="s">
        <v>4354</v>
      </c>
      <c r="D961" s="502">
        <v>9</v>
      </c>
      <c r="E961" s="490"/>
      <c r="F961" s="487"/>
      <c r="G961" s="492"/>
      <c r="H961" s="502"/>
      <c r="I961" s="493"/>
      <c r="J961" s="493"/>
      <c r="K961" s="487" t="str">
        <f ca="1">IFERROR(VLOOKUP(C961,' Disaggregation - Section E '!A$316:N698,3,0),"")</f>
        <v/>
      </c>
      <c r="L961" s="493"/>
      <c r="M961" s="487"/>
      <c r="N961" s="493"/>
      <c r="O961" s="493"/>
    </row>
    <row r="962" spans="1:15" x14ac:dyDescent="0.3">
      <c r="A962" s="487" t="b">
        <v>0</v>
      </c>
      <c r="B962" s="487"/>
      <c r="C962" s="505" t="s">
        <v>4356</v>
      </c>
      <c r="D962" s="502">
        <v>9</v>
      </c>
      <c r="E962" s="490"/>
      <c r="F962" s="487"/>
      <c r="G962" s="492"/>
      <c r="H962" s="502"/>
      <c r="I962" s="493"/>
      <c r="J962" s="493"/>
      <c r="K962" s="487" t="str">
        <f ca="1">IFERROR(VLOOKUP(C962,' Disaggregation - Section E '!A$316:N699,3,0),"")</f>
        <v/>
      </c>
      <c r="L962" s="493"/>
      <c r="M962" s="487"/>
      <c r="N962" s="493"/>
      <c r="O962" s="493"/>
    </row>
    <row r="963" spans="1:15" x14ac:dyDescent="0.3">
      <c r="A963" s="487" t="b">
        <v>0</v>
      </c>
      <c r="B963" s="487"/>
      <c r="C963" s="505" t="s">
        <v>4358</v>
      </c>
      <c r="D963" s="502">
        <v>9</v>
      </c>
      <c r="E963" s="490"/>
      <c r="F963" s="487"/>
      <c r="G963" s="492"/>
      <c r="H963" s="502"/>
      <c r="I963" s="493"/>
      <c r="J963" s="493"/>
      <c r="K963" s="487" t="str">
        <f ca="1">IFERROR(VLOOKUP(C963,' Disaggregation - Section E '!A$316:N700,3,0),"")</f>
        <v/>
      </c>
      <c r="L963" s="493"/>
      <c r="M963" s="487"/>
      <c r="N963" s="493"/>
      <c r="O963" s="493"/>
    </row>
    <row r="964" spans="1:15" x14ac:dyDescent="0.3">
      <c r="A964" s="487" t="b">
        <v>0</v>
      </c>
      <c r="B964" s="487"/>
      <c r="C964" s="505" t="s">
        <v>4360</v>
      </c>
      <c r="D964" s="502">
        <v>9</v>
      </c>
      <c r="E964" s="490"/>
      <c r="F964" s="487"/>
      <c r="G964" s="492"/>
      <c r="H964" s="502"/>
      <c r="I964" s="493"/>
      <c r="J964" s="493"/>
      <c r="K964" s="487" t="str">
        <f ca="1">IFERROR(VLOOKUP(C964,' Disaggregation - Section E '!A$316:N701,3,0),"")</f>
        <v/>
      </c>
      <c r="L964" s="493"/>
      <c r="M964" s="487"/>
      <c r="N964" s="493"/>
      <c r="O964" s="493"/>
    </row>
    <row r="965" spans="1:15" x14ac:dyDescent="0.3">
      <c r="A965" s="487" t="b">
        <v>0</v>
      </c>
      <c r="B965" s="487"/>
      <c r="C965" s="505" t="s">
        <v>4362</v>
      </c>
      <c r="D965" s="502">
        <v>9</v>
      </c>
      <c r="E965" s="490"/>
      <c r="F965" s="487"/>
      <c r="G965" s="492"/>
      <c r="H965" s="502"/>
      <c r="I965" s="493"/>
      <c r="J965" s="493"/>
      <c r="K965" s="487" t="str">
        <f ca="1">IFERROR(VLOOKUP(C965,' Disaggregation - Section E '!A$316:N702,3,0),"")</f>
        <v/>
      </c>
      <c r="L965" s="493"/>
      <c r="M965" s="487"/>
      <c r="N965" s="493"/>
      <c r="O965" s="493"/>
    </row>
    <row r="966" spans="1:15" x14ac:dyDescent="0.3">
      <c r="A966" s="487" t="b">
        <v>0</v>
      </c>
      <c r="B966" s="487"/>
      <c r="C966" s="505" t="s">
        <v>4364</v>
      </c>
      <c r="D966" s="502">
        <v>9</v>
      </c>
      <c r="E966" s="490"/>
      <c r="F966" s="487"/>
      <c r="G966" s="492"/>
      <c r="H966" s="502"/>
      <c r="I966" s="493"/>
      <c r="J966" s="493"/>
      <c r="K966" s="487" t="str">
        <f ca="1">IFERROR(VLOOKUP(C966,' Disaggregation - Section E '!A$316:N703,3,0),"")</f>
        <v/>
      </c>
      <c r="L966" s="493"/>
      <c r="M966" s="487"/>
      <c r="N966" s="493"/>
      <c r="O966" s="493"/>
    </row>
    <row r="967" spans="1:15" x14ac:dyDescent="0.3">
      <c r="A967" s="487" t="b">
        <v>0</v>
      </c>
      <c r="B967" s="487"/>
      <c r="C967" s="505" t="s">
        <v>4366</v>
      </c>
      <c r="D967" s="502">
        <v>9</v>
      </c>
      <c r="E967" s="490"/>
      <c r="F967" s="487"/>
      <c r="G967" s="492"/>
      <c r="H967" s="502"/>
      <c r="I967" s="493"/>
      <c r="J967" s="493"/>
      <c r="K967" s="487" t="str">
        <f ca="1">IFERROR(VLOOKUP(C967,' Disaggregation - Section E '!A$316:N704,3,0),"")</f>
        <v/>
      </c>
      <c r="L967" s="493"/>
      <c r="M967" s="487"/>
      <c r="N967" s="493"/>
      <c r="O967" s="493"/>
    </row>
    <row r="968" spans="1:15" x14ac:dyDescent="0.3">
      <c r="A968" s="487" t="b">
        <v>0</v>
      </c>
      <c r="B968" s="487"/>
      <c r="C968" s="505" t="s">
        <v>4368</v>
      </c>
      <c r="D968" s="502">
        <v>9</v>
      </c>
      <c r="E968" s="490"/>
      <c r="F968" s="487"/>
      <c r="G968" s="492"/>
      <c r="H968" s="502"/>
      <c r="I968" s="493"/>
      <c r="J968" s="493"/>
      <c r="K968" s="487" t="str">
        <f ca="1">IFERROR(VLOOKUP(C968,' Disaggregation - Section E '!A$316:N705,3,0),"")</f>
        <v/>
      </c>
      <c r="L968" s="493"/>
      <c r="M968" s="487"/>
      <c r="N968" s="493"/>
      <c r="O968" s="493"/>
    </row>
    <row r="969" spans="1:15" x14ac:dyDescent="0.3">
      <c r="A969" s="487" t="b">
        <v>0</v>
      </c>
      <c r="B969" s="487"/>
      <c r="C969" s="505" t="s">
        <v>4371</v>
      </c>
      <c r="D969" s="502">
        <v>10</v>
      </c>
      <c r="E969" s="490"/>
      <c r="F969" s="487"/>
      <c r="G969" s="492"/>
      <c r="H969" s="502"/>
      <c r="I969" s="493"/>
      <c r="J969" s="493"/>
      <c r="K969" s="487" t="str">
        <f ca="1">IFERROR(VLOOKUP(C969,' Disaggregation - Section E '!A$316:N706,3,0),"")</f>
        <v/>
      </c>
      <c r="L969" s="493"/>
      <c r="M969" s="487"/>
      <c r="N969" s="493"/>
      <c r="O969" s="493"/>
    </row>
    <row r="970" spans="1:15" x14ac:dyDescent="0.3">
      <c r="A970" s="487" t="b">
        <v>0</v>
      </c>
      <c r="B970" s="487"/>
      <c r="C970" s="505" t="s">
        <v>4373</v>
      </c>
      <c r="D970" s="502">
        <v>10</v>
      </c>
      <c r="E970" s="490"/>
      <c r="F970" s="487"/>
      <c r="G970" s="492"/>
      <c r="H970" s="502"/>
      <c r="I970" s="493"/>
      <c r="J970" s="493"/>
      <c r="K970" s="487" t="str">
        <f ca="1">IFERROR(VLOOKUP(C970,' Disaggregation - Section E '!A$316:N707,3,0),"")</f>
        <v/>
      </c>
      <c r="L970" s="493"/>
      <c r="M970" s="487"/>
      <c r="N970" s="493"/>
      <c r="O970" s="493"/>
    </row>
    <row r="971" spans="1:15" x14ac:dyDescent="0.3">
      <c r="A971" s="487" t="b">
        <v>0</v>
      </c>
      <c r="B971" s="487"/>
      <c r="C971" s="505" t="s">
        <v>4375</v>
      </c>
      <c r="D971" s="502">
        <v>10</v>
      </c>
      <c r="E971" s="490"/>
      <c r="F971" s="487"/>
      <c r="G971" s="492"/>
      <c r="H971" s="502"/>
      <c r="I971" s="493"/>
      <c r="J971" s="493"/>
      <c r="K971" s="487" t="str">
        <f ca="1">IFERROR(VLOOKUP(C971,' Disaggregation - Section E '!A$316:N708,3,0),"")</f>
        <v/>
      </c>
      <c r="L971" s="493"/>
      <c r="M971" s="487"/>
      <c r="N971" s="493"/>
      <c r="O971" s="493"/>
    </row>
    <row r="972" spans="1:15" x14ac:dyDescent="0.3">
      <c r="A972" s="487" t="b">
        <v>0</v>
      </c>
      <c r="B972" s="487"/>
      <c r="C972" s="505" t="s">
        <v>4377</v>
      </c>
      <c r="D972" s="502">
        <v>10</v>
      </c>
      <c r="E972" s="490"/>
      <c r="F972" s="487"/>
      <c r="G972" s="492"/>
      <c r="H972" s="502"/>
      <c r="I972" s="493"/>
      <c r="J972" s="493"/>
      <c r="K972" s="487" t="str">
        <f ca="1">IFERROR(VLOOKUP(C972,' Disaggregation - Section E '!A$316:N709,3,0),"")</f>
        <v/>
      </c>
      <c r="L972" s="493"/>
      <c r="M972" s="487"/>
      <c r="N972" s="493"/>
      <c r="O972" s="493"/>
    </row>
    <row r="973" spans="1:15" x14ac:dyDescent="0.3">
      <c r="A973" s="487" t="b">
        <v>0</v>
      </c>
      <c r="B973" s="487"/>
      <c r="C973" s="505" t="s">
        <v>4379</v>
      </c>
      <c r="D973" s="502">
        <v>10</v>
      </c>
      <c r="E973" s="490"/>
      <c r="F973" s="487"/>
      <c r="G973" s="492"/>
      <c r="H973" s="502"/>
      <c r="I973" s="493"/>
      <c r="J973" s="493"/>
      <c r="K973" s="487" t="str">
        <f ca="1">IFERROR(VLOOKUP(C973,' Disaggregation - Section E '!A$316:N710,3,0),"")</f>
        <v/>
      </c>
      <c r="L973" s="493"/>
      <c r="M973" s="487"/>
      <c r="N973" s="493"/>
      <c r="O973" s="493"/>
    </row>
    <row r="974" spans="1:15" x14ac:dyDescent="0.3">
      <c r="A974" s="487" t="b">
        <v>0</v>
      </c>
      <c r="B974" s="487"/>
      <c r="C974" s="505" t="s">
        <v>4381</v>
      </c>
      <c r="D974" s="502">
        <v>10</v>
      </c>
      <c r="E974" s="490"/>
      <c r="F974" s="487"/>
      <c r="G974" s="492"/>
      <c r="H974" s="502"/>
      <c r="I974" s="493"/>
      <c r="J974" s="493"/>
      <c r="K974" s="487" t="str">
        <f ca="1">IFERROR(VLOOKUP(C974,' Disaggregation - Section E '!A$316:N711,3,0),"")</f>
        <v/>
      </c>
      <c r="L974" s="493"/>
      <c r="M974" s="487"/>
      <c r="N974" s="493"/>
      <c r="O974" s="493"/>
    </row>
    <row r="975" spans="1:15" x14ac:dyDescent="0.3">
      <c r="A975" s="487" t="b">
        <v>0</v>
      </c>
      <c r="B975" s="487"/>
      <c r="C975" s="505" t="s">
        <v>4383</v>
      </c>
      <c r="D975" s="502">
        <v>10</v>
      </c>
      <c r="E975" s="490"/>
      <c r="F975" s="487"/>
      <c r="G975" s="492"/>
      <c r="H975" s="502"/>
      <c r="I975" s="493"/>
      <c r="J975" s="493"/>
      <c r="K975" s="487" t="str">
        <f ca="1">IFERROR(VLOOKUP(C975,' Disaggregation - Section E '!A$316:N712,3,0),"")</f>
        <v/>
      </c>
      <c r="L975" s="493"/>
      <c r="M975" s="487"/>
      <c r="N975" s="493"/>
      <c r="O975" s="493"/>
    </row>
    <row r="976" spans="1:15" x14ac:dyDescent="0.3">
      <c r="A976" s="487" t="b">
        <v>0</v>
      </c>
      <c r="B976" s="487"/>
      <c r="C976" s="505" t="s">
        <v>4385</v>
      </c>
      <c r="D976" s="502">
        <v>10</v>
      </c>
      <c r="E976" s="490"/>
      <c r="F976" s="487"/>
      <c r="G976" s="492"/>
      <c r="H976" s="502"/>
      <c r="I976" s="493"/>
      <c r="J976" s="493"/>
      <c r="K976" s="487" t="str">
        <f ca="1">IFERROR(VLOOKUP(C976,' Disaggregation - Section E '!A$316:N713,3,0),"")</f>
        <v/>
      </c>
      <c r="L976" s="493"/>
      <c r="M976" s="487"/>
      <c r="N976" s="493"/>
      <c r="O976" s="493"/>
    </row>
    <row r="977" spans="1:15" x14ac:dyDescent="0.3">
      <c r="A977" s="487" t="b">
        <v>0</v>
      </c>
      <c r="B977" s="487"/>
      <c r="C977" s="505" t="s">
        <v>4387</v>
      </c>
      <c r="D977" s="502">
        <v>10</v>
      </c>
      <c r="E977" s="490"/>
      <c r="F977" s="487"/>
      <c r="G977" s="492"/>
      <c r="H977" s="502"/>
      <c r="I977" s="493"/>
      <c r="J977" s="493"/>
      <c r="K977" s="487" t="str">
        <f ca="1">IFERROR(VLOOKUP(C977,' Disaggregation - Section E '!A$316:N714,3,0),"")</f>
        <v/>
      </c>
      <c r="L977" s="493"/>
      <c r="M977" s="487"/>
      <c r="N977" s="493"/>
      <c r="O977" s="493"/>
    </row>
    <row r="978" spans="1:15" x14ac:dyDescent="0.3">
      <c r="A978" s="487" t="b">
        <v>0</v>
      </c>
      <c r="B978" s="487"/>
      <c r="C978" s="505" t="s">
        <v>4389</v>
      </c>
      <c r="D978" s="502">
        <v>10</v>
      </c>
      <c r="E978" s="490"/>
      <c r="F978" s="487"/>
      <c r="G978" s="492"/>
      <c r="H978" s="502"/>
      <c r="I978" s="493"/>
      <c r="J978" s="493"/>
      <c r="K978" s="487" t="str">
        <f ca="1">IFERROR(VLOOKUP(C978,' Disaggregation - Section E '!A$316:N715,3,0),"")</f>
        <v/>
      </c>
      <c r="L978" s="493"/>
      <c r="M978" s="487"/>
      <c r="N978" s="493"/>
      <c r="O978" s="493"/>
    </row>
    <row r="979" spans="1:15" x14ac:dyDescent="0.3">
      <c r="A979" s="487" t="b">
        <v>0</v>
      </c>
      <c r="B979" s="487"/>
      <c r="C979" s="505" t="s">
        <v>4392</v>
      </c>
      <c r="D979" s="502">
        <v>11</v>
      </c>
      <c r="E979" s="490"/>
      <c r="F979" s="487"/>
      <c r="G979" s="492"/>
      <c r="H979" s="502"/>
      <c r="I979" s="493"/>
      <c r="J979" s="493"/>
      <c r="K979" s="487" t="str">
        <f ca="1">IFERROR(VLOOKUP(C979,' Disaggregation - Section E '!A$316:N716,3,0),"")</f>
        <v/>
      </c>
      <c r="L979" s="493"/>
      <c r="M979" s="487"/>
      <c r="N979" s="493"/>
      <c r="O979" s="493"/>
    </row>
    <row r="980" spans="1:15" x14ac:dyDescent="0.3">
      <c r="A980" s="487" t="b">
        <v>0</v>
      </c>
      <c r="B980" s="487"/>
      <c r="C980" s="505" t="s">
        <v>4394</v>
      </c>
      <c r="D980" s="502">
        <v>11</v>
      </c>
      <c r="E980" s="490"/>
      <c r="F980" s="487"/>
      <c r="G980" s="492"/>
      <c r="H980" s="502"/>
      <c r="I980" s="493"/>
      <c r="J980" s="493"/>
      <c r="K980" s="487" t="str">
        <f ca="1">IFERROR(VLOOKUP(C980,' Disaggregation - Section E '!A$316:N717,3,0),"")</f>
        <v/>
      </c>
      <c r="L980" s="493"/>
      <c r="M980" s="487"/>
      <c r="N980" s="493"/>
      <c r="O980" s="493"/>
    </row>
    <row r="981" spans="1:15" x14ac:dyDescent="0.3">
      <c r="A981" s="487" t="b">
        <v>0</v>
      </c>
      <c r="B981" s="487"/>
      <c r="C981" s="505" t="s">
        <v>4396</v>
      </c>
      <c r="D981" s="502">
        <v>11</v>
      </c>
      <c r="E981" s="490"/>
      <c r="F981" s="487"/>
      <c r="G981" s="492"/>
      <c r="H981" s="502"/>
      <c r="I981" s="493"/>
      <c r="J981" s="493"/>
      <c r="K981" s="487" t="str">
        <f ca="1">IFERROR(VLOOKUP(C981,' Disaggregation - Section E '!A$316:N718,3,0),"")</f>
        <v/>
      </c>
      <c r="L981" s="493"/>
      <c r="M981" s="487"/>
      <c r="N981" s="493"/>
      <c r="O981" s="493"/>
    </row>
    <row r="982" spans="1:15" x14ac:dyDescent="0.3">
      <c r="A982" s="487" t="b">
        <v>0</v>
      </c>
      <c r="B982" s="487"/>
      <c r="C982" s="505" t="s">
        <v>4398</v>
      </c>
      <c r="D982" s="502">
        <v>11</v>
      </c>
      <c r="E982" s="490"/>
      <c r="F982" s="487"/>
      <c r="G982" s="492"/>
      <c r="H982" s="502"/>
      <c r="I982" s="493"/>
      <c r="J982" s="493"/>
      <c r="K982" s="487" t="str">
        <f ca="1">IFERROR(VLOOKUP(C982,' Disaggregation - Section E '!A$316:N719,3,0),"")</f>
        <v/>
      </c>
      <c r="L982" s="493"/>
      <c r="M982" s="487"/>
      <c r="N982" s="493"/>
      <c r="O982" s="493"/>
    </row>
    <row r="983" spans="1:15" x14ac:dyDescent="0.3">
      <c r="A983" s="487" t="b">
        <v>0</v>
      </c>
      <c r="B983" s="487"/>
      <c r="C983" s="505" t="s">
        <v>4400</v>
      </c>
      <c r="D983" s="502">
        <v>11</v>
      </c>
      <c r="E983" s="490"/>
      <c r="F983" s="487"/>
      <c r="G983" s="492"/>
      <c r="H983" s="502"/>
      <c r="I983" s="493"/>
      <c r="J983" s="493"/>
      <c r="K983" s="487" t="str">
        <f ca="1">IFERROR(VLOOKUP(C983,' Disaggregation - Section E '!A$316:N720,3,0),"")</f>
        <v/>
      </c>
      <c r="L983" s="493"/>
      <c r="M983" s="487"/>
      <c r="N983" s="493"/>
      <c r="O983" s="493"/>
    </row>
    <row r="984" spans="1:15" x14ac:dyDescent="0.3">
      <c r="A984" s="487" t="b">
        <v>0</v>
      </c>
      <c r="B984" s="487"/>
      <c r="C984" s="505" t="s">
        <v>4402</v>
      </c>
      <c r="D984" s="502">
        <v>11</v>
      </c>
      <c r="E984" s="490"/>
      <c r="F984" s="487"/>
      <c r="G984" s="492"/>
      <c r="H984" s="502"/>
      <c r="I984" s="493"/>
      <c r="J984" s="493"/>
      <c r="K984" s="487" t="str">
        <f ca="1">IFERROR(VLOOKUP(C984,' Disaggregation - Section E '!A$316:N721,3,0),"")</f>
        <v/>
      </c>
      <c r="L984" s="493"/>
      <c r="M984" s="487"/>
      <c r="N984" s="493"/>
      <c r="O984" s="493"/>
    </row>
    <row r="985" spans="1:15" x14ac:dyDescent="0.3">
      <c r="A985" s="487" t="b">
        <v>0</v>
      </c>
      <c r="B985" s="487"/>
      <c r="C985" s="505" t="s">
        <v>4404</v>
      </c>
      <c r="D985" s="502">
        <v>11</v>
      </c>
      <c r="E985" s="490"/>
      <c r="F985" s="487"/>
      <c r="G985" s="492"/>
      <c r="H985" s="502"/>
      <c r="I985" s="493"/>
      <c r="J985" s="493"/>
      <c r="K985" s="487" t="str">
        <f ca="1">IFERROR(VLOOKUP(C985,' Disaggregation - Section E '!A$316:N722,3,0),"")</f>
        <v/>
      </c>
      <c r="L985" s="493"/>
      <c r="M985" s="487"/>
      <c r="N985" s="493"/>
      <c r="O985" s="493"/>
    </row>
    <row r="986" spans="1:15" x14ac:dyDescent="0.3">
      <c r="A986" s="487" t="b">
        <v>0</v>
      </c>
      <c r="B986" s="487"/>
      <c r="C986" s="505" t="s">
        <v>4406</v>
      </c>
      <c r="D986" s="502">
        <v>11</v>
      </c>
      <c r="E986" s="490"/>
      <c r="F986" s="487"/>
      <c r="G986" s="492"/>
      <c r="H986" s="502"/>
      <c r="I986" s="493"/>
      <c r="J986" s="493"/>
      <c r="K986" s="487" t="str">
        <f ca="1">IFERROR(VLOOKUP(C986,' Disaggregation - Section E '!A$316:N723,3,0),"")</f>
        <v/>
      </c>
      <c r="L986" s="493"/>
      <c r="M986" s="487"/>
      <c r="N986" s="493"/>
      <c r="O986" s="493"/>
    </row>
    <row r="987" spans="1:15" x14ac:dyDescent="0.3">
      <c r="A987" s="487" t="b">
        <v>0</v>
      </c>
      <c r="B987" s="487"/>
      <c r="C987" s="505" t="s">
        <v>4408</v>
      </c>
      <c r="D987" s="502">
        <v>11</v>
      </c>
      <c r="E987" s="490"/>
      <c r="F987" s="487"/>
      <c r="G987" s="492"/>
      <c r="H987" s="502"/>
      <c r="I987" s="493"/>
      <c r="J987" s="493"/>
      <c r="K987" s="487" t="str">
        <f ca="1">IFERROR(VLOOKUP(C987,' Disaggregation - Section E '!A$316:N724,3,0),"")</f>
        <v/>
      </c>
      <c r="L987" s="493"/>
      <c r="M987" s="487"/>
      <c r="N987" s="493"/>
      <c r="O987" s="493"/>
    </row>
    <row r="988" spans="1:15" x14ac:dyDescent="0.3">
      <c r="A988" s="487" t="b">
        <v>0</v>
      </c>
      <c r="B988" s="487"/>
      <c r="C988" s="505" t="s">
        <v>4410</v>
      </c>
      <c r="D988" s="502">
        <v>11</v>
      </c>
      <c r="E988" s="490"/>
      <c r="F988" s="487"/>
      <c r="G988" s="492"/>
      <c r="H988" s="502"/>
      <c r="I988" s="493"/>
      <c r="J988" s="493"/>
      <c r="K988" s="487" t="str">
        <f ca="1">IFERROR(VLOOKUP(C988,' Disaggregation - Section E '!A$316:N725,3,0),"")</f>
        <v/>
      </c>
      <c r="L988" s="493"/>
      <c r="M988" s="487"/>
      <c r="N988" s="493"/>
      <c r="O988" s="493"/>
    </row>
    <row r="989" spans="1:15" x14ac:dyDescent="0.3">
      <c r="A989" s="487" t="b">
        <v>0</v>
      </c>
      <c r="B989" s="487"/>
      <c r="C989" s="505" t="s">
        <v>4413</v>
      </c>
      <c r="D989" s="502">
        <v>12</v>
      </c>
      <c r="E989" s="490"/>
      <c r="F989" s="487"/>
      <c r="G989" s="492"/>
      <c r="H989" s="502"/>
      <c r="I989" s="493"/>
      <c r="J989" s="493"/>
      <c r="K989" s="487" t="str">
        <f ca="1">IFERROR(VLOOKUP(C989,' Disaggregation - Section E '!A$316:N726,3,0),"")</f>
        <v/>
      </c>
      <c r="L989" s="493"/>
      <c r="M989" s="487"/>
      <c r="N989" s="493"/>
      <c r="O989" s="493"/>
    </row>
    <row r="990" spans="1:15" x14ac:dyDescent="0.3">
      <c r="A990" s="487" t="b">
        <v>0</v>
      </c>
      <c r="B990" s="487"/>
      <c r="C990" s="505" t="s">
        <v>4415</v>
      </c>
      <c r="D990" s="502">
        <v>12</v>
      </c>
      <c r="E990" s="490"/>
      <c r="F990" s="487"/>
      <c r="G990" s="492"/>
      <c r="H990" s="502"/>
      <c r="I990" s="493"/>
      <c r="J990" s="493"/>
      <c r="K990" s="487" t="str">
        <f ca="1">IFERROR(VLOOKUP(C990,' Disaggregation - Section E '!A$316:N727,3,0),"")</f>
        <v/>
      </c>
      <c r="L990" s="493"/>
      <c r="M990" s="487"/>
      <c r="N990" s="493"/>
      <c r="O990" s="493"/>
    </row>
    <row r="991" spans="1:15" x14ac:dyDescent="0.3">
      <c r="A991" s="487" t="b">
        <v>0</v>
      </c>
      <c r="B991" s="487"/>
      <c r="C991" s="505" t="s">
        <v>4417</v>
      </c>
      <c r="D991" s="502">
        <v>12</v>
      </c>
      <c r="E991" s="490"/>
      <c r="F991" s="487"/>
      <c r="G991" s="492"/>
      <c r="H991" s="502"/>
      <c r="I991" s="493"/>
      <c r="J991" s="493"/>
      <c r="K991" s="487" t="str">
        <f ca="1">IFERROR(VLOOKUP(C991,' Disaggregation - Section E '!A$316:N728,3,0),"")</f>
        <v/>
      </c>
      <c r="L991" s="493"/>
      <c r="M991" s="487"/>
      <c r="N991" s="493"/>
      <c r="O991" s="493"/>
    </row>
    <row r="992" spans="1:15" x14ac:dyDescent="0.3">
      <c r="A992" s="487" t="b">
        <v>0</v>
      </c>
      <c r="B992" s="487"/>
      <c r="C992" s="505" t="s">
        <v>4419</v>
      </c>
      <c r="D992" s="502">
        <v>12</v>
      </c>
      <c r="E992" s="490"/>
      <c r="F992" s="487"/>
      <c r="G992" s="492"/>
      <c r="H992" s="502"/>
      <c r="I992" s="493"/>
      <c r="J992" s="493"/>
      <c r="K992" s="487" t="str">
        <f ca="1">IFERROR(VLOOKUP(C992,' Disaggregation - Section E '!A$316:N729,3,0),"")</f>
        <v/>
      </c>
      <c r="L992" s="493"/>
      <c r="M992" s="487"/>
      <c r="N992" s="493"/>
      <c r="O992" s="493"/>
    </row>
    <row r="993" spans="1:15" x14ac:dyDescent="0.3">
      <c r="A993" s="487" t="b">
        <v>0</v>
      </c>
      <c r="B993" s="487"/>
      <c r="C993" s="505" t="s">
        <v>4421</v>
      </c>
      <c r="D993" s="502">
        <v>12</v>
      </c>
      <c r="E993" s="490"/>
      <c r="F993" s="487"/>
      <c r="G993" s="492"/>
      <c r="H993" s="502"/>
      <c r="I993" s="493"/>
      <c r="J993" s="493"/>
      <c r="K993" s="487" t="str">
        <f ca="1">IFERROR(VLOOKUP(C993,' Disaggregation - Section E '!A$316:N730,3,0),"")</f>
        <v/>
      </c>
      <c r="L993" s="493"/>
      <c r="M993" s="487"/>
      <c r="N993" s="493"/>
      <c r="O993" s="493"/>
    </row>
    <row r="994" spans="1:15" x14ac:dyDescent="0.3">
      <c r="A994" s="487" t="b">
        <v>0</v>
      </c>
      <c r="B994" s="487"/>
      <c r="C994" s="505" t="s">
        <v>4423</v>
      </c>
      <c r="D994" s="502">
        <v>12</v>
      </c>
      <c r="E994" s="490"/>
      <c r="F994" s="487"/>
      <c r="G994" s="492"/>
      <c r="H994" s="502"/>
      <c r="I994" s="493"/>
      <c r="J994" s="493"/>
      <c r="K994" s="487" t="str">
        <f ca="1">IFERROR(VLOOKUP(C994,' Disaggregation - Section E '!A$316:N731,3,0),"")</f>
        <v/>
      </c>
      <c r="L994" s="493"/>
      <c r="M994" s="487"/>
      <c r="N994" s="493"/>
      <c r="O994" s="493"/>
    </row>
    <row r="995" spans="1:15" x14ac:dyDescent="0.3">
      <c r="A995" s="487" t="b">
        <v>0</v>
      </c>
      <c r="B995" s="487"/>
      <c r="C995" s="505" t="s">
        <v>4425</v>
      </c>
      <c r="D995" s="502">
        <v>12</v>
      </c>
      <c r="E995" s="490"/>
      <c r="F995" s="487"/>
      <c r="G995" s="492"/>
      <c r="H995" s="502"/>
      <c r="I995" s="493"/>
      <c r="J995" s="493"/>
      <c r="K995" s="487" t="str">
        <f ca="1">IFERROR(VLOOKUP(C995,' Disaggregation - Section E '!A$316:N732,3,0),"")</f>
        <v/>
      </c>
      <c r="L995" s="493"/>
      <c r="M995" s="487"/>
      <c r="N995" s="493"/>
      <c r="O995" s="493"/>
    </row>
    <row r="996" spans="1:15" x14ac:dyDescent="0.3">
      <c r="A996" s="487" t="b">
        <v>0</v>
      </c>
      <c r="B996" s="487"/>
      <c r="C996" s="505" t="s">
        <v>4427</v>
      </c>
      <c r="D996" s="502">
        <v>12</v>
      </c>
      <c r="E996" s="490"/>
      <c r="F996" s="487"/>
      <c r="G996" s="492"/>
      <c r="H996" s="502"/>
      <c r="I996" s="493"/>
      <c r="J996" s="493"/>
      <c r="K996" s="487" t="str">
        <f ca="1">IFERROR(VLOOKUP(C996,' Disaggregation - Section E '!A$316:N733,3,0),"")</f>
        <v/>
      </c>
      <c r="L996" s="493"/>
      <c r="M996" s="487"/>
      <c r="N996" s="493"/>
      <c r="O996" s="493"/>
    </row>
    <row r="997" spans="1:15" x14ac:dyDescent="0.3">
      <c r="A997" s="487" t="b">
        <v>0</v>
      </c>
      <c r="B997" s="487"/>
      <c r="C997" s="505" t="s">
        <v>4429</v>
      </c>
      <c r="D997" s="502">
        <v>12</v>
      </c>
      <c r="E997" s="490"/>
      <c r="F997" s="487"/>
      <c r="G997" s="492"/>
      <c r="H997" s="502"/>
      <c r="I997" s="493"/>
      <c r="J997" s="493"/>
      <c r="K997" s="487" t="str">
        <f ca="1">IFERROR(VLOOKUP(C997,' Disaggregation - Section E '!A$316:N734,3,0),"")</f>
        <v/>
      </c>
      <c r="L997" s="493"/>
      <c r="M997" s="487"/>
      <c r="N997" s="493"/>
      <c r="O997" s="493"/>
    </row>
    <row r="998" spans="1:15" x14ac:dyDescent="0.3">
      <c r="A998" s="487" t="b">
        <v>0</v>
      </c>
      <c r="B998" s="487"/>
      <c r="C998" s="505" t="s">
        <v>4431</v>
      </c>
      <c r="D998" s="502">
        <v>12</v>
      </c>
      <c r="E998" s="490"/>
      <c r="F998" s="487"/>
      <c r="G998" s="492"/>
      <c r="H998" s="502"/>
      <c r="I998" s="493"/>
      <c r="J998" s="493"/>
      <c r="K998" s="487" t="str">
        <f ca="1">IFERROR(VLOOKUP(C998,' Disaggregation - Section E '!A$316:N735,3,0),"")</f>
        <v/>
      </c>
      <c r="L998" s="493"/>
      <c r="M998" s="487"/>
      <c r="N998" s="493"/>
      <c r="O998" s="493"/>
    </row>
    <row r="999" spans="1:15" x14ac:dyDescent="0.3">
      <c r="A999" s="487" t="b">
        <v>0</v>
      </c>
      <c r="B999" s="487"/>
      <c r="C999" s="505" t="s">
        <v>4434</v>
      </c>
      <c r="D999" s="502">
        <v>13</v>
      </c>
      <c r="E999" s="490"/>
      <c r="F999" s="487"/>
      <c r="G999" s="492"/>
      <c r="H999" s="502"/>
      <c r="I999" s="493"/>
      <c r="J999" s="493"/>
      <c r="K999" s="487" t="str">
        <f ca="1">IFERROR(VLOOKUP(C999,' Disaggregation - Section E '!A$316:N736,3,0),"")</f>
        <v/>
      </c>
      <c r="L999" s="493"/>
      <c r="M999" s="487"/>
      <c r="N999" s="493"/>
      <c r="O999" s="493"/>
    </row>
    <row r="1000" spans="1:15" x14ac:dyDescent="0.3">
      <c r="A1000" s="487" t="b">
        <v>0</v>
      </c>
      <c r="B1000" s="487"/>
      <c r="C1000" s="505" t="s">
        <v>4436</v>
      </c>
      <c r="D1000" s="502">
        <v>13</v>
      </c>
      <c r="E1000" s="490"/>
      <c r="F1000" s="487"/>
      <c r="G1000" s="492"/>
      <c r="H1000" s="502"/>
      <c r="I1000" s="493"/>
      <c r="J1000" s="493"/>
      <c r="K1000" s="487" t="str">
        <f ca="1">IFERROR(VLOOKUP(C1000,' Disaggregation - Section E '!A$316:N737,3,0),"")</f>
        <v/>
      </c>
      <c r="L1000" s="493"/>
      <c r="M1000" s="487"/>
      <c r="N1000" s="493"/>
      <c r="O1000" s="493"/>
    </row>
    <row r="1001" spans="1:15" x14ac:dyDescent="0.3">
      <c r="A1001" s="487" t="b">
        <v>0</v>
      </c>
      <c r="B1001" s="487"/>
      <c r="C1001" s="505" t="s">
        <v>4438</v>
      </c>
      <c r="D1001" s="502">
        <v>13</v>
      </c>
      <c r="E1001" s="490"/>
      <c r="F1001" s="487"/>
      <c r="G1001" s="492"/>
      <c r="H1001" s="502"/>
      <c r="I1001" s="493"/>
      <c r="J1001" s="493"/>
      <c r="K1001" s="487" t="str">
        <f ca="1">IFERROR(VLOOKUP(C1001,' Disaggregation - Section E '!A$316:N738,3,0),"")</f>
        <v/>
      </c>
      <c r="L1001" s="493"/>
      <c r="M1001" s="487"/>
      <c r="N1001" s="493"/>
      <c r="O1001" s="493"/>
    </row>
    <row r="1002" spans="1:15" x14ac:dyDescent="0.3">
      <c r="A1002" s="487" t="b">
        <v>0</v>
      </c>
      <c r="B1002" s="487"/>
      <c r="C1002" s="505" t="s">
        <v>4440</v>
      </c>
      <c r="D1002" s="502">
        <v>13</v>
      </c>
      <c r="E1002" s="490"/>
      <c r="F1002" s="487"/>
      <c r="G1002" s="492"/>
      <c r="H1002" s="502"/>
      <c r="I1002" s="493"/>
      <c r="J1002" s="493"/>
      <c r="K1002" s="487" t="str">
        <f ca="1">IFERROR(VLOOKUP(C1002,' Disaggregation - Section E '!A$316:N739,3,0),"")</f>
        <v/>
      </c>
      <c r="L1002" s="493"/>
      <c r="M1002" s="487"/>
      <c r="N1002" s="493"/>
      <c r="O1002" s="493"/>
    </row>
    <row r="1003" spans="1:15" x14ac:dyDescent="0.3">
      <c r="A1003" s="487" t="b">
        <v>0</v>
      </c>
      <c r="B1003" s="487"/>
      <c r="C1003" s="505" t="s">
        <v>4442</v>
      </c>
      <c r="D1003" s="502">
        <v>13</v>
      </c>
      <c r="E1003" s="490"/>
      <c r="F1003" s="487"/>
      <c r="G1003" s="492"/>
      <c r="H1003" s="502"/>
      <c r="I1003" s="493"/>
      <c r="J1003" s="493"/>
      <c r="K1003" s="487" t="str">
        <f ca="1">IFERROR(VLOOKUP(C1003,' Disaggregation - Section E '!A$316:N740,3,0),"")</f>
        <v/>
      </c>
      <c r="L1003" s="493"/>
      <c r="M1003" s="487"/>
      <c r="N1003" s="493"/>
      <c r="O1003" s="493"/>
    </row>
    <row r="1004" spans="1:15" x14ac:dyDescent="0.3">
      <c r="A1004" s="487" t="b">
        <v>0</v>
      </c>
      <c r="B1004" s="487"/>
      <c r="C1004" s="505" t="s">
        <v>4444</v>
      </c>
      <c r="D1004" s="502">
        <v>13</v>
      </c>
      <c r="E1004" s="490"/>
      <c r="F1004" s="487"/>
      <c r="G1004" s="492"/>
      <c r="H1004" s="502"/>
      <c r="I1004" s="493"/>
      <c r="J1004" s="493"/>
      <c r="K1004" s="487" t="str">
        <f ca="1">IFERROR(VLOOKUP(C1004,' Disaggregation - Section E '!A$316:N741,3,0),"")</f>
        <v/>
      </c>
      <c r="L1004" s="493"/>
      <c r="M1004" s="487"/>
      <c r="N1004" s="493"/>
      <c r="O1004" s="493"/>
    </row>
    <row r="1005" spans="1:15" x14ac:dyDescent="0.3">
      <c r="A1005" s="487" t="b">
        <v>0</v>
      </c>
      <c r="B1005" s="487"/>
      <c r="C1005" s="505" t="s">
        <v>4446</v>
      </c>
      <c r="D1005" s="502">
        <v>13</v>
      </c>
      <c r="E1005" s="490"/>
      <c r="F1005" s="487"/>
      <c r="G1005" s="492"/>
      <c r="H1005" s="502"/>
      <c r="I1005" s="493"/>
      <c r="J1005" s="493"/>
      <c r="K1005" s="487" t="str">
        <f ca="1">IFERROR(VLOOKUP(C1005,' Disaggregation - Section E '!A$316:N742,3,0),"")</f>
        <v/>
      </c>
      <c r="L1005" s="493"/>
      <c r="M1005" s="487"/>
      <c r="N1005" s="493"/>
      <c r="O1005" s="493"/>
    </row>
    <row r="1006" spans="1:15" x14ac:dyDescent="0.3">
      <c r="A1006" s="487" t="b">
        <v>0</v>
      </c>
      <c r="B1006" s="487"/>
      <c r="C1006" s="505" t="s">
        <v>4448</v>
      </c>
      <c r="D1006" s="502">
        <v>13</v>
      </c>
      <c r="E1006" s="490"/>
      <c r="F1006" s="487"/>
      <c r="G1006" s="492"/>
      <c r="H1006" s="502"/>
      <c r="I1006" s="493"/>
      <c r="J1006" s="493"/>
      <c r="K1006" s="487" t="str">
        <f ca="1">IFERROR(VLOOKUP(C1006,' Disaggregation - Section E '!A$316:N743,3,0),"")</f>
        <v/>
      </c>
      <c r="L1006" s="493"/>
      <c r="M1006" s="487"/>
      <c r="N1006" s="493"/>
      <c r="O1006" s="493"/>
    </row>
    <row r="1007" spans="1:15" x14ac:dyDescent="0.3">
      <c r="A1007" s="487" t="b">
        <v>0</v>
      </c>
      <c r="B1007" s="487"/>
      <c r="C1007" s="505" t="s">
        <v>4450</v>
      </c>
      <c r="D1007" s="502">
        <v>13</v>
      </c>
      <c r="E1007" s="490"/>
      <c r="F1007" s="487"/>
      <c r="G1007" s="492"/>
      <c r="H1007" s="502"/>
      <c r="I1007" s="493"/>
      <c r="J1007" s="493"/>
      <c r="K1007" s="487" t="str">
        <f ca="1">IFERROR(VLOOKUP(C1007,' Disaggregation - Section E '!A$316:N744,3,0),"")</f>
        <v/>
      </c>
      <c r="L1007" s="493"/>
      <c r="M1007" s="487"/>
      <c r="N1007" s="493"/>
      <c r="O1007" s="493"/>
    </row>
    <row r="1008" spans="1:15" x14ac:dyDescent="0.3">
      <c r="A1008" s="487" t="b">
        <v>0</v>
      </c>
      <c r="B1008" s="487"/>
      <c r="C1008" s="505" t="s">
        <v>4452</v>
      </c>
      <c r="D1008" s="502">
        <v>13</v>
      </c>
      <c r="E1008" s="490"/>
      <c r="F1008" s="487"/>
      <c r="G1008" s="492"/>
      <c r="H1008" s="502"/>
      <c r="I1008" s="493"/>
      <c r="J1008" s="493"/>
      <c r="K1008" s="487" t="str">
        <f ca="1">IFERROR(VLOOKUP(C1008,' Disaggregation - Section E '!A$316:N745,3,0),"")</f>
        <v/>
      </c>
      <c r="L1008" s="493"/>
      <c r="M1008" s="487"/>
      <c r="N1008" s="493"/>
      <c r="O1008" s="493"/>
    </row>
    <row r="1009" spans="1:15" x14ac:dyDescent="0.3">
      <c r="A1009" s="487" t="b">
        <v>0</v>
      </c>
      <c r="B1009" s="487"/>
      <c r="C1009" s="505" t="s">
        <v>4455</v>
      </c>
      <c r="D1009" s="502">
        <v>14</v>
      </c>
      <c r="E1009" s="490"/>
      <c r="F1009" s="487"/>
      <c r="G1009" s="492"/>
      <c r="H1009" s="502"/>
      <c r="I1009" s="493"/>
      <c r="J1009" s="493"/>
      <c r="K1009" s="487" t="str">
        <f ca="1">IFERROR(VLOOKUP(C1009,' Disaggregation - Section E '!A$316:N746,3,0),"")</f>
        <v/>
      </c>
      <c r="L1009" s="493"/>
      <c r="M1009" s="487"/>
      <c r="N1009" s="493"/>
      <c r="O1009" s="493"/>
    </row>
    <row r="1010" spans="1:15" x14ac:dyDescent="0.3">
      <c r="A1010" s="487" t="b">
        <v>0</v>
      </c>
      <c r="B1010" s="487"/>
      <c r="C1010" s="505" t="s">
        <v>4457</v>
      </c>
      <c r="D1010" s="502">
        <v>14</v>
      </c>
      <c r="E1010" s="490"/>
      <c r="F1010" s="487"/>
      <c r="G1010" s="492"/>
      <c r="H1010" s="502"/>
      <c r="I1010" s="493"/>
      <c r="J1010" s="493"/>
      <c r="K1010" s="487" t="str">
        <f ca="1">IFERROR(VLOOKUP(C1010,' Disaggregation - Section E '!A$316:N747,3,0),"")</f>
        <v/>
      </c>
      <c r="L1010" s="493"/>
      <c r="M1010" s="487"/>
      <c r="N1010" s="493"/>
      <c r="O1010" s="493"/>
    </row>
    <row r="1011" spans="1:15" x14ac:dyDescent="0.3">
      <c r="A1011" s="487" t="b">
        <v>0</v>
      </c>
      <c r="B1011" s="487"/>
      <c r="C1011" s="505" t="s">
        <v>4459</v>
      </c>
      <c r="D1011" s="502">
        <v>14</v>
      </c>
      <c r="E1011" s="490"/>
      <c r="F1011" s="487"/>
      <c r="G1011" s="492"/>
      <c r="H1011" s="502"/>
      <c r="I1011" s="493"/>
      <c r="J1011" s="493"/>
      <c r="K1011" s="487" t="str">
        <f ca="1">IFERROR(VLOOKUP(C1011,' Disaggregation - Section E '!A$316:N748,3,0),"")</f>
        <v/>
      </c>
      <c r="L1011" s="493"/>
      <c r="M1011" s="487"/>
      <c r="N1011" s="493"/>
      <c r="O1011" s="493"/>
    </row>
    <row r="1012" spans="1:15" x14ac:dyDescent="0.3">
      <c r="A1012" s="487" t="b">
        <v>0</v>
      </c>
      <c r="B1012" s="487"/>
      <c r="C1012" s="505" t="s">
        <v>4461</v>
      </c>
      <c r="D1012" s="502">
        <v>14</v>
      </c>
      <c r="E1012" s="490"/>
      <c r="F1012" s="487"/>
      <c r="G1012" s="492"/>
      <c r="H1012" s="502"/>
      <c r="I1012" s="493"/>
      <c r="J1012" s="493"/>
      <c r="K1012" s="487" t="str">
        <f ca="1">IFERROR(VLOOKUP(C1012,' Disaggregation - Section E '!A$316:N749,3,0),"")</f>
        <v/>
      </c>
      <c r="L1012" s="493"/>
      <c r="M1012" s="487"/>
      <c r="N1012" s="493"/>
      <c r="O1012" s="493"/>
    </row>
    <row r="1013" spans="1:15" x14ac:dyDescent="0.3">
      <c r="A1013" s="487" t="b">
        <v>0</v>
      </c>
      <c r="B1013" s="487"/>
      <c r="C1013" s="505" t="s">
        <v>4463</v>
      </c>
      <c r="D1013" s="502">
        <v>14</v>
      </c>
      <c r="E1013" s="490"/>
      <c r="F1013" s="487"/>
      <c r="G1013" s="492"/>
      <c r="H1013" s="502"/>
      <c r="I1013" s="493"/>
      <c r="J1013" s="493"/>
      <c r="K1013" s="487" t="str">
        <f ca="1">IFERROR(VLOOKUP(C1013,' Disaggregation - Section E '!A$316:N750,3,0),"")</f>
        <v/>
      </c>
      <c r="L1013" s="493"/>
      <c r="M1013" s="487"/>
      <c r="N1013" s="493"/>
      <c r="O1013" s="493"/>
    </row>
    <row r="1014" spans="1:15" x14ac:dyDescent="0.3">
      <c r="A1014" s="487" t="b">
        <v>0</v>
      </c>
      <c r="B1014" s="487"/>
      <c r="C1014" s="505" t="s">
        <v>4465</v>
      </c>
      <c r="D1014" s="502">
        <v>14</v>
      </c>
      <c r="E1014" s="490"/>
      <c r="F1014" s="487"/>
      <c r="G1014" s="492"/>
      <c r="H1014" s="502"/>
      <c r="I1014" s="493"/>
      <c r="J1014" s="493"/>
      <c r="K1014" s="487" t="str">
        <f ca="1">IFERROR(VLOOKUP(C1014,' Disaggregation - Section E '!A$316:N751,3,0),"")</f>
        <v/>
      </c>
      <c r="L1014" s="493"/>
      <c r="M1014" s="487"/>
      <c r="N1014" s="493"/>
      <c r="O1014" s="493"/>
    </row>
    <row r="1015" spans="1:15" x14ac:dyDescent="0.3">
      <c r="A1015" s="487" t="b">
        <v>0</v>
      </c>
      <c r="B1015" s="487"/>
      <c r="C1015" s="505" t="s">
        <v>4467</v>
      </c>
      <c r="D1015" s="502">
        <v>14</v>
      </c>
      <c r="E1015" s="490"/>
      <c r="F1015" s="487"/>
      <c r="G1015" s="492"/>
      <c r="H1015" s="502"/>
      <c r="I1015" s="493"/>
      <c r="J1015" s="493"/>
      <c r="K1015" s="487" t="str">
        <f ca="1">IFERROR(VLOOKUP(C1015,' Disaggregation - Section E '!A$316:N752,3,0),"")</f>
        <v/>
      </c>
      <c r="L1015" s="493"/>
      <c r="M1015" s="487"/>
      <c r="N1015" s="493"/>
      <c r="O1015" s="493"/>
    </row>
    <row r="1016" spans="1:15" x14ac:dyDescent="0.3">
      <c r="A1016" s="487" t="b">
        <v>0</v>
      </c>
      <c r="B1016" s="487"/>
      <c r="C1016" s="505" t="s">
        <v>4469</v>
      </c>
      <c r="D1016" s="502">
        <v>14</v>
      </c>
      <c r="E1016" s="490"/>
      <c r="F1016" s="487"/>
      <c r="G1016" s="492"/>
      <c r="H1016" s="502"/>
      <c r="I1016" s="493"/>
      <c r="J1016" s="493"/>
      <c r="K1016" s="487" t="str">
        <f ca="1">IFERROR(VLOOKUP(C1016,' Disaggregation - Section E '!A$316:N753,3,0),"")</f>
        <v/>
      </c>
      <c r="L1016" s="493"/>
      <c r="M1016" s="487"/>
      <c r="N1016" s="493"/>
      <c r="O1016" s="493"/>
    </row>
    <row r="1017" spans="1:15" x14ac:dyDescent="0.3">
      <c r="A1017" s="487" t="b">
        <v>0</v>
      </c>
      <c r="B1017" s="487"/>
      <c r="C1017" s="505" t="s">
        <v>4471</v>
      </c>
      <c r="D1017" s="502">
        <v>14</v>
      </c>
      <c r="E1017" s="490"/>
      <c r="F1017" s="487"/>
      <c r="G1017" s="492"/>
      <c r="H1017" s="502"/>
      <c r="I1017" s="493"/>
      <c r="J1017" s="493"/>
      <c r="K1017" s="487" t="str">
        <f ca="1">IFERROR(VLOOKUP(C1017,' Disaggregation - Section E '!A$316:N754,3,0),"")</f>
        <v/>
      </c>
      <c r="L1017" s="493"/>
      <c r="M1017" s="487"/>
      <c r="N1017" s="493"/>
      <c r="O1017" s="493"/>
    </row>
    <row r="1018" spans="1:15" x14ac:dyDescent="0.3">
      <c r="A1018" s="487" t="b">
        <v>0</v>
      </c>
      <c r="B1018" s="487"/>
      <c r="C1018" s="505" t="s">
        <v>4473</v>
      </c>
      <c r="D1018" s="502">
        <v>14</v>
      </c>
      <c r="E1018" s="490"/>
      <c r="F1018" s="487"/>
      <c r="G1018" s="492"/>
      <c r="H1018" s="502"/>
      <c r="I1018" s="493"/>
      <c r="J1018" s="493"/>
      <c r="K1018" s="487" t="str">
        <f ca="1">IFERROR(VLOOKUP(C1018,' Disaggregation - Section E '!A$316:N755,3,0),"")</f>
        <v/>
      </c>
      <c r="L1018" s="493"/>
      <c r="M1018" s="487"/>
      <c r="N1018" s="493"/>
      <c r="O1018" s="493"/>
    </row>
    <row r="1019" spans="1:15" x14ac:dyDescent="0.3">
      <c r="A1019" s="487" t="b">
        <v>0</v>
      </c>
      <c r="B1019" s="487"/>
      <c r="C1019" s="505" t="s">
        <v>4476</v>
      </c>
      <c r="D1019" s="502">
        <v>15</v>
      </c>
      <c r="E1019" s="490"/>
      <c r="F1019" s="487"/>
      <c r="G1019" s="492"/>
      <c r="H1019" s="502"/>
      <c r="I1019" s="493"/>
      <c r="J1019" s="493"/>
      <c r="K1019" s="487" t="str">
        <f ca="1">IFERROR(VLOOKUP(C1019,' Disaggregation - Section E '!A$316:N756,3,0),"")</f>
        <v/>
      </c>
      <c r="L1019" s="493"/>
      <c r="M1019" s="487"/>
      <c r="N1019" s="493"/>
      <c r="O1019" s="493"/>
    </row>
    <row r="1020" spans="1:15" x14ac:dyDescent="0.3">
      <c r="A1020" s="487" t="b">
        <v>0</v>
      </c>
      <c r="B1020" s="487"/>
      <c r="C1020" s="505" t="s">
        <v>4478</v>
      </c>
      <c r="D1020" s="502">
        <v>15</v>
      </c>
      <c r="E1020" s="490"/>
      <c r="F1020" s="487"/>
      <c r="G1020" s="492"/>
      <c r="H1020" s="502"/>
      <c r="I1020" s="493"/>
      <c r="J1020" s="493"/>
      <c r="K1020" s="487" t="str">
        <f ca="1">IFERROR(VLOOKUP(C1020,' Disaggregation - Section E '!A$316:N757,3,0),"")</f>
        <v/>
      </c>
      <c r="L1020" s="493"/>
      <c r="M1020" s="487"/>
      <c r="N1020" s="493"/>
      <c r="O1020" s="493"/>
    </row>
    <row r="1021" spans="1:15" x14ac:dyDescent="0.3">
      <c r="A1021" s="487" t="b">
        <v>0</v>
      </c>
      <c r="B1021" s="487"/>
      <c r="C1021" s="505" t="s">
        <v>4480</v>
      </c>
      <c r="D1021" s="502">
        <v>15</v>
      </c>
      <c r="E1021" s="490"/>
      <c r="F1021" s="487"/>
      <c r="G1021" s="492"/>
      <c r="H1021" s="502"/>
      <c r="I1021" s="493"/>
      <c r="J1021" s="493"/>
      <c r="K1021" s="487" t="str">
        <f ca="1">IFERROR(VLOOKUP(C1021,' Disaggregation - Section E '!A$316:N758,3,0),"")</f>
        <v/>
      </c>
      <c r="L1021" s="493"/>
      <c r="M1021" s="487"/>
      <c r="N1021" s="493"/>
      <c r="O1021" s="493"/>
    </row>
    <row r="1022" spans="1:15" x14ac:dyDescent="0.3">
      <c r="A1022" s="487" t="b">
        <v>0</v>
      </c>
      <c r="B1022" s="487"/>
      <c r="C1022" s="505" t="s">
        <v>4482</v>
      </c>
      <c r="D1022" s="502">
        <v>15</v>
      </c>
      <c r="E1022" s="490"/>
      <c r="F1022" s="487"/>
      <c r="G1022" s="492"/>
      <c r="H1022" s="502"/>
      <c r="I1022" s="493"/>
      <c r="J1022" s="493"/>
      <c r="K1022" s="487" t="str">
        <f ca="1">IFERROR(VLOOKUP(C1022,' Disaggregation - Section E '!A$316:N759,3,0),"")</f>
        <v/>
      </c>
      <c r="L1022" s="493"/>
      <c r="M1022" s="487"/>
      <c r="N1022" s="493"/>
      <c r="O1022" s="493"/>
    </row>
    <row r="1023" spans="1:15" x14ac:dyDescent="0.3">
      <c r="A1023" s="487" t="b">
        <v>0</v>
      </c>
      <c r="B1023" s="487"/>
      <c r="C1023" s="505" t="s">
        <v>4484</v>
      </c>
      <c r="D1023" s="502">
        <v>15</v>
      </c>
      <c r="E1023" s="490"/>
      <c r="F1023" s="487"/>
      <c r="G1023" s="492"/>
      <c r="H1023" s="502"/>
      <c r="I1023" s="493"/>
      <c r="J1023" s="493"/>
      <c r="K1023" s="487" t="str">
        <f ca="1">IFERROR(VLOOKUP(C1023,' Disaggregation - Section E '!A$316:N760,3,0),"")</f>
        <v/>
      </c>
      <c r="L1023" s="493"/>
      <c r="M1023" s="487"/>
      <c r="N1023" s="493"/>
      <c r="O1023" s="493"/>
    </row>
    <row r="1024" spans="1:15" x14ac:dyDescent="0.3">
      <c r="A1024" s="487" t="b">
        <v>0</v>
      </c>
      <c r="B1024" s="487"/>
      <c r="C1024" s="505" t="s">
        <v>4486</v>
      </c>
      <c r="D1024" s="502">
        <v>15</v>
      </c>
      <c r="E1024" s="490"/>
      <c r="F1024" s="487"/>
      <c r="G1024" s="492"/>
      <c r="H1024" s="502"/>
      <c r="I1024" s="493"/>
      <c r="J1024" s="493"/>
      <c r="K1024" s="487" t="str">
        <f ca="1">IFERROR(VLOOKUP(C1024,' Disaggregation - Section E '!A$316:N761,3,0),"")</f>
        <v/>
      </c>
      <c r="L1024" s="493"/>
      <c r="M1024" s="487"/>
      <c r="N1024" s="493"/>
      <c r="O1024" s="493"/>
    </row>
    <row r="1025" spans="1:15" x14ac:dyDescent="0.3">
      <c r="A1025" s="487" t="b">
        <v>0</v>
      </c>
      <c r="B1025" s="487"/>
      <c r="C1025" s="505" t="s">
        <v>4488</v>
      </c>
      <c r="D1025" s="502">
        <v>15</v>
      </c>
      <c r="E1025" s="490"/>
      <c r="F1025" s="487"/>
      <c r="G1025" s="492"/>
      <c r="H1025" s="502"/>
      <c r="I1025" s="493"/>
      <c r="J1025" s="493"/>
      <c r="K1025" s="487" t="str">
        <f ca="1">IFERROR(VLOOKUP(C1025,' Disaggregation - Section E '!A$316:N762,3,0),"")</f>
        <v/>
      </c>
      <c r="L1025" s="493"/>
      <c r="M1025" s="487"/>
      <c r="N1025" s="493"/>
      <c r="O1025" s="493"/>
    </row>
    <row r="1026" spans="1:15" x14ac:dyDescent="0.3">
      <c r="A1026" s="487" t="b">
        <v>0</v>
      </c>
      <c r="B1026" s="487"/>
      <c r="C1026" s="505" t="s">
        <v>4490</v>
      </c>
      <c r="D1026" s="502">
        <v>15</v>
      </c>
      <c r="E1026" s="490"/>
      <c r="F1026" s="487"/>
      <c r="G1026" s="492"/>
      <c r="H1026" s="502"/>
      <c r="I1026" s="493"/>
      <c r="J1026" s="493"/>
      <c r="K1026" s="487" t="str">
        <f ca="1">IFERROR(VLOOKUP(C1026,' Disaggregation - Section E '!A$316:N763,3,0),"")</f>
        <v/>
      </c>
      <c r="L1026" s="493"/>
      <c r="M1026" s="487"/>
      <c r="N1026" s="493"/>
      <c r="O1026" s="493"/>
    </row>
    <row r="1027" spans="1:15" x14ac:dyDescent="0.3">
      <c r="A1027" s="487" t="b">
        <v>0</v>
      </c>
      <c r="B1027" s="487"/>
      <c r="C1027" s="505" t="s">
        <v>4492</v>
      </c>
      <c r="D1027" s="502">
        <v>15</v>
      </c>
      <c r="E1027" s="490"/>
      <c r="F1027" s="487"/>
      <c r="G1027" s="492"/>
      <c r="H1027" s="502"/>
      <c r="I1027" s="493"/>
      <c r="J1027" s="493"/>
      <c r="K1027" s="487" t="str">
        <f ca="1">IFERROR(VLOOKUP(C1027,' Disaggregation - Section E '!A$316:N764,3,0),"")</f>
        <v/>
      </c>
      <c r="L1027" s="493"/>
      <c r="M1027" s="487"/>
      <c r="N1027" s="493"/>
      <c r="O1027" s="493"/>
    </row>
    <row r="1028" spans="1:15" x14ac:dyDescent="0.3">
      <c r="A1028" s="487" t="b">
        <v>0</v>
      </c>
      <c r="B1028" s="487"/>
      <c r="C1028" s="505" t="s">
        <v>4494</v>
      </c>
      <c r="D1028" s="502">
        <v>15</v>
      </c>
      <c r="E1028" s="490"/>
      <c r="F1028" s="487"/>
      <c r="G1028" s="492"/>
      <c r="H1028" s="502"/>
      <c r="I1028" s="493"/>
      <c r="J1028" s="493"/>
      <c r="K1028" s="487" t="str">
        <f ca="1">IFERROR(VLOOKUP(C1028,' Disaggregation - Section E '!A$316:N765,3,0),"")</f>
        <v/>
      </c>
      <c r="L1028" s="493"/>
      <c r="M1028" s="487"/>
      <c r="N1028" s="493"/>
      <c r="O1028" s="493"/>
    </row>
    <row r="1029" spans="1:15" x14ac:dyDescent="0.3">
      <c r="A1029" s="487" t="b">
        <f t="shared" ref="A1029:A1092" ca="1" si="142">IF(AND(OR(E1029&lt;&gt;"",G1029&lt;&gt;"",H1029&lt;&gt;""),M1029&lt;&gt;""),TRUE,FALSE)</f>
        <v>0</v>
      </c>
      <c r="B1029" s="487"/>
      <c r="C1029" s="507" t="str">
        <f ca="1">IF(COUNTA(D$877:D1029)=1,"",OFFSET(C1029,-COUNTA(D$877:D1029)+1,0))</f>
        <v>a1V3p000004fwtWEAQ</v>
      </c>
      <c r="D1029" s="502"/>
      <c r="E1029" s="490" t="str">
        <f ca="1">IFERROR(IF(VLOOKUP(C1029,' Disaggregation - Section E '!A$316:N766,7,0)=0,"",VLOOKUP(C1029,' Disaggregation - Section E '!A$316:N766,7,0)*100),"")</f>
        <v/>
      </c>
      <c r="F1029" s="487"/>
      <c r="G1029" s="492" t="str">
        <f ca="1">IFERROR(IF(VLOOKUP(C1029,' Disaggregation - Section E '!A$316:N766,6,0)=0,"",VLOOKUP(C1029,' Disaggregation - Section E '!A$316:N766,6,0)),"")</f>
        <v/>
      </c>
      <c r="H1029" s="502" t="str">
        <f ca="1">IFERROR(IF(INDEX(' Disaggregation - Section E '!F$313:F766,MATCH(C1029,' Disaggregation - Section E '!A$313:A766,0)+1,1)&lt;&gt;0,INDEX(' Disaggregation - Section E '!F$313:F766,MATCH(C1029,' Disaggregation - Section E '!A$313:A766,0)+1,1),""),"")</f>
        <v/>
      </c>
      <c r="I1029" s="493" t="str">
        <f ca="1">IFERROR(IF(VLOOKUP(C1029,' Disaggregation - Section E '!A$316:N766,8,0)=0,"",VLOOKUP(C1029,' Disaggregation - Section E '!A$316:N766,8,0)),"")</f>
        <v/>
      </c>
      <c r="J1029" s="493" t="str">
        <f ca="1">IFERROR(IF(VLOOKUP(C1029,' Disaggregation - Section E '!A$316:N766,13,0)=0,"",VLOOKUP(C1029,' Disaggregation - Section E '!A$316:N766,13,0)),"")</f>
        <v/>
      </c>
      <c r="K1029" s="487" t="str">
        <f ca="1">IFERROR(VLOOKUP(C1029,' Disaggregation - Section E '!A$316:N766,3,0),"")</f>
        <v>HIV O-4a⁽ᴹ⁾ Pourcentage d’hommes qui indiquent avoir utilisé un préservatif lors de leur dernier rapport anal avec un partenaire occasionel</v>
      </c>
      <c r="L1029" s="493" t="str">
        <f ca="1">IFERROR(IF(VLOOKUP(C1029,' Disaggregation - Section E '!A$316:N766,14,0)=0,"",VLOOKUP(C1029,' Disaggregation - Section E '!A$316:N766,14,0)),"")</f>
        <v/>
      </c>
      <c r="M1029" s="487" t="str">
        <f ca="1">IFERROR(IF(VLOOKUP(C1029,' Disaggregation - Section E '!A$316:T766,20,0)=0,"",VLOOKUP(C1029,' Disaggregation - Section E '!A$316:T766,20,0)),"")</f>
        <v>IDR-00671</v>
      </c>
      <c r="N1029" s="493" t="str">
        <f ca="1">IFERROR(IF(VLOOKUP(C1029,' Disaggregation - Section E '!A$316:N766,9,0)=0,"",VLOOKUP(C1029,' Disaggregation - Section E '!A$316:N766,9,0)),"")</f>
        <v/>
      </c>
      <c r="O1029" s="493" t="str">
        <f ca="1">IFERROR(IF(VLOOKUP(C1029,' Disaggregation - Section E '!A$315:N766,10,0)=0,"",VLOOKUP(C1029,' Disaggregation - Section E '!A$316:N766,10,0)),"")</f>
        <v/>
      </c>
    </row>
    <row r="1030" spans="1:15" x14ac:dyDescent="0.3">
      <c r="A1030" s="487" t="b">
        <f t="shared" ca="1" si="142"/>
        <v>0</v>
      </c>
      <c r="B1030" s="487"/>
      <c r="C1030" s="507" t="str">
        <f ca="1">IF(COUNTA(D$877:D1030)=1,"",OFFSET(C1030,-COUNTA(D$877:D1030)+1,0))</f>
        <v>a1V3p000004fwtXEAQ</v>
      </c>
      <c r="D1030" s="502"/>
      <c r="E1030" s="490" t="str">
        <f ca="1">IFERROR(IF(VLOOKUP(C1030,' Disaggregation - Section E '!A$316:N767,7,0)=0,"",VLOOKUP(C1030,' Disaggregation - Section E '!A$316:N767,7,0)*100),"")</f>
        <v/>
      </c>
      <c r="F1030" s="487"/>
      <c r="G1030" s="492" t="str">
        <f ca="1">IFERROR(IF(VLOOKUP(C1030,' Disaggregation - Section E '!A$316:N767,6,0)=0,"",VLOOKUP(C1030,' Disaggregation - Section E '!A$316:N767,6,0)),"")</f>
        <v/>
      </c>
      <c r="H1030" s="502" t="str">
        <f ca="1">IFERROR(IF(INDEX(' Disaggregation - Section E '!F$313:F767,MATCH(C1030,' Disaggregation - Section E '!A$313:A767,0)+1,1)&lt;&gt;0,INDEX(' Disaggregation - Section E '!F$313:F767,MATCH(C1030,' Disaggregation - Section E '!A$313:A767,0)+1,1),""),"")</f>
        <v/>
      </c>
      <c r="I1030" s="493" t="str">
        <f ca="1">IFERROR(IF(VLOOKUP(C1030,' Disaggregation - Section E '!A$316:N767,8,0)=0,"",VLOOKUP(C1030,' Disaggregation - Section E '!A$316:N767,8,0)),"")</f>
        <v/>
      </c>
      <c r="J1030" s="493" t="str">
        <f ca="1">IFERROR(IF(VLOOKUP(C1030,' Disaggregation - Section E '!A$316:N767,13,0)=0,"",VLOOKUP(C1030,' Disaggregation - Section E '!A$316:N767,13,0)),"")</f>
        <v/>
      </c>
      <c r="K1030" s="487" t="str">
        <f ca="1">IFERROR(VLOOKUP(C1030,' Disaggregation - Section E '!A$316:N767,3,0),"")</f>
        <v>HIV O-4a⁽ᴹ⁾ Pourcentage d’hommes qui indiquent avoir utilisé un préservatif lors de leur dernier rapport anal avec un partenaire occasionel</v>
      </c>
      <c r="L1030" s="493" t="str">
        <f ca="1">IFERROR(IF(VLOOKUP(C1030,' Disaggregation - Section E '!A$316:N767,14,0)=0,"",VLOOKUP(C1030,' Disaggregation - Section E '!A$316:N767,14,0)),"")</f>
        <v/>
      </c>
      <c r="M1030" s="487" t="str">
        <f ca="1">IFERROR(IF(VLOOKUP(C1030,' Disaggregation - Section E '!A$316:T767,20,0)=0,"",VLOOKUP(C1030,' Disaggregation - Section E '!A$316:T767,20,0)),"")</f>
        <v>IDR-00670</v>
      </c>
      <c r="N1030" s="493" t="str">
        <f ca="1">IFERROR(IF(VLOOKUP(C1030,' Disaggregation - Section E '!A$316:N767,9,0)=0,"",VLOOKUP(C1030,' Disaggregation - Section E '!A$316:N767,9,0)),"")</f>
        <v/>
      </c>
      <c r="O1030" s="493" t="str">
        <f ca="1">IFERROR(IF(VLOOKUP(C1030,' Disaggregation - Section E '!A$315:N767,10,0)=0,"",VLOOKUP(C1030,' Disaggregation - Section E '!A$316:N767,10,0)),"")</f>
        <v/>
      </c>
    </row>
    <row r="1031" spans="1:15" x14ac:dyDescent="0.3">
      <c r="A1031" s="487" t="b">
        <f t="shared" ca="1" si="142"/>
        <v>0</v>
      </c>
      <c r="B1031" s="487"/>
      <c r="C1031" s="507" t="str">
        <f ca="1">IF(COUNTA(D$877:D1031)=1,"",OFFSET(C1031,-COUNTA(D$877:D1031)+1,0))</f>
        <v>a1V3p000004fwtYEAQ</v>
      </c>
      <c r="D1031" s="502"/>
      <c r="E1031" s="490" t="str">
        <f ca="1">IFERROR(IF(VLOOKUP(C1031,' Disaggregation - Section E '!A$316:N768,7,0)=0,"",VLOOKUP(C1031,' Disaggregation - Section E '!A$316:N768,7,0)*100),"")</f>
        <v/>
      </c>
      <c r="F1031" s="487"/>
      <c r="G1031" s="492" t="str">
        <f ca="1">IFERROR(IF(VLOOKUP(C1031,' Disaggregation - Section E '!A$316:N768,6,0)=0,"",VLOOKUP(C1031,' Disaggregation - Section E '!A$316:N768,6,0)),"")</f>
        <v/>
      </c>
      <c r="H1031" s="502" t="str">
        <f ca="1">IFERROR(IF(INDEX(' Disaggregation - Section E '!F$313:F768,MATCH(C1031,' Disaggregation - Section E '!A$313:A768,0)+1,1)&lt;&gt;0,INDEX(' Disaggregation - Section E '!F$313:F768,MATCH(C1031,' Disaggregation - Section E '!A$313:A768,0)+1,1),""),"")</f>
        <v/>
      </c>
      <c r="I1031" s="493" t="str">
        <f ca="1">IFERROR(IF(VLOOKUP(C1031,' Disaggregation - Section E '!A$316:N768,8,0)=0,"",VLOOKUP(C1031,' Disaggregation - Section E '!A$316:N768,8,0)),"")</f>
        <v/>
      </c>
      <c r="J1031" s="493" t="str">
        <f ca="1">IFERROR(IF(VLOOKUP(C1031,' Disaggregation - Section E '!A$316:N768,13,0)=0,"",VLOOKUP(C1031,' Disaggregation - Section E '!A$316:N768,13,0)),"")</f>
        <v/>
      </c>
      <c r="K1031" s="487" t="str">
        <f ca="1">IFERROR(VLOOKUP(C1031,' Disaggregation - Section E '!A$316:N768,3,0),"")</f>
        <v>HIV O-4a⁽ᴹ⁾ Pourcentage d’hommes qui indiquent avoir utilisé un préservatif lors de leur dernier rapport anal avec un partenaire occasionel</v>
      </c>
      <c r="L1031" s="493" t="str">
        <f ca="1">IFERROR(IF(VLOOKUP(C1031,' Disaggregation - Section E '!A$316:N768,14,0)=0,"",VLOOKUP(C1031,' Disaggregation - Section E '!A$316:N768,14,0)),"")</f>
        <v/>
      </c>
      <c r="M1031" s="487" t="str">
        <f ca="1">IFERROR(IF(VLOOKUP(C1031,' Disaggregation - Section E '!A$316:T768,20,0)=0,"",VLOOKUP(C1031,' Disaggregation - Section E '!A$316:T768,20,0)),"")</f>
        <v/>
      </c>
      <c r="N1031" s="493" t="str">
        <f ca="1">IFERROR(IF(VLOOKUP(C1031,' Disaggregation - Section E '!A$316:N768,9,0)=0,"",VLOOKUP(C1031,' Disaggregation - Section E '!A$316:N768,9,0)),"")</f>
        <v/>
      </c>
      <c r="O1031" s="493" t="str">
        <f ca="1">IFERROR(IF(VLOOKUP(C1031,' Disaggregation - Section E '!A$315:N768,10,0)=0,"",VLOOKUP(C1031,' Disaggregation - Section E '!A$316:N768,10,0)),"")</f>
        <v/>
      </c>
    </row>
    <row r="1032" spans="1:15" x14ac:dyDescent="0.3">
      <c r="A1032" s="487" t="b">
        <f t="shared" ca="1" si="142"/>
        <v>0</v>
      </c>
      <c r="B1032" s="487"/>
      <c r="C1032" s="507" t="str">
        <f ca="1">IF(COUNTA(D$877:D1032)=1,"",OFFSET(C1032,-COUNTA(D$877:D1032)+1,0))</f>
        <v>a1V3p000004fwtZEAQ</v>
      </c>
      <c r="D1032" s="502"/>
      <c r="E1032" s="490" t="str">
        <f ca="1">IFERROR(IF(VLOOKUP(C1032,' Disaggregation - Section E '!A$316:N769,7,0)=0,"",VLOOKUP(C1032,' Disaggregation - Section E '!A$316:N769,7,0)*100),"")</f>
        <v/>
      </c>
      <c r="F1032" s="487"/>
      <c r="G1032" s="492" t="str">
        <f ca="1">IFERROR(IF(VLOOKUP(C1032,' Disaggregation - Section E '!A$316:N769,6,0)=0,"",VLOOKUP(C1032,' Disaggregation - Section E '!A$316:N769,6,0)),"")</f>
        <v/>
      </c>
      <c r="H1032" s="502" t="str">
        <f ca="1">IFERROR(IF(INDEX(' Disaggregation - Section E '!F$313:F769,MATCH(C1032,' Disaggregation - Section E '!A$313:A769,0)+1,1)&lt;&gt;0,INDEX(' Disaggregation - Section E '!F$313:F769,MATCH(C1032,' Disaggregation - Section E '!A$313:A769,0)+1,1),""),"")</f>
        <v/>
      </c>
      <c r="I1032" s="493" t="str">
        <f ca="1">IFERROR(IF(VLOOKUP(C1032,' Disaggregation - Section E '!A$316:N769,8,0)=0,"",VLOOKUP(C1032,' Disaggregation - Section E '!A$316:N769,8,0)),"")</f>
        <v/>
      </c>
      <c r="J1032" s="493" t="str">
        <f ca="1">IFERROR(IF(VLOOKUP(C1032,' Disaggregation - Section E '!A$316:N769,13,0)=0,"",VLOOKUP(C1032,' Disaggregation - Section E '!A$316:N769,13,0)),"")</f>
        <v/>
      </c>
      <c r="K1032" s="487" t="str">
        <f ca="1">IFERROR(VLOOKUP(C1032,' Disaggregation - Section E '!A$316:N769,3,0),"")</f>
        <v>HIV O-4a⁽ᴹ⁾ Pourcentage d’hommes qui indiquent avoir utilisé un préservatif lors de leur dernier rapport anal avec un partenaire occasionel</v>
      </c>
      <c r="L1032" s="493" t="str">
        <f ca="1">IFERROR(IF(VLOOKUP(C1032,' Disaggregation - Section E '!A$316:N769,14,0)=0,"",VLOOKUP(C1032,' Disaggregation - Section E '!A$316:N769,14,0)),"")</f>
        <v/>
      </c>
      <c r="M1032" s="487" t="str">
        <f ca="1">IFERROR(IF(VLOOKUP(C1032,' Disaggregation - Section E '!A$316:T769,20,0)=0,"",VLOOKUP(C1032,' Disaggregation - Section E '!A$316:T769,20,0)),"")</f>
        <v/>
      </c>
      <c r="N1032" s="493" t="str">
        <f ca="1">IFERROR(IF(VLOOKUP(C1032,' Disaggregation - Section E '!A$316:N769,9,0)=0,"",VLOOKUP(C1032,' Disaggregation - Section E '!A$316:N769,9,0)),"")</f>
        <v/>
      </c>
      <c r="O1032" s="493" t="str">
        <f ca="1">IFERROR(IF(VLOOKUP(C1032,' Disaggregation - Section E '!A$315:N769,10,0)=0,"",VLOOKUP(C1032,' Disaggregation - Section E '!A$316:N769,10,0)),"")</f>
        <v/>
      </c>
    </row>
    <row r="1033" spans="1:15" x14ac:dyDescent="0.3">
      <c r="A1033" s="487" t="b">
        <f t="shared" ca="1" si="142"/>
        <v>0</v>
      </c>
      <c r="B1033" s="487"/>
      <c r="C1033" s="507" t="str">
        <f ca="1">IF(COUNTA(D$877:D1033)=1,"",OFFSET(C1033,-COUNTA(D$877:D1033)+1,0))</f>
        <v>a1V3p000004fwtaEAA</v>
      </c>
      <c r="D1033" s="502"/>
      <c r="E1033" s="490" t="str">
        <f ca="1">IFERROR(IF(VLOOKUP(C1033,' Disaggregation - Section E '!A$316:N770,7,0)=0,"",VLOOKUP(C1033,' Disaggregation - Section E '!A$316:N770,7,0)*100),"")</f>
        <v/>
      </c>
      <c r="F1033" s="487"/>
      <c r="G1033" s="492" t="str">
        <f ca="1">IFERROR(IF(VLOOKUP(C1033,' Disaggregation - Section E '!A$316:N770,6,0)=0,"",VLOOKUP(C1033,' Disaggregation - Section E '!A$316:N770,6,0)),"")</f>
        <v/>
      </c>
      <c r="H1033" s="502" t="str">
        <f ca="1">IFERROR(IF(INDEX(' Disaggregation - Section E '!F$313:F770,MATCH(C1033,' Disaggregation - Section E '!A$313:A770,0)+1,1)&lt;&gt;0,INDEX(' Disaggregation - Section E '!F$313:F770,MATCH(C1033,' Disaggregation - Section E '!A$313:A770,0)+1,1),""),"")</f>
        <v/>
      </c>
      <c r="I1033" s="493" t="str">
        <f ca="1">IFERROR(IF(VLOOKUP(C1033,' Disaggregation - Section E '!A$316:N770,8,0)=0,"",VLOOKUP(C1033,' Disaggregation - Section E '!A$316:N770,8,0)),"")</f>
        <v/>
      </c>
      <c r="J1033" s="493" t="str">
        <f ca="1">IFERROR(IF(VLOOKUP(C1033,' Disaggregation - Section E '!A$316:N770,13,0)=0,"",VLOOKUP(C1033,' Disaggregation - Section E '!A$316:N770,13,0)),"")</f>
        <v/>
      </c>
      <c r="K1033" s="487" t="str">
        <f ca="1">IFERROR(VLOOKUP(C1033,' Disaggregation - Section E '!A$316:N770,3,0),"")</f>
        <v>HIV O-4a⁽ᴹ⁾ Pourcentage d’hommes qui indiquent avoir utilisé un préservatif lors de leur dernier rapport anal avec un partenaire occasionel</v>
      </c>
      <c r="L1033" s="493" t="str">
        <f ca="1">IFERROR(IF(VLOOKUP(C1033,' Disaggregation - Section E '!A$316:N770,14,0)=0,"",VLOOKUP(C1033,' Disaggregation - Section E '!A$316:N770,14,0)),"")</f>
        <v/>
      </c>
      <c r="M1033" s="487" t="str">
        <f ca="1">IFERROR(IF(VLOOKUP(C1033,' Disaggregation - Section E '!A$316:T770,20,0)=0,"",VLOOKUP(C1033,' Disaggregation - Section E '!A$316:T770,20,0)),"")</f>
        <v/>
      </c>
      <c r="N1033" s="493" t="str">
        <f ca="1">IFERROR(IF(VLOOKUP(C1033,' Disaggregation - Section E '!A$316:N770,9,0)=0,"",VLOOKUP(C1033,' Disaggregation - Section E '!A$316:N770,9,0)),"")</f>
        <v/>
      </c>
      <c r="O1033" s="493" t="str">
        <f ca="1">IFERROR(IF(VLOOKUP(C1033,' Disaggregation - Section E '!A$315:N770,10,0)=0,"",VLOOKUP(C1033,' Disaggregation - Section E '!A$316:N770,10,0)),"")</f>
        <v/>
      </c>
    </row>
    <row r="1034" spans="1:15" x14ac:dyDescent="0.3">
      <c r="A1034" s="487" t="b">
        <f t="shared" ca="1" si="142"/>
        <v>0</v>
      </c>
      <c r="B1034" s="487"/>
      <c r="C1034" s="507" t="str">
        <f ca="1">IF(COUNTA(D$877:D1034)=1,"",OFFSET(C1034,-COUNTA(D$877:D1034)+1,0))</f>
        <v>a1V3p000004fwtbEAA</v>
      </c>
      <c r="D1034" s="502"/>
      <c r="E1034" s="490" t="str">
        <f ca="1">IFERROR(IF(VLOOKUP(C1034,' Disaggregation - Section E '!A$316:N771,7,0)=0,"",VLOOKUP(C1034,' Disaggregation - Section E '!A$316:N771,7,0)*100),"")</f>
        <v/>
      </c>
      <c r="F1034" s="487"/>
      <c r="G1034" s="492" t="str">
        <f ca="1">IFERROR(IF(VLOOKUP(C1034,' Disaggregation - Section E '!A$316:N771,6,0)=0,"",VLOOKUP(C1034,' Disaggregation - Section E '!A$316:N771,6,0)),"")</f>
        <v/>
      </c>
      <c r="H1034" s="502" t="str">
        <f ca="1">IFERROR(IF(INDEX(' Disaggregation - Section E '!F$313:F771,MATCH(C1034,' Disaggregation - Section E '!A$313:A771,0)+1,1)&lt;&gt;0,INDEX(' Disaggregation - Section E '!F$313:F771,MATCH(C1034,' Disaggregation - Section E '!A$313:A771,0)+1,1),""),"")</f>
        <v/>
      </c>
      <c r="I1034" s="493" t="str">
        <f ca="1">IFERROR(IF(VLOOKUP(C1034,' Disaggregation - Section E '!A$316:N771,8,0)=0,"",VLOOKUP(C1034,' Disaggregation - Section E '!A$316:N771,8,0)),"")</f>
        <v/>
      </c>
      <c r="J1034" s="493" t="str">
        <f ca="1">IFERROR(IF(VLOOKUP(C1034,' Disaggregation - Section E '!A$316:N771,13,0)=0,"",VLOOKUP(C1034,' Disaggregation - Section E '!A$316:N771,13,0)),"")</f>
        <v/>
      </c>
      <c r="K1034" s="487" t="str">
        <f ca="1">IFERROR(VLOOKUP(C1034,' Disaggregation - Section E '!A$316:N771,3,0),"")</f>
        <v>HIV O-4a⁽ᴹ⁾ Pourcentage d’hommes qui indiquent avoir utilisé un préservatif lors de leur dernier rapport anal avec un partenaire occasionel</v>
      </c>
      <c r="L1034" s="493" t="str">
        <f ca="1">IFERROR(IF(VLOOKUP(C1034,' Disaggregation - Section E '!A$316:N771,14,0)=0,"",VLOOKUP(C1034,' Disaggregation - Section E '!A$316:N771,14,0)),"")</f>
        <v/>
      </c>
      <c r="M1034" s="487" t="str">
        <f ca="1">IFERROR(IF(VLOOKUP(C1034,' Disaggregation - Section E '!A$316:T771,20,0)=0,"",VLOOKUP(C1034,' Disaggregation - Section E '!A$316:T771,20,0)),"")</f>
        <v/>
      </c>
      <c r="N1034" s="493" t="str">
        <f ca="1">IFERROR(IF(VLOOKUP(C1034,' Disaggregation - Section E '!A$316:N771,9,0)=0,"",VLOOKUP(C1034,' Disaggregation - Section E '!A$316:N771,9,0)),"")</f>
        <v/>
      </c>
      <c r="O1034" s="493" t="str">
        <f ca="1">IFERROR(IF(VLOOKUP(C1034,' Disaggregation - Section E '!A$315:N771,10,0)=0,"",VLOOKUP(C1034,' Disaggregation - Section E '!A$316:N771,10,0)),"")</f>
        <v/>
      </c>
    </row>
    <row r="1035" spans="1:15" x14ac:dyDescent="0.3">
      <c r="A1035" s="487" t="b">
        <f t="shared" ca="1" si="142"/>
        <v>0</v>
      </c>
      <c r="B1035" s="487"/>
      <c r="C1035" s="507" t="str">
        <f ca="1">IF(COUNTA(D$877:D1035)=1,"",OFFSET(C1035,-COUNTA(D$877:D1035)+1,0))</f>
        <v>a1V3p000004fwtcEAA</v>
      </c>
      <c r="D1035" s="502"/>
      <c r="E1035" s="490" t="str">
        <f ca="1">IFERROR(IF(VLOOKUP(C1035,' Disaggregation - Section E '!A$316:N772,7,0)=0,"",VLOOKUP(C1035,' Disaggregation - Section E '!A$316:N772,7,0)*100),"")</f>
        <v/>
      </c>
      <c r="F1035" s="487"/>
      <c r="G1035" s="492" t="str">
        <f ca="1">IFERROR(IF(VLOOKUP(C1035,' Disaggregation - Section E '!A$316:N772,6,0)=0,"",VLOOKUP(C1035,' Disaggregation - Section E '!A$316:N772,6,0)),"")</f>
        <v/>
      </c>
      <c r="H1035" s="502" t="str">
        <f ca="1">IFERROR(IF(INDEX(' Disaggregation - Section E '!F$313:F772,MATCH(C1035,' Disaggregation - Section E '!A$313:A772,0)+1,1)&lt;&gt;0,INDEX(' Disaggregation - Section E '!F$313:F772,MATCH(C1035,' Disaggregation - Section E '!A$313:A772,0)+1,1),""),"")</f>
        <v/>
      </c>
      <c r="I1035" s="493" t="str">
        <f ca="1">IFERROR(IF(VLOOKUP(C1035,' Disaggregation - Section E '!A$316:N772,8,0)=0,"",VLOOKUP(C1035,' Disaggregation - Section E '!A$316:N772,8,0)),"")</f>
        <v/>
      </c>
      <c r="J1035" s="493" t="str">
        <f ca="1">IFERROR(IF(VLOOKUP(C1035,' Disaggregation - Section E '!A$316:N772,13,0)=0,"",VLOOKUP(C1035,' Disaggregation - Section E '!A$316:N772,13,0)),"")</f>
        <v/>
      </c>
      <c r="K1035" s="487" t="str">
        <f ca="1">IFERROR(VLOOKUP(C1035,' Disaggregation - Section E '!A$316:N772,3,0),"")</f>
        <v>HIV O-4a⁽ᴹ⁾ Pourcentage d’hommes qui indiquent avoir utilisé un préservatif lors de leur dernier rapport anal avec un partenaire occasionel</v>
      </c>
      <c r="L1035" s="493" t="str">
        <f ca="1">IFERROR(IF(VLOOKUP(C1035,' Disaggregation - Section E '!A$316:N772,14,0)=0,"",VLOOKUP(C1035,' Disaggregation - Section E '!A$316:N772,14,0)),"")</f>
        <v/>
      </c>
      <c r="M1035" s="487" t="str">
        <f ca="1">IFERROR(IF(VLOOKUP(C1035,' Disaggregation - Section E '!A$316:T772,20,0)=0,"",VLOOKUP(C1035,' Disaggregation - Section E '!A$316:T772,20,0)),"")</f>
        <v/>
      </c>
      <c r="N1035" s="493" t="str">
        <f ca="1">IFERROR(IF(VLOOKUP(C1035,' Disaggregation - Section E '!A$316:N772,9,0)=0,"",VLOOKUP(C1035,' Disaggregation - Section E '!A$316:N772,9,0)),"")</f>
        <v/>
      </c>
      <c r="O1035" s="493" t="str">
        <f ca="1">IFERROR(IF(VLOOKUP(C1035,' Disaggregation - Section E '!A$315:N772,10,0)=0,"",VLOOKUP(C1035,' Disaggregation - Section E '!A$316:N772,10,0)),"")</f>
        <v/>
      </c>
    </row>
    <row r="1036" spans="1:15" x14ac:dyDescent="0.3">
      <c r="A1036" s="487" t="b">
        <f t="shared" ca="1" si="142"/>
        <v>0</v>
      </c>
      <c r="B1036" s="487"/>
      <c r="C1036" s="507" t="str">
        <f ca="1">IF(COUNTA(D$877:D1036)=1,"",OFFSET(C1036,-COUNTA(D$877:D1036)+1,0))</f>
        <v>a1V3p000004fwtdEAA</v>
      </c>
      <c r="D1036" s="502"/>
      <c r="E1036" s="490" t="str">
        <f ca="1">IFERROR(IF(VLOOKUP(C1036,' Disaggregation - Section E '!A$316:N773,7,0)=0,"",VLOOKUP(C1036,' Disaggregation - Section E '!A$316:N773,7,0)*100),"")</f>
        <v/>
      </c>
      <c r="F1036" s="487"/>
      <c r="G1036" s="492" t="str">
        <f ca="1">IFERROR(IF(VLOOKUP(C1036,' Disaggregation - Section E '!A$316:N773,6,0)=0,"",VLOOKUP(C1036,' Disaggregation - Section E '!A$316:N773,6,0)),"")</f>
        <v/>
      </c>
      <c r="H1036" s="502" t="str">
        <f ca="1">IFERROR(IF(INDEX(' Disaggregation - Section E '!F$313:F773,MATCH(C1036,' Disaggregation - Section E '!A$313:A773,0)+1,1)&lt;&gt;0,INDEX(' Disaggregation - Section E '!F$313:F773,MATCH(C1036,' Disaggregation - Section E '!A$313:A773,0)+1,1),""),"")</f>
        <v/>
      </c>
      <c r="I1036" s="493" t="str">
        <f ca="1">IFERROR(IF(VLOOKUP(C1036,' Disaggregation - Section E '!A$316:N773,8,0)=0,"",VLOOKUP(C1036,' Disaggregation - Section E '!A$316:N773,8,0)),"")</f>
        <v/>
      </c>
      <c r="J1036" s="493" t="str">
        <f ca="1">IFERROR(IF(VLOOKUP(C1036,' Disaggregation - Section E '!A$316:N773,13,0)=0,"",VLOOKUP(C1036,' Disaggregation - Section E '!A$316:N773,13,0)),"")</f>
        <v/>
      </c>
      <c r="K1036" s="487" t="str">
        <f ca="1">IFERROR(VLOOKUP(C1036,' Disaggregation - Section E '!A$316:N773,3,0),"")</f>
        <v>HIV O-4a⁽ᴹ⁾ Pourcentage d’hommes qui indiquent avoir utilisé un préservatif lors de leur dernier rapport anal avec un partenaire occasionel</v>
      </c>
      <c r="L1036" s="493" t="str">
        <f ca="1">IFERROR(IF(VLOOKUP(C1036,' Disaggregation - Section E '!A$316:N773,14,0)=0,"",VLOOKUP(C1036,' Disaggregation - Section E '!A$316:N773,14,0)),"")</f>
        <v/>
      </c>
      <c r="M1036" s="487" t="str">
        <f ca="1">IFERROR(IF(VLOOKUP(C1036,' Disaggregation - Section E '!A$316:T773,20,0)=0,"",VLOOKUP(C1036,' Disaggregation - Section E '!A$316:T773,20,0)),"")</f>
        <v/>
      </c>
      <c r="N1036" s="493" t="str">
        <f ca="1">IFERROR(IF(VLOOKUP(C1036,' Disaggregation - Section E '!A$316:N773,9,0)=0,"",VLOOKUP(C1036,' Disaggregation - Section E '!A$316:N773,9,0)),"")</f>
        <v/>
      </c>
      <c r="O1036" s="493" t="str">
        <f ca="1">IFERROR(IF(VLOOKUP(C1036,' Disaggregation - Section E '!A$315:N773,10,0)=0,"",VLOOKUP(C1036,' Disaggregation - Section E '!A$316:N773,10,0)),"")</f>
        <v/>
      </c>
    </row>
    <row r="1037" spans="1:15" x14ac:dyDescent="0.3">
      <c r="A1037" s="487" t="b">
        <f t="shared" ca="1" si="142"/>
        <v>0</v>
      </c>
      <c r="B1037" s="487"/>
      <c r="C1037" s="507" t="str">
        <f ca="1">IF(COUNTA(D$877:D1037)=1,"",OFFSET(C1037,-COUNTA(D$877:D1037)+1,0))</f>
        <v>a1V3p000004fwteEAA</v>
      </c>
      <c r="D1037" s="502"/>
      <c r="E1037" s="490" t="str">
        <f ca="1">IFERROR(IF(VLOOKUP(C1037,' Disaggregation - Section E '!A$316:N774,7,0)=0,"",VLOOKUP(C1037,' Disaggregation - Section E '!A$316:N774,7,0)*100),"")</f>
        <v/>
      </c>
      <c r="F1037" s="487"/>
      <c r="G1037" s="492" t="str">
        <f ca="1">IFERROR(IF(VLOOKUP(C1037,' Disaggregation - Section E '!A$316:N774,6,0)=0,"",VLOOKUP(C1037,' Disaggregation - Section E '!A$316:N774,6,0)),"")</f>
        <v/>
      </c>
      <c r="H1037" s="502" t="str">
        <f ca="1">IFERROR(IF(INDEX(' Disaggregation - Section E '!F$313:F774,MATCH(C1037,' Disaggregation - Section E '!A$313:A774,0)+1,1)&lt;&gt;0,INDEX(' Disaggregation - Section E '!F$313:F774,MATCH(C1037,' Disaggregation - Section E '!A$313:A774,0)+1,1),""),"")</f>
        <v/>
      </c>
      <c r="I1037" s="493" t="str">
        <f ca="1">IFERROR(IF(VLOOKUP(C1037,' Disaggregation - Section E '!A$316:N774,8,0)=0,"",VLOOKUP(C1037,' Disaggregation - Section E '!A$316:N774,8,0)),"")</f>
        <v/>
      </c>
      <c r="J1037" s="493" t="str">
        <f ca="1">IFERROR(IF(VLOOKUP(C1037,' Disaggregation - Section E '!A$316:N774,13,0)=0,"",VLOOKUP(C1037,' Disaggregation - Section E '!A$316:N774,13,0)),"")</f>
        <v/>
      </c>
      <c r="K1037" s="487" t="str">
        <f ca="1">IFERROR(VLOOKUP(C1037,' Disaggregation - Section E '!A$316:N774,3,0),"")</f>
        <v>HIV O-4a⁽ᴹ⁾ Pourcentage d’hommes qui indiquent avoir utilisé un préservatif lors de leur dernier rapport anal avec un partenaire occasionel</v>
      </c>
      <c r="L1037" s="493" t="str">
        <f ca="1">IFERROR(IF(VLOOKUP(C1037,' Disaggregation - Section E '!A$316:N774,14,0)=0,"",VLOOKUP(C1037,' Disaggregation - Section E '!A$316:N774,14,0)),"")</f>
        <v/>
      </c>
      <c r="M1037" s="487" t="str">
        <f ca="1">IFERROR(IF(VLOOKUP(C1037,' Disaggregation - Section E '!A$316:T774,20,0)=0,"",VLOOKUP(C1037,' Disaggregation - Section E '!A$316:T774,20,0)),"")</f>
        <v/>
      </c>
      <c r="N1037" s="493" t="str">
        <f ca="1">IFERROR(IF(VLOOKUP(C1037,' Disaggregation - Section E '!A$316:N774,9,0)=0,"",VLOOKUP(C1037,' Disaggregation - Section E '!A$316:N774,9,0)),"")</f>
        <v/>
      </c>
      <c r="O1037" s="493" t="str">
        <f ca="1">IFERROR(IF(VLOOKUP(C1037,' Disaggregation - Section E '!A$315:N774,10,0)=0,"",VLOOKUP(C1037,' Disaggregation - Section E '!A$316:N774,10,0)),"")</f>
        <v/>
      </c>
    </row>
    <row r="1038" spans="1:15" x14ac:dyDescent="0.3">
      <c r="A1038" s="487" t="b">
        <f t="shared" ca="1" si="142"/>
        <v>0</v>
      </c>
      <c r="B1038" s="487"/>
      <c r="C1038" s="507" t="str">
        <f ca="1">IF(COUNTA(D$877:D1038)=1,"",OFFSET(C1038,-COUNTA(D$877:D1038)+1,0))</f>
        <v>a1V3p000004fwtfEAA</v>
      </c>
      <c r="D1038" s="502"/>
      <c r="E1038" s="490" t="str">
        <f ca="1">IFERROR(IF(VLOOKUP(C1038,' Disaggregation - Section E '!A$316:N775,7,0)=0,"",VLOOKUP(C1038,' Disaggregation - Section E '!A$316:N775,7,0)*100),"")</f>
        <v/>
      </c>
      <c r="F1038" s="487"/>
      <c r="G1038" s="492" t="str">
        <f ca="1">IFERROR(IF(VLOOKUP(C1038,' Disaggregation - Section E '!A$316:N775,6,0)=0,"",VLOOKUP(C1038,' Disaggregation - Section E '!A$316:N775,6,0)),"")</f>
        <v/>
      </c>
      <c r="H1038" s="502" t="str">
        <f ca="1">IFERROR(IF(INDEX(' Disaggregation - Section E '!F$313:F775,MATCH(C1038,' Disaggregation - Section E '!A$313:A775,0)+1,1)&lt;&gt;0,INDEX(' Disaggregation - Section E '!F$313:F775,MATCH(C1038,' Disaggregation - Section E '!A$313:A775,0)+1,1),""),"")</f>
        <v/>
      </c>
      <c r="I1038" s="493" t="str">
        <f ca="1">IFERROR(IF(VLOOKUP(C1038,' Disaggregation - Section E '!A$316:N775,8,0)=0,"",VLOOKUP(C1038,' Disaggregation - Section E '!A$316:N775,8,0)),"")</f>
        <v/>
      </c>
      <c r="J1038" s="493" t="str">
        <f ca="1">IFERROR(IF(VLOOKUP(C1038,' Disaggregation - Section E '!A$316:N775,13,0)=0,"",VLOOKUP(C1038,' Disaggregation - Section E '!A$316:N775,13,0)),"")</f>
        <v/>
      </c>
      <c r="K1038" s="487" t="str">
        <f ca="1">IFERROR(VLOOKUP(C1038,' Disaggregation - Section E '!A$316:N775,3,0),"")</f>
        <v>HIV O-4a⁽ᴹ⁾ Pourcentage d’hommes qui indiquent avoir utilisé un préservatif lors de leur dernier rapport anal avec un partenaire occasionel</v>
      </c>
      <c r="L1038" s="493" t="str">
        <f ca="1">IFERROR(IF(VLOOKUP(C1038,' Disaggregation - Section E '!A$316:N775,14,0)=0,"",VLOOKUP(C1038,' Disaggregation - Section E '!A$316:N775,14,0)),"")</f>
        <v/>
      </c>
      <c r="M1038" s="487" t="str">
        <f ca="1">IFERROR(IF(VLOOKUP(C1038,' Disaggregation - Section E '!A$316:T775,20,0)=0,"",VLOOKUP(C1038,' Disaggregation - Section E '!A$316:T775,20,0)),"")</f>
        <v/>
      </c>
      <c r="N1038" s="493" t="str">
        <f ca="1">IFERROR(IF(VLOOKUP(C1038,' Disaggregation - Section E '!A$316:N775,9,0)=0,"",VLOOKUP(C1038,' Disaggregation - Section E '!A$316:N775,9,0)),"")</f>
        <v/>
      </c>
      <c r="O1038" s="493" t="str">
        <f ca="1">IFERROR(IF(VLOOKUP(C1038,' Disaggregation - Section E '!A$315:N775,10,0)=0,"",VLOOKUP(C1038,' Disaggregation - Section E '!A$316:N775,10,0)),"")</f>
        <v/>
      </c>
    </row>
    <row r="1039" spans="1:15" x14ac:dyDescent="0.3">
      <c r="A1039" s="487" t="b">
        <f t="shared" ca="1" si="142"/>
        <v>0</v>
      </c>
      <c r="B1039" s="487"/>
      <c r="C1039" s="507" t="str">
        <f ca="1">IF(COUNTA(D$877:D1039)=1,"",OFFSET(C1039,-COUNTA(D$877:D1039)+1,0))</f>
        <v>a1V3p000004fwtgEAA</v>
      </c>
      <c r="D1039" s="502"/>
      <c r="E1039" s="490" t="str">
        <f ca="1">IFERROR(IF(VLOOKUP(C1039,' Disaggregation - Section E '!A$316:N776,7,0)=0,"",VLOOKUP(C1039,' Disaggregation - Section E '!A$316:N776,7,0)*100),"")</f>
        <v/>
      </c>
      <c r="F1039" s="487"/>
      <c r="G1039" s="492" t="str">
        <f ca="1">IFERROR(IF(VLOOKUP(C1039,' Disaggregation - Section E '!A$316:N776,6,0)=0,"",VLOOKUP(C1039,' Disaggregation - Section E '!A$316:N776,6,0)),"")</f>
        <v/>
      </c>
      <c r="H1039" s="502" t="str">
        <f ca="1">IFERROR(IF(INDEX(' Disaggregation - Section E '!F$313:F776,MATCH(C1039,' Disaggregation - Section E '!A$313:A776,0)+1,1)&lt;&gt;0,INDEX(' Disaggregation - Section E '!F$313:F776,MATCH(C1039,' Disaggregation - Section E '!A$313:A776,0)+1,1),""),"")</f>
        <v/>
      </c>
      <c r="I1039" s="493" t="str">
        <f ca="1">IFERROR(IF(VLOOKUP(C1039,' Disaggregation - Section E '!A$316:N776,8,0)=0,"",VLOOKUP(C1039,' Disaggregation - Section E '!A$316:N776,8,0)),"")</f>
        <v/>
      </c>
      <c r="J1039" s="493" t="str">
        <f ca="1">IFERROR(IF(VLOOKUP(C1039,' Disaggregation - Section E '!A$316:N776,13,0)=0,"",VLOOKUP(C1039,' Disaggregation - Section E '!A$316:N776,13,0)),"")</f>
        <v/>
      </c>
      <c r="K1039" s="487" t="str">
        <f ca="1">IFERROR(VLOOKUP(C1039,' Disaggregation - Section E '!A$316:N776,3,0),"")</f>
        <v>HIV O-5⁽ᴹ⁾ Pourcentage de professionnels du sexe qui indiquent avoir utilisé un préservatif avec leur dernier client</v>
      </c>
      <c r="L1039" s="493" t="str">
        <f ca="1">IFERROR(IF(VLOOKUP(C1039,' Disaggregation - Section E '!A$316:N776,14,0)=0,"",VLOOKUP(C1039,' Disaggregation - Section E '!A$316:N776,14,0)),"")</f>
        <v/>
      </c>
      <c r="M1039" s="487" t="str">
        <f ca="1">IFERROR(IF(VLOOKUP(C1039,' Disaggregation - Section E '!A$316:T776,20,0)=0,"",VLOOKUP(C1039,' Disaggregation - Section E '!A$316:T776,20,0)),"")</f>
        <v>IDR-00786</v>
      </c>
      <c r="N1039" s="493" t="str">
        <f ca="1">IFERROR(IF(VLOOKUP(C1039,' Disaggregation - Section E '!A$316:N776,9,0)=0,"",VLOOKUP(C1039,' Disaggregation - Section E '!A$316:N776,9,0)),"")</f>
        <v/>
      </c>
      <c r="O1039" s="493" t="str">
        <f ca="1">IFERROR(IF(VLOOKUP(C1039,' Disaggregation - Section E '!A$315:N776,10,0)=0,"",VLOOKUP(C1039,' Disaggregation - Section E '!A$316:N776,10,0)),"")</f>
        <v/>
      </c>
    </row>
    <row r="1040" spans="1:15" x14ac:dyDescent="0.3">
      <c r="A1040" s="487" t="b">
        <f t="shared" ca="1" si="142"/>
        <v>0</v>
      </c>
      <c r="B1040" s="487"/>
      <c r="C1040" s="507" t="str">
        <f ca="1">IF(COUNTA(D$877:D1040)=1,"",OFFSET(C1040,-COUNTA(D$877:D1040)+1,0))</f>
        <v>a1V3p000004fwthEAA</v>
      </c>
      <c r="D1040" s="502"/>
      <c r="E1040" s="490" t="str">
        <f ca="1">IFERROR(IF(VLOOKUP(C1040,' Disaggregation - Section E '!A$316:N777,7,0)=0,"",VLOOKUP(C1040,' Disaggregation - Section E '!A$316:N777,7,0)*100),"")</f>
        <v/>
      </c>
      <c r="F1040" s="487"/>
      <c r="G1040" s="492" t="str">
        <f ca="1">IFERROR(IF(VLOOKUP(C1040,' Disaggregation - Section E '!A$316:N777,6,0)=0,"",VLOOKUP(C1040,' Disaggregation - Section E '!A$316:N777,6,0)),"")</f>
        <v/>
      </c>
      <c r="H1040" s="502" t="str">
        <f ca="1">IFERROR(IF(INDEX(' Disaggregation - Section E '!F$313:F777,MATCH(C1040,' Disaggregation - Section E '!A$313:A777,0)+1,1)&lt;&gt;0,INDEX(' Disaggregation - Section E '!F$313:F777,MATCH(C1040,' Disaggregation - Section E '!A$313:A777,0)+1,1),""),"")</f>
        <v/>
      </c>
      <c r="I1040" s="493" t="str">
        <f ca="1">IFERROR(IF(VLOOKUP(C1040,' Disaggregation - Section E '!A$316:N777,8,0)=0,"",VLOOKUP(C1040,' Disaggregation - Section E '!A$316:N777,8,0)),"")</f>
        <v/>
      </c>
      <c r="J1040" s="493" t="str">
        <f ca="1">IFERROR(IF(VLOOKUP(C1040,' Disaggregation - Section E '!A$316:N777,13,0)=0,"",VLOOKUP(C1040,' Disaggregation - Section E '!A$316:N777,13,0)),"")</f>
        <v/>
      </c>
      <c r="K1040" s="487" t="str">
        <f ca="1">IFERROR(VLOOKUP(C1040,' Disaggregation - Section E '!A$316:N777,3,0),"")</f>
        <v>HIV O-5⁽ᴹ⁾ Pourcentage de professionnels du sexe qui indiquent avoir utilisé un préservatif avec leur dernier client</v>
      </c>
      <c r="L1040" s="493" t="str">
        <f ca="1">IFERROR(IF(VLOOKUP(C1040,' Disaggregation - Section E '!A$316:N777,14,0)=0,"",VLOOKUP(C1040,' Disaggregation - Section E '!A$316:N777,14,0)),"")</f>
        <v/>
      </c>
      <c r="M1040" s="487" t="str">
        <f ca="1">IFERROR(IF(VLOOKUP(C1040,' Disaggregation - Section E '!A$316:T777,20,0)=0,"",VLOOKUP(C1040,' Disaggregation - Section E '!A$316:T777,20,0)),"")</f>
        <v>IDR-00785</v>
      </c>
      <c r="N1040" s="493" t="str">
        <f ca="1">IFERROR(IF(VLOOKUP(C1040,' Disaggregation - Section E '!A$316:N777,9,0)=0,"",VLOOKUP(C1040,' Disaggregation - Section E '!A$316:N777,9,0)),"")</f>
        <v/>
      </c>
      <c r="O1040" s="493" t="str">
        <f ca="1">IFERROR(IF(VLOOKUP(C1040,' Disaggregation - Section E '!A$315:N777,10,0)=0,"",VLOOKUP(C1040,' Disaggregation - Section E '!A$316:N777,10,0)),"")</f>
        <v/>
      </c>
    </row>
    <row r="1041" spans="1:15" x14ac:dyDescent="0.3">
      <c r="A1041" s="487" t="b">
        <f t="shared" ca="1" si="142"/>
        <v>0</v>
      </c>
      <c r="B1041" s="487"/>
      <c r="C1041" s="507" t="str">
        <f ca="1">IF(COUNTA(D$877:D1041)=1,"",OFFSET(C1041,-COUNTA(D$877:D1041)+1,0))</f>
        <v>a1V3p000004fwtiEAA</v>
      </c>
      <c r="D1041" s="502"/>
      <c r="E1041" s="490" t="str">
        <f ca="1">IFERROR(IF(VLOOKUP(C1041,' Disaggregation - Section E '!A$316:N778,7,0)=0,"",VLOOKUP(C1041,' Disaggregation - Section E '!A$316:N778,7,0)*100),"")</f>
        <v/>
      </c>
      <c r="F1041" s="487"/>
      <c r="G1041" s="492" t="str">
        <f ca="1">IFERROR(IF(VLOOKUP(C1041,' Disaggregation - Section E '!A$316:N778,6,0)=0,"",VLOOKUP(C1041,' Disaggregation - Section E '!A$316:N778,6,0)),"")</f>
        <v/>
      </c>
      <c r="H1041" s="502" t="str">
        <f ca="1">IFERROR(IF(INDEX(' Disaggregation - Section E '!F$313:F778,MATCH(C1041,' Disaggregation - Section E '!A$313:A778,0)+1,1)&lt;&gt;0,INDEX(' Disaggregation - Section E '!F$313:F778,MATCH(C1041,' Disaggregation - Section E '!A$313:A778,0)+1,1),""),"")</f>
        <v/>
      </c>
      <c r="I1041" s="493" t="str">
        <f ca="1">IFERROR(IF(VLOOKUP(C1041,' Disaggregation - Section E '!A$316:N778,8,0)=0,"",VLOOKUP(C1041,' Disaggregation - Section E '!A$316:N778,8,0)),"")</f>
        <v/>
      </c>
      <c r="J1041" s="493" t="str">
        <f ca="1">IFERROR(IF(VLOOKUP(C1041,' Disaggregation - Section E '!A$316:N778,13,0)=0,"",VLOOKUP(C1041,' Disaggregation - Section E '!A$316:N778,13,0)),"")</f>
        <v/>
      </c>
      <c r="K1041" s="487" t="str">
        <f ca="1">IFERROR(VLOOKUP(C1041,' Disaggregation - Section E '!A$316:N778,3,0),"")</f>
        <v>HIV O-5⁽ᴹ⁾ Pourcentage de professionnels du sexe qui indiquent avoir utilisé un préservatif avec leur dernier client</v>
      </c>
      <c r="L1041" s="493" t="str">
        <f ca="1">IFERROR(IF(VLOOKUP(C1041,' Disaggregation - Section E '!A$316:N778,14,0)=0,"",VLOOKUP(C1041,' Disaggregation - Section E '!A$316:N778,14,0)),"")</f>
        <v/>
      </c>
      <c r="M1041" s="487" t="str">
        <f ca="1">IFERROR(IF(VLOOKUP(C1041,' Disaggregation - Section E '!A$316:T778,20,0)=0,"",VLOOKUP(C1041,' Disaggregation - Section E '!A$316:T778,20,0)),"")</f>
        <v>IDR-00784</v>
      </c>
      <c r="N1041" s="493" t="str">
        <f ca="1">IFERROR(IF(VLOOKUP(C1041,' Disaggregation - Section E '!A$316:N778,9,0)=0,"",VLOOKUP(C1041,' Disaggregation - Section E '!A$316:N778,9,0)),"")</f>
        <v/>
      </c>
      <c r="O1041" s="493" t="str">
        <f ca="1">IFERROR(IF(VLOOKUP(C1041,' Disaggregation - Section E '!A$315:N778,10,0)=0,"",VLOOKUP(C1041,' Disaggregation - Section E '!A$316:N778,10,0)),"")</f>
        <v/>
      </c>
    </row>
    <row r="1042" spans="1:15" x14ac:dyDescent="0.3">
      <c r="A1042" s="487" t="b">
        <f t="shared" ca="1" si="142"/>
        <v>0</v>
      </c>
      <c r="B1042" s="487"/>
      <c r="C1042" s="507" t="str">
        <f ca="1">IF(COUNTA(D$877:D1042)=1,"",OFFSET(C1042,-COUNTA(D$877:D1042)+1,0))</f>
        <v>a1V3p000004fwtjEAA</v>
      </c>
      <c r="D1042" s="502"/>
      <c r="E1042" s="490" t="str">
        <f ca="1">IFERROR(IF(VLOOKUP(C1042,' Disaggregation - Section E '!A$316:N779,7,0)=0,"",VLOOKUP(C1042,' Disaggregation - Section E '!A$316:N779,7,0)*100),"")</f>
        <v/>
      </c>
      <c r="F1042" s="487"/>
      <c r="G1042" s="492" t="str">
        <f ca="1">IFERROR(IF(VLOOKUP(C1042,' Disaggregation - Section E '!A$316:N779,6,0)=0,"",VLOOKUP(C1042,' Disaggregation - Section E '!A$316:N779,6,0)),"")</f>
        <v/>
      </c>
      <c r="H1042" s="502" t="str">
        <f ca="1">IFERROR(IF(INDEX(' Disaggregation - Section E '!F$313:F779,MATCH(C1042,' Disaggregation - Section E '!A$313:A779,0)+1,1)&lt;&gt;0,INDEX(' Disaggregation - Section E '!F$313:F779,MATCH(C1042,' Disaggregation - Section E '!A$313:A779,0)+1,1),""),"")</f>
        <v/>
      </c>
      <c r="I1042" s="493" t="str">
        <f ca="1">IFERROR(IF(VLOOKUP(C1042,' Disaggregation - Section E '!A$316:N779,8,0)=0,"",VLOOKUP(C1042,' Disaggregation - Section E '!A$316:N779,8,0)),"")</f>
        <v/>
      </c>
      <c r="J1042" s="493" t="str">
        <f ca="1">IFERROR(IF(VLOOKUP(C1042,' Disaggregation - Section E '!A$316:N779,13,0)=0,"",VLOOKUP(C1042,' Disaggregation - Section E '!A$316:N779,13,0)),"")</f>
        <v/>
      </c>
      <c r="K1042" s="487" t="str">
        <f ca="1">IFERROR(VLOOKUP(C1042,' Disaggregation - Section E '!A$316:N779,3,0),"")</f>
        <v>HIV O-5⁽ᴹ⁾ Pourcentage de professionnels du sexe qui indiquent avoir utilisé un préservatif avec leur dernier client</v>
      </c>
      <c r="L1042" s="493" t="str">
        <f ca="1">IFERROR(IF(VLOOKUP(C1042,' Disaggregation - Section E '!A$316:N779,14,0)=0,"",VLOOKUP(C1042,' Disaggregation - Section E '!A$316:N779,14,0)),"")</f>
        <v/>
      </c>
      <c r="M1042" s="487" t="str">
        <f ca="1">IFERROR(IF(VLOOKUP(C1042,' Disaggregation - Section E '!A$316:T779,20,0)=0,"",VLOOKUP(C1042,' Disaggregation - Section E '!A$316:T779,20,0)),"")</f>
        <v>IDR-00675</v>
      </c>
      <c r="N1042" s="493" t="str">
        <f ca="1">IFERROR(IF(VLOOKUP(C1042,' Disaggregation - Section E '!A$316:N779,9,0)=0,"",VLOOKUP(C1042,' Disaggregation - Section E '!A$316:N779,9,0)),"")</f>
        <v/>
      </c>
      <c r="O1042" s="493" t="str">
        <f ca="1">IFERROR(IF(VLOOKUP(C1042,' Disaggregation - Section E '!A$315:N779,10,0)=0,"",VLOOKUP(C1042,' Disaggregation - Section E '!A$316:N779,10,0)),"")</f>
        <v/>
      </c>
    </row>
    <row r="1043" spans="1:15" x14ac:dyDescent="0.3">
      <c r="A1043" s="487" t="b">
        <f t="shared" ca="1" si="142"/>
        <v>0</v>
      </c>
      <c r="B1043" s="487"/>
      <c r="C1043" s="507" t="str">
        <f ca="1">IF(COUNTA(D$877:D1043)=1,"",OFFSET(C1043,-COUNTA(D$877:D1043)+1,0))</f>
        <v>a1V3p000004fwtkEAA</v>
      </c>
      <c r="D1043" s="502"/>
      <c r="E1043" s="490" t="str">
        <f ca="1">IFERROR(IF(VLOOKUP(C1043,' Disaggregation - Section E '!A$316:N780,7,0)=0,"",VLOOKUP(C1043,' Disaggregation - Section E '!A$316:N780,7,0)*100),"")</f>
        <v/>
      </c>
      <c r="F1043" s="487"/>
      <c r="G1043" s="492" t="str">
        <f ca="1">IFERROR(IF(VLOOKUP(C1043,' Disaggregation - Section E '!A$316:N780,6,0)=0,"",VLOOKUP(C1043,' Disaggregation - Section E '!A$316:N780,6,0)),"")</f>
        <v/>
      </c>
      <c r="H1043" s="502" t="str">
        <f ca="1">IFERROR(IF(INDEX(' Disaggregation - Section E '!F$313:F780,MATCH(C1043,' Disaggregation - Section E '!A$313:A780,0)+1,1)&lt;&gt;0,INDEX(' Disaggregation - Section E '!F$313:F780,MATCH(C1043,' Disaggregation - Section E '!A$313:A780,0)+1,1),""),"")</f>
        <v/>
      </c>
      <c r="I1043" s="493" t="str">
        <f ca="1">IFERROR(IF(VLOOKUP(C1043,' Disaggregation - Section E '!A$316:N780,8,0)=0,"",VLOOKUP(C1043,' Disaggregation - Section E '!A$316:N780,8,0)),"")</f>
        <v/>
      </c>
      <c r="J1043" s="493" t="str">
        <f ca="1">IFERROR(IF(VLOOKUP(C1043,' Disaggregation - Section E '!A$316:N780,13,0)=0,"",VLOOKUP(C1043,' Disaggregation - Section E '!A$316:N780,13,0)),"")</f>
        <v/>
      </c>
      <c r="K1043" s="487" t="str">
        <f ca="1">IFERROR(VLOOKUP(C1043,' Disaggregation - Section E '!A$316:N780,3,0),"")</f>
        <v>HIV O-5⁽ᴹ⁾ Pourcentage de professionnels du sexe qui indiquent avoir utilisé un préservatif avec leur dernier client</v>
      </c>
      <c r="L1043" s="493" t="str">
        <f ca="1">IFERROR(IF(VLOOKUP(C1043,' Disaggregation - Section E '!A$316:N780,14,0)=0,"",VLOOKUP(C1043,' Disaggregation - Section E '!A$316:N780,14,0)),"")</f>
        <v/>
      </c>
      <c r="M1043" s="487" t="str">
        <f ca="1">IFERROR(IF(VLOOKUP(C1043,' Disaggregation - Section E '!A$316:T780,20,0)=0,"",VLOOKUP(C1043,' Disaggregation - Section E '!A$316:T780,20,0)),"")</f>
        <v>IDR-00674</v>
      </c>
      <c r="N1043" s="493" t="str">
        <f ca="1">IFERROR(IF(VLOOKUP(C1043,' Disaggregation - Section E '!A$316:N780,9,0)=0,"",VLOOKUP(C1043,' Disaggregation - Section E '!A$316:N780,9,0)),"")</f>
        <v/>
      </c>
      <c r="O1043" s="493" t="str">
        <f ca="1">IFERROR(IF(VLOOKUP(C1043,' Disaggregation - Section E '!A$315:N780,10,0)=0,"",VLOOKUP(C1043,' Disaggregation - Section E '!A$316:N780,10,0)),"")</f>
        <v/>
      </c>
    </row>
    <row r="1044" spans="1:15" x14ac:dyDescent="0.3">
      <c r="A1044" s="487" t="b">
        <f t="shared" ca="1" si="142"/>
        <v>0</v>
      </c>
      <c r="B1044" s="487"/>
      <c r="C1044" s="507" t="str">
        <f ca="1">IF(COUNTA(D$877:D1044)=1,"",OFFSET(C1044,-COUNTA(D$877:D1044)+1,0))</f>
        <v>a1V3p000004fwtlEAA</v>
      </c>
      <c r="D1044" s="502"/>
      <c r="E1044" s="490" t="str">
        <f ca="1">IFERROR(IF(VLOOKUP(C1044,' Disaggregation - Section E '!A$316:N781,7,0)=0,"",VLOOKUP(C1044,' Disaggregation - Section E '!A$316:N781,7,0)*100),"")</f>
        <v/>
      </c>
      <c r="F1044" s="487"/>
      <c r="G1044" s="492" t="str">
        <f ca="1">IFERROR(IF(VLOOKUP(C1044,' Disaggregation - Section E '!A$316:N781,6,0)=0,"",VLOOKUP(C1044,' Disaggregation - Section E '!A$316:N781,6,0)),"")</f>
        <v/>
      </c>
      <c r="H1044" s="502" t="str">
        <f ca="1">IFERROR(IF(INDEX(' Disaggregation - Section E '!F$313:F781,MATCH(C1044,' Disaggregation - Section E '!A$313:A781,0)+1,1)&lt;&gt;0,INDEX(' Disaggregation - Section E '!F$313:F781,MATCH(C1044,' Disaggregation - Section E '!A$313:A781,0)+1,1),""),"")</f>
        <v/>
      </c>
      <c r="I1044" s="493" t="str">
        <f ca="1">IFERROR(IF(VLOOKUP(C1044,' Disaggregation - Section E '!A$316:N781,8,0)=0,"",VLOOKUP(C1044,' Disaggregation - Section E '!A$316:N781,8,0)),"")</f>
        <v/>
      </c>
      <c r="J1044" s="493" t="str">
        <f ca="1">IFERROR(IF(VLOOKUP(C1044,' Disaggregation - Section E '!A$316:N781,13,0)=0,"",VLOOKUP(C1044,' Disaggregation - Section E '!A$316:N781,13,0)),"")</f>
        <v/>
      </c>
      <c r="K1044" s="487" t="str">
        <f ca="1">IFERROR(VLOOKUP(C1044,' Disaggregation - Section E '!A$316:N781,3,0),"")</f>
        <v>HIV O-5⁽ᴹ⁾ Pourcentage de professionnels du sexe qui indiquent avoir utilisé un préservatif avec leur dernier client</v>
      </c>
      <c r="L1044" s="493" t="str">
        <f ca="1">IFERROR(IF(VLOOKUP(C1044,' Disaggregation - Section E '!A$316:N781,14,0)=0,"",VLOOKUP(C1044,' Disaggregation - Section E '!A$316:N781,14,0)),"")</f>
        <v/>
      </c>
      <c r="M1044" s="487" t="str">
        <f ca="1">IFERROR(IF(VLOOKUP(C1044,' Disaggregation - Section E '!A$316:T781,20,0)=0,"",VLOOKUP(C1044,' Disaggregation - Section E '!A$316:T781,20,0)),"")</f>
        <v/>
      </c>
      <c r="N1044" s="493" t="str">
        <f ca="1">IFERROR(IF(VLOOKUP(C1044,' Disaggregation - Section E '!A$316:N781,9,0)=0,"",VLOOKUP(C1044,' Disaggregation - Section E '!A$316:N781,9,0)),"")</f>
        <v/>
      </c>
      <c r="O1044" s="493" t="str">
        <f ca="1">IFERROR(IF(VLOOKUP(C1044,' Disaggregation - Section E '!A$315:N781,10,0)=0,"",VLOOKUP(C1044,' Disaggregation - Section E '!A$316:N781,10,0)),"")</f>
        <v/>
      </c>
    </row>
    <row r="1045" spans="1:15" x14ac:dyDescent="0.3">
      <c r="A1045" s="487" t="b">
        <f t="shared" ca="1" si="142"/>
        <v>0</v>
      </c>
      <c r="B1045" s="487"/>
      <c r="C1045" s="507" t="str">
        <f ca="1">IF(COUNTA(D$877:D1045)=1,"",OFFSET(C1045,-COUNTA(D$877:D1045)+1,0))</f>
        <v>a1V3p000004fwtmEAA</v>
      </c>
      <c r="D1045" s="502"/>
      <c r="E1045" s="490" t="str">
        <f ca="1">IFERROR(IF(VLOOKUP(C1045,' Disaggregation - Section E '!A$316:N782,7,0)=0,"",VLOOKUP(C1045,' Disaggregation - Section E '!A$316:N782,7,0)*100),"")</f>
        <v/>
      </c>
      <c r="F1045" s="487"/>
      <c r="G1045" s="492" t="str">
        <f ca="1">IFERROR(IF(VLOOKUP(C1045,' Disaggregation - Section E '!A$316:N782,6,0)=0,"",VLOOKUP(C1045,' Disaggregation - Section E '!A$316:N782,6,0)),"")</f>
        <v/>
      </c>
      <c r="H1045" s="502" t="str">
        <f ca="1">IFERROR(IF(INDEX(' Disaggregation - Section E '!F$313:F782,MATCH(C1045,' Disaggregation - Section E '!A$313:A782,0)+1,1)&lt;&gt;0,INDEX(' Disaggregation - Section E '!F$313:F782,MATCH(C1045,' Disaggregation - Section E '!A$313:A782,0)+1,1),""),"")</f>
        <v/>
      </c>
      <c r="I1045" s="493" t="str">
        <f ca="1">IFERROR(IF(VLOOKUP(C1045,' Disaggregation - Section E '!A$316:N782,8,0)=0,"",VLOOKUP(C1045,' Disaggregation - Section E '!A$316:N782,8,0)),"")</f>
        <v/>
      </c>
      <c r="J1045" s="493" t="str">
        <f ca="1">IFERROR(IF(VLOOKUP(C1045,' Disaggregation - Section E '!A$316:N782,13,0)=0,"",VLOOKUP(C1045,' Disaggregation - Section E '!A$316:N782,13,0)),"")</f>
        <v/>
      </c>
      <c r="K1045" s="487" t="str">
        <f ca="1">IFERROR(VLOOKUP(C1045,' Disaggregation - Section E '!A$316:N782,3,0),"")</f>
        <v>HIV O-5⁽ᴹ⁾ Pourcentage de professionnels du sexe qui indiquent avoir utilisé un préservatif avec leur dernier client</v>
      </c>
      <c r="L1045" s="493" t="str">
        <f ca="1">IFERROR(IF(VLOOKUP(C1045,' Disaggregation - Section E '!A$316:N782,14,0)=0,"",VLOOKUP(C1045,' Disaggregation - Section E '!A$316:N782,14,0)),"")</f>
        <v/>
      </c>
      <c r="M1045" s="487" t="str">
        <f ca="1">IFERROR(IF(VLOOKUP(C1045,' Disaggregation - Section E '!A$316:T782,20,0)=0,"",VLOOKUP(C1045,' Disaggregation - Section E '!A$316:T782,20,0)),"")</f>
        <v/>
      </c>
      <c r="N1045" s="493" t="str">
        <f ca="1">IFERROR(IF(VLOOKUP(C1045,' Disaggregation - Section E '!A$316:N782,9,0)=0,"",VLOOKUP(C1045,' Disaggregation - Section E '!A$316:N782,9,0)),"")</f>
        <v/>
      </c>
      <c r="O1045" s="493" t="str">
        <f ca="1">IFERROR(IF(VLOOKUP(C1045,' Disaggregation - Section E '!A$315:N782,10,0)=0,"",VLOOKUP(C1045,' Disaggregation - Section E '!A$316:N782,10,0)),"")</f>
        <v/>
      </c>
    </row>
    <row r="1046" spans="1:15" x14ac:dyDescent="0.3">
      <c r="A1046" s="487" t="b">
        <f t="shared" ca="1" si="142"/>
        <v>0</v>
      </c>
      <c r="B1046" s="487"/>
      <c r="C1046" s="507" t="str">
        <f ca="1">IF(COUNTA(D$877:D1046)=1,"",OFFSET(C1046,-COUNTA(D$877:D1046)+1,0))</f>
        <v>a1V3p000004fwtnEAA</v>
      </c>
      <c r="D1046" s="502"/>
      <c r="E1046" s="490" t="str">
        <f ca="1">IFERROR(IF(VLOOKUP(C1046,' Disaggregation - Section E '!A$316:N783,7,0)=0,"",VLOOKUP(C1046,' Disaggregation - Section E '!A$316:N783,7,0)*100),"")</f>
        <v/>
      </c>
      <c r="F1046" s="487"/>
      <c r="G1046" s="492" t="str">
        <f ca="1">IFERROR(IF(VLOOKUP(C1046,' Disaggregation - Section E '!A$316:N783,6,0)=0,"",VLOOKUP(C1046,' Disaggregation - Section E '!A$316:N783,6,0)),"")</f>
        <v/>
      </c>
      <c r="H1046" s="502" t="str">
        <f ca="1">IFERROR(IF(INDEX(' Disaggregation - Section E '!F$313:F783,MATCH(C1046,' Disaggregation - Section E '!A$313:A783,0)+1,1)&lt;&gt;0,INDEX(' Disaggregation - Section E '!F$313:F783,MATCH(C1046,' Disaggregation - Section E '!A$313:A783,0)+1,1),""),"")</f>
        <v/>
      </c>
      <c r="I1046" s="493" t="str">
        <f ca="1">IFERROR(IF(VLOOKUP(C1046,' Disaggregation - Section E '!A$316:N783,8,0)=0,"",VLOOKUP(C1046,' Disaggregation - Section E '!A$316:N783,8,0)),"")</f>
        <v/>
      </c>
      <c r="J1046" s="493" t="str">
        <f ca="1">IFERROR(IF(VLOOKUP(C1046,' Disaggregation - Section E '!A$316:N783,13,0)=0,"",VLOOKUP(C1046,' Disaggregation - Section E '!A$316:N783,13,0)),"")</f>
        <v/>
      </c>
      <c r="K1046" s="487" t="str">
        <f ca="1">IFERROR(VLOOKUP(C1046,' Disaggregation - Section E '!A$316:N783,3,0),"")</f>
        <v>HIV O-5⁽ᴹ⁾ Pourcentage de professionnels du sexe qui indiquent avoir utilisé un préservatif avec leur dernier client</v>
      </c>
      <c r="L1046" s="493" t="str">
        <f ca="1">IFERROR(IF(VLOOKUP(C1046,' Disaggregation - Section E '!A$316:N783,14,0)=0,"",VLOOKUP(C1046,' Disaggregation - Section E '!A$316:N783,14,0)),"")</f>
        <v/>
      </c>
      <c r="M1046" s="487" t="str">
        <f ca="1">IFERROR(IF(VLOOKUP(C1046,' Disaggregation - Section E '!A$316:T783,20,0)=0,"",VLOOKUP(C1046,' Disaggregation - Section E '!A$316:T783,20,0)),"")</f>
        <v/>
      </c>
      <c r="N1046" s="493" t="str">
        <f ca="1">IFERROR(IF(VLOOKUP(C1046,' Disaggregation - Section E '!A$316:N783,9,0)=0,"",VLOOKUP(C1046,' Disaggregation - Section E '!A$316:N783,9,0)),"")</f>
        <v/>
      </c>
      <c r="O1046" s="493" t="str">
        <f ca="1">IFERROR(IF(VLOOKUP(C1046,' Disaggregation - Section E '!A$315:N783,10,0)=0,"",VLOOKUP(C1046,' Disaggregation - Section E '!A$316:N783,10,0)),"")</f>
        <v/>
      </c>
    </row>
    <row r="1047" spans="1:15" x14ac:dyDescent="0.3">
      <c r="A1047" s="487" t="b">
        <f t="shared" ca="1" si="142"/>
        <v>0</v>
      </c>
      <c r="B1047" s="487"/>
      <c r="C1047" s="507" t="str">
        <f ca="1">IF(COUNTA(D$877:D1047)=1,"",OFFSET(C1047,-COUNTA(D$877:D1047)+1,0))</f>
        <v>a1V3p000004fwtoEAA</v>
      </c>
      <c r="D1047" s="502"/>
      <c r="E1047" s="490" t="str">
        <f ca="1">IFERROR(IF(VLOOKUP(C1047,' Disaggregation - Section E '!A$316:N784,7,0)=0,"",VLOOKUP(C1047,' Disaggregation - Section E '!A$316:N784,7,0)*100),"")</f>
        <v/>
      </c>
      <c r="F1047" s="487"/>
      <c r="G1047" s="492" t="str">
        <f ca="1">IFERROR(IF(VLOOKUP(C1047,' Disaggregation - Section E '!A$316:N784,6,0)=0,"",VLOOKUP(C1047,' Disaggregation - Section E '!A$316:N784,6,0)),"")</f>
        <v/>
      </c>
      <c r="H1047" s="502" t="str">
        <f ca="1">IFERROR(IF(INDEX(' Disaggregation - Section E '!F$313:F784,MATCH(C1047,' Disaggregation - Section E '!A$313:A784,0)+1,1)&lt;&gt;0,INDEX(' Disaggregation - Section E '!F$313:F784,MATCH(C1047,' Disaggregation - Section E '!A$313:A784,0)+1,1),""),"")</f>
        <v/>
      </c>
      <c r="I1047" s="493" t="str">
        <f ca="1">IFERROR(IF(VLOOKUP(C1047,' Disaggregation - Section E '!A$316:N784,8,0)=0,"",VLOOKUP(C1047,' Disaggregation - Section E '!A$316:N784,8,0)),"")</f>
        <v/>
      </c>
      <c r="J1047" s="493" t="str">
        <f ca="1">IFERROR(IF(VLOOKUP(C1047,' Disaggregation - Section E '!A$316:N784,13,0)=0,"",VLOOKUP(C1047,' Disaggregation - Section E '!A$316:N784,13,0)),"")</f>
        <v/>
      </c>
      <c r="K1047" s="487" t="str">
        <f ca="1">IFERROR(VLOOKUP(C1047,' Disaggregation - Section E '!A$316:N784,3,0),"")</f>
        <v>HIV O-5⁽ᴹ⁾ Pourcentage de professionnels du sexe qui indiquent avoir utilisé un préservatif avec leur dernier client</v>
      </c>
      <c r="L1047" s="493" t="str">
        <f ca="1">IFERROR(IF(VLOOKUP(C1047,' Disaggregation - Section E '!A$316:N784,14,0)=0,"",VLOOKUP(C1047,' Disaggregation - Section E '!A$316:N784,14,0)),"")</f>
        <v/>
      </c>
      <c r="M1047" s="487" t="str">
        <f ca="1">IFERROR(IF(VLOOKUP(C1047,' Disaggregation - Section E '!A$316:T784,20,0)=0,"",VLOOKUP(C1047,' Disaggregation - Section E '!A$316:T784,20,0)),"")</f>
        <v/>
      </c>
      <c r="N1047" s="493" t="str">
        <f ca="1">IFERROR(IF(VLOOKUP(C1047,' Disaggregation - Section E '!A$316:N784,9,0)=0,"",VLOOKUP(C1047,' Disaggregation - Section E '!A$316:N784,9,0)),"")</f>
        <v/>
      </c>
      <c r="O1047" s="493" t="str">
        <f ca="1">IFERROR(IF(VLOOKUP(C1047,' Disaggregation - Section E '!A$315:N784,10,0)=0,"",VLOOKUP(C1047,' Disaggregation - Section E '!A$316:N784,10,0)),"")</f>
        <v/>
      </c>
    </row>
    <row r="1048" spans="1:15" x14ac:dyDescent="0.3">
      <c r="A1048" s="487" t="b">
        <f t="shared" ca="1" si="142"/>
        <v>0</v>
      </c>
      <c r="B1048" s="487"/>
      <c r="C1048" s="507" t="str">
        <f ca="1">IF(COUNTA(D$877:D1048)=1,"",OFFSET(C1048,-COUNTA(D$877:D1048)+1,0))</f>
        <v>a1V3p000004fwtpEAA</v>
      </c>
      <c r="D1048" s="502"/>
      <c r="E1048" s="490" t="str">
        <f ca="1">IFERROR(IF(VLOOKUP(C1048,' Disaggregation - Section E '!A$316:N785,7,0)=0,"",VLOOKUP(C1048,' Disaggregation - Section E '!A$316:N785,7,0)*100),"")</f>
        <v/>
      </c>
      <c r="F1048" s="487"/>
      <c r="G1048" s="492" t="str">
        <f ca="1">IFERROR(IF(VLOOKUP(C1048,' Disaggregation - Section E '!A$316:N785,6,0)=0,"",VLOOKUP(C1048,' Disaggregation - Section E '!A$316:N785,6,0)),"")</f>
        <v/>
      </c>
      <c r="H1048" s="502" t="str">
        <f ca="1">IFERROR(IF(INDEX(' Disaggregation - Section E '!F$313:F785,MATCH(C1048,' Disaggregation - Section E '!A$313:A785,0)+1,1)&lt;&gt;0,INDEX(' Disaggregation - Section E '!F$313:F785,MATCH(C1048,' Disaggregation - Section E '!A$313:A785,0)+1,1),""),"")</f>
        <v/>
      </c>
      <c r="I1048" s="493" t="str">
        <f ca="1">IFERROR(IF(VLOOKUP(C1048,' Disaggregation - Section E '!A$316:N785,8,0)=0,"",VLOOKUP(C1048,' Disaggregation - Section E '!A$316:N785,8,0)),"")</f>
        <v/>
      </c>
      <c r="J1048" s="493" t="str">
        <f ca="1">IFERROR(IF(VLOOKUP(C1048,' Disaggregation - Section E '!A$316:N785,13,0)=0,"",VLOOKUP(C1048,' Disaggregation - Section E '!A$316:N785,13,0)),"")</f>
        <v/>
      </c>
      <c r="K1048" s="487" t="str">
        <f ca="1">IFERROR(VLOOKUP(C1048,' Disaggregation - Section E '!A$316:N785,3,0),"")</f>
        <v>HIV O-5⁽ᴹ⁾ Pourcentage de professionnels du sexe qui indiquent avoir utilisé un préservatif avec leur dernier client</v>
      </c>
      <c r="L1048" s="493" t="str">
        <f ca="1">IFERROR(IF(VLOOKUP(C1048,' Disaggregation - Section E '!A$316:N785,14,0)=0,"",VLOOKUP(C1048,' Disaggregation - Section E '!A$316:N785,14,0)),"")</f>
        <v/>
      </c>
      <c r="M1048" s="487" t="str">
        <f ca="1">IFERROR(IF(VLOOKUP(C1048,' Disaggregation - Section E '!A$316:T785,20,0)=0,"",VLOOKUP(C1048,' Disaggregation - Section E '!A$316:T785,20,0)),"")</f>
        <v/>
      </c>
      <c r="N1048" s="493" t="str">
        <f ca="1">IFERROR(IF(VLOOKUP(C1048,' Disaggregation - Section E '!A$316:N785,9,0)=0,"",VLOOKUP(C1048,' Disaggregation - Section E '!A$316:N785,9,0)),"")</f>
        <v/>
      </c>
      <c r="O1048" s="493" t="str">
        <f ca="1">IFERROR(IF(VLOOKUP(C1048,' Disaggregation - Section E '!A$315:N785,10,0)=0,"",VLOOKUP(C1048,' Disaggregation - Section E '!A$316:N785,10,0)),"")</f>
        <v/>
      </c>
    </row>
    <row r="1049" spans="1:15" x14ac:dyDescent="0.3">
      <c r="A1049" s="487" t="b">
        <f t="shared" ca="1" si="142"/>
        <v>0</v>
      </c>
      <c r="B1049" s="487"/>
      <c r="C1049" s="507" t="str">
        <f ca="1">IF(COUNTA(D$877:D1049)=1,"",OFFSET(C1049,-COUNTA(D$877:D1049)+1,0))</f>
        <v>a1V3p000004fwtqEAA</v>
      </c>
      <c r="D1049" s="502"/>
      <c r="E1049" s="490" t="str">
        <f ca="1">IFERROR(IF(VLOOKUP(C1049,' Disaggregation - Section E '!A$316:N786,7,0)=0,"",VLOOKUP(C1049,' Disaggregation - Section E '!A$316:N786,7,0)*100),"")</f>
        <v/>
      </c>
      <c r="F1049" s="487"/>
      <c r="G1049" s="492" t="str">
        <f ca="1">IFERROR(IF(VLOOKUP(C1049,' Disaggregation - Section E '!A$316:N786,6,0)=0,"",VLOOKUP(C1049,' Disaggregation - Section E '!A$316:N786,6,0)),"")</f>
        <v/>
      </c>
      <c r="H1049" s="502" t="str">
        <f ca="1">IFERROR(IF(INDEX(' Disaggregation - Section E '!F$313:F786,MATCH(C1049,' Disaggregation - Section E '!A$313:A786,0)+1,1)&lt;&gt;0,INDEX(' Disaggregation - Section E '!F$313:F786,MATCH(C1049,' Disaggregation - Section E '!A$313:A786,0)+1,1),""),"")</f>
        <v/>
      </c>
      <c r="I1049" s="493" t="str">
        <f ca="1">IFERROR(IF(VLOOKUP(C1049,' Disaggregation - Section E '!A$316:N786,8,0)=0,"",VLOOKUP(C1049,' Disaggregation - Section E '!A$316:N786,8,0)),"")</f>
        <v/>
      </c>
      <c r="J1049" s="493" t="str">
        <f ca="1">IFERROR(IF(VLOOKUP(C1049,' Disaggregation - Section E '!A$316:N786,13,0)=0,"",VLOOKUP(C1049,' Disaggregation - Section E '!A$316:N786,13,0)),"")</f>
        <v/>
      </c>
      <c r="K1049" s="487" t="str">
        <f ca="1">IFERROR(VLOOKUP(C1049,' Disaggregation - Section E '!A$316:N786,3,0),"")</f>
        <v>HIV O-12 Pourcentage de personnes vivant avec le VIH sous traitement antirétroviral qui ont une charge virale indétectable</v>
      </c>
      <c r="L1049" s="493" t="str">
        <f ca="1">IFERROR(IF(VLOOKUP(C1049,' Disaggregation - Section E '!A$316:N786,14,0)=0,"",VLOOKUP(C1049,' Disaggregation - Section E '!A$316:N786,14,0)),"")</f>
        <v/>
      </c>
      <c r="M1049" s="487" t="str">
        <f ca="1">IFERROR(IF(VLOOKUP(C1049,' Disaggregation - Section E '!A$316:T786,20,0)=0,"",VLOOKUP(C1049,' Disaggregation - Section E '!A$316:T786,20,0)),"")</f>
        <v>IDR-00800</v>
      </c>
      <c r="N1049" s="493" t="str">
        <f ca="1">IFERROR(IF(VLOOKUP(C1049,' Disaggregation - Section E '!A$316:N786,9,0)=0,"",VLOOKUP(C1049,' Disaggregation - Section E '!A$316:N786,9,0)),"")</f>
        <v/>
      </c>
      <c r="O1049" s="493" t="str">
        <f ca="1">IFERROR(IF(VLOOKUP(C1049,' Disaggregation - Section E '!A$315:N786,10,0)=0,"",VLOOKUP(C1049,' Disaggregation - Section E '!A$316:N786,10,0)),"")</f>
        <v/>
      </c>
    </row>
    <row r="1050" spans="1:15" x14ac:dyDescent="0.3">
      <c r="A1050" s="487" t="b">
        <f t="shared" ca="1" si="142"/>
        <v>0</v>
      </c>
      <c r="B1050" s="487"/>
      <c r="C1050" s="507" t="str">
        <f ca="1">IF(COUNTA(D$877:D1050)=1,"",OFFSET(C1050,-COUNTA(D$877:D1050)+1,0))</f>
        <v>a1V3p000004fwtrEAA</v>
      </c>
      <c r="D1050" s="502"/>
      <c r="E1050" s="490" t="str">
        <f ca="1">IFERROR(IF(VLOOKUP(C1050,' Disaggregation - Section E '!A$316:N787,7,0)=0,"",VLOOKUP(C1050,' Disaggregation - Section E '!A$316:N787,7,0)*100),"")</f>
        <v/>
      </c>
      <c r="F1050" s="487"/>
      <c r="G1050" s="492" t="str">
        <f ca="1">IFERROR(IF(VLOOKUP(C1050,' Disaggregation - Section E '!A$316:N787,6,0)=0,"",VLOOKUP(C1050,' Disaggregation - Section E '!A$316:N787,6,0)),"")</f>
        <v/>
      </c>
      <c r="H1050" s="502" t="str">
        <f ca="1">IFERROR(IF(INDEX(' Disaggregation - Section E '!F$313:F787,MATCH(C1050,' Disaggregation - Section E '!A$313:A787,0)+1,1)&lt;&gt;0,INDEX(' Disaggregation - Section E '!F$313:F787,MATCH(C1050,' Disaggregation - Section E '!A$313:A787,0)+1,1),""),"")</f>
        <v/>
      </c>
      <c r="I1050" s="493" t="str">
        <f ca="1">IFERROR(IF(VLOOKUP(C1050,' Disaggregation - Section E '!A$316:N787,8,0)=0,"",VLOOKUP(C1050,' Disaggregation - Section E '!A$316:N787,8,0)),"")</f>
        <v/>
      </c>
      <c r="J1050" s="493" t="str">
        <f ca="1">IFERROR(IF(VLOOKUP(C1050,' Disaggregation - Section E '!A$316:N787,13,0)=0,"",VLOOKUP(C1050,' Disaggregation - Section E '!A$316:N787,13,0)),"")</f>
        <v/>
      </c>
      <c r="K1050" s="487" t="str">
        <f ca="1">IFERROR(VLOOKUP(C1050,' Disaggregation - Section E '!A$316:N787,3,0),"")</f>
        <v>HIV O-12 Pourcentage de personnes vivant avec le VIH sous traitement antirétroviral qui ont une charge virale indétectable</v>
      </c>
      <c r="L1050" s="493" t="str">
        <f ca="1">IFERROR(IF(VLOOKUP(C1050,' Disaggregation - Section E '!A$316:N787,14,0)=0,"",VLOOKUP(C1050,' Disaggregation - Section E '!A$316:N787,14,0)),"")</f>
        <v/>
      </c>
      <c r="M1050" s="487" t="str">
        <f ca="1">IFERROR(IF(VLOOKUP(C1050,' Disaggregation - Section E '!A$316:T787,20,0)=0,"",VLOOKUP(C1050,' Disaggregation - Section E '!A$316:T787,20,0)),"")</f>
        <v>IDR-00797</v>
      </c>
      <c r="N1050" s="493" t="str">
        <f ca="1">IFERROR(IF(VLOOKUP(C1050,' Disaggregation - Section E '!A$316:N787,9,0)=0,"",VLOOKUP(C1050,' Disaggregation - Section E '!A$316:N787,9,0)),"")</f>
        <v/>
      </c>
      <c r="O1050" s="493" t="str">
        <f ca="1">IFERROR(IF(VLOOKUP(C1050,' Disaggregation - Section E '!A$315:N787,10,0)=0,"",VLOOKUP(C1050,' Disaggregation - Section E '!A$316:N787,10,0)),"")</f>
        <v/>
      </c>
    </row>
    <row r="1051" spans="1:15" x14ac:dyDescent="0.3">
      <c r="A1051" s="487" t="b">
        <f t="shared" ca="1" si="142"/>
        <v>0</v>
      </c>
      <c r="B1051" s="487"/>
      <c r="C1051" s="507" t="str">
        <f ca="1">IF(COUNTA(D$877:D1051)=1,"",OFFSET(C1051,-COUNTA(D$877:D1051)+1,0))</f>
        <v>a1V3p000004fwtsEAA</v>
      </c>
      <c r="D1051" s="502"/>
      <c r="E1051" s="490" t="str">
        <f ca="1">IFERROR(IF(VLOOKUP(C1051,' Disaggregation - Section E '!A$316:N788,7,0)=0,"",VLOOKUP(C1051,' Disaggregation - Section E '!A$316:N788,7,0)*100),"")</f>
        <v/>
      </c>
      <c r="F1051" s="487"/>
      <c r="G1051" s="492" t="str">
        <f ca="1">IFERROR(IF(VLOOKUP(C1051,' Disaggregation - Section E '!A$316:N788,6,0)=0,"",VLOOKUP(C1051,' Disaggregation - Section E '!A$316:N788,6,0)),"")</f>
        <v/>
      </c>
      <c r="H1051" s="502" t="str">
        <f ca="1">IFERROR(IF(INDEX(' Disaggregation - Section E '!F$313:F788,MATCH(C1051,' Disaggregation - Section E '!A$313:A788,0)+1,1)&lt;&gt;0,INDEX(' Disaggregation - Section E '!F$313:F788,MATCH(C1051,' Disaggregation - Section E '!A$313:A788,0)+1,1),""),"")</f>
        <v/>
      </c>
      <c r="I1051" s="493" t="str">
        <f ca="1">IFERROR(IF(VLOOKUP(C1051,' Disaggregation - Section E '!A$316:N788,8,0)=0,"",VLOOKUP(C1051,' Disaggregation - Section E '!A$316:N788,8,0)),"")</f>
        <v/>
      </c>
      <c r="J1051" s="493" t="str">
        <f ca="1">IFERROR(IF(VLOOKUP(C1051,' Disaggregation - Section E '!A$316:N788,13,0)=0,"",VLOOKUP(C1051,' Disaggregation - Section E '!A$316:N788,13,0)),"")</f>
        <v/>
      </c>
      <c r="K1051" s="487" t="str">
        <f ca="1">IFERROR(VLOOKUP(C1051,' Disaggregation - Section E '!A$316:N788,3,0),"")</f>
        <v>HIV O-12 Pourcentage de personnes vivant avec le VIH sous traitement antirétroviral qui ont une charge virale indétectable</v>
      </c>
      <c r="L1051" s="493" t="str">
        <f ca="1">IFERROR(IF(VLOOKUP(C1051,' Disaggregation - Section E '!A$316:N788,14,0)=0,"",VLOOKUP(C1051,' Disaggregation - Section E '!A$316:N788,14,0)),"")</f>
        <v/>
      </c>
      <c r="M1051" s="487" t="str">
        <f ca="1">IFERROR(IF(VLOOKUP(C1051,' Disaggregation - Section E '!A$316:T788,20,0)=0,"",VLOOKUP(C1051,' Disaggregation - Section E '!A$316:T788,20,0)),"")</f>
        <v>IDR-00796</v>
      </c>
      <c r="N1051" s="493" t="str">
        <f ca="1">IFERROR(IF(VLOOKUP(C1051,' Disaggregation - Section E '!A$316:N788,9,0)=0,"",VLOOKUP(C1051,' Disaggregation - Section E '!A$316:N788,9,0)),"")</f>
        <v/>
      </c>
      <c r="O1051" s="493" t="str">
        <f ca="1">IFERROR(IF(VLOOKUP(C1051,' Disaggregation - Section E '!A$315:N788,10,0)=0,"",VLOOKUP(C1051,' Disaggregation - Section E '!A$316:N788,10,0)),"")</f>
        <v/>
      </c>
    </row>
    <row r="1052" spans="1:15" x14ac:dyDescent="0.3">
      <c r="A1052" s="487" t="b">
        <f t="shared" ca="1" si="142"/>
        <v>0</v>
      </c>
      <c r="B1052" s="487"/>
      <c r="C1052" s="507" t="str">
        <f ca="1">IF(COUNTA(D$877:D1052)=1,"",OFFSET(C1052,-COUNTA(D$877:D1052)+1,0))</f>
        <v>a1V3p000004fwttEAA</v>
      </c>
      <c r="D1052" s="502"/>
      <c r="E1052" s="490" t="str">
        <f ca="1">IFERROR(IF(VLOOKUP(C1052,' Disaggregation - Section E '!A$316:N789,7,0)=0,"",VLOOKUP(C1052,' Disaggregation - Section E '!A$316:N789,7,0)*100),"")</f>
        <v/>
      </c>
      <c r="F1052" s="487"/>
      <c r="G1052" s="492" t="str">
        <f ca="1">IFERROR(IF(VLOOKUP(C1052,' Disaggregation - Section E '!A$316:N789,6,0)=0,"",VLOOKUP(C1052,' Disaggregation - Section E '!A$316:N789,6,0)),"")</f>
        <v/>
      </c>
      <c r="H1052" s="502" t="str">
        <f ca="1">IFERROR(IF(INDEX(' Disaggregation - Section E '!F$313:F789,MATCH(C1052,' Disaggregation - Section E '!A$313:A789,0)+1,1)&lt;&gt;0,INDEX(' Disaggregation - Section E '!F$313:F789,MATCH(C1052,' Disaggregation - Section E '!A$313:A789,0)+1,1),""),"")</f>
        <v/>
      </c>
      <c r="I1052" s="493" t="str">
        <f ca="1">IFERROR(IF(VLOOKUP(C1052,' Disaggregation - Section E '!A$316:N789,8,0)=0,"",VLOOKUP(C1052,' Disaggregation - Section E '!A$316:N789,8,0)),"")</f>
        <v/>
      </c>
      <c r="J1052" s="493" t="str">
        <f ca="1">IFERROR(IF(VLOOKUP(C1052,' Disaggregation - Section E '!A$316:N789,13,0)=0,"",VLOOKUP(C1052,' Disaggregation - Section E '!A$316:N789,13,0)),"")</f>
        <v/>
      </c>
      <c r="K1052" s="487" t="str">
        <f ca="1">IFERROR(VLOOKUP(C1052,' Disaggregation - Section E '!A$316:N789,3,0),"")</f>
        <v>HIV O-12 Pourcentage de personnes vivant avec le VIH sous traitement antirétroviral qui ont une charge virale indétectable</v>
      </c>
      <c r="L1052" s="493" t="str">
        <f ca="1">IFERROR(IF(VLOOKUP(C1052,' Disaggregation - Section E '!A$316:N789,14,0)=0,"",VLOOKUP(C1052,' Disaggregation - Section E '!A$316:N789,14,0)),"")</f>
        <v/>
      </c>
      <c r="M1052" s="487" t="str">
        <f ca="1">IFERROR(IF(VLOOKUP(C1052,' Disaggregation - Section E '!A$316:T789,20,0)=0,"",VLOOKUP(C1052,' Disaggregation - Section E '!A$316:T789,20,0)),"")</f>
        <v/>
      </c>
      <c r="N1052" s="493" t="str">
        <f ca="1">IFERROR(IF(VLOOKUP(C1052,' Disaggregation - Section E '!A$316:N789,9,0)=0,"",VLOOKUP(C1052,' Disaggregation - Section E '!A$316:N789,9,0)),"")</f>
        <v/>
      </c>
      <c r="O1052" s="493" t="str">
        <f ca="1">IFERROR(IF(VLOOKUP(C1052,' Disaggregation - Section E '!A$315:N789,10,0)=0,"",VLOOKUP(C1052,' Disaggregation - Section E '!A$316:N789,10,0)),"")</f>
        <v/>
      </c>
    </row>
    <row r="1053" spans="1:15" x14ac:dyDescent="0.3">
      <c r="A1053" s="487" t="b">
        <f t="shared" ca="1" si="142"/>
        <v>0</v>
      </c>
      <c r="B1053" s="487"/>
      <c r="C1053" s="507" t="str">
        <f ca="1">IF(COUNTA(D$877:D1053)=1,"",OFFSET(C1053,-COUNTA(D$877:D1053)+1,0))</f>
        <v>a1V3p000004fwtuEAA</v>
      </c>
      <c r="D1053" s="502"/>
      <c r="E1053" s="490" t="str">
        <f ca="1">IFERROR(IF(VLOOKUP(C1053,' Disaggregation - Section E '!A$316:N790,7,0)=0,"",VLOOKUP(C1053,' Disaggregation - Section E '!A$316:N790,7,0)*100),"")</f>
        <v/>
      </c>
      <c r="F1053" s="487"/>
      <c r="G1053" s="492" t="str">
        <f ca="1">IFERROR(IF(VLOOKUP(C1053,' Disaggregation - Section E '!A$316:N790,6,0)=0,"",VLOOKUP(C1053,' Disaggregation - Section E '!A$316:N790,6,0)),"")</f>
        <v/>
      </c>
      <c r="H1053" s="502" t="str">
        <f ca="1">IFERROR(IF(INDEX(' Disaggregation - Section E '!F$313:F790,MATCH(C1053,' Disaggregation - Section E '!A$313:A790,0)+1,1)&lt;&gt;0,INDEX(' Disaggregation - Section E '!F$313:F790,MATCH(C1053,' Disaggregation - Section E '!A$313:A790,0)+1,1),""),"")</f>
        <v/>
      </c>
      <c r="I1053" s="493" t="str">
        <f ca="1">IFERROR(IF(VLOOKUP(C1053,' Disaggregation - Section E '!A$316:N790,8,0)=0,"",VLOOKUP(C1053,' Disaggregation - Section E '!A$316:N790,8,0)),"")</f>
        <v/>
      </c>
      <c r="J1053" s="493" t="str">
        <f ca="1">IFERROR(IF(VLOOKUP(C1053,' Disaggregation - Section E '!A$316:N790,13,0)=0,"",VLOOKUP(C1053,' Disaggregation - Section E '!A$316:N790,13,0)),"")</f>
        <v/>
      </c>
      <c r="K1053" s="487" t="str">
        <f ca="1">IFERROR(VLOOKUP(C1053,' Disaggregation - Section E '!A$316:N790,3,0),"")</f>
        <v>HIV O-12 Pourcentage de personnes vivant avec le VIH sous traitement antirétroviral qui ont une charge virale indétectable</v>
      </c>
      <c r="L1053" s="493" t="str">
        <f ca="1">IFERROR(IF(VLOOKUP(C1053,' Disaggregation - Section E '!A$316:N790,14,0)=0,"",VLOOKUP(C1053,' Disaggregation - Section E '!A$316:N790,14,0)),"")</f>
        <v/>
      </c>
      <c r="M1053" s="487" t="str">
        <f ca="1">IFERROR(IF(VLOOKUP(C1053,' Disaggregation - Section E '!A$316:T790,20,0)=0,"",VLOOKUP(C1053,' Disaggregation - Section E '!A$316:T790,20,0)),"")</f>
        <v/>
      </c>
      <c r="N1053" s="493" t="str">
        <f ca="1">IFERROR(IF(VLOOKUP(C1053,' Disaggregation - Section E '!A$316:N790,9,0)=0,"",VLOOKUP(C1053,' Disaggregation - Section E '!A$316:N790,9,0)),"")</f>
        <v/>
      </c>
      <c r="O1053" s="493" t="str">
        <f ca="1">IFERROR(IF(VLOOKUP(C1053,' Disaggregation - Section E '!A$315:N790,10,0)=0,"",VLOOKUP(C1053,' Disaggregation - Section E '!A$316:N790,10,0)),"")</f>
        <v/>
      </c>
    </row>
    <row r="1054" spans="1:15" x14ac:dyDescent="0.3">
      <c r="A1054" s="487" t="b">
        <f t="shared" ca="1" si="142"/>
        <v>0</v>
      </c>
      <c r="B1054" s="487"/>
      <c r="C1054" s="507" t="str">
        <f ca="1">IF(COUNTA(D$877:D1054)=1,"",OFFSET(C1054,-COUNTA(D$877:D1054)+1,0))</f>
        <v>a1V3p000004fwtvEAA</v>
      </c>
      <c r="D1054" s="502"/>
      <c r="E1054" s="490" t="str">
        <f ca="1">IFERROR(IF(VLOOKUP(C1054,' Disaggregation - Section E '!A$316:N791,7,0)=0,"",VLOOKUP(C1054,' Disaggregation - Section E '!A$316:N791,7,0)*100),"")</f>
        <v/>
      </c>
      <c r="F1054" s="487"/>
      <c r="G1054" s="492" t="str">
        <f ca="1">IFERROR(IF(VLOOKUP(C1054,' Disaggregation - Section E '!A$316:N791,6,0)=0,"",VLOOKUP(C1054,' Disaggregation - Section E '!A$316:N791,6,0)),"")</f>
        <v/>
      </c>
      <c r="H1054" s="502" t="str">
        <f ca="1">IFERROR(IF(INDEX(' Disaggregation - Section E '!F$313:F791,MATCH(C1054,' Disaggregation - Section E '!A$313:A791,0)+1,1)&lt;&gt;0,INDEX(' Disaggregation - Section E '!F$313:F791,MATCH(C1054,' Disaggregation - Section E '!A$313:A791,0)+1,1),""),"")</f>
        <v/>
      </c>
      <c r="I1054" s="493" t="str">
        <f ca="1">IFERROR(IF(VLOOKUP(C1054,' Disaggregation - Section E '!A$316:N791,8,0)=0,"",VLOOKUP(C1054,' Disaggregation - Section E '!A$316:N791,8,0)),"")</f>
        <v/>
      </c>
      <c r="J1054" s="493" t="str">
        <f ca="1">IFERROR(IF(VLOOKUP(C1054,' Disaggregation - Section E '!A$316:N791,13,0)=0,"",VLOOKUP(C1054,' Disaggregation - Section E '!A$316:N791,13,0)),"")</f>
        <v/>
      </c>
      <c r="K1054" s="487" t="str">
        <f ca="1">IFERROR(VLOOKUP(C1054,' Disaggregation - Section E '!A$316:N791,3,0),"")</f>
        <v>HIV O-12 Pourcentage de personnes vivant avec le VIH sous traitement antirétroviral qui ont une charge virale indétectable</v>
      </c>
      <c r="L1054" s="493" t="str">
        <f ca="1">IFERROR(IF(VLOOKUP(C1054,' Disaggregation - Section E '!A$316:N791,14,0)=0,"",VLOOKUP(C1054,' Disaggregation - Section E '!A$316:N791,14,0)),"")</f>
        <v/>
      </c>
      <c r="M1054" s="487" t="str">
        <f ca="1">IFERROR(IF(VLOOKUP(C1054,' Disaggregation - Section E '!A$316:T791,20,0)=0,"",VLOOKUP(C1054,' Disaggregation - Section E '!A$316:T791,20,0)),"")</f>
        <v/>
      </c>
      <c r="N1054" s="493" t="str">
        <f ca="1">IFERROR(IF(VLOOKUP(C1054,' Disaggregation - Section E '!A$316:N791,9,0)=0,"",VLOOKUP(C1054,' Disaggregation - Section E '!A$316:N791,9,0)),"")</f>
        <v/>
      </c>
      <c r="O1054" s="493" t="str">
        <f ca="1">IFERROR(IF(VLOOKUP(C1054,' Disaggregation - Section E '!A$315:N791,10,0)=0,"",VLOOKUP(C1054,' Disaggregation - Section E '!A$316:N791,10,0)),"")</f>
        <v/>
      </c>
    </row>
    <row r="1055" spans="1:15" x14ac:dyDescent="0.3">
      <c r="A1055" s="487" t="b">
        <f t="shared" ca="1" si="142"/>
        <v>0</v>
      </c>
      <c r="B1055" s="487"/>
      <c r="C1055" s="507" t="str">
        <f ca="1">IF(COUNTA(D$877:D1055)=1,"",OFFSET(C1055,-COUNTA(D$877:D1055)+1,0))</f>
        <v>a1V3p000004fwtwEAA</v>
      </c>
      <c r="D1055" s="502"/>
      <c r="E1055" s="490" t="str">
        <f ca="1">IFERROR(IF(VLOOKUP(C1055,' Disaggregation - Section E '!A$316:N792,7,0)=0,"",VLOOKUP(C1055,' Disaggregation - Section E '!A$316:N792,7,0)*100),"")</f>
        <v/>
      </c>
      <c r="F1055" s="487"/>
      <c r="G1055" s="492" t="str">
        <f ca="1">IFERROR(IF(VLOOKUP(C1055,' Disaggregation - Section E '!A$316:N792,6,0)=0,"",VLOOKUP(C1055,' Disaggregation - Section E '!A$316:N792,6,0)),"")</f>
        <v/>
      </c>
      <c r="H1055" s="502" t="str">
        <f ca="1">IFERROR(IF(INDEX(' Disaggregation - Section E '!F$313:F792,MATCH(C1055,' Disaggregation - Section E '!A$313:A792,0)+1,1)&lt;&gt;0,INDEX(' Disaggregation - Section E '!F$313:F792,MATCH(C1055,' Disaggregation - Section E '!A$313:A792,0)+1,1),""),"")</f>
        <v/>
      </c>
      <c r="I1055" s="493" t="str">
        <f ca="1">IFERROR(IF(VLOOKUP(C1055,' Disaggregation - Section E '!A$316:N792,8,0)=0,"",VLOOKUP(C1055,' Disaggregation - Section E '!A$316:N792,8,0)),"")</f>
        <v/>
      </c>
      <c r="J1055" s="493" t="str">
        <f ca="1">IFERROR(IF(VLOOKUP(C1055,' Disaggregation - Section E '!A$316:N792,13,0)=0,"",VLOOKUP(C1055,' Disaggregation - Section E '!A$316:N792,13,0)),"")</f>
        <v/>
      </c>
      <c r="K1055" s="487" t="str">
        <f ca="1">IFERROR(VLOOKUP(C1055,' Disaggregation - Section E '!A$316:N792,3,0),"")</f>
        <v>HIV O-12 Pourcentage de personnes vivant avec le VIH sous traitement antirétroviral qui ont une charge virale indétectable</v>
      </c>
      <c r="L1055" s="493" t="str">
        <f ca="1">IFERROR(IF(VLOOKUP(C1055,' Disaggregation - Section E '!A$316:N792,14,0)=0,"",VLOOKUP(C1055,' Disaggregation - Section E '!A$316:N792,14,0)),"")</f>
        <v/>
      </c>
      <c r="M1055" s="487" t="str">
        <f ca="1">IFERROR(IF(VLOOKUP(C1055,' Disaggregation - Section E '!A$316:T792,20,0)=0,"",VLOOKUP(C1055,' Disaggregation - Section E '!A$316:T792,20,0)),"")</f>
        <v/>
      </c>
      <c r="N1055" s="493" t="str">
        <f ca="1">IFERROR(IF(VLOOKUP(C1055,' Disaggregation - Section E '!A$316:N792,9,0)=0,"",VLOOKUP(C1055,' Disaggregation - Section E '!A$316:N792,9,0)),"")</f>
        <v/>
      </c>
      <c r="O1055" s="493" t="str">
        <f ca="1">IFERROR(IF(VLOOKUP(C1055,' Disaggregation - Section E '!A$315:N792,10,0)=0,"",VLOOKUP(C1055,' Disaggregation - Section E '!A$316:N792,10,0)),"")</f>
        <v/>
      </c>
    </row>
    <row r="1056" spans="1:15" x14ac:dyDescent="0.3">
      <c r="A1056" s="487" t="b">
        <f t="shared" ca="1" si="142"/>
        <v>0</v>
      </c>
      <c r="B1056" s="487"/>
      <c r="C1056" s="507" t="str">
        <f ca="1">IF(COUNTA(D$877:D1056)=1,"",OFFSET(C1056,-COUNTA(D$877:D1056)+1,0))</f>
        <v>a1V3p000004fwtxEAA</v>
      </c>
      <c r="D1056" s="502"/>
      <c r="E1056" s="490" t="str">
        <f ca="1">IFERROR(IF(VLOOKUP(C1056,' Disaggregation - Section E '!A$316:N793,7,0)=0,"",VLOOKUP(C1056,' Disaggregation - Section E '!A$316:N793,7,0)*100),"")</f>
        <v/>
      </c>
      <c r="F1056" s="487"/>
      <c r="G1056" s="492" t="str">
        <f ca="1">IFERROR(IF(VLOOKUP(C1056,' Disaggregation - Section E '!A$316:N793,6,0)=0,"",VLOOKUP(C1056,' Disaggregation - Section E '!A$316:N793,6,0)),"")</f>
        <v/>
      </c>
      <c r="H1056" s="502" t="str">
        <f ca="1">IFERROR(IF(INDEX(' Disaggregation - Section E '!F$313:F793,MATCH(C1056,' Disaggregation - Section E '!A$313:A793,0)+1,1)&lt;&gt;0,INDEX(' Disaggregation - Section E '!F$313:F793,MATCH(C1056,' Disaggregation - Section E '!A$313:A793,0)+1,1),""),"")</f>
        <v/>
      </c>
      <c r="I1056" s="493" t="str">
        <f ca="1">IFERROR(IF(VLOOKUP(C1056,' Disaggregation - Section E '!A$316:N793,8,0)=0,"",VLOOKUP(C1056,' Disaggregation - Section E '!A$316:N793,8,0)),"")</f>
        <v/>
      </c>
      <c r="J1056" s="493" t="str">
        <f ca="1">IFERROR(IF(VLOOKUP(C1056,' Disaggregation - Section E '!A$316:N793,13,0)=0,"",VLOOKUP(C1056,' Disaggregation - Section E '!A$316:N793,13,0)),"")</f>
        <v/>
      </c>
      <c r="K1056" s="487" t="str">
        <f ca="1">IFERROR(VLOOKUP(C1056,' Disaggregation - Section E '!A$316:N793,3,0),"")</f>
        <v>HIV O-12 Pourcentage de personnes vivant avec le VIH sous traitement antirétroviral qui ont une charge virale indétectable</v>
      </c>
      <c r="L1056" s="493" t="str">
        <f ca="1">IFERROR(IF(VLOOKUP(C1056,' Disaggregation - Section E '!A$316:N793,14,0)=0,"",VLOOKUP(C1056,' Disaggregation - Section E '!A$316:N793,14,0)),"")</f>
        <v/>
      </c>
      <c r="M1056" s="487" t="str">
        <f ca="1">IFERROR(IF(VLOOKUP(C1056,' Disaggregation - Section E '!A$316:T793,20,0)=0,"",VLOOKUP(C1056,' Disaggregation - Section E '!A$316:T793,20,0)),"")</f>
        <v/>
      </c>
      <c r="N1056" s="493" t="str">
        <f ca="1">IFERROR(IF(VLOOKUP(C1056,' Disaggregation - Section E '!A$316:N793,9,0)=0,"",VLOOKUP(C1056,' Disaggregation - Section E '!A$316:N793,9,0)),"")</f>
        <v/>
      </c>
      <c r="O1056" s="493" t="str">
        <f ca="1">IFERROR(IF(VLOOKUP(C1056,' Disaggregation - Section E '!A$315:N793,10,0)=0,"",VLOOKUP(C1056,' Disaggregation - Section E '!A$316:N793,10,0)),"")</f>
        <v/>
      </c>
    </row>
    <row r="1057" spans="1:15" x14ac:dyDescent="0.3">
      <c r="A1057" s="487" t="b">
        <f t="shared" ca="1" si="142"/>
        <v>0</v>
      </c>
      <c r="B1057" s="487"/>
      <c r="C1057" s="507" t="str">
        <f ca="1">IF(COUNTA(D$877:D1057)=1,"",OFFSET(C1057,-COUNTA(D$877:D1057)+1,0))</f>
        <v>a1V3p000004fwtyEAA</v>
      </c>
      <c r="D1057" s="502"/>
      <c r="E1057" s="490" t="str">
        <f ca="1">IFERROR(IF(VLOOKUP(C1057,' Disaggregation - Section E '!A$316:N794,7,0)=0,"",VLOOKUP(C1057,' Disaggregation - Section E '!A$316:N794,7,0)*100),"")</f>
        <v/>
      </c>
      <c r="F1057" s="487"/>
      <c r="G1057" s="492" t="str">
        <f ca="1">IFERROR(IF(VLOOKUP(C1057,' Disaggregation - Section E '!A$316:N794,6,0)=0,"",VLOOKUP(C1057,' Disaggregation - Section E '!A$316:N794,6,0)),"")</f>
        <v/>
      </c>
      <c r="H1057" s="502" t="str">
        <f ca="1">IFERROR(IF(INDEX(' Disaggregation - Section E '!F$313:F794,MATCH(C1057,' Disaggregation - Section E '!A$313:A794,0)+1,1)&lt;&gt;0,INDEX(' Disaggregation - Section E '!F$313:F794,MATCH(C1057,' Disaggregation - Section E '!A$313:A794,0)+1,1),""),"")</f>
        <v/>
      </c>
      <c r="I1057" s="493" t="str">
        <f ca="1">IFERROR(IF(VLOOKUP(C1057,' Disaggregation - Section E '!A$316:N794,8,0)=0,"",VLOOKUP(C1057,' Disaggregation - Section E '!A$316:N794,8,0)),"")</f>
        <v/>
      </c>
      <c r="J1057" s="493" t="str">
        <f ca="1">IFERROR(IF(VLOOKUP(C1057,' Disaggregation - Section E '!A$316:N794,13,0)=0,"",VLOOKUP(C1057,' Disaggregation - Section E '!A$316:N794,13,0)),"")</f>
        <v/>
      </c>
      <c r="K1057" s="487" t="str">
        <f ca="1">IFERROR(VLOOKUP(C1057,' Disaggregation - Section E '!A$316:N794,3,0),"")</f>
        <v>HIV O-12 Pourcentage de personnes vivant avec le VIH sous traitement antirétroviral qui ont une charge virale indétectable</v>
      </c>
      <c r="L1057" s="493" t="str">
        <f ca="1">IFERROR(IF(VLOOKUP(C1057,' Disaggregation - Section E '!A$316:N794,14,0)=0,"",VLOOKUP(C1057,' Disaggregation - Section E '!A$316:N794,14,0)),"")</f>
        <v/>
      </c>
      <c r="M1057" s="487" t="str">
        <f ca="1">IFERROR(IF(VLOOKUP(C1057,' Disaggregation - Section E '!A$316:T794,20,0)=0,"",VLOOKUP(C1057,' Disaggregation - Section E '!A$316:T794,20,0)),"")</f>
        <v/>
      </c>
      <c r="N1057" s="493" t="str">
        <f ca="1">IFERROR(IF(VLOOKUP(C1057,' Disaggregation - Section E '!A$316:N794,9,0)=0,"",VLOOKUP(C1057,' Disaggregation - Section E '!A$316:N794,9,0)),"")</f>
        <v/>
      </c>
      <c r="O1057" s="493" t="str">
        <f ca="1">IFERROR(IF(VLOOKUP(C1057,' Disaggregation - Section E '!A$315:N794,10,0)=0,"",VLOOKUP(C1057,' Disaggregation - Section E '!A$316:N794,10,0)),"")</f>
        <v/>
      </c>
    </row>
    <row r="1058" spans="1:15" x14ac:dyDescent="0.3">
      <c r="A1058" s="487" t="b">
        <f t="shared" ca="1" si="142"/>
        <v>0</v>
      </c>
      <c r="B1058" s="487"/>
      <c r="C1058" s="507" t="str">
        <f ca="1">IF(COUNTA(D$877:D1058)=1,"",OFFSET(C1058,-COUNTA(D$877:D1058)+1,0))</f>
        <v>a1V3p000004fwtzEAA</v>
      </c>
      <c r="D1058" s="502"/>
      <c r="E1058" s="490" t="str">
        <f ca="1">IFERROR(IF(VLOOKUP(C1058,' Disaggregation - Section E '!A$316:N795,7,0)=0,"",VLOOKUP(C1058,' Disaggregation - Section E '!A$316:N795,7,0)*100),"")</f>
        <v/>
      </c>
      <c r="F1058" s="487"/>
      <c r="G1058" s="492" t="str">
        <f ca="1">IFERROR(IF(VLOOKUP(C1058,' Disaggregation - Section E '!A$316:N795,6,0)=0,"",VLOOKUP(C1058,' Disaggregation - Section E '!A$316:N795,6,0)),"")</f>
        <v/>
      </c>
      <c r="H1058" s="502" t="str">
        <f ca="1">IFERROR(IF(INDEX(' Disaggregation - Section E '!F$313:F795,MATCH(C1058,' Disaggregation - Section E '!A$313:A795,0)+1,1)&lt;&gt;0,INDEX(' Disaggregation - Section E '!F$313:F795,MATCH(C1058,' Disaggregation - Section E '!A$313:A795,0)+1,1),""),"")</f>
        <v/>
      </c>
      <c r="I1058" s="493" t="str">
        <f ca="1">IFERROR(IF(VLOOKUP(C1058,' Disaggregation - Section E '!A$316:N795,8,0)=0,"",VLOOKUP(C1058,' Disaggregation - Section E '!A$316:N795,8,0)),"")</f>
        <v/>
      </c>
      <c r="J1058" s="493" t="str">
        <f ca="1">IFERROR(IF(VLOOKUP(C1058,' Disaggregation - Section E '!A$316:N795,13,0)=0,"",VLOOKUP(C1058,' Disaggregation - Section E '!A$316:N795,13,0)),"")</f>
        <v/>
      </c>
      <c r="K1058" s="487" t="str">
        <f ca="1">IFERROR(VLOOKUP(C1058,' Disaggregation - Section E '!A$316:N795,3,0),"")</f>
        <v>HIV O-12 Pourcentage de personnes vivant avec le VIH sous traitement antirétroviral qui ont une charge virale indétectable</v>
      </c>
      <c r="L1058" s="493" t="str">
        <f ca="1">IFERROR(IF(VLOOKUP(C1058,' Disaggregation - Section E '!A$316:N795,14,0)=0,"",VLOOKUP(C1058,' Disaggregation - Section E '!A$316:N795,14,0)),"")</f>
        <v/>
      </c>
      <c r="M1058" s="487" t="str">
        <f ca="1">IFERROR(IF(VLOOKUP(C1058,' Disaggregation - Section E '!A$316:T795,20,0)=0,"",VLOOKUP(C1058,' Disaggregation - Section E '!A$316:T795,20,0)),"")</f>
        <v/>
      </c>
      <c r="N1058" s="493" t="str">
        <f ca="1">IFERROR(IF(VLOOKUP(C1058,' Disaggregation - Section E '!A$316:N795,9,0)=0,"",VLOOKUP(C1058,' Disaggregation - Section E '!A$316:N795,9,0)),"")</f>
        <v/>
      </c>
      <c r="O1058" s="493" t="str">
        <f ca="1">IFERROR(IF(VLOOKUP(C1058,' Disaggregation - Section E '!A$315:N795,10,0)=0,"",VLOOKUP(C1058,' Disaggregation - Section E '!A$316:N795,10,0)),"")</f>
        <v/>
      </c>
    </row>
    <row r="1059" spans="1:15" x14ac:dyDescent="0.3">
      <c r="A1059" s="487" t="b">
        <f t="shared" ca="1" si="142"/>
        <v>0</v>
      </c>
      <c r="B1059" s="487"/>
      <c r="C1059" s="507" t="str">
        <f ca="1">IF(COUNTA(D$877:D1059)=1,"",OFFSET(C1059,-COUNTA(D$877:D1059)+1,0))</f>
        <v>a1V3p000004fwu0EAA</v>
      </c>
      <c r="D1059" s="502"/>
      <c r="E1059" s="490" t="str">
        <f ca="1">IFERROR(IF(VLOOKUP(C1059,' Disaggregation - Section E '!A$316:N796,7,0)=0,"",VLOOKUP(C1059,' Disaggregation - Section E '!A$316:N796,7,0)*100),"")</f>
        <v/>
      </c>
      <c r="F1059" s="487"/>
      <c r="G1059" s="492" t="str">
        <f ca="1">IFERROR(IF(VLOOKUP(C1059,' Disaggregation - Section E '!A$316:N796,6,0)=0,"",VLOOKUP(C1059,' Disaggregation - Section E '!A$316:N796,6,0)),"")</f>
        <v/>
      </c>
      <c r="H1059" s="502" t="str">
        <f ca="1">IFERROR(IF(INDEX(' Disaggregation - Section E '!F$313:F796,MATCH(C1059,' Disaggregation - Section E '!A$313:A796,0)+1,1)&lt;&gt;0,INDEX(' Disaggregation - Section E '!F$313:F796,MATCH(C1059,' Disaggregation - Section E '!A$313:A796,0)+1,1),""),"")</f>
        <v/>
      </c>
      <c r="I1059" s="493" t="str">
        <f ca="1">IFERROR(IF(VLOOKUP(C1059,' Disaggregation - Section E '!A$316:N796,8,0)=0,"",VLOOKUP(C1059,' Disaggregation - Section E '!A$316:N796,8,0)),"")</f>
        <v/>
      </c>
      <c r="J1059" s="493" t="str">
        <f ca="1">IFERROR(IF(VLOOKUP(C1059,' Disaggregation - Section E '!A$316:N796,13,0)=0,"",VLOOKUP(C1059,' Disaggregation - Section E '!A$316:N796,13,0)),"")</f>
        <v/>
      </c>
      <c r="K1059" s="487" t="str">
        <f ca="1">IFERROR(VLOOKUP(C1059,' Disaggregation - Section E '!A$316:N796,3,0),"")</f>
        <v xml:space="preserve">HIV O-15-Other1: Pourcentage de personnes vivant avec le VIH déclarant avoir été victimes de discrimination liée au VIH </v>
      </c>
      <c r="L1059" s="493" t="str">
        <f ca="1">IFERROR(IF(VLOOKUP(C1059,' Disaggregation - Section E '!A$316:N796,14,0)=0,"",VLOOKUP(C1059,' Disaggregation - Section E '!A$316:N796,14,0)),"")</f>
        <v/>
      </c>
      <c r="M1059" s="487" t="str">
        <f ca="1">IFERROR(IF(VLOOKUP(C1059,' Disaggregation - Section E '!A$316:T796,20,0)=0,"",VLOOKUP(C1059,' Disaggregation - Section E '!A$316:T796,20,0)),"")</f>
        <v/>
      </c>
      <c r="N1059" s="493" t="str">
        <f ca="1">IFERROR(IF(VLOOKUP(C1059,' Disaggregation - Section E '!A$316:N796,9,0)=0,"",VLOOKUP(C1059,' Disaggregation - Section E '!A$316:N796,9,0)),"")</f>
        <v/>
      </c>
      <c r="O1059" s="493" t="str">
        <f ca="1">IFERROR(IF(VLOOKUP(C1059,' Disaggregation - Section E '!A$315:N796,10,0)=0,"",VLOOKUP(C1059,' Disaggregation - Section E '!A$316:N796,10,0)),"")</f>
        <v/>
      </c>
    </row>
    <row r="1060" spans="1:15" x14ac:dyDescent="0.3">
      <c r="A1060" s="487" t="b">
        <f t="shared" ca="1" si="142"/>
        <v>0</v>
      </c>
      <c r="B1060" s="487"/>
      <c r="C1060" s="507" t="str">
        <f ca="1">IF(COUNTA(D$877:D1060)=1,"",OFFSET(C1060,-COUNTA(D$877:D1060)+1,0))</f>
        <v>a1V3p000004fwu1EAA</v>
      </c>
      <c r="D1060" s="502"/>
      <c r="E1060" s="490" t="str">
        <f ca="1">IFERROR(IF(VLOOKUP(C1060,' Disaggregation - Section E '!A$316:N797,7,0)=0,"",VLOOKUP(C1060,' Disaggregation - Section E '!A$316:N797,7,0)*100),"")</f>
        <v/>
      </c>
      <c r="F1060" s="487"/>
      <c r="G1060" s="492" t="str">
        <f ca="1">IFERROR(IF(VLOOKUP(C1060,' Disaggregation - Section E '!A$316:N797,6,0)=0,"",VLOOKUP(C1060,' Disaggregation - Section E '!A$316:N797,6,0)),"")</f>
        <v/>
      </c>
      <c r="H1060" s="502" t="str">
        <f ca="1">IFERROR(IF(INDEX(' Disaggregation - Section E '!F$313:F797,MATCH(C1060,' Disaggregation - Section E '!A$313:A797,0)+1,1)&lt;&gt;0,INDEX(' Disaggregation - Section E '!F$313:F797,MATCH(C1060,' Disaggregation - Section E '!A$313:A797,0)+1,1),""),"")</f>
        <v/>
      </c>
      <c r="I1060" s="493" t="str">
        <f ca="1">IFERROR(IF(VLOOKUP(C1060,' Disaggregation - Section E '!A$316:N797,8,0)=0,"",VLOOKUP(C1060,' Disaggregation - Section E '!A$316:N797,8,0)),"")</f>
        <v/>
      </c>
      <c r="J1060" s="493" t="str">
        <f ca="1">IFERROR(IF(VLOOKUP(C1060,' Disaggregation - Section E '!A$316:N797,13,0)=0,"",VLOOKUP(C1060,' Disaggregation - Section E '!A$316:N797,13,0)),"")</f>
        <v/>
      </c>
      <c r="K1060" s="487" t="str">
        <f ca="1">IFERROR(VLOOKUP(C1060,' Disaggregation - Section E '!A$316:N797,3,0),"")</f>
        <v xml:space="preserve">HIV O-15-Other1: Pourcentage de personnes vivant avec le VIH déclarant avoir été victimes de discrimination liée au VIH </v>
      </c>
      <c r="L1060" s="493" t="str">
        <f ca="1">IFERROR(IF(VLOOKUP(C1060,' Disaggregation - Section E '!A$316:N797,14,0)=0,"",VLOOKUP(C1060,' Disaggregation - Section E '!A$316:N797,14,0)),"")</f>
        <v/>
      </c>
      <c r="M1060" s="487" t="str">
        <f ca="1">IFERROR(IF(VLOOKUP(C1060,' Disaggregation - Section E '!A$316:T797,20,0)=0,"",VLOOKUP(C1060,' Disaggregation - Section E '!A$316:T797,20,0)),"")</f>
        <v/>
      </c>
      <c r="N1060" s="493" t="str">
        <f ca="1">IFERROR(IF(VLOOKUP(C1060,' Disaggregation - Section E '!A$316:N797,9,0)=0,"",VLOOKUP(C1060,' Disaggregation - Section E '!A$316:N797,9,0)),"")</f>
        <v/>
      </c>
      <c r="O1060" s="493" t="str">
        <f ca="1">IFERROR(IF(VLOOKUP(C1060,' Disaggregation - Section E '!A$315:N797,10,0)=0,"",VLOOKUP(C1060,' Disaggregation - Section E '!A$316:N797,10,0)),"")</f>
        <v/>
      </c>
    </row>
    <row r="1061" spans="1:15" x14ac:dyDescent="0.3">
      <c r="A1061" s="487" t="b">
        <f t="shared" ca="1" si="142"/>
        <v>0</v>
      </c>
      <c r="B1061" s="487"/>
      <c r="C1061" s="507" t="str">
        <f ca="1">IF(COUNTA(D$877:D1061)=1,"",OFFSET(C1061,-COUNTA(D$877:D1061)+1,0))</f>
        <v>a1V3p000004fwu2EAA</v>
      </c>
      <c r="D1061" s="502"/>
      <c r="E1061" s="490" t="str">
        <f ca="1">IFERROR(IF(VLOOKUP(C1061,' Disaggregation - Section E '!A$316:N798,7,0)=0,"",VLOOKUP(C1061,' Disaggregation - Section E '!A$316:N798,7,0)*100),"")</f>
        <v/>
      </c>
      <c r="F1061" s="487"/>
      <c r="G1061" s="492" t="str">
        <f ca="1">IFERROR(IF(VLOOKUP(C1061,' Disaggregation - Section E '!A$316:N798,6,0)=0,"",VLOOKUP(C1061,' Disaggregation - Section E '!A$316:N798,6,0)),"")</f>
        <v/>
      </c>
      <c r="H1061" s="502" t="str">
        <f ca="1">IFERROR(IF(INDEX(' Disaggregation - Section E '!F$313:F798,MATCH(C1061,' Disaggregation - Section E '!A$313:A798,0)+1,1)&lt;&gt;0,INDEX(' Disaggregation - Section E '!F$313:F798,MATCH(C1061,' Disaggregation - Section E '!A$313:A798,0)+1,1),""),"")</f>
        <v/>
      </c>
      <c r="I1061" s="493" t="str">
        <f ca="1">IFERROR(IF(VLOOKUP(C1061,' Disaggregation - Section E '!A$316:N798,8,0)=0,"",VLOOKUP(C1061,' Disaggregation - Section E '!A$316:N798,8,0)),"")</f>
        <v/>
      </c>
      <c r="J1061" s="493" t="str">
        <f ca="1">IFERROR(IF(VLOOKUP(C1061,' Disaggregation - Section E '!A$316:N798,13,0)=0,"",VLOOKUP(C1061,' Disaggregation - Section E '!A$316:N798,13,0)),"")</f>
        <v/>
      </c>
      <c r="K1061" s="487" t="str">
        <f ca="1">IFERROR(VLOOKUP(C1061,' Disaggregation - Section E '!A$316:N798,3,0),"")</f>
        <v xml:space="preserve">HIV O-15-Other1: Pourcentage de personnes vivant avec le VIH déclarant avoir été victimes de discrimination liée au VIH </v>
      </c>
      <c r="L1061" s="493" t="str">
        <f ca="1">IFERROR(IF(VLOOKUP(C1061,' Disaggregation - Section E '!A$316:N798,14,0)=0,"",VLOOKUP(C1061,' Disaggregation - Section E '!A$316:N798,14,0)),"")</f>
        <v/>
      </c>
      <c r="M1061" s="487" t="str">
        <f ca="1">IFERROR(IF(VLOOKUP(C1061,' Disaggregation - Section E '!A$316:T798,20,0)=0,"",VLOOKUP(C1061,' Disaggregation - Section E '!A$316:T798,20,0)),"")</f>
        <v/>
      </c>
      <c r="N1061" s="493" t="str">
        <f ca="1">IFERROR(IF(VLOOKUP(C1061,' Disaggregation - Section E '!A$316:N798,9,0)=0,"",VLOOKUP(C1061,' Disaggregation - Section E '!A$316:N798,9,0)),"")</f>
        <v/>
      </c>
      <c r="O1061" s="493" t="str">
        <f ca="1">IFERROR(IF(VLOOKUP(C1061,' Disaggregation - Section E '!A$315:N798,10,0)=0,"",VLOOKUP(C1061,' Disaggregation - Section E '!A$316:N798,10,0)),"")</f>
        <v/>
      </c>
    </row>
    <row r="1062" spans="1:15" x14ac:dyDescent="0.3">
      <c r="A1062" s="487" t="b">
        <f t="shared" ca="1" si="142"/>
        <v>0</v>
      </c>
      <c r="B1062" s="487"/>
      <c r="C1062" s="507" t="str">
        <f ca="1">IF(COUNTA(D$877:D1062)=1,"",OFFSET(C1062,-COUNTA(D$877:D1062)+1,0))</f>
        <v>a1V3p000004fwu3EAA</v>
      </c>
      <c r="D1062" s="502"/>
      <c r="E1062" s="490" t="str">
        <f ca="1">IFERROR(IF(VLOOKUP(C1062,' Disaggregation - Section E '!A$316:N799,7,0)=0,"",VLOOKUP(C1062,' Disaggregation - Section E '!A$316:N799,7,0)*100),"")</f>
        <v/>
      </c>
      <c r="F1062" s="487"/>
      <c r="G1062" s="492" t="str">
        <f ca="1">IFERROR(IF(VLOOKUP(C1062,' Disaggregation - Section E '!A$316:N799,6,0)=0,"",VLOOKUP(C1062,' Disaggregation - Section E '!A$316:N799,6,0)),"")</f>
        <v/>
      </c>
      <c r="H1062" s="502" t="str">
        <f ca="1">IFERROR(IF(INDEX(' Disaggregation - Section E '!F$313:F799,MATCH(C1062,' Disaggregation - Section E '!A$313:A799,0)+1,1)&lt;&gt;0,INDEX(' Disaggregation - Section E '!F$313:F799,MATCH(C1062,' Disaggregation - Section E '!A$313:A799,0)+1,1),""),"")</f>
        <v/>
      </c>
      <c r="I1062" s="493" t="str">
        <f ca="1">IFERROR(IF(VLOOKUP(C1062,' Disaggregation - Section E '!A$316:N799,8,0)=0,"",VLOOKUP(C1062,' Disaggregation - Section E '!A$316:N799,8,0)),"")</f>
        <v/>
      </c>
      <c r="J1062" s="493" t="str">
        <f ca="1">IFERROR(IF(VLOOKUP(C1062,' Disaggregation - Section E '!A$316:N799,13,0)=0,"",VLOOKUP(C1062,' Disaggregation - Section E '!A$316:N799,13,0)),"")</f>
        <v/>
      </c>
      <c r="K1062" s="487" t="str">
        <f ca="1">IFERROR(VLOOKUP(C1062,' Disaggregation - Section E '!A$316:N799,3,0),"")</f>
        <v xml:space="preserve">HIV O-15-Other1: Pourcentage de personnes vivant avec le VIH déclarant avoir été victimes de discrimination liée au VIH </v>
      </c>
      <c r="L1062" s="493" t="str">
        <f ca="1">IFERROR(IF(VLOOKUP(C1062,' Disaggregation - Section E '!A$316:N799,14,0)=0,"",VLOOKUP(C1062,' Disaggregation - Section E '!A$316:N799,14,0)),"")</f>
        <v/>
      </c>
      <c r="M1062" s="487" t="str">
        <f ca="1">IFERROR(IF(VLOOKUP(C1062,' Disaggregation - Section E '!A$316:T799,20,0)=0,"",VLOOKUP(C1062,' Disaggregation - Section E '!A$316:T799,20,0)),"")</f>
        <v/>
      </c>
      <c r="N1062" s="493" t="str">
        <f ca="1">IFERROR(IF(VLOOKUP(C1062,' Disaggregation - Section E '!A$316:N799,9,0)=0,"",VLOOKUP(C1062,' Disaggregation - Section E '!A$316:N799,9,0)),"")</f>
        <v/>
      </c>
      <c r="O1062" s="493" t="str">
        <f ca="1">IFERROR(IF(VLOOKUP(C1062,' Disaggregation - Section E '!A$315:N799,10,0)=0,"",VLOOKUP(C1062,' Disaggregation - Section E '!A$316:N799,10,0)),"")</f>
        <v/>
      </c>
    </row>
    <row r="1063" spans="1:15" x14ac:dyDescent="0.3">
      <c r="A1063" s="487" t="b">
        <f t="shared" ca="1" si="142"/>
        <v>0</v>
      </c>
      <c r="B1063" s="487"/>
      <c r="C1063" s="507" t="str">
        <f ca="1">IF(COUNTA(D$877:D1063)=1,"",OFFSET(C1063,-COUNTA(D$877:D1063)+1,0))</f>
        <v>a1V3p000004fwu4EAA</v>
      </c>
      <c r="D1063" s="502"/>
      <c r="E1063" s="490" t="str">
        <f ca="1">IFERROR(IF(VLOOKUP(C1063,' Disaggregation - Section E '!A$316:N800,7,0)=0,"",VLOOKUP(C1063,' Disaggregation - Section E '!A$316:N800,7,0)*100),"")</f>
        <v/>
      </c>
      <c r="F1063" s="487"/>
      <c r="G1063" s="492" t="str">
        <f ca="1">IFERROR(IF(VLOOKUP(C1063,' Disaggregation - Section E '!A$316:N800,6,0)=0,"",VLOOKUP(C1063,' Disaggregation - Section E '!A$316:N800,6,0)),"")</f>
        <v/>
      </c>
      <c r="H1063" s="502" t="str">
        <f ca="1">IFERROR(IF(INDEX(' Disaggregation - Section E '!F$313:F800,MATCH(C1063,' Disaggregation - Section E '!A$313:A800,0)+1,1)&lt;&gt;0,INDEX(' Disaggregation - Section E '!F$313:F800,MATCH(C1063,' Disaggregation - Section E '!A$313:A800,0)+1,1),""),"")</f>
        <v/>
      </c>
      <c r="I1063" s="493" t="str">
        <f ca="1">IFERROR(IF(VLOOKUP(C1063,' Disaggregation - Section E '!A$316:N800,8,0)=0,"",VLOOKUP(C1063,' Disaggregation - Section E '!A$316:N800,8,0)),"")</f>
        <v/>
      </c>
      <c r="J1063" s="493" t="str">
        <f ca="1">IFERROR(IF(VLOOKUP(C1063,' Disaggregation - Section E '!A$316:N800,13,0)=0,"",VLOOKUP(C1063,' Disaggregation - Section E '!A$316:N800,13,0)),"")</f>
        <v/>
      </c>
      <c r="K1063" s="487" t="str">
        <f ca="1">IFERROR(VLOOKUP(C1063,' Disaggregation - Section E '!A$316:N800,3,0),"")</f>
        <v xml:space="preserve">HIV O-15-Other1: Pourcentage de personnes vivant avec le VIH déclarant avoir été victimes de discrimination liée au VIH </v>
      </c>
      <c r="L1063" s="493" t="str">
        <f ca="1">IFERROR(IF(VLOOKUP(C1063,' Disaggregation - Section E '!A$316:N800,14,0)=0,"",VLOOKUP(C1063,' Disaggregation - Section E '!A$316:N800,14,0)),"")</f>
        <v/>
      </c>
      <c r="M1063" s="487" t="str">
        <f ca="1">IFERROR(IF(VLOOKUP(C1063,' Disaggregation - Section E '!A$316:T800,20,0)=0,"",VLOOKUP(C1063,' Disaggregation - Section E '!A$316:T800,20,0)),"")</f>
        <v/>
      </c>
      <c r="N1063" s="493" t="str">
        <f ca="1">IFERROR(IF(VLOOKUP(C1063,' Disaggregation - Section E '!A$316:N800,9,0)=0,"",VLOOKUP(C1063,' Disaggregation - Section E '!A$316:N800,9,0)),"")</f>
        <v/>
      </c>
      <c r="O1063" s="493" t="str">
        <f ca="1">IFERROR(IF(VLOOKUP(C1063,' Disaggregation - Section E '!A$315:N800,10,0)=0,"",VLOOKUP(C1063,' Disaggregation - Section E '!A$316:N800,10,0)),"")</f>
        <v/>
      </c>
    </row>
    <row r="1064" spans="1:15" x14ac:dyDescent="0.3">
      <c r="A1064" s="487" t="b">
        <f t="shared" ca="1" si="142"/>
        <v>0</v>
      </c>
      <c r="B1064" s="487"/>
      <c r="C1064" s="507" t="str">
        <f ca="1">IF(COUNTA(D$877:D1064)=1,"",OFFSET(C1064,-COUNTA(D$877:D1064)+1,0))</f>
        <v>a1V3p000004fwu5EAA</v>
      </c>
      <c r="D1064" s="502"/>
      <c r="E1064" s="490" t="str">
        <f ca="1">IFERROR(IF(VLOOKUP(C1064,' Disaggregation - Section E '!A$316:N801,7,0)=0,"",VLOOKUP(C1064,' Disaggregation - Section E '!A$316:N801,7,0)*100),"")</f>
        <v/>
      </c>
      <c r="F1064" s="487"/>
      <c r="G1064" s="492" t="str">
        <f ca="1">IFERROR(IF(VLOOKUP(C1064,' Disaggregation - Section E '!A$316:N801,6,0)=0,"",VLOOKUP(C1064,' Disaggregation - Section E '!A$316:N801,6,0)),"")</f>
        <v/>
      </c>
      <c r="H1064" s="502" t="str">
        <f ca="1">IFERROR(IF(INDEX(' Disaggregation - Section E '!F$313:F801,MATCH(C1064,' Disaggregation - Section E '!A$313:A801,0)+1,1)&lt;&gt;0,INDEX(' Disaggregation - Section E '!F$313:F801,MATCH(C1064,' Disaggregation - Section E '!A$313:A801,0)+1,1),""),"")</f>
        <v/>
      </c>
      <c r="I1064" s="493" t="str">
        <f ca="1">IFERROR(IF(VLOOKUP(C1064,' Disaggregation - Section E '!A$316:N801,8,0)=0,"",VLOOKUP(C1064,' Disaggregation - Section E '!A$316:N801,8,0)),"")</f>
        <v/>
      </c>
      <c r="J1064" s="493" t="str">
        <f ca="1">IFERROR(IF(VLOOKUP(C1064,' Disaggregation - Section E '!A$316:N801,13,0)=0,"",VLOOKUP(C1064,' Disaggregation - Section E '!A$316:N801,13,0)),"")</f>
        <v/>
      </c>
      <c r="K1064" s="487" t="str">
        <f ca="1">IFERROR(VLOOKUP(C1064,' Disaggregation - Section E '!A$316:N801,3,0),"")</f>
        <v xml:space="preserve">HIV O-15-Other1: Pourcentage de personnes vivant avec le VIH déclarant avoir été victimes de discrimination liée au VIH </v>
      </c>
      <c r="L1064" s="493" t="str">
        <f ca="1">IFERROR(IF(VLOOKUP(C1064,' Disaggregation - Section E '!A$316:N801,14,0)=0,"",VLOOKUP(C1064,' Disaggregation - Section E '!A$316:N801,14,0)),"")</f>
        <v/>
      </c>
      <c r="M1064" s="487" t="str">
        <f ca="1">IFERROR(IF(VLOOKUP(C1064,' Disaggregation - Section E '!A$316:T801,20,0)=0,"",VLOOKUP(C1064,' Disaggregation - Section E '!A$316:T801,20,0)),"")</f>
        <v/>
      </c>
      <c r="N1064" s="493" t="str">
        <f ca="1">IFERROR(IF(VLOOKUP(C1064,' Disaggregation - Section E '!A$316:N801,9,0)=0,"",VLOOKUP(C1064,' Disaggregation - Section E '!A$316:N801,9,0)),"")</f>
        <v/>
      </c>
      <c r="O1064" s="493" t="str">
        <f ca="1">IFERROR(IF(VLOOKUP(C1064,' Disaggregation - Section E '!A$315:N801,10,0)=0,"",VLOOKUP(C1064,' Disaggregation - Section E '!A$316:N801,10,0)),"")</f>
        <v/>
      </c>
    </row>
    <row r="1065" spans="1:15" x14ac:dyDescent="0.3">
      <c r="A1065" s="487" t="b">
        <f t="shared" ca="1" si="142"/>
        <v>0</v>
      </c>
      <c r="B1065" s="487"/>
      <c r="C1065" s="507" t="str">
        <f ca="1">IF(COUNTA(D$877:D1065)=1,"",OFFSET(C1065,-COUNTA(D$877:D1065)+1,0))</f>
        <v>a1V3p000004fwu6EAA</v>
      </c>
      <c r="D1065" s="502"/>
      <c r="E1065" s="490" t="str">
        <f ca="1">IFERROR(IF(VLOOKUP(C1065,' Disaggregation - Section E '!A$316:N802,7,0)=0,"",VLOOKUP(C1065,' Disaggregation - Section E '!A$316:N802,7,0)*100),"")</f>
        <v/>
      </c>
      <c r="F1065" s="487"/>
      <c r="G1065" s="492" t="str">
        <f ca="1">IFERROR(IF(VLOOKUP(C1065,' Disaggregation - Section E '!A$316:N802,6,0)=0,"",VLOOKUP(C1065,' Disaggregation - Section E '!A$316:N802,6,0)),"")</f>
        <v/>
      </c>
      <c r="H1065" s="502" t="str">
        <f ca="1">IFERROR(IF(INDEX(' Disaggregation - Section E '!F$313:F802,MATCH(C1065,' Disaggregation - Section E '!A$313:A802,0)+1,1)&lt;&gt;0,INDEX(' Disaggregation - Section E '!F$313:F802,MATCH(C1065,' Disaggregation - Section E '!A$313:A802,0)+1,1),""),"")</f>
        <v/>
      </c>
      <c r="I1065" s="493" t="str">
        <f ca="1">IFERROR(IF(VLOOKUP(C1065,' Disaggregation - Section E '!A$316:N802,8,0)=0,"",VLOOKUP(C1065,' Disaggregation - Section E '!A$316:N802,8,0)),"")</f>
        <v/>
      </c>
      <c r="J1065" s="493" t="str">
        <f ca="1">IFERROR(IF(VLOOKUP(C1065,' Disaggregation - Section E '!A$316:N802,13,0)=0,"",VLOOKUP(C1065,' Disaggregation - Section E '!A$316:N802,13,0)),"")</f>
        <v/>
      </c>
      <c r="K1065" s="487" t="str">
        <f ca="1">IFERROR(VLOOKUP(C1065,' Disaggregation - Section E '!A$316:N802,3,0),"")</f>
        <v xml:space="preserve">HIV O-15-Other1: Pourcentage de personnes vivant avec le VIH déclarant avoir été victimes de discrimination liée au VIH </v>
      </c>
      <c r="L1065" s="493" t="str">
        <f ca="1">IFERROR(IF(VLOOKUP(C1065,' Disaggregation - Section E '!A$316:N802,14,0)=0,"",VLOOKUP(C1065,' Disaggregation - Section E '!A$316:N802,14,0)),"")</f>
        <v/>
      </c>
      <c r="M1065" s="487" t="str">
        <f ca="1">IFERROR(IF(VLOOKUP(C1065,' Disaggregation - Section E '!A$316:T802,20,0)=0,"",VLOOKUP(C1065,' Disaggregation - Section E '!A$316:T802,20,0)),"")</f>
        <v/>
      </c>
      <c r="N1065" s="493" t="str">
        <f ca="1">IFERROR(IF(VLOOKUP(C1065,' Disaggregation - Section E '!A$316:N802,9,0)=0,"",VLOOKUP(C1065,' Disaggregation - Section E '!A$316:N802,9,0)),"")</f>
        <v/>
      </c>
      <c r="O1065" s="493" t="str">
        <f ca="1">IFERROR(IF(VLOOKUP(C1065,' Disaggregation - Section E '!A$315:N802,10,0)=0,"",VLOOKUP(C1065,' Disaggregation - Section E '!A$316:N802,10,0)),"")</f>
        <v/>
      </c>
    </row>
    <row r="1066" spans="1:15" x14ac:dyDescent="0.3">
      <c r="A1066" s="487" t="b">
        <f t="shared" ca="1" si="142"/>
        <v>0</v>
      </c>
      <c r="B1066" s="487"/>
      <c r="C1066" s="507" t="str">
        <f ca="1">IF(COUNTA(D$877:D1066)=1,"",OFFSET(C1066,-COUNTA(D$877:D1066)+1,0))</f>
        <v>a1V3p000004fwu7EAA</v>
      </c>
      <c r="D1066" s="502"/>
      <c r="E1066" s="490" t="str">
        <f ca="1">IFERROR(IF(VLOOKUP(C1066,' Disaggregation - Section E '!A$316:N803,7,0)=0,"",VLOOKUP(C1066,' Disaggregation - Section E '!A$316:N803,7,0)*100),"")</f>
        <v/>
      </c>
      <c r="F1066" s="487"/>
      <c r="G1066" s="492" t="str">
        <f ca="1">IFERROR(IF(VLOOKUP(C1066,' Disaggregation - Section E '!A$316:N803,6,0)=0,"",VLOOKUP(C1066,' Disaggregation - Section E '!A$316:N803,6,0)),"")</f>
        <v/>
      </c>
      <c r="H1066" s="502" t="str">
        <f ca="1">IFERROR(IF(INDEX(' Disaggregation - Section E '!F$313:F803,MATCH(C1066,' Disaggregation - Section E '!A$313:A803,0)+1,1)&lt;&gt;0,INDEX(' Disaggregation - Section E '!F$313:F803,MATCH(C1066,' Disaggregation - Section E '!A$313:A803,0)+1,1),""),"")</f>
        <v/>
      </c>
      <c r="I1066" s="493" t="str">
        <f ca="1">IFERROR(IF(VLOOKUP(C1066,' Disaggregation - Section E '!A$316:N803,8,0)=0,"",VLOOKUP(C1066,' Disaggregation - Section E '!A$316:N803,8,0)),"")</f>
        <v/>
      </c>
      <c r="J1066" s="493" t="str">
        <f ca="1">IFERROR(IF(VLOOKUP(C1066,' Disaggregation - Section E '!A$316:N803,13,0)=0,"",VLOOKUP(C1066,' Disaggregation - Section E '!A$316:N803,13,0)),"")</f>
        <v/>
      </c>
      <c r="K1066" s="487" t="str">
        <f ca="1">IFERROR(VLOOKUP(C1066,' Disaggregation - Section E '!A$316:N803,3,0),"")</f>
        <v xml:space="preserve">HIV O-15-Other1: Pourcentage de personnes vivant avec le VIH déclarant avoir été victimes de discrimination liée au VIH </v>
      </c>
      <c r="L1066" s="493" t="str">
        <f ca="1">IFERROR(IF(VLOOKUP(C1066,' Disaggregation - Section E '!A$316:N803,14,0)=0,"",VLOOKUP(C1066,' Disaggregation - Section E '!A$316:N803,14,0)),"")</f>
        <v/>
      </c>
      <c r="M1066" s="487" t="str">
        <f ca="1">IFERROR(IF(VLOOKUP(C1066,' Disaggregation - Section E '!A$316:T803,20,0)=0,"",VLOOKUP(C1066,' Disaggregation - Section E '!A$316:T803,20,0)),"")</f>
        <v/>
      </c>
      <c r="N1066" s="493" t="str">
        <f ca="1">IFERROR(IF(VLOOKUP(C1066,' Disaggregation - Section E '!A$316:N803,9,0)=0,"",VLOOKUP(C1066,' Disaggregation - Section E '!A$316:N803,9,0)),"")</f>
        <v/>
      </c>
      <c r="O1066" s="493" t="str">
        <f ca="1">IFERROR(IF(VLOOKUP(C1066,' Disaggregation - Section E '!A$315:N803,10,0)=0,"",VLOOKUP(C1066,' Disaggregation - Section E '!A$316:N803,10,0)),"")</f>
        <v/>
      </c>
    </row>
    <row r="1067" spans="1:15" x14ac:dyDescent="0.3">
      <c r="A1067" s="487" t="b">
        <f t="shared" ca="1" si="142"/>
        <v>0</v>
      </c>
      <c r="B1067" s="487"/>
      <c r="C1067" s="507" t="str">
        <f ca="1">IF(COUNTA(D$877:D1067)=1,"",OFFSET(C1067,-COUNTA(D$877:D1067)+1,0))</f>
        <v>a1V3p000004fwu8EAA</v>
      </c>
      <c r="D1067" s="502"/>
      <c r="E1067" s="490" t="str">
        <f ca="1">IFERROR(IF(VLOOKUP(C1067,' Disaggregation - Section E '!A$316:N804,7,0)=0,"",VLOOKUP(C1067,' Disaggregation - Section E '!A$316:N804,7,0)*100),"")</f>
        <v/>
      </c>
      <c r="F1067" s="487"/>
      <c r="G1067" s="492" t="str">
        <f ca="1">IFERROR(IF(VLOOKUP(C1067,' Disaggregation - Section E '!A$316:N804,6,0)=0,"",VLOOKUP(C1067,' Disaggregation - Section E '!A$316:N804,6,0)),"")</f>
        <v/>
      </c>
      <c r="H1067" s="502" t="str">
        <f ca="1">IFERROR(IF(INDEX(' Disaggregation - Section E '!F$313:F804,MATCH(C1067,' Disaggregation - Section E '!A$313:A804,0)+1,1)&lt;&gt;0,INDEX(' Disaggregation - Section E '!F$313:F804,MATCH(C1067,' Disaggregation - Section E '!A$313:A804,0)+1,1),""),"")</f>
        <v/>
      </c>
      <c r="I1067" s="493" t="str">
        <f ca="1">IFERROR(IF(VLOOKUP(C1067,' Disaggregation - Section E '!A$316:N804,8,0)=0,"",VLOOKUP(C1067,' Disaggregation - Section E '!A$316:N804,8,0)),"")</f>
        <v/>
      </c>
      <c r="J1067" s="493" t="str">
        <f ca="1">IFERROR(IF(VLOOKUP(C1067,' Disaggregation - Section E '!A$316:N804,13,0)=0,"",VLOOKUP(C1067,' Disaggregation - Section E '!A$316:N804,13,0)),"")</f>
        <v/>
      </c>
      <c r="K1067" s="487" t="str">
        <f ca="1">IFERROR(VLOOKUP(C1067,' Disaggregation - Section E '!A$316:N804,3,0),"")</f>
        <v xml:space="preserve">HIV O-15-Other1: Pourcentage de personnes vivant avec le VIH déclarant avoir été victimes de discrimination liée au VIH </v>
      </c>
      <c r="L1067" s="493" t="str">
        <f ca="1">IFERROR(IF(VLOOKUP(C1067,' Disaggregation - Section E '!A$316:N804,14,0)=0,"",VLOOKUP(C1067,' Disaggregation - Section E '!A$316:N804,14,0)),"")</f>
        <v/>
      </c>
      <c r="M1067" s="487" t="str">
        <f ca="1">IFERROR(IF(VLOOKUP(C1067,' Disaggregation - Section E '!A$316:T804,20,0)=0,"",VLOOKUP(C1067,' Disaggregation - Section E '!A$316:T804,20,0)),"")</f>
        <v/>
      </c>
      <c r="N1067" s="493" t="str">
        <f ca="1">IFERROR(IF(VLOOKUP(C1067,' Disaggregation - Section E '!A$316:N804,9,0)=0,"",VLOOKUP(C1067,' Disaggregation - Section E '!A$316:N804,9,0)),"")</f>
        <v/>
      </c>
      <c r="O1067" s="493" t="str">
        <f ca="1">IFERROR(IF(VLOOKUP(C1067,' Disaggregation - Section E '!A$315:N804,10,0)=0,"",VLOOKUP(C1067,' Disaggregation - Section E '!A$316:N804,10,0)),"")</f>
        <v/>
      </c>
    </row>
    <row r="1068" spans="1:15" x14ac:dyDescent="0.3">
      <c r="A1068" s="487" t="b">
        <f t="shared" ca="1" si="142"/>
        <v>0</v>
      </c>
      <c r="B1068" s="487"/>
      <c r="C1068" s="507" t="str">
        <f ca="1">IF(COUNTA(D$877:D1068)=1,"",OFFSET(C1068,-COUNTA(D$877:D1068)+1,0))</f>
        <v>a1V3p000004fwu9EAA</v>
      </c>
      <c r="D1068" s="502"/>
      <c r="E1068" s="490" t="str">
        <f ca="1">IFERROR(IF(VLOOKUP(C1068,' Disaggregation - Section E '!A$316:N805,7,0)=0,"",VLOOKUP(C1068,' Disaggregation - Section E '!A$316:N805,7,0)*100),"")</f>
        <v/>
      </c>
      <c r="F1068" s="487"/>
      <c r="G1068" s="492" t="str">
        <f ca="1">IFERROR(IF(VLOOKUP(C1068,' Disaggregation - Section E '!A$316:N805,6,0)=0,"",VLOOKUP(C1068,' Disaggregation - Section E '!A$316:N805,6,0)),"")</f>
        <v/>
      </c>
      <c r="H1068" s="502" t="str">
        <f ca="1">IFERROR(IF(INDEX(' Disaggregation - Section E '!F$313:F805,MATCH(C1068,' Disaggregation - Section E '!A$313:A805,0)+1,1)&lt;&gt;0,INDEX(' Disaggregation - Section E '!F$313:F805,MATCH(C1068,' Disaggregation - Section E '!A$313:A805,0)+1,1),""),"")</f>
        <v/>
      </c>
      <c r="I1068" s="493" t="str">
        <f ca="1">IFERROR(IF(VLOOKUP(C1068,' Disaggregation - Section E '!A$316:N805,8,0)=0,"",VLOOKUP(C1068,' Disaggregation - Section E '!A$316:N805,8,0)),"")</f>
        <v/>
      </c>
      <c r="J1068" s="493" t="str">
        <f ca="1">IFERROR(IF(VLOOKUP(C1068,' Disaggregation - Section E '!A$316:N805,13,0)=0,"",VLOOKUP(C1068,' Disaggregation - Section E '!A$316:N805,13,0)),"")</f>
        <v/>
      </c>
      <c r="K1068" s="487" t="str">
        <f ca="1">IFERROR(VLOOKUP(C1068,' Disaggregation - Section E '!A$316:N805,3,0),"")</f>
        <v xml:space="preserve">HIV O-15-Other1: Pourcentage de personnes vivant avec le VIH déclarant avoir été victimes de discrimination liée au VIH </v>
      </c>
      <c r="L1068" s="493" t="str">
        <f ca="1">IFERROR(IF(VLOOKUP(C1068,' Disaggregation - Section E '!A$316:N805,14,0)=0,"",VLOOKUP(C1068,' Disaggregation - Section E '!A$316:N805,14,0)),"")</f>
        <v/>
      </c>
      <c r="M1068" s="487" t="str">
        <f ca="1">IFERROR(IF(VLOOKUP(C1068,' Disaggregation - Section E '!A$316:T805,20,0)=0,"",VLOOKUP(C1068,' Disaggregation - Section E '!A$316:T805,20,0)),"")</f>
        <v/>
      </c>
      <c r="N1068" s="493" t="str">
        <f ca="1">IFERROR(IF(VLOOKUP(C1068,' Disaggregation - Section E '!A$316:N805,9,0)=0,"",VLOOKUP(C1068,' Disaggregation - Section E '!A$316:N805,9,0)),"")</f>
        <v/>
      </c>
      <c r="O1068" s="493" t="str">
        <f ca="1">IFERROR(IF(VLOOKUP(C1068,' Disaggregation - Section E '!A$315:N805,10,0)=0,"",VLOOKUP(C1068,' Disaggregation - Section E '!A$316:N805,10,0)),"")</f>
        <v/>
      </c>
    </row>
    <row r="1069" spans="1:15" x14ac:dyDescent="0.3">
      <c r="A1069" s="487" t="b">
        <f t="shared" ca="1" si="142"/>
        <v>0</v>
      </c>
      <c r="B1069" s="487"/>
      <c r="C1069" s="507" t="str">
        <f ca="1">IF(COUNTA(D$877:D1069)=1,"",OFFSET(C1069,-COUNTA(D$877:D1069)+1,0))</f>
        <v>a1V3p000004fwuAEAQ</v>
      </c>
      <c r="D1069" s="502"/>
      <c r="E1069" s="490" t="str">
        <f ca="1">IFERROR(IF(VLOOKUP(C1069,' Disaggregation - Section E '!A$316:N806,7,0)=0,"",VLOOKUP(C1069,' Disaggregation - Section E '!A$316:N806,7,0)*100),"")</f>
        <v/>
      </c>
      <c r="F1069" s="487"/>
      <c r="G1069" s="492" t="str">
        <f ca="1">IFERROR(IF(VLOOKUP(C1069,' Disaggregation - Section E '!A$316:N806,6,0)=0,"",VLOOKUP(C1069,' Disaggregation - Section E '!A$316:N806,6,0)),"")</f>
        <v/>
      </c>
      <c r="H1069" s="502" t="str">
        <f ca="1">IFERROR(IF(INDEX(' Disaggregation - Section E '!F$313:F806,MATCH(C1069,' Disaggregation - Section E '!A$313:A806,0)+1,1)&lt;&gt;0,INDEX(' Disaggregation - Section E '!F$313:F806,MATCH(C1069,' Disaggregation - Section E '!A$313:A806,0)+1,1),""),"")</f>
        <v/>
      </c>
      <c r="I1069" s="493" t="str">
        <f ca="1">IFERROR(IF(VLOOKUP(C1069,' Disaggregation - Section E '!A$316:N806,8,0)=0,"",VLOOKUP(C1069,' Disaggregation - Section E '!A$316:N806,8,0)),"")</f>
        <v/>
      </c>
      <c r="J1069" s="493" t="str">
        <f ca="1">IFERROR(IF(VLOOKUP(C1069,' Disaggregation - Section E '!A$316:N806,13,0)=0,"",VLOOKUP(C1069,' Disaggregation - Section E '!A$316:N806,13,0)),"")</f>
        <v/>
      </c>
      <c r="K1069" s="487" t="str">
        <f ca="1">IFERROR(VLOOKUP(C1069,' Disaggregation - Section E '!A$316:N806,3,0),"")</f>
        <v/>
      </c>
      <c r="L1069" s="493" t="str">
        <f ca="1">IFERROR(IF(VLOOKUP(C1069,' Disaggregation - Section E '!A$316:N806,14,0)=0,"",VLOOKUP(C1069,' Disaggregation - Section E '!A$316:N806,14,0)),"")</f>
        <v/>
      </c>
      <c r="M1069" s="487" t="str">
        <f ca="1">IFERROR(IF(VLOOKUP(C1069,' Disaggregation - Section E '!A$316:T806,20,0)=0,"",VLOOKUP(C1069,' Disaggregation - Section E '!A$316:T806,20,0)),"")</f>
        <v/>
      </c>
      <c r="N1069" s="493" t="str">
        <f ca="1">IFERROR(IF(VLOOKUP(C1069,' Disaggregation - Section E '!A$316:N806,9,0)=0,"",VLOOKUP(C1069,' Disaggregation - Section E '!A$316:N806,9,0)),"")</f>
        <v/>
      </c>
      <c r="O1069" s="493" t="str">
        <f ca="1">IFERROR(IF(VLOOKUP(C1069,' Disaggregation - Section E '!A$315:N806,10,0)=0,"",VLOOKUP(C1069,' Disaggregation - Section E '!A$316:N806,10,0)),"")</f>
        <v/>
      </c>
    </row>
    <row r="1070" spans="1:15" x14ac:dyDescent="0.3">
      <c r="A1070" s="487" t="b">
        <f t="shared" ca="1" si="142"/>
        <v>0</v>
      </c>
      <c r="B1070" s="487"/>
      <c r="C1070" s="507" t="str">
        <f ca="1">IF(COUNTA(D$877:D1070)=1,"",OFFSET(C1070,-COUNTA(D$877:D1070)+1,0))</f>
        <v>a1V3p000004fwuBEAQ</v>
      </c>
      <c r="D1070" s="502"/>
      <c r="E1070" s="490" t="str">
        <f ca="1">IFERROR(IF(VLOOKUP(C1070,' Disaggregation - Section E '!A$316:N807,7,0)=0,"",VLOOKUP(C1070,' Disaggregation - Section E '!A$316:N807,7,0)*100),"")</f>
        <v/>
      </c>
      <c r="F1070" s="487"/>
      <c r="G1070" s="492" t="str">
        <f ca="1">IFERROR(IF(VLOOKUP(C1070,' Disaggregation - Section E '!A$316:N807,6,0)=0,"",VLOOKUP(C1070,' Disaggregation - Section E '!A$316:N807,6,0)),"")</f>
        <v/>
      </c>
      <c r="H1070" s="502" t="str">
        <f ca="1">IFERROR(IF(INDEX(' Disaggregation - Section E '!F$313:F807,MATCH(C1070,' Disaggregation - Section E '!A$313:A807,0)+1,1)&lt;&gt;0,INDEX(' Disaggregation - Section E '!F$313:F807,MATCH(C1070,' Disaggregation - Section E '!A$313:A807,0)+1,1),""),"")</f>
        <v/>
      </c>
      <c r="I1070" s="493" t="str">
        <f ca="1">IFERROR(IF(VLOOKUP(C1070,' Disaggregation - Section E '!A$316:N807,8,0)=0,"",VLOOKUP(C1070,' Disaggregation - Section E '!A$316:N807,8,0)),"")</f>
        <v/>
      </c>
      <c r="J1070" s="493" t="str">
        <f ca="1">IFERROR(IF(VLOOKUP(C1070,' Disaggregation - Section E '!A$316:N807,13,0)=0,"",VLOOKUP(C1070,' Disaggregation - Section E '!A$316:N807,13,0)),"")</f>
        <v/>
      </c>
      <c r="K1070" s="487" t="str">
        <f ca="1">IFERROR(VLOOKUP(C1070,' Disaggregation - Section E '!A$316:N807,3,0),"")</f>
        <v/>
      </c>
      <c r="L1070" s="493" t="str">
        <f ca="1">IFERROR(IF(VLOOKUP(C1070,' Disaggregation - Section E '!A$316:N807,14,0)=0,"",VLOOKUP(C1070,' Disaggregation - Section E '!A$316:N807,14,0)),"")</f>
        <v/>
      </c>
      <c r="M1070" s="487" t="str">
        <f ca="1">IFERROR(IF(VLOOKUP(C1070,' Disaggregation - Section E '!A$316:T807,20,0)=0,"",VLOOKUP(C1070,' Disaggregation - Section E '!A$316:T807,20,0)),"")</f>
        <v/>
      </c>
      <c r="N1070" s="493" t="str">
        <f ca="1">IFERROR(IF(VLOOKUP(C1070,' Disaggregation - Section E '!A$316:N807,9,0)=0,"",VLOOKUP(C1070,' Disaggregation - Section E '!A$316:N807,9,0)),"")</f>
        <v/>
      </c>
      <c r="O1070" s="493" t="str">
        <f ca="1">IFERROR(IF(VLOOKUP(C1070,' Disaggregation - Section E '!A$315:N807,10,0)=0,"",VLOOKUP(C1070,' Disaggregation - Section E '!A$316:N807,10,0)),"")</f>
        <v/>
      </c>
    </row>
    <row r="1071" spans="1:15" x14ac:dyDescent="0.3">
      <c r="A1071" s="487" t="b">
        <f t="shared" ca="1" si="142"/>
        <v>0</v>
      </c>
      <c r="B1071" s="487"/>
      <c r="C1071" s="507" t="str">
        <f ca="1">IF(COUNTA(D$877:D1071)=1,"",OFFSET(C1071,-COUNTA(D$877:D1071)+1,0))</f>
        <v>a1V3p000004fwuCEAQ</v>
      </c>
      <c r="D1071" s="502"/>
      <c r="E1071" s="490" t="str">
        <f ca="1">IFERROR(IF(VLOOKUP(C1071,' Disaggregation - Section E '!A$316:N808,7,0)=0,"",VLOOKUP(C1071,' Disaggregation - Section E '!A$316:N808,7,0)*100),"")</f>
        <v/>
      </c>
      <c r="F1071" s="487"/>
      <c r="G1071" s="492" t="str">
        <f ca="1">IFERROR(IF(VLOOKUP(C1071,' Disaggregation - Section E '!A$316:N808,6,0)=0,"",VLOOKUP(C1071,' Disaggregation - Section E '!A$316:N808,6,0)),"")</f>
        <v/>
      </c>
      <c r="H1071" s="502" t="str">
        <f ca="1">IFERROR(IF(INDEX(' Disaggregation - Section E '!F$313:F808,MATCH(C1071,' Disaggregation - Section E '!A$313:A808,0)+1,1)&lt;&gt;0,INDEX(' Disaggregation - Section E '!F$313:F808,MATCH(C1071,' Disaggregation - Section E '!A$313:A808,0)+1,1),""),"")</f>
        <v/>
      </c>
      <c r="I1071" s="493" t="str">
        <f ca="1">IFERROR(IF(VLOOKUP(C1071,' Disaggregation - Section E '!A$316:N808,8,0)=0,"",VLOOKUP(C1071,' Disaggregation - Section E '!A$316:N808,8,0)),"")</f>
        <v/>
      </c>
      <c r="J1071" s="493" t="str">
        <f ca="1">IFERROR(IF(VLOOKUP(C1071,' Disaggregation - Section E '!A$316:N808,13,0)=0,"",VLOOKUP(C1071,' Disaggregation - Section E '!A$316:N808,13,0)),"")</f>
        <v/>
      </c>
      <c r="K1071" s="487" t="str">
        <f ca="1">IFERROR(VLOOKUP(C1071,' Disaggregation - Section E '!A$316:N808,3,0),"")</f>
        <v/>
      </c>
      <c r="L1071" s="493" t="str">
        <f ca="1">IFERROR(IF(VLOOKUP(C1071,' Disaggregation - Section E '!A$316:N808,14,0)=0,"",VLOOKUP(C1071,' Disaggregation - Section E '!A$316:N808,14,0)),"")</f>
        <v/>
      </c>
      <c r="M1071" s="487" t="str">
        <f ca="1">IFERROR(IF(VLOOKUP(C1071,' Disaggregation - Section E '!A$316:T808,20,0)=0,"",VLOOKUP(C1071,' Disaggregation - Section E '!A$316:T808,20,0)),"")</f>
        <v/>
      </c>
      <c r="N1071" s="493" t="str">
        <f ca="1">IFERROR(IF(VLOOKUP(C1071,' Disaggregation - Section E '!A$316:N808,9,0)=0,"",VLOOKUP(C1071,' Disaggregation - Section E '!A$316:N808,9,0)),"")</f>
        <v/>
      </c>
      <c r="O1071" s="493" t="str">
        <f ca="1">IFERROR(IF(VLOOKUP(C1071,' Disaggregation - Section E '!A$315:N808,10,0)=0,"",VLOOKUP(C1071,' Disaggregation - Section E '!A$316:N808,10,0)),"")</f>
        <v/>
      </c>
    </row>
    <row r="1072" spans="1:15" x14ac:dyDescent="0.3">
      <c r="A1072" s="487" t="b">
        <f t="shared" ca="1" si="142"/>
        <v>0</v>
      </c>
      <c r="B1072" s="487"/>
      <c r="C1072" s="507" t="str">
        <f ca="1">IF(COUNTA(D$877:D1072)=1,"",OFFSET(C1072,-COUNTA(D$877:D1072)+1,0))</f>
        <v>a1V3p000004fwuDEAQ</v>
      </c>
      <c r="D1072" s="502"/>
      <c r="E1072" s="490" t="str">
        <f ca="1">IFERROR(IF(VLOOKUP(C1072,' Disaggregation - Section E '!A$316:N809,7,0)=0,"",VLOOKUP(C1072,' Disaggregation - Section E '!A$316:N809,7,0)*100),"")</f>
        <v/>
      </c>
      <c r="F1072" s="487"/>
      <c r="G1072" s="492" t="str">
        <f ca="1">IFERROR(IF(VLOOKUP(C1072,' Disaggregation - Section E '!A$316:N809,6,0)=0,"",VLOOKUP(C1072,' Disaggregation - Section E '!A$316:N809,6,0)),"")</f>
        <v/>
      </c>
      <c r="H1072" s="502" t="str">
        <f ca="1">IFERROR(IF(INDEX(' Disaggregation - Section E '!F$313:F809,MATCH(C1072,' Disaggregation - Section E '!A$313:A809,0)+1,1)&lt;&gt;0,INDEX(' Disaggregation - Section E '!F$313:F809,MATCH(C1072,' Disaggregation - Section E '!A$313:A809,0)+1,1),""),"")</f>
        <v/>
      </c>
      <c r="I1072" s="493" t="str">
        <f ca="1">IFERROR(IF(VLOOKUP(C1072,' Disaggregation - Section E '!A$316:N809,8,0)=0,"",VLOOKUP(C1072,' Disaggregation - Section E '!A$316:N809,8,0)),"")</f>
        <v/>
      </c>
      <c r="J1072" s="493" t="str">
        <f ca="1">IFERROR(IF(VLOOKUP(C1072,' Disaggregation - Section E '!A$316:N809,13,0)=0,"",VLOOKUP(C1072,' Disaggregation - Section E '!A$316:N809,13,0)),"")</f>
        <v/>
      </c>
      <c r="K1072" s="487" t="str">
        <f ca="1">IFERROR(VLOOKUP(C1072,' Disaggregation - Section E '!A$316:N809,3,0),"")</f>
        <v/>
      </c>
      <c r="L1072" s="493" t="str">
        <f ca="1">IFERROR(IF(VLOOKUP(C1072,' Disaggregation - Section E '!A$316:N809,14,0)=0,"",VLOOKUP(C1072,' Disaggregation - Section E '!A$316:N809,14,0)),"")</f>
        <v/>
      </c>
      <c r="M1072" s="487" t="str">
        <f ca="1">IFERROR(IF(VLOOKUP(C1072,' Disaggregation - Section E '!A$316:T809,20,0)=0,"",VLOOKUP(C1072,' Disaggregation - Section E '!A$316:T809,20,0)),"")</f>
        <v/>
      </c>
      <c r="N1072" s="493" t="str">
        <f ca="1">IFERROR(IF(VLOOKUP(C1072,' Disaggregation - Section E '!A$316:N809,9,0)=0,"",VLOOKUP(C1072,' Disaggregation - Section E '!A$316:N809,9,0)),"")</f>
        <v/>
      </c>
      <c r="O1072" s="493" t="str">
        <f ca="1">IFERROR(IF(VLOOKUP(C1072,' Disaggregation - Section E '!A$315:N809,10,0)=0,"",VLOOKUP(C1072,' Disaggregation - Section E '!A$316:N809,10,0)),"")</f>
        <v/>
      </c>
    </row>
    <row r="1073" spans="1:15" x14ac:dyDescent="0.3">
      <c r="A1073" s="487" t="b">
        <f t="shared" ca="1" si="142"/>
        <v>0</v>
      </c>
      <c r="B1073" s="487"/>
      <c r="C1073" s="507" t="str">
        <f ca="1">IF(COUNTA(D$877:D1073)=1,"",OFFSET(C1073,-COUNTA(D$877:D1073)+1,0))</f>
        <v>a1V3p000004fwuEEAQ</v>
      </c>
      <c r="D1073" s="502"/>
      <c r="E1073" s="490" t="str">
        <f ca="1">IFERROR(IF(VLOOKUP(C1073,' Disaggregation - Section E '!A$316:N810,7,0)=0,"",VLOOKUP(C1073,' Disaggregation - Section E '!A$316:N810,7,0)*100),"")</f>
        <v/>
      </c>
      <c r="F1073" s="487"/>
      <c r="G1073" s="492" t="str">
        <f ca="1">IFERROR(IF(VLOOKUP(C1073,' Disaggregation - Section E '!A$316:N810,6,0)=0,"",VLOOKUP(C1073,' Disaggregation - Section E '!A$316:N810,6,0)),"")</f>
        <v/>
      </c>
      <c r="H1073" s="502" t="str">
        <f ca="1">IFERROR(IF(INDEX(' Disaggregation - Section E '!F$313:F810,MATCH(C1073,' Disaggregation - Section E '!A$313:A810,0)+1,1)&lt;&gt;0,INDEX(' Disaggregation - Section E '!F$313:F810,MATCH(C1073,' Disaggregation - Section E '!A$313:A810,0)+1,1),""),"")</f>
        <v/>
      </c>
      <c r="I1073" s="493" t="str">
        <f ca="1">IFERROR(IF(VLOOKUP(C1073,' Disaggregation - Section E '!A$316:N810,8,0)=0,"",VLOOKUP(C1073,' Disaggregation - Section E '!A$316:N810,8,0)),"")</f>
        <v/>
      </c>
      <c r="J1073" s="493" t="str">
        <f ca="1">IFERROR(IF(VLOOKUP(C1073,' Disaggregation - Section E '!A$316:N810,13,0)=0,"",VLOOKUP(C1073,' Disaggregation - Section E '!A$316:N810,13,0)),"")</f>
        <v/>
      </c>
      <c r="K1073" s="487" t="str">
        <f ca="1">IFERROR(VLOOKUP(C1073,' Disaggregation - Section E '!A$316:N810,3,0),"")</f>
        <v/>
      </c>
      <c r="L1073" s="493" t="str">
        <f ca="1">IFERROR(IF(VLOOKUP(C1073,' Disaggregation - Section E '!A$316:N810,14,0)=0,"",VLOOKUP(C1073,' Disaggregation - Section E '!A$316:N810,14,0)),"")</f>
        <v/>
      </c>
      <c r="M1073" s="487" t="str">
        <f ca="1">IFERROR(IF(VLOOKUP(C1073,' Disaggregation - Section E '!A$316:T810,20,0)=0,"",VLOOKUP(C1073,' Disaggregation - Section E '!A$316:T810,20,0)),"")</f>
        <v/>
      </c>
      <c r="N1073" s="493" t="str">
        <f ca="1">IFERROR(IF(VLOOKUP(C1073,' Disaggregation - Section E '!A$316:N810,9,0)=0,"",VLOOKUP(C1073,' Disaggregation - Section E '!A$316:N810,9,0)),"")</f>
        <v/>
      </c>
      <c r="O1073" s="493" t="str">
        <f ca="1">IFERROR(IF(VLOOKUP(C1073,' Disaggregation - Section E '!A$315:N810,10,0)=0,"",VLOOKUP(C1073,' Disaggregation - Section E '!A$316:N810,10,0)),"")</f>
        <v/>
      </c>
    </row>
    <row r="1074" spans="1:15" x14ac:dyDescent="0.3">
      <c r="A1074" s="487" t="b">
        <f t="shared" ca="1" si="142"/>
        <v>0</v>
      </c>
      <c r="B1074" s="487"/>
      <c r="C1074" s="507" t="str">
        <f ca="1">IF(COUNTA(D$877:D1074)=1,"",OFFSET(C1074,-COUNTA(D$877:D1074)+1,0))</f>
        <v>a1V3p000004fwuFEAQ</v>
      </c>
      <c r="D1074" s="502"/>
      <c r="E1074" s="490" t="str">
        <f ca="1">IFERROR(IF(VLOOKUP(C1074,' Disaggregation - Section E '!A$316:N811,7,0)=0,"",VLOOKUP(C1074,' Disaggregation - Section E '!A$316:N811,7,0)*100),"")</f>
        <v/>
      </c>
      <c r="F1074" s="487"/>
      <c r="G1074" s="492" t="str">
        <f ca="1">IFERROR(IF(VLOOKUP(C1074,' Disaggregation - Section E '!A$316:N811,6,0)=0,"",VLOOKUP(C1074,' Disaggregation - Section E '!A$316:N811,6,0)),"")</f>
        <v/>
      </c>
      <c r="H1074" s="502" t="str">
        <f ca="1">IFERROR(IF(INDEX(' Disaggregation - Section E '!F$313:F811,MATCH(C1074,' Disaggregation - Section E '!A$313:A811,0)+1,1)&lt;&gt;0,INDEX(' Disaggregation - Section E '!F$313:F811,MATCH(C1074,' Disaggregation - Section E '!A$313:A811,0)+1,1),""),"")</f>
        <v/>
      </c>
      <c r="I1074" s="493" t="str">
        <f ca="1">IFERROR(IF(VLOOKUP(C1074,' Disaggregation - Section E '!A$316:N811,8,0)=0,"",VLOOKUP(C1074,' Disaggregation - Section E '!A$316:N811,8,0)),"")</f>
        <v/>
      </c>
      <c r="J1074" s="493" t="str">
        <f ca="1">IFERROR(IF(VLOOKUP(C1074,' Disaggregation - Section E '!A$316:N811,13,0)=0,"",VLOOKUP(C1074,' Disaggregation - Section E '!A$316:N811,13,0)),"")</f>
        <v/>
      </c>
      <c r="K1074" s="487" t="str">
        <f ca="1">IFERROR(VLOOKUP(C1074,' Disaggregation - Section E '!A$316:N811,3,0),"")</f>
        <v/>
      </c>
      <c r="L1074" s="493" t="str">
        <f ca="1">IFERROR(IF(VLOOKUP(C1074,' Disaggregation - Section E '!A$316:N811,14,0)=0,"",VLOOKUP(C1074,' Disaggregation - Section E '!A$316:N811,14,0)),"")</f>
        <v/>
      </c>
      <c r="M1074" s="487" t="str">
        <f ca="1">IFERROR(IF(VLOOKUP(C1074,' Disaggregation - Section E '!A$316:T811,20,0)=0,"",VLOOKUP(C1074,' Disaggregation - Section E '!A$316:T811,20,0)),"")</f>
        <v/>
      </c>
      <c r="N1074" s="493" t="str">
        <f ca="1">IFERROR(IF(VLOOKUP(C1074,' Disaggregation - Section E '!A$316:N811,9,0)=0,"",VLOOKUP(C1074,' Disaggregation - Section E '!A$316:N811,9,0)),"")</f>
        <v/>
      </c>
      <c r="O1074" s="493" t="str">
        <f ca="1">IFERROR(IF(VLOOKUP(C1074,' Disaggregation - Section E '!A$315:N811,10,0)=0,"",VLOOKUP(C1074,' Disaggregation - Section E '!A$316:N811,10,0)),"")</f>
        <v/>
      </c>
    </row>
    <row r="1075" spans="1:15" x14ac:dyDescent="0.3">
      <c r="A1075" s="487" t="b">
        <f t="shared" ca="1" si="142"/>
        <v>0</v>
      </c>
      <c r="B1075" s="487"/>
      <c r="C1075" s="507" t="str">
        <f ca="1">IF(COUNTA(D$877:D1075)=1,"",OFFSET(C1075,-COUNTA(D$877:D1075)+1,0))</f>
        <v>a1V3p000004fwuGEAQ</v>
      </c>
      <c r="D1075" s="502"/>
      <c r="E1075" s="490" t="str">
        <f ca="1">IFERROR(IF(VLOOKUP(C1075,' Disaggregation - Section E '!A$316:N812,7,0)=0,"",VLOOKUP(C1075,' Disaggregation - Section E '!A$316:N812,7,0)*100),"")</f>
        <v/>
      </c>
      <c r="F1075" s="487"/>
      <c r="G1075" s="492" t="str">
        <f ca="1">IFERROR(IF(VLOOKUP(C1075,' Disaggregation - Section E '!A$316:N812,6,0)=0,"",VLOOKUP(C1075,' Disaggregation - Section E '!A$316:N812,6,0)),"")</f>
        <v/>
      </c>
      <c r="H1075" s="502" t="str">
        <f ca="1">IFERROR(IF(INDEX(' Disaggregation - Section E '!F$313:F812,MATCH(C1075,' Disaggregation - Section E '!A$313:A812,0)+1,1)&lt;&gt;0,INDEX(' Disaggregation - Section E '!F$313:F812,MATCH(C1075,' Disaggregation - Section E '!A$313:A812,0)+1,1),""),"")</f>
        <v/>
      </c>
      <c r="I1075" s="493" t="str">
        <f ca="1">IFERROR(IF(VLOOKUP(C1075,' Disaggregation - Section E '!A$316:N812,8,0)=0,"",VLOOKUP(C1075,' Disaggregation - Section E '!A$316:N812,8,0)),"")</f>
        <v/>
      </c>
      <c r="J1075" s="493" t="str">
        <f ca="1">IFERROR(IF(VLOOKUP(C1075,' Disaggregation - Section E '!A$316:N812,13,0)=0,"",VLOOKUP(C1075,' Disaggregation - Section E '!A$316:N812,13,0)),"")</f>
        <v/>
      </c>
      <c r="K1075" s="487" t="str">
        <f ca="1">IFERROR(VLOOKUP(C1075,' Disaggregation - Section E '!A$316:N812,3,0),"")</f>
        <v/>
      </c>
      <c r="L1075" s="493" t="str">
        <f ca="1">IFERROR(IF(VLOOKUP(C1075,' Disaggregation - Section E '!A$316:N812,14,0)=0,"",VLOOKUP(C1075,' Disaggregation - Section E '!A$316:N812,14,0)),"")</f>
        <v/>
      </c>
      <c r="M1075" s="487" t="str">
        <f ca="1">IFERROR(IF(VLOOKUP(C1075,' Disaggregation - Section E '!A$316:T812,20,0)=0,"",VLOOKUP(C1075,' Disaggregation - Section E '!A$316:T812,20,0)),"")</f>
        <v/>
      </c>
      <c r="N1075" s="493" t="str">
        <f ca="1">IFERROR(IF(VLOOKUP(C1075,' Disaggregation - Section E '!A$316:N812,9,0)=0,"",VLOOKUP(C1075,' Disaggregation - Section E '!A$316:N812,9,0)),"")</f>
        <v/>
      </c>
      <c r="O1075" s="493" t="str">
        <f ca="1">IFERROR(IF(VLOOKUP(C1075,' Disaggregation - Section E '!A$315:N812,10,0)=0,"",VLOOKUP(C1075,' Disaggregation - Section E '!A$316:N812,10,0)),"")</f>
        <v/>
      </c>
    </row>
    <row r="1076" spans="1:15" x14ac:dyDescent="0.3">
      <c r="A1076" s="487" t="b">
        <f t="shared" ca="1" si="142"/>
        <v>0</v>
      </c>
      <c r="B1076" s="487"/>
      <c r="C1076" s="507" t="str">
        <f ca="1">IF(COUNTA(D$877:D1076)=1,"",OFFSET(C1076,-COUNTA(D$877:D1076)+1,0))</f>
        <v>a1V3p000004fwuHEAQ</v>
      </c>
      <c r="D1076" s="502"/>
      <c r="E1076" s="490" t="str">
        <f ca="1">IFERROR(IF(VLOOKUP(C1076,' Disaggregation - Section E '!A$316:N813,7,0)=0,"",VLOOKUP(C1076,' Disaggregation - Section E '!A$316:N813,7,0)*100),"")</f>
        <v/>
      </c>
      <c r="F1076" s="487"/>
      <c r="G1076" s="492" t="str">
        <f ca="1">IFERROR(IF(VLOOKUP(C1076,' Disaggregation - Section E '!A$316:N813,6,0)=0,"",VLOOKUP(C1076,' Disaggregation - Section E '!A$316:N813,6,0)),"")</f>
        <v/>
      </c>
      <c r="H1076" s="502" t="str">
        <f ca="1">IFERROR(IF(INDEX(' Disaggregation - Section E '!F$313:F813,MATCH(C1076,' Disaggregation - Section E '!A$313:A813,0)+1,1)&lt;&gt;0,INDEX(' Disaggregation - Section E '!F$313:F813,MATCH(C1076,' Disaggregation - Section E '!A$313:A813,0)+1,1),""),"")</f>
        <v/>
      </c>
      <c r="I1076" s="493" t="str">
        <f ca="1">IFERROR(IF(VLOOKUP(C1076,' Disaggregation - Section E '!A$316:N813,8,0)=0,"",VLOOKUP(C1076,' Disaggregation - Section E '!A$316:N813,8,0)),"")</f>
        <v/>
      </c>
      <c r="J1076" s="493" t="str">
        <f ca="1">IFERROR(IF(VLOOKUP(C1076,' Disaggregation - Section E '!A$316:N813,13,0)=0,"",VLOOKUP(C1076,' Disaggregation - Section E '!A$316:N813,13,0)),"")</f>
        <v/>
      </c>
      <c r="K1076" s="487" t="str">
        <f ca="1">IFERROR(VLOOKUP(C1076,' Disaggregation - Section E '!A$316:N813,3,0),"")</f>
        <v/>
      </c>
      <c r="L1076" s="493" t="str">
        <f ca="1">IFERROR(IF(VLOOKUP(C1076,' Disaggregation - Section E '!A$316:N813,14,0)=0,"",VLOOKUP(C1076,' Disaggregation - Section E '!A$316:N813,14,0)),"")</f>
        <v/>
      </c>
      <c r="M1076" s="487" t="str">
        <f ca="1">IFERROR(IF(VLOOKUP(C1076,' Disaggregation - Section E '!A$316:T813,20,0)=0,"",VLOOKUP(C1076,' Disaggregation - Section E '!A$316:T813,20,0)),"")</f>
        <v/>
      </c>
      <c r="N1076" s="493" t="str">
        <f ca="1">IFERROR(IF(VLOOKUP(C1076,' Disaggregation - Section E '!A$316:N813,9,0)=0,"",VLOOKUP(C1076,' Disaggregation - Section E '!A$316:N813,9,0)),"")</f>
        <v/>
      </c>
      <c r="O1076" s="493" t="str">
        <f ca="1">IFERROR(IF(VLOOKUP(C1076,' Disaggregation - Section E '!A$315:N813,10,0)=0,"",VLOOKUP(C1076,' Disaggregation - Section E '!A$316:N813,10,0)),"")</f>
        <v/>
      </c>
    </row>
    <row r="1077" spans="1:15" x14ac:dyDescent="0.3">
      <c r="A1077" s="487" t="b">
        <f t="shared" ca="1" si="142"/>
        <v>0</v>
      </c>
      <c r="B1077" s="487"/>
      <c r="C1077" s="507" t="str">
        <f ca="1">IF(COUNTA(D$877:D1077)=1,"",OFFSET(C1077,-COUNTA(D$877:D1077)+1,0))</f>
        <v>a1V3p000004fwuIEAQ</v>
      </c>
      <c r="D1077" s="502"/>
      <c r="E1077" s="490" t="str">
        <f ca="1">IFERROR(IF(VLOOKUP(C1077,' Disaggregation - Section E '!A$316:N814,7,0)=0,"",VLOOKUP(C1077,' Disaggregation - Section E '!A$316:N814,7,0)*100),"")</f>
        <v/>
      </c>
      <c r="F1077" s="487"/>
      <c r="G1077" s="492" t="str">
        <f ca="1">IFERROR(IF(VLOOKUP(C1077,' Disaggregation - Section E '!A$316:N814,6,0)=0,"",VLOOKUP(C1077,' Disaggregation - Section E '!A$316:N814,6,0)),"")</f>
        <v/>
      </c>
      <c r="H1077" s="502" t="str">
        <f ca="1">IFERROR(IF(INDEX(' Disaggregation - Section E '!F$313:F814,MATCH(C1077,' Disaggregation - Section E '!A$313:A814,0)+1,1)&lt;&gt;0,INDEX(' Disaggregation - Section E '!F$313:F814,MATCH(C1077,' Disaggregation - Section E '!A$313:A814,0)+1,1),""),"")</f>
        <v/>
      </c>
      <c r="I1077" s="493" t="str">
        <f ca="1">IFERROR(IF(VLOOKUP(C1077,' Disaggregation - Section E '!A$316:N814,8,0)=0,"",VLOOKUP(C1077,' Disaggregation - Section E '!A$316:N814,8,0)),"")</f>
        <v/>
      </c>
      <c r="J1077" s="493" t="str">
        <f ca="1">IFERROR(IF(VLOOKUP(C1077,' Disaggregation - Section E '!A$316:N814,13,0)=0,"",VLOOKUP(C1077,' Disaggregation - Section E '!A$316:N814,13,0)),"")</f>
        <v/>
      </c>
      <c r="K1077" s="487" t="str">
        <f ca="1">IFERROR(VLOOKUP(C1077,' Disaggregation - Section E '!A$316:N814,3,0),"")</f>
        <v/>
      </c>
      <c r="L1077" s="493" t="str">
        <f ca="1">IFERROR(IF(VLOOKUP(C1077,' Disaggregation - Section E '!A$316:N814,14,0)=0,"",VLOOKUP(C1077,' Disaggregation - Section E '!A$316:N814,14,0)),"")</f>
        <v/>
      </c>
      <c r="M1077" s="487" t="str">
        <f ca="1">IFERROR(IF(VLOOKUP(C1077,' Disaggregation - Section E '!A$316:T814,20,0)=0,"",VLOOKUP(C1077,' Disaggregation - Section E '!A$316:T814,20,0)),"")</f>
        <v/>
      </c>
      <c r="N1077" s="493" t="str">
        <f ca="1">IFERROR(IF(VLOOKUP(C1077,' Disaggregation - Section E '!A$316:N814,9,0)=0,"",VLOOKUP(C1077,' Disaggregation - Section E '!A$316:N814,9,0)),"")</f>
        <v/>
      </c>
      <c r="O1077" s="493" t="str">
        <f ca="1">IFERROR(IF(VLOOKUP(C1077,' Disaggregation - Section E '!A$315:N814,10,0)=0,"",VLOOKUP(C1077,' Disaggregation - Section E '!A$316:N814,10,0)),"")</f>
        <v/>
      </c>
    </row>
    <row r="1078" spans="1:15" x14ac:dyDescent="0.3">
      <c r="A1078" s="487" t="b">
        <f t="shared" ca="1" si="142"/>
        <v>0</v>
      </c>
      <c r="B1078" s="487"/>
      <c r="C1078" s="507" t="str">
        <f ca="1">IF(COUNTA(D$877:D1078)=1,"",OFFSET(C1078,-COUNTA(D$877:D1078)+1,0))</f>
        <v>a1V3p000004fwuJEAQ</v>
      </c>
      <c r="D1078" s="502"/>
      <c r="E1078" s="490" t="str">
        <f ca="1">IFERROR(IF(VLOOKUP(C1078,' Disaggregation - Section E '!A$316:N815,7,0)=0,"",VLOOKUP(C1078,' Disaggregation - Section E '!A$316:N815,7,0)*100),"")</f>
        <v/>
      </c>
      <c r="F1078" s="487"/>
      <c r="G1078" s="492" t="str">
        <f ca="1">IFERROR(IF(VLOOKUP(C1078,' Disaggregation - Section E '!A$316:N815,6,0)=0,"",VLOOKUP(C1078,' Disaggregation - Section E '!A$316:N815,6,0)),"")</f>
        <v/>
      </c>
      <c r="H1078" s="502" t="str">
        <f ca="1">IFERROR(IF(INDEX(' Disaggregation - Section E '!F$313:F815,MATCH(C1078,' Disaggregation - Section E '!A$313:A815,0)+1,1)&lt;&gt;0,INDEX(' Disaggregation - Section E '!F$313:F815,MATCH(C1078,' Disaggregation - Section E '!A$313:A815,0)+1,1),""),"")</f>
        <v/>
      </c>
      <c r="I1078" s="493" t="str">
        <f ca="1">IFERROR(IF(VLOOKUP(C1078,' Disaggregation - Section E '!A$316:N815,8,0)=0,"",VLOOKUP(C1078,' Disaggregation - Section E '!A$316:N815,8,0)),"")</f>
        <v/>
      </c>
      <c r="J1078" s="493" t="str">
        <f ca="1">IFERROR(IF(VLOOKUP(C1078,' Disaggregation - Section E '!A$316:N815,13,0)=0,"",VLOOKUP(C1078,' Disaggregation - Section E '!A$316:N815,13,0)),"")</f>
        <v/>
      </c>
      <c r="K1078" s="487" t="str">
        <f ca="1">IFERROR(VLOOKUP(C1078,' Disaggregation - Section E '!A$316:N815,3,0),"")</f>
        <v/>
      </c>
      <c r="L1078" s="493" t="str">
        <f ca="1">IFERROR(IF(VLOOKUP(C1078,' Disaggregation - Section E '!A$316:N815,14,0)=0,"",VLOOKUP(C1078,' Disaggregation - Section E '!A$316:N815,14,0)),"")</f>
        <v/>
      </c>
      <c r="M1078" s="487" t="str">
        <f ca="1">IFERROR(IF(VLOOKUP(C1078,' Disaggregation - Section E '!A$316:T815,20,0)=0,"",VLOOKUP(C1078,' Disaggregation - Section E '!A$316:T815,20,0)),"")</f>
        <v/>
      </c>
      <c r="N1078" s="493" t="str">
        <f ca="1">IFERROR(IF(VLOOKUP(C1078,' Disaggregation - Section E '!A$316:N815,9,0)=0,"",VLOOKUP(C1078,' Disaggregation - Section E '!A$316:N815,9,0)),"")</f>
        <v/>
      </c>
      <c r="O1078" s="493" t="str">
        <f ca="1">IFERROR(IF(VLOOKUP(C1078,' Disaggregation - Section E '!A$315:N815,10,0)=0,"",VLOOKUP(C1078,' Disaggregation - Section E '!A$316:N815,10,0)),"")</f>
        <v/>
      </c>
    </row>
    <row r="1079" spans="1:15" x14ac:dyDescent="0.3">
      <c r="A1079" s="487" t="b">
        <f t="shared" ca="1" si="142"/>
        <v>0</v>
      </c>
      <c r="B1079" s="487"/>
      <c r="C1079" s="507" t="str">
        <f ca="1">IF(COUNTA(D$877:D1079)=1,"",OFFSET(C1079,-COUNTA(D$877:D1079)+1,0))</f>
        <v>a1V3p000004fwuKEAQ</v>
      </c>
      <c r="D1079" s="502"/>
      <c r="E1079" s="490" t="str">
        <f ca="1">IFERROR(IF(VLOOKUP(C1079,' Disaggregation - Section E '!A$316:N816,7,0)=0,"",VLOOKUP(C1079,' Disaggregation - Section E '!A$316:N816,7,0)*100),"")</f>
        <v/>
      </c>
      <c r="F1079" s="487"/>
      <c r="G1079" s="492" t="str">
        <f ca="1">IFERROR(IF(VLOOKUP(C1079,' Disaggregation - Section E '!A$316:N816,6,0)=0,"",VLOOKUP(C1079,' Disaggregation - Section E '!A$316:N816,6,0)),"")</f>
        <v/>
      </c>
      <c r="H1079" s="502" t="str">
        <f ca="1">IFERROR(IF(INDEX(' Disaggregation - Section E '!F$313:F816,MATCH(C1079,' Disaggregation - Section E '!A$313:A816,0)+1,1)&lt;&gt;0,INDEX(' Disaggregation - Section E '!F$313:F816,MATCH(C1079,' Disaggregation - Section E '!A$313:A816,0)+1,1),""),"")</f>
        <v/>
      </c>
      <c r="I1079" s="493" t="str">
        <f ca="1">IFERROR(IF(VLOOKUP(C1079,' Disaggregation - Section E '!A$316:N816,8,0)=0,"",VLOOKUP(C1079,' Disaggregation - Section E '!A$316:N816,8,0)),"")</f>
        <v/>
      </c>
      <c r="J1079" s="493" t="str">
        <f ca="1">IFERROR(IF(VLOOKUP(C1079,' Disaggregation - Section E '!A$316:N816,13,0)=0,"",VLOOKUP(C1079,' Disaggregation - Section E '!A$316:N816,13,0)),"")</f>
        <v/>
      </c>
      <c r="K1079" s="487" t="str">
        <f ca="1">IFERROR(VLOOKUP(C1079,' Disaggregation - Section E '!A$316:N816,3,0),"")</f>
        <v/>
      </c>
      <c r="L1079" s="493" t="str">
        <f ca="1">IFERROR(IF(VLOOKUP(C1079,' Disaggregation - Section E '!A$316:N816,14,0)=0,"",VLOOKUP(C1079,' Disaggregation - Section E '!A$316:N816,14,0)),"")</f>
        <v/>
      </c>
      <c r="M1079" s="487" t="str">
        <f ca="1">IFERROR(IF(VLOOKUP(C1079,' Disaggregation - Section E '!A$316:T816,20,0)=0,"",VLOOKUP(C1079,' Disaggregation - Section E '!A$316:T816,20,0)),"")</f>
        <v/>
      </c>
      <c r="N1079" s="493" t="str">
        <f ca="1">IFERROR(IF(VLOOKUP(C1079,' Disaggregation - Section E '!A$316:N816,9,0)=0,"",VLOOKUP(C1079,' Disaggregation - Section E '!A$316:N816,9,0)),"")</f>
        <v/>
      </c>
      <c r="O1079" s="493" t="str">
        <f ca="1">IFERROR(IF(VLOOKUP(C1079,' Disaggregation - Section E '!A$315:N816,10,0)=0,"",VLOOKUP(C1079,' Disaggregation - Section E '!A$316:N816,10,0)),"")</f>
        <v/>
      </c>
    </row>
    <row r="1080" spans="1:15" x14ac:dyDescent="0.3">
      <c r="A1080" s="487" t="b">
        <f t="shared" ca="1" si="142"/>
        <v>0</v>
      </c>
      <c r="B1080" s="487"/>
      <c r="C1080" s="507" t="str">
        <f ca="1">IF(COUNTA(D$877:D1080)=1,"",OFFSET(C1080,-COUNTA(D$877:D1080)+1,0))</f>
        <v>a1V3p000004fwuLEAQ</v>
      </c>
      <c r="D1080" s="502"/>
      <c r="E1080" s="490" t="str">
        <f ca="1">IFERROR(IF(VLOOKUP(C1080,' Disaggregation - Section E '!A$316:N817,7,0)=0,"",VLOOKUP(C1080,' Disaggregation - Section E '!A$316:N817,7,0)*100),"")</f>
        <v/>
      </c>
      <c r="F1080" s="487"/>
      <c r="G1080" s="492" t="str">
        <f ca="1">IFERROR(IF(VLOOKUP(C1080,' Disaggregation - Section E '!A$316:N817,6,0)=0,"",VLOOKUP(C1080,' Disaggregation - Section E '!A$316:N817,6,0)),"")</f>
        <v/>
      </c>
      <c r="H1080" s="502" t="str">
        <f ca="1">IFERROR(IF(INDEX(' Disaggregation - Section E '!F$313:F817,MATCH(C1080,' Disaggregation - Section E '!A$313:A817,0)+1,1)&lt;&gt;0,INDEX(' Disaggregation - Section E '!F$313:F817,MATCH(C1080,' Disaggregation - Section E '!A$313:A817,0)+1,1),""),"")</f>
        <v/>
      </c>
      <c r="I1080" s="493" t="str">
        <f ca="1">IFERROR(IF(VLOOKUP(C1080,' Disaggregation - Section E '!A$316:N817,8,0)=0,"",VLOOKUP(C1080,' Disaggregation - Section E '!A$316:N817,8,0)),"")</f>
        <v/>
      </c>
      <c r="J1080" s="493" t="str">
        <f ca="1">IFERROR(IF(VLOOKUP(C1080,' Disaggregation - Section E '!A$316:N817,13,0)=0,"",VLOOKUP(C1080,' Disaggregation - Section E '!A$316:N817,13,0)),"")</f>
        <v/>
      </c>
      <c r="K1080" s="487" t="str">
        <f ca="1">IFERROR(VLOOKUP(C1080,' Disaggregation - Section E '!A$316:N817,3,0),"")</f>
        <v/>
      </c>
      <c r="L1080" s="493" t="str">
        <f ca="1">IFERROR(IF(VLOOKUP(C1080,' Disaggregation - Section E '!A$316:N817,14,0)=0,"",VLOOKUP(C1080,' Disaggregation - Section E '!A$316:N817,14,0)),"")</f>
        <v/>
      </c>
      <c r="M1080" s="487" t="str">
        <f ca="1">IFERROR(IF(VLOOKUP(C1080,' Disaggregation - Section E '!A$316:T817,20,0)=0,"",VLOOKUP(C1080,' Disaggregation - Section E '!A$316:T817,20,0)),"")</f>
        <v/>
      </c>
      <c r="N1080" s="493" t="str">
        <f ca="1">IFERROR(IF(VLOOKUP(C1080,' Disaggregation - Section E '!A$316:N817,9,0)=0,"",VLOOKUP(C1080,' Disaggregation - Section E '!A$316:N817,9,0)),"")</f>
        <v/>
      </c>
      <c r="O1080" s="493" t="str">
        <f ca="1">IFERROR(IF(VLOOKUP(C1080,' Disaggregation - Section E '!A$315:N817,10,0)=0,"",VLOOKUP(C1080,' Disaggregation - Section E '!A$316:N817,10,0)),"")</f>
        <v/>
      </c>
    </row>
    <row r="1081" spans="1:15" x14ac:dyDescent="0.3">
      <c r="A1081" s="487" t="b">
        <f t="shared" ca="1" si="142"/>
        <v>0</v>
      </c>
      <c r="B1081" s="487"/>
      <c r="C1081" s="507" t="str">
        <f ca="1">IF(COUNTA(D$877:D1081)=1,"",OFFSET(C1081,-COUNTA(D$877:D1081)+1,0))</f>
        <v>a1V3p000004fwuMEAQ</v>
      </c>
      <c r="D1081" s="502"/>
      <c r="E1081" s="490" t="str">
        <f ca="1">IFERROR(IF(VLOOKUP(C1081,' Disaggregation - Section E '!A$316:N818,7,0)=0,"",VLOOKUP(C1081,' Disaggregation - Section E '!A$316:N818,7,0)*100),"")</f>
        <v/>
      </c>
      <c r="F1081" s="487"/>
      <c r="G1081" s="492" t="str">
        <f ca="1">IFERROR(IF(VLOOKUP(C1081,' Disaggregation - Section E '!A$316:N818,6,0)=0,"",VLOOKUP(C1081,' Disaggregation - Section E '!A$316:N818,6,0)),"")</f>
        <v/>
      </c>
      <c r="H1081" s="502" t="str">
        <f ca="1">IFERROR(IF(INDEX(' Disaggregation - Section E '!F$313:F818,MATCH(C1081,' Disaggregation - Section E '!A$313:A818,0)+1,1)&lt;&gt;0,INDEX(' Disaggregation - Section E '!F$313:F818,MATCH(C1081,' Disaggregation - Section E '!A$313:A818,0)+1,1),""),"")</f>
        <v/>
      </c>
      <c r="I1081" s="493" t="str">
        <f ca="1">IFERROR(IF(VLOOKUP(C1081,' Disaggregation - Section E '!A$316:N818,8,0)=0,"",VLOOKUP(C1081,' Disaggregation - Section E '!A$316:N818,8,0)),"")</f>
        <v/>
      </c>
      <c r="J1081" s="493" t="str">
        <f ca="1">IFERROR(IF(VLOOKUP(C1081,' Disaggregation - Section E '!A$316:N818,13,0)=0,"",VLOOKUP(C1081,' Disaggregation - Section E '!A$316:N818,13,0)),"")</f>
        <v/>
      </c>
      <c r="K1081" s="487" t="str">
        <f ca="1">IFERROR(VLOOKUP(C1081,' Disaggregation - Section E '!A$316:N818,3,0),"")</f>
        <v/>
      </c>
      <c r="L1081" s="493" t="str">
        <f ca="1">IFERROR(IF(VLOOKUP(C1081,' Disaggregation - Section E '!A$316:N818,14,0)=0,"",VLOOKUP(C1081,' Disaggregation - Section E '!A$316:N818,14,0)),"")</f>
        <v/>
      </c>
      <c r="M1081" s="487" t="str">
        <f ca="1">IFERROR(IF(VLOOKUP(C1081,' Disaggregation - Section E '!A$316:T818,20,0)=0,"",VLOOKUP(C1081,' Disaggregation - Section E '!A$316:T818,20,0)),"")</f>
        <v/>
      </c>
      <c r="N1081" s="493" t="str">
        <f ca="1">IFERROR(IF(VLOOKUP(C1081,' Disaggregation - Section E '!A$316:N818,9,0)=0,"",VLOOKUP(C1081,' Disaggregation - Section E '!A$316:N818,9,0)),"")</f>
        <v/>
      </c>
      <c r="O1081" s="493" t="str">
        <f ca="1">IFERROR(IF(VLOOKUP(C1081,' Disaggregation - Section E '!A$315:N818,10,0)=0,"",VLOOKUP(C1081,' Disaggregation - Section E '!A$316:N818,10,0)),"")</f>
        <v/>
      </c>
    </row>
    <row r="1082" spans="1:15" x14ac:dyDescent="0.3">
      <c r="A1082" s="487" t="b">
        <f t="shared" ca="1" si="142"/>
        <v>0</v>
      </c>
      <c r="B1082" s="487"/>
      <c r="C1082" s="507" t="str">
        <f ca="1">IF(COUNTA(D$877:D1082)=1,"",OFFSET(C1082,-COUNTA(D$877:D1082)+1,0))</f>
        <v>a1V3p000004fwuNEAQ</v>
      </c>
      <c r="D1082" s="502"/>
      <c r="E1082" s="490" t="str">
        <f ca="1">IFERROR(IF(VLOOKUP(C1082,' Disaggregation - Section E '!A$316:N819,7,0)=0,"",VLOOKUP(C1082,' Disaggregation - Section E '!A$316:N819,7,0)*100),"")</f>
        <v/>
      </c>
      <c r="F1082" s="487"/>
      <c r="G1082" s="492" t="str">
        <f ca="1">IFERROR(IF(VLOOKUP(C1082,' Disaggregation - Section E '!A$316:N819,6,0)=0,"",VLOOKUP(C1082,' Disaggregation - Section E '!A$316:N819,6,0)),"")</f>
        <v/>
      </c>
      <c r="H1082" s="502" t="str">
        <f ca="1">IFERROR(IF(INDEX(' Disaggregation - Section E '!F$313:F819,MATCH(C1082,' Disaggregation - Section E '!A$313:A819,0)+1,1)&lt;&gt;0,INDEX(' Disaggregation - Section E '!F$313:F819,MATCH(C1082,' Disaggregation - Section E '!A$313:A819,0)+1,1),""),"")</f>
        <v/>
      </c>
      <c r="I1082" s="493" t="str">
        <f ca="1">IFERROR(IF(VLOOKUP(C1082,' Disaggregation - Section E '!A$316:N819,8,0)=0,"",VLOOKUP(C1082,' Disaggregation - Section E '!A$316:N819,8,0)),"")</f>
        <v/>
      </c>
      <c r="J1082" s="493" t="str">
        <f ca="1">IFERROR(IF(VLOOKUP(C1082,' Disaggregation - Section E '!A$316:N819,13,0)=0,"",VLOOKUP(C1082,' Disaggregation - Section E '!A$316:N819,13,0)),"")</f>
        <v/>
      </c>
      <c r="K1082" s="487" t="str">
        <f ca="1">IFERROR(VLOOKUP(C1082,' Disaggregation - Section E '!A$316:N819,3,0),"")</f>
        <v/>
      </c>
      <c r="L1082" s="493" t="str">
        <f ca="1">IFERROR(IF(VLOOKUP(C1082,' Disaggregation - Section E '!A$316:N819,14,0)=0,"",VLOOKUP(C1082,' Disaggregation - Section E '!A$316:N819,14,0)),"")</f>
        <v/>
      </c>
      <c r="M1082" s="487" t="str">
        <f ca="1">IFERROR(IF(VLOOKUP(C1082,' Disaggregation - Section E '!A$316:T819,20,0)=0,"",VLOOKUP(C1082,' Disaggregation - Section E '!A$316:T819,20,0)),"")</f>
        <v/>
      </c>
      <c r="N1082" s="493" t="str">
        <f ca="1">IFERROR(IF(VLOOKUP(C1082,' Disaggregation - Section E '!A$316:N819,9,0)=0,"",VLOOKUP(C1082,' Disaggregation - Section E '!A$316:N819,9,0)),"")</f>
        <v/>
      </c>
      <c r="O1082" s="493" t="str">
        <f ca="1">IFERROR(IF(VLOOKUP(C1082,' Disaggregation - Section E '!A$315:N819,10,0)=0,"",VLOOKUP(C1082,' Disaggregation - Section E '!A$316:N819,10,0)),"")</f>
        <v/>
      </c>
    </row>
    <row r="1083" spans="1:15" x14ac:dyDescent="0.3">
      <c r="A1083" s="487" t="b">
        <f t="shared" ca="1" si="142"/>
        <v>0</v>
      </c>
      <c r="B1083" s="487"/>
      <c r="C1083" s="507" t="str">
        <f ca="1">IF(COUNTA(D$877:D1083)=1,"",OFFSET(C1083,-COUNTA(D$877:D1083)+1,0))</f>
        <v>a1V3p000004fwuOEAQ</v>
      </c>
      <c r="D1083" s="502"/>
      <c r="E1083" s="490" t="str">
        <f ca="1">IFERROR(IF(VLOOKUP(C1083,' Disaggregation - Section E '!A$316:N820,7,0)=0,"",VLOOKUP(C1083,' Disaggregation - Section E '!A$316:N820,7,0)*100),"")</f>
        <v/>
      </c>
      <c r="F1083" s="487"/>
      <c r="G1083" s="492" t="str">
        <f ca="1">IFERROR(IF(VLOOKUP(C1083,' Disaggregation - Section E '!A$316:N820,6,0)=0,"",VLOOKUP(C1083,' Disaggregation - Section E '!A$316:N820,6,0)),"")</f>
        <v/>
      </c>
      <c r="H1083" s="502" t="str">
        <f ca="1">IFERROR(IF(INDEX(' Disaggregation - Section E '!F$313:F820,MATCH(C1083,' Disaggregation - Section E '!A$313:A820,0)+1,1)&lt;&gt;0,INDEX(' Disaggregation - Section E '!F$313:F820,MATCH(C1083,' Disaggregation - Section E '!A$313:A820,0)+1,1),""),"")</f>
        <v/>
      </c>
      <c r="I1083" s="493" t="str">
        <f ca="1">IFERROR(IF(VLOOKUP(C1083,' Disaggregation - Section E '!A$316:N820,8,0)=0,"",VLOOKUP(C1083,' Disaggregation - Section E '!A$316:N820,8,0)),"")</f>
        <v/>
      </c>
      <c r="J1083" s="493" t="str">
        <f ca="1">IFERROR(IF(VLOOKUP(C1083,' Disaggregation - Section E '!A$316:N820,13,0)=0,"",VLOOKUP(C1083,' Disaggregation - Section E '!A$316:N820,13,0)),"")</f>
        <v/>
      </c>
      <c r="K1083" s="487" t="str">
        <f ca="1">IFERROR(VLOOKUP(C1083,' Disaggregation - Section E '!A$316:N820,3,0),"")</f>
        <v/>
      </c>
      <c r="L1083" s="493" t="str">
        <f ca="1">IFERROR(IF(VLOOKUP(C1083,' Disaggregation - Section E '!A$316:N820,14,0)=0,"",VLOOKUP(C1083,' Disaggregation - Section E '!A$316:N820,14,0)),"")</f>
        <v/>
      </c>
      <c r="M1083" s="487" t="str">
        <f ca="1">IFERROR(IF(VLOOKUP(C1083,' Disaggregation - Section E '!A$316:T820,20,0)=0,"",VLOOKUP(C1083,' Disaggregation - Section E '!A$316:T820,20,0)),"")</f>
        <v/>
      </c>
      <c r="N1083" s="493" t="str">
        <f ca="1">IFERROR(IF(VLOOKUP(C1083,' Disaggregation - Section E '!A$316:N820,9,0)=0,"",VLOOKUP(C1083,' Disaggregation - Section E '!A$316:N820,9,0)),"")</f>
        <v/>
      </c>
      <c r="O1083" s="493" t="str">
        <f ca="1">IFERROR(IF(VLOOKUP(C1083,' Disaggregation - Section E '!A$315:N820,10,0)=0,"",VLOOKUP(C1083,' Disaggregation - Section E '!A$316:N820,10,0)),"")</f>
        <v/>
      </c>
    </row>
    <row r="1084" spans="1:15" x14ac:dyDescent="0.3">
      <c r="A1084" s="487" t="b">
        <f t="shared" ca="1" si="142"/>
        <v>0</v>
      </c>
      <c r="B1084" s="487"/>
      <c r="C1084" s="507" t="str">
        <f ca="1">IF(COUNTA(D$877:D1084)=1,"",OFFSET(C1084,-COUNTA(D$877:D1084)+1,0))</f>
        <v>a1V3p000004fwuPEAQ</v>
      </c>
      <c r="D1084" s="502"/>
      <c r="E1084" s="490" t="str">
        <f ca="1">IFERROR(IF(VLOOKUP(C1084,' Disaggregation - Section E '!A$316:N821,7,0)=0,"",VLOOKUP(C1084,' Disaggregation - Section E '!A$316:N821,7,0)*100),"")</f>
        <v/>
      </c>
      <c r="F1084" s="487"/>
      <c r="G1084" s="492" t="str">
        <f ca="1">IFERROR(IF(VLOOKUP(C1084,' Disaggregation - Section E '!A$316:N821,6,0)=0,"",VLOOKUP(C1084,' Disaggregation - Section E '!A$316:N821,6,0)),"")</f>
        <v/>
      </c>
      <c r="H1084" s="502" t="str">
        <f ca="1">IFERROR(IF(INDEX(' Disaggregation - Section E '!F$313:F821,MATCH(C1084,' Disaggregation - Section E '!A$313:A821,0)+1,1)&lt;&gt;0,INDEX(' Disaggregation - Section E '!F$313:F821,MATCH(C1084,' Disaggregation - Section E '!A$313:A821,0)+1,1),""),"")</f>
        <v/>
      </c>
      <c r="I1084" s="493" t="str">
        <f ca="1">IFERROR(IF(VLOOKUP(C1084,' Disaggregation - Section E '!A$316:N821,8,0)=0,"",VLOOKUP(C1084,' Disaggregation - Section E '!A$316:N821,8,0)),"")</f>
        <v/>
      </c>
      <c r="J1084" s="493" t="str">
        <f ca="1">IFERROR(IF(VLOOKUP(C1084,' Disaggregation - Section E '!A$316:N821,13,0)=0,"",VLOOKUP(C1084,' Disaggregation - Section E '!A$316:N821,13,0)),"")</f>
        <v/>
      </c>
      <c r="K1084" s="487" t="str">
        <f ca="1">IFERROR(VLOOKUP(C1084,' Disaggregation - Section E '!A$316:N821,3,0),"")</f>
        <v/>
      </c>
      <c r="L1084" s="493" t="str">
        <f ca="1">IFERROR(IF(VLOOKUP(C1084,' Disaggregation - Section E '!A$316:N821,14,0)=0,"",VLOOKUP(C1084,' Disaggregation - Section E '!A$316:N821,14,0)),"")</f>
        <v/>
      </c>
      <c r="M1084" s="487" t="str">
        <f ca="1">IFERROR(IF(VLOOKUP(C1084,' Disaggregation - Section E '!A$316:T821,20,0)=0,"",VLOOKUP(C1084,' Disaggregation - Section E '!A$316:T821,20,0)),"")</f>
        <v/>
      </c>
      <c r="N1084" s="493" t="str">
        <f ca="1">IFERROR(IF(VLOOKUP(C1084,' Disaggregation - Section E '!A$316:N821,9,0)=0,"",VLOOKUP(C1084,' Disaggregation - Section E '!A$316:N821,9,0)),"")</f>
        <v/>
      </c>
      <c r="O1084" s="493" t="str">
        <f ca="1">IFERROR(IF(VLOOKUP(C1084,' Disaggregation - Section E '!A$315:N821,10,0)=0,"",VLOOKUP(C1084,' Disaggregation - Section E '!A$316:N821,10,0)),"")</f>
        <v/>
      </c>
    </row>
    <row r="1085" spans="1:15" x14ac:dyDescent="0.3">
      <c r="A1085" s="487" t="b">
        <f t="shared" ca="1" si="142"/>
        <v>0</v>
      </c>
      <c r="B1085" s="487"/>
      <c r="C1085" s="507" t="str">
        <f ca="1">IF(COUNTA(D$877:D1085)=1,"",OFFSET(C1085,-COUNTA(D$877:D1085)+1,0))</f>
        <v>a1V3p000004fwuQEAQ</v>
      </c>
      <c r="D1085" s="502"/>
      <c r="E1085" s="490" t="str">
        <f ca="1">IFERROR(IF(VLOOKUP(C1085,' Disaggregation - Section E '!A$316:N822,7,0)=0,"",VLOOKUP(C1085,' Disaggregation - Section E '!A$316:N822,7,0)*100),"")</f>
        <v/>
      </c>
      <c r="F1085" s="487"/>
      <c r="G1085" s="492" t="str">
        <f ca="1">IFERROR(IF(VLOOKUP(C1085,' Disaggregation - Section E '!A$316:N822,6,0)=0,"",VLOOKUP(C1085,' Disaggregation - Section E '!A$316:N822,6,0)),"")</f>
        <v/>
      </c>
      <c r="H1085" s="502" t="str">
        <f ca="1">IFERROR(IF(INDEX(' Disaggregation - Section E '!F$313:F822,MATCH(C1085,' Disaggregation - Section E '!A$313:A822,0)+1,1)&lt;&gt;0,INDEX(' Disaggregation - Section E '!F$313:F822,MATCH(C1085,' Disaggregation - Section E '!A$313:A822,0)+1,1),""),"")</f>
        <v/>
      </c>
      <c r="I1085" s="493" t="str">
        <f ca="1">IFERROR(IF(VLOOKUP(C1085,' Disaggregation - Section E '!A$316:N822,8,0)=0,"",VLOOKUP(C1085,' Disaggregation - Section E '!A$316:N822,8,0)),"")</f>
        <v/>
      </c>
      <c r="J1085" s="493" t="str">
        <f ca="1">IFERROR(IF(VLOOKUP(C1085,' Disaggregation - Section E '!A$316:N822,13,0)=0,"",VLOOKUP(C1085,' Disaggregation - Section E '!A$316:N822,13,0)),"")</f>
        <v/>
      </c>
      <c r="K1085" s="487" t="str">
        <f ca="1">IFERROR(VLOOKUP(C1085,' Disaggregation - Section E '!A$316:N822,3,0),"")</f>
        <v/>
      </c>
      <c r="L1085" s="493" t="str">
        <f ca="1">IFERROR(IF(VLOOKUP(C1085,' Disaggregation - Section E '!A$316:N822,14,0)=0,"",VLOOKUP(C1085,' Disaggregation - Section E '!A$316:N822,14,0)),"")</f>
        <v/>
      </c>
      <c r="M1085" s="487" t="str">
        <f ca="1">IFERROR(IF(VLOOKUP(C1085,' Disaggregation - Section E '!A$316:T822,20,0)=0,"",VLOOKUP(C1085,' Disaggregation - Section E '!A$316:T822,20,0)),"")</f>
        <v/>
      </c>
      <c r="N1085" s="493" t="str">
        <f ca="1">IFERROR(IF(VLOOKUP(C1085,' Disaggregation - Section E '!A$316:N822,9,0)=0,"",VLOOKUP(C1085,' Disaggregation - Section E '!A$316:N822,9,0)),"")</f>
        <v/>
      </c>
      <c r="O1085" s="493" t="str">
        <f ca="1">IFERROR(IF(VLOOKUP(C1085,' Disaggregation - Section E '!A$315:N822,10,0)=0,"",VLOOKUP(C1085,' Disaggregation - Section E '!A$316:N822,10,0)),"")</f>
        <v/>
      </c>
    </row>
    <row r="1086" spans="1:15" x14ac:dyDescent="0.3">
      <c r="A1086" s="487" t="b">
        <f t="shared" ca="1" si="142"/>
        <v>0</v>
      </c>
      <c r="B1086" s="487"/>
      <c r="C1086" s="507" t="str">
        <f ca="1">IF(COUNTA(D$877:D1086)=1,"",OFFSET(C1086,-COUNTA(D$877:D1086)+1,0))</f>
        <v>a1V3p000004fwuREAQ</v>
      </c>
      <c r="D1086" s="502"/>
      <c r="E1086" s="490" t="str">
        <f ca="1">IFERROR(IF(VLOOKUP(C1086,' Disaggregation - Section E '!A$316:N823,7,0)=0,"",VLOOKUP(C1086,' Disaggregation - Section E '!A$316:N823,7,0)*100),"")</f>
        <v/>
      </c>
      <c r="F1086" s="487"/>
      <c r="G1086" s="492" t="str">
        <f ca="1">IFERROR(IF(VLOOKUP(C1086,' Disaggregation - Section E '!A$316:N823,6,0)=0,"",VLOOKUP(C1086,' Disaggregation - Section E '!A$316:N823,6,0)),"")</f>
        <v/>
      </c>
      <c r="H1086" s="502" t="str">
        <f ca="1">IFERROR(IF(INDEX(' Disaggregation - Section E '!F$313:F823,MATCH(C1086,' Disaggregation - Section E '!A$313:A823,0)+1,1)&lt;&gt;0,INDEX(' Disaggregation - Section E '!F$313:F823,MATCH(C1086,' Disaggregation - Section E '!A$313:A823,0)+1,1),""),"")</f>
        <v/>
      </c>
      <c r="I1086" s="493" t="str">
        <f ca="1">IFERROR(IF(VLOOKUP(C1086,' Disaggregation - Section E '!A$316:N823,8,0)=0,"",VLOOKUP(C1086,' Disaggregation - Section E '!A$316:N823,8,0)),"")</f>
        <v/>
      </c>
      <c r="J1086" s="493" t="str">
        <f ca="1">IFERROR(IF(VLOOKUP(C1086,' Disaggregation - Section E '!A$316:N823,13,0)=0,"",VLOOKUP(C1086,' Disaggregation - Section E '!A$316:N823,13,0)),"")</f>
        <v/>
      </c>
      <c r="K1086" s="487" t="str">
        <f ca="1">IFERROR(VLOOKUP(C1086,' Disaggregation - Section E '!A$316:N823,3,0),"")</f>
        <v/>
      </c>
      <c r="L1086" s="493" t="str">
        <f ca="1">IFERROR(IF(VLOOKUP(C1086,' Disaggregation - Section E '!A$316:N823,14,0)=0,"",VLOOKUP(C1086,' Disaggregation - Section E '!A$316:N823,14,0)),"")</f>
        <v/>
      </c>
      <c r="M1086" s="487" t="str">
        <f ca="1">IFERROR(IF(VLOOKUP(C1086,' Disaggregation - Section E '!A$316:T823,20,0)=0,"",VLOOKUP(C1086,' Disaggregation - Section E '!A$316:T823,20,0)),"")</f>
        <v/>
      </c>
      <c r="N1086" s="493" t="str">
        <f ca="1">IFERROR(IF(VLOOKUP(C1086,' Disaggregation - Section E '!A$316:N823,9,0)=0,"",VLOOKUP(C1086,' Disaggregation - Section E '!A$316:N823,9,0)),"")</f>
        <v/>
      </c>
      <c r="O1086" s="493" t="str">
        <f ca="1">IFERROR(IF(VLOOKUP(C1086,' Disaggregation - Section E '!A$315:N823,10,0)=0,"",VLOOKUP(C1086,' Disaggregation - Section E '!A$316:N823,10,0)),"")</f>
        <v/>
      </c>
    </row>
    <row r="1087" spans="1:15" x14ac:dyDescent="0.3">
      <c r="A1087" s="487" t="b">
        <f t="shared" ca="1" si="142"/>
        <v>0</v>
      </c>
      <c r="B1087" s="487"/>
      <c r="C1087" s="507" t="str">
        <f ca="1">IF(COUNTA(D$877:D1087)=1,"",OFFSET(C1087,-COUNTA(D$877:D1087)+1,0))</f>
        <v>a1V3p000004fwuSEAQ</v>
      </c>
      <c r="D1087" s="502"/>
      <c r="E1087" s="490" t="str">
        <f ca="1">IFERROR(IF(VLOOKUP(C1087,' Disaggregation - Section E '!A$316:N824,7,0)=0,"",VLOOKUP(C1087,' Disaggregation - Section E '!A$316:N824,7,0)*100),"")</f>
        <v/>
      </c>
      <c r="F1087" s="487"/>
      <c r="G1087" s="492" t="str">
        <f ca="1">IFERROR(IF(VLOOKUP(C1087,' Disaggregation - Section E '!A$316:N824,6,0)=0,"",VLOOKUP(C1087,' Disaggregation - Section E '!A$316:N824,6,0)),"")</f>
        <v/>
      </c>
      <c r="H1087" s="502" t="str">
        <f ca="1">IFERROR(IF(INDEX(' Disaggregation - Section E '!F$313:F824,MATCH(C1087,' Disaggregation - Section E '!A$313:A824,0)+1,1)&lt;&gt;0,INDEX(' Disaggregation - Section E '!F$313:F824,MATCH(C1087,' Disaggregation - Section E '!A$313:A824,0)+1,1),""),"")</f>
        <v/>
      </c>
      <c r="I1087" s="493" t="str">
        <f ca="1">IFERROR(IF(VLOOKUP(C1087,' Disaggregation - Section E '!A$316:N824,8,0)=0,"",VLOOKUP(C1087,' Disaggregation - Section E '!A$316:N824,8,0)),"")</f>
        <v/>
      </c>
      <c r="J1087" s="493" t="str">
        <f ca="1">IFERROR(IF(VLOOKUP(C1087,' Disaggregation - Section E '!A$316:N824,13,0)=0,"",VLOOKUP(C1087,' Disaggregation - Section E '!A$316:N824,13,0)),"")</f>
        <v/>
      </c>
      <c r="K1087" s="487" t="str">
        <f ca="1">IFERROR(VLOOKUP(C1087,' Disaggregation - Section E '!A$316:N824,3,0),"")</f>
        <v/>
      </c>
      <c r="L1087" s="493" t="str">
        <f ca="1">IFERROR(IF(VLOOKUP(C1087,' Disaggregation - Section E '!A$316:N824,14,0)=0,"",VLOOKUP(C1087,' Disaggregation - Section E '!A$316:N824,14,0)),"")</f>
        <v/>
      </c>
      <c r="M1087" s="487" t="str">
        <f ca="1">IFERROR(IF(VLOOKUP(C1087,' Disaggregation - Section E '!A$316:T824,20,0)=0,"",VLOOKUP(C1087,' Disaggregation - Section E '!A$316:T824,20,0)),"")</f>
        <v/>
      </c>
      <c r="N1087" s="493" t="str">
        <f ca="1">IFERROR(IF(VLOOKUP(C1087,' Disaggregation - Section E '!A$316:N824,9,0)=0,"",VLOOKUP(C1087,' Disaggregation - Section E '!A$316:N824,9,0)),"")</f>
        <v/>
      </c>
      <c r="O1087" s="493" t="str">
        <f ca="1">IFERROR(IF(VLOOKUP(C1087,' Disaggregation - Section E '!A$315:N824,10,0)=0,"",VLOOKUP(C1087,' Disaggregation - Section E '!A$316:N824,10,0)),"")</f>
        <v/>
      </c>
    </row>
    <row r="1088" spans="1:15" x14ac:dyDescent="0.3">
      <c r="A1088" s="487" t="b">
        <f t="shared" ca="1" si="142"/>
        <v>0</v>
      </c>
      <c r="B1088" s="487"/>
      <c r="C1088" s="507" t="str">
        <f ca="1">IF(COUNTA(D$877:D1088)=1,"",OFFSET(C1088,-COUNTA(D$877:D1088)+1,0))</f>
        <v>a1V3p000004fwuTEAQ</v>
      </c>
      <c r="D1088" s="502"/>
      <c r="E1088" s="490" t="str">
        <f ca="1">IFERROR(IF(VLOOKUP(C1088,' Disaggregation - Section E '!A$316:N825,7,0)=0,"",VLOOKUP(C1088,' Disaggregation - Section E '!A$316:N825,7,0)*100),"")</f>
        <v/>
      </c>
      <c r="F1088" s="487"/>
      <c r="G1088" s="492" t="str">
        <f ca="1">IFERROR(IF(VLOOKUP(C1088,' Disaggregation - Section E '!A$316:N825,6,0)=0,"",VLOOKUP(C1088,' Disaggregation - Section E '!A$316:N825,6,0)),"")</f>
        <v/>
      </c>
      <c r="H1088" s="502" t="str">
        <f ca="1">IFERROR(IF(INDEX(' Disaggregation - Section E '!F$313:F825,MATCH(C1088,' Disaggregation - Section E '!A$313:A825,0)+1,1)&lt;&gt;0,INDEX(' Disaggregation - Section E '!F$313:F825,MATCH(C1088,' Disaggregation - Section E '!A$313:A825,0)+1,1),""),"")</f>
        <v/>
      </c>
      <c r="I1088" s="493" t="str">
        <f ca="1">IFERROR(IF(VLOOKUP(C1088,' Disaggregation - Section E '!A$316:N825,8,0)=0,"",VLOOKUP(C1088,' Disaggregation - Section E '!A$316:N825,8,0)),"")</f>
        <v/>
      </c>
      <c r="J1088" s="493" t="str">
        <f ca="1">IFERROR(IF(VLOOKUP(C1088,' Disaggregation - Section E '!A$316:N825,13,0)=0,"",VLOOKUP(C1088,' Disaggregation - Section E '!A$316:N825,13,0)),"")</f>
        <v/>
      </c>
      <c r="K1088" s="487" t="str">
        <f ca="1">IFERROR(VLOOKUP(C1088,' Disaggregation - Section E '!A$316:N825,3,0),"")</f>
        <v/>
      </c>
      <c r="L1088" s="493" t="str">
        <f ca="1">IFERROR(IF(VLOOKUP(C1088,' Disaggregation - Section E '!A$316:N825,14,0)=0,"",VLOOKUP(C1088,' Disaggregation - Section E '!A$316:N825,14,0)),"")</f>
        <v/>
      </c>
      <c r="M1088" s="487" t="str">
        <f ca="1">IFERROR(IF(VLOOKUP(C1088,' Disaggregation - Section E '!A$316:T825,20,0)=0,"",VLOOKUP(C1088,' Disaggregation - Section E '!A$316:T825,20,0)),"")</f>
        <v/>
      </c>
      <c r="N1088" s="493" t="str">
        <f ca="1">IFERROR(IF(VLOOKUP(C1088,' Disaggregation - Section E '!A$316:N825,9,0)=0,"",VLOOKUP(C1088,' Disaggregation - Section E '!A$316:N825,9,0)),"")</f>
        <v/>
      </c>
      <c r="O1088" s="493" t="str">
        <f ca="1">IFERROR(IF(VLOOKUP(C1088,' Disaggregation - Section E '!A$315:N825,10,0)=0,"",VLOOKUP(C1088,' Disaggregation - Section E '!A$316:N825,10,0)),"")</f>
        <v/>
      </c>
    </row>
    <row r="1089" spans="1:15" x14ac:dyDescent="0.3">
      <c r="A1089" s="487" t="b">
        <f t="shared" ca="1" si="142"/>
        <v>0</v>
      </c>
      <c r="B1089" s="487"/>
      <c r="C1089" s="507" t="str">
        <f ca="1">IF(COUNTA(D$877:D1089)=1,"",OFFSET(C1089,-COUNTA(D$877:D1089)+1,0))</f>
        <v>a1V3p000004fwuUEAQ</v>
      </c>
      <c r="D1089" s="502"/>
      <c r="E1089" s="490" t="str">
        <f ca="1">IFERROR(IF(VLOOKUP(C1089,' Disaggregation - Section E '!A$316:N826,7,0)=0,"",VLOOKUP(C1089,' Disaggregation - Section E '!A$316:N826,7,0)*100),"")</f>
        <v/>
      </c>
      <c r="F1089" s="487"/>
      <c r="G1089" s="492" t="str">
        <f ca="1">IFERROR(IF(VLOOKUP(C1089,' Disaggregation - Section E '!A$316:N826,6,0)=0,"",VLOOKUP(C1089,' Disaggregation - Section E '!A$316:N826,6,0)),"")</f>
        <v/>
      </c>
      <c r="H1089" s="502" t="str">
        <f ca="1">IFERROR(IF(INDEX(' Disaggregation - Section E '!F$313:F826,MATCH(C1089,' Disaggregation - Section E '!A$313:A826,0)+1,1)&lt;&gt;0,INDEX(' Disaggregation - Section E '!F$313:F826,MATCH(C1089,' Disaggregation - Section E '!A$313:A826,0)+1,1),""),"")</f>
        <v/>
      </c>
      <c r="I1089" s="493" t="str">
        <f ca="1">IFERROR(IF(VLOOKUP(C1089,' Disaggregation - Section E '!A$316:N826,8,0)=0,"",VLOOKUP(C1089,' Disaggregation - Section E '!A$316:N826,8,0)),"")</f>
        <v/>
      </c>
      <c r="J1089" s="493" t="str">
        <f ca="1">IFERROR(IF(VLOOKUP(C1089,' Disaggregation - Section E '!A$316:N826,13,0)=0,"",VLOOKUP(C1089,' Disaggregation - Section E '!A$316:N826,13,0)),"")</f>
        <v/>
      </c>
      <c r="K1089" s="487" t="str">
        <f ca="1">IFERROR(VLOOKUP(C1089,' Disaggregation - Section E '!A$316:N826,3,0),"")</f>
        <v/>
      </c>
      <c r="L1089" s="493" t="str">
        <f ca="1">IFERROR(IF(VLOOKUP(C1089,' Disaggregation - Section E '!A$316:N826,14,0)=0,"",VLOOKUP(C1089,' Disaggregation - Section E '!A$316:N826,14,0)),"")</f>
        <v/>
      </c>
      <c r="M1089" s="487" t="str">
        <f ca="1">IFERROR(IF(VLOOKUP(C1089,' Disaggregation - Section E '!A$316:T826,20,0)=0,"",VLOOKUP(C1089,' Disaggregation - Section E '!A$316:T826,20,0)),"")</f>
        <v/>
      </c>
      <c r="N1089" s="493" t="str">
        <f ca="1">IFERROR(IF(VLOOKUP(C1089,' Disaggregation - Section E '!A$316:N826,9,0)=0,"",VLOOKUP(C1089,' Disaggregation - Section E '!A$316:N826,9,0)),"")</f>
        <v/>
      </c>
      <c r="O1089" s="493" t="str">
        <f ca="1">IFERROR(IF(VLOOKUP(C1089,' Disaggregation - Section E '!A$315:N826,10,0)=0,"",VLOOKUP(C1089,' Disaggregation - Section E '!A$316:N826,10,0)),"")</f>
        <v/>
      </c>
    </row>
    <row r="1090" spans="1:15" x14ac:dyDescent="0.3">
      <c r="A1090" s="487" t="b">
        <f t="shared" ca="1" si="142"/>
        <v>0</v>
      </c>
      <c r="B1090" s="487"/>
      <c r="C1090" s="507" t="str">
        <f ca="1">IF(COUNTA(D$877:D1090)=1,"",OFFSET(C1090,-COUNTA(D$877:D1090)+1,0))</f>
        <v>a1V3p000004fwuVEAQ</v>
      </c>
      <c r="D1090" s="502"/>
      <c r="E1090" s="490" t="str">
        <f ca="1">IFERROR(IF(VLOOKUP(C1090,' Disaggregation - Section E '!A$316:N827,7,0)=0,"",VLOOKUP(C1090,' Disaggregation - Section E '!A$316:N827,7,0)*100),"")</f>
        <v/>
      </c>
      <c r="F1090" s="487"/>
      <c r="G1090" s="492" t="str">
        <f ca="1">IFERROR(IF(VLOOKUP(C1090,' Disaggregation - Section E '!A$316:N827,6,0)=0,"",VLOOKUP(C1090,' Disaggregation - Section E '!A$316:N827,6,0)),"")</f>
        <v/>
      </c>
      <c r="H1090" s="502" t="str">
        <f ca="1">IFERROR(IF(INDEX(' Disaggregation - Section E '!F$313:F827,MATCH(C1090,' Disaggregation - Section E '!A$313:A827,0)+1,1)&lt;&gt;0,INDEX(' Disaggregation - Section E '!F$313:F827,MATCH(C1090,' Disaggregation - Section E '!A$313:A827,0)+1,1),""),"")</f>
        <v/>
      </c>
      <c r="I1090" s="493" t="str">
        <f ca="1">IFERROR(IF(VLOOKUP(C1090,' Disaggregation - Section E '!A$316:N827,8,0)=0,"",VLOOKUP(C1090,' Disaggregation - Section E '!A$316:N827,8,0)),"")</f>
        <v/>
      </c>
      <c r="J1090" s="493" t="str">
        <f ca="1">IFERROR(IF(VLOOKUP(C1090,' Disaggregation - Section E '!A$316:N827,13,0)=0,"",VLOOKUP(C1090,' Disaggregation - Section E '!A$316:N827,13,0)),"")</f>
        <v/>
      </c>
      <c r="K1090" s="487" t="str">
        <f ca="1">IFERROR(VLOOKUP(C1090,' Disaggregation - Section E '!A$316:N827,3,0),"")</f>
        <v/>
      </c>
      <c r="L1090" s="493" t="str">
        <f ca="1">IFERROR(IF(VLOOKUP(C1090,' Disaggregation - Section E '!A$316:N827,14,0)=0,"",VLOOKUP(C1090,' Disaggregation - Section E '!A$316:N827,14,0)),"")</f>
        <v/>
      </c>
      <c r="M1090" s="487" t="str">
        <f ca="1">IFERROR(IF(VLOOKUP(C1090,' Disaggregation - Section E '!A$316:T827,20,0)=0,"",VLOOKUP(C1090,' Disaggregation - Section E '!A$316:T827,20,0)),"")</f>
        <v/>
      </c>
      <c r="N1090" s="493" t="str">
        <f ca="1">IFERROR(IF(VLOOKUP(C1090,' Disaggregation - Section E '!A$316:N827,9,0)=0,"",VLOOKUP(C1090,' Disaggregation - Section E '!A$316:N827,9,0)),"")</f>
        <v/>
      </c>
      <c r="O1090" s="493" t="str">
        <f ca="1">IFERROR(IF(VLOOKUP(C1090,' Disaggregation - Section E '!A$315:N827,10,0)=0,"",VLOOKUP(C1090,' Disaggregation - Section E '!A$316:N827,10,0)),"")</f>
        <v/>
      </c>
    </row>
    <row r="1091" spans="1:15" x14ac:dyDescent="0.3">
      <c r="A1091" s="487" t="b">
        <f t="shared" ca="1" si="142"/>
        <v>0</v>
      </c>
      <c r="B1091" s="487"/>
      <c r="C1091" s="507" t="str">
        <f ca="1">IF(COUNTA(D$877:D1091)=1,"",OFFSET(C1091,-COUNTA(D$877:D1091)+1,0))</f>
        <v>a1V3p000004fwuWEAQ</v>
      </c>
      <c r="D1091" s="502"/>
      <c r="E1091" s="490" t="str">
        <f ca="1">IFERROR(IF(VLOOKUP(C1091,' Disaggregation - Section E '!A$316:N828,7,0)=0,"",VLOOKUP(C1091,' Disaggregation - Section E '!A$316:N828,7,0)*100),"")</f>
        <v/>
      </c>
      <c r="F1091" s="487"/>
      <c r="G1091" s="492" t="str">
        <f ca="1">IFERROR(IF(VLOOKUP(C1091,' Disaggregation - Section E '!A$316:N828,6,0)=0,"",VLOOKUP(C1091,' Disaggregation - Section E '!A$316:N828,6,0)),"")</f>
        <v/>
      </c>
      <c r="H1091" s="502" t="str">
        <f ca="1">IFERROR(IF(INDEX(' Disaggregation - Section E '!F$313:F828,MATCH(C1091,' Disaggregation - Section E '!A$313:A828,0)+1,1)&lt;&gt;0,INDEX(' Disaggregation - Section E '!F$313:F828,MATCH(C1091,' Disaggregation - Section E '!A$313:A828,0)+1,1),""),"")</f>
        <v/>
      </c>
      <c r="I1091" s="493" t="str">
        <f ca="1">IFERROR(IF(VLOOKUP(C1091,' Disaggregation - Section E '!A$316:N828,8,0)=0,"",VLOOKUP(C1091,' Disaggregation - Section E '!A$316:N828,8,0)),"")</f>
        <v/>
      </c>
      <c r="J1091" s="493" t="str">
        <f ca="1">IFERROR(IF(VLOOKUP(C1091,' Disaggregation - Section E '!A$316:N828,13,0)=0,"",VLOOKUP(C1091,' Disaggregation - Section E '!A$316:N828,13,0)),"")</f>
        <v/>
      </c>
      <c r="K1091" s="487" t="str">
        <f ca="1">IFERROR(VLOOKUP(C1091,' Disaggregation - Section E '!A$316:N828,3,0),"")</f>
        <v/>
      </c>
      <c r="L1091" s="493" t="str">
        <f ca="1">IFERROR(IF(VLOOKUP(C1091,' Disaggregation - Section E '!A$316:N828,14,0)=0,"",VLOOKUP(C1091,' Disaggregation - Section E '!A$316:N828,14,0)),"")</f>
        <v/>
      </c>
      <c r="M1091" s="487" t="str">
        <f ca="1">IFERROR(IF(VLOOKUP(C1091,' Disaggregation - Section E '!A$316:T828,20,0)=0,"",VLOOKUP(C1091,' Disaggregation - Section E '!A$316:T828,20,0)),"")</f>
        <v/>
      </c>
      <c r="N1091" s="493" t="str">
        <f ca="1">IFERROR(IF(VLOOKUP(C1091,' Disaggregation - Section E '!A$316:N828,9,0)=0,"",VLOOKUP(C1091,' Disaggregation - Section E '!A$316:N828,9,0)),"")</f>
        <v/>
      </c>
      <c r="O1091" s="493" t="str">
        <f ca="1">IFERROR(IF(VLOOKUP(C1091,' Disaggregation - Section E '!A$315:N828,10,0)=0,"",VLOOKUP(C1091,' Disaggregation - Section E '!A$316:N828,10,0)),"")</f>
        <v/>
      </c>
    </row>
    <row r="1092" spans="1:15" x14ac:dyDescent="0.3">
      <c r="A1092" s="487" t="b">
        <f t="shared" ca="1" si="142"/>
        <v>0</v>
      </c>
      <c r="B1092" s="487"/>
      <c r="C1092" s="507" t="str">
        <f ca="1">IF(COUNTA(D$877:D1092)=1,"",OFFSET(C1092,-COUNTA(D$877:D1092)+1,0))</f>
        <v>a1V3p000004fwuXEAQ</v>
      </c>
      <c r="D1092" s="502"/>
      <c r="E1092" s="490" t="str">
        <f ca="1">IFERROR(IF(VLOOKUP(C1092,' Disaggregation - Section E '!A$316:N829,7,0)=0,"",VLOOKUP(C1092,' Disaggregation - Section E '!A$316:N829,7,0)*100),"")</f>
        <v/>
      </c>
      <c r="F1092" s="487"/>
      <c r="G1092" s="492" t="str">
        <f ca="1">IFERROR(IF(VLOOKUP(C1092,' Disaggregation - Section E '!A$316:N829,6,0)=0,"",VLOOKUP(C1092,' Disaggregation - Section E '!A$316:N829,6,0)),"")</f>
        <v/>
      </c>
      <c r="H1092" s="502" t="str">
        <f ca="1">IFERROR(IF(INDEX(' Disaggregation - Section E '!F$313:F829,MATCH(C1092,' Disaggregation - Section E '!A$313:A829,0)+1,1)&lt;&gt;0,INDEX(' Disaggregation - Section E '!F$313:F829,MATCH(C1092,' Disaggregation - Section E '!A$313:A829,0)+1,1),""),"")</f>
        <v/>
      </c>
      <c r="I1092" s="493" t="str">
        <f ca="1">IFERROR(IF(VLOOKUP(C1092,' Disaggregation - Section E '!A$316:N829,8,0)=0,"",VLOOKUP(C1092,' Disaggregation - Section E '!A$316:N829,8,0)),"")</f>
        <v/>
      </c>
      <c r="J1092" s="493" t="str">
        <f ca="1">IFERROR(IF(VLOOKUP(C1092,' Disaggregation - Section E '!A$316:N829,13,0)=0,"",VLOOKUP(C1092,' Disaggregation - Section E '!A$316:N829,13,0)),"")</f>
        <v/>
      </c>
      <c r="K1092" s="487" t="str">
        <f ca="1">IFERROR(VLOOKUP(C1092,' Disaggregation - Section E '!A$316:N829,3,0),"")</f>
        <v/>
      </c>
      <c r="L1092" s="493" t="str">
        <f ca="1">IFERROR(IF(VLOOKUP(C1092,' Disaggregation - Section E '!A$316:N829,14,0)=0,"",VLOOKUP(C1092,' Disaggregation - Section E '!A$316:N829,14,0)),"")</f>
        <v/>
      </c>
      <c r="M1092" s="487" t="str">
        <f ca="1">IFERROR(IF(VLOOKUP(C1092,' Disaggregation - Section E '!A$316:T829,20,0)=0,"",VLOOKUP(C1092,' Disaggregation - Section E '!A$316:T829,20,0)),"")</f>
        <v/>
      </c>
      <c r="N1092" s="493" t="str">
        <f ca="1">IFERROR(IF(VLOOKUP(C1092,' Disaggregation - Section E '!A$316:N829,9,0)=0,"",VLOOKUP(C1092,' Disaggregation - Section E '!A$316:N829,9,0)),"")</f>
        <v/>
      </c>
      <c r="O1092" s="493" t="str">
        <f ca="1">IFERROR(IF(VLOOKUP(C1092,' Disaggregation - Section E '!A$315:N829,10,0)=0,"",VLOOKUP(C1092,' Disaggregation - Section E '!A$316:N829,10,0)),"")</f>
        <v/>
      </c>
    </row>
    <row r="1093" spans="1:15" x14ac:dyDescent="0.3">
      <c r="A1093" s="487" t="b">
        <f t="shared" ref="A1093:A1156" ca="1" si="143">IF(AND(OR(E1093&lt;&gt;"",G1093&lt;&gt;"",H1093&lt;&gt;""),M1093&lt;&gt;""),TRUE,FALSE)</f>
        <v>0</v>
      </c>
      <c r="B1093" s="487"/>
      <c r="C1093" s="507" t="str">
        <f ca="1">IF(COUNTA(D$877:D1093)=1,"",OFFSET(C1093,-COUNTA(D$877:D1093)+1,0))</f>
        <v>a1V3p000004fwuYEAQ</v>
      </c>
      <c r="D1093" s="502"/>
      <c r="E1093" s="490" t="str">
        <f ca="1">IFERROR(IF(VLOOKUP(C1093,' Disaggregation - Section E '!A$316:N830,7,0)=0,"",VLOOKUP(C1093,' Disaggregation - Section E '!A$316:N830,7,0)*100),"")</f>
        <v/>
      </c>
      <c r="F1093" s="487"/>
      <c r="G1093" s="492" t="str">
        <f ca="1">IFERROR(IF(VLOOKUP(C1093,' Disaggregation - Section E '!A$316:N830,6,0)=0,"",VLOOKUP(C1093,' Disaggregation - Section E '!A$316:N830,6,0)),"")</f>
        <v/>
      </c>
      <c r="H1093" s="502" t="str">
        <f ca="1">IFERROR(IF(INDEX(' Disaggregation - Section E '!F$313:F830,MATCH(C1093,' Disaggregation - Section E '!A$313:A830,0)+1,1)&lt;&gt;0,INDEX(' Disaggregation - Section E '!F$313:F830,MATCH(C1093,' Disaggregation - Section E '!A$313:A830,0)+1,1),""),"")</f>
        <v/>
      </c>
      <c r="I1093" s="493" t="str">
        <f ca="1">IFERROR(IF(VLOOKUP(C1093,' Disaggregation - Section E '!A$316:N830,8,0)=0,"",VLOOKUP(C1093,' Disaggregation - Section E '!A$316:N830,8,0)),"")</f>
        <v/>
      </c>
      <c r="J1093" s="493" t="str">
        <f ca="1">IFERROR(IF(VLOOKUP(C1093,' Disaggregation - Section E '!A$316:N830,13,0)=0,"",VLOOKUP(C1093,' Disaggregation - Section E '!A$316:N830,13,0)),"")</f>
        <v/>
      </c>
      <c r="K1093" s="487" t="str">
        <f ca="1">IFERROR(VLOOKUP(C1093,' Disaggregation - Section E '!A$316:N830,3,0),"")</f>
        <v/>
      </c>
      <c r="L1093" s="493" t="str">
        <f ca="1">IFERROR(IF(VLOOKUP(C1093,' Disaggregation - Section E '!A$316:N830,14,0)=0,"",VLOOKUP(C1093,' Disaggregation - Section E '!A$316:N830,14,0)),"")</f>
        <v/>
      </c>
      <c r="M1093" s="487" t="str">
        <f ca="1">IFERROR(IF(VLOOKUP(C1093,' Disaggregation - Section E '!A$316:T830,20,0)=0,"",VLOOKUP(C1093,' Disaggregation - Section E '!A$316:T830,20,0)),"")</f>
        <v/>
      </c>
      <c r="N1093" s="493" t="str">
        <f ca="1">IFERROR(IF(VLOOKUP(C1093,' Disaggregation - Section E '!A$316:N830,9,0)=0,"",VLOOKUP(C1093,' Disaggregation - Section E '!A$316:N830,9,0)),"")</f>
        <v/>
      </c>
      <c r="O1093" s="493" t="str">
        <f ca="1">IFERROR(IF(VLOOKUP(C1093,' Disaggregation - Section E '!A$315:N830,10,0)=0,"",VLOOKUP(C1093,' Disaggregation - Section E '!A$316:N830,10,0)),"")</f>
        <v/>
      </c>
    </row>
    <row r="1094" spans="1:15" x14ac:dyDescent="0.3">
      <c r="A1094" s="487" t="b">
        <f t="shared" ca="1" si="143"/>
        <v>0</v>
      </c>
      <c r="B1094" s="487"/>
      <c r="C1094" s="507" t="str">
        <f ca="1">IF(COUNTA(D$877:D1094)=1,"",OFFSET(C1094,-COUNTA(D$877:D1094)+1,0))</f>
        <v>a1V3p000004fwuZEAQ</v>
      </c>
      <c r="D1094" s="502"/>
      <c r="E1094" s="490" t="str">
        <f ca="1">IFERROR(IF(VLOOKUP(C1094,' Disaggregation - Section E '!A$316:N831,7,0)=0,"",VLOOKUP(C1094,' Disaggregation - Section E '!A$316:N831,7,0)*100),"")</f>
        <v/>
      </c>
      <c r="F1094" s="487"/>
      <c r="G1094" s="492" t="str">
        <f ca="1">IFERROR(IF(VLOOKUP(C1094,' Disaggregation - Section E '!A$316:N831,6,0)=0,"",VLOOKUP(C1094,' Disaggregation - Section E '!A$316:N831,6,0)),"")</f>
        <v/>
      </c>
      <c r="H1094" s="502" t="str">
        <f ca="1">IFERROR(IF(INDEX(' Disaggregation - Section E '!F$313:F831,MATCH(C1094,' Disaggregation - Section E '!A$313:A831,0)+1,1)&lt;&gt;0,INDEX(' Disaggregation - Section E '!F$313:F831,MATCH(C1094,' Disaggregation - Section E '!A$313:A831,0)+1,1),""),"")</f>
        <v/>
      </c>
      <c r="I1094" s="493" t="str">
        <f ca="1">IFERROR(IF(VLOOKUP(C1094,' Disaggregation - Section E '!A$316:N831,8,0)=0,"",VLOOKUP(C1094,' Disaggregation - Section E '!A$316:N831,8,0)),"")</f>
        <v/>
      </c>
      <c r="J1094" s="493" t="str">
        <f ca="1">IFERROR(IF(VLOOKUP(C1094,' Disaggregation - Section E '!A$316:N831,13,0)=0,"",VLOOKUP(C1094,' Disaggregation - Section E '!A$316:N831,13,0)),"")</f>
        <v/>
      </c>
      <c r="K1094" s="487" t="str">
        <f ca="1">IFERROR(VLOOKUP(C1094,' Disaggregation - Section E '!A$316:N831,3,0),"")</f>
        <v/>
      </c>
      <c r="L1094" s="493" t="str">
        <f ca="1">IFERROR(IF(VLOOKUP(C1094,' Disaggregation - Section E '!A$316:N831,14,0)=0,"",VLOOKUP(C1094,' Disaggregation - Section E '!A$316:N831,14,0)),"")</f>
        <v/>
      </c>
      <c r="M1094" s="487" t="str">
        <f ca="1">IFERROR(IF(VLOOKUP(C1094,' Disaggregation - Section E '!A$316:T831,20,0)=0,"",VLOOKUP(C1094,' Disaggregation - Section E '!A$316:T831,20,0)),"")</f>
        <v/>
      </c>
      <c r="N1094" s="493" t="str">
        <f ca="1">IFERROR(IF(VLOOKUP(C1094,' Disaggregation - Section E '!A$316:N831,9,0)=0,"",VLOOKUP(C1094,' Disaggregation - Section E '!A$316:N831,9,0)),"")</f>
        <v/>
      </c>
      <c r="O1094" s="493" t="str">
        <f ca="1">IFERROR(IF(VLOOKUP(C1094,' Disaggregation - Section E '!A$315:N831,10,0)=0,"",VLOOKUP(C1094,' Disaggregation - Section E '!A$316:N831,10,0)),"")</f>
        <v/>
      </c>
    </row>
    <row r="1095" spans="1:15" x14ac:dyDescent="0.3">
      <c r="A1095" s="487" t="b">
        <f t="shared" ca="1" si="143"/>
        <v>0</v>
      </c>
      <c r="B1095" s="487"/>
      <c r="C1095" s="507" t="str">
        <f ca="1">IF(COUNTA(D$877:D1095)=1,"",OFFSET(C1095,-COUNTA(D$877:D1095)+1,0))</f>
        <v>a1V3p000004fwuaEAA</v>
      </c>
      <c r="D1095" s="502"/>
      <c r="E1095" s="490" t="str">
        <f ca="1">IFERROR(IF(VLOOKUP(C1095,' Disaggregation - Section E '!A$316:N832,7,0)=0,"",VLOOKUP(C1095,' Disaggregation - Section E '!A$316:N832,7,0)*100),"")</f>
        <v/>
      </c>
      <c r="F1095" s="487"/>
      <c r="G1095" s="492" t="str">
        <f ca="1">IFERROR(IF(VLOOKUP(C1095,' Disaggregation - Section E '!A$316:N832,6,0)=0,"",VLOOKUP(C1095,' Disaggregation - Section E '!A$316:N832,6,0)),"")</f>
        <v/>
      </c>
      <c r="H1095" s="502" t="str">
        <f ca="1">IFERROR(IF(INDEX(' Disaggregation - Section E '!F$313:F832,MATCH(C1095,' Disaggregation - Section E '!A$313:A832,0)+1,1)&lt;&gt;0,INDEX(' Disaggregation - Section E '!F$313:F832,MATCH(C1095,' Disaggregation - Section E '!A$313:A832,0)+1,1),""),"")</f>
        <v/>
      </c>
      <c r="I1095" s="493" t="str">
        <f ca="1">IFERROR(IF(VLOOKUP(C1095,' Disaggregation - Section E '!A$316:N832,8,0)=0,"",VLOOKUP(C1095,' Disaggregation - Section E '!A$316:N832,8,0)),"")</f>
        <v/>
      </c>
      <c r="J1095" s="493" t="str">
        <f ca="1">IFERROR(IF(VLOOKUP(C1095,' Disaggregation - Section E '!A$316:N832,13,0)=0,"",VLOOKUP(C1095,' Disaggregation - Section E '!A$316:N832,13,0)),"")</f>
        <v/>
      </c>
      <c r="K1095" s="487" t="str">
        <f ca="1">IFERROR(VLOOKUP(C1095,' Disaggregation - Section E '!A$316:N832,3,0),"")</f>
        <v/>
      </c>
      <c r="L1095" s="493" t="str">
        <f ca="1">IFERROR(IF(VLOOKUP(C1095,' Disaggregation - Section E '!A$316:N832,14,0)=0,"",VLOOKUP(C1095,' Disaggregation - Section E '!A$316:N832,14,0)),"")</f>
        <v/>
      </c>
      <c r="M1095" s="487" t="str">
        <f ca="1">IFERROR(IF(VLOOKUP(C1095,' Disaggregation - Section E '!A$316:T832,20,0)=0,"",VLOOKUP(C1095,' Disaggregation - Section E '!A$316:T832,20,0)),"")</f>
        <v/>
      </c>
      <c r="N1095" s="493" t="str">
        <f ca="1">IFERROR(IF(VLOOKUP(C1095,' Disaggregation - Section E '!A$316:N832,9,0)=0,"",VLOOKUP(C1095,' Disaggregation - Section E '!A$316:N832,9,0)),"")</f>
        <v/>
      </c>
      <c r="O1095" s="493" t="str">
        <f ca="1">IFERROR(IF(VLOOKUP(C1095,' Disaggregation - Section E '!A$315:N832,10,0)=0,"",VLOOKUP(C1095,' Disaggregation - Section E '!A$316:N832,10,0)),"")</f>
        <v/>
      </c>
    </row>
    <row r="1096" spans="1:15" x14ac:dyDescent="0.3">
      <c r="A1096" s="487" t="b">
        <f t="shared" ca="1" si="143"/>
        <v>0</v>
      </c>
      <c r="B1096" s="487"/>
      <c r="C1096" s="507" t="str">
        <f ca="1">IF(COUNTA(D$877:D1096)=1,"",OFFSET(C1096,-COUNTA(D$877:D1096)+1,0))</f>
        <v>a1V3p000004fwubEAA</v>
      </c>
      <c r="D1096" s="502"/>
      <c r="E1096" s="490" t="str">
        <f ca="1">IFERROR(IF(VLOOKUP(C1096,' Disaggregation - Section E '!A$316:N833,7,0)=0,"",VLOOKUP(C1096,' Disaggregation - Section E '!A$316:N833,7,0)*100),"")</f>
        <v/>
      </c>
      <c r="F1096" s="487"/>
      <c r="G1096" s="492" t="str">
        <f ca="1">IFERROR(IF(VLOOKUP(C1096,' Disaggregation - Section E '!A$316:N833,6,0)=0,"",VLOOKUP(C1096,' Disaggregation - Section E '!A$316:N833,6,0)),"")</f>
        <v/>
      </c>
      <c r="H1096" s="502" t="str">
        <f ca="1">IFERROR(IF(INDEX(' Disaggregation - Section E '!F$313:F833,MATCH(C1096,' Disaggregation - Section E '!A$313:A833,0)+1,1)&lt;&gt;0,INDEX(' Disaggregation - Section E '!F$313:F833,MATCH(C1096,' Disaggregation - Section E '!A$313:A833,0)+1,1),""),"")</f>
        <v/>
      </c>
      <c r="I1096" s="493" t="str">
        <f ca="1">IFERROR(IF(VLOOKUP(C1096,' Disaggregation - Section E '!A$316:N833,8,0)=0,"",VLOOKUP(C1096,' Disaggregation - Section E '!A$316:N833,8,0)),"")</f>
        <v/>
      </c>
      <c r="J1096" s="493" t="str">
        <f ca="1">IFERROR(IF(VLOOKUP(C1096,' Disaggregation - Section E '!A$316:N833,13,0)=0,"",VLOOKUP(C1096,' Disaggregation - Section E '!A$316:N833,13,0)),"")</f>
        <v/>
      </c>
      <c r="K1096" s="487" t="str">
        <f ca="1">IFERROR(VLOOKUP(C1096,' Disaggregation - Section E '!A$316:N833,3,0),"")</f>
        <v/>
      </c>
      <c r="L1096" s="493" t="str">
        <f ca="1">IFERROR(IF(VLOOKUP(C1096,' Disaggregation - Section E '!A$316:N833,14,0)=0,"",VLOOKUP(C1096,' Disaggregation - Section E '!A$316:N833,14,0)),"")</f>
        <v/>
      </c>
      <c r="M1096" s="487" t="str">
        <f ca="1">IFERROR(IF(VLOOKUP(C1096,' Disaggregation - Section E '!A$316:T833,20,0)=0,"",VLOOKUP(C1096,' Disaggregation - Section E '!A$316:T833,20,0)),"")</f>
        <v/>
      </c>
      <c r="N1096" s="493" t="str">
        <f ca="1">IFERROR(IF(VLOOKUP(C1096,' Disaggregation - Section E '!A$316:N833,9,0)=0,"",VLOOKUP(C1096,' Disaggregation - Section E '!A$316:N833,9,0)),"")</f>
        <v/>
      </c>
      <c r="O1096" s="493" t="str">
        <f ca="1">IFERROR(IF(VLOOKUP(C1096,' Disaggregation - Section E '!A$315:N833,10,0)=0,"",VLOOKUP(C1096,' Disaggregation - Section E '!A$316:N833,10,0)),"")</f>
        <v/>
      </c>
    </row>
    <row r="1097" spans="1:15" x14ac:dyDescent="0.3">
      <c r="A1097" s="487" t="b">
        <f t="shared" ca="1" si="143"/>
        <v>0</v>
      </c>
      <c r="B1097" s="487"/>
      <c r="C1097" s="507" t="str">
        <f ca="1">IF(COUNTA(D$877:D1097)=1,"",OFFSET(C1097,-COUNTA(D$877:D1097)+1,0))</f>
        <v>a1V3p000004fwucEAA</v>
      </c>
      <c r="D1097" s="502"/>
      <c r="E1097" s="490" t="str">
        <f ca="1">IFERROR(IF(VLOOKUP(C1097,' Disaggregation - Section E '!A$316:N834,7,0)=0,"",VLOOKUP(C1097,' Disaggregation - Section E '!A$316:N834,7,0)*100),"")</f>
        <v/>
      </c>
      <c r="F1097" s="487"/>
      <c r="G1097" s="492" t="str">
        <f ca="1">IFERROR(IF(VLOOKUP(C1097,' Disaggregation - Section E '!A$316:N834,6,0)=0,"",VLOOKUP(C1097,' Disaggregation - Section E '!A$316:N834,6,0)),"")</f>
        <v/>
      </c>
      <c r="H1097" s="502" t="str">
        <f ca="1">IFERROR(IF(INDEX(' Disaggregation - Section E '!F$313:F834,MATCH(C1097,' Disaggregation - Section E '!A$313:A834,0)+1,1)&lt;&gt;0,INDEX(' Disaggregation - Section E '!F$313:F834,MATCH(C1097,' Disaggregation - Section E '!A$313:A834,0)+1,1),""),"")</f>
        <v/>
      </c>
      <c r="I1097" s="493" t="str">
        <f ca="1">IFERROR(IF(VLOOKUP(C1097,' Disaggregation - Section E '!A$316:N834,8,0)=0,"",VLOOKUP(C1097,' Disaggregation - Section E '!A$316:N834,8,0)),"")</f>
        <v/>
      </c>
      <c r="J1097" s="493" t="str">
        <f ca="1">IFERROR(IF(VLOOKUP(C1097,' Disaggregation - Section E '!A$316:N834,13,0)=0,"",VLOOKUP(C1097,' Disaggregation - Section E '!A$316:N834,13,0)),"")</f>
        <v/>
      </c>
      <c r="K1097" s="487" t="str">
        <f ca="1">IFERROR(VLOOKUP(C1097,' Disaggregation - Section E '!A$316:N834,3,0),"")</f>
        <v/>
      </c>
      <c r="L1097" s="493" t="str">
        <f ca="1">IFERROR(IF(VLOOKUP(C1097,' Disaggregation - Section E '!A$316:N834,14,0)=0,"",VLOOKUP(C1097,' Disaggregation - Section E '!A$316:N834,14,0)),"")</f>
        <v/>
      </c>
      <c r="M1097" s="487" t="str">
        <f ca="1">IFERROR(IF(VLOOKUP(C1097,' Disaggregation - Section E '!A$316:T834,20,0)=0,"",VLOOKUP(C1097,' Disaggregation - Section E '!A$316:T834,20,0)),"")</f>
        <v/>
      </c>
      <c r="N1097" s="493" t="str">
        <f ca="1">IFERROR(IF(VLOOKUP(C1097,' Disaggregation - Section E '!A$316:N834,9,0)=0,"",VLOOKUP(C1097,' Disaggregation - Section E '!A$316:N834,9,0)),"")</f>
        <v/>
      </c>
      <c r="O1097" s="493" t="str">
        <f ca="1">IFERROR(IF(VLOOKUP(C1097,' Disaggregation - Section E '!A$315:N834,10,0)=0,"",VLOOKUP(C1097,' Disaggregation - Section E '!A$316:N834,10,0)),"")</f>
        <v/>
      </c>
    </row>
    <row r="1098" spans="1:15" x14ac:dyDescent="0.3">
      <c r="A1098" s="487" t="b">
        <f t="shared" ca="1" si="143"/>
        <v>0</v>
      </c>
      <c r="B1098" s="487"/>
      <c r="C1098" s="507" t="str">
        <f ca="1">IF(COUNTA(D$877:D1098)=1,"",OFFSET(C1098,-COUNTA(D$877:D1098)+1,0))</f>
        <v>a1V3p000004fwudEAA</v>
      </c>
      <c r="D1098" s="502"/>
      <c r="E1098" s="490" t="str">
        <f ca="1">IFERROR(IF(VLOOKUP(C1098,' Disaggregation - Section E '!A$316:N835,7,0)=0,"",VLOOKUP(C1098,' Disaggregation - Section E '!A$316:N835,7,0)*100),"")</f>
        <v/>
      </c>
      <c r="F1098" s="487"/>
      <c r="G1098" s="492" t="str">
        <f ca="1">IFERROR(IF(VLOOKUP(C1098,' Disaggregation - Section E '!A$316:N835,6,0)=0,"",VLOOKUP(C1098,' Disaggregation - Section E '!A$316:N835,6,0)),"")</f>
        <v/>
      </c>
      <c r="H1098" s="502" t="str">
        <f ca="1">IFERROR(IF(INDEX(' Disaggregation - Section E '!F$313:F835,MATCH(C1098,' Disaggregation - Section E '!A$313:A835,0)+1,1)&lt;&gt;0,INDEX(' Disaggregation - Section E '!F$313:F835,MATCH(C1098,' Disaggregation - Section E '!A$313:A835,0)+1,1),""),"")</f>
        <v/>
      </c>
      <c r="I1098" s="493" t="str">
        <f ca="1">IFERROR(IF(VLOOKUP(C1098,' Disaggregation - Section E '!A$316:N835,8,0)=0,"",VLOOKUP(C1098,' Disaggregation - Section E '!A$316:N835,8,0)),"")</f>
        <v/>
      </c>
      <c r="J1098" s="493" t="str">
        <f ca="1">IFERROR(IF(VLOOKUP(C1098,' Disaggregation - Section E '!A$316:N835,13,0)=0,"",VLOOKUP(C1098,' Disaggregation - Section E '!A$316:N835,13,0)),"")</f>
        <v/>
      </c>
      <c r="K1098" s="487" t="str">
        <f ca="1">IFERROR(VLOOKUP(C1098,' Disaggregation - Section E '!A$316:N835,3,0),"")</f>
        <v/>
      </c>
      <c r="L1098" s="493" t="str">
        <f ca="1">IFERROR(IF(VLOOKUP(C1098,' Disaggregation - Section E '!A$316:N835,14,0)=0,"",VLOOKUP(C1098,' Disaggregation - Section E '!A$316:N835,14,0)),"")</f>
        <v/>
      </c>
      <c r="M1098" s="487" t="str">
        <f ca="1">IFERROR(IF(VLOOKUP(C1098,' Disaggregation - Section E '!A$316:T835,20,0)=0,"",VLOOKUP(C1098,' Disaggregation - Section E '!A$316:T835,20,0)),"")</f>
        <v/>
      </c>
      <c r="N1098" s="493" t="str">
        <f ca="1">IFERROR(IF(VLOOKUP(C1098,' Disaggregation - Section E '!A$316:N835,9,0)=0,"",VLOOKUP(C1098,' Disaggregation - Section E '!A$316:N835,9,0)),"")</f>
        <v/>
      </c>
      <c r="O1098" s="493" t="str">
        <f ca="1">IFERROR(IF(VLOOKUP(C1098,' Disaggregation - Section E '!A$315:N835,10,0)=0,"",VLOOKUP(C1098,' Disaggregation - Section E '!A$316:N835,10,0)),"")</f>
        <v/>
      </c>
    </row>
    <row r="1099" spans="1:15" x14ac:dyDescent="0.3">
      <c r="A1099" s="487" t="b">
        <f t="shared" ca="1" si="143"/>
        <v>0</v>
      </c>
      <c r="B1099" s="487"/>
      <c r="C1099" s="507" t="str">
        <f ca="1">IF(COUNTA(D$877:D1099)=1,"",OFFSET(C1099,-COUNTA(D$877:D1099)+1,0))</f>
        <v>a1V3p000004fwueEAA</v>
      </c>
      <c r="D1099" s="502"/>
      <c r="E1099" s="490" t="str">
        <f ca="1">IFERROR(IF(VLOOKUP(C1099,' Disaggregation - Section E '!A$316:N836,7,0)=0,"",VLOOKUP(C1099,' Disaggregation - Section E '!A$316:N836,7,0)*100),"")</f>
        <v/>
      </c>
      <c r="F1099" s="487"/>
      <c r="G1099" s="492" t="str">
        <f ca="1">IFERROR(IF(VLOOKUP(C1099,' Disaggregation - Section E '!A$316:N836,6,0)=0,"",VLOOKUP(C1099,' Disaggregation - Section E '!A$316:N836,6,0)),"")</f>
        <v/>
      </c>
      <c r="H1099" s="502" t="str">
        <f ca="1">IFERROR(IF(INDEX(' Disaggregation - Section E '!F$313:F836,MATCH(C1099,' Disaggregation - Section E '!A$313:A836,0)+1,1)&lt;&gt;0,INDEX(' Disaggregation - Section E '!F$313:F836,MATCH(C1099,' Disaggregation - Section E '!A$313:A836,0)+1,1),""),"")</f>
        <v/>
      </c>
      <c r="I1099" s="493" t="str">
        <f ca="1">IFERROR(IF(VLOOKUP(C1099,' Disaggregation - Section E '!A$316:N836,8,0)=0,"",VLOOKUP(C1099,' Disaggregation - Section E '!A$316:N836,8,0)),"")</f>
        <v/>
      </c>
      <c r="J1099" s="493" t="str">
        <f ca="1">IFERROR(IF(VLOOKUP(C1099,' Disaggregation - Section E '!A$316:N836,13,0)=0,"",VLOOKUP(C1099,' Disaggregation - Section E '!A$316:N836,13,0)),"")</f>
        <v/>
      </c>
      <c r="K1099" s="487" t="str">
        <f ca="1">IFERROR(VLOOKUP(C1099,' Disaggregation - Section E '!A$316:N836,3,0),"")</f>
        <v/>
      </c>
      <c r="L1099" s="493" t="str">
        <f ca="1">IFERROR(IF(VLOOKUP(C1099,' Disaggregation - Section E '!A$316:N836,14,0)=0,"",VLOOKUP(C1099,' Disaggregation - Section E '!A$316:N836,14,0)),"")</f>
        <v/>
      </c>
      <c r="M1099" s="487" t="str">
        <f ca="1">IFERROR(IF(VLOOKUP(C1099,' Disaggregation - Section E '!A$316:T836,20,0)=0,"",VLOOKUP(C1099,' Disaggregation - Section E '!A$316:T836,20,0)),"")</f>
        <v/>
      </c>
      <c r="N1099" s="493" t="str">
        <f ca="1">IFERROR(IF(VLOOKUP(C1099,' Disaggregation - Section E '!A$316:N836,9,0)=0,"",VLOOKUP(C1099,' Disaggregation - Section E '!A$316:N836,9,0)),"")</f>
        <v/>
      </c>
      <c r="O1099" s="493" t="str">
        <f ca="1">IFERROR(IF(VLOOKUP(C1099,' Disaggregation - Section E '!A$315:N836,10,0)=0,"",VLOOKUP(C1099,' Disaggregation - Section E '!A$316:N836,10,0)),"")</f>
        <v/>
      </c>
    </row>
    <row r="1100" spans="1:15" x14ac:dyDescent="0.3">
      <c r="A1100" s="487" t="b">
        <f t="shared" ca="1" si="143"/>
        <v>0</v>
      </c>
      <c r="B1100" s="487"/>
      <c r="C1100" s="507" t="str">
        <f ca="1">IF(COUNTA(D$877:D1100)=1,"",OFFSET(C1100,-COUNTA(D$877:D1100)+1,0))</f>
        <v>a1V3p000004fwufEAA</v>
      </c>
      <c r="D1100" s="502"/>
      <c r="E1100" s="490" t="str">
        <f ca="1">IFERROR(IF(VLOOKUP(C1100,' Disaggregation - Section E '!A$316:N837,7,0)=0,"",VLOOKUP(C1100,' Disaggregation - Section E '!A$316:N837,7,0)*100),"")</f>
        <v/>
      </c>
      <c r="F1100" s="487"/>
      <c r="G1100" s="492" t="str">
        <f ca="1">IFERROR(IF(VLOOKUP(C1100,' Disaggregation - Section E '!A$316:N837,6,0)=0,"",VLOOKUP(C1100,' Disaggregation - Section E '!A$316:N837,6,0)),"")</f>
        <v/>
      </c>
      <c r="H1100" s="502" t="str">
        <f ca="1">IFERROR(IF(INDEX(' Disaggregation - Section E '!F$313:F837,MATCH(C1100,' Disaggregation - Section E '!A$313:A837,0)+1,1)&lt;&gt;0,INDEX(' Disaggregation - Section E '!F$313:F837,MATCH(C1100,' Disaggregation - Section E '!A$313:A837,0)+1,1),""),"")</f>
        <v/>
      </c>
      <c r="I1100" s="493" t="str">
        <f ca="1">IFERROR(IF(VLOOKUP(C1100,' Disaggregation - Section E '!A$316:N837,8,0)=0,"",VLOOKUP(C1100,' Disaggregation - Section E '!A$316:N837,8,0)),"")</f>
        <v/>
      </c>
      <c r="J1100" s="493" t="str">
        <f ca="1">IFERROR(IF(VLOOKUP(C1100,' Disaggregation - Section E '!A$316:N837,13,0)=0,"",VLOOKUP(C1100,' Disaggregation - Section E '!A$316:N837,13,0)),"")</f>
        <v/>
      </c>
      <c r="K1100" s="487" t="str">
        <f ca="1">IFERROR(VLOOKUP(C1100,' Disaggregation - Section E '!A$316:N837,3,0),"")</f>
        <v/>
      </c>
      <c r="L1100" s="493" t="str">
        <f ca="1">IFERROR(IF(VLOOKUP(C1100,' Disaggregation - Section E '!A$316:N837,14,0)=0,"",VLOOKUP(C1100,' Disaggregation - Section E '!A$316:N837,14,0)),"")</f>
        <v/>
      </c>
      <c r="M1100" s="487" t="str">
        <f ca="1">IFERROR(IF(VLOOKUP(C1100,' Disaggregation - Section E '!A$316:T837,20,0)=0,"",VLOOKUP(C1100,' Disaggregation - Section E '!A$316:T837,20,0)),"")</f>
        <v/>
      </c>
      <c r="N1100" s="493" t="str">
        <f ca="1">IFERROR(IF(VLOOKUP(C1100,' Disaggregation - Section E '!A$316:N837,9,0)=0,"",VLOOKUP(C1100,' Disaggregation - Section E '!A$316:N837,9,0)),"")</f>
        <v/>
      </c>
      <c r="O1100" s="493" t="str">
        <f ca="1">IFERROR(IF(VLOOKUP(C1100,' Disaggregation - Section E '!A$315:N837,10,0)=0,"",VLOOKUP(C1100,' Disaggregation - Section E '!A$316:N837,10,0)),"")</f>
        <v/>
      </c>
    </row>
    <row r="1101" spans="1:15" x14ac:dyDescent="0.3">
      <c r="A1101" s="487" t="b">
        <f t="shared" ca="1" si="143"/>
        <v>0</v>
      </c>
      <c r="B1101" s="487"/>
      <c r="C1101" s="507" t="str">
        <f ca="1">IF(COUNTA(D$877:D1101)=1,"",OFFSET(C1101,-COUNTA(D$877:D1101)+1,0))</f>
        <v>a1V3p000004fwugEAA</v>
      </c>
      <c r="D1101" s="502"/>
      <c r="E1101" s="490" t="str">
        <f ca="1">IFERROR(IF(VLOOKUP(C1101,' Disaggregation - Section E '!A$316:N838,7,0)=0,"",VLOOKUP(C1101,' Disaggregation - Section E '!A$316:N838,7,0)*100),"")</f>
        <v/>
      </c>
      <c r="F1101" s="487"/>
      <c r="G1101" s="492" t="str">
        <f ca="1">IFERROR(IF(VLOOKUP(C1101,' Disaggregation - Section E '!A$316:N838,6,0)=0,"",VLOOKUP(C1101,' Disaggregation - Section E '!A$316:N838,6,0)),"")</f>
        <v/>
      </c>
      <c r="H1101" s="502" t="str">
        <f ca="1">IFERROR(IF(INDEX(' Disaggregation - Section E '!F$313:F838,MATCH(C1101,' Disaggregation - Section E '!A$313:A838,0)+1,1)&lt;&gt;0,INDEX(' Disaggregation - Section E '!F$313:F838,MATCH(C1101,' Disaggregation - Section E '!A$313:A838,0)+1,1),""),"")</f>
        <v/>
      </c>
      <c r="I1101" s="493" t="str">
        <f ca="1">IFERROR(IF(VLOOKUP(C1101,' Disaggregation - Section E '!A$316:N838,8,0)=0,"",VLOOKUP(C1101,' Disaggregation - Section E '!A$316:N838,8,0)),"")</f>
        <v/>
      </c>
      <c r="J1101" s="493" t="str">
        <f ca="1">IFERROR(IF(VLOOKUP(C1101,' Disaggregation - Section E '!A$316:N838,13,0)=0,"",VLOOKUP(C1101,' Disaggregation - Section E '!A$316:N838,13,0)),"")</f>
        <v/>
      </c>
      <c r="K1101" s="487" t="str">
        <f ca="1">IFERROR(VLOOKUP(C1101,' Disaggregation - Section E '!A$316:N838,3,0),"")</f>
        <v/>
      </c>
      <c r="L1101" s="493" t="str">
        <f ca="1">IFERROR(IF(VLOOKUP(C1101,' Disaggregation - Section E '!A$316:N838,14,0)=0,"",VLOOKUP(C1101,' Disaggregation - Section E '!A$316:N838,14,0)),"")</f>
        <v/>
      </c>
      <c r="M1101" s="487" t="str">
        <f ca="1">IFERROR(IF(VLOOKUP(C1101,' Disaggregation - Section E '!A$316:T838,20,0)=0,"",VLOOKUP(C1101,' Disaggregation - Section E '!A$316:T838,20,0)),"")</f>
        <v/>
      </c>
      <c r="N1101" s="493" t="str">
        <f ca="1">IFERROR(IF(VLOOKUP(C1101,' Disaggregation - Section E '!A$316:N838,9,0)=0,"",VLOOKUP(C1101,' Disaggregation - Section E '!A$316:N838,9,0)),"")</f>
        <v/>
      </c>
      <c r="O1101" s="493" t="str">
        <f ca="1">IFERROR(IF(VLOOKUP(C1101,' Disaggregation - Section E '!A$315:N838,10,0)=0,"",VLOOKUP(C1101,' Disaggregation - Section E '!A$316:N838,10,0)),"")</f>
        <v/>
      </c>
    </row>
    <row r="1102" spans="1:15" x14ac:dyDescent="0.3">
      <c r="A1102" s="487" t="b">
        <f t="shared" ca="1" si="143"/>
        <v>0</v>
      </c>
      <c r="B1102" s="487"/>
      <c r="C1102" s="507" t="str">
        <f ca="1">IF(COUNTA(D$877:D1102)=1,"",OFFSET(C1102,-COUNTA(D$877:D1102)+1,0))</f>
        <v>a1V3p000004fwuhEAA</v>
      </c>
      <c r="D1102" s="502"/>
      <c r="E1102" s="490" t="str">
        <f ca="1">IFERROR(IF(VLOOKUP(C1102,' Disaggregation - Section E '!A$316:N839,7,0)=0,"",VLOOKUP(C1102,' Disaggregation - Section E '!A$316:N839,7,0)*100),"")</f>
        <v/>
      </c>
      <c r="F1102" s="487"/>
      <c r="G1102" s="492" t="str">
        <f ca="1">IFERROR(IF(VLOOKUP(C1102,' Disaggregation - Section E '!A$316:N839,6,0)=0,"",VLOOKUP(C1102,' Disaggregation - Section E '!A$316:N839,6,0)),"")</f>
        <v/>
      </c>
      <c r="H1102" s="502" t="str">
        <f ca="1">IFERROR(IF(INDEX(' Disaggregation - Section E '!F$313:F839,MATCH(C1102,' Disaggregation - Section E '!A$313:A839,0)+1,1)&lt;&gt;0,INDEX(' Disaggregation - Section E '!F$313:F839,MATCH(C1102,' Disaggregation - Section E '!A$313:A839,0)+1,1),""),"")</f>
        <v/>
      </c>
      <c r="I1102" s="493" t="str">
        <f ca="1">IFERROR(IF(VLOOKUP(C1102,' Disaggregation - Section E '!A$316:N839,8,0)=0,"",VLOOKUP(C1102,' Disaggregation - Section E '!A$316:N839,8,0)),"")</f>
        <v/>
      </c>
      <c r="J1102" s="493" t="str">
        <f ca="1">IFERROR(IF(VLOOKUP(C1102,' Disaggregation - Section E '!A$316:N839,13,0)=0,"",VLOOKUP(C1102,' Disaggregation - Section E '!A$316:N839,13,0)),"")</f>
        <v/>
      </c>
      <c r="K1102" s="487" t="str">
        <f ca="1">IFERROR(VLOOKUP(C1102,' Disaggregation - Section E '!A$316:N839,3,0),"")</f>
        <v/>
      </c>
      <c r="L1102" s="493" t="str">
        <f ca="1">IFERROR(IF(VLOOKUP(C1102,' Disaggregation - Section E '!A$316:N839,14,0)=0,"",VLOOKUP(C1102,' Disaggregation - Section E '!A$316:N839,14,0)),"")</f>
        <v/>
      </c>
      <c r="M1102" s="487" t="str">
        <f ca="1">IFERROR(IF(VLOOKUP(C1102,' Disaggregation - Section E '!A$316:T839,20,0)=0,"",VLOOKUP(C1102,' Disaggregation - Section E '!A$316:T839,20,0)),"")</f>
        <v/>
      </c>
      <c r="N1102" s="493" t="str">
        <f ca="1">IFERROR(IF(VLOOKUP(C1102,' Disaggregation - Section E '!A$316:N839,9,0)=0,"",VLOOKUP(C1102,' Disaggregation - Section E '!A$316:N839,9,0)),"")</f>
        <v/>
      </c>
      <c r="O1102" s="493" t="str">
        <f ca="1">IFERROR(IF(VLOOKUP(C1102,' Disaggregation - Section E '!A$315:N839,10,0)=0,"",VLOOKUP(C1102,' Disaggregation - Section E '!A$316:N839,10,0)),"")</f>
        <v/>
      </c>
    </row>
    <row r="1103" spans="1:15" x14ac:dyDescent="0.3">
      <c r="A1103" s="487" t="b">
        <f t="shared" ca="1" si="143"/>
        <v>0</v>
      </c>
      <c r="B1103" s="487"/>
      <c r="C1103" s="507" t="str">
        <f ca="1">IF(COUNTA(D$877:D1103)=1,"",OFFSET(C1103,-COUNTA(D$877:D1103)+1,0))</f>
        <v>a1V3p000004fwuiEAA</v>
      </c>
      <c r="D1103" s="502"/>
      <c r="E1103" s="490" t="str">
        <f ca="1">IFERROR(IF(VLOOKUP(C1103,' Disaggregation - Section E '!A$316:N840,7,0)=0,"",VLOOKUP(C1103,' Disaggregation - Section E '!A$316:N840,7,0)*100),"")</f>
        <v/>
      </c>
      <c r="F1103" s="487"/>
      <c r="G1103" s="492" t="str">
        <f ca="1">IFERROR(IF(VLOOKUP(C1103,' Disaggregation - Section E '!A$316:N840,6,0)=0,"",VLOOKUP(C1103,' Disaggregation - Section E '!A$316:N840,6,0)),"")</f>
        <v/>
      </c>
      <c r="H1103" s="502" t="str">
        <f ca="1">IFERROR(IF(INDEX(' Disaggregation - Section E '!F$313:F840,MATCH(C1103,' Disaggregation - Section E '!A$313:A840,0)+1,1)&lt;&gt;0,INDEX(' Disaggregation - Section E '!F$313:F840,MATCH(C1103,' Disaggregation - Section E '!A$313:A840,0)+1,1),""),"")</f>
        <v/>
      </c>
      <c r="I1103" s="493" t="str">
        <f ca="1">IFERROR(IF(VLOOKUP(C1103,' Disaggregation - Section E '!A$316:N840,8,0)=0,"",VLOOKUP(C1103,' Disaggregation - Section E '!A$316:N840,8,0)),"")</f>
        <v/>
      </c>
      <c r="J1103" s="493" t="str">
        <f ca="1">IFERROR(IF(VLOOKUP(C1103,' Disaggregation - Section E '!A$316:N840,13,0)=0,"",VLOOKUP(C1103,' Disaggregation - Section E '!A$316:N840,13,0)),"")</f>
        <v/>
      </c>
      <c r="K1103" s="487" t="str">
        <f ca="1">IFERROR(VLOOKUP(C1103,' Disaggregation - Section E '!A$316:N840,3,0),"")</f>
        <v/>
      </c>
      <c r="L1103" s="493" t="str">
        <f ca="1">IFERROR(IF(VLOOKUP(C1103,' Disaggregation - Section E '!A$316:N840,14,0)=0,"",VLOOKUP(C1103,' Disaggregation - Section E '!A$316:N840,14,0)),"")</f>
        <v/>
      </c>
      <c r="M1103" s="487" t="str">
        <f ca="1">IFERROR(IF(VLOOKUP(C1103,' Disaggregation - Section E '!A$316:T840,20,0)=0,"",VLOOKUP(C1103,' Disaggregation - Section E '!A$316:T840,20,0)),"")</f>
        <v/>
      </c>
      <c r="N1103" s="493" t="str">
        <f ca="1">IFERROR(IF(VLOOKUP(C1103,' Disaggregation - Section E '!A$316:N840,9,0)=0,"",VLOOKUP(C1103,' Disaggregation - Section E '!A$316:N840,9,0)),"")</f>
        <v/>
      </c>
      <c r="O1103" s="493" t="str">
        <f ca="1">IFERROR(IF(VLOOKUP(C1103,' Disaggregation - Section E '!A$315:N840,10,0)=0,"",VLOOKUP(C1103,' Disaggregation - Section E '!A$316:N840,10,0)),"")</f>
        <v/>
      </c>
    </row>
    <row r="1104" spans="1:15" x14ac:dyDescent="0.3">
      <c r="A1104" s="487" t="b">
        <f t="shared" ca="1" si="143"/>
        <v>0</v>
      </c>
      <c r="B1104" s="487"/>
      <c r="C1104" s="507" t="str">
        <f ca="1">IF(COUNTA(D$877:D1104)=1,"",OFFSET(C1104,-COUNTA(D$877:D1104)+1,0))</f>
        <v>a1V3p000004fwujEAA</v>
      </c>
      <c r="D1104" s="502"/>
      <c r="E1104" s="490" t="str">
        <f ca="1">IFERROR(IF(VLOOKUP(C1104,' Disaggregation - Section E '!A$316:N841,7,0)=0,"",VLOOKUP(C1104,' Disaggregation - Section E '!A$316:N841,7,0)*100),"")</f>
        <v/>
      </c>
      <c r="F1104" s="487"/>
      <c r="G1104" s="492" t="str">
        <f ca="1">IFERROR(IF(VLOOKUP(C1104,' Disaggregation - Section E '!A$316:N841,6,0)=0,"",VLOOKUP(C1104,' Disaggregation - Section E '!A$316:N841,6,0)),"")</f>
        <v/>
      </c>
      <c r="H1104" s="502" t="str">
        <f ca="1">IFERROR(IF(INDEX(' Disaggregation - Section E '!F$313:F841,MATCH(C1104,' Disaggregation - Section E '!A$313:A841,0)+1,1)&lt;&gt;0,INDEX(' Disaggregation - Section E '!F$313:F841,MATCH(C1104,' Disaggregation - Section E '!A$313:A841,0)+1,1),""),"")</f>
        <v/>
      </c>
      <c r="I1104" s="493" t="str">
        <f ca="1">IFERROR(IF(VLOOKUP(C1104,' Disaggregation - Section E '!A$316:N841,8,0)=0,"",VLOOKUP(C1104,' Disaggregation - Section E '!A$316:N841,8,0)),"")</f>
        <v/>
      </c>
      <c r="J1104" s="493" t="str">
        <f ca="1">IFERROR(IF(VLOOKUP(C1104,' Disaggregation - Section E '!A$316:N841,13,0)=0,"",VLOOKUP(C1104,' Disaggregation - Section E '!A$316:N841,13,0)),"")</f>
        <v/>
      </c>
      <c r="K1104" s="487" t="str">
        <f ca="1">IFERROR(VLOOKUP(C1104,' Disaggregation - Section E '!A$316:N841,3,0),"")</f>
        <v/>
      </c>
      <c r="L1104" s="493" t="str">
        <f ca="1">IFERROR(IF(VLOOKUP(C1104,' Disaggregation - Section E '!A$316:N841,14,0)=0,"",VLOOKUP(C1104,' Disaggregation - Section E '!A$316:N841,14,0)),"")</f>
        <v/>
      </c>
      <c r="M1104" s="487" t="str">
        <f ca="1">IFERROR(IF(VLOOKUP(C1104,' Disaggregation - Section E '!A$316:T841,20,0)=0,"",VLOOKUP(C1104,' Disaggregation - Section E '!A$316:T841,20,0)),"")</f>
        <v/>
      </c>
      <c r="N1104" s="493" t="str">
        <f ca="1">IFERROR(IF(VLOOKUP(C1104,' Disaggregation - Section E '!A$316:N841,9,0)=0,"",VLOOKUP(C1104,' Disaggregation - Section E '!A$316:N841,9,0)),"")</f>
        <v/>
      </c>
      <c r="O1104" s="493" t="str">
        <f ca="1">IFERROR(IF(VLOOKUP(C1104,' Disaggregation - Section E '!A$315:N841,10,0)=0,"",VLOOKUP(C1104,' Disaggregation - Section E '!A$316:N841,10,0)),"")</f>
        <v/>
      </c>
    </row>
    <row r="1105" spans="1:15" x14ac:dyDescent="0.3">
      <c r="A1105" s="487" t="b">
        <f t="shared" ca="1" si="143"/>
        <v>0</v>
      </c>
      <c r="B1105" s="487"/>
      <c r="C1105" s="507" t="str">
        <f ca="1">IF(COUNTA(D$877:D1105)=1,"",OFFSET(C1105,-COUNTA(D$877:D1105)+1,0))</f>
        <v>a1V3p000004fwukEAA</v>
      </c>
      <c r="D1105" s="502"/>
      <c r="E1105" s="490" t="str">
        <f ca="1">IFERROR(IF(VLOOKUP(C1105,' Disaggregation - Section E '!A$316:N842,7,0)=0,"",VLOOKUP(C1105,' Disaggregation - Section E '!A$316:N842,7,0)*100),"")</f>
        <v/>
      </c>
      <c r="F1105" s="487"/>
      <c r="G1105" s="492" t="str">
        <f ca="1">IFERROR(IF(VLOOKUP(C1105,' Disaggregation - Section E '!A$316:N842,6,0)=0,"",VLOOKUP(C1105,' Disaggregation - Section E '!A$316:N842,6,0)),"")</f>
        <v/>
      </c>
      <c r="H1105" s="502" t="str">
        <f ca="1">IFERROR(IF(INDEX(' Disaggregation - Section E '!F$313:F842,MATCH(C1105,' Disaggregation - Section E '!A$313:A842,0)+1,1)&lt;&gt;0,INDEX(' Disaggregation - Section E '!F$313:F842,MATCH(C1105,' Disaggregation - Section E '!A$313:A842,0)+1,1),""),"")</f>
        <v/>
      </c>
      <c r="I1105" s="493" t="str">
        <f ca="1">IFERROR(IF(VLOOKUP(C1105,' Disaggregation - Section E '!A$316:N842,8,0)=0,"",VLOOKUP(C1105,' Disaggregation - Section E '!A$316:N842,8,0)),"")</f>
        <v/>
      </c>
      <c r="J1105" s="493" t="str">
        <f ca="1">IFERROR(IF(VLOOKUP(C1105,' Disaggregation - Section E '!A$316:N842,13,0)=0,"",VLOOKUP(C1105,' Disaggregation - Section E '!A$316:N842,13,0)),"")</f>
        <v/>
      </c>
      <c r="K1105" s="487" t="str">
        <f ca="1">IFERROR(VLOOKUP(C1105,' Disaggregation - Section E '!A$316:N842,3,0),"")</f>
        <v/>
      </c>
      <c r="L1105" s="493" t="str">
        <f ca="1">IFERROR(IF(VLOOKUP(C1105,' Disaggregation - Section E '!A$316:N842,14,0)=0,"",VLOOKUP(C1105,' Disaggregation - Section E '!A$316:N842,14,0)),"")</f>
        <v/>
      </c>
      <c r="M1105" s="487" t="str">
        <f ca="1">IFERROR(IF(VLOOKUP(C1105,' Disaggregation - Section E '!A$316:T842,20,0)=0,"",VLOOKUP(C1105,' Disaggregation - Section E '!A$316:T842,20,0)),"")</f>
        <v/>
      </c>
      <c r="N1105" s="493" t="str">
        <f ca="1">IFERROR(IF(VLOOKUP(C1105,' Disaggregation - Section E '!A$316:N842,9,0)=0,"",VLOOKUP(C1105,' Disaggregation - Section E '!A$316:N842,9,0)),"")</f>
        <v/>
      </c>
      <c r="O1105" s="493" t="str">
        <f ca="1">IFERROR(IF(VLOOKUP(C1105,' Disaggregation - Section E '!A$315:N842,10,0)=0,"",VLOOKUP(C1105,' Disaggregation - Section E '!A$316:N842,10,0)),"")</f>
        <v/>
      </c>
    </row>
    <row r="1106" spans="1:15" x14ac:dyDescent="0.3">
      <c r="A1106" s="487" t="b">
        <f t="shared" ca="1" si="143"/>
        <v>0</v>
      </c>
      <c r="B1106" s="487"/>
      <c r="C1106" s="507" t="str">
        <f ca="1">IF(COUNTA(D$877:D1106)=1,"",OFFSET(C1106,-COUNTA(D$877:D1106)+1,0))</f>
        <v>a1V3p000004fwulEAA</v>
      </c>
      <c r="D1106" s="502"/>
      <c r="E1106" s="490" t="str">
        <f ca="1">IFERROR(IF(VLOOKUP(C1106,' Disaggregation - Section E '!A$316:N843,7,0)=0,"",VLOOKUP(C1106,' Disaggregation - Section E '!A$316:N843,7,0)*100),"")</f>
        <v/>
      </c>
      <c r="F1106" s="487"/>
      <c r="G1106" s="492" t="str">
        <f ca="1">IFERROR(IF(VLOOKUP(C1106,' Disaggregation - Section E '!A$316:N843,6,0)=0,"",VLOOKUP(C1106,' Disaggregation - Section E '!A$316:N843,6,0)),"")</f>
        <v/>
      </c>
      <c r="H1106" s="502" t="str">
        <f ca="1">IFERROR(IF(INDEX(' Disaggregation - Section E '!F$313:F843,MATCH(C1106,' Disaggregation - Section E '!A$313:A843,0)+1,1)&lt;&gt;0,INDEX(' Disaggregation - Section E '!F$313:F843,MATCH(C1106,' Disaggregation - Section E '!A$313:A843,0)+1,1),""),"")</f>
        <v/>
      </c>
      <c r="I1106" s="493" t="str">
        <f ca="1">IFERROR(IF(VLOOKUP(C1106,' Disaggregation - Section E '!A$316:N843,8,0)=0,"",VLOOKUP(C1106,' Disaggregation - Section E '!A$316:N843,8,0)),"")</f>
        <v/>
      </c>
      <c r="J1106" s="493" t="str">
        <f ca="1">IFERROR(IF(VLOOKUP(C1106,' Disaggregation - Section E '!A$316:N843,13,0)=0,"",VLOOKUP(C1106,' Disaggregation - Section E '!A$316:N843,13,0)),"")</f>
        <v/>
      </c>
      <c r="K1106" s="487" t="str">
        <f ca="1">IFERROR(VLOOKUP(C1106,' Disaggregation - Section E '!A$316:N843,3,0),"")</f>
        <v/>
      </c>
      <c r="L1106" s="493" t="str">
        <f ca="1">IFERROR(IF(VLOOKUP(C1106,' Disaggregation - Section E '!A$316:N843,14,0)=0,"",VLOOKUP(C1106,' Disaggregation - Section E '!A$316:N843,14,0)),"")</f>
        <v/>
      </c>
      <c r="M1106" s="487" t="str">
        <f ca="1">IFERROR(IF(VLOOKUP(C1106,' Disaggregation - Section E '!A$316:T843,20,0)=0,"",VLOOKUP(C1106,' Disaggregation - Section E '!A$316:T843,20,0)),"")</f>
        <v/>
      </c>
      <c r="N1106" s="493" t="str">
        <f ca="1">IFERROR(IF(VLOOKUP(C1106,' Disaggregation - Section E '!A$316:N843,9,0)=0,"",VLOOKUP(C1106,' Disaggregation - Section E '!A$316:N843,9,0)),"")</f>
        <v/>
      </c>
      <c r="O1106" s="493" t="str">
        <f ca="1">IFERROR(IF(VLOOKUP(C1106,' Disaggregation - Section E '!A$315:N843,10,0)=0,"",VLOOKUP(C1106,' Disaggregation - Section E '!A$316:N843,10,0)),"")</f>
        <v/>
      </c>
    </row>
    <row r="1107" spans="1:15" x14ac:dyDescent="0.3">
      <c r="A1107" s="487" t="b">
        <f t="shared" ca="1" si="143"/>
        <v>0</v>
      </c>
      <c r="B1107" s="487"/>
      <c r="C1107" s="507" t="str">
        <f ca="1">IF(COUNTA(D$877:D1107)=1,"",OFFSET(C1107,-COUNTA(D$877:D1107)+1,0))</f>
        <v>a1V3p000004fwumEAA</v>
      </c>
      <c r="D1107" s="502"/>
      <c r="E1107" s="490" t="str">
        <f ca="1">IFERROR(IF(VLOOKUP(C1107,' Disaggregation - Section E '!A$316:N844,7,0)=0,"",VLOOKUP(C1107,' Disaggregation - Section E '!A$316:N844,7,0)*100),"")</f>
        <v/>
      </c>
      <c r="F1107" s="487"/>
      <c r="G1107" s="492" t="str">
        <f ca="1">IFERROR(IF(VLOOKUP(C1107,' Disaggregation - Section E '!A$316:N844,6,0)=0,"",VLOOKUP(C1107,' Disaggregation - Section E '!A$316:N844,6,0)),"")</f>
        <v/>
      </c>
      <c r="H1107" s="502" t="str">
        <f ca="1">IFERROR(IF(INDEX(' Disaggregation - Section E '!F$313:F844,MATCH(C1107,' Disaggregation - Section E '!A$313:A844,0)+1,1)&lt;&gt;0,INDEX(' Disaggregation - Section E '!F$313:F844,MATCH(C1107,' Disaggregation - Section E '!A$313:A844,0)+1,1),""),"")</f>
        <v/>
      </c>
      <c r="I1107" s="493" t="str">
        <f ca="1">IFERROR(IF(VLOOKUP(C1107,' Disaggregation - Section E '!A$316:N844,8,0)=0,"",VLOOKUP(C1107,' Disaggregation - Section E '!A$316:N844,8,0)),"")</f>
        <v/>
      </c>
      <c r="J1107" s="493" t="str">
        <f ca="1">IFERROR(IF(VLOOKUP(C1107,' Disaggregation - Section E '!A$316:N844,13,0)=0,"",VLOOKUP(C1107,' Disaggregation - Section E '!A$316:N844,13,0)),"")</f>
        <v/>
      </c>
      <c r="K1107" s="487" t="str">
        <f ca="1">IFERROR(VLOOKUP(C1107,' Disaggregation - Section E '!A$316:N844,3,0),"")</f>
        <v/>
      </c>
      <c r="L1107" s="493" t="str">
        <f ca="1">IFERROR(IF(VLOOKUP(C1107,' Disaggregation - Section E '!A$316:N844,14,0)=0,"",VLOOKUP(C1107,' Disaggregation - Section E '!A$316:N844,14,0)),"")</f>
        <v/>
      </c>
      <c r="M1107" s="487" t="str">
        <f ca="1">IFERROR(IF(VLOOKUP(C1107,' Disaggregation - Section E '!A$316:T844,20,0)=0,"",VLOOKUP(C1107,' Disaggregation - Section E '!A$316:T844,20,0)),"")</f>
        <v/>
      </c>
      <c r="N1107" s="493" t="str">
        <f ca="1">IFERROR(IF(VLOOKUP(C1107,' Disaggregation - Section E '!A$316:N844,9,0)=0,"",VLOOKUP(C1107,' Disaggregation - Section E '!A$316:N844,9,0)),"")</f>
        <v/>
      </c>
      <c r="O1107" s="493" t="str">
        <f ca="1">IFERROR(IF(VLOOKUP(C1107,' Disaggregation - Section E '!A$315:N844,10,0)=0,"",VLOOKUP(C1107,' Disaggregation - Section E '!A$316:N844,10,0)),"")</f>
        <v/>
      </c>
    </row>
    <row r="1108" spans="1:15" x14ac:dyDescent="0.3">
      <c r="A1108" s="487" t="b">
        <f t="shared" ca="1" si="143"/>
        <v>0</v>
      </c>
      <c r="B1108" s="487"/>
      <c r="C1108" s="507" t="str">
        <f ca="1">IF(COUNTA(D$877:D1108)=1,"",OFFSET(C1108,-COUNTA(D$877:D1108)+1,0))</f>
        <v>a1V3p000004fwunEAA</v>
      </c>
      <c r="D1108" s="502"/>
      <c r="E1108" s="490" t="str">
        <f ca="1">IFERROR(IF(VLOOKUP(C1108,' Disaggregation - Section E '!A$316:N845,7,0)=0,"",VLOOKUP(C1108,' Disaggregation - Section E '!A$316:N845,7,0)*100),"")</f>
        <v/>
      </c>
      <c r="F1108" s="487"/>
      <c r="G1108" s="492" t="str">
        <f ca="1">IFERROR(IF(VLOOKUP(C1108,' Disaggregation - Section E '!A$316:N845,6,0)=0,"",VLOOKUP(C1108,' Disaggregation - Section E '!A$316:N845,6,0)),"")</f>
        <v/>
      </c>
      <c r="H1108" s="502" t="str">
        <f ca="1">IFERROR(IF(INDEX(' Disaggregation - Section E '!F$313:F845,MATCH(C1108,' Disaggregation - Section E '!A$313:A845,0)+1,1)&lt;&gt;0,INDEX(' Disaggregation - Section E '!F$313:F845,MATCH(C1108,' Disaggregation - Section E '!A$313:A845,0)+1,1),""),"")</f>
        <v/>
      </c>
      <c r="I1108" s="493" t="str">
        <f ca="1">IFERROR(IF(VLOOKUP(C1108,' Disaggregation - Section E '!A$316:N845,8,0)=0,"",VLOOKUP(C1108,' Disaggregation - Section E '!A$316:N845,8,0)),"")</f>
        <v/>
      </c>
      <c r="J1108" s="493" t="str">
        <f ca="1">IFERROR(IF(VLOOKUP(C1108,' Disaggregation - Section E '!A$316:N845,13,0)=0,"",VLOOKUP(C1108,' Disaggregation - Section E '!A$316:N845,13,0)),"")</f>
        <v/>
      </c>
      <c r="K1108" s="487" t="str">
        <f ca="1">IFERROR(VLOOKUP(C1108,' Disaggregation - Section E '!A$316:N845,3,0),"")</f>
        <v/>
      </c>
      <c r="L1108" s="493" t="str">
        <f ca="1">IFERROR(IF(VLOOKUP(C1108,' Disaggregation - Section E '!A$316:N845,14,0)=0,"",VLOOKUP(C1108,' Disaggregation - Section E '!A$316:N845,14,0)),"")</f>
        <v/>
      </c>
      <c r="M1108" s="487" t="str">
        <f ca="1">IFERROR(IF(VLOOKUP(C1108,' Disaggregation - Section E '!A$316:T845,20,0)=0,"",VLOOKUP(C1108,' Disaggregation - Section E '!A$316:T845,20,0)),"")</f>
        <v/>
      </c>
      <c r="N1108" s="493" t="str">
        <f ca="1">IFERROR(IF(VLOOKUP(C1108,' Disaggregation - Section E '!A$316:N845,9,0)=0,"",VLOOKUP(C1108,' Disaggregation - Section E '!A$316:N845,9,0)),"")</f>
        <v/>
      </c>
      <c r="O1108" s="493" t="str">
        <f ca="1">IFERROR(IF(VLOOKUP(C1108,' Disaggregation - Section E '!A$315:N845,10,0)=0,"",VLOOKUP(C1108,' Disaggregation - Section E '!A$316:N845,10,0)),"")</f>
        <v/>
      </c>
    </row>
    <row r="1109" spans="1:15" x14ac:dyDescent="0.3">
      <c r="A1109" s="487" t="b">
        <f t="shared" ca="1" si="143"/>
        <v>0</v>
      </c>
      <c r="B1109" s="487"/>
      <c r="C1109" s="507" t="str">
        <f ca="1">IF(COUNTA(D$877:D1109)=1,"",OFFSET(C1109,-COUNTA(D$877:D1109)+1,0))</f>
        <v>a1V3p000004fwuoEAA</v>
      </c>
      <c r="D1109" s="502"/>
      <c r="E1109" s="490" t="str">
        <f ca="1">IFERROR(IF(VLOOKUP(C1109,' Disaggregation - Section E '!A$316:N846,7,0)=0,"",VLOOKUP(C1109,' Disaggregation - Section E '!A$316:N846,7,0)*100),"")</f>
        <v/>
      </c>
      <c r="F1109" s="487"/>
      <c r="G1109" s="492" t="str">
        <f ca="1">IFERROR(IF(VLOOKUP(C1109,' Disaggregation - Section E '!A$316:N846,6,0)=0,"",VLOOKUP(C1109,' Disaggregation - Section E '!A$316:N846,6,0)),"")</f>
        <v/>
      </c>
      <c r="H1109" s="502" t="str">
        <f ca="1">IFERROR(IF(INDEX(' Disaggregation - Section E '!F$313:F846,MATCH(C1109,' Disaggregation - Section E '!A$313:A846,0)+1,1)&lt;&gt;0,INDEX(' Disaggregation - Section E '!F$313:F846,MATCH(C1109,' Disaggregation - Section E '!A$313:A846,0)+1,1),""),"")</f>
        <v/>
      </c>
      <c r="I1109" s="493" t="str">
        <f ca="1">IFERROR(IF(VLOOKUP(C1109,' Disaggregation - Section E '!A$316:N846,8,0)=0,"",VLOOKUP(C1109,' Disaggregation - Section E '!A$316:N846,8,0)),"")</f>
        <v/>
      </c>
      <c r="J1109" s="493" t="str">
        <f ca="1">IFERROR(IF(VLOOKUP(C1109,' Disaggregation - Section E '!A$316:N846,13,0)=0,"",VLOOKUP(C1109,' Disaggregation - Section E '!A$316:N846,13,0)),"")</f>
        <v/>
      </c>
      <c r="K1109" s="487" t="str">
        <f ca="1">IFERROR(VLOOKUP(C1109,' Disaggregation - Section E '!A$316:N846,3,0),"")</f>
        <v/>
      </c>
      <c r="L1109" s="493" t="str">
        <f ca="1">IFERROR(IF(VLOOKUP(C1109,' Disaggregation - Section E '!A$316:N846,14,0)=0,"",VLOOKUP(C1109,' Disaggregation - Section E '!A$316:N846,14,0)),"")</f>
        <v/>
      </c>
      <c r="M1109" s="487" t="str">
        <f ca="1">IFERROR(IF(VLOOKUP(C1109,' Disaggregation - Section E '!A$316:T846,20,0)=0,"",VLOOKUP(C1109,' Disaggregation - Section E '!A$316:T846,20,0)),"")</f>
        <v/>
      </c>
      <c r="N1109" s="493" t="str">
        <f ca="1">IFERROR(IF(VLOOKUP(C1109,' Disaggregation - Section E '!A$316:N846,9,0)=0,"",VLOOKUP(C1109,' Disaggregation - Section E '!A$316:N846,9,0)),"")</f>
        <v/>
      </c>
      <c r="O1109" s="493" t="str">
        <f ca="1">IFERROR(IF(VLOOKUP(C1109,' Disaggregation - Section E '!A$315:N846,10,0)=0,"",VLOOKUP(C1109,' Disaggregation - Section E '!A$316:N846,10,0)),"")</f>
        <v/>
      </c>
    </row>
    <row r="1110" spans="1:15" x14ac:dyDescent="0.3">
      <c r="A1110" s="487" t="b">
        <f t="shared" ca="1" si="143"/>
        <v>0</v>
      </c>
      <c r="B1110" s="487"/>
      <c r="C1110" s="507" t="str">
        <f ca="1">IF(COUNTA(D$877:D1110)=1,"",OFFSET(C1110,-COUNTA(D$877:D1110)+1,0))</f>
        <v>a1V3p000004fwupEAA</v>
      </c>
      <c r="D1110" s="502"/>
      <c r="E1110" s="490" t="str">
        <f ca="1">IFERROR(IF(VLOOKUP(C1110,' Disaggregation - Section E '!A$316:N847,7,0)=0,"",VLOOKUP(C1110,' Disaggregation - Section E '!A$316:N847,7,0)*100),"")</f>
        <v/>
      </c>
      <c r="F1110" s="487"/>
      <c r="G1110" s="492" t="str">
        <f ca="1">IFERROR(IF(VLOOKUP(C1110,' Disaggregation - Section E '!A$316:N847,6,0)=0,"",VLOOKUP(C1110,' Disaggregation - Section E '!A$316:N847,6,0)),"")</f>
        <v/>
      </c>
      <c r="H1110" s="502" t="str">
        <f ca="1">IFERROR(IF(INDEX(' Disaggregation - Section E '!F$313:F847,MATCH(C1110,' Disaggregation - Section E '!A$313:A847,0)+1,1)&lt;&gt;0,INDEX(' Disaggregation - Section E '!F$313:F847,MATCH(C1110,' Disaggregation - Section E '!A$313:A847,0)+1,1),""),"")</f>
        <v/>
      </c>
      <c r="I1110" s="493" t="str">
        <f ca="1">IFERROR(IF(VLOOKUP(C1110,' Disaggregation - Section E '!A$316:N847,8,0)=0,"",VLOOKUP(C1110,' Disaggregation - Section E '!A$316:N847,8,0)),"")</f>
        <v/>
      </c>
      <c r="J1110" s="493" t="str">
        <f ca="1">IFERROR(IF(VLOOKUP(C1110,' Disaggregation - Section E '!A$316:N847,13,0)=0,"",VLOOKUP(C1110,' Disaggregation - Section E '!A$316:N847,13,0)),"")</f>
        <v/>
      </c>
      <c r="K1110" s="487" t="str">
        <f ca="1">IFERROR(VLOOKUP(C1110,' Disaggregation - Section E '!A$316:N847,3,0),"")</f>
        <v/>
      </c>
      <c r="L1110" s="493" t="str">
        <f ca="1">IFERROR(IF(VLOOKUP(C1110,' Disaggregation - Section E '!A$316:N847,14,0)=0,"",VLOOKUP(C1110,' Disaggregation - Section E '!A$316:N847,14,0)),"")</f>
        <v/>
      </c>
      <c r="M1110" s="487" t="str">
        <f ca="1">IFERROR(IF(VLOOKUP(C1110,' Disaggregation - Section E '!A$316:T847,20,0)=0,"",VLOOKUP(C1110,' Disaggregation - Section E '!A$316:T847,20,0)),"")</f>
        <v/>
      </c>
      <c r="N1110" s="493" t="str">
        <f ca="1">IFERROR(IF(VLOOKUP(C1110,' Disaggregation - Section E '!A$316:N847,9,0)=0,"",VLOOKUP(C1110,' Disaggregation - Section E '!A$316:N847,9,0)),"")</f>
        <v/>
      </c>
      <c r="O1110" s="493" t="str">
        <f ca="1">IFERROR(IF(VLOOKUP(C1110,' Disaggregation - Section E '!A$315:N847,10,0)=0,"",VLOOKUP(C1110,' Disaggregation - Section E '!A$316:N847,10,0)),"")</f>
        <v/>
      </c>
    </row>
    <row r="1111" spans="1:15" x14ac:dyDescent="0.3">
      <c r="A1111" s="487" t="b">
        <f t="shared" ca="1" si="143"/>
        <v>0</v>
      </c>
      <c r="B1111" s="487"/>
      <c r="C1111" s="507" t="str">
        <f ca="1">IF(COUNTA(D$877:D1111)=1,"",OFFSET(C1111,-COUNTA(D$877:D1111)+1,0))</f>
        <v>a1V3p000004fwuqEAA</v>
      </c>
      <c r="D1111" s="502"/>
      <c r="E1111" s="490" t="str">
        <f ca="1">IFERROR(IF(VLOOKUP(C1111,' Disaggregation - Section E '!A$316:N848,7,0)=0,"",VLOOKUP(C1111,' Disaggregation - Section E '!A$316:N848,7,0)*100),"")</f>
        <v/>
      </c>
      <c r="F1111" s="487"/>
      <c r="G1111" s="492" t="str">
        <f ca="1">IFERROR(IF(VLOOKUP(C1111,' Disaggregation - Section E '!A$316:N848,6,0)=0,"",VLOOKUP(C1111,' Disaggregation - Section E '!A$316:N848,6,0)),"")</f>
        <v/>
      </c>
      <c r="H1111" s="502" t="str">
        <f ca="1">IFERROR(IF(INDEX(' Disaggregation - Section E '!F$313:F848,MATCH(C1111,' Disaggregation - Section E '!A$313:A848,0)+1,1)&lt;&gt;0,INDEX(' Disaggregation - Section E '!F$313:F848,MATCH(C1111,' Disaggregation - Section E '!A$313:A848,0)+1,1),""),"")</f>
        <v/>
      </c>
      <c r="I1111" s="493" t="str">
        <f ca="1">IFERROR(IF(VLOOKUP(C1111,' Disaggregation - Section E '!A$316:N848,8,0)=0,"",VLOOKUP(C1111,' Disaggregation - Section E '!A$316:N848,8,0)),"")</f>
        <v/>
      </c>
      <c r="J1111" s="493" t="str">
        <f ca="1">IFERROR(IF(VLOOKUP(C1111,' Disaggregation - Section E '!A$316:N848,13,0)=0,"",VLOOKUP(C1111,' Disaggregation - Section E '!A$316:N848,13,0)),"")</f>
        <v/>
      </c>
      <c r="K1111" s="487" t="str">
        <f ca="1">IFERROR(VLOOKUP(C1111,' Disaggregation - Section E '!A$316:N848,3,0),"")</f>
        <v/>
      </c>
      <c r="L1111" s="493" t="str">
        <f ca="1">IFERROR(IF(VLOOKUP(C1111,' Disaggregation - Section E '!A$316:N848,14,0)=0,"",VLOOKUP(C1111,' Disaggregation - Section E '!A$316:N848,14,0)),"")</f>
        <v/>
      </c>
      <c r="M1111" s="487" t="str">
        <f ca="1">IFERROR(IF(VLOOKUP(C1111,' Disaggregation - Section E '!A$316:T848,20,0)=0,"",VLOOKUP(C1111,' Disaggregation - Section E '!A$316:T848,20,0)),"")</f>
        <v/>
      </c>
      <c r="N1111" s="493" t="str">
        <f ca="1">IFERROR(IF(VLOOKUP(C1111,' Disaggregation - Section E '!A$316:N848,9,0)=0,"",VLOOKUP(C1111,' Disaggregation - Section E '!A$316:N848,9,0)),"")</f>
        <v/>
      </c>
      <c r="O1111" s="493" t="str">
        <f ca="1">IFERROR(IF(VLOOKUP(C1111,' Disaggregation - Section E '!A$315:N848,10,0)=0,"",VLOOKUP(C1111,' Disaggregation - Section E '!A$316:N848,10,0)),"")</f>
        <v/>
      </c>
    </row>
    <row r="1112" spans="1:15" x14ac:dyDescent="0.3">
      <c r="A1112" s="487" t="b">
        <f t="shared" ca="1" si="143"/>
        <v>0</v>
      </c>
      <c r="B1112" s="487"/>
      <c r="C1112" s="507" t="str">
        <f ca="1">IF(COUNTA(D$877:D1112)=1,"",OFFSET(C1112,-COUNTA(D$877:D1112)+1,0))</f>
        <v>a1V3p000004fwurEAA</v>
      </c>
      <c r="D1112" s="502"/>
      <c r="E1112" s="490" t="str">
        <f ca="1">IFERROR(IF(VLOOKUP(C1112,' Disaggregation - Section E '!A$316:N849,7,0)=0,"",VLOOKUP(C1112,' Disaggregation - Section E '!A$316:N849,7,0)*100),"")</f>
        <v/>
      </c>
      <c r="F1112" s="487"/>
      <c r="G1112" s="492" t="str">
        <f ca="1">IFERROR(IF(VLOOKUP(C1112,' Disaggregation - Section E '!A$316:N849,6,0)=0,"",VLOOKUP(C1112,' Disaggregation - Section E '!A$316:N849,6,0)),"")</f>
        <v/>
      </c>
      <c r="H1112" s="502" t="str">
        <f ca="1">IFERROR(IF(INDEX(' Disaggregation - Section E '!F$313:F849,MATCH(C1112,' Disaggregation - Section E '!A$313:A849,0)+1,1)&lt;&gt;0,INDEX(' Disaggregation - Section E '!F$313:F849,MATCH(C1112,' Disaggregation - Section E '!A$313:A849,0)+1,1),""),"")</f>
        <v/>
      </c>
      <c r="I1112" s="493" t="str">
        <f ca="1">IFERROR(IF(VLOOKUP(C1112,' Disaggregation - Section E '!A$316:N849,8,0)=0,"",VLOOKUP(C1112,' Disaggregation - Section E '!A$316:N849,8,0)),"")</f>
        <v/>
      </c>
      <c r="J1112" s="493" t="str">
        <f ca="1">IFERROR(IF(VLOOKUP(C1112,' Disaggregation - Section E '!A$316:N849,13,0)=0,"",VLOOKUP(C1112,' Disaggregation - Section E '!A$316:N849,13,0)),"")</f>
        <v/>
      </c>
      <c r="K1112" s="487" t="str">
        <f ca="1">IFERROR(VLOOKUP(C1112,' Disaggregation - Section E '!A$316:N849,3,0),"")</f>
        <v/>
      </c>
      <c r="L1112" s="493" t="str">
        <f ca="1">IFERROR(IF(VLOOKUP(C1112,' Disaggregation - Section E '!A$316:N849,14,0)=0,"",VLOOKUP(C1112,' Disaggregation - Section E '!A$316:N849,14,0)),"")</f>
        <v/>
      </c>
      <c r="M1112" s="487" t="str">
        <f ca="1">IFERROR(IF(VLOOKUP(C1112,' Disaggregation - Section E '!A$316:T849,20,0)=0,"",VLOOKUP(C1112,' Disaggregation - Section E '!A$316:T849,20,0)),"")</f>
        <v/>
      </c>
      <c r="N1112" s="493" t="str">
        <f ca="1">IFERROR(IF(VLOOKUP(C1112,' Disaggregation - Section E '!A$316:N849,9,0)=0,"",VLOOKUP(C1112,' Disaggregation - Section E '!A$316:N849,9,0)),"")</f>
        <v/>
      </c>
      <c r="O1112" s="493" t="str">
        <f ca="1">IFERROR(IF(VLOOKUP(C1112,' Disaggregation - Section E '!A$315:N849,10,0)=0,"",VLOOKUP(C1112,' Disaggregation - Section E '!A$316:N849,10,0)),"")</f>
        <v/>
      </c>
    </row>
    <row r="1113" spans="1:15" x14ac:dyDescent="0.3">
      <c r="A1113" s="487" t="b">
        <f t="shared" ca="1" si="143"/>
        <v>0</v>
      </c>
      <c r="B1113" s="487"/>
      <c r="C1113" s="507" t="str">
        <f ca="1">IF(COUNTA(D$877:D1113)=1,"",OFFSET(C1113,-COUNTA(D$877:D1113)+1,0))</f>
        <v>a1V3p000004fwusEAA</v>
      </c>
      <c r="D1113" s="502"/>
      <c r="E1113" s="490" t="str">
        <f ca="1">IFERROR(IF(VLOOKUP(C1113,' Disaggregation - Section E '!A$316:N850,7,0)=0,"",VLOOKUP(C1113,' Disaggregation - Section E '!A$316:N850,7,0)*100),"")</f>
        <v/>
      </c>
      <c r="F1113" s="487"/>
      <c r="G1113" s="492" t="str">
        <f ca="1">IFERROR(IF(VLOOKUP(C1113,' Disaggregation - Section E '!A$316:N850,6,0)=0,"",VLOOKUP(C1113,' Disaggregation - Section E '!A$316:N850,6,0)),"")</f>
        <v/>
      </c>
      <c r="H1113" s="502" t="str">
        <f ca="1">IFERROR(IF(INDEX(' Disaggregation - Section E '!F$313:F850,MATCH(C1113,' Disaggregation - Section E '!A$313:A850,0)+1,1)&lt;&gt;0,INDEX(' Disaggregation - Section E '!F$313:F850,MATCH(C1113,' Disaggregation - Section E '!A$313:A850,0)+1,1),""),"")</f>
        <v/>
      </c>
      <c r="I1113" s="493" t="str">
        <f ca="1">IFERROR(IF(VLOOKUP(C1113,' Disaggregation - Section E '!A$316:N850,8,0)=0,"",VLOOKUP(C1113,' Disaggregation - Section E '!A$316:N850,8,0)),"")</f>
        <v/>
      </c>
      <c r="J1113" s="493" t="str">
        <f ca="1">IFERROR(IF(VLOOKUP(C1113,' Disaggregation - Section E '!A$316:N850,13,0)=0,"",VLOOKUP(C1113,' Disaggregation - Section E '!A$316:N850,13,0)),"")</f>
        <v/>
      </c>
      <c r="K1113" s="487" t="str">
        <f ca="1">IFERROR(VLOOKUP(C1113,' Disaggregation - Section E '!A$316:N850,3,0),"")</f>
        <v/>
      </c>
      <c r="L1113" s="493" t="str">
        <f ca="1">IFERROR(IF(VLOOKUP(C1113,' Disaggregation - Section E '!A$316:N850,14,0)=0,"",VLOOKUP(C1113,' Disaggregation - Section E '!A$316:N850,14,0)),"")</f>
        <v/>
      </c>
      <c r="M1113" s="487" t="str">
        <f ca="1">IFERROR(IF(VLOOKUP(C1113,' Disaggregation - Section E '!A$316:T850,20,0)=0,"",VLOOKUP(C1113,' Disaggregation - Section E '!A$316:T850,20,0)),"")</f>
        <v/>
      </c>
      <c r="N1113" s="493" t="str">
        <f ca="1">IFERROR(IF(VLOOKUP(C1113,' Disaggregation - Section E '!A$316:N850,9,0)=0,"",VLOOKUP(C1113,' Disaggregation - Section E '!A$316:N850,9,0)),"")</f>
        <v/>
      </c>
      <c r="O1113" s="493" t="str">
        <f ca="1">IFERROR(IF(VLOOKUP(C1113,' Disaggregation - Section E '!A$315:N850,10,0)=0,"",VLOOKUP(C1113,' Disaggregation - Section E '!A$316:N850,10,0)),"")</f>
        <v/>
      </c>
    </row>
    <row r="1114" spans="1:15" x14ac:dyDescent="0.3">
      <c r="A1114" s="487" t="b">
        <f t="shared" ca="1" si="143"/>
        <v>0</v>
      </c>
      <c r="B1114" s="487"/>
      <c r="C1114" s="507" t="str">
        <f ca="1">IF(COUNTA(D$877:D1114)=1,"",OFFSET(C1114,-COUNTA(D$877:D1114)+1,0))</f>
        <v>a1V3p000004fwutEAA</v>
      </c>
      <c r="D1114" s="502"/>
      <c r="E1114" s="490" t="str">
        <f ca="1">IFERROR(IF(VLOOKUP(C1114,' Disaggregation - Section E '!A$316:N851,7,0)=0,"",VLOOKUP(C1114,' Disaggregation - Section E '!A$316:N851,7,0)*100),"")</f>
        <v/>
      </c>
      <c r="F1114" s="487"/>
      <c r="G1114" s="492" t="str">
        <f ca="1">IFERROR(IF(VLOOKUP(C1114,' Disaggregation - Section E '!A$316:N851,6,0)=0,"",VLOOKUP(C1114,' Disaggregation - Section E '!A$316:N851,6,0)),"")</f>
        <v/>
      </c>
      <c r="H1114" s="502" t="str">
        <f ca="1">IFERROR(IF(INDEX(' Disaggregation - Section E '!F$313:F851,MATCH(C1114,' Disaggregation - Section E '!A$313:A851,0)+1,1)&lt;&gt;0,INDEX(' Disaggregation - Section E '!F$313:F851,MATCH(C1114,' Disaggregation - Section E '!A$313:A851,0)+1,1),""),"")</f>
        <v/>
      </c>
      <c r="I1114" s="493" t="str">
        <f ca="1">IFERROR(IF(VLOOKUP(C1114,' Disaggregation - Section E '!A$316:N851,8,0)=0,"",VLOOKUP(C1114,' Disaggregation - Section E '!A$316:N851,8,0)),"")</f>
        <v/>
      </c>
      <c r="J1114" s="493" t="str">
        <f ca="1">IFERROR(IF(VLOOKUP(C1114,' Disaggregation - Section E '!A$316:N851,13,0)=0,"",VLOOKUP(C1114,' Disaggregation - Section E '!A$316:N851,13,0)),"")</f>
        <v/>
      </c>
      <c r="K1114" s="487" t="str">
        <f ca="1">IFERROR(VLOOKUP(C1114,' Disaggregation - Section E '!A$316:N851,3,0),"")</f>
        <v/>
      </c>
      <c r="L1114" s="493" t="str">
        <f ca="1">IFERROR(IF(VLOOKUP(C1114,' Disaggregation - Section E '!A$316:N851,14,0)=0,"",VLOOKUP(C1114,' Disaggregation - Section E '!A$316:N851,14,0)),"")</f>
        <v/>
      </c>
      <c r="M1114" s="487" t="str">
        <f ca="1">IFERROR(IF(VLOOKUP(C1114,' Disaggregation - Section E '!A$316:T851,20,0)=0,"",VLOOKUP(C1114,' Disaggregation - Section E '!A$316:T851,20,0)),"")</f>
        <v/>
      </c>
      <c r="N1114" s="493" t="str">
        <f ca="1">IFERROR(IF(VLOOKUP(C1114,' Disaggregation - Section E '!A$316:N851,9,0)=0,"",VLOOKUP(C1114,' Disaggregation - Section E '!A$316:N851,9,0)),"")</f>
        <v/>
      </c>
      <c r="O1114" s="493" t="str">
        <f ca="1">IFERROR(IF(VLOOKUP(C1114,' Disaggregation - Section E '!A$315:N851,10,0)=0,"",VLOOKUP(C1114,' Disaggregation - Section E '!A$316:N851,10,0)),"")</f>
        <v/>
      </c>
    </row>
    <row r="1115" spans="1:15" x14ac:dyDescent="0.3">
      <c r="A1115" s="487" t="b">
        <f t="shared" ca="1" si="143"/>
        <v>0</v>
      </c>
      <c r="B1115" s="487"/>
      <c r="C1115" s="507" t="str">
        <f ca="1">IF(COUNTA(D$877:D1115)=1,"",OFFSET(C1115,-COUNTA(D$877:D1115)+1,0))</f>
        <v>a1V3p000004fwuuEAA</v>
      </c>
      <c r="D1115" s="502"/>
      <c r="E1115" s="490" t="str">
        <f ca="1">IFERROR(IF(VLOOKUP(C1115,' Disaggregation - Section E '!A$316:N852,7,0)=0,"",VLOOKUP(C1115,' Disaggregation - Section E '!A$316:N852,7,0)*100),"")</f>
        <v/>
      </c>
      <c r="F1115" s="487"/>
      <c r="G1115" s="492" t="str">
        <f ca="1">IFERROR(IF(VLOOKUP(C1115,' Disaggregation - Section E '!A$316:N852,6,0)=0,"",VLOOKUP(C1115,' Disaggregation - Section E '!A$316:N852,6,0)),"")</f>
        <v/>
      </c>
      <c r="H1115" s="502" t="str">
        <f ca="1">IFERROR(IF(INDEX(' Disaggregation - Section E '!F$313:F852,MATCH(C1115,' Disaggregation - Section E '!A$313:A852,0)+1,1)&lt;&gt;0,INDEX(' Disaggregation - Section E '!F$313:F852,MATCH(C1115,' Disaggregation - Section E '!A$313:A852,0)+1,1),""),"")</f>
        <v/>
      </c>
      <c r="I1115" s="493" t="str">
        <f ca="1">IFERROR(IF(VLOOKUP(C1115,' Disaggregation - Section E '!A$316:N852,8,0)=0,"",VLOOKUP(C1115,' Disaggregation - Section E '!A$316:N852,8,0)),"")</f>
        <v/>
      </c>
      <c r="J1115" s="493" t="str">
        <f ca="1">IFERROR(IF(VLOOKUP(C1115,' Disaggregation - Section E '!A$316:N852,13,0)=0,"",VLOOKUP(C1115,' Disaggregation - Section E '!A$316:N852,13,0)),"")</f>
        <v/>
      </c>
      <c r="K1115" s="487" t="str">
        <f ca="1">IFERROR(VLOOKUP(C1115,' Disaggregation - Section E '!A$316:N852,3,0),"")</f>
        <v/>
      </c>
      <c r="L1115" s="493" t="str">
        <f ca="1">IFERROR(IF(VLOOKUP(C1115,' Disaggregation - Section E '!A$316:N852,14,0)=0,"",VLOOKUP(C1115,' Disaggregation - Section E '!A$316:N852,14,0)),"")</f>
        <v/>
      </c>
      <c r="M1115" s="487" t="str">
        <f ca="1">IFERROR(IF(VLOOKUP(C1115,' Disaggregation - Section E '!A$316:T852,20,0)=0,"",VLOOKUP(C1115,' Disaggregation - Section E '!A$316:T852,20,0)),"")</f>
        <v/>
      </c>
      <c r="N1115" s="493" t="str">
        <f ca="1">IFERROR(IF(VLOOKUP(C1115,' Disaggregation - Section E '!A$316:N852,9,0)=0,"",VLOOKUP(C1115,' Disaggregation - Section E '!A$316:N852,9,0)),"")</f>
        <v/>
      </c>
      <c r="O1115" s="493" t="str">
        <f ca="1">IFERROR(IF(VLOOKUP(C1115,' Disaggregation - Section E '!A$315:N852,10,0)=0,"",VLOOKUP(C1115,' Disaggregation - Section E '!A$316:N852,10,0)),"")</f>
        <v/>
      </c>
    </row>
    <row r="1116" spans="1:15" x14ac:dyDescent="0.3">
      <c r="A1116" s="487" t="b">
        <f t="shared" ca="1" si="143"/>
        <v>0</v>
      </c>
      <c r="B1116" s="487"/>
      <c r="C1116" s="507" t="str">
        <f ca="1">IF(COUNTA(D$877:D1116)=1,"",OFFSET(C1116,-COUNTA(D$877:D1116)+1,0))</f>
        <v>a1V3p000004fwuvEAA</v>
      </c>
      <c r="D1116" s="502"/>
      <c r="E1116" s="490" t="str">
        <f ca="1">IFERROR(IF(VLOOKUP(C1116,' Disaggregation - Section E '!A$316:N853,7,0)=0,"",VLOOKUP(C1116,' Disaggregation - Section E '!A$316:N853,7,0)*100),"")</f>
        <v/>
      </c>
      <c r="F1116" s="487"/>
      <c r="G1116" s="492" t="str">
        <f ca="1">IFERROR(IF(VLOOKUP(C1116,' Disaggregation - Section E '!A$316:N853,6,0)=0,"",VLOOKUP(C1116,' Disaggregation - Section E '!A$316:N853,6,0)),"")</f>
        <v/>
      </c>
      <c r="H1116" s="502" t="str">
        <f ca="1">IFERROR(IF(INDEX(' Disaggregation - Section E '!F$313:F853,MATCH(C1116,' Disaggregation - Section E '!A$313:A853,0)+1,1)&lt;&gt;0,INDEX(' Disaggregation - Section E '!F$313:F853,MATCH(C1116,' Disaggregation - Section E '!A$313:A853,0)+1,1),""),"")</f>
        <v/>
      </c>
      <c r="I1116" s="493" t="str">
        <f ca="1">IFERROR(IF(VLOOKUP(C1116,' Disaggregation - Section E '!A$316:N853,8,0)=0,"",VLOOKUP(C1116,' Disaggregation - Section E '!A$316:N853,8,0)),"")</f>
        <v/>
      </c>
      <c r="J1116" s="493" t="str">
        <f ca="1">IFERROR(IF(VLOOKUP(C1116,' Disaggregation - Section E '!A$316:N853,13,0)=0,"",VLOOKUP(C1116,' Disaggregation - Section E '!A$316:N853,13,0)),"")</f>
        <v/>
      </c>
      <c r="K1116" s="487" t="str">
        <f ca="1">IFERROR(VLOOKUP(C1116,' Disaggregation - Section E '!A$316:N853,3,0),"")</f>
        <v/>
      </c>
      <c r="L1116" s="493" t="str">
        <f ca="1">IFERROR(IF(VLOOKUP(C1116,' Disaggregation - Section E '!A$316:N853,14,0)=0,"",VLOOKUP(C1116,' Disaggregation - Section E '!A$316:N853,14,0)),"")</f>
        <v/>
      </c>
      <c r="M1116" s="487" t="str">
        <f ca="1">IFERROR(IF(VLOOKUP(C1116,' Disaggregation - Section E '!A$316:T853,20,0)=0,"",VLOOKUP(C1116,' Disaggregation - Section E '!A$316:T853,20,0)),"")</f>
        <v/>
      </c>
      <c r="N1116" s="493" t="str">
        <f ca="1">IFERROR(IF(VLOOKUP(C1116,' Disaggregation - Section E '!A$316:N853,9,0)=0,"",VLOOKUP(C1116,' Disaggregation - Section E '!A$316:N853,9,0)),"")</f>
        <v/>
      </c>
      <c r="O1116" s="493" t="str">
        <f ca="1">IFERROR(IF(VLOOKUP(C1116,' Disaggregation - Section E '!A$315:N853,10,0)=0,"",VLOOKUP(C1116,' Disaggregation - Section E '!A$316:N853,10,0)),"")</f>
        <v/>
      </c>
    </row>
    <row r="1117" spans="1:15" x14ac:dyDescent="0.3">
      <c r="A1117" s="487" t="b">
        <f t="shared" ca="1" si="143"/>
        <v>0</v>
      </c>
      <c r="B1117" s="487"/>
      <c r="C1117" s="507" t="str">
        <f ca="1">IF(COUNTA(D$877:D1117)=1,"",OFFSET(C1117,-COUNTA(D$877:D1117)+1,0))</f>
        <v>a1V3p000004fwuwEAA</v>
      </c>
      <c r="D1117" s="502"/>
      <c r="E1117" s="490" t="str">
        <f ca="1">IFERROR(IF(VLOOKUP(C1117,' Disaggregation - Section E '!A$316:N854,7,0)=0,"",VLOOKUP(C1117,' Disaggregation - Section E '!A$316:N854,7,0)*100),"")</f>
        <v/>
      </c>
      <c r="F1117" s="487"/>
      <c r="G1117" s="492" t="str">
        <f ca="1">IFERROR(IF(VLOOKUP(C1117,' Disaggregation - Section E '!A$316:N854,6,0)=0,"",VLOOKUP(C1117,' Disaggregation - Section E '!A$316:N854,6,0)),"")</f>
        <v/>
      </c>
      <c r="H1117" s="502" t="str">
        <f ca="1">IFERROR(IF(INDEX(' Disaggregation - Section E '!F$313:F854,MATCH(C1117,' Disaggregation - Section E '!A$313:A854,0)+1,1)&lt;&gt;0,INDEX(' Disaggregation - Section E '!F$313:F854,MATCH(C1117,' Disaggregation - Section E '!A$313:A854,0)+1,1),""),"")</f>
        <v/>
      </c>
      <c r="I1117" s="493" t="str">
        <f ca="1">IFERROR(IF(VLOOKUP(C1117,' Disaggregation - Section E '!A$316:N854,8,0)=0,"",VLOOKUP(C1117,' Disaggregation - Section E '!A$316:N854,8,0)),"")</f>
        <v/>
      </c>
      <c r="J1117" s="493" t="str">
        <f ca="1">IFERROR(IF(VLOOKUP(C1117,' Disaggregation - Section E '!A$316:N854,13,0)=0,"",VLOOKUP(C1117,' Disaggregation - Section E '!A$316:N854,13,0)),"")</f>
        <v/>
      </c>
      <c r="K1117" s="487" t="str">
        <f ca="1">IFERROR(VLOOKUP(C1117,' Disaggregation - Section E '!A$316:N854,3,0),"")</f>
        <v/>
      </c>
      <c r="L1117" s="493" t="str">
        <f ca="1">IFERROR(IF(VLOOKUP(C1117,' Disaggregation - Section E '!A$316:N854,14,0)=0,"",VLOOKUP(C1117,' Disaggregation - Section E '!A$316:N854,14,0)),"")</f>
        <v/>
      </c>
      <c r="M1117" s="487" t="str">
        <f ca="1">IFERROR(IF(VLOOKUP(C1117,' Disaggregation - Section E '!A$316:T854,20,0)=0,"",VLOOKUP(C1117,' Disaggregation - Section E '!A$316:T854,20,0)),"")</f>
        <v/>
      </c>
      <c r="N1117" s="493" t="str">
        <f ca="1">IFERROR(IF(VLOOKUP(C1117,' Disaggregation - Section E '!A$316:N854,9,0)=0,"",VLOOKUP(C1117,' Disaggregation - Section E '!A$316:N854,9,0)),"")</f>
        <v/>
      </c>
      <c r="O1117" s="493" t="str">
        <f ca="1">IFERROR(IF(VLOOKUP(C1117,' Disaggregation - Section E '!A$315:N854,10,0)=0,"",VLOOKUP(C1117,' Disaggregation - Section E '!A$316:N854,10,0)),"")</f>
        <v/>
      </c>
    </row>
    <row r="1118" spans="1:15" x14ac:dyDescent="0.3">
      <c r="A1118" s="487" t="b">
        <f t="shared" ca="1" si="143"/>
        <v>0</v>
      </c>
      <c r="B1118" s="487"/>
      <c r="C1118" s="507" t="str">
        <f ca="1">IF(COUNTA(D$877:D1118)=1,"",OFFSET(C1118,-COUNTA(D$877:D1118)+1,0))</f>
        <v>a1V3p000004fwuxEAA</v>
      </c>
      <c r="D1118" s="502"/>
      <c r="E1118" s="490" t="str">
        <f ca="1">IFERROR(IF(VLOOKUP(C1118,' Disaggregation - Section E '!A$316:N855,7,0)=0,"",VLOOKUP(C1118,' Disaggregation - Section E '!A$316:N855,7,0)*100),"")</f>
        <v/>
      </c>
      <c r="F1118" s="487"/>
      <c r="G1118" s="492" t="str">
        <f ca="1">IFERROR(IF(VLOOKUP(C1118,' Disaggregation - Section E '!A$316:N855,6,0)=0,"",VLOOKUP(C1118,' Disaggregation - Section E '!A$316:N855,6,0)),"")</f>
        <v/>
      </c>
      <c r="H1118" s="502" t="str">
        <f ca="1">IFERROR(IF(INDEX(' Disaggregation - Section E '!F$313:F855,MATCH(C1118,' Disaggregation - Section E '!A$313:A855,0)+1,1)&lt;&gt;0,INDEX(' Disaggregation - Section E '!F$313:F855,MATCH(C1118,' Disaggregation - Section E '!A$313:A855,0)+1,1),""),"")</f>
        <v/>
      </c>
      <c r="I1118" s="493" t="str">
        <f ca="1">IFERROR(IF(VLOOKUP(C1118,' Disaggregation - Section E '!A$316:N855,8,0)=0,"",VLOOKUP(C1118,' Disaggregation - Section E '!A$316:N855,8,0)),"")</f>
        <v/>
      </c>
      <c r="J1118" s="493" t="str">
        <f ca="1">IFERROR(IF(VLOOKUP(C1118,' Disaggregation - Section E '!A$316:N855,13,0)=0,"",VLOOKUP(C1118,' Disaggregation - Section E '!A$316:N855,13,0)),"")</f>
        <v/>
      </c>
      <c r="K1118" s="487" t="str">
        <f ca="1">IFERROR(VLOOKUP(C1118,' Disaggregation - Section E '!A$316:N855,3,0),"")</f>
        <v/>
      </c>
      <c r="L1118" s="493" t="str">
        <f ca="1">IFERROR(IF(VLOOKUP(C1118,' Disaggregation - Section E '!A$316:N855,14,0)=0,"",VLOOKUP(C1118,' Disaggregation - Section E '!A$316:N855,14,0)),"")</f>
        <v/>
      </c>
      <c r="M1118" s="487" t="str">
        <f ca="1">IFERROR(IF(VLOOKUP(C1118,' Disaggregation - Section E '!A$316:T855,20,0)=0,"",VLOOKUP(C1118,' Disaggregation - Section E '!A$316:T855,20,0)),"")</f>
        <v/>
      </c>
      <c r="N1118" s="493" t="str">
        <f ca="1">IFERROR(IF(VLOOKUP(C1118,' Disaggregation - Section E '!A$316:N855,9,0)=0,"",VLOOKUP(C1118,' Disaggregation - Section E '!A$316:N855,9,0)),"")</f>
        <v/>
      </c>
      <c r="O1118" s="493" t="str">
        <f ca="1">IFERROR(IF(VLOOKUP(C1118,' Disaggregation - Section E '!A$315:N855,10,0)=0,"",VLOOKUP(C1118,' Disaggregation - Section E '!A$316:N855,10,0)),"")</f>
        <v/>
      </c>
    </row>
    <row r="1119" spans="1:15" x14ac:dyDescent="0.3">
      <c r="A1119" s="487" t="b">
        <f t="shared" ca="1" si="143"/>
        <v>0</v>
      </c>
      <c r="B1119" s="487"/>
      <c r="C1119" s="507" t="str">
        <f ca="1">IF(COUNTA(D$877:D1119)=1,"",OFFSET(C1119,-COUNTA(D$877:D1119)+1,0))</f>
        <v>a1V3p000004fwuyEAA</v>
      </c>
      <c r="D1119" s="502"/>
      <c r="E1119" s="490" t="str">
        <f ca="1">IFERROR(IF(VLOOKUP(C1119,' Disaggregation - Section E '!A$316:N856,7,0)=0,"",VLOOKUP(C1119,' Disaggregation - Section E '!A$316:N856,7,0)*100),"")</f>
        <v/>
      </c>
      <c r="F1119" s="487"/>
      <c r="G1119" s="492" t="str">
        <f ca="1">IFERROR(IF(VLOOKUP(C1119,' Disaggregation - Section E '!A$316:N856,6,0)=0,"",VLOOKUP(C1119,' Disaggregation - Section E '!A$316:N856,6,0)),"")</f>
        <v/>
      </c>
      <c r="H1119" s="502" t="str">
        <f ca="1">IFERROR(IF(INDEX(' Disaggregation - Section E '!F$313:F856,MATCH(C1119,' Disaggregation - Section E '!A$313:A856,0)+1,1)&lt;&gt;0,INDEX(' Disaggregation - Section E '!F$313:F856,MATCH(C1119,' Disaggregation - Section E '!A$313:A856,0)+1,1),""),"")</f>
        <v/>
      </c>
      <c r="I1119" s="493" t="str">
        <f ca="1">IFERROR(IF(VLOOKUP(C1119,' Disaggregation - Section E '!A$316:N856,8,0)=0,"",VLOOKUP(C1119,' Disaggregation - Section E '!A$316:N856,8,0)),"")</f>
        <v/>
      </c>
      <c r="J1119" s="493" t="str">
        <f ca="1">IFERROR(IF(VLOOKUP(C1119,' Disaggregation - Section E '!A$316:N856,13,0)=0,"",VLOOKUP(C1119,' Disaggregation - Section E '!A$316:N856,13,0)),"")</f>
        <v/>
      </c>
      <c r="K1119" s="487" t="str">
        <f ca="1">IFERROR(VLOOKUP(C1119,' Disaggregation - Section E '!A$316:N856,3,0),"")</f>
        <v/>
      </c>
      <c r="L1119" s="493" t="str">
        <f ca="1">IFERROR(IF(VLOOKUP(C1119,' Disaggregation - Section E '!A$316:N856,14,0)=0,"",VLOOKUP(C1119,' Disaggregation - Section E '!A$316:N856,14,0)),"")</f>
        <v/>
      </c>
      <c r="M1119" s="487" t="str">
        <f ca="1">IFERROR(IF(VLOOKUP(C1119,' Disaggregation - Section E '!A$316:T856,20,0)=0,"",VLOOKUP(C1119,' Disaggregation - Section E '!A$316:T856,20,0)),"")</f>
        <v/>
      </c>
      <c r="N1119" s="493" t="str">
        <f ca="1">IFERROR(IF(VLOOKUP(C1119,' Disaggregation - Section E '!A$316:N856,9,0)=0,"",VLOOKUP(C1119,' Disaggregation - Section E '!A$316:N856,9,0)),"")</f>
        <v/>
      </c>
      <c r="O1119" s="493" t="str">
        <f ca="1">IFERROR(IF(VLOOKUP(C1119,' Disaggregation - Section E '!A$315:N856,10,0)=0,"",VLOOKUP(C1119,' Disaggregation - Section E '!A$316:N856,10,0)),"")</f>
        <v/>
      </c>
    </row>
    <row r="1120" spans="1:15" x14ac:dyDescent="0.3">
      <c r="A1120" s="487" t="b">
        <f t="shared" ca="1" si="143"/>
        <v>0</v>
      </c>
      <c r="B1120" s="487"/>
      <c r="C1120" s="507" t="str">
        <f ca="1">IF(COUNTA(D$877:D1120)=1,"",OFFSET(C1120,-COUNTA(D$877:D1120)+1,0))</f>
        <v>a1V3p000004fwuzEAA</v>
      </c>
      <c r="D1120" s="502"/>
      <c r="E1120" s="490" t="str">
        <f ca="1">IFERROR(IF(VLOOKUP(C1120,' Disaggregation - Section E '!A$316:N857,7,0)=0,"",VLOOKUP(C1120,' Disaggregation - Section E '!A$316:N857,7,0)*100),"")</f>
        <v/>
      </c>
      <c r="F1120" s="487"/>
      <c r="G1120" s="492" t="str">
        <f ca="1">IFERROR(IF(VLOOKUP(C1120,' Disaggregation - Section E '!A$316:N857,6,0)=0,"",VLOOKUP(C1120,' Disaggregation - Section E '!A$316:N857,6,0)),"")</f>
        <v/>
      </c>
      <c r="H1120" s="502" t="str">
        <f ca="1">IFERROR(IF(INDEX(' Disaggregation - Section E '!F$313:F857,MATCH(C1120,' Disaggregation - Section E '!A$313:A857,0)+1,1)&lt;&gt;0,INDEX(' Disaggregation - Section E '!F$313:F857,MATCH(C1120,' Disaggregation - Section E '!A$313:A857,0)+1,1),""),"")</f>
        <v/>
      </c>
      <c r="I1120" s="493" t="str">
        <f ca="1">IFERROR(IF(VLOOKUP(C1120,' Disaggregation - Section E '!A$316:N857,8,0)=0,"",VLOOKUP(C1120,' Disaggregation - Section E '!A$316:N857,8,0)),"")</f>
        <v/>
      </c>
      <c r="J1120" s="493" t="str">
        <f ca="1">IFERROR(IF(VLOOKUP(C1120,' Disaggregation - Section E '!A$316:N857,13,0)=0,"",VLOOKUP(C1120,' Disaggregation - Section E '!A$316:N857,13,0)),"")</f>
        <v/>
      </c>
      <c r="K1120" s="487" t="str">
        <f ca="1">IFERROR(VLOOKUP(C1120,' Disaggregation - Section E '!A$316:N857,3,0),"")</f>
        <v/>
      </c>
      <c r="L1120" s="493" t="str">
        <f ca="1">IFERROR(IF(VLOOKUP(C1120,' Disaggregation - Section E '!A$316:N857,14,0)=0,"",VLOOKUP(C1120,' Disaggregation - Section E '!A$316:N857,14,0)),"")</f>
        <v/>
      </c>
      <c r="M1120" s="487" t="str">
        <f ca="1">IFERROR(IF(VLOOKUP(C1120,' Disaggregation - Section E '!A$316:T857,20,0)=0,"",VLOOKUP(C1120,' Disaggregation - Section E '!A$316:T857,20,0)),"")</f>
        <v/>
      </c>
      <c r="N1120" s="493" t="str">
        <f ca="1">IFERROR(IF(VLOOKUP(C1120,' Disaggregation - Section E '!A$316:N857,9,0)=0,"",VLOOKUP(C1120,' Disaggregation - Section E '!A$316:N857,9,0)),"")</f>
        <v/>
      </c>
      <c r="O1120" s="493" t="str">
        <f ca="1">IFERROR(IF(VLOOKUP(C1120,' Disaggregation - Section E '!A$315:N857,10,0)=0,"",VLOOKUP(C1120,' Disaggregation - Section E '!A$316:N857,10,0)),"")</f>
        <v/>
      </c>
    </row>
    <row r="1121" spans="1:15" x14ac:dyDescent="0.3">
      <c r="A1121" s="487" t="b">
        <f t="shared" ca="1" si="143"/>
        <v>0</v>
      </c>
      <c r="B1121" s="487"/>
      <c r="C1121" s="507" t="str">
        <f ca="1">IF(COUNTA(D$877:D1121)=1,"",OFFSET(C1121,-COUNTA(D$877:D1121)+1,0))</f>
        <v>a1V3p000004fwv0EAA</v>
      </c>
      <c r="D1121" s="502"/>
      <c r="E1121" s="490" t="str">
        <f ca="1">IFERROR(IF(VLOOKUP(C1121,' Disaggregation - Section E '!A$316:N858,7,0)=0,"",VLOOKUP(C1121,' Disaggregation - Section E '!A$316:N858,7,0)*100),"")</f>
        <v/>
      </c>
      <c r="F1121" s="487"/>
      <c r="G1121" s="492" t="str">
        <f ca="1">IFERROR(IF(VLOOKUP(C1121,' Disaggregation - Section E '!A$316:N858,6,0)=0,"",VLOOKUP(C1121,' Disaggregation - Section E '!A$316:N858,6,0)),"")</f>
        <v/>
      </c>
      <c r="H1121" s="502" t="str">
        <f ca="1">IFERROR(IF(INDEX(' Disaggregation - Section E '!F$313:F858,MATCH(C1121,' Disaggregation - Section E '!A$313:A858,0)+1,1)&lt;&gt;0,INDEX(' Disaggregation - Section E '!F$313:F858,MATCH(C1121,' Disaggregation - Section E '!A$313:A858,0)+1,1),""),"")</f>
        <v/>
      </c>
      <c r="I1121" s="493" t="str">
        <f ca="1">IFERROR(IF(VLOOKUP(C1121,' Disaggregation - Section E '!A$316:N858,8,0)=0,"",VLOOKUP(C1121,' Disaggregation - Section E '!A$316:N858,8,0)),"")</f>
        <v/>
      </c>
      <c r="J1121" s="493" t="str">
        <f ca="1">IFERROR(IF(VLOOKUP(C1121,' Disaggregation - Section E '!A$316:N858,13,0)=0,"",VLOOKUP(C1121,' Disaggregation - Section E '!A$316:N858,13,0)),"")</f>
        <v/>
      </c>
      <c r="K1121" s="487" t="str">
        <f ca="1">IFERROR(VLOOKUP(C1121,' Disaggregation - Section E '!A$316:N858,3,0),"")</f>
        <v/>
      </c>
      <c r="L1121" s="493" t="str">
        <f ca="1">IFERROR(IF(VLOOKUP(C1121,' Disaggregation - Section E '!A$316:N858,14,0)=0,"",VLOOKUP(C1121,' Disaggregation - Section E '!A$316:N858,14,0)),"")</f>
        <v/>
      </c>
      <c r="M1121" s="487" t="str">
        <f ca="1">IFERROR(IF(VLOOKUP(C1121,' Disaggregation - Section E '!A$316:T858,20,0)=0,"",VLOOKUP(C1121,' Disaggregation - Section E '!A$316:T858,20,0)),"")</f>
        <v/>
      </c>
      <c r="N1121" s="493" t="str">
        <f ca="1">IFERROR(IF(VLOOKUP(C1121,' Disaggregation - Section E '!A$316:N858,9,0)=0,"",VLOOKUP(C1121,' Disaggregation - Section E '!A$316:N858,9,0)),"")</f>
        <v/>
      </c>
      <c r="O1121" s="493" t="str">
        <f ca="1">IFERROR(IF(VLOOKUP(C1121,' Disaggregation - Section E '!A$315:N858,10,0)=0,"",VLOOKUP(C1121,' Disaggregation - Section E '!A$316:N858,10,0)),"")</f>
        <v/>
      </c>
    </row>
    <row r="1122" spans="1:15" x14ac:dyDescent="0.3">
      <c r="A1122" s="487" t="b">
        <f t="shared" ca="1" si="143"/>
        <v>0</v>
      </c>
      <c r="B1122" s="487"/>
      <c r="C1122" s="507" t="str">
        <f ca="1">IF(COUNTA(D$877:D1122)=1,"",OFFSET(C1122,-COUNTA(D$877:D1122)+1,0))</f>
        <v>a1V3p000004fwv1EAA</v>
      </c>
      <c r="D1122" s="502"/>
      <c r="E1122" s="490" t="str">
        <f ca="1">IFERROR(IF(VLOOKUP(C1122,' Disaggregation - Section E '!A$316:N859,7,0)=0,"",VLOOKUP(C1122,' Disaggregation - Section E '!A$316:N859,7,0)*100),"")</f>
        <v/>
      </c>
      <c r="F1122" s="487"/>
      <c r="G1122" s="492" t="str">
        <f ca="1">IFERROR(IF(VLOOKUP(C1122,' Disaggregation - Section E '!A$316:N859,6,0)=0,"",VLOOKUP(C1122,' Disaggregation - Section E '!A$316:N859,6,0)),"")</f>
        <v/>
      </c>
      <c r="H1122" s="502" t="str">
        <f ca="1">IFERROR(IF(INDEX(' Disaggregation - Section E '!F$313:F859,MATCH(C1122,' Disaggregation - Section E '!A$313:A859,0)+1,1)&lt;&gt;0,INDEX(' Disaggregation - Section E '!F$313:F859,MATCH(C1122,' Disaggregation - Section E '!A$313:A859,0)+1,1),""),"")</f>
        <v/>
      </c>
      <c r="I1122" s="493" t="str">
        <f ca="1">IFERROR(IF(VLOOKUP(C1122,' Disaggregation - Section E '!A$316:N859,8,0)=0,"",VLOOKUP(C1122,' Disaggregation - Section E '!A$316:N859,8,0)),"")</f>
        <v/>
      </c>
      <c r="J1122" s="493" t="str">
        <f ca="1">IFERROR(IF(VLOOKUP(C1122,' Disaggregation - Section E '!A$316:N859,13,0)=0,"",VLOOKUP(C1122,' Disaggregation - Section E '!A$316:N859,13,0)),"")</f>
        <v/>
      </c>
      <c r="K1122" s="487" t="str">
        <f ca="1">IFERROR(VLOOKUP(C1122,' Disaggregation - Section E '!A$316:N859,3,0),"")</f>
        <v/>
      </c>
      <c r="L1122" s="493" t="str">
        <f ca="1">IFERROR(IF(VLOOKUP(C1122,' Disaggregation - Section E '!A$316:N859,14,0)=0,"",VLOOKUP(C1122,' Disaggregation - Section E '!A$316:N859,14,0)),"")</f>
        <v/>
      </c>
      <c r="M1122" s="487" t="str">
        <f ca="1">IFERROR(IF(VLOOKUP(C1122,' Disaggregation - Section E '!A$316:T859,20,0)=0,"",VLOOKUP(C1122,' Disaggregation - Section E '!A$316:T859,20,0)),"")</f>
        <v/>
      </c>
      <c r="N1122" s="493" t="str">
        <f ca="1">IFERROR(IF(VLOOKUP(C1122,' Disaggregation - Section E '!A$316:N859,9,0)=0,"",VLOOKUP(C1122,' Disaggregation - Section E '!A$316:N859,9,0)),"")</f>
        <v/>
      </c>
      <c r="O1122" s="493" t="str">
        <f ca="1">IFERROR(IF(VLOOKUP(C1122,' Disaggregation - Section E '!A$315:N859,10,0)=0,"",VLOOKUP(C1122,' Disaggregation - Section E '!A$316:N859,10,0)),"")</f>
        <v/>
      </c>
    </row>
    <row r="1123" spans="1:15" x14ac:dyDescent="0.3">
      <c r="A1123" s="487" t="b">
        <f t="shared" ca="1" si="143"/>
        <v>0</v>
      </c>
      <c r="B1123" s="487"/>
      <c r="C1123" s="507" t="str">
        <f ca="1">IF(COUNTA(D$877:D1123)=1,"",OFFSET(C1123,-COUNTA(D$877:D1123)+1,0))</f>
        <v>a1V3p000004fwv2EAA</v>
      </c>
      <c r="D1123" s="502"/>
      <c r="E1123" s="490" t="str">
        <f ca="1">IFERROR(IF(VLOOKUP(C1123,' Disaggregation - Section E '!A$316:N860,7,0)=0,"",VLOOKUP(C1123,' Disaggregation - Section E '!A$316:N860,7,0)*100),"")</f>
        <v/>
      </c>
      <c r="F1123" s="487"/>
      <c r="G1123" s="492" t="str">
        <f ca="1">IFERROR(IF(VLOOKUP(C1123,' Disaggregation - Section E '!A$316:N860,6,0)=0,"",VLOOKUP(C1123,' Disaggregation - Section E '!A$316:N860,6,0)),"")</f>
        <v/>
      </c>
      <c r="H1123" s="502" t="str">
        <f ca="1">IFERROR(IF(INDEX(' Disaggregation - Section E '!F$313:F860,MATCH(C1123,' Disaggregation - Section E '!A$313:A860,0)+1,1)&lt;&gt;0,INDEX(' Disaggregation - Section E '!F$313:F860,MATCH(C1123,' Disaggregation - Section E '!A$313:A860,0)+1,1),""),"")</f>
        <v/>
      </c>
      <c r="I1123" s="493" t="str">
        <f ca="1">IFERROR(IF(VLOOKUP(C1123,' Disaggregation - Section E '!A$316:N860,8,0)=0,"",VLOOKUP(C1123,' Disaggregation - Section E '!A$316:N860,8,0)),"")</f>
        <v/>
      </c>
      <c r="J1123" s="493" t="str">
        <f ca="1">IFERROR(IF(VLOOKUP(C1123,' Disaggregation - Section E '!A$316:N860,13,0)=0,"",VLOOKUP(C1123,' Disaggregation - Section E '!A$316:N860,13,0)),"")</f>
        <v/>
      </c>
      <c r="K1123" s="487" t="str">
        <f ca="1">IFERROR(VLOOKUP(C1123,' Disaggregation - Section E '!A$316:N860,3,0),"")</f>
        <v/>
      </c>
      <c r="L1123" s="493" t="str">
        <f ca="1">IFERROR(IF(VLOOKUP(C1123,' Disaggregation - Section E '!A$316:N860,14,0)=0,"",VLOOKUP(C1123,' Disaggregation - Section E '!A$316:N860,14,0)),"")</f>
        <v/>
      </c>
      <c r="M1123" s="487" t="str">
        <f ca="1">IFERROR(IF(VLOOKUP(C1123,' Disaggregation - Section E '!A$316:T860,20,0)=0,"",VLOOKUP(C1123,' Disaggregation - Section E '!A$316:T860,20,0)),"")</f>
        <v/>
      </c>
      <c r="N1123" s="493" t="str">
        <f ca="1">IFERROR(IF(VLOOKUP(C1123,' Disaggregation - Section E '!A$316:N860,9,0)=0,"",VLOOKUP(C1123,' Disaggregation - Section E '!A$316:N860,9,0)),"")</f>
        <v/>
      </c>
      <c r="O1123" s="493" t="str">
        <f ca="1">IFERROR(IF(VLOOKUP(C1123,' Disaggregation - Section E '!A$315:N860,10,0)=0,"",VLOOKUP(C1123,' Disaggregation - Section E '!A$316:N860,10,0)),"")</f>
        <v/>
      </c>
    </row>
    <row r="1124" spans="1:15" x14ac:dyDescent="0.3">
      <c r="A1124" s="487" t="b">
        <f t="shared" ca="1" si="143"/>
        <v>0</v>
      </c>
      <c r="B1124" s="487"/>
      <c r="C1124" s="507" t="str">
        <f ca="1">IF(COUNTA(D$877:D1124)=1,"",OFFSET(C1124,-COUNTA(D$877:D1124)+1,0))</f>
        <v>a1V3p000004fwv3EAA</v>
      </c>
      <c r="D1124" s="502"/>
      <c r="E1124" s="490" t="str">
        <f ca="1">IFERROR(IF(VLOOKUP(C1124,' Disaggregation - Section E '!A$316:N861,7,0)=0,"",VLOOKUP(C1124,' Disaggregation - Section E '!A$316:N861,7,0)*100),"")</f>
        <v/>
      </c>
      <c r="F1124" s="487"/>
      <c r="G1124" s="492" t="str">
        <f ca="1">IFERROR(IF(VLOOKUP(C1124,' Disaggregation - Section E '!A$316:N861,6,0)=0,"",VLOOKUP(C1124,' Disaggregation - Section E '!A$316:N861,6,0)),"")</f>
        <v/>
      </c>
      <c r="H1124" s="502" t="str">
        <f ca="1">IFERROR(IF(INDEX(' Disaggregation - Section E '!F$313:F861,MATCH(C1124,' Disaggregation - Section E '!A$313:A861,0)+1,1)&lt;&gt;0,INDEX(' Disaggregation - Section E '!F$313:F861,MATCH(C1124,' Disaggregation - Section E '!A$313:A861,0)+1,1),""),"")</f>
        <v/>
      </c>
      <c r="I1124" s="493" t="str">
        <f ca="1">IFERROR(IF(VLOOKUP(C1124,' Disaggregation - Section E '!A$316:N861,8,0)=0,"",VLOOKUP(C1124,' Disaggregation - Section E '!A$316:N861,8,0)),"")</f>
        <v/>
      </c>
      <c r="J1124" s="493" t="str">
        <f ca="1">IFERROR(IF(VLOOKUP(C1124,' Disaggregation - Section E '!A$316:N861,13,0)=0,"",VLOOKUP(C1124,' Disaggregation - Section E '!A$316:N861,13,0)),"")</f>
        <v/>
      </c>
      <c r="K1124" s="487" t="str">
        <f ca="1">IFERROR(VLOOKUP(C1124,' Disaggregation - Section E '!A$316:N861,3,0),"")</f>
        <v/>
      </c>
      <c r="L1124" s="493" t="str">
        <f ca="1">IFERROR(IF(VLOOKUP(C1124,' Disaggregation - Section E '!A$316:N861,14,0)=0,"",VLOOKUP(C1124,' Disaggregation - Section E '!A$316:N861,14,0)),"")</f>
        <v/>
      </c>
      <c r="M1124" s="487" t="str">
        <f ca="1">IFERROR(IF(VLOOKUP(C1124,' Disaggregation - Section E '!A$316:T861,20,0)=0,"",VLOOKUP(C1124,' Disaggregation - Section E '!A$316:T861,20,0)),"")</f>
        <v/>
      </c>
      <c r="N1124" s="493" t="str">
        <f ca="1">IFERROR(IF(VLOOKUP(C1124,' Disaggregation - Section E '!A$316:N861,9,0)=0,"",VLOOKUP(C1124,' Disaggregation - Section E '!A$316:N861,9,0)),"")</f>
        <v/>
      </c>
      <c r="O1124" s="493" t="str">
        <f ca="1">IFERROR(IF(VLOOKUP(C1124,' Disaggregation - Section E '!A$315:N861,10,0)=0,"",VLOOKUP(C1124,' Disaggregation - Section E '!A$316:N861,10,0)),"")</f>
        <v/>
      </c>
    </row>
    <row r="1125" spans="1:15" x14ac:dyDescent="0.3">
      <c r="A1125" s="487" t="b">
        <f t="shared" ca="1" si="143"/>
        <v>0</v>
      </c>
      <c r="B1125" s="487"/>
      <c r="C1125" s="507" t="str">
        <f ca="1">IF(COUNTA(D$877:D1125)=1,"",OFFSET(C1125,-COUNTA(D$877:D1125)+1,0))</f>
        <v>a1V3p000004fwv4EAA</v>
      </c>
      <c r="D1125" s="502"/>
      <c r="E1125" s="490" t="str">
        <f ca="1">IFERROR(IF(VLOOKUP(C1125,' Disaggregation - Section E '!A$316:N862,7,0)=0,"",VLOOKUP(C1125,' Disaggregation - Section E '!A$316:N862,7,0)*100),"")</f>
        <v/>
      </c>
      <c r="F1125" s="487"/>
      <c r="G1125" s="492" t="str">
        <f ca="1">IFERROR(IF(VLOOKUP(C1125,' Disaggregation - Section E '!A$316:N862,6,0)=0,"",VLOOKUP(C1125,' Disaggregation - Section E '!A$316:N862,6,0)),"")</f>
        <v/>
      </c>
      <c r="H1125" s="502" t="str">
        <f ca="1">IFERROR(IF(INDEX(' Disaggregation - Section E '!F$313:F862,MATCH(C1125,' Disaggregation - Section E '!A$313:A862,0)+1,1)&lt;&gt;0,INDEX(' Disaggregation - Section E '!F$313:F862,MATCH(C1125,' Disaggregation - Section E '!A$313:A862,0)+1,1),""),"")</f>
        <v/>
      </c>
      <c r="I1125" s="493" t="str">
        <f ca="1">IFERROR(IF(VLOOKUP(C1125,' Disaggregation - Section E '!A$316:N862,8,0)=0,"",VLOOKUP(C1125,' Disaggregation - Section E '!A$316:N862,8,0)),"")</f>
        <v/>
      </c>
      <c r="J1125" s="493" t="str">
        <f ca="1">IFERROR(IF(VLOOKUP(C1125,' Disaggregation - Section E '!A$316:N862,13,0)=0,"",VLOOKUP(C1125,' Disaggregation - Section E '!A$316:N862,13,0)),"")</f>
        <v/>
      </c>
      <c r="K1125" s="487" t="str">
        <f ca="1">IFERROR(VLOOKUP(C1125,' Disaggregation - Section E '!A$316:N862,3,0),"")</f>
        <v/>
      </c>
      <c r="L1125" s="493" t="str">
        <f ca="1">IFERROR(IF(VLOOKUP(C1125,' Disaggregation - Section E '!A$316:N862,14,0)=0,"",VLOOKUP(C1125,' Disaggregation - Section E '!A$316:N862,14,0)),"")</f>
        <v/>
      </c>
      <c r="M1125" s="487" t="str">
        <f ca="1">IFERROR(IF(VLOOKUP(C1125,' Disaggregation - Section E '!A$316:T862,20,0)=0,"",VLOOKUP(C1125,' Disaggregation - Section E '!A$316:T862,20,0)),"")</f>
        <v/>
      </c>
      <c r="N1125" s="493" t="str">
        <f ca="1">IFERROR(IF(VLOOKUP(C1125,' Disaggregation - Section E '!A$316:N862,9,0)=0,"",VLOOKUP(C1125,' Disaggregation - Section E '!A$316:N862,9,0)),"")</f>
        <v/>
      </c>
      <c r="O1125" s="493" t="str">
        <f ca="1">IFERROR(IF(VLOOKUP(C1125,' Disaggregation - Section E '!A$315:N862,10,0)=0,"",VLOOKUP(C1125,' Disaggregation - Section E '!A$316:N862,10,0)),"")</f>
        <v/>
      </c>
    </row>
    <row r="1126" spans="1:15" x14ac:dyDescent="0.3">
      <c r="A1126" s="487" t="b">
        <f t="shared" ca="1" si="143"/>
        <v>0</v>
      </c>
      <c r="B1126" s="487"/>
      <c r="C1126" s="507" t="str">
        <f ca="1">IF(COUNTA(D$877:D1126)=1,"",OFFSET(C1126,-COUNTA(D$877:D1126)+1,0))</f>
        <v>a1V3p000004fwv5EAA</v>
      </c>
      <c r="D1126" s="502"/>
      <c r="E1126" s="490" t="str">
        <f ca="1">IFERROR(IF(VLOOKUP(C1126,' Disaggregation - Section E '!A$316:N863,7,0)=0,"",VLOOKUP(C1126,' Disaggregation - Section E '!A$316:N863,7,0)*100),"")</f>
        <v/>
      </c>
      <c r="F1126" s="487"/>
      <c r="G1126" s="492" t="str">
        <f ca="1">IFERROR(IF(VLOOKUP(C1126,' Disaggregation - Section E '!A$316:N863,6,0)=0,"",VLOOKUP(C1126,' Disaggregation - Section E '!A$316:N863,6,0)),"")</f>
        <v/>
      </c>
      <c r="H1126" s="502" t="str">
        <f ca="1">IFERROR(IF(INDEX(' Disaggregation - Section E '!F$313:F863,MATCH(C1126,' Disaggregation - Section E '!A$313:A863,0)+1,1)&lt;&gt;0,INDEX(' Disaggregation - Section E '!F$313:F863,MATCH(C1126,' Disaggregation - Section E '!A$313:A863,0)+1,1),""),"")</f>
        <v/>
      </c>
      <c r="I1126" s="493" t="str">
        <f ca="1">IFERROR(IF(VLOOKUP(C1126,' Disaggregation - Section E '!A$316:N863,8,0)=0,"",VLOOKUP(C1126,' Disaggregation - Section E '!A$316:N863,8,0)),"")</f>
        <v/>
      </c>
      <c r="J1126" s="493" t="str">
        <f ca="1">IFERROR(IF(VLOOKUP(C1126,' Disaggregation - Section E '!A$316:N863,13,0)=0,"",VLOOKUP(C1126,' Disaggregation - Section E '!A$316:N863,13,0)),"")</f>
        <v/>
      </c>
      <c r="K1126" s="487" t="str">
        <f ca="1">IFERROR(VLOOKUP(C1126,' Disaggregation - Section E '!A$316:N863,3,0),"")</f>
        <v/>
      </c>
      <c r="L1126" s="493" t="str">
        <f ca="1">IFERROR(IF(VLOOKUP(C1126,' Disaggregation - Section E '!A$316:N863,14,0)=0,"",VLOOKUP(C1126,' Disaggregation - Section E '!A$316:N863,14,0)),"")</f>
        <v/>
      </c>
      <c r="M1126" s="487" t="str">
        <f ca="1">IFERROR(IF(VLOOKUP(C1126,' Disaggregation - Section E '!A$316:T863,20,0)=0,"",VLOOKUP(C1126,' Disaggregation - Section E '!A$316:T863,20,0)),"")</f>
        <v/>
      </c>
      <c r="N1126" s="493" t="str">
        <f ca="1">IFERROR(IF(VLOOKUP(C1126,' Disaggregation - Section E '!A$316:N863,9,0)=0,"",VLOOKUP(C1126,' Disaggregation - Section E '!A$316:N863,9,0)),"")</f>
        <v/>
      </c>
      <c r="O1126" s="493" t="str">
        <f ca="1">IFERROR(IF(VLOOKUP(C1126,' Disaggregation - Section E '!A$315:N863,10,0)=0,"",VLOOKUP(C1126,' Disaggregation - Section E '!A$316:N863,10,0)),"")</f>
        <v/>
      </c>
    </row>
    <row r="1127" spans="1:15" x14ac:dyDescent="0.3">
      <c r="A1127" s="487" t="b">
        <f t="shared" ca="1" si="143"/>
        <v>0</v>
      </c>
      <c r="B1127" s="487"/>
      <c r="C1127" s="507" t="str">
        <f ca="1">IF(COUNTA(D$877:D1127)=1,"",OFFSET(C1127,-COUNTA(D$877:D1127)+1,0))</f>
        <v>a1V3p000004fwv6EAA</v>
      </c>
      <c r="D1127" s="502"/>
      <c r="E1127" s="490" t="str">
        <f ca="1">IFERROR(IF(VLOOKUP(C1127,' Disaggregation - Section E '!A$316:N864,7,0)=0,"",VLOOKUP(C1127,' Disaggregation - Section E '!A$316:N864,7,0)*100),"")</f>
        <v/>
      </c>
      <c r="F1127" s="487"/>
      <c r="G1127" s="492" t="str">
        <f ca="1">IFERROR(IF(VLOOKUP(C1127,' Disaggregation - Section E '!A$316:N864,6,0)=0,"",VLOOKUP(C1127,' Disaggregation - Section E '!A$316:N864,6,0)),"")</f>
        <v/>
      </c>
      <c r="H1127" s="502" t="str">
        <f ca="1">IFERROR(IF(INDEX(' Disaggregation - Section E '!F$313:F864,MATCH(C1127,' Disaggregation - Section E '!A$313:A864,0)+1,1)&lt;&gt;0,INDEX(' Disaggregation - Section E '!F$313:F864,MATCH(C1127,' Disaggregation - Section E '!A$313:A864,0)+1,1),""),"")</f>
        <v/>
      </c>
      <c r="I1127" s="493" t="str">
        <f ca="1">IFERROR(IF(VLOOKUP(C1127,' Disaggregation - Section E '!A$316:N864,8,0)=0,"",VLOOKUP(C1127,' Disaggregation - Section E '!A$316:N864,8,0)),"")</f>
        <v/>
      </c>
      <c r="J1127" s="493" t="str">
        <f ca="1">IFERROR(IF(VLOOKUP(C1127,' Disaggregation - Section E '!A$316:N864,13,0)=0,"",VLOOKUP(C1127,' Disaggregation - Section E '!A$316:N864,13,0)),"")</f>
        <v/>
      </c>
      <c r="K1127" s="487" t="str">
        <f ca="1">IFERROR(VLOOKUP(C1127,' Disaggregation - Section E '!A$316:N864,3,0),"")</f>
        <v/>
      </c>
      <c r="L1127" s="493" t="str">
        <f ca="1">IFERROR(IF(VLOOKUP(C1127,' Disaggregation - Section E '!A$316:N864,14,0)=0,"",VLOOKUP(C1127,' Disaggregation - Section E '!A$316:N864,14,0)),"")</f>
        <v/>
      </c>
      <c r="M1127" s="487" t="str">
        <f ca="1">IFERROR(IF(VLOOKUP(C1127,' Disaggregation - Section E '!A$316:T864,20,0)=0,"",VLOOKUP(C1127,' Disaggregation - Section E '!A$316:T864,20,0)),"")</f>
        <v/>
      </c>
      <c r="N1127" s="493" t="str">
        <f ca="1">IFERROR(IF(VLOOKUP(C1127,' Disaggregation - Section E '!A$316:N864,9,0)=0,"",VLOOKUP(C1127,' Disaggregation - Section E '!A$316:N864,9,0)),"")</f>
        <v/>
      </c>
      <c r="O1127" s="493" t="str">
        <f ca="1">IFERROR(IF(VLOOKUP(C1127,' Disaggregation - Section E '!A$315:N864,10,0)=0,"",VLOOKUP(C1127,' Disaggregation - Section E '!A$316:N864,10,0)),"")</f>
        <v/>
      </c>
    </row>
    <row r="1128" spans="1:15" x14ac:dyDescent="0.3">
      <c r="A1128" s="487" t="b">
        <f t="shared" ca="1" si="143"/>
        <v>0</v>
      </c>
      <c r="B1128" s="487"/>
      <c r="C1128" s="507" t="str">
        <f ca="1">IF(COUNTA(D$877:D1128)=1,"",OFFSET(C1128,-COUNTA(D$877:D1128)+1,0))</f>
        <v>a1V3p000004fwv7EAA</v>
      </c>
      <c r="D1128" s="502"/>
      <c r="E1128" s="490" t="str">
        <f ca="1">IFERROR(IF(VLOOKUP(C1128,' Disaggregation - Section E '!A$316:N865,7,0)=0,"",VLOOKUP(C1128,' Disaggregation - Section E '!A$316:N865,7,0)*100),"")</f>
        <v/>
      </c>
      <c r="F1128" s="487"/>
      <c r="G1128" s="492" t="str">
        <f ca="1">IFERROR(IF(VLOOKUP(C1128,' Disaggregation - Section E '!A$316:N865,6,0)=0,"",VLOOKUP(C1128,' Disaggregation - Section E '!A$316:N865,6,0)),"")</f>
        <v/>
      </c>
      <c r="H1128" s="502" t="str">
        <f ca="1">IFERROR(IF(INDEX(' Disaggregation - Section E '!F$313:F865,MATCH(C1128,' Disaggregation - Section E '!A$313:A865,0)+1,1)&lt;&gt;0,INDEX(' Disaggregation - Section E '!F$313:F865,MATCH(C1128,' Disaggregation - Section E '!A$313:A865,0)+1,1),""),"")</f>
        <v/>
      </c>
      <c r="I1128" s="493" t="str">
        <f ca="1">IFERROR(IF(VLOOKUP(C1128,' Disaggregation - Section E '!A$316:N865,8,0)=0,"",VLOOKUP(C1128,' Disaggregation - Section E '!A$316:N865,8,0)),"")</f>
        <v/>
      </c>
      <c r="J1128" s="493" t="str">
        <f ca="1">IFERROR(IF(VLOOKUP(C1128,' Disaggregation - Section E '!A$316:N865,13,0)=0,"",VLOOKUP(C1128,' Disaggregation - Section E '!A$316:N865,13,0)),"")</f>
        <v/>
      </c>
      <c r="K1128" s="487" t="str">
        <f ca="1">IFERROR(VLOOKUP(C1128,' Disaggregation - Section E '!A$316:N865,3,0),"")</f>
        <v/>
      </c>
      <c r="L1128" s="493" t="str">
        <f ca="1">IFERROR(IF(VLOOKUP(C1128,' Disaggregation - Section E '!A$316:N865,14,0)=0,"",VLOOKUP(C1128,' Disaggregation - Section E '!A$316:N865,14,0)),"")</f>
        <v/>
      </c>
      <c r="M1128" s="487" t="str">
        <f ca="1">IFERROR(IF(VLOOKUP(C1128,' Disaggregation - Section E '!A$316:T865,20,0)=0,"",VLOOKUP(C1128,' Disaggregation - Section E '!A$316:T865,20,0)),"")</f>
        <v/>
      </c>
      <c r="N1128" s="493" t="str">
        <f ca="1">IFERROR(IF(VLOOKUP(C1128,' Disaggregation - Section E '!A$316:N865,9,0)=0,"",VLOOKUP(C1128,' Disaggregation - Section E '!A$316:N865,9,0)),"")</f>
        <v/>
      </c>
      <c r="O1128" s="493" t="str">
        <f ca="1">IFERROR(IF(VLOOKUP(C1128,' Disaggregation - Section E '!A$315:N865,10,0)=0,"",VLOOKUP(C1128,' Disaggregation - Section E '!A$316:N865,10,0)),"")</f>
        <v/>
      </c>
    </row>
    <row r="1129" spans="1:15" x14ac:dyDescent="0.3">
      <c r="A1129" s="487" t="b">
        <f t="shared" ca="1" si="143"/>
        <v>0</v>
      </c>
      <c r="B1129" s="487"/>
      <c r="C1129" s="507" t="str">
        <f ca="1">IF(COUNTA(D$877:D1129)=1,"",OFFSET(C1129,-COUNTA(D$877:D1129)+1,0))</f>
        <v>a1V3p000004fwv8EAA</v>
      </c>
      <c r="D1129" s="502"/>
      <c r="E1129" s="490" t="str">
        <f ca="1">IFERROR(IF(VLOOKUP(C1129,' Disaggregation - Section E '!A$316:N866,7,0)=0,"",VLOOKUP(C1129,' Disaggregation - Section E '!A$316:N866,7,0)*100),"")</f>
        <v/>
      </c>
      <c r="F1129" s="487"/>
      <c r="G1129" s="492" t="str">
        <f ca="1">IFERROR(IF(VLOOKUP(C1129,' Disaggregation - Section E '!A$316:N866,6,0)=0,"",VLOOKUP(C1129,' Disaggregation - Section E '!A$316:N866,6,0)),"")</f>
        <v/>
      </c>
      <c r="H1129" s="502" t="str">
        <f ca="1">IFERROR(IF(INDEX(' Disaggregation - Section E '!F$313:F866,MATCH(C1129,' Disaggregation - Section E '!A$313:A866,0)+1,1)&lt;&gt;0,INDEX(' Disaggregation - Section E '!F$313:F866,MATCH(C1129,' Disaggregation - Section E '!A$313:A866,0)+1,1),""),"")</f>
        <v/>
      </c>
      <c r="I1129" s="493" t="str">
        <f ca="1">IFERROR(IF(VLOOKUP(C1129,' Disaggregation - Section E '!A$316:N866,8,0)=0,"",VLOOKUP(C1129,' Disaggregation - Section E '!A$316:N866,8,0)),"")</f>
        <v/>
      </c>
      <c r="J1129" s="493" t="str">
        <f ca="1">IFERROR(IF(VLOOKUP(C1129,' Disaggregation - Section E '!A$316:N866,13,0)=0,"",VLOOKUP(C1129,' Disaggregation - Section E '!A$316:N866,13,0)),"")</f>
        <v/>
      </c>
      <c r="K1129" s="487" t="str">
        <f ca="1">IFERROR(VLOOKUP(C1129,' Disaggregation - Section E '!A$316:N866,3,0),"")</f>
        <v/>
      </c>
      <c r="L1129" s="493" t="str">
        <f ca="1">IFERROR(IF(VLOOKUP(C1129,' Disaggregation - Section E '!A$316:N866,14,0)=0,"",VLOOKUP(C1129,' Disaggregation - Section E '!A$316:N866,14,0)),"")</f>
        <v/>
      </c>
      <c r="M1129" s="487" t="str">
        <f ca="1">IFERROR(IF(VLOOKUP(C1129,' Disaggregation - Section E '!A$316:T866,20,0)=0,"",VLOOKUP(C1129,' Disaggregation - Section E '!A$316:T866,20,0)),"")</f>
        <v/>
      </c>
      <c r="N1129" s="493" t="str">
        <f ca="1">IFERROR(IF(VLOOKUP(C1129,' Disaggregation - Section E '!A$316:N866,9,0)=0,"",VLOOKUP(C1129,' Disaggregation - Section E '!A$316:N866,9,0)),"")</f>
        <v/>
      </c>
      <c r="O1129" s="493" t="str">
        <f ca="1">IFERROR(IF(VLOOKUP(C1129,' Disaggregation - Section E '!A$315:N866,10,0)=0,"",VLOOKUP(C1129,' Disaggregation - Section E '!A$316:N866,10,0)),"")</f>
        <v/>
      </c>
    </row>
    <row r="1130" spans="1:15" x14ac:dyDescent="0.3">
      <c r="A1130" s="487" t="b">
        <f t="shared" ca="1" si="143"/>
        <v>0</v>
      </c>
      <c r="B1130" s="487"/>
      <c r="C1130" s="507" t="str">
        <f ca="1">IF(COUNTA(D$877:D1130)=1,"",OFFSET(C1130,-COUNTA(D$877:D1130)+1,0))</f>
        <v>a1V3p000004fwv9EAA</v>
      </c>
      <c r="D1130" s="502"/>
      <c r="E1130" s="490" t="str">
        <f ca="1">IFERROR(IF(VLOOKUP(C1130,' Disaggregation - Section E '!A$316:N867,7,0)=0,"",VLOOKUP(C1130,' Disaggregation - Section E '!A$316:N867,7,0)*100),"")</f>
        <v/>
      </c>
      <c r="F1130" s="487"/>
      <c r="G1130" s="492" t="str">
        <f ca="1">IFERROR(IF(VLOOKUP(C1130,' Disaggregation - Section E '!A$316:N867,6,0)=0,"",VLOOKUP(C1130,' Disaggregation - Section E '!A$316:N867,6,0)),"")</f>
        <v/>
      </c>
      <c r="H1130" s="502" t="str">
        <f ca="1">IFERROR(IF(INDEX(' Disaggregation - Section E '!F$313:F867,MATCH(C1130,' Disaggregation - Section E '!A$313:A867,0)+1,1)&lt;&gt;0,INDEX(' Disaggregation - Section E '!F$313:F867,MATCH(C1130,' Disaggregation - Section E '!A$313:A867,0)+1,1),""),"")</f>
        <v/>
      </c>
      <c r="I1130" s="493" t="str">
        <f ca="1">IFERROR(IF(VLOOKUP(C1130,' Disaggregation - Section E '!A$316:N867,8,0)=0,"",VLOOKUP(C1130,' Disaggregation - Section E '!A$316:N867,8,0)),"")</f>
        <v/>
      </c>
      <c r="J1130" s="493" t="str">
        <f ca="1">IFERROR(IF(VLOOKUP(C1130,' Disaggregation - Section E '!A$316:N867,13,0)=0,"",VLOOKUP(C1130,' Disaggregation - Section E '!A$316:N867,13,0)),"")</f>
        <v/>
      </c>
      <c r="K1130" s="487" t="str">
        <f ca="1">IFERROR(VLOOKUP(C1130,' Disaggregation - Section E '!A$316:N867,3,0),"")</f>
        <v/>
      </c>
      <c r="L1130" s="493" t="str">
        <f ca="1">IFERROR(IF(VLOOKUP(C1130,' Disaggregation - Section E '!A$316:N867,14,0)=0,"",VLOOKUP(C1130,' Disaggregation - Section E '!A$316:N867,14,0)),"")</f>
        <v/>
      </c>
      <c r="M1130" s="487" t="str">
        <f ca="1">IFERROR(IF(VLOOKUP(C1130,' Disaggregation - Section E '!A$316:T867,20,0)=0,"",VLOOKUP(C1130,' Disaggregation - Section E '!A$316:T867,20,0)),"")</f>
        <v/>
      </c>
      <c r="N1130" s="493" t="str">
        <f ca="1">IFERROR(IF(VLOOKUP(C1130,' Disaggregation - Section E '!A$316:N867,9,0)=0,"",VLOOKUP(C1130,' Disaggregation - Section E '!A$316:N867,9,0)),"")</f>
        <v/>
      </c>
      <c r="O1130" s="493" t="str">
        <f ca="1">IFERROR(IF(VLOOKUP(C1130,' Disaggregation - Section E '!A$315:N867,10,0)=0,"",VLOOKUP(C1130,' Disaggregation - Section E '!A$316:N867,10,0)),"")</f>
        <v/>
      </c>
    </row>
    <row r="1131" spans="1:15" x14ac:dyDescent="0.3">
      <c r="A1131" s="487" t="b">
        <f t="shared" ca="1" si="143"/>
        <v>0</v>
      </c>
      <c r="B1131" s="487"/>
      <c r="C1131" s="507" t="str">
        <f ca="1">IF(COUNTA(D$877:D1131)=1,"",OFFSET(C1131,-COUNTA(D$877:D1131)+1,0))</f>
        <v>a1V3p000004fwvAEAQ</v>
      </c>
      <c r="D1131" s="502"/>
      <c r="E1131" s="490" t="str">
        <f ca="1">IFERROR(IF(VLOOKUP(C1131,' Disaggregation - Section E '!A$316:N868,7,0)=0,"",VLOOKUP(C1131,' Disaggregation - Section E '!A$316:N868,7,0)*100),"")</f>
        <v/>
      </c>
      <c r="F1131" s="487"/>
      <c r="G1131" s="492" t="str">
        <f ca="1">IFERROR(IF(VLOOKUP(C1131,' Disaggregation - Section E '!A$316:N868,6,0)=0,"",VLOOKUP(C1131,' Disaggregation - Section E '!A$316:N868,6,0)),"")</f>
        <v/>
      </c>
      <c r="H1131" s="502" t="str">
        <f ca="1">IFERROR(IF(INDEX(' Disaggregation - Section E '!F$313:F868,MATCH(C1131,' Disaggregation - Section E '!A$313:A868,0)+1,1)&lt;&gt;0,INDEX(' Disaggregation - Section E '!F$313:F868,MATCH(C1131,' Disaggregation - Section E '!A$313:A868,0)+1,1),""),"")</f>
        <v/>
      </c>
      <c r="I1131" s="493" t="str">
        <f ca="1">IFERROR(IF(VLOOKUP(C1131,' Disaggregation - Section E '!A$316:N868,8,0)=0,"",VLOOKUP(C1131,' Disaggregation - Section E '!A$316:N868,8,0)),"")</f>
        <v/>
      </c>
      <c r="J1131" s="493" t="str">
        <f ca="1">IFERROR(IF(VLOOKUP(C1131,' Disaggregation - Section E '!A$316:N868,13,0)=0,"",VLOOKUP(C1131,' Disaggregation - Section E '!A$316:N868,13,0)),"")</f>
        <v/>
      </c>
      <c r="K1131" s="487" t="str">
        <f ca="1">IFERROR(VLOOKUP(C1131,' Disaggregation - Section E '!A$316:N868,3,0),"")</f>
        <v/>
      </c>
      <c r="L1131" s="493" t="str">
        <f ca="1">IFERROR(IF(VLOOKUP(C1131,' Disaggregation - Section E '!A$316:N868,14,0)=0,"",VLOOKUP(C1131,' Disaggregation - Section E '!A$316:N868,14,0)),"")</f>
        <v/>
      </c>
      <c r="M1131" s="487" t="str">
        <f ca="1">IFERROR(IF(VLOOKUP(C1131,' Disaggregation - Section E '!A$316:T868,20,0)=0,"",VLOOKUP(C1131,' Disaggregation - Section E '!A$316:T868,20,0)),"")</f>
        <v/>
      </c>
      <c r="N1131" s="493" t="str">
        <f ca="1">IFERROR(IF(VLOOKUP(C1131,' Disaggregation - Section E '!A$316:N868,9,0)=0,"",VLOOKUP(C1131,' Disaggregation - Section E '!A$316:N868,9,0)),"")</f>
        <v/>
      </c>
      <c r="O1131" s="493" t="str">
        <f ca="1">IFERROR(IF(VLOOKUP(C1131,' Disaggregation - Section E '!A$315:N868,10,0)=0,"",VLOOKUP(C1131,' Disaggregation - Section E '!A$316:N868,10,0)),"")</f>
        <v/>
      </c>
    </row>
    <row r="1132" spans="1:15" x14ac:dyDescent="0.3">
      <c r="A1132" s="487" t="b">
        <f t="shared" ca="1" si="143"/>
        <v>0</v>
      </c>
      <c r="B1132" s="487"/>
      <c r="C1132" s="507" t="str">
        <f ca="1">IF(COUNTA(D$877:D1132)=1,"",OFFSET(C1132,-COUNTA(D$877:D1132)+1,0))</f>
        <v>a1V3p000004fwvBEAQ</v>
      </c>
      <c r="D1132" s="502"/>
      <c r="E1132" s="490" t="str">
        <f ca="1">IFERROR(IF(VLOOKUP(C1132,' Disaggregation - Section E '!A$316:N869,7,0)=0,"",VLOOKUP(C1132,' Disaggregation - Section E '!A$316:N869,7,0)*100),"")</f>
        <v/>
      </c>
      <c r="F1132" s="487"/>
      <c r="G1132" s="492" t="str">
        <f ca="1">IFERROR(IF(VLOOKUP(C1132,' Disaggregation - Section E '!A$316:N869,6,0)=0,"",VLOOKUP(C1132,' Disaggregation - Section E '!A$316:N869,6,0)),"")</f>
        <v/>
      </c>
      <c r="H1132" s="502" t="str">
        <f ca="1">IFERROR(IF(INDEX(' Disaggregation - Section E '!F$313:F869,MATCH(C1132,' Disaggregation - Section E '!A$313:A869,0)+1,1)&lt;&gt;0,INDEX(' Disaggregation - Section E '!F$313:F869,MATCH(C1132,' Disaggregation - Section E '!A$313:A869,0)+1,1),""),"")</f>
        <v/>
      </c>
      <c r="I1132" s="493" t="str">
        <f ca="1">IFERROR(IF(VLOOKUP(C1132,' Disaggregation - Section E '!A$316:N869,8,0)=0,"",VLOOKUP(C1132,' Disaggregation - Section E '!A$316:N869,8,0)),"")</f>
        <v/>
      </c>
      <c r="J1132" s="493" t="str">
        <f ca="1">IFERROR(IF(VLOOKUP(C1132,' Disaggregation - Section E '!A$316:N869,13,0)=0,"",VLOOKUP(C1132,' Disaggregation - Section E '!A$316:N869,13,0)),"")</f>
        <v/>
      </c>
      <c r="K1132" s="487" t="str">
        <f ca="1">IFERROR(VLOOKUP(C1132,' Disaggregation - Section E '!A$316:N869,3,0),"")</f>
        <v/>
      </c>
      <c r="L1132" s="493" t="str">
        <f ca="1">IFERROR(IF(VLOOKUP(C1132,' Disaggregation - Section E '!A$316:N869,14,0)=0,"",VLOOKUP(C1132,' Disaggregation - Section E '!A$316:N869,14,0)),"")</f>
        <v/>
      </c>
      <c r="M1132" s="487" t="str">
        <f ca="1">IFERROR(IF(VLOOKUP(C1132,' Disaggregation - Section E '!A$316:T869,20,0)=0,"",VLOOKUP(C1132,' Disaggregation - Section E '!A$316:T869,20,0)),"")</f>
        <v/>
      </c>
      <c r="N1132" s="493" t="str">
        <f ca="1">IFERROR(IF(VLOOKUP(C1132,' Disaggregation - Section E '!A$316:N869,9,0)=0,"",VLOOKUP(C1132,' Disaggregation - Section E '!A$316:N869,9,0)),"")</f>
        <v/>
      </c>
      <c r="O1132" s="493" t="str">
        <f ca="1">IFERROR(IF(VLOOKUP(C1132,' Disaggregation - Section E '!A$315:N869,10,0)=0,"",VLOOKUP(C1132,' Disaggregation - Section E '!A$316:N869,10,0)),"")</f>
        <v/>
      </c>
    </row>
    <row r="1133" spans="1:15" x14ac:dyDescent="0.3">
      <c r="A1133" s="487" t="b">
        <f t="shared" ca="1" si="143"/>
        <v>0</v>
      </c>
      <c r="B1133" s="487"/>
      <c r="C1133" s="507" t="str">
        <f ca="1">IF(COUNTA(D$877:D1133)=1,"",OFFSET(C1133,-COUNTA(D$877:D1133)+1,0))</f>
        <v>a1V3p000004fwvCEAQ</v>
      </c>
      <c r="D1133" s="502"/>
      <c r="E1133" s="490" t="str">
        <f ca="1">IFERROR(IF(VLOOKUP(C1133,' Disaggregation - Section E '!A$316:N870,7,0)=0,"",VLOOKUP(C1133,' Disaggregation - Section E '!A$316:N870,7,0)*100),"")</f>
        <v/>
      </c>
      <c r="F1133" s="487"/>
      <c r="G1133" s="492" t="str">
        <f ca="1">IFERROR(IF(VLOOKUP(C1133,' Disaggregation - Section E '!A$316:N870,6,0)=0,"",VLOOKUP(C1133,' Disaggregation - Section E '!A$316:N870,6,0)),"")</f>
        <v/>
      </c>
      <c r="H1133" s="502" t="str">
        <f ca="1">IFERROR(IF(INDEX(' Disaggregation - Section E '!F$313:F870,MATCH(C1133,' Disaggregation - Section E '!A$313:A870,0)+1,1)&lt;&gt;0,INDEX(' Disaggregation - Section E '!F$313:F870,MATCH(C1133,' Disaggregation - Section E '!A$313:A870,0)+1,1),""),"")</f>
        <v/>
      </c>
      <c r="I1133" s="493" t="str">
        <f ca="1">IFERROR(IF(VLOOKUP(C1133,' Disaggregation - Section E '!A$316:N870,8,0)=0,"",VLOOKUP(C1133,' Disaggregation - Section E '!A$316:N870,8,0)),"")</f>
        <v/>
      </c>
      <c r="J1133" s="493" t="str">
        <f ca="1">IFERROR(IF(VLOOKUP(C1133,' Disaggregation - Section E '!A$316:N870,13,0)=0,"",VLOOKUP(C1133,' Disaggregation - Section E '!A$316:N870,13,0)),"")</f>
        <v/>
      </c>
      <c r="K1133" s="487" t="str">
        <f ca="1">IFERROR(VLOOKUP(C1133,' Disaggregation - Section E '!A$316:N870,3,0),"")</f>
        <v/>
      </c>
      <c r="L1133" s="493" t="str">
        <f ca="1">IFERROR(IF(VLOOKUP(C1133,' Disaggregation - Section E '!A$316:N870,14,0)=0,"",VLOOKUP(C1133,' Disaggregation - Section E '!A$316:N870,14,0)),"")</f>
        <v/>
      </c>
      <c r="M1133" s="487" t="str">
        <f ca="1">IFERROR(IF(VLOOKUP(C1133,' Disaggregation - Section E '!A$316:T870,20,0)=0,"",VLOOKUP(C1133,' Disaggregation - Section E '!A$316:T870,20,0)),"")</f>
        <v/>
      </c>
      <c r="N1133" s="493" t="str">
        <f ca="1">IFERROR(IF(VLOOKUP(C1133,' Disaggregation - Section E '!A$316:N870,9,0)=0,"",VLOOKUP(C1133,' Disaggregation - Section E '!A$316:N870,9,0)),"")</f>
        <v/>
      </c>
      <c r="O1133" s="493" t="str">
        <f ca="1">IFERROR(IF(VLOOKUP(C1133,' Disaggregation - Section E '!A$315:N870,10,0)=0,"",VLOOKUP(C1133,' Disaggregation - Section E '!A$316:N870,10,0)),"")</f>
        <v/>
      </c>
    </row>
    <row r="1134" spans="1:15" x14ac:dyDescent="0.3">
      <c r="A1134" s="487" t="b">
        <f t="shared" ca="1" si="143"/>
        <v>0</v>
      </c>
      <c r="B1134" s="487"/>
      <c r="C1134" s="507" t="str">
        <f ca="1">IF(COUNTA(D$877:D1134)=1,"",OFFSET(C1134,-COUNTA(D$877:D1134)+1,0))</f>
        <v>a1V3p000004fwvDEAQ</v>
      </c>
      <c r="D1134" s="502"/>
      <c r="E1134" s="490" t="str">
        <f ca="1">IFERROR(IF(VLOOKUP(C1134,' Disaggregation - Section E '!A$316:N871,7,0)=0,"",VLOOKUP(C1134,' Disaggregation - Section E '!A$316:N871,7,0)*100),"")</f>
        <v/>
      </c>
      <c r="F1134" s="487"/>
      <c r="G1134" s="492" t="str">
        <f ca="1">IFERROR(IF(VLOOKUP(C1134,' Disaggregation - Section E '!A$316:N871,6,0)=0,"",VLOOKUP(C1134,' Disaggregation - Section E '!A$316:N871,6,0)),"")</f>
        <v/>
      </c>
      <c r="H1134" s="502" t="str">
        <f ca="1">IFERROR(IF(INDEX(' Disaggregation - Section E '!F$313:F871,MATCH(C1134,' Disaggregation - Section E '!A$313:A871,0)+1,1)&lt;&gt;0,INDEX(' Disaggregation - Section E '!F$313:F871,MATCH(C1134,' Disaggregation - Section E '!A$313:A871,0)+1,1),""),"")</f>
        <v/>
      </c>
      <c r="I1134" s="493" t="str">
        <f ca="1">IFERROR(IF(VLOOKUP(C1134,' Disaggregation - Section E '!A$316:N871,8,0)=0,"",VLOOKUP(C1134,' Disaggregation - Section E '!A$316:N871,8,0)),"")</f>
        <v/>
      </c>
      <c r="J1134" s="493" t="str">
        <f ca="1">IFERROR(IF(VLOOKUP(C1134,' Disaggregation - Section E '!A$316:N871,13,0)=0,"",VLOOKUP(C1134,' Disaggregation - Section E '!A$316:N871,13,0)),"")</f>
        <v/>
      </c>
      <c r="K1134" s="487" t="str">
        <f ca="1">IFERROR(VLOOKUP(C1134,' Disaggregation - Section E '!A$316:N871,3,0),"")</f>
        <v/>
      </c>
      <c r="L1134" s="493" t="str">
        <f ca="1">IFERROR(IF(VLOOKUP(C1134,' Disaggregation - Section E '!A$316:N871,14,0)=0,"",VLOOKUP(C1134,' Disaggregation - Section E '!A$316:N871,14,0)),"")</f>
        <v/>
      </c>
      <c r="M1134" s="487" t="str">
        <f ca="1">IFERROR(IF(VLOOKUP(C1134,' Disaggregation - Section E '!A$316:T871,20,0)=0,"",VLOOKUP(C1134,' Disaggregation - Section E '!A$316:T871,20,0)),"")</f>
        <v/>
      </c>
      <c r="N1134" s="493" t="str">
        <f ca="1">IFERROR(IF(VLOOKUP(C1134,' Disaggregation - Section E '!A$316:N871,9,0)=0,"",VLOOKUP(C1134,' Disaggregation - Section E '!A$316:N871,9,0)),"")</f>
        <v/>
      </c>
      <c r="O1134" s="493" t="str">
        <f ca="1">IFERROR(IF(VLOOKUP(C1134,' Disaggregation - Section E '!A$315:N871,10,0)=0,"",VLOOKUP(C1134,' Disaggregation - Section E '!A$316:N871,10,0)),"")</f>
        <v/>
      </c>
    </row>
    <row r="1135" spans="1:15" x14ac:dyDescent="0.3">
      <c r="A1135" s="487" t="b">
        <f t="shared" ca="1" si="143"/>
        <v>0</v>
      </c>
      <c r="B1135" s="487"/>
      <c r="C1135" s="507" t="str">
        <f ca="1">IF(COUNTA(D$877:D1135)=1,"",OFFSET(C1135,-COUNTA(D$877:D1135)+1,0))</f>
        <v>a1V3p000004fwvEEAQ</v>
      </c>
      <c r="D1135" s="502"/>
      <c r="E1135" s="490" t="str">
        <f ca="1">IFERROR(IF(VLOOKUP(C1135,' Disaggregation - Section E '!A$316:N872,7,0)=0,"",VLOOKUP(C1135,' Disaggregation - Section E '!A$316:N872,7,0)*100),"")</f>
        <v/>
      </c>
      <c r="F1135" s="487"/>
      <c r="G1135" s="492" t="str">
        <f ca="1">IFERROR(IF(VLOOKUP(C1135,' Disaggregation - Section E '!A$316:N872,6,0)=0,"",VLOOKUP(C1135,' Disaggregation - Section E '!A$316:N872,6,0)),"")</f>
        <v/>
      </c>
      <c r="H1135" s="502" t="str">
        <f ca="1">IFERROR(IF(INDEX(' Disaggregation - Section E '!F$313:F872,MATCH(C1135,' Disaggregation - Section E '!A$313:A872,0)+1,1)&lt;&gt;0,INDEX(' Disaggregation - Section E '!F$313:F872,MATCH(C1135,' Disaggregation - Section E '!A$313:A872,0)+1,1),""),"")</f>
        <v/>
      </c>
      <c r="I1135" s="493" t="str">
        <f ca="1">IFERROR(IF(VLOOKUP(C1135,' Disaggregation - Section E '!A$316:N872,8,0)=0,"",VLOOKUP(C1135,' Disaggregation - Section E '!A$316:N872,8,0)),"")</f>
        <v/>
      </c>
      <c r="J1135" s="493" t="str">
        <f ca="1">IFERROR(IF(VLOOKUP(C1135,' Disaggregation - Section E '!A$316:N872,13,0)=0,"",VLOOKUP(C1135,' Disaggregation - Section E '!A$316:N872,13,0)),"")</f>
        <v/>
      </c>
      <c r="K1135" s="487" t="str">
        <f ca="1">IFERROR(VLOOKUP(C1135,' Disaggregation - Section E '!A$316:N872,3,0),"")</f>
        <v/>
      </c>
      <c r="L1135" s="493" t="str">
        <f ca="1">IFERROR(IF(VLOOKUP(C1135,' Disaggregation - Section E '!A$316:N872,14,0)=0,"",VLOOKUP(C1135,' Disaggregation - Section E '!A$316:N872,14,0)),"")</f>
        <v/>
      </c>
      <c r="M1135" s="487" t="str">
        <f ca="1">IFERROR(IF(VLOOKUP(C1135,' Disaggregation - Section E '!A$316:T872,20,0)=0,"",VLOOKUP(C1135,' Disaggregation - Section E '!A$316:T872,20,0)),"")</f>
        <v/>
      </c>
      <c r="N1135" s="493" t="str">
        <f ca="1">IFERROR(IF(VLOOKUP(C1135,' Disaggregation - Section E '!A$316:N872,9,0)=0,"",VLOOKUP(C1135,' Disaggregation - Section E '!A$316:N872,9,0)),"")</f>
        <v/>
      </c>
      <c r="O1135" s="493" t="str">
        <f ca="1">IFERROR(IF(VLOOKUP(C1135,' Disaggregation - Section E '!A$315:N872,10,0)=0,"",VLOOKUP(C1135,' Disaggregation - Section E '!A$316:N872,10,0)),"")</f>
        <v/>
      </c>
    </row>
    <row r="1136" spans="1:15" x14ac:dyDescent="0.3">
      <c r="A1136" s="487" t="b">
        <f t="shared" ca="1" si="143"/>
        <v>0</v>
      </c>
      <c r="B1136" s="487"/>
      <c r="C1136" s="507" t="str">
        <f ca="1">IF(COUNTA(D$877:D1136)=1,"",OFFSET(C1136,-COUNTA(D$877:D1136)+1,0))</f>
        <v>a1V3p000004fwvFEAQ</v>
      </c>
      <c r="D1136" s="502"/>
      <c r="E1136" s="490" t="str">
        <f ca="1">IFERROR(IF(VLOOKUP(C1136,' Disaggregation - Section E '!A$316:N873,7,0)=0,"",VLOOKUP(C1136,' Disaggregation - Section E '!A$316:N873,7,0)*100),"")</f>
        <v/>
      </c>
      <c r="F1136" s="487"/>
      <c r="G1136" s="492" t="str">
        <f ca="1">IFERROR(IF(VLOOKUP(C1136,' Disaggregation - Section E '!A$316:N873,6,0)=0,"",VLOOKUP(C1136,' Disaggregation - Section E '!A$316:N873,6,0)),"")</f>
        <v/>
      </c>
      <c r="H1136" s="502" t="str">
        <f ca="1">IFERROR(IF(INDEX(' Disaggregation - Section E '!F$313:F873,MATCH(C1136,' Disaggregation - Section E '!A$313:A873,0)+1,1)&lt;&gt;0,INDEX(' Disaggregation - Section E '!F$313:F873,MATCH(C1136,' Disaggregation - Section E '!A$313:A873,0)+1,1),""),"")</f>
        <v/>
      </c>
      <c r="I1136" s="493" t="str">
        <f ca="1">IFERROR(IF(VLOOKUP(C1136,' Disaggregation - Section E '!A$316:N873,8,0)=0,"",VLOOKUP(C1136,' Disaggregation - Section E '!A$316:N873,8,0)),"")</f>
        <v/>
      </c>
      <c r="J1136" s="493" t="str">
        <f ca="1">IFERROR(IF(VLOOKUP(C1136,' Disaggregation - Section E '!A$316:N873,13,0)=0,"",VLOOKUP(C1136,' Disaggregation - Section E '!A$316:N873,13,0)),"")</f>
        <v/>
      </c>
      <c r="K1136" s="487" t="str">
        <f ca="1">IFERROR(VLOOKUP(C1136,' Disaggregation - Section E '!A$316:N873,3,0),"")</f>
        <v/>
      </c>
      <c r="L1136" s="493" t="str">
        <f ca="1">IFERROR(IF(VLOOKUP(C1136,' Disaggregation - Section E '!A$316:N873,14,0)=0,"",VLOOKUP(C1136,' Disaggregation - Section E '!A$316:N873,14,0)),"")</f>
        <v/>
      </c>
      <c r="M1136" s="487" t="str">
        <f ca="1">IFERROR(IF(VLOOKUP(C1136,' Disaggregation - Section E '!A$316:T873,20,0)=0,"",VLOOKUP(C1136,' Disaggregation - Section E '!A$316:T873,20,0)),"")</f>
        <v/>
      </c>
      <c r="N1136" s="493" t="str">
        <f ca="1">IFERROR(IF(VLOOKUP(C1136,' Disaggregation - Section E '!A$316:N873,9,0)=0,"",VLOOKUP(C1136,' Disaggregation - Section E '!A$316:N873,9,0)),"")</f>
        <v/>
      </c>
      <c r="O1136" s="493" t="str">
        <f ca="1">IFERROR(IF(VLOOKUP(C1136,' Disaggregation - Section E '!A$315:N873,10,0)=0,"",VLOOKUP(C1136,' Disaggregation - Section E '!A$316:N873,10,0)),"")</f>
        <v/>
      </c>
    </row>
    <row r="1137" spans="1:15" x14ac:dyDescent="0.3">
      <c r="A1137" s="487" t="b">
        <f t="shared" ca="1" si="143"/>
        <v>0</v>
      </c>
      <c r="B1137" s="487"/>
      <c r="C1137" s="507" t="str">
        <f ca="1">IF(COUNTA(D$877:D1137)=1,"",OFFSET(C1137,-COUNTA(D$877:D1137)+1,0))</f>
        <v>a1V3p000004fwvGEAQ</v>
      </c>
      <c r="D1137" s="502"/>
      <c r="E1137" s="490" t="str">
        <f ca="1">IFERROR(IF(VLOOKUP(C1137,' Disaggregation - Section E '!A$316:N874,7,0)=0,"",VLOOKUP(C1137,' Disaggregation - Section E '!A$316:N874,7,0)*100),"")</f>
        <v/>
      </c>
      <c r="F1137" s="487"/>
      <c r="G1137" s="492" t="str">
        <f ca="1">IFERROR(IF(VLOOKUP(C1137,' Disaggregation - Section E '!A$316:N874,6,0)=0,"",VLOOKUP(C1137,' Disaggregation - Section E '!A$316:N874,6,0)),"")</f>
        <v/>
      </c>
      <c r="H1137" s="502" t="str">
        <f ca="1">IFERROR(IF(INDEX(' Disaggregation - Section E '!F$313:F874,MATCH(C1137,' Disaggregation - Section E '!A$313:A874,0)+1,1)&lt;&gt;0,INDEX(' Disaggregation - Section E '!F$313:F874,MATCH(C1137,' Disaggregation - Section E '!A$313:A874,0)+1,1),""),"")</f>
        <v/>
      </c>
      <c r="I1137" s="493" t="str">
        <f ca="1">IFERROR(IF(VLOOKUP(C1137,' Disaggregation - Section E '!A$316:N874,8,0)=0,"",VLOOKUP(C1137,' Disaggregation - Section E '!A$316:N874,8,0)),"")</f>
        <v/>
      </c>
      <c r="J1137" s="493" t="str">
        <f ca="1">IFERROR(IF(VLOOKUP(C1137,' Disaggregation - Section E '!A$316:N874,13,0)=0,"",VLOOKUP(C1137,' Disaggregation - Section E '!A$316:N874,13,0)),"")</f>
        <v/>
      </c>
      <c r="K1137" s="487" t="str">
        <f ca="1">IFERROR(VLOOKUP(C1137,' Disaggregation - Section E '!A$316:N874,3,0),"")</f>
        <v/>
      </c>
      <c r="L1137" s="493" t="str">
        <f ca="1">IFERROR(IF(VLOOKUP(C1137,' Disaggregation - Section E '!A$316:N874,14,0)=0,"",VLOOKUP(C1137,' Disaggregation - Section E '!A$316:N874,14,0)),"")</f>
        <v/>
      </c>
      <c r="M1137" s="487" t="str">
        <f ca="1">IFERROR(IF(VLOOKUP(C1137,' Disaggregation - Section E '!A$316:T874,20,0)=0,"",VLOOKUP(C1137,' Disaggregation - Section E '!A$316:T874,20,0)),"")</f>
        <v/>
      </c>
      <c r="N1137" s="493" t="str">
        <f ca="1">IFERROR(IF(VLOOKUP(C1137,' Disaggregation - Section E '!A$316:N874,9,0)=0,"",VLOOKUP(C1137,' Disaggregation - Section E '!A$316:N874,9,0)),"")</f>
        <v/>
      </c>
      <c r="O1137" s="493" t="str">
        <f ca="1">IFERROR(IF(VLOOKUP(C1137,' Disaggregation - Section E '!A$315:N874,10,0)=0,"",VLOOKUP(C1137,' Disaggregation - Section E '!A$316:N874,10,0)),"")</f>
        <v/>
      </c>
    </row>
    <row r="1138" spans="1:15" x14ac:dyDescent="0.3">
      <c r="A1138" s="487" t="b">
        <f t="shared" ca="1" si="143"/>
        <v>0</v>
      </c>
      <c r="B1138" s="487"/>
      <c r="C1138" s="507" t="str">
        <f ca="1">IF(COUNTA(D$877:D1138)=1,"",OFFSET(C1138,-COUNTA(D$877:D1138)+1,0))</f>
        <v>a1V3p000004fwvHEAQ</v>
      </c>
      <c r="D1138" s="502"/>
      <c r="E1138" s="490" t="str">
        <f ca="1">IFERROR(IF(VLOOKUP(C1138,' Disaggregation - Section E '!A$316:N875,7,0)=0,"",VLOOKUP(C1138,' Disaggregation - Section E '!A$316:N875,7,0)*100),"")</f>
        <v/>
      </c>
      <c r="F1138" s="487"/>
      <c r="G1138" s="492" t="str">
        <f ca="1">IFERROR(IF(VLOOKUP(C1138,' Disaggregation - Section E '!A$316:N875,6,0)=0,"",VLOOKUP(C1138,' Disaggregation - Section E '!A$316:N875,6,0)),"")</f>
        <v/>
      </c>
      <c r="H1138" s="502" t="str">
        <f ca="1">IFERROR(IF(INDEX(' Disaggregation - Section E '!F$313:F875,MATCH(C1138,' Disaggregation - Section E '!A$313:A875,0)+1,1)&lt;&gt;0,INDEX(' Disaggregation - Section E '!F$313:F875,MATCH(C1138,' Disaggregation - Section E '!A$313:A875,0)+1,1),""),"")</f>
        <v/>
      </c>
      <c r="I1138" s="493" t="str">
        <f ca="1">IFERROR(IF(VLOOKUP(C1138,' Disaggregation - Section E '!A$316:N875,8,0)=0,"",VLOOKUP(C1138,' Disaggregation - Section E '!A$316:N875,8,0)),"")</f>
        <v/>
      </c>
      <c r="J1138" s="493" t="str">
        <f ca="1">IFERROR(IF(VLOOKUP(C1138,' Disaggregation - Section E '!A$316:N875,13,0)=0,"",VLOOKUP(C1138,' Disaggregation - Section E '!A$316:N875,13,0)),"")</f>
        <v/>
      </c>
      <c r="K1138" s="487" t="str">
        <f ca="1">IFERROR(VLOOKUP(C1138,' Disaggregation - Section E '!A$316:N875,3,0),"")</f>
        <v/>
      </c>
      <c r="L1138" s="493" t="str">
        <f ca="1">IFERROR(IF(VLOOKUP(C1138,' Disaggregation - Section E '!A$316:N875,14,0)=0,"",VLOOKUP(C1138,' Disaggregation - Section E '!A$316:N875,14,0)),"")</f>
        <v/>
      </c>
      <c r="M1138" s="487" t="str">
        <f ca="1">IFERROR(IF(VLOOKUP(C1138,' Disaggregation - Section E '!A$316:T875,20,0)=0,"",VLOOKUP(C1138,' Disaggregation - Section E '!A$316:T875,20,0)),"")</f>
        <v/>
      </c>
      <c r="N1138" s="493" t="str">
        <f ca="1">IFERROR(IF(VLOOKUP(C1138,' Disaggregation - Section E '!A$316:N875,9,0)=0,"",VLOOKUP(C1138,' Disaggregation - Section E '!A$316:N875,9,0)),"")</f>
        <v/>
      </c>
      <c r="O1138" s="493" t="str">
        <f ca="1">IFERROR(IF(VLOOKUP(C1138,' Disaggregation - Section E '!A$315:N875,10,0)=0,"",VLOOKUP(C1138,' Disaggregation - Section E '!A$316:N875,10,0)),"")</f>
        <v/>
      </c>
    </row>
    <row r="1139" spans="1:15" x14ac:dyDescent="0.3">
      <c r="A1139" s="487" t="b">
        <f t="shared" ca="1" si="143"/>
        <v>0</v>
      </c>
      <c r="B1139" s="487"/>
      <c r="C1139" s="507" t="str">
        <f ca="1">IF(COUNTA(D$877:D1139)=1,"",OFFSET(C1139,-COUNTA(D$877:D1139)+1,0))</f>
        <v>a1V3p000004fwvIEAQ</v>
      </c>
      <c r="D1139" s="502"/>
      <c r="E1139" s="490" t="str">
        <f ca="1">IFERROR(IF(VLOOKUP(C1139,' Disaggregation - Section E '!A$316:N876,7,0)=0,"",VLOOKUP(C1139,' Disaggregation - Section E '!A$316:N876,7,0)*100),"")</f>
        <v/>
      </c>
      <c r="F1139" s="487"/>
      <c r="G1139" s="492" t="str">
        <f ca="1">IFERROR(IF(VLOOKUP(C1139,' Disaggregation - Section E '!A$316:N876,6,0)=0,"",VLOOKUP(C1139,' Disaggregation - Section E '!A$316:N876,6,0)),"")</f>
        <v/>
      </c>
      <c r="H1139" s="502" t="str">
        <f ca="1">IFERROR(IF(INDEX(' Disaggregation - Section E '!F$313:F876,MATCH(C1139,' Disaggregation - Section E '!A$313:A876,0)+1,1)&lt;&gt;0,INDEX(' Disaggregation - Section E '!F$313:F876,MATCH(C1139,' Disaggregation - Section E '!A$313:A876,0)+1,1),""),"")</f>
        <v/>
      </c>
      <c r="I1139" s="493" t="str">
        <f ca="1">IFERROR(IF(VLOOKUP(C1139,' Disaggregation - Section E '!A$316:N876,8,0)=0,"",VLOOKUP(C1139,' Disaggregation - Section E '!A$316:N876,8,0)),"")</f>
        <v/>
      </c>
      <c r="J1139" s="493" t="str">
        <f ca="1">IFERROR(IF(VLOOKUP(C1139,' Disaggregation - Section E '!A$316:N876,13,0)=0,"",VLOOKUP(C1139,' Disaggregation - Section E '!A$316:N876,13,0)),"")</f>
        <v/>
      </c>
      <c r="K1139" s="487" t="str">
        <f ca="1">IFERROR(VLOOKUP(C1139,' Disaggregation - Section E '!A$316:N876,3,0),"")</f>
        <v/>
      </c>
      <c r="L1139" s="493" t="str">
        <f ca="1">IFERROR(IF(VLOOKUP(C1139,' Disaggregation - Section E '!A$316:N876,14,0)=0,"",VLOOKUP(C1139,' Disaggregation - Section E '!A$316:N876,14,0)),"")</f>
        <v/>
      </c>
      <c r="M1139" s="487" t="str">
        <f ca="1">IFERROR(IF(VLOOKUP(C1139,' Disaggregation - Section E '!A$316:T876,20,0)=0,"",VLOOKUP(C1139,' Disaggregation - Section E '!A$316:T876,20,0)),"")</f>
        <v/>
      </c>
      <c r="N1139" s="493" t="str">
        <f ca="1">IFERROR(IF(VLOOKUP(C1139,' Disaggregation - Section E '!A$316:N876,9,0)=0,"",VLOOKUP(C1139,' Disaggregation - Section E '!A$316:N876,9,0)),"")</f>
        <v/>
      </c>
      <c r="O1139" s="493" t="str">
        <f ca="1">IFERROR(IF(VLOOKUP(C1139,' Disaggregation - Section E '!A$315:N876,10,0)=0,"",VLOOKUP(C1139,' Disaggregation - Section E '!A$316:N876,10,0)),"")</f>
        <v/>
      </c>
    </row>
    <row r="1140" spans="1:15" x14ac:dyDescent="0.3">
      <c r="A1140" s="487" t="b">
        <f t="shared" ca="1" si="143"/>
        <v>0</v>
      </c>
      <c r="B1140" s="487"/>
      <c r="C1140" s="507" t="str">
        <f ca="1">IF(COUNTA(D$877:D1140)=1,"",OFFSET(C1140,-COUNTA(D$877:D1140)+1,0))</f>
        <v>a1V3p000004fwvJEAQ</v>
      </c>
      <c r="D1140" s="502"/>
      <c r="E1140" s="490" t="str">
        <f ca="1">IFERROR(IF(VLOOKUP(C1140,' Disaggregation - Section E '!A$316:N877,7,0)=0,"",VLOOKUP(C1140,' Disaggregation - Section E '!A$316:N877,7,0)*100),"")</f>
        <v/>
      </c>
      <c r="F1140" s="487"/>
      <c r="G1140" s="492" t="str">
        <f ca="1">IFERROR(IF(VLOOKUP(C1140,' Disaggregation - Section E '!A$316:N877,6,0)=0,"",VLOOKUP(C1140,' Disaggregation - Section E '!A$316:N877,6,0)),"")</f>
        <v/>
      </c>
      <c r="H1140" s="502" t="str">
        <f ca="1">IFERROR(IF(INDEX(' Disaggregation - Section E '!F$313:F877,MATCH(C1140,' Disaggregation - Section E '!A$313:A877,0)+1,1)&lt;&gt;0,INDEX(' Disaggregation - Section E '!F$313:F877,MATCH(C1140,' Disaggregation - Section E '!A$313:A877,0)+1,1),""),"")</f>
        <v/>
      </c>
      <c r="I1140" s="493" t="str">
        <f ca="1">IFERROR(IF(VLOOKUP(C1140,' Disaggregation - Section E '!A$316:N877,8,0)=0,"",VLOOKUP(C1140,' Disaggregation - Section E '!A$316:N877,8,0)),"")</f>
        <v/>
      </c>
      <c r="J1140" s="493" t="str">
        <f ca="1">IFERROR(IF(VLOOKUP(C1140,' Disaggregation - Section E '!A$316:N877,13,0)=0,"",VLOOKUP(C1140,' Disaggregation - Section E '!A$316:N877,13,0)),"")</f>
        <v/>
      </c>
      <c r="K1140" s="487" t="str">
        <f ca="1">IFERROR(VLOOKUP(C1140,' Disaggregation - Section E '!A$316:N877,3,0),"")</f>
        <v/>
      </c>
      <c r="L1140" s="493" t="str">
        <f ca="1">IFERROR(IF(VLOOKUP(C1140,' Disaggregation - Section E '!A$316:N877,14,0)=0,"",VLOOKUP(C1140,' Disaggregation - Section E '!A$316:N877,14,0)),"")</f>
        <v/>
      </c>
      <c r="M1140" s="487" t="str">
        <f ca="1">IFERROR(IF(VLOOKUP(C1140,' Disaggregation - Section E '!A$316:T877,20,0)=0,"",VLOOKUP(C1140,' Disaggregation - Section E '!A$316:T877,20,0)),"")</f>
        <v/>
      </c>
      <c r="N1140" s="493" t="str">
        <f ca="1">IFERROR(IF(VLOOKUP(C1140,' Disaggregation - Section E '!A$316:N877,9,0)=0,"",VLOOKUP(C1140,' Disaggregation - Section E '!A$316:N877,9,0)),"")</f>
        <v/>
      </c>
      <c r="O1140" s="493" t="str">
        <f ca="1">IFERROR(IF(VLOOKUP(C1140,' Disaggregation - Section E '!A$315:N877,10,0)=0,"",VLOOKUP(C1140,' Disaggregation - Section E '!A$316:N877,10,0)),"")</f>
        <v/>
      </c>
    </row>
    <row r="1141" spans="1:15" x14ac:dyDescent="0.3">
      <c r="A1141" s="487" t="b">
        <f t="shared" ca="1" si="143"/>
        <v>0</v>
      </c>
      <c r="B1141" s="487"/>
      <c r="C1141" s="507" t="str">
        <f ca="1">IF(COUNTA(D$877:D1141)=1,"",OFFSET(C1141,-COUNTA(D$877:D1141)+1,0))</f>
        <v>a1V3p000004fwvKEAQ</v>
      </c>
      <c r="D1141" s="502"/>
      <c r="E1141" s="490" t="str">
        <f ca="1">IFERROR(IF(VLOOKUP(C1141,' Disaggregation - Section E '!A$316:N878,7,0)=0,"",VLOOKUP(C1141,' Disaggregation - Section E '!A$316:N878,7,0)*100),"")</f>
        <v/>
      </c>
      <c r="F1141" s="487"/>
      <c r="G1141" s="492" t="str">
        <f ca="1">IFERROR(IF(VLOOKUP(C1141,' Disaggregation - Section E '!A$316:N878,6,0)=0,"",VLOOKUP(C1141,' Disaggregation - Section E '!A$316:N878,6,0)),"")</f>
        <v/>
      </c>
      <c r="H1141" s="502" t="str">
        <f ca="1">IFERROR(IF(INDEX(' Disaggregation - Section E '!F$313:F878,MATCH(C1141,' Disaggregation - Section E '!A$313:A878,0)+1,1)&lt;&gt;0,INDEX(' Disaggregation - Section E '!F$313:F878,MATCH(C1141,' Disaggregation - Section E '!A$313:A878,0)+1,1),""),"")</f>
        <v/>
      </c>
      <c r="I1141" s="493" t="str">
        <f ca="1">IFERROR(IF(VLOOKUP(C1141,' Disaggregation - Section E '!A$316:N878,8,0)=0,"",VLOOKUP(C1141,' Disaggregation - Section E '!A$316:N878,8,0)),"")</f>
        <v/>
      </c>
      <c r="J1141" s="493" t="str">
        <f ca="1">IFERROR(IF(VLOOKUP(C1141,' Disaggregation - Section E '!A$316:N878,13,0)=0,"",VLOOKUP(C1141,' Disaggregation - Section E '!A$316:N878,13,0)),"")</f>
        <v/>
      </c>
      <c r="K1141" s="487" t="str">
        <f ca="1">IFERROR(VLOOKUP(C1141,' Disaggregation - Section E '!A$316:N878,3,0),"")</f>
        <v/>
      </c>
      <c r="L1141" s="493" t="str">
        <f ca="1">IFERROR(IF(VLOOKUP(C1141,' Disaggregation - Section E '!A$316:N878,14,0)=0,"",VLOOKUP(C1141,' Disaggregation - Section E '!A$316:N878,14,0)),"")</f>
        <v/>
      </c>
      <c r="M1141" s="487" t="str">
        <f ca="1">IFERROR(IF(VLOOKUP(C1141,' Disaggregation - Section E '!A$316:T878,20,0)=0,"",VLOOKUP(C1141,' Disaggregation - Section E '!A$316:T878,20,0)),"")</f>
        <v/>
      </c>
      <c r="N1141" s="493" t="str">
        <f ca="1">IFERROR(IF(VLOOKUP(C1141,' Disaggregation - Section E '!A$316:N878,9,0)=0,"",VLOOKUP(C1141,' Disaggregation - Section E '!A$316:N878,9,0)),"")</f>
        <v/>
      </c>
      <c r="O1141" s="493" t="str">
        <f ca="1">IFERROR(IF(VLOOKUP(C1141,' Disaggregation - Section E '!A$315:N878,10,0)=0,"",VLOOKUP(C1141,' Disaggregation - Section E '!A$316:N878,10,0)),"")</f>
        <v/>
      </c>
    </row>
    <row r="1142" spans="1:15" x14ac:dyDescent="0.3">
      <c r="A1142" s="487" t="b">
        <f t="shared" ca="1" si="143"/>
        <v>0</v>
      </c>
      <c r="B1142" s="487"/>
      <c r="C1142" s="507" t="str">
        <f ca="1">IF(COUNTA(D$877:D1142)=1,"",OFFSET(C1142,-COUNTA(D$877:D1142)+1,0))</f>
        <v>a1V3p000004fwvLEAQ</v>
      </c>
      <c r="D1142" s="502"/>
      <c r="E1142" s="490" t="str">
        <f ca="1">IFERROR(IF(VLOOKUP(C1142,' Disaggregation - Section E '!A$316:N879,7,0)=0,"",VLOOKUP(C1142,' Disaggregation - Section E '!A$316:N879,7,0)*100),"")</f>
        <v/>
      </c>
      <c r="F1142" s="487"/>
      <c r="G1142" s="492" t="str">
        <f ca="1">IFERROR(IF(VLOOKUP(C1142,' Disaggregation - Section E '!A$316:N879,6,0)=0,"",VLOOKUP(C1142,' Disaggregation - Section E '!A$316:N879,6,0)),"")</f>
        <v/>
      </c>
      <c r="H1142" s="502" t="str">
        <f ca="1">IFERROR(IF(INDEX(' Disaggregation - Section E '!F$313:F879,MATCH(C1142,' Disaggregation - Section E '!A$313:A879,0)+1,1)&lt;&gt;0,INDEX(' Disaggregation - Section E '!F$313:F879,MATCH(C1142,' Disaggregation - Section E '!A$313:A879,0)+1,1),""),"")</f>
        <v/>
      </c>
      <c r="I1142" s="493" t="str">
        <f ca="1">IFERROR(IF(VLOOKUP(C1142,' Disaggregation - Section E '!A$316:N879,8,0)=0,"",VLOOKUP(C1142,' Disaggregation - Section E '!A$316:N879,8,0)),"")</f>
        <v/>
      </c>
      <c r="J1142" s="493" t="str">
        <f ca="1">IFERROR(IF(VLOOKUP(C1142,' Disaggregation - Section E '!A$316:N879,13,0)=0,"",VLOOKUP(C1142,' Disaggregation - Section E '!A$316:N879,13,0)),"")</f>
        <v/>
      </c>
      <c r="K1142" s="487" t="str">
        <f ca="1">IFERROR(VLOOKUP(C1142,' Disaggregation - Section E '!A$316:N879,3,0),"")</f>
        <v/>
      </c>
      <c r="L1142" s="493" t="str">
        <f ca="1">IFERROR(IF(VLOOKUP(C1142,' Disaggregation - Section E '!A$316:N879,14,0)=0,"",VLOOKUP(C1142,' Disaggregation - Section E '!A$316:N879,14,0)),"")</f>
        <v/>
      </c>
      <c r="M1142" s="487" t="str">
        <f ca="1">IFERROR(IF(VLOOKUP(C1142,' Disaggregation - Section E '!A$316:T879,20,0)=0,"",VLOOKUP(C1142,' Disaggregation - Section E '!A$316:T879,20,0)),"")</f>
        <v/>
      </c>
      <c r="N1142" s="493" t="str">
        <f ca="1">IFERROR(IF(VLOOKUP(C1142,' Disaggregation - Section E '!A$316:N879,9,0)=0,"",VLOOKUP(C1142,' Disaggregation - Section E '!A$316:N879,9,0)),"")</f>
        <v/>
      </c>
      <c r="O1142" s="493" t="str">
        <f ca="1">IFERROR(IF(VLOOKUP(C1142,' Disaggregation - Section E '!A$315:N879,10,0)=0,"",VLOOKUP(C1142,' Disaggregation - Section E '!A$316:N879,10,0)),"")</f>
        <v/>
      </c>
    </row>
    <row r="1143" spans="1:15" x14ac:dyDescent="0.3">
      <c r="A1143" s="487" t="b">
        <f t="shared" ca="1" si="143"/>
        <v>0</v>
      </c>
      <c r="B1143" s="487"/>
      <c r="C1143" s="507" t="str">
        <f ca="1">IF(COUNTA(D$877:D1143)=1,"",OFFSET(C1143,-COUNTA(D$877:D1143)+1,0))</f>
        <v>a1V3p000004fwvMEAQ</v>
      </c>
      <c r="D1143" s="502"/>
      <c r="E1143" s="490" t="str">
        <f ca="1">IFERROR(IF(VLOOKUP(C1143,' Disaggregation - Section E '!A$316:N880,7,0)=0,"",VLOOKUP(C1143,' Disaggregation - Section E '!A$316:N880,7,0)*100),"")</f>
        <v/>
      </c>
      <c r="F1143" s="487"/>
      <c r="G1143" s="492" t="str">
        <f ca="1">IFERROR(IF(VLOOKUP(C1143,' Disaggregation - Section E '!A$316:N880,6,0)=0,"",VLOOKUP(C1143,' Disaggregation - Section E '!A$316:N880,6,0)),"")</f>
        <v/>
      </c>
      <c r="H1143" s="502" t="str">
        <f ca="1">IFERROR(IF(INDEX(' Disaggregation - Section E '!F$313:F880,MATCH(C1143,' Disaggregation - Section E '!A$313:A880,0)+1,1)&lt;&gt;0,INDEX(' Disaggregation - Section E '!F$313:F880,MATCH(C1143,' Disaggregation - Section E '!A$313:A880,0)+1,1),""),"")</f>
        <v/>
      </c>
      <c r="I1143" s="493" t="str">
        <f ca="1">IFERROR(IF(VLOOKUP(C1143,' Disaggregation - Section E '!A$316:N880,8,0)=0,"",VLOOKUP(C1143,' Disaggregation - Section E '!A$316:N880,8,0)),"")</f>
        <v/>
      </c>
      <c r="J1143" s="493" t="str">
        <f ca="1">IFERROR(IF(VLOOKUP(C1143,' Disaggregation - Section E '!A$316:N880,13,0)=0,"",VLOOKUP(C1143,' Disaggregation - Section E '!A$316:N880,13,0)),"")</f>
        <v/>
      </c>
      <c r="K1143" s="487" t="str">
        <f ca="1">IFERROR(VLOOKUP(C1143,' Disaggregation - Section E '!A$316:N880,3,0),"")</f>
        <v/>
      </c>
      <c r="L1143" s="493" t="str">
        <f ca="1">IFERROR(IF(VLOOKUP(C1143,' Disaggregation - Section E '!A$316:N880,14,0)=0,"",VLOOKUP(C1143,' Disaggregation - Section E '!A$316:N880,14,0)),"")</f>
        <v/>
      </c>
      <c r="M1143" s="487" t="str">
        <f ca="1">IFERROR(IF(VLOOKUP(C1143,' Disaggregation - Section E '!A$316:T880,20,0)=0,"",VLOOKUP(C1143,' Disaggregation - Section E '!A$316:T880,20,0)),"")</f>
        <v/>
      </c>
      <c r="N1143" s="493" t="str">
        <f ca="1">IFERROR(IF(VLOOKUP(C1143,' Disaggregation - Section E '!A$316:N880,9,0)=0,"",VLOOKUP(C1143,' Disaggregation - Section E '!A$316:N880,9,0)),"")</f>
        <v/>
      </c>
      <c r="O1143" s="493" t="str">
        <f ca="1">IFERROR(IF(VLOOKUP(C1143,' Disaggregation - Section E '!A$315:N880,10,0)=0,"",VLOOKUP(C1143,' Disaggregation - Section E '!A$316:N880,10,0)),"")</f>
        <v/>
      </c>
    </row>
    <row r="1144" spans="1:15" x14ac:dyDescent="0.3">
      <c r="A1144" s="487" t="b">
        <f t="shared" ca="1" si="143"/>
        <v>0</v>
      </c>
      <c r="B1144" s="487"/>
      <c r="C1144" s="507" t="str">
        <f ca="1">IF(COUNTA(D$877:D1144)=1,"",OFFSET(C1144,-COUNTA(D$877:D1144)+1,0))</f>
        <v>a1V3p000004fwvNEAQ</v>
      </c>
      <c r="D1144" s="502"/>
      <c r="E1144" s="490" t="str">
        <f ca="1">IFERROR(IF(VLOOKUP(C1144,' Disaggregation - Section E '!A$316:N881,7,0)=0,"",VLOOKUP(C1144,' Disaggregation - Section E '!A$316:N881,7,0)*100),"")</f>
        <v/>
      </c>
      <c r="F1144" s="487"/>
      <c r="G1144" s="492" t="str">
        <f ca="1">IFERROR(IF(VLOOKUP(C1144,' Disaggregation - Section E '!A$316:N881,6,0)=0,"",VLOOKUP(C1144,' Disaggregation - Section E '!A$316:N881,6,0)),"")</f>
        <v/>
      </c>
      <c r="H1144" s="502" t="str">
        <f ca="1">IFERROR(IF(INDEX(' Disaggregation - Section E '!F$313:F881,MATCH(C1144,' Disaggregation - Section E '!A$313:A881,0)+1,1)&lt;&gt;0,INDEX(' Disaggregation - Section E '!F$313:F881,MATCH(C1144,' Disaggregation - Section E '!A$313:A881,0)+1,1),""),"")</f>
        <v/>
      </c>
      <c r="I1144" s="493" t="str">
        <f ca="1">IFERROR(IF(VLOOKUP(C1144,' Disaggregation - Section E '!A$316:N881,8,0)=0,"",VLOOKUP(C1144,' Disaggregation - Section E '!A$316:N881,8,0)),"")</f>
        <v/>
      </c>
      <c r="J1144" s="493" t="str">
        <f ca="1">IFERROR(IF(VLOOKUP(C1144,' Disaggregation - Section E '!A$316:N881,13,0)=0,"",VLOOKUP(C1144,' Disaggregation - Section E '!A$316:N881,13,0)),"")</f>
        <v/>
      </c>
      <c r="K1144" s="487" t="str">
        <f ca="1">IFERROR(VLOOKUP(C1144,' Disaggregation - Section E '!A$316:N881,3,0),"")</f>
        <v/>
      </c>
      <c r="L1144" s="493" t="str">
        <f ca="1">IFERROR(IF(VLOOKUP(C1144,' Disaggregation - Section E '!A$316:N881,14,0)=0,"",VLOOKUP(C1144,' Disaggregation - Section E '!A$316:N881,14,0)),"")</f>
        <v/>
      </c>
      <c r="M1144" s="487" t="str">
        <f ca="1">IFERROR(IF(VLOOKUP(C1144,' Disaggregation - Section E '!A$316:T881,20,0)=0,"",VLOOKUP(C1144,' Disaggregation - Section E '!A$316:T881,20,0)),"")</f>
        <v/>
      </c>
      <c r="N1144" s="493" t="str">
        <f ca="1">IFERROR(IF(VLOOKUP(C1144,' Disaggregation - Section E '!A$316:N881,9,0)=0,"",VLOOKUP(C1144,' Disaggregation - Section E '!A$316:N881,9,0)),"")</f>
        <v/>
      </c>
      <c r="O1144" s="493" t="str">
        <f ca="1">IFERROR(IF(VLOOKUP(C1144,' Disaggregation - Section E '!A$315:N881,10,0)=0,"",VLOOKUP(C1144,' Disaggregation - Section E '!A$316:N881,10,0)),"")</f>
        <v/>
      </c>
    </row>
    <row r="1145" spans="1:15" x14ac:dyDescent="0.3">
      <c r="A1145" s="487" t="b">
        <f t="shared" ca="1" si="143"/>
        <v>0</v>
      </c>
      <c r="B1145" s="487"/>
      <c r="C1145" s="507" t="str">
        <f ca="1">IF(COUNTA(D$877:D1145)=1,"",OFFSET(C1145,-COUNTA(D$877:D1145)+1,0))</f>
        <v>a1V3p000004fwvOEAQ</v>
      </c>
      <c r="D1145" s="502"/>
      <c r="E1145" s="490" t="str">
        <f ca="1">IFERROR(IF(VLOOKUP(C1145,' Disaggregation - Section E '!A$316:N882,7,0)=0,"",VLOOKUP(C1145,' Disaggregation - Section E '!A$316:N882,7,0)*100),"")</f>
        <v/>
      </c>
      <c r="F1145" s="487"/>
      <c r="G1145" s="492" t="str">
        <f ca="1">IFERROR(IF(VLOOKUP(C1145,' Disaggregation - Section E '!A$316:N882,6,0)=0,"",VLOOKUP(C1145,' Disaggregation - Section E '!A$316:N882,6,0)),"")</f>
        <v/>
      </c>
      <c r="H1145" s="502" t="str">
        <f ca="1">IFERROR(IF(INDEX(' Disaggregation - Section E '!F$313:F882,MATCH(C1145,' Disaggregation - Section E '!A$313:A882,0)+1,1)&lt;&gt;0,INDEX(' Disaggregation - Section E '!F$313:F882,MATCH(C1145,' Disaggregation - Section E '!A$313:A882,0)+1,1),""),"")</f>
        <v/>
      </c>
      <c r="I1145" s="493" t="str">
        <f ca="1">IFERROR(IF(VLOOKUP(C1145,' Disaggregation - Section E '!A$316:N882,8,0)=0,"",VLOOKUP(C1145,' Disaggregation - Section E '!A$316:N882,8,0)),"")</f>
        <v/>
      </c>
      <c r="J1145" s="493" t="str">
        <f ca="1">IFERROR(IF(VLOOKUP(C1145,' Disaggregation - Section E '!A$316:N882,13,0)=0,"",VLOOKUP(C1145,' Disaggregation - Section E '!A$316:N882,13,0)),"")</f>
        <v/>
      </c>
      <c r="K1145" s="487" t="str">
        <f ca="1">IFERROR(VLOOKUP(C1145,' Disaggregation - Section E '!A$316:N882,3,0),"")</f>
        <v/>
      </c>
      <c r="L1145" s="493" t="str">
        <f ca="1">IFERROR(IF(VLOOKUP(C1145,' Disaggregation - Section E '!A$316:N882,14,0)=0,"",VLOOKUP(C1145,' Disaggregation - Section E '!A$316:N882,14,0)),"")</f>
        <v/>
      </c>
      <c r="M1145" s="487" t="str">
        <f ca="1">IFERROR(IF(VLOOKUP(C1145,' Disaggregation - Section E '!A$316:T882,20,0)=0,"",VLOOKUP(C1145,' Disaggregation - Section E '!A$316:T882,20,0)),"")</f>
        <v/>
      </c>
      <c r="N1145" s="493" t="str">
        <f ca="1">IFERROR(IF(VLOOKUP(C1145,' Disaggregation - Section E '!A$316:N882,9,0)=0,"",VLOOKUP(C1145,' Disaggregation - Section E '!A$316:N882,9,0)),"")</f>
        <v/>
      </c>
      <c r="O1145" s="493" t="str">
        <f ca="1">IFERROR(IF(VLOOKUP(C1145,' Disaggregation - Section E '!A$315:N882,10,0)=0,"",VLOOKUP(C1145,' Disaggregation - Section E '!A$316:N882,10,0)),"")</f>
        <v/>
      </c>
    </row>
    <row r="1146" spans="1:15" x14ac:dyDescent="0.3">
      <c r="A1146" s="487" t="b">
        <f t="shared" ca="1" si="143"/>
        <v>0</v>
      </c>
      <c r="B1146" s="487"/>
      <c r="C1146" s="507" t="str">
        <f ca="1">IF(COUNTA(D$877:D1146)=1,"",OFFSET(C1146,-COUNTA(D$877:D1146)+1,0))</f>
        <v>a1V3p000004fwvPEAQ</v>
      </c>
      <c r="D1146" s="502"/>
      <c r="E1146" s="490" t="str">
        <f ca="1">IFERROR(IF(VLOOKUP(C1146,' Disaggregation - Section E '!A$316:N883,7,0)=0,"",VLOOKUP(C1146,' Disaggregation - Section E '!A$316:N883,7,0)*100),"")</f>
        <v/>
      </c>
      <c r="F1146" s="487"/>
      <c r="G1146" s="492" t="str">
        <f ca="1">IFERROR(IF(VLOOKUP(C1146,' Disaggregation - Section E '!A$316:N883,6,0)=0,"",VLOOKUP(C1146,' Disaggregation - Section E '!A$316:N883,6,0)),"")</f>
        <v/>
      </c>
      <c r="H1146" s="502" t="str">
        <f ca="1">IFERROR(IF(INDEX(' Disaggregation - Section E '!F$313:F883,MATCH(C1146,' Disaggregation - Section E '!A$313:A883,0)+1,1)&lt;&gt;0,INDEX(' Disaggregation - Section E '!F$313:F883,MATCH(C1146,' Disaggregation - Section E '!A$313:A883,0)+1,1),""),"")</f>
        <v/>
      </c>
      <c r="I1146" s="493" t="str">
        <f ca="1">IFERROR(IF(VLOOKUP(C1146,' Disaggregation - Section E '!A$316:N883,8,0)=0,"",VLOOKUP(C1146,' Disaggregation - Section E '!A$316:N883,8,0)),"")</f>
        <v/>
      </c>
      <c r="J1146" s="493" t="str">
        <f ca="1">IFERROR(IF(VLOOKUP(C1146,' Disaggregation - Section E '!A$316:N883,13,0)=0,"",VLOOKUP(C1146,' Disaggregation - Section E '!A$316:N883,13,0)),"")</f>
        <v/>
      </c>
      <c r="K1146" s="487" t="str">
        <f ca="1">IFERROR(VLOOKUP(C1146,' Disaggregation - Section E '!A$316:N883,3,0),"")</f>
        <v/>
      </c>
      <c r="L1146" s="493" t="str">
        <f ca="1">IFERROR(IF(VLOOKUP(C1146,' Disaggregation - Section E '!A$316:N883,14,0)=0,"",VLOOKUP(C1146,' Disaggregation - Section E '!A$316:N883,14,0)),"")</f>
        <v/>
      </c>
      <c r="M1146" s="487" t="str">
        <f ca="1">IFERROR(IF(VLOOKUP(C1146,' Disaggregation - Section E '!A$316:T883,20,0)=0,"",VLOOKUP(C1146,' Disaggregation - Section E '!A$316:T883,20,0)),"")</f>
        <v/>
      </c>
      <c r="N1146" s="493" t="str">
        <f ca="1">IFERROR(IF(VLOOKUP(C1146,' Disaggregation - Section E '!A$316:N883,9,0)=0,"",VLOOKUP(C1146,' Disaggregation - Section E '!A$316:N883,9,0)),"")</f>
        <v/>
      </c>
      <c r="O1146" s="493" t="str">
        <f ca="1">IFERROR(IF(VLOOKUP(C1146,' Disaggregation - Section E '!A$315:N883,10,0)=0,"",VLOOKUP(C1146,' Disaggregation - Section E '!A$316:N883,10,0)),"")</f>
        <v/>
      </c>
    </row>
    <row r="1147" spans="1:15" x14ac:dyDescent="0.3">
      <c r="A1147" s="487" t="b">
        <f t="shared" ca="1" si="143"/>
        <v>0</v>
      </c>
      <c r="B1147" s="487"/>
      <c r="C1147" s="507" t="str">
        <f ca="1">IF(COUNTA(D$877:D1147)=1,"",OFFSET(C1147,-COUNTA(D$877:D1147)+1,0))</f>
        <v>a1V3p000004fwvQEAQ</v>
      </c>
      <c r="D1147" s="502"/>
      <c r="E1147" s="490" t="str">
        <f ca="1">IFERROR(IF(VLOOKUP(C1147,' Disaggregation - Section E '!A$316:N884,7,0)=0,"",VLOOKUP(C1147,' Disaggregation - Section E '!A$316:N884,7,0)*100),"")</f>
        <v/>
      </c>
      <c r="F1147" s="487"/>
      <c r="G1147" s="492" t="str">
        <f ca="1">IFERROR(IF(VLOOKUP(C1147,' Disaggregation - Section E '!A$316:N884,6,0)=0,"",VLOOKUP(C1147,' Disaggregation - Section E '!A$316:N884,6,0)),"")</f>
        <v/>
      </c>
      <c r="H1147" s="502" t="str">
        <f ca="1">IFERROR(IF(INDEX(' Disaggregation - Section E '!F$313:F884,MATCH(C1147,' Disaggregation - Section E '!A$313:A884,0)+1,1)&lt;&gt;0,INDEX(' Disaggregation - Section E '!F$313:F884,MATCH(C1147,' Disaggregation - Section E '!A$313:A884,0)+1,1),""),"")</f>
        <v/>
      </c>
      <c r="I1147" s="493" t="str">
        <f ca="1">IFERROR(IF(VLOOKUP(C1147,' Disaggregation - Section E '!A$316:N884,8,0)=0,"",VLOOKUP(C1147,' Disaggregation - Section E '!A$316:N884,8,0)),"")</f>
        <v/>
      </c>
      <c r="J1147" s="493" t="str">
        <f ca="1">IFERROR(IF(VLOOKUP(C1147,' Disaggregation - Section E '!A$316:N884,13,0)=0,"",VLOOKUP(C1147,' Disaggregation - Section E '!A$316:N884,13,0)),"")</f>
        <v/>
      </c>
      <c r="K1147" s="487" t="str">
        <f ca="1">IFERROR(VLOOKUP(C1147,' Disaggregation - Section E '!A$316:N884,3,0),"")</f>
        <v/>
      </c>
      <c r="L1147" s="493" t="str">
        <f ca="1">IFERROR(IF(VLOOKUP(C1147,' Disaggregation - Section E '!A$316:N884,14,0)=0,"",VLOOKUP(C1147,' Disaggregation - Section E '!A$316:N884,14,0)),"")</f>
        <v/>
      </c>
      <c r="M1147" s="487" t="str">
        <f ca="1">IFERROR(IF(VLOOKUP(C1147,' Disaggregation - Section E '!A$316:T884,20,0)=0,"",VLOOKUP(C1147,' Disaggregation - Section E '!A$316:T884,20,0)),"")</f>
        <v/>
      </c>
      <c r="N1147" s="493" t="str">
        <f ca="1">IFERROR(IF(VLOOKUP(C1147,' Disaggregation - Section E '!A$316:N884,9,0)=0,"",VLOOKUP(C1147,' Disaggregation - Section E '!A$316:N884,9,0)),"")</f>
        <v/>
      </c>
      <c r="O1147" s="493" t="str">
        <f ca="1">IFERROR(IF(VLOOKUP(C1147,' Disaggregation - Section E '!A$315:N884,10,0)=0,"",VLOOKUP(C1147,' Disaggregation - Section E '!A$316:N884,10,0)),"")</f>
        <v/>
      </c>
    </row>
    <row r="1148" spans="1:15" x14ac:dyDescent="0.3">
      <c r="A1148" s="487" t="b">
        <f t="shared" ca="1" si="143"/>
        <v>0</v>
      </c>
      <c r="B1148" s="487"/>
      <c r="C1148" s="507" t="str">
        <f ca="1">IF(COUNTA(D$877:D1148)=1,"",OFFSET(C1148,-COUNTA(D$877:D1148)+1,0))</f>
        <v>a1V3p000004fwvREAQ</v>
      </c>
      <c r="D1148" s="502"/>
      <c r="E1148" s="490" t="str">
        <f ca="1">IFERROR(IF(VLOOKUP(C1148,' Disaggregation - Section E '!A$316:N885,7,0)=0,"",VLOOKUP(C1148,' Disaggregation - Section E '!A$316:N885,7,0)*100),"")</f>
        <v/>
      </c>
      <c r="F1148" s="487"/>
      <c r="G1148" s="492" t="str">
        <f ca="1">IFERROR(IF(VLOOKUP(C1148,' Disaggregation - Section E '!A$316:N885,6,0)=0,"",VLOOKUP(C1148,' Disaggregation - Section E '!A$316:N885,6,0)),"")</f>
        <v/>
      </c>
      <c r="H1148" s="502" t="str">
        <f ca="1">IFERROR(IF(INDEX(' Disaggregation - Section E '!F$313:F885,MATCH(C1148,' Disaggregation - Section E '!A$313:A885,0)+1,1)&lt;&gt;0,INDEX(' Disaggregation - Section E '!F$313:F885,MATCH(C1148,' Disaggregation - Section E '!A$313:A885,0)+1,1),""),"")</f>
        <v/>
      </c>
      <c r="I1148" s="493" t="str">
        <f ca="1">IFERROR(IF(VLOOKUP(C1148,' Disaggregation - Section E '!A$316:N885,8,0)=0,"",VLOOKUP(C1148,' Disaggregation - Section E '!A$316:N885,8,0)),"")</f>
        <v/>
      </c>
      <c r="J1148" s="493" t="str">
        <f ca="1">IFERROR(IF(VLOOKUP(C1148,' Disaggregation - Section E '!A$316:N885,13,0)=0,"",VLOOKUP(C1148,' Disaggregation - Section E '!A$316:N885,13,0)),"")</f>
        <v/>
      </c>
      <c r="K1148" s="487" t="str">
        <f ca="1">IFERROR(VLOOKUP(C1148,' Disaggregation - Section E '!A$316:N885,3,0),"")</f>
        <v/>
      </c>
      <c r="L1148" s="493" t="str">
        <f ca="1">IFERROR(IF(VLOOKUP(C1148,' Disaggregation - Section E '!A$316:N885,14,0)=0,"",VLOOKUP(C1148,' Disaggregation - Section E '!A$316:N885,14,0)),"")</f>
        <v/>
      </c>
      <c r="M1148" s="487" t="str">
        <f ca="1">IFERROR(IF(VLOOKUP(C1148,' Disaggregation - Section E '!A$316:T885,20,0)=0,"",VLOOKUP(C1148,' Disaggregation - Section E '!A$316:T885,20,0)),"")</f>
        <v/>
      </c>
      <c r="N1148" s="493" t="str">
        <f ca="1">IFERROR(IF(VLOOKUP(C1148,' Disaggregation - Section E '!A$316:N885,9,0)=0,"",VLOOKUP(C1148,' Disaggregation - Section E '!A$316:N885,9,0)),"")</f>
        <v/>
      </c>
      <c r="O1148" s="493" t="str">
        <f ca="1">IFERROR(IF(VLOOKUP(C1148,' Disaggregation - Section E '!A$315:N885,10,0)=0,"",VLOOKUP(C1148,' Disaggregation - Section E '!A$316:N885,10,0)),"")</f>
        <v/>
      </c>
    </row>
    <row r="1149" spans="1:15" x14ac:dyDescent="0.3">
      <c r="A1149" s="487" t="b">
        <f t="shared" ca="1" si="143"/>
        <v>0</v>
      </c>
      <c r="B1149" s="487"/>
      <c r="C1149" s="507" t="str">
        <f ca="1">IF(COUNTA(D$877:D1149)=1,"",OFFSET(C1149,-COUNTA(D$877:D1149)+1,0))</f>
        <v>a1V3p000004fwvSEAQ</v>
      </c>
      <c r="D1149" s="502"/>
      <c r="E1149" s="490" t="str">
        <f ca="1">IFERROR(IF(VLOOKUP(C1149,' Disaggregation - Section E '!A$316:N886,7,0)=0,"",VLOOKUP(C1149,' Disaggregation - Section E '!A$316:N886,7,0)*100),"")</f>
        <v/>
      </c>
      <c r="F1149" s="487"/>
      <c r="G1149" s="492" t="str">
        <f ca="1">IFERROR(IF(VLOOKUP(C1149,' Disaggregation - Section E '!A$316:N886,6,0)=0,"",VLOOKUP(C1149,' Disaggregation - Section E '!A$316:N886,6,0)),"")</f>
        <v/>
      </c>
      <c r="H1149" s="502" t="str">
        <f ca="1">IFERROR(IF(INDEX(' Disaggregation - Section E '!F$313:F886,MATCH(C1149,' Disaggregation - Section E '!A$313:A886,0)+1,1)&lt;&gt;0,INDEX(' Disaggregation - Section E '!F$313:F886,MATCH(C1149,' Disaggregation - Section E '!A$313:A886,0)+1,1),""),"")</f>
        <v/>
      </c>
      <c r="I1149" s="493" t="str">
        <f ca="1">IFERROR(IF(VLOOKUP(C1149,' Disaggregation - Section E '!A$316:N886,8,0)=0,"",VLOOKUP(C1149,' Disaggregation - Section E '!A$316:N886,8,0)),"")</f>
        <v/>
      </c>
      <c r="J1149" s="493" t="str">
        <f ca="1">IFERROR(IF(VLOOKUP(C1149,' Disaggregation - Section E '!A$316:N886,13,0)=0,"",VLOOKUP(C1149,' Disaggregation - Section E '!A$316:N886,13,0)),"")</f>
        <v/>
      </c>
      <c r="K1149" s="487" t="str">
        <f ca="1">IFERROR(VLOOKUP(C1149,' Disaggregation - Section E '!A$316:N886,3,0),"")</f>
        <v/>
      </c>
      <c r="L1149" s="493" t="str">
        <f ca="1">IFERROR(IF(VLOOKUP(C1149,' Disaggregation - Section E '!A$316:N886,14,0)=0,"",VLOOKUP(C1149,' Disaggregation - Section E '!A$316:N886,14,0)),"")</f>
        <v/>
      </c>
      <c r="M1149" s="487" t="str">
        <f ca="1">IFERROR(IF(VLOOKUP(C1149,' Disaggregation - Section E '!A$316:T886,20,0)=0,"",VLOOKUP(C1149,' Disaggregation - Section E '!A$316:T886,20,0)),"")</f>
        <v/>
      </c>
      <c r="N1149" s="493" t="str">
        <f ca="1">IFERROR(IF(VLOOKUP(C1149,' Disaggregation - Section E '!A$316:N886,9,0)=0,"",VLOOKUP(C1149,' Disaggregation - Section E '!A$316:N886,9,0)),"")</f>
        <v/>
      </c>
      <c r="O1149" s="493" t="str">
        <f ca="1">IFERROR(IF(VLOOKUP(C1149,' Disaggregation - Section E '!A$315:N886,10,0)=0,"",VLOOKUP(C1149,' Disaggregation - Section E '!A$316:N886,10,0)),"")</f>
        <v/>
      </c>
    </row>
    <row r="1150" spans="1:15" x14ac:dyDescent="0.3">
      <c r="A1150" s="487" t="b">
        <f t="shared" ca="1" si="143"/>
        <v>0</v>
      </c>
      <c r="B1150" s="487"/>
      <c r="C1150" s="507" t="str">
        <f ca="1">IF(COUNTA(D$877:D1150)=1,"",OFFSET(C1150,-COUNTA(D$877:D1150)+1,0))</f>
        <v>a1V3p000004fwvTEAQ</v>
      </c>
      <c r="D1150" s="502"/>
      <c r="E1150" s="490" t="str">
        <f ca="1">IFERROR(IF(VLOOKUP(C1150,' Disaggregation - Section E '!A$316:N887,7,0)=0,"",VLOOKUP(C1150,' Disaggregation - Section E '!A$316:N887,7,0)*100),"")</f>
        <v/>
      </c>
      <c r="F1150" s="487"/>
      <c r="G1150" s="492" t="str">
        <f ca="1">IFERROR(IF(VLOOKUP(C1150,' Disaggregation - Section E '!A$316:N887,6,0)=0,"",VLOOKUP(C1150,' Disaggregation - Section E '!A$316:N887,6,0)),"")</f>
        <v/>
      </c>
      <c r="H1150" s="502" t="str">
        <f ca="1">IFERROR(IF(INDEX(' Disaggregation - Section E '!F$313:F887,MATCH(C1150,' Disaggregation - Section E '!A$313:A887,0)+1,1)&lt;&gt;0,INDEX(' Disaggregation - Section E '!F$313:F887,MATCH(C1150,' Disaggregation - Section E '!A$313:A887,0)+1,1),""),"")</f>
        <v/>
      </c>
      <c r="I1150" s="493" t="str">
        <f ca="1">IFERROR(IF(VLOOKUP(C1150,' Disaggregation - Section E '!A$316:N887,8,0)=0,"",VLOOKUP(C1150,' Disaggregation - Section E '!A$316:N887,8,0)),"")</f>
        <v/>
      </c>
      <c r="J1150" s="493" t="str">
        <f ca="1">IFERROR(IF(VLOOKUP(C1150,' Disaggregation - Section E '!A$316:N887,13,0)=0,"",VLOOKUP(C1150,' Disaggregation - Section E '!A$316:N887,13,0)),"")</f>
        <v/>
      </c>
      <c r="K1150" s="487" t="str">
        <f ca="1">IFERROR(VLOOKUP(C1150,' Disaggregation - Section E '!A$316:N887,3,0),"")</f>
        <v/>
      </c>
      <c r="L1150" s="493" t="str">
        <f ca="1">IFERROR(IF(VLOOKUP(C1150,' Disaggregation - Section E '!A$316:N887,14,0)=0,"",VLOOKUP(C1150,' Disaggregation - Section E '!A$316:N887,14,0)),"")</f>
        <v/>
      </c>
      <c r="M1150" s="487" t="str">
        <f ca="1">IFERROR(IF(VLOOKUP(C1150,' Disaggregation - Section E '!A$316:T887,20,0)=0,"",VLOOKUP(C1150,' Disaggregation - Section E '!A$316:T887,20,0)),"")</f>
        <v/>
      </c>
      <c r="N1150" s="493" t="str">
        <f ca="1">IFERROR(IF(VLOOKUP(C1150,' Disaggregation - Section E '!A$316:N887,9,0)=0,"",VLOOKUP(C1150,' Disaggregation - Section E '!A$316:N887,9,0)),"")</f>
        <v/>
      </c>
      <c r="O1150" s="493" t="str">
        <f ca="1">IFERROR(IF(VLOOKUP(C1150,' Disaggregation - Section E '!A$315:N887,10,0)=0,"",VLOOKUP(C1150,' Disaggregation - Section E '!A$316:N887,10,0)),"")</f>
        <v/>
      </c>
    </row>
    <row r="1151" spans="1:15" x14ac:dyDescent="0.3">
      <c r="A1151" s="487" t="b">
        <f t="shared" ca="1" si="143"/>
        <v>0</v>
      </c>
      <c r="B1151" s="487"/>
      <c r="C1151" s="507" t="str">
        <f ca="1">IF(COUNTA(D$877:D1151)=1,"",OFFSET(C1151,-COUNTA(D$877:D1151)+1,0))</f>
        <v>a1V3p000004fwvUEAQ</v>
      </c>
      <c r="D1151" s="502"/>
      <c r="E1151" s="490" t="str">
        <f ca="1">IFERROR(IF(VLOOKUP(C1151,' Disaggregation - Section E '!A$316:N888,7,0)=0,"",VLOOKUP(C1151,' Disaggregation - Section E '!A$316:N888,7,0)*100),"")</f>
        <v/>
      </c>
      <c r="F1151" s="487"/>
      <c r="G1151" s="492" t="str">
        <f ca="1">IFERROR(IF(VLOOKUP(C1151,' Disaggregation - Section E '!A$316:N888,6,0)=0,"",VLOOKUP(C1151,' Disaggregation - Section E '!A$316:N888,6,0)),"")</f>
        <v/>
      </c>
      <c r="H1151" s="502" t="str">
        <f ca="1">IFERROR(IF(INDEX(' Disaggregation - Section E '!F$313:F888,MATCH(C1151,' Disaggregation - Section E '!A$313:A888,0)+1,1)&lt;&gt;0,INDEX(' Disaggregation - Section E '!F$313:F888,MATCH(C1151,' Disaggregation - Section E '!A$313:A888,0)+1,1),""),"")</f>
        <v/>
      </c>
      <c r="I1151" s="493" t="str">
        <f ca="1">IFERROR(IF(VLOOKUP(C1151,' Disaggregation - Section E '!A$316:N888,8,0)=0,"",VLOOKUP(C1151,' Disaggregation - Section E '!A$316:N888,8,0)),"")</f>
        <v/>
      </c>
      <c r="J1151" s="493" t="str">
        <f ca="1">IFERROR(IF(VLOOKUP(C1151,' Disaggregation - Section E '!A$316:N888,13,0)=0,"",VLOOKUP(C1151,' Disaggregation - Section E '!A$316:N888,13,0)),"")</f>
        <v/>
      </c>
      <c r="K1151" s="487" t="str">
        <f ca="1">IFERROR(VLOOKUP(C1151,' Disaggregation - Section E '!A$316:N888,3,0),"")</f>
        <v/>
      </c>
      <c r="L1151" s="493" t="str">
        <f ca="1">IFERROR(IF(VLOOKUP(C1151,' Disaggregation - Section E '!A$316:N888,14,0)=0,"",VLOOKUP(C1151,' Disaggregation - Section E '!A$316:N888,14,0)),"")</f>
        <v/>
      </c>
      <c r="M1151" s="487" t="str">
        <f ca="1">IFERROR(IF(VLOOKUP(C1151,' Disaggregation - Section E '!A$316:T888,20,0)=0,"",VLOOKUP(C1151,' Disaggregation - Section E '!A$316:T888,20,0)),"")</f>
        <v/>
      </c>
      <c r="N1151" s="493" t="str">
        <f ca="1">IFERROR(IF(VLOOKUP(C1151,' Disaggregation - Section E '!A$316:N888,9,0)=0,"",VLOOKUP(C1151,' Disaggregation - Section E '!A$316:N888,9,0)),"")</f>
        <v/>
      </c>
      <c r="O1151" s="493" t="str">
        <f ca="1">IFERROR(IF(VLOOKUP(C1151,' Disaggregation - Section E '!A$315:N888,10,0)=0,"",VLOOKUP(C1151,' Disaggregation - Section E '!A$316:N888,10,0)),"")</f>
        <v/>
      </c>
    </row>
    <row r="1152" spans="1:15" x14ac:dyDescent="0.3">
      <c r="A1152" s="487" t="b">
        <f t="shared" ca="1" si="143"/>
        <v>0</v>
      </c>
      <c r="B1152" s="487"/>
      <c r="C1152" s="507" t="str">
        <f ca="1">IF(COUNTA(D$877:D1152)=1,"",OFFSET(C1152,-COUNTA(D$877:D1152)+1,0))</f>
        <v>a1V3p000004fwvVEAQ</v>
      </c>
      <c r="D1152" s="502"/>
      <c r="E1152" s="490" t="str">
        <f ca="1">IFERROR(IF(VLOOKUP(C1152,' Disaggregation - Section E '!A$316:N889,7,0)=0,"",VLOOKUP(C1152,' Disaggregation - Section E '!A$316:N889,7,0)*100),"")</f>
        <v/>
      </c>
      <c r="F1152" s="487"/>
      <c r="G1152" s="492" t="str">
        <f ca="1">IFERROR(IF(VLOOKUP(C1152,' Disaggregation - Section E '!A$316:N889,6,0)=0,"",VLOOKUP(C1152,' Disaggregation - Section E '!A$316:N889,6,0)),"")</f>
        <v/>
      </c>
      <c r="H1152" s="502" t="str">
        <f ca="1">IFERROR(IF(INDEX(' Disaggregation - Section E '!F$313:F889,MATCH(C1152,' Disaggregation - Section E '!A$313:A889,0)+1,1)&lt;&gt;0,INDEX(' Disaggregation - Section E '!F$313:F889,MATCH(C1152,' Disaggregation - Section E '!A$313:A889,0)+1,1),""),"")</f>
        <v/>
      </c>
      <c r="I1152" s="493" t="str">
        <f ca="1">IFERROR(IF(VLOOKUP(C1152,' Disaggregation - Section E '!A$316:N889,8,0)=0,"",VLOOKUP(C1152,' Disaggregation - Section E '!A$316:N889,8,0)),"")</f>
        <v/>
      </c>
      <c r="J1152" s="493" t="str">
        <f ca="1">IFERROR(IF(VLOOKUP(C1152,' Disaggregation - Section E '!A$316:N889,13,0)=0,"",VLOOKUP(C1152,' Disaggregation - Section E '!A$316:N889,13,0)),"")</f>
        <v/>
      </c>
      <c r="K1152" s="487" t="str">
        <f ca="1">IFERROR(VLOOKUP(C1152,' Disaggregation - Section E '!A$316:N889,3,0),"")</f>
        <v/>
      </c>
      <c r="L1152" s="493" t="str">
        <f ca="1">IFERROR(IF(VLOOKUP(C1152,' Disaggregation - Section E '!A$316:N889,14,0)=0,"",VLOOKUP(C1152,' Disaggregation - Section E '!A$316:N889,14,0)),"")</f>
        <v/>
      </c>
      <c r="M1152" s="487" t="str">
        <f ca="1">IFERROR(IF(VLOOKUP(C1152,' Disaggregation - Section E '!A$316:T889,20,0)=0,"",VLOOKUP(C1152,' Disaggregation - Section E '!A$316:T889,20,0)),"")</f>
        <v/>
      </c>
      <c r="N1152" s="493" t="str">
        <f ca="1">IFERROR(IF(VLOOKUP(C1152,' Disaggregation - Section E '!A$316:N889,9,0)=0,"",VLOOKUP(C1152,' Disaggregation - Section E '!A$316:N889,9,0)),"")</f>
        <v/>
      </c>
      <c r="O1152" s="493" t="str">
        <f ca="1">IFERROR(IF(VLOOKUP(C1152,' Disaggregation - Section E '!A$315:N889,10,0)=0,"",VLOOKUP(C1152,' Disaggregation - Section E '!A$316:N889,10,0)),"")</f>
        <v/>
      </c>
    </row>
    <row r="1153" spans="1:15" x14ac:dyDescent="0.3">
      <c r="A1153" s="487" t="b">
        <f t="shared" ca="1" si="143"/>
        <v>0</v>
      </c>
      <c r="B1153" s="487"/>
      <c r="C1153" s="507" t="str">
        <f ca="1">IF(COUNTA(D$877:D1153)=1,"",OFFSET(C1153,-COUNTA(D$877:D1153)+1,0))</f>
        <v>a1V3p000004fwvWEAQ</v>
      </c>
      <c r="D1153" s="502"/>
      <c r="E1153" s="490" t="str">
        <f ca="1">IFERROR(IF(VLOOKUP(C1153,' Disaggregation - Section E '!A$316:N890,7,0)=0,"",VLOOKUP(C1153,' Disaggregation - Section E '!A$316:N890,7,0)*100),"")</f>
        <v/>
      </c>
      <c r="F1153" s="487"/>
      <c r="G1153" s="492" t="str">
        <f ca="1">IFERROR(IF(VLOOKUP(C1153,' Disaggregation - Section E '!A$316:N890,6,0)=0,"",VLOOKUP(C1153,' Disaggregation - Section E '!A$316:N890,6,0)),"")</f>
        <v/>
      </c>
      <c r="H1153" s="502" t="str">
        <f ca="1">IFERROR(IF(INDEX(' Disaggregation - Section E '!F$313:F890,MATCH(C1153,' Disaggregation - Section E '!A$313:A890,0)+1,1)&lt;&gt;0,INDEX(' Disaggregation - Section E '!F$313:F890,MATCH(C1153,' Disaggregation - Section E '!A$313:A890,0)+1,1),""),"")</f>
        <v/>
      </c>
      <c r="I1153" s="493" t="str">
        <f ca="1">IFERROR(IF(VLOOKUP(C1153,' Disaggregation - Section E '!A$316:N890,8,0)=0,"",VLOOKUP(C1153,' Disaggregation - Section E '!A$316:N890,8,0)),"")</f>
        <v/>
      </c>
      <c r="J1153" s="493" t="str">
        <f ca="1">IFERROR(IF(VLOOKUP(C1153,' Disaggregation - Section E '!A$316:N890,13,0)=0,"",VLOOKUP(C1153,' Disaggregation - Section E '!A$316:N890,13,0)),"")</f>
        <v/>
      </c>
      <c r="K1153" s="487" t="str">
        <f ca="1">IFERROR(VLOOKUP(C1153,' Disaggregation - Section E '!A$316:N890,3,0),"")</f>
        <v/>
      </c>
      <c r="L1153" s="493" t="str">
        <f ca="1">IFERROR(IF(VLOOKUP(C1153,' Disaggregation - Section E '!A$316:N890,14,0)=0,"",VLOOKUP(C1153,' Disaggregation - Section E '!A$316:N890,14,0)),"")</f>
        <v/>
      </c>
      <c r="M1153" s="487" t="str">
        <f ca="1">IFERROR(IF(VLOOKUP(C1153,' Disaggregation - Section E '!A$316:T890,20,0)=0,"",VLOOKUP(C1153,' Disaggregation - Section E '!A$316:T890,20,0)),"")</f>
        <v/>
      </c>
      <c r="N1153" s="493" t="str">
        <f ca="1">IFERROR(IF(VLOOKUP(C1153,' Disaggregation - Section E '!A$316:N890,9,0)=0,"",VLOOKUP(C1153,' Disaggregation - Section E '!A$316:N890,9,0)),"")</f>
        <v/>
      </c>
      <c r="O1153" s="493" t="str">
        <f ca="1">IFERROR(IF(VLOOKUP(C1153,' Disaggregation - Section E '!A$315:N890,10,0)=0,"",VLOOKUP(C1153,' Disaggregation - Section E '!A$316:N890,10,0)),"")</f>
        <v/>
      </c>
    </row>
    <row r="1154" spans="1:15" x14ac:dyDescent="0.3">
      <c r="A1154" s="487" t="b">
        <f t="shared" ca="1" si="143"/>
        <v>0</v>
      </c>
      <c r="B1154" s="487"/>
      <c r="C1154" s="507" t="str">
        <f ca="1">IF(COUNTA(D$877:D1154)=1,"",OFFSET(C1154,-COUNTA(D$877:D1154)+1,0))</f>
        <v>a1V3p000004fwvXEAQ</v>
      </c>
      <c r="D1154" s="502"/>
      <c r="E1154" s="490" t="str">
        <f ca="1">IFERROR(IF(VLOOKUP(C1154,' Disaggregation - Section E '!A$316:N891,7,0)=0,"",VLOOKUP(C1154,' Disaggregation - Section E '!A$316:N891,7,0)*100),"")</f>
        <v/>
      </c>
      <c r="F1154" s="487"/>
      <c r="G1154" s="492" t="str">
        <f ca="1">IFERROR(IF(VLOOKUP(C1154,' Disaggregation - Section E '!A$316:N891,6,0)=0,"",VLOOKUP(C1154,' Disaggregation - Section E '!A$316:N891,6,0)),"")</f>
        <v/>
      </c>
      <c r="H1154" s="502" t="str">
        <f ca="1">IFERROR(IF(INDEX(' Disaggregation - Section E '!F$313:F891,MATCH(C1154,' Disaggregation - Section E '!A$313:A891,0)+1,1)&lt;&gt;0,INDEX(' Disaggregation - Section E '!F$313:F891,MATCH(C1154,' Disaggregation - Section E '!A$313:A891,0)+1,1),""),"")</f>
        <v/>
      </c>
      <c r="I1154" s="493" t="str">
        <f ca="1">IFERROR(IF(VLOOKUP(C1154,' Disaggregation - Section E '!A$316:N891,8,0)=0,"",VLOOKUP(C1154,' Disaggregation - Section E '!A$316:N891,8,0)),"")</f>
        <v/>
      </c>
      <c r="J1154" s="493" t="str">
        <f ca="1">IFERROR(IF(VLOOKUP(C1154,' Disaggregation - Section E '!A$316:N891,13,0)=0,"",VLOOKUP(C1154,' Disaggregation - Section E '!A$316:N891,13,0)),"")</f>
        <v/>
      </c>
      <c r="K1154" s="487" t="str">
        <f ca="1">IFERROR(VLOOKUP(C1154,' Disaggregation - Section E '!A$316:N891,3,0),"")</f>
        <v/>
      </c>
      <c r="L1154" s="493" t="str">
        <f ca="1">IFERROR(IF(VLOOKUP(C1154,' Disaggregation - Section E '!A$316:N891,14,0)=0,"",VLOOKUP(C1154,' Disaggregation - Section E '!A$316:N891,14,0)),"")</f>
        <v/>
      </c>
      <c r="M1154" s="487" t="str">
        <f ca="1">IFERROR(IF(VLOOKUP(C1154,' Disaggregation - Section E '!A$316:T891,20,0)=0,"",VLOOKUP(C1154,' Disaggregation - Section E '!A$316:T891,20,0)),"")</f>
        <v/>
      </c>
      <c r="N1154" s="493" t="str">
        <f ca="1">IFERROR(IF(VLOOKUP(C1154,' Disaggregation - Section E '!A$316:N891,9,0)=0,"",VLOOKUP(C1154,' Disaggregation - Section E '!A$316:N891,9,0)),"")</f>
        <v/>
      </c>
      <c r="O1154" s="493" t="str">
        <f ca="1">IFERROR(IF(VLOOKUP(C1154,' Disaggregation - Section E '!A$315:N891,10,0)=0,"",VLOOKUP(C1154,' Disaggregation - Section E '!A$316:N891,10,0)),"")</f>
        <v/>
      </c>
    </row>
    <row r="1155" spans="1:15" x14ac:dyDescent="0.3">
      <c r="A1155" s="487" t="b">
        <f t="shared" ca="1" si="143"/>
        <v>0</v>
      </c>
      <c r="B1155" s="487"/>
      <c r="C1155" s="507" t="str">
        <f ca="1">IF(COUNTA(D$877:D1155)=1,"",OFFSET(C1155,-COUNTA(D$877:D1155)+1,0))</f>
        <v>a1V3p000004fwvYEAQ</v>
      </c>
      <c r="D1155" s="502"/>
      <c r="E1155" s="490" t="str">
        <f ca="1">IFERROR(IF(VLOOKUP(C1155,' Disaggregation - Section E '!A$316:N892,7,0)=0,"",VLOOKUP(C1155,' Disaggregation - Section E '!A$316:N892,7,0)*100),"")</f>
        <v/>
      </c>
      <c r="F1155" s="487"/>
      <c r="G1155" s="492" t="str">
        <f ca="1">IFERROR(IF(VLOOKUP(C1155,' Disaggregation - Section E '!A$316:N892,6,0)=0,"",VLOOKUP(C1155,' Disaggregation - Section E '!A$316:N892,6,0)),"")</f>
        <v/>
      </c>
      <c r="H1155" s="502" t="str">
        <f ca="1">IFERROR(IF(INDEX(' Disaggregation - Section E '!F$313:F892,MATCH(C1155,' Disaggregation - Section E '!A$313:A892,0)+1,1)&lt;&gt;0,INDEX(' Disaggregation - Section E '!F$313:F892,MATCH(C1155,' Disaggregation - Section E '!A$313:A892,0)+1,1),""),"")</f>
        <v/>
      </c>
      <c r="I1155" s="493" t="str">
        <f ca="1">IFERROR(IF(VLOOKUP(C1155,' Disaggregation - Section E '!A$316:N892,8,0)=0,"",VLOOKUP(C1155,' Disaggregation - Section E '!A$316:N892,8,0)),"")</f>
        <v/>
      </c>
      <c r="J1155" s="493" t="str">
        <f ca="1">IFERROR(IF(VLOOKUP(C1155,' Disaggregation - Section E '!A$316:N892,13,0)=0,"",VLOOKUP(C1155,' Disaggregation - Section E '!A$316:N892,13,0)),"")</f>
        <v/>
      </c>
      <c r="K1155" s="487" t="str">
        <f ca="1">IFERROR(VLOOKUP(C1155,' Disaggregation - Section E '!A$316:N892,3,0),"")</f>
        <v/>
      </c>
      <c r="L1155" s="493" t="str">
        <f ca="1">IFERROR(IF(VLOOKUP(C1155,' Disaggregation - Section E '!A$316:N892,14,0)=0,"",VLOOKUP(C1155,' Disaggregation - Section E '!A$316:N892,14,0)),"")</f>
        <v/>
      </c>
      <c r="M1155" s="487" t="str">
        <f ca="1">IFERROR(IF(VLOOKUP(C1155,' Disaggregation - Section E '!A$316:T892,20,0)=0,"",VLOOKUP(C1155,' Disaggregation - Section E '!A$316:T892,20,0)),"")</f>
        <v/>
      </c>
      <c r="N1155" s="493" t="str">
        <f ca="1">IFERROR(IF(VLOOKUP(C1155,' Disaggregation - Section E '!A$316:N892,9,0)=0,"",VLOOKUP(C1155,' Disaggregation - Section E '!A$316:N892,9,0)),"")</f>
        <v/>
      </c>
      <c r="O1155" s="493" t="str">
        <f ca="1">IFERROR(IF(VLOOKUP(C1155,' Disaggregation - Section E '!A$315:N892,10,0)=0,"",VLOOKUP(C1155,' Disaggregation - Section E '!A$316:N892,10,0)),"")</f>
        <v/>
      </c>
    </row>
    <row r="1156" spans="1:15" x14ac:dyDescent="0.3">
      <c r="A1156" s="487" t="b">
        <f t="shared" ca="1" si="143"/>
        <v>0</v>
      </c>
      <c r="B1156" s="487"/>
      <c r="C1156" s="507" t="str">
        <f ca="1">IF(COUNTA(D$877:D1156)=1,"",OFFSET(C1156,-COUNTA(D$877:D1156)+1,0))</f>
        <v>a1V3p000004fwvZEAQ</v>
      </c>
      <c r="D1156" s="502"/>
      <c r="E1156" s="490" t="str">
        <f ca="1">IFERROR(IF(VLOOKUP(C1156,' Disaggregation - Section E '!A$316:N893,7,0)=0,"",VLOOKUP(C1156,' Disaggregation - Section E '!A$316:N893,7,0)*100),"")</f>
        <v/>
      </c>
      <c r="F1156" s="487"/>
      <c r="G1156" s="492" t="str">
        <f ca="1">IFERROR(IF(VLOOKUP(C1156,' Disaggregation - Section E '!A$316:N893,6,0)=0,"",VLOOKUP(C1156,' Disaggregation - Section E '!A$316:N893,6,0)),"")</f>
        <v/>
      </c>
      <c r="H1156" s="502" t="str">
        <f ca="1">IFERROR(IF(INDEX(' Disaggregation - Section E '!F$313:F893,MATCH(C1156,' Disaggregation - Section E '!A$313:A893,0)+1,1)&lt;&gt;0,INDEX(' Disaggregation - Section E '!F$313:F893,MATCH(C1156,' Disaggregation - Section E '!A$313:A893,0)+1,1),""),"")</f>
        <v/>
      </c>
      <c r="I1156" s="493" t="str">
        <f ca="1">IFERROR(IF(VLOOKUP(C1156,' Disaggregation - Section E '!A$316:N893,8,0)=0,"",VLOOKUP(C1156,' Disaggregation - Section E '!A$316:N893,8,0)),"")</f>
        <v/>
      </c>
      <c r="J1156" s="493" t="str">
        <f ca="1">IFERROR(IF(VLOOKUP(C1156,' Disaggregation - Section E '!A$316:N893,13,0)=0,"",VLOOKUP(C1156,' Disaggregation - Section E '!A$316:N893,13,0)),"")</f>
        <v/>
      </c>
      <c r="K1156" s="487" t="str">
        <f ca="1">IFERROR(VLOOKUP(C1156,' Disaggregation - Section E '!A$316:N893,3,0),"")</f>
        <v/>
      </c>
      <c r="L1156" s="493" t="str">
        <f ca="1">IFERROR(IF(VLOOKUP(C1156,' Disaggregation - Section E '!A$316:N893,14,0)=0,"",VLOOKUP(C1156,' Disaggregation - Section E '!A$316:N893,14,0)),"")</f>
        <v/>
      </c>
      <c r="M1156" s="487" t="str">
        <f ca="1">IFERROR(IF(VLOOKUP(C1156,' Disaggregation - Section E '!A$316:T893,20,0)=0,"",VLOOKUP(C1156,' Disaggregation - Section E '!A$316:T893,20,0)),"")</f>
        <v/>
      </c>
      <c r="N1156" s="493" t="str">
        <f ca="1">IFERROR(IF(VLOOKUP(C1156,' Disaggregation - Section E '!A$316:N893,9,0)=0,"",VLOOKUP(C1156,' Disaggregation - Section E '!A$316:N893,9,0)),"")</f>
        <v/>
      </c>
      <c r="O1156" s="493" t="str">
        <f ca="1">IFERROR(IF(VLOOKUP(C1156,' Disaggregation - Section E '!A$315:N893,10,0)=0,"",VLOOKUP(C1156,' Disaggregation - Section E '!A$316:N893,10,0)),"")</f>
        <v/>
      </c>
    </row>
    <row r="1157" spans="1:15" x14ac:dyDescent="0.3">
      <c r="A1157" s="487" t="b">
        <f t="shared" ref="A1157:A1178" ca="1" si="144">IF(AND(OR(E1157&lt;&gt;"",G1157&lt;&gt;"",H1157&lt;&gt;""),M1157&lt;&gt;""),TRUE,FALSE)</f>
        <v>0</v>
      </c>
      <c r="B1157" s="487"/>
      <c r="C1157" s="507" t="str">
        <f ca="1">IF(COUNTA(D$877:D1157)=1,"",OFFSET(C1157,-COUNTA(D$877:D1157)+1,0))</f>
        <v>a1V3p000004fwvaEAA</v>
      </c>
      <c r="D1157" s="502"/>
      <c r="E1157" s="490" t="str">
        <f ca="1">IFERROR(IF(VLOOKUP(C1157,' Disaggregation - Section E '!A$316:N894,7,0)=0,"",VLOOKUP(C1157,' Disaggregation - Section E '!A$316:N894,7,0)*100),"")</f>
        <v/>
      </c>
      <c r="F1157" s="487"/>
      <c r="G1157" s="492" t="str">
        <f ca="1">IFERROR(IF(VLOOKUP(C1157,' Disaggregation - Section E '!A$316:N894,6,0)=0,"",VLOOKUP(C1157,' Disaggregation - Section E '!A$316:N894,6,0)),"")</f>
        <v/>
      </c>
      <c r="H1157" s="502" t="str">
        <f ca="1">IFERROR(IF(INDEX(' Disaggregation - Section E '!F$313:F894,MATCH(C1157,' Disaggregation - Section E '!A$313:A894,0)+1,1)&lt;&gt;0,INDEX(' Disaggregation - Section E '!F$313:F894,MATCH(C1157,' Disaggregation - Section E '!A$313:A894,0)+1,1),""),"")</f>
        <v/>
      </c>
      <c r="I1157" s="493" t="str">
        <f ca="1">IFERROR(IF(VLOOKUP(C1157,' Disaggregation - Section E '!A$316:N894,8,0)=0,"",VLOOKUP(C1157,' Disaggregation - Section E '!A$316:N894,8,0)),"")</f>
        <v/>
      </c>
      <c r="J1157" s="493" t="str">
        <f ca="1">IFERROR(IF(VLOOKUP(C1157,' Disaggregation - Section E '!A$316:N894,13,0)=0,"",VLOOKUP(C1157,' Disaggregation - Section E '!A$316:N894,13,0)),"")</f>
        <v/>
      </c>
      <c r="K1157" s="487" t="str">
        <f ca="1">IFERROR(VLOOKUP(C1157,' Disaggregation - Section E '!A$316:N894,3,0),"")</f>
        <v/>
      </c>
      <c r="L1157" s="493" t="str">
        <f ca="1">IFERROR(IF(VLOOKUP(C1157,' Disaggregation - Section E '!A$316:N894,14,0)=0,"",VLOOKUP(C1157,' Disaggregation - Section E '!A$316:N894,14,0)),"")</f>
        <v/>
      </c>
      <c r="M1157" s="487" t="str">
        <f ca="1">IFERROR(IF(VLOOKUP(C1157,' Disaggregation - Section E '!A$316:T894,20,0)=0,"",VLOOKUP(C1157,' Disaggregation - Section E '!A$316:T894,20,0)),"")</f>
        <v/>
      </c>
      <c r="N1157" s="493" t="str">
        <f ca="1">IFERROR(IF(VLOOKUP(C1157,' Disaggregation - Section E '!A$316:N894,9,0)=0,"",VLOOKUP(C1157,' Disaggregation - Section E '!A$316:N894,9,0)),"")</f>
        <v/>
      </c>
      <c r="O1157" s="493" t="str">
        <f ca="1">IFERROR(IF(VLOOKUP(C1157,' Disaggregation - Section E '!A$315:N894,10,0)=0,"",VLOOKUP(C1157,' Disaggregation - Section E '!A$316:N894,10,0)),"")</f>
        <v/>
      </c>
    </row>
    <row r="1158" spans="1:15" x14ac:dyDescent="0.3">
      <c r="A1158" s="487" t="b">
        <f t="shared" ca="1" si="144"/>
        <v>0</v>
      </c>
      <c r="B1158" s="487"/>
      <c r="C1158" s="507" t="str">
        <f ca="1">IF(COUNTA(D$877:D1158)=1,"",OFFSET(C1158,-COUNTA(D$877:D1158)+1,0))</f>
        <v>a1V3p000004fwvbEAA</v>
      </c>
      <c r="D1158" s="502"/>
      <c r="E1158" s="490" t="str">
        <f ca="1">IFERROR(IF(VLOOKUP(C1158,' Disaggregation - Section E '!A$316:N895,7,0)=0,"",VLOOKUP(C1158,' Disaggregation - Section E '!A$316:N895,7,0)*100),"")</f>
        <v/>
      </c>
      <c r="F1158" s="487"/>
      <c r="G1158" s="492" t="str">
        <f ca="1">IFERROR(IF(VLOOKUP(C1158,' Disaggregation - Section E '!A$316:N895,6,0)=0,"",VLOOKUP(C1158,' Disaggregation - Section E '!A$316:N895,6,0)),"")</f>
        <v/>
      </c>
      <c r="H1158" s="502" t="str">
        <f ca="1">IFERROR(IF(INDEX(' Disaggregation - Section E '!F$313:F895,MATCH(C1158,' Disaggregation - Section E '!A$313:A895,0)+1,1)&lt;&gt;0,INDEX(' Disaggregation - Section E '!F$313:F895,MATCH(C1158,' Disaggregation - Section E '!A$313:A895,0)+1,1),""),"")</f>
        <v/>
      </c>
      <c r="I1158" s="493" t="str">
        <f ca="1">IFERROR(IF(VLOOKUP(C1158,' Disaggregation - Section E '!A$316:N895,8,0)=0,"",VLOOKUP(C1158,' Disaggregation - Section E '!A$316:N895,8,0)),"")</f>
        <v/>
      </c>
      <c r="J1158" s="493" t="str">
        <f ca="1">IFERROR(IF(VLOOKUP(C1158,' Disaggregation - Section E '!A$316:N895,13,0)=0,"",VLOOKUP(C1158,' Disaggregation - Section E '!A$316:N895,13,0)),"")</f>
        <v/>
      </c>
      <c r="K1158" s="487" t="str">
        <f ca="1">IFERROR(VLOOKUP(C1158,' Disaggregation - Section E '!A$316:N895,3,0),"")</f>
        <v/>
      </c>
      <c r="L1158" s="493" t="str">
        <f ca="1">IFERROR(IF(VLOOKUP(C1158,' Disaggregation - Section E '!A$316:N895,14,0)=0,"",VLOOKUP(C1158,' Disaggregation - Section E '!A$316:N895,14,0)),"")</f>
        <v/>
      </c>
      <c r="M1158" s="487" t="str">
        <f ca="1">IFERROR(IF(VLOOKUP(C1158,' Disaggregation - Section E '!A$316:T895,20,0)=0,"",VLOOKUP(C1158,' Disaggregation - Section E '!A$316:T895,20,0)),"")</f>
        <v/>
      </c>
      <c r="N1158" s="493" t="str">
        <f ca="1">IFERROR(IF(VLOOKUP(C1158,' Disaggregation - Section E '!A$316:N895,9,0)=0,"",VLOOKUP(C1158,' Disaggregation - Section E '!A$316:N895,9,0)),"")</f>
        <v/>
      </c>
      <c r="O1158" s="493" t="str">
        <f ca="1">IFERROR(IF(VLOOKUP(C1158,' Disaggregation - Section E '!A$315:N895,10,0)=0,"",VLOOKUP(C1158,' Disaggregation - Section E '!A$316:N895,10,0)),"")</f>
        <v/>
      </c>
    </row>
    <row r="1159" spans="1:15" x14ac:dyDescent="0.3">
      <c r="A1159" s="487" t="b">
        <f t="shared" ca="1" si="144"/>
        <v>0</v>
      </c>
      <c r="B1159" s="487"/>
      <c r="C1159" s="507" t="str">
        <f ca="1">IF(COUNTA(D$877:D1159)=1,"",OFFSET(C1159,-COUNTA(D$877:D1159)+1,0))</f>
        <v>a1V3p000004fwvcEAA</v>
      </c>
      <c r="D1159" s="502"/>
      <c r="E1159" s="490" t="str">
        <f ca="1">IFERROR(IF(VLOOKUP(C1159,' Disaggregation - Section E '!A$316:N896,7,0)=0,"",VLOOKUP(C1159,' Disaggregation - Section E '!A$316:N896,7,0)*100),"")</f>
        <v/>
      </c>
      <c r="F1159" s="487"/>
      <c r="G1159" s="492" t="str">
        <f ca="1">IFERROR(IF(VLOOKUP(C1159,' Disaggregation - Section E '!A$316:N896,6,0)=0,"",VLOOKUP(C1159,' Disaggregation - Section E '!A$316:N896,6,0)),"")</f>
        <v/>
      </c>
      <c r="H1159" s="502" t="str">
        <f ca="1">IFERROR(IF(INDEX(' Disaggregation - Section E '!F$313:F896,MATCH(C1159,' Disaggregation - Section E '!A$313:A896,0)+1,1)&lt;&gt;0,INDEX(' Disaggregation - Section E '!F$313:F896,MATCH(C1159,' Disaggregation - Section E '!A$313:A896,0)+1,1),""),"")</f>
        <v/>
      </c>
      <c r="I1159" s="493" t="str">
        <f ca="1">IFERROR(IF(VLOOKUP(C1159,' Disaggregation - Section E '!A$316:N896,8,0)=0,"",VLOOKUP(C1159,' Disaggregation - Section E '!A$316:N896,8,0)),"")</f>
        <v/>
      </c>
      <c r="J1159" s="493" t="str">
        <f ca="1">IFERROR(IF(VLOOKUP(C1159,' Disaggregation - Section E '!A$316:N896,13,0)=0,"",VLOOKUP(C1159,' Disaggregation - Section E '!A$316:N896,13,0)),"")</f>
        <v/>
      </c>
      <c r="K1159" s="487" t="str">
        <f ca="1">IFERROR(VLOOKUP(C1159,' Disaggregation - Section E '!A$316:N896,3,0),"")</f>
        <v/>
      </c>
      <c r="L1159" s="493" t="str">
        <f ca="1">IFERROR(IF(VLOOKUP(C1159,' Disaggregation - Section E '!A$316:N896,14,0)=0,"",VLOOKUP(C1159,' Disaggregation - Section E '!A$316:N896,14,0)),"")</f>
        <v/>
      </c>
      <c r="M1159" s="487" t="str">
        <f ca="1">IFERROR(IF(VLOOKUP(C1159,' Disaggregation - Section E '!A$316:T896,20,0)=0,"",VLOOKUP(C1159,' Disaggregation - Section E '!A$316:T896,20,0)),"")</f>
        <v/>
      </c>
      <c r="N1159" s="493" t="str">
        <f ca="1">IFERROR(IF(VLOOKUP(C1159,' Disaggregation - Section E '!A$316:N896,9,0)=0,"",VLOOKUP(C1159,' Disaggregation - Section E '!A$316:N896,9,0)),"")</f>
        <v/>
      </c>
      <c r="O1159" s="493" t="str">
        <f ca="1">IFERROR(IF(VLOOKUP(C1159,' Disaggregation - Section E '!A$315:N896,10,0)=0,"",VLOOKUP(C1159,' Disaggregation - Section E '!A$316:N896,10,0)),"")</f>
        <v/>
      </c>
    </row>
    <row r="1160" spans="1:15" x14ac:dyDescent="0.3">
      <c r="A1160" s="487" t="b">
        <f t="shared" ca="1" si="144"/>
        <v>0</v>
      </c>
      <c r="B1160" s="487"/>
      <c r="C1160" s="507" t="str">
        <f ca="1">IF(COUNTA(D$877:D1160)=1,"",OFFSET(C1160,-COUNTA(D$877:D1160)+1,0))</f>
        <v>a1V3p000004fwvdEAA</v>
      </c>
      <c r="D1160" s="502"/>
      <c r="E1160" s="490" t="str">
        <f ca="1">IFERROR(IF(VLOOKUP(C1160,' Disaggregation - Section E '!A$316:N897,7,0)=0,"",VLOOKUP(C1160,' Disaggregation - Section E '!A$316:N897,7,0)*100),"")</f>
        <v/>
      </c>
      <c r="F1160" s="487"/>
      <c r="G1160" s="492" t="str">
        <f ca="1">IFERROR(IF(VLOOKUP(C1160,' Disaggregation - Section E '!A$316:N897,6,0)=0,"",VLOOKUP(C1160,' Disaggregation - Section E '!A$316:N897,6,0)),"")</f>
        <v/>
      </c>
      <c r="H1160" s="502" t="str">
        <f ca="1">IFERROR(IF(INDEX(' Disaggregation - Section E '!F$313:F897,MATCH(C1160,' Disaggregation - Section E '!A$313:A897,0)+1,1)&lt;&gt;0,INDEX(' Disaggregation - Section E '!F$313:F897,MATCH(C1160,' Disaggregation - Section E '!A$313:A897,0)+1,1),""),"")</f>
        <v/>
      </c>
      <c r="I1160" s="493" t="str">
        <f ca="1">IFERROR(IF(VLOOKUP(C1160,' Disaggregation - Section E '!A$316:N897,8,0)=0,"",VLOOKUP(C1160,' Disaggregation - Section E '!A$316:N897,8,0)),"")</f>
        <v/>
      </c>
      <c r="J1160" s="493" t="str">
        <f ca="1">IFERROR(IF(VLOOKUP(C1160,' Disaggregation - Section E '!A$316:N897,13,0)=0,"",VLOOKUP(C1160,' Disaggregation - Section E '!A$316:N897,13,0)),"")</f>
        <v/>
      </c>
      <c r="K1160" s="487" t="str">
        <f ca="1">IFERROR(VLOOKUP(C1160,' Disaggregation - Section E '!A$316:N897,3,0),"")</f>
        <v/>
      </c>
      <c r="L1160" s="493" t="str">
        <f ca="1">IFERROR(IF(VLOOKUP(C1160,' Disaggregation - Section E '!A$316:N897,14,0)=0,"",VLOOKUP(C1160,' Disaggregation - Section E '!A$316:N897,14,0)),"")</f>
        <v/>
      </c>
      <c r="M1160" s="487" t="str">
        <f ca="1">IFERROR(IF(VLOOKUP(C1160,' Disaggregation - Section E '!A$316:T897,20,0)=0,"",VLOOKUP(C1160,' Disaggregation - Section E '!A$316:T897,20,0)),"")</f>
        <v/>
      </c>
      <c r="N1160" s="493" t="str">
        <f ca="1">IFERROR(IF(VLOOKUP(C1160,' Disaggregation - Section E '!A$316:N897,9,0)=0,"",VLOOKUP(C1160,' Disaggregation - Section E '!A$316:N897,9,0)),"")</f>
        <v/>
      </c>
      <c r="O1160" s="493" t="str">
        <f ca="1">IFERROR(IF(VLOOKUP(C1160,' Disaggregation - Section E '!A$315:N897,10,0)=0,"",VLOOKUP(C1160,' Disaggregation - Section E '!A$316:N897,10,0)),"")</f>
        <v/>
      </c>
    </row>
    <row r="1161" spans="1:15" x14ac:dyDescent="0.3">
      <c r="A1161" s="487" t="b">
        <f t="shared" ca="1" si="144"/>
        <v>0</v>
      </c>
      <c r="B1161" s="487"/>
      <c r="C1161" s="507" t="str">
        <f ca="1">IF(COUNTA(D$877:D1161)=1,"",OFFSET(C1161,-COUNTA(D$877:D1161)+1,0))</f>
        <v>a1V3p000004fwveEAA</v>
      </c>
      <c r="D1161" s="502"/>
      <c r="E1161" s="490" t="str">
        <f ca="1">IFERROR(IF(VLOOKUP(C1161,' Disaggregation - Section E '!A$316:N898,7,0)=0,"",VLOOKUP(C1161,' Disaggregation - Section E '!A$316:N898,7,0)*100),"")</f>
        <v/>
      </c>
      <c r="F1161" s="487"/>
      <c r="G1161" s="492" t="str">
        <f ca="1">IFERROR(IF(VLOOKUP(C1161,' Disaggregation - Section E '!A$316:N898,6,0)=0,"",VLOOKUP(C1161,' Disaggregation - Section E '!A$316:N898,6,0)),"")</f>
        <v/>
      </c>
      <c r="H1161" s="502" t="str">
        <f ca="1">IFERROR(IF(INDEX(' Disaggregation - Section E '!F$313:F898,MATCH(C1161,' Disaggregation - Section E '!A$313:A898,0)+1,1)&lt;&gt;0,INDEX(' Disaggregation - Section E '!F$313:F898,MATCH(C1161,' Disaggregation - Section E '!A$313:A898,0)+1,1),""),"")</f>
        <v/>
      </c>
      <c r="I1161" s="493" t="str">
        <f ca="1">IFERROR(IF(VLOOKUP(C1161,' Disaggregation - Section E '!A$316:N898,8,0)=0,"",VLOOKUP(C1161,' Disaggregation - Section E '!A$316:N898,8,0)),"")</f>
        <v/>
      </c>
      <c r="J1161" s="493" t="str">
        <f ca="1">IFERROR(IF(VLOOKUP(C1161,' Disaggregation - Section E '!A$316:N898,13,0)=0,"",VLOOKUP(C1161,' Disaggregation - Section E '!A$316:N898,13,0)),"")</f>
        <v/>
      </c>
      <c r="K1161" s="487" t="str">
        <f ca="1">IFERROR(VLOOKUP(C1161,' Disaggregation - Section E '!A$316:N898,3,0),"")</f>
        <v/>
      </c>
      <c r="L1161" s="493" t="str">
        <f ca="1">IFERROR(IF(VLOOKUP(C1161,' Disaggregation - Section E '!A$316:N898,14,0)=0,"",VLOOKUP(C1161,' Disaggregation - Section E '!A$316:N898,14,0)),"")</f>
        <v/>
      </c>
      <c r="M1161" s="487" t="str">
        <f ca="1">IFERROR(IF(VLOOKUP(C1161,' Disaggregation - Section E '!A$316:T898,20,0)=0,"",VLOOKUP(C1161,' Disaggregation - Section E '!A$316:T898,20,0)),"")</f>
        <v/>
      </c>
      <c r="N1161" s="493" t="str">
        <f ca="1">IFERROR(IF(VLOOKUP(C1161,' Disaggregation - Section E '!A$316:N898,9,0)=0,"",VLOOKUP(C1161,' Disaggregation - Section E '!A$316:N898,9,0)),"")</f>
        <v/>
      </c>
      <c r="O1161" s="493" t="str">
        <f ca="1">IFERROR(IF(VLOOKUP(C1161,' Disaggregation - Section E '!A$315:N898,10,0)=0,"",VLOOKUP(C1161,' Disaggregation - Section E '!A$316:N898,10,0)),"")</f>
        <v/>
      </c>
    </row>
    <row r="1162" spans="1:15" x14ac:dyDescent="0.3">
      <c r="A1162" s="487" t="b">
        <f t="shared" ca="1" si="144"/>
        <v>0</v>
      </c>
      <c r="B1162" s="487"/>
      <c r="C1162" s="507" t="str">
        <f ca="1">IF(COUNTA(D$877:D1162)=1,"",OFFSET(C1162,-COUNTA(D$877:D1162)+1,0))</f>
        <v>a1V3p000004fwvfEAA</v>
      </c>
      <c r="D1162" s="502"/>
      <c r="E1162" s="490" t="str">
        <f ca="1">IFERROR(IF(VLOOKUP(C1162,' Disaggregation - Section E '!A$316:N899,7,0)=0,"",VLOOKUP(C1162,' Disaggregation - Section E '!A$316:N899,7,0)*100),"")</f>
        <v/>
      </c>
      <c r="F1162" s="487"/>
      <c r="G1162" s="492" t="str">
        <f ca="1">IFERROR(IF(VLOOKUP(C1162,' Disaggregation - Section E '!A$316:N899,6,0)=0,"",VLOOKUP(C1162,' Disaggregation - Section E '!A$316:N899,6,0)),"")</f>
        <v/>
      </c>
      <c r="H1162" s="502" t="str">
        <f ca="1">IFERROR(IF(INDEX(' Disaggregation - Section E '!F$313:F899,MATCH(C1162,' Disaggregation - Section E '!A$313:A899,0)+1,1)&lt;&gt;0,INDEX(' Disaggregation - Section E '!F$313:F899,MATCH(C1162,' Disaggregation - Section E '!A$313:A899,0)+1,1),""),"")</f>
        <v/>
      </c>
      <c r="I1162" s="493" t="str">
        <f ca="1">IFERROR(IF(VLOOKUP(C1162,' Disaggregation - Section E '!A$316:N899,8,0)=0,"",VLOOKUP(C1162,' Disaggregation - Section E '!A$316:N899,8,0)),"")</f>
        <v/>
      </c>
      <c r="J1162" s="493" t="str">
        <f ca="1">IFERROR(IF(VLOOKUP(C1162,' Disaggregation - Section E '!A$316:N899,13,0)=0,"",VLOOKUP(C1162,' Disaggregation - Section E '!A$316:N899,13,0)),"")</f>
        <v/>
      </c>
      <c r="K1162" s="487" t="str">
        <f ca="1">IFERROR(VLOOKUP(C1162,' Disaggregation - Section E '!A$316:N899,3,0),"")</f>
        <v/>
      </c>
      <c r="L1162" s="493" t="str">
        <f ca="1">IFERROR(IF(VLOOKUP(C1162,' Disaggregation - Section E '!A$316:N899,14,0)=0,"",VLOOKUP(C1162,' Disaggregation - Section E '!A$316:N899,14,0)),"")</f>
        <v/>
      </c>
      <c r="M1162" s="487" t="str">
        <f ca="1">IFERROR(IF(VLOOKUP(C1162,' Disaggregation - Section E '!A$316:T899,20,0)=0,"",VLOOKUP(C1162,' Disaggregation - Section E '!A$316:T899,20,0)),"")</f>
        <v/>
      </c>
      <c r="N1162" s="493" t="str">
        <f ca="1">IFERROR(IF(VLOOKUP(C1162,' Disaggregation - Section E '!A$316:N899,9,0)=0,"",VLOOKUP(C1162,' Disaggregation - Section E '!A$316:N899,9,0)),"")</f>
        <v/>
      </c>
      <c r="O1162" s="493" t="str">
        <f ca="1">IFERROR(IF(VLOOKUP(C1162,' Disaggregation - Section E '!A$315:N899,10,0)=0,"",VLOOKUP(C1162,' Disaggregation - Section E '!A$316:N899,10,0)),"")</f>
        <v/>
      </c>
    </row>
    <row r="1163" spans="1:15" x14ac:dyDescent="0.3">
      <c r="A1163" s="487" t="b">
        <f t="shared" ca="1" si="144"/>
        <v>0</v>
      </c>
      <c r="B1163" s="487"/>
      <c r="C1163" s="507" t="str">
        <f ca="1">IF(COUNTA(D$877:D1163)=1,"",OFFSET(C1163,-COUNTA(D$877:D1163)+1,0))</f>
        <v>a1V3p000004fwvgEAA</v>
      </c>
      <c r="D1163" s="502"/>
      <c r="E1163" s="490" t="str">
        <f ca="1">IFERROR(IF(VLOOKUP(C1163,' Disaggregation - Section E '!A$316:N900,7,0)=0,"",VLOOKUP(C1163,' Disaggregation - Section E '!A$316:N900,7,0)*100),"")</f>
        <v/>
      </c>
      <c r="F1163" s="487"/>
      <c r="G1163" s="492" t="str">
        <f ca="1">IFERROR(IF(VLOOKUP(C1163,' Disaggregation - Section E '!A$316:N900,6,0)=0,"",VLOOKUP(C1163,' Disaggregation - Section E '!A$316:N900,6,0)),"")</f>
        <v/>
      </c>
      <c r="H1163" s="502" t="str">
        <f ca="1">IFERROR(IF(INDEX(' Disaggregation - Section E '!F$313:F900,MATCH(C1163,' Disaggregation - Section E '!A$313:A900,0)+1,1)&lt;&gt;0,INDEX(' Disaggregation - Section E '!F$313:F900,MATCH(C1163,' Disaggregation - Section E '!A$313:A900,0)+1,1),""),"")</f>
        <v/>
      </c>
      <c r="I1163" s="493" t="str">
        <f ca="1">IFERROR(IF(VLOOKUP(C1163,' Disaggregation - Section E '!A$316:N900,8,0)=0,"",VLOOKUP(C1163,' Disaggregation - Section E '!A$316:N900,8,0)),"")</f>
        <v/>
      </c>
      <c r="J1163" s="493" t="str">
        <f ca="1">IFERROR(IF(VLOOKUP(C1163,' Disaggregation - Section E '!A$316:N900,13,0)=0,"",VLOOKUP(C1163,' Disaggregation - Section E '!A$316:N900,13,0)),"")</f>
        <v/>
      </c>
      <c r="K1163" s="487" t="str">
        <f ca="1">IFERROR(VLOOKUP(C1163,' Disaggregation - Section E '!A$316:N900,3,0),"")</f>
        <v/>
      </c>
      <c r="L1163" s="493" t="str">
        <f ca="1">IFERROR(IF(VLOOKUP(C1163,' Disaggregation - Section E '!A$316:N900,14,0)=0,"",VLOOKUP(C1163,' Disaggregation - Section E '!A$316:N900,14,0)),"")</f>
        <v/>
      </c>
      <c r="M1163" s="487" t="str">
        <f ca="1">IFERROR(IF(VLOOKUP(C1163,' Disaggregation - Section E '!A$316:T900,20,0)=0,"",VLOOKUP(C1163,' Disaggregation - Section E '!A$316:T900,20,0)),"")</f>
        <v/>
      </c>
      <c r="N1163" s="493" t="str">
        <f ca="1">IFERROR(IF(VLOOKUP(C1163,' Disaggregation - Section E '!A$316:N900,9,0)=0,"",VLOOKUP(C1163,' Disaggregation - Section E '!A$316:N900,9,0)),"")</f>
        <v/>
      </c>
      <c r="O1163" s="493" t="str">
        <f ca="1">IFERROR(IF(VLOOKUP(C1163,' Disaggregation - Section E '!A$315:N900,10,0)=0,"",VLOOKUP(C1163,' Disaggregation - Section E '!A$316:N900,10,0)),"")</f>
        <v/>
      </c>
    </row>
    <row r="1164" spans="1:15" x14ac:dyDescent="0.3">
      <c r="A1164" s="487" t="b">
        <f t="shared" ca="1" si="144"/>
        <v>0</v>
      </c>
      <c r="B1164" s="487"/>
      <c r="C1164" s="507" t="str">
        <f ca="1">IF(COUNTA(D$877:D1164)=1,"",OFFSET(C1164,-COUNTA(D$877:D1164)+1,0))</f>
        <v>a1V3p000004fwvhEAA</v>
      </c>
      <c r="D1164" s="502"/>
      <c r="E1164" s="490" t="str">
        <f ca="1">IFERROR(IF(VLOOKUP(C1164,' Disaggregation - Section E '!A$316:N901,7,0)=0,"",VLOOKUP(C1164,' Disaggregation - Section E '!A$316:N901,7,0)*100),"")</f>
        <v/>
      </c>
      <c r="F1164" s="487"/>
      <c r="G1164" s="492" t="str">
        <f ca="1">IFERROR(IF(VLOOKUP(C1164,' Disaggregation - Section E '!A$316:N901,6,0)=0,"",VLOOKUP(C1164,' Disaggregation - Section E '!A$316:N901,6,0)),"")</f>
        <v/>
      </c>
      <c r="H1164" s="502" t="str">
        <f ca="1">IFERROR(IF(INDEX(' Disaggregation - Section E '!F$313:F901,MATCH(C1164,' Disaggregation - Section E '!A$313:A901,0)+1,1)&lt;&gt;0,INDEX(' Disaggregation - Section E '!F$313:F901,MATCH(C1164,' Disaggregation - Section E '!A$313:A901,0)+1,1),""),"")</f>
        <v/>
      </c>
      <c r="I1164" s="493" t="str">
        <f ca="1">IFERROR(IF(VLOOKUP(C1164,' Disaggregation - Section E '!A$316:N901,8,0)=0,"",VLOOKUP(C1164,' Disaggregation - Section E '!A$316:N901,8,0)),"")</f>
        <v/>
      </c>
      <c r="J1164" s="493" t="str">
        <f ca="1">IFERROR(IF(VLOOKUP(C1164,' Disaggregation - Section E '!A$316:N901,13,0)=0,"",VLOOKUP(C1164,' Disaggregation - Section E '!A$316:N901,13,0)),"")</f>
        <v/>
      </c>
      <c r="K1164" s="487" t="str">
        <f ca="1">IFERROR(VLOOKUP(C1164,' Disaggregation - Section E '!A$316:N901,3,0),"")</f>
        <v/>
      </c>
      <c r="L1164" s="493" t="str">
        <f ca="1">IFERROR(IF(VLOOKUP(C1164,' Disaggregation - Section E '!A$316:N901,14,0)=0,"",VLOOKUP(C1164,' Disaggregation - Section E '!A$316:N901,14,0)),"")</f>
        <v/>
      </c>
      <c r="M1164" s="487" t="str">
        <f ca="1">IFERROR(IF(VLOOKUP(C1164,' Disaggregation - Section E '!A$316:T901,20,0)=0,"",VLOOKUP(C1164,' Disaggregation - Section E '!A$316:T901,20,0)),"")</f>
        <v/>
      </c>
      <c r="N1164" s="493" t="str">
        <f ca="1">IFERROR(IF(VLOOKUP(C1164,' Disaggregation - Section E '!A$316:N901,9,0)=0,"",VLOOKUP(C1164,' Disaggregation - Section E '!A$316:N901,9,0)),"")</f>
        <v/>
      </c>
      <c r="O1164" s="493" t="str">
        <f ca="1">IFERROR(IF(VLOOKUP(C1164,' Disaggregation - Section E '!A$315:N901,10,0)=0,"",VLOOKUP(C1164,' Disaggregation - Section E '!A$316:N901,10,0)),"")</f>
        <v/>
      </c>
    </row>
    <row r="1165" spans="1:15" x14ac:dyDescent="0.3">
      <c r="A1165" s="487" t="b">
        <f t="shared" ca="1" si="144"/>
        <v>0</v>
      </c>
      <c r="B1165" s="487"/>
      <c r="C1165" s="507" t="str">
        <f ca="1">IF(COUNTA(D$877:D1165)=1,"",OFFSET(C1165,-COUNTA(D$877:D1165)+1,0))</f>
        <v>a1V3p000004fwviEAA</v>
      </c>
      <c r="D1165" s="502"/>
      <c r="E1165" s="490" t="str">
        <f ca="1">IFERROR(IF(VLOOKUP(C1165,' Disaggregation - Section E '!A$316:N902,7,0)=0,"",VLOOKUP(C1165,' Disaggregation - Section E '!A$316:N902,7,0)*100),"")</f>
        <v/>
      </c>
      <c r="F1165" s="487"/>
      <c r="G1165" s="492" t="str">
        <f ca="1">IFERROR(IF(VLOOKUP(C1165,' Disaggregation - Section E '!A$316:N902,6,0)=0,"",VLOOKUP(C1165,' Disaggregation - Section E '!A$316:N902,6,0)),"")</f>
        <v/>
      </c>
      <c r="H1165" s="502" t="str">
        <f ca="1">IFERROR(IF(INDEX(' Disaggregation - Section E '!F$313:F902,MATCH(C1165,' Disaggregation - Section E '!A$313:A902,0)+1,1)&lt;&gt;0,INDEX(' Disaggregation - Section E '!F$313:F902,MATCH(C1165,' Disaggregation - Section E '!A$313:A902,0)+1,1),""),"")</f>
        <v/>
      </c>
      <c r="I1165" s="493" t="str">
        <f ca="1">IFERROR(IF(VLOOKUP(C1165,' Disaggregation - Section E '!A$316:N902,8,0)=0,"",VLOOKUP(C1165,' Disaggregation - Section E '!A$316:N902,8,0)),"")</f>
        <v/>
      </c>
      <c r="J1165" s="493" t="str">
        <f ca="1">IFERROR(IF(VLOOKUP(C1165,' Disaggregation - Section E '!A$316:N902,13,0)=0,"",VLOOKUP(C1165,' Disaggregation - Section E '!A$316:N902,13,0)),"")</f>
        <v/>
      </c>
      <c r="K1165" s="487" t="str">
        <f ca="1">IFERROR(VLOOKUP(C1165,' Disaggregation - Section E '!A$316:N902,3,0),"")</f>
        <v/>
      </c>
      <c r="L1165" s="493" t="str">
        <f ca="1">IFERROR(IF(VLOOKUP(C1165,' Disaggregation - Section E '!A$316:N902,14,0)=0,"",VLOOKUP(C1165,' Disaggregation - Section E '!A$316:N902,14,0)),"")</f>
        <v/>
      </c>
      <c r="M1165" s="487" t="str">
        <f ca="1">IFERROR(IF(VLOOKUP(C1165,' Disaggregation - Section E '!A$316:T902,20,0)=0,"",VLOOKUP(C1165,' Disaggregation - Section E '!A$316:T902,20,0)),"")</f>
        <v/>
      </c>
      <c r="N1165" s="493" t="str">
        <f ca="1">IFERROR(IF(VLOOKUP(C1165,' Disaggregation - Section E '!A$316:N902,9,0)=0,"",VLOOKUP(C1165,' Disaggregation - Section E '!A$316:N902,9,0)),"")</f>
        <v/>
      </c>
      <c r="O1165" s="493" t="str">
        <f ca="1">IFERROR(IF(VLOOKUP(C1165,' Disaggregation - Section E '!A$315:N902,10,0)=0,"",VLOOKUP(C1165,' Disaggregation - Section E '!A$316:N902,10,0)),"")</f>
        <v/>
      </c>
    </row>
    <row r="1166" spans="1:15" x14ac:dyDescent="0.3">
      <c r="A1166" s="487" t="b">
        <f t="shared" ca="1" si="144"/>
        <v>0</v>
      </c>
      <c r="B1166" s="487"/>
      <c r="C1166" s="507" t="str">
        <f ca="1">IF(COUNTA(D$877:D1166)=1,"",OFFSET(C1166,-COUNTA(D$877:D1166)+1,0))</f>
        <v>a1V3p000004fwvjEAA</v>
      </c>
      <c r="D1166" s="502"/>
      <c r="E1166" s="490" t="str">
        <f ca="1">IFERROR(IF(VLOOKUP(C1166,' Disaggregation - Section E '!A$316:N903,7,0)=0,"",VLOOKUP(C1166,' Disaggregation - Section E '!A$316:N903,7,0)*100),"")</f>
        <v/>
      </c>
      <c r="F1166" s="487"/>
      <c r="G1166" s="492" t="str">
        <f ca="1">IFERROR(IF(VLOOKUP(C1166,' Disaggregation - Section E '!A$316:N903,6,0)=0,"",VLOOKUP(C1166,' Disaggregation - Section E '!A$316:N903,6,0)),"")</f>
        <v/>
      </c>
      <c r="H1166" s="502" t="str">
        <f ca="1">IFERROR(IF(INDEX(' Disaggregation - Section E '!F$313:F903,MATCH(C1166,' Disaggregation - Section E '!A$313:A903,0)+1,1)&lt;&gt;0,INDEX(' Disaggregation - Section E '!F$313:F903,MATCH(C1166,' Disaggregation - Section E '!A$313:A903,0)+1,1),""),"")</f>
        <v/>
      </c>
      <c r="I1166" s="493" t="str">
        <f ca="1">IFERROR(IF(VLOOKUP(C1166,' Disaggregation - Section E '!A$316:N903,8,0)=0,"",VLOOKUP(C1166,' Disaggregation - Section E '!A$316:N903,8,0)),"")</f>
        <v/>
      </c>
      <c r="J1166" s="493" t="str">
        <f ca="1">IFERROR(IF(VLOOKUP(C1166,' Disaggregation - Section E '!A$316:N903,13,0)=0,"",VLOOKUP(C1166,' Disaggregation - Section E '!A$316:N903,13,0)),"")</f>
        <v/>
      </c>
      <c r="K1166" s="487" t="str">
        <f ca="1">IFERROR(VLOOKUP(C1166,' Disaggregation - Section E '!A$316:N903,3,0),"")</f>
        <v/>
      </c>
      <c r="L1166" s="493" t="str">
        <f ca="1">IFERROR(IF(VLOOKUP(C1166,' Disaggregation - Section E '!A$316:N903,14,0)=0,"",VLOOKUP(C1166,' Disaggregation - Section E '!A$316:N903,14,0)),"")</f>
        <v/>
      </c>
      <c r="M1166" s="487" t="str">
        <f ca="1">IFERROR(IF(VLOOKUP(C1166,' Disaggregation - Section E '!A$316:T903,20,0)=0,"",VLOOKUP(C1166,' Disaggregation - Section E '!A$316:T903,20,0)),"")</f>
        <v/>
      </c>
      <c r="N1166" s="493" t="str">
        <f ca="1">IFERROR(IF(VLOOKUP(C1166,' Disaggregation - Section E '!A$316:N903,9,0)=0,"",VLOOKUP(C1166,' Disaggregation - Section E '!A$316:N903,9,0)),"")</f>
        <v/>
      </c>
      <c r="O1166" s="493" t="str">
        <f ca="1">IFERROR(IF(VLOOKUP(C1166,' Disaggregation - Section E '!A$315:N903,10,0)=0,"",VLOOKUP(C1166,' Disaggregation - Section E '!A$316:N903,10,0)),"")</f>
        <v/>
      </c>
    </row>
    <row r="1167" spans="1:15" x14ac:dyDescent="0.3">
      <c r="A1167" s="487" t="b">
        <f t="shared" ca="1" si="144"/>
        <v>0</v>
      </c>
      <c r="B1167" s="487"/>
      <c r="C1167" s="507" t="str">
        <f ca="1">IF(COUNTA(D$877:D1167)=1,"",OFFSET(C1167,-COUNTA(D$877:D1167)+1,0))</f>
        <v>a1V3p000004fwvkEAA</v>
      </c>
      <c r="D1167" s="502"/>
      <c r="E1167" s="490" t="str">
        <f ca="1">IFERROR(IF(VLOOKUP(C1167,' Disaggregation - Section E '!A$316:N904,7,0)=0,"",VLOOKUP(C1167,' Disaggregation - Section E '!A$316:N904,7,0)*100),"")</f>
        <v/>
      </c>
      <c r="F1167" s="487"/>
      <c r="G1167" s="492" t="str">
        <f ca="1">IFERROR(IF(VLOOKUP(C1167,' Disaggregation - Section E '!A$316:N904,6,0)=0,"",VLOOKUP(C1167,' Disaggregation - Section E '!A$316:N904,6,0)),"")</f>
        <v/>
      </c>
      <c r="H1167" s="502" t="str">
        <f ca="1">IFERROR(IF(INDEX(' Disaggregation - Section E '!F$313:F904,MATCH(C1167,' Disaggregation - Section E '!A$313:A904,0)+1,1)&lt;&gt;0,INDEX(' Disaggregation - Section E '!F$313:F904,MATCH(C1167,' Disaggregation - Section E '!A$313:A904,0)+1,1),""),"")</f>
        <v/>
      </c>
      <c r="I1167" s="493" t="str">
        <f ca="1">IFERROR(IF(VLOOKUP(C1167,' Disaggregation - Section E '!A$316:N904,8,0)=0,"",VLOOKUP(C1167,' Disaggregation - Section E '!A$316:N904,8,0)),"")</f>
        <v/>
      </c>
      <c r="J1167" s="493" t="str">
        <f ca="1">IFERROR(IF(VLOOKUP(C1167,' Disaggregation - Section E '!A$316:N904,13,0)=0,"",VLOOKUP(C1167,' Disaggregation - Section E '!A$316:N904,13,0)),"")</f>
        <v/>
      </c>
      <c r="K1167" s="487" t="str">
        <f ca="1">IFERROR(VLOOKUP(C1167,' Disaggregation - Section E '!A$316:N904,3,0),"")</f>
        <v/>
      </c>
      <c r="L1167" s="493" t="str">
        <f ca="1">IFERROR(IF(VLOOKUP(C1167,' Disaggregation - Section E '!A$316:N904,14,0)=0,"",VLOOKUP(C1167,' Disaggregation - Section E '!A$316:N904,14,0)),"")</f>
        <v/>
      </c>
      <c r="M1167" s="487" t="str">
        <f ca="1">IFERROR(IF(VLOOKUP(C1167,' Disaggregation - Section E '!A$316:T904,20,0)=0,"",VLOOKUP(C1167,' Disaggregation - Section E '!A$316:T904,20,0)),"")</f>
        <v/>
      </c>
      <c r="N1167" s="493" t="str">
        <f ca="1">IFERROR(IF(VLOOKUP(C1167,' Disaggregation - Section E '!A$316:N904,9,0)=0,"",VLOOKUP(C1167,' Disaggregation - Section E '!A$316:N904,9,0)),"")</f>
        <v/>
      </c>
      <c r="O1167" s="493" t="str">
        <f ca="1">IFERROR(IF(VLOOKUP(C1167,' Disaggregation - Section E '!A$315:N904,10,0)=0,"",VLOOKUP(C1167,' Disaggregation - Section E '!A$316:N904,10,0)),"")</f>
        <v/>
      </c>
    </row>
    <row r="1168" spans="1:15" x14ac:dyDescent="0.3">
      <c r="A1168" s="487" t="b">
        <f t="shared" ca="1" si="144"/>
        <v>0</v>
      </c>
      <c r="B1168" s="487"/>
      <c r="C1168" s="507" t="str">
        <f ca="1">IF(COUNTA(D$877:D1168)=1,"",OFFSET(C1168,-COUNTA(D$877:D1168)+1,0))</f>
        <v>a1V3p000004fwvlEAA</v>
      </c>
      <c r="D1168" s="502"/>
      <c r="E1168" s="490" t="str">
        <f ca="1">IFERROR(IF(VLOOKUP(C1168,' Disaggregation - Section E '!A$316:N905,7,0)=0,"",VLOOKUP(C1168,' Disaggregation - Section E '!A$316:N905,7,0)*100),"")</f>
        <v/>
      </c>
      <c r="F1168" s="487"/>
      <c r="G1168" s="492" t="str">
        <f ca="1">IFERROR(IF(VLOOKUP(C1168,' Disaggregation - Section E '!A$316:N905,6,0)=0,"",VLOOKUP(C1168,' Disaggregation - Section E '!A$316:N905,6,0)),"")</f>
        <v/>
      </c>
      <c r="H1168" s="502" t="str">
        <f ca="1">IFERROR(IF(INDEX(' Disaggregation - Section E '!F$313:F905,MATCH(C1168,' Disaggregation - Section E '!A$313:A905,0)+1,1)&lt;&gt;0,INDEX(' Disaggregation - Section E '!F$313:F905,MATCH(C1168,' Disaggregation - Section E '!A$313:A905,0)+1,1),""),"")</f>
        <v/>
      </c>
      <c r="I1168" s="493" t="str">
        <f ca="1">IFERROR(IF(VLOOKUP(C1168,' Disaggregation - Section E '!A$316:N905,8,0)=0,"",VLOOKUP(C1168,' Disaggregation - Section E '!A$316:N905,8,0)),"")</f>
        <v/>
      </c>
      <c r="J1168" s="493" t="str">
        <f ca="1">IFERROR(IF(VLOOKUP(C1168,' Disaggregation - Section E '!A$316:N905,13,0)=0,"",VLOOKUP(C1168,' Disaggregation - Section E '!A$316:N905,13,0)),"")</f>
        <v/>
      </c>
      <c r="K1168" s="487" t="str">
        <f ca="1">IFERROR(VLOOKUP(C1168,' Disaggregation - Section E '!A$316:N905,3,0),"")</f>
        <v/>
      </c>
      <c r="L1168" s="493" t="str">
        <f ca="1">IFERROR(IF(VLOOKUP(C1168,' Disaggregation - Section E '!A$316:N905,14,0)=0,"",VLOOKUP(C1168,' Disaggregation - Section E '!A$316:N905,14,0)),"")</f>
        <v/>
      </c>
      <c r="M1168" s="487" t="str">
        <f ca="1">IFERROR(IF(VLOOKUP(C1168,' Disaggregation - Section E '!A$316:T905,20,0)=0,"",VLOOKUP(C1168,' Disaggregation - Section E '!A$316:T905,20,0)),"")</f>
        <v/>
      </c>
      <c r="N1168" s="493" t="str">
        <f ca="1">IFERROR(IF(VLOOKUP(C1168,' Disaggregation - Section E '!A$316:N905,9,0)=0,"",VLOOKUP(C1168,' Disaggregation - Section E '!A$316:N905,9,0)),"")</f>
        <v/>
      </c>
      <c r="O1168" s="493" t="str">
        <f ca="1">IFERROR(IF(VLOOKUP(C1168,' Disaggregation - Section E '!A$315:N905,10,0)=0,"",VLOOKUP(C1168,' Disaggregation - Section E '!A$316:N905,10,0)),"")</f>
        <v/>
      </c>
    </row>
    <row r="1169" spans="1:15" x14ac:dyDescent="0.3">
      <c r="A1169" s="487" t="b">
        <f t="shared" ca="1" si="144"/>
        <v>0</v>
      </c>
      <c r="B1169" s="487"/>
      <c r="C1169" s="507" t="str">
        <f ca="1">IF(COUNTA(D$877:D1169)=1,"",OFFSET(C1169,-COUNTA(D$877:D1169)+1,0))</f>
        <v>a1V3p000004fwvmEAA</v>
      </c>
      <c r="D1169" s="502"/>
      <c r="E1169" s="490" t="str">
        <f ca="1">IFERROR(IF(VLOOKUP(C1169,' Disaggregation - Section E '!A$316:N906,7,0)=0,"",VLOOKUP(C1169,' Disaggregation - Section E '!A$316:N906,7,0)*100),"")</f>
        <v/>
      </c>
      <c r="F1169" s="487"/>
      <c r="G1169" s="492" t="str">
        <f ca="1">IFERROR(IF(VLOOKUP(C1169,' Disaggregation - Section E '!A$316:N906,6,0)=0,"",VLOOKUP(C1169,' Disaggregation - Section E '!A$316:N906,6,0)),"")</f>
        <v/>
      </c>
      <c r="H1169" s="502" t="str">
        <f ca="1">IFERROR(IF(INDEX(' Disaggregation - Section E '!F$313:F906,MATCH(C1169,' Disaggregation - Section E '!A$313:A906,0)+1,1)&lt;&gt;0,INDEX(' Disaggregation - Section E '!F$313:F906,MATCH(C1169,' Disaggregation - Section E '!A$313:A906,0)+1,1),""),"")</f>
        <v/>
      </c>
      <c r="I1169" s="493" t="str">
        <f ca="1">IFERROR(IF(VLOOKUP(C1169,' Disaggregation - Section E '!A$316:N906,8,0)=0,"",VLOOKUP(C1169,' Disaggregation - Section E '!A$316:N906,8,0)),"")</f>
        <v/>
      </c>
      <c r="J1169" s="493" t="str">
        <f ca="1">IFERROR(IF(VLOOKUP(C1169,' Disaggregation - Section E '!A$316:N906,13,0)=0,"",VLOOKUP(C1169,' Disaggregation - Section E '!A$316:N906,13,0)),"")</f>
        <v/>
      </c>
      <c r="K1169" s="487" t="str">
        <f ca="1">IFERROR(VLOOKUP(C1169,' Disaggregation - Section E '!A$316:N906,3,0),"")</f>
        <v/>
      </c>
      <c r="L1169" s="493" t="str">
        <f ca="1">IFERROR(IF(VLOOKUP(C1169,' Disaggregation - Section E '!A$316:N906,14,0)=0,"",VLOOKUP(C1169,' Disaggregation - Section E '!A$316:N906,14,0)),"")</f>
        <v/>
      </c>
      <c r="M1169" s="487" t="str">
        <f ca="1">IFERROR(IF(VLOOKUP(C1169,' Disaggregation - Section E '!A$316:T906,20,0)=0,"",VLOOKUP(C1169,' Disaggregation - Section E '!A$316:T906,20,0)),"")</f>
        <v/>
      </c>
      <c r="N1169" s="493" t="str">
        <f ca="1">IFERROR(IF(VLOOKUP(C1169,' Disaggregation - Section E '!A$316:N906,9,0)=0,"",VLOOKUP(C1169,' Disaggregation - Section E '!A$316:N906,9,0)),"")</f>
        <v/>
      </c>
      <c r="O1169" s="493" t="str">
        <f ca="1">IFERROR(IF(VLOOKUP(C1169,' Disaggregation - Section E '!A$315:N906,10,0)=0,"",VLOOKUP(C1169,' Disaggregation - Section E '!A$316:N906,10,0)),"")</f>
        <v/>
      </c>
    </row>
    <row r="1170" spans="1:15" x14ac:dyDescent="0.3">
      <c r="A1170" s="487" t="b">
        <f t="shared" ca="1" si="144"/>
        <v>0</v>
      </c>
      <c r="B1170" s="487"/>
      <c r="C1170" s="507" t="str">
        <f ca="1">IF(COUNTA(D$877:D1170)=1,"",OFFSET(C1170,-COUNTA(D$877:D1170)+1,0))</f>
        <v>a1V3p000004fwvnEAA</v>
      </c>
      <c r="D1170" s="502"/>
      <c r="E1170" s="490" t="str">
        <f ca="1">IFERROR(IF(VLOOKUP(C1170,' Disaggregation - Section E '!A$316:N907,7,0)=0,"",VLOOKUP(C1170,' Disaggregation - Section E '!A$316:N907,7,0)*100),"")</f>
        <v/>
      </c>
      <c r="F1170" s="487"/>
      <c r="G1170" s="492" t="str">
        <f ca="1">IFERROR(IF(VLOOKUP(C1170,' Disaggregation - Section E '!A$316:N907,6,0)=0,"",VLOOKUP(C1170,' Disaggregation - Section E '!A$316:N907,6,0)),"")</f>
        <v/>
      </c>
      <c r="H1170" s="502" t="str">
        <f ca="1">IFERROR(IF(INDEX(' Disaggregation - Section E '!F$313:F907,MATCH(C1170,' Disaggregation - Section E '!A$313:A907,0)+1,1)&lt;&gt;0,INDEX(' Disaggregation - Section E '!F$313:F907,MATCH(C1170,' Disaggregation - Section E '!A$313:A907,0)+1,1),""),"")</f>
        <v/>
      </c>
      <c r="I1170" s="493" t="str">
        <f ca="1">IFERROR(IF(VLOOKUP(C1170,' Disaggregation - Section E '!A$316:N907,8,0)=0,"",VLOOKUP(C1170,' Disaggregation - Section E '!A$316:N907,8,0)),"")</f>
        <v/>
      </c>
      <c r="J1170" s="493" t="str">
        <f ca="1">IFERROR(IF(VLOOKUP(C1170,' Disaggregation - Section E '!A$316:N907,13,0)=0,"",VLOOKUP(C1170,' Disaggregation - Section E '!A$316:N907,13,0)),"")</f>
        <v/>
      </c>
      <c r="K1170" s="487" t="str">
        <f ca="1">IFERROR(VLOOKUP(C1170,' Disaggregation - Section E '!A$316:N907,3,0),"")</f>
        <v/>
      </c>
      <c r="L1170" s="493" t="str">
        <f ca="1">IFERROR(IF(VLOOKUP(C1170,' Disaggregation - Section E '!A$316:N907,14,0)=0,"",VLOOKUP(C1170,' Disaggregation - Section E '!A$316:N907,14,0)),"")</f>
        <v/>
      </c>
      <c r="M1170" s="487" t="str">
        <f ca="1">IFERROR(IF(VLOOKUP(C1170,' Disaggregation - Section E '!A$316:T907,20,0)=0,"",VLOOKUP(C1170,' Disaggregation - Section E '!A$316:T907,20,0)),"")</f>
        <v/>
      </c>
      <c r="N1170" s="493" t="str">
        <f ca="1">IFERROR(IF(VLOOKUP(C1170,' Disaggregation - Section E '!A$316:N907,9,0)=0,"",VLOOKUP(C1170,' Disaggregation - Section E '!A$316:N907,9,0)),"")</f>
        <v/>
      </c>
      <c r="O1170" s="493" t="str">
        <f ca="1">IFERROR(IF(VLOOKUP(C1170,' Disaggregation - Section E '!A$315:N907,10,0)=0,"",VLOOKUP(C1170,' Disaggregation - Section E '!A$316:N907,10,0)),"")</f>
        <v/>
      </c>
    </row>
    <row r="1171" spans="1:15" x14ac:dyDescent="0.3">
      <c r="A1171" s="487" t="b">
        <f t="shared" ca="1" si="144"/>
        <v>0</v>
      </c>
      <c r="B1171" s="487"/>
      <c r="C1171" s="507" t="str">
        <f ca="1">IF(COUNTA(D$877:D1171)=1,"",OFFSET(C1171,-COUNTA(D$877:D1171)+1,0))</f>
        <v>a1V3p000004fwvoEAA</v>
      </c>
      <c r="D1171" s="502"/>
      <c r="E1171" s="490" t="str">
        <f ca="1">IFERROR(IF(VLOOKUP(C1171,' Disaggregation - Section E '!A$316:N908,7,0)=0,"",VLOOKUP(C1171,' Disaggregation - Section E '!A$316:N908,7,0)*100),"")</f>
        <v/>
      </c>
      <c r="F1171" s="487"/>
      <c r="G1171" s="492" t="str">
        <f ca="1">IFERROR(IF(VLOOKUP(C1171,' Disaggregation - Section E '!A$316:N908,6,0)=0,"",VLOOKUP(C1171,' Disaggregation - Section E '!A$316:N908,6,0)),"")</f>
        <v/>
      </c>
      <c r="H1171" s="502" t="str">
        <f ca="1">IFERROR(IF(INDEX(' Disaggregation - Section E '!F$313:F908,MATCH(C1171,' Disaggregation - Section E '!A$313:A908,0)+1,1)&lt;&gt;0,INDEX(' Disaggregation - Section E '!F$313:F908,MATCH(C1171,' Disaggregation - Section E '!A$313:A908,0)+1,1),""),"")</f>
        <v/>
      </c>
      <c r="I1171" s="493" t="str">
        <f ca="1">IFERROR(IF(VLOOKUP(C1171,' Disaggregation - Section E '!A$316:N908,8,0)=0,"",VLOOKUP(C1171,' Disaggregation - Section E '!A$316:N908,8,0)),"")</f>
        <v/>
      </c>
      <c r="J1171" s="493" t="str">
        <f ca="1">IFERROR(IF(VLOOKUP(C1171,' Disaggregation - Section E '!A$316:N908,13,0)=0,"",VLOOKUP(C1171,' Disaggregation - Section E '!A$316:N908,13,0)),"")</f>
        <v/>
      </c>
      <c r="K1171" s="487" t="str">
        <f ca="1">IFERROR(VLOOKUP(C1171,' Disaggregation - Section E '!A$316:N908,3,0),"")</f>
        <v/>
      </c>
      <c r="L1171" s="493" t="str">
        <f ca="1">IFERROR(IF(VLOOKUP(C1171,' Disaggregation - Section E '!A$316:N908,14,0)=0,"",VLOOKUP(C1171,' Disaggregation - Section E '!A$316:N908,14,0)),"")</f>
        <v/>
      </c>
      <c r="M1171" s="487" t="str">
        <f ca="1">IFERROR(IF(VLOOKUP(C1171,' Disaggregation - Section E '!A$316:T908,20,0)=0,"",VLOOKUP(C1171,' Disaggregation - Section E '!A$316:T908,20,0)),"")</f>
        <v/>
      </c>
      <c r="N1171" s="493" t="str">
        <f ca="1">IFERROR(IF(VLOOKUP(C1171,' Disaggregation - Section E '!A$316:N908,9,0)=0,"",VLOOKUP(C1171,' Disaggregation - Section E '!A$316:N908,9,0)),"")</f>
        <v/>
      </c>
      <c r="O1171" s="493" t="str">
        <f ca="1">IFERROR(IF(VLOOKUP(C1171,' Disaggregation - Section E '!A$315:N908,10,0)=0,"",VLOOKUP(C1171,' Disaggregation - Section E '!A$316:N908,10,0)),"")</f>
        <v/>
      </c>
    </row>
    <row r="1172" spans="1:15" x14ac:dyDescent="0.3">
      <c r="A1172" s="487" t="b">
        <f t="shared" ca="1" si="144"/>
        <v>0</v>
      </c>
      <c r="B1172" s="487"/>
      <c r="C1172" s="507" t="str">
        <f ca="1">IF(COUNTA(D$877:D1172)=1,"",OFFSET(C1172,-COUNTA(D$877:D1172)+1,0))</f>
        <v>a1V3p000004fwvpEAA</v>
      </c>
      <c r="D1172" s="502"/>
      <c r="E1172" s="490" t="str">
        <f ca="1">IFERROR(IF(VLOOKUP(C1172,' Disaggregation - Section E '!A$316:N909,7,0)=0,"",VLOOKUP(C1172,' Disaggregation - Section E '!A$316:N909,7,0)*100),"")</f>
        <v/>
      </c>
      <c r="F1172" s="487"/>
      <c r="G1172" s="492" t="str">
        <f ca="1">IFERROR(IF(VLOOKUP(C1172,' Disaggregation - Section E '!A$316:N909,6,0)=0,"",VLOOKUP(C1172,' Disaggregation - Section E '!A$316:N909,6,0)),"")</f>
        <v/>
      </c>
      <c r="H1172" s="502" t="str">
        <f ca="1">IFERROR(IF(INDEX(' Disaggregation - Section E '!F$313:F909,MATCH(C1172,' Disaggregation - Section E '!A$313:A909,0)+1,1)&lt;&gt;0,INDEX(' Disaggregation - Section E '!F$313:F909,MATCH(C1172,' Disaggregation - Section E '!A$313:A909,0)+1,1),""),"")</f>
        <v/>
      </c>
      <c r="I1172" s="493" t="str">
        <f ca="1">IFERROR(IF(VLOOKUP(C1172,' Disaggregation - Section E '!A$316:N909,8,0)=0,"",VLOOKUP(C1172,' Disaggregation - Section E '!A$316:N909,8,0)),"")</f>
        <v/>
      </c>
      <c r="J1172" s="493" t="str">
        <f ca="1">IFERROR(IF(VLOOKUP(C1172,' Disaggregation - Section E '!A$316:N909,13,0)=0,"",VLOOKUP(C1172,' Disaggregation - Section E '!A$316:N909,13,0)),"")</f>
        <v/>
      </c>
      <c r="K1172" s="487" t="str">
        <f ca="1">IFERROR(VLOOKUP(C1172,' Disaggregation - Section E '!A$316:N909,3,0),"")</f>
        <v/>
      </c>
      <c r="L1172" s="493" t="str">
        <f ca="1">IFERROR(IF(VLOOKUP(C1172,' Disaggregation - Section E '!A$316:N909,14,0)=0,"",VLOOKUP(C1172,' Disaggregation - Section E '!A$316:N909,14,0)),"")</f>
        <v/>
      </c>
      <c r="M1172" s="487" t="str">
        <f ca="1">IFERROR(IF(VLOOKUP(C1172,' Disaggregation - Section E '!A$316:T909,20,0)=0,"",VLOOKUP(C1172,' Disaggregation - Section E '!A$316:T909,20,0)),"")</f>
        <v/>
      </c>
      <c r="N1172" s="493" t="str">
        <f ca="1">IFERROR(IF(VLOOKUP(C1172,' Disaggregation - Section E '!A$316:N909,9,0)=0,"",VLOOKUP(C1172,' Disaggregation - Section E '!A$316:N909,9,0)),"")</f>
        <v/>
      </c>
      <c r="O1172" s="493" t="str">
        <f ca="1">IFERROR(IF(VLOOKUP(C1172,' Disaggregation - Section E '!A$315:N909,10,0)=0,"",VLOOKUP(C1172,' Disaggregation - Section E '!A$316:N909,10,0)),"")</f>
        <v/>
      </c>
    </row>
    <row r="1173" spans="1:15" x14ac:dyDescent="0.3">
      <c r="A1173" s="487" t="b">
        <f t="shared" ca="1" si="144"/>
        <v>0</v>
      </c>
      <c r="B1173" s="487"/>
      <c r="C1173" s="507" t="str">
        <f ca="1">IF(COUNTA(D$877:D1173)=1,"",OFFSET(C1173,-COUNTA(D$877:D1173)+1,0))</f>
        <v>a1V3p000004fwvqEAA</v>
      </c>
      <c r="D1173" s="502"/>
      <c r="E1173" s="490" t="str">
        <f ca="1">IFERROR(IF(VLOOKUP(C1173,' Disaggregation - Section E '!A$316:N910,7,0)=0,"",VLOOKUP(C1173,' Disaggregation - Section E '!A$316:N910,7,0)*100),"")</f>
        <v/>
      </c>
      <c r="F1173" s="487"/>
      <c r="G1173" s="492" t="str">
        <f ca="1">IFERROR(IF(VLOOKUP(C1173,' Disaggregation - Section E '!A$316:N910,6,0)=0,"",VLOOKUP(C1173,' Disaggregation - Section E '!A$316:N910,6,0)),"")</f>
        <v/>
      </c>
      <c r="H1173" s="502" t="str">
        <f ca="1">IFERROR(IF(INDEX(' Disaggregation - Section E '!F$313:F910,MATCH(C1173,' Disaggregation - Section E '!A$313:A910,0)+1,1)&lt;&gt;0,INDEX(' Disaggregation - Section E '!F$313:F910,MATCH(C1173,' Disaggregation - Section E '!A$313:A910,0)+1,1),""),"")</f>
        <v/>
      </c>
      <c r="I1173" s="493" t="str">
        <f ca="1">IFERROR(IF(VLOOKUP(C1173,' Disaggregation - Section E '!A$316:N910,8,0)=0,"",VLOOKUP(C1173,' Disaggregation - Section E '!A$316:N910,8,0)),"")</f>
        <v/>
      </c>
      <c r="J1173" s="493" t="str">
        <f ca="1">IFERROR(IF(VLOOKUP(C1173,' Disaggregation - Section E '!A$316:N910,13,0)=0,"",VLOOKUP(C1173,' Disaggregation - Section E '!A$316:N910,13,0)),"")</f>
        <v/>
      </c>
      <c r="K1173" s="487" t="str">
        <f ca="1">IFERROR(VLOOKUP(C1173,' Disaggregation - Section E '!A$316:N910,3,0),"")</f>
        <v/>
      </c>
      <c r="L1173" s="493" t="str">
        <f ca="1">IFERROR(IF(VLOOKUP(C1173,' Disaggregation - Section E '!A$316:N910,14,0)=0,"",VLOOKUP(C1173,' Disaggregation - Section E '!A$316:N910,14,0)),"")</f>
        <v/>
      </c>
      <c r="M1173" s="487" t="str">
        <f ca="1">IFERROR(IF(VLOOKUP(C1173,' Disaggregation - Section E '!A$316:T910,20,0)=0,"",VLOOKUP(C1173,' Disaggregation - Section E '!A$316:T910,20,0)),"")</f>
        <v/>
      </c>
      <c r="N1173" s="493" t="str">
        <f ca="1">IFERROR(IF(VLOOKUP(C1173,' Disaggregation - Section E '!A$316:N910,9,0)=0,"",VLOOKUP(C1173,' Disaggregation - Section E '!A$316:N910,9,0)),"")</f>
        <v/>
      </c>
      <c r="O1173" s="493" t="str">
        <f ca="1">IFERROR(IF(VLOOKUP(C1173,' Disaggregation - Section E '!A$315:N910,10,0)=0,"",VLOOKUP(C1173,' Disaggregation - Section E '!A$316:N910,10,0)),"")</f>
        <v/>
      </c>
    </row>
    <row r="1174" spans="1:15" x14ac:dyDescent="0.3">
      <c r="A1174" s="487" t="b">
        <f t="shared" ca="1" si="144"/>
        <v>0</v>
      </c>
      <c r="B1174" s="487"/>
      <c r="C1174" s="507" t="str">
        <f ca="1">IF(COUNTA(D$877:D1174)=1,"",OFFSET(C1174,-COUNTA(D$877:D1174)+1,0))</f>
        <v>a1V3p000004fwvrEAA</v>
      </c>
      <c r="D1174" s="502"/>
      <c r="E1174" s="490" t="str">
        <f ca="1">IFERROR(IF(VLOOKUP(C1174,' Disaggregation - Section E '!A$316:N911,7,0)=0,"",VLOOKUP(C1174,' Disaggregation - Section E '!A$316:N911,7,0)*100),"")</f>
        <v/>
      </c>
      <c r="F1174" s="487"/>
      <c r="G1174" s="492" t="str">
        <f ca="1">IFERROR(IF(VLOOKUP(C1174,' Disaggregation - Section E '!A$316:N911,6,0)=0,"",VLOOKUP(C1174,' Disaggregation - Section E '!A$316:N911,6,0)),"")</f>
        <v/>
      </c>
      <c r="H1174" s="502" t="str">
        <f ca="1">IFERROR(IF(INDEX(' Disaggregation - Section E '!F$313:F911,MATCH(C1174,' Disaggregation - Section E '!A$313:A911,0)+1,1)&lt;&gt;0,INDEX(' Disaggregation - Section E '!F$313:F911,MATCH(C1174,' Disaggregation - Section E '!A$313:A911,0)+1,1),""),"")</f>
        <v/>
      </c>
      <c r="I1174" s="493" t="str">
        <f ca="1">IFERROR(IF(VLOOKUP(C1174,' Disaggregation - Section E '!A$316:N911,8,0)=0,"",VLOOKUP(C1174,' Disaggregation - Section E '!A$316:N911,8,0)),"")</f>
        <v/>
      </c>
      <c r="J1174" s="493" t="str">
        <f ca="1">IFERROR(IF(VLOOKUP(C1174,' Disaggregation - Section E '!A$316:N911,13,0)=0,"",VLOOKUP(C1174,' Disaggregation - Section E '!A$316:N911,13,0)),"")</f>
        <v/>
      </c>
      <c r="K1174" s="487" t="str">
        <f ca="1">IFERROR(VLOOKUP(C1174,' Disaggregation - Section E '!A$316:N911,3,0),"")</f>
        <v/>
      </c>
      <c r="L1174" s="493" t="str">
        <f ca="1">IFERROR(IF(VLOOKUP(C1174,' Disaggregation - Section E '!A$316:N911,14,0)=0,"",VLOOKUP(C1174,' Disaggregation - Section E '!A$316:N911,14,0)),"")</f>
        <v/>
      </c>
      <c r="M1174" s="487" t="str">
        <f ca="1">IFERROR(IF(VLOOKUP(C1174,' Disaggregation - Section E '!A$316:T911,20,0)=0,"",VLOOKUP(C1174,' Disaggregation - Section E '!A$316:T911,20,0)),"")</f>
        <v/>
      </c>
      <c r="N1174" s="493" t="str">
        <f ca="1">IFERROR(IF(VLOOKUP(C1174,' Disaggregation - Section E '!A$316:N911,9,0)=0,"",VLOOKUP(C1174,' Disaggregation - Section E '!A$316:N911,9,0)),"")</f>
        <v/>
      </c>
      <c r="O1174" s="493" t="str">
        <f ca="1">IFERROR(IF(VLOOKUP(C1174,' Disaggregation - Section E '!A$315:N911,10,0)=0,"",VLOOKUP(C1174,' Disaggregation - Section E '!A$316:N911,10,0)),"")</f>
        <v/>
      </c>
    </row>
    <row r="1175" spans="1:15" x14ac:dyDescent="0.3">
      <c r="A1175" s="487" t="b">
        <f t="shared" ca="1" si="144"/>
        <v>0</v>
      </c>
      <c r="B1175" s="487"/>
      <c r="C1175" s="507" t="str">
        <f ca="1">IF(COUNTA(D$877:D1175)=1,"",OFFSET(C1175,-COUNTA(D$877:D1175)+1,0))</f>
        <v>a1V3p000004fwvsEAA</v>
      </c>
      <c r="D1175" s="502"/>
      <c r="E1175" s="490" t="str">
        <f ca="1">IFERROR(IF(VLOOKUP(C1175,' Disaggregation - Section E '!A$316:N912,7,0)=0,"",VLOOKUP(C1175,' Disaggregation - Section E '!A$316:N912,7,0)*100),"")</f>
        <v/>
      </c>
      <c r="F1175" s="487"/>
      <c r="G1175" s="492" t="str">
        <f ca="1">IFERROR(IF(VLOOKUP(C1175,' Disaggregation - Section E '!A$316:N912,6,0)=0,"",VLOOKUP(C1175,' Disaggregation - Section E '!A$316:N912,6,0)),"")</f>
        <v/>
      </c>
      <c r="H1175" s="502" t="str">
        <f ca="1">IFERROR(IF(INDEX(' Disaggregation - Section E '!F$313:F912,MATCH(C1175,' Disaggregation - Section E '!A$313:A912,0)+1,1)&lt;&gt;0,INDEX(' Disaggregation - Section E '!F$313:F912,MATCH(C1175,' Disaggregation - Section E '!A$313:A912,0)+1,1),""),"")</f>
        <v/>
      </c>
      <c r="I1175" s="493" t="str">
        <f ca="1">IFERROR(IF(VLOOKUP(C1175,' Disaggregation - Section E '!A$316:N912,8,0)=0,"",VLOOKUP(C1175,' Disaggregation - Section E '!A$316:N912,8,0)),"")</f>
        <v/>
      </c>
      <c r="J1175" s="493" t="str">
        <f ca="1">IFERROR(IF(VLOOKUP(C1175,' Disaggregation - Section E '!A$316:N912,13,0)=0,"",VLOOKUP(C1175,' Disaggregation - Section E '!A$316:N912,13,0)),"")</f>
        <v/>
      </c>
      <c r="K1175" s="487" t="str">
        <f ca="1">IFERROR(VLOOKUP(C1175,' Disaggregation - Section E '!A$316:N912,3,0),"")</f>
        <v/>
      </c>
      <c r="L1175" s="493" t="str">
        <f ca="1">IFERROR(IF(VLOOKUP(C1175,' Disaggregation - Section E '!A$316:N912,14,0)=0,"",VLOOKUP(C1175,' Disaggregation - Section E '!A$316:N912,14,0)),"")</f>
        <v/>
      </c>
      <c r="M1175" s="487" t="str">
        <f ca="1">IFERROR(IF(VLOOKUP(C1175,' Disaggregation - Section E '!A$316:T912,20,0)=0,"",VLOOKUP(C1175,' Disaggregation - Section E '!A$316:T912,20,0)),"")</f>
        <v/>
      </c>
      <c r="N1175" s="493" t="str">
        <f ca="1">IFERROR(IF(VLOOKUP(C1175,' Disaggregation - Section E '!A$316:N912,9,0)=0,"",VLOOKUP(C1175,' Disaggregation - Section E '!A$316:N912,9,0)),"")</f>
        <v/>
      </c>
      <c r="O1175" s="493" t="str">
        <f ca="1">IFERROR(IF(VLOOKUP(C1175,' Disaggregation - Section E '!A$315:N912,10,0)=0,"",VLOOKUP(C1175,' Disaggregation - Section E '!A$316:N912,10,0)),"")</f>
        <v/>
      </c>
    </row>
    <row r="1176" spans="1:15" x14ac:dyDescent="0.3">
      <c r="A1176" s="487" t="b">
        <f t="shared" ca="1" si="144"/>
        <v>0</v>
      </c>
      <c r="B1176" s="487"/>
      <c r="C1176" s="507" t="str">
        <f ca="1">IF(COUNTA(D$877:D1176)=1,"",OFFSET(C1176,-COUNTA(D$877:D1176)+1,0))</f>
        <v>a1V3p000004fwvtEAA</v>
      </c>
      <c r="D1176" s="502"/>
      <c r="E1176" s="490" t="str">
        <f ca="1">IFERROR(IF(VLOOKUP(C1176,' Disaggregation - Section E '!A$316:N913,7,0)=0,"",VLOOKUP(C1176,' Disaggregation - Section E '!A$316:N913,7,0)*100),"")</f>
        <v/>
      </c>
      <c r="F1176" s="487"/>
      <c r="G1176" s="492" t="str">
        <f ca="1">IFERROR(IF(VLOOKUP(C1176,' Disaggregation - Section E '!A$316:N913,6,0)=0,"",VLOOKUP(C1176,' Disaggregation - Section E '!A$316:N913,6,0)),"")</f>
        <v/>
      </c>
      <c r="H1176" s="502" t="str">
        <f ca="1">IFERROR(IF(INDEX(' Disaggregation - Section E '!F$313:F913,MATCH(C1176,' Disaggregation - Section E '!A$313:A913,0)+1,1)&lt;&gt;0,INDEX(' Disaggregation - Section E '!F$313:F913,MATCH(C1176,' Disaggregation - Section E '!A$313:A913,0)+1,1),""),"")</f>
        <v/>
      </c>
      <c r="I1176" s="493" t="str">
        <f ca="1">IFERROR(IF(VLOOKUP(C1176,' Disaggregation - Section E '!A$316:N913,8,0)=0,"",VLOOKUP(C1176,' Disaggregation - Section E '!A$316:N913,8,0)),"")</f>
        <v/>
      </c>
      <c r="J1176" s="493" t="str">
        <f ca="1">IFERROR(IF(VLOOKUP(C1176,' Disaggregation - Section E '!A$316:N913,13,0)=0,"",VLOOKUP(C1176,' Disaggregation - Section E '!A$316:N913,13,0)),"")</f>
        <v/>
      </c>
      <c r="K1176" s="487" t="str">
        <f ca="1">IFERROR(VLOOKUP(C1176,' Disaggregation - Section E '!A$316:N913,3,0),"")</f>
        <v/>
      </c>
      <c r="L1176" s="493" t="str">
        <f ca="1">IFERROR(IF(VLOOKUP(C1176,' Disaggregation - Section E '!A$316:N913,14,0)=0,"",VLOOKUP(C1176,' Disaggregation - Section E '!A$316:N913,14,0)),"")</f>
        <v/>
      </c>
      <c r="M1176" s="487" t="str">
        <f ca="1">IFERROR(IF(VLOOKUP(C1176,' Disaggregation - Section E '!A$316:T913,20,0)=0,"",VLOOKUP(C1176,' Disaggregation - Section E '!A$316:T913,20,0)),"")</f>
        <v/>
      </c>
      <c r="N1176" s="493" t="str">
        <f ca="1">IFERROR(IF(VLOOKUP(C1176,' Disaggregation - Section E '!A$316:N913,9,0)=0,"",VLOOKUP(C1176,' Disaggregation - Section E '!A$316:N913,9,0)),"")</f>
        <v/>
      </c>
      <c r="O1176" s="493" t="str">
        <f ca="1">IFERROR(IF(VLOOKUP(C1176,' Disaggregation - Section E '!A$315:N913,10,0)=0,"",VLOOKUP(C1176,' Disaggregation - Section E '!A$316:N913,10,0)),"")</f>
        <v/>
      </c>
    </row>
    <row r="1177" spans="1:15" x14ac:dyDescent="0.3">
      <c r="A1177" s="487" t="b">
        <f t="shared" ca="1" si="144"/>
        <v>0</v>
      </c>
      <c r="B1177" s="487"/>
      <c r="C1177" s="507" t="str">
        <f ca="1">IF(COUNTA(D$877:D1177)=1,"",OFFSET(C1177,-COUNTA(D$877:D1177)+1,0))</f>
        <v>a1V3p000004fwvuEAA</v>
      </c>
      <c r="D1177" s="502"/>
      <c r="E1177" s="490" t="str">
        <f ca="1">IFERROR(IF(VLOOKUP(C1177,' Disaggregation - Section E '!A$316:N914,7,0)=0,"",VLOOKUP(C1177,' Disaggregation - Section E '!A$316:N914,7,0)*100),"")</f>
        <v/>
      </c>
      <c r="F1177" s="487"/>
      <c r="G1177" s="492" t="str">
        <f ca="1">IFERROR(IF(VLOOKUP(C1177,' Disaggregation - Section E '!A$316:N914,6,0)=0,"",VLOOKUP(C1177,' Disaggregation - Section E '!A$316:N914,6,0)),"")</f>
        <v/>
      </c>
      <c r="H1177" s="502" t="str">
        <f ca="1">IFERROR(IF(INDEX(' Disaggregation - Section E '!F$313:F914,MATCH(C1177,' Disaggregation - Section E '!A$313:A914,0)+1,1)&lt;&gt;0,INDEX(' Disaggregation - Section E '!F$313:F914,MATCH(C1177,' Disaggregation - Section E '!A$313:A914,0)+1,1),""),"")</f>
        <v/>
      </c>
      <c r="I1177" s="493" t="str">
        <f ca="1">IFERROR(IF(VLOOKUP(C1177,' Disaggregation - Section E '!A$316:N914,8,0)=0,"",VLOOKUP(C1177,' Disaggregation - Section E '!A$316:N914,8,0)),"")</f>
        <v/>
      </c>
      <c r="J1177" s="493" t="str">
        <f ca="1">IFERROR(IF(VLOOKUP(C1177,' Disaggregation - Section E '!A$316:N914,13,0)=0,"",VLOOKUP(C1177,' Disaggregation - Section E '!A$316:N914,13,0)),"")</f>
        <v/>
      </c>
      <c r="K1177" s="487" t="str">
        <f ca="1">IFERROR(VLOOKUP(C1177,' Disaggregation - Section E '!A$316:N914,3,0),"")</f>
        <v/>
      </c>
      <c r="L1177" s="493" t="str">
        <f ca="1">IFERROR(IF(VLOOKUP(C1177,' Disaggregation - Section E '!A$316:N914,14,0)=0,"",VLOOKUP(C1177,' Disaggregation - Section E '!A$316:N914,14,0)),"")</f>
        <v/>
      </c>
      <c r="M1177" s="487" t="str">
        <f ca="1">IFERROR(IF(VLOOKUP(C1177,' Disaggregation - Section E '!A$316:T914,20,0)=0,"",VLOOKUP(C1177,' Disaggregation - Section E '!A$316:T914,20,0)),"")</f>
        <v/>
      </c>
      <c r="N1177" s="493" t="str">
        <f ca="1">IFERROR(IF(VLOOKUP(C1177,' Disaggregation - Section E '!A$316:N914,9,0)=0,"",VLOOKUP(C1177,' Disaggregation - Section E '!A$316:N914,9,0)),"")</f>
        <v/>
      </c>
      <c r="O1177" s="493" t="str">
        <f ca="1">IFERROR(IF(VLOOKUP(C1177,' Disaggregation - Section E '!A$315:N914,10,0)=0,"",VLOOKUP(C1177,' Disaggregation - Section E '!A$316:N914,10,0)),"")</f>
        <v/>
      </c>
    </row>
    <row r="1178" spans="1:15" x14ac:dyDescent="0.3">
      <c r="A1178" s="487" t="b">
        <f t="shared" ca="1" si="144"/>
        <v>0</v>
      </c>
      <c r="B1178" s="487"/>
      <c r="C1178" s="507" t="str">
        <f ca="1">IF(COUNTA(D$877:D1178)=1,"",OFFSET(C1178,-COUNTA(D$877:D1178)+1,0))</f>
        <v>a1V3p000004fwvvEAA</v>
      </c>
      <c r="D1178" s="502"/>
      <c r="E1178" s="490" t="str">
        <f ca="1">IFERROR(IF(VLOOKUP(C1178,' Disaggregation - Section E '!A$316:N915,7,0)=0,"",VLOOKUP(C1178,' Disaggregation - Section E '!A$316:N915,7,0)*100),"")</f>
        <v/>
      </c>
      <c r="F1178" s="487"/>
      <c r="G1178" s="492" t="str">
        <f ca="1">IFERROR(IF(VLOOKUP(C1178,' Disaggregation - Section E '!A$316:N915,6,0)=0,"",VLOOKUP(C1178,' Disaggregation - Section E '!A$316:N915,6,0)),"")</f>
        <v/>
      </c>
      <c r="H1178" s="502" t="str">
        <f ca="1">IFERROR(IF(INDEX(' Disaggregation - Section E '!F$313:F915,MATCH(C1178,' Disaggregation - Section E '!A$313:A915,0)+1,1)&lt;&gt;0,INDEX(' Disaggregation - Section E '!F$313:F915,MATCH(C1178,' Disaggregation - Section E '!A$313:A915,0)+1,1),""),"")</f>
        <v/>
      </c>
      <c r="I1178" s="493" t="str">
        <f ca="1">IFERROR(IF(VLOOKUP(C1178,' Disaggregation - Section E '!A$316:N915,8,0)=0,"",VLOOKUP(C1178,' Disaggregation - Section E '!A$316:N915,8,0)),"")</f>
        <v/>
      </c>
      <c r="J1178" s="493" t="str">
        <f ca="1">IFERROR(IF(VLOOKUP(C1178,' Disaggregation - Section E '!A$316:N915,13,0)=0,"",VLOOKUP(C1178,' Disaggregation - Section E '!A$316:N915,13,0)),"")</f>
        <v/>
      </c>
      <c r="K1178" s="487" t="str">
        <f ca="1">IFERROR(VLOOKUP(C1178,' Disaggregation - Section E '!A$316:N915,3,0),"")</f>
        <v/>
      </c>
      <c r="L1178" s="493" t="str">
        <f ca="1">IFERROR(IF(VLOOKUP(C1178,' Disaggregation - Section E '!A$316:N915,14,0)=0,"",VLOOKUP(C1178,' Disaggregation - Section E '!A$316:N915,14,0)),"")</f>
        <v/>
      </c>
      <c r="M1178" s="487" t="str">
        <f ca="1">IFERROR(IF(VLOOKUP(C1178,' Disaggregation - Section E '!A$316:T915,20,0)=0,"",VLOOKUP(C1178,' Disaggregation - Section E '!A$316:T915,20,0)),"")</f>
        <v/>
      </c>
      <c r="N1178" s="493" t="str">
        <f ca="1">IFERROR(IF(VLOOKUP(C1178,' Disaggregation - Section E '!A$316:N915,9,0)=0,"",VLOOKUP(C1178,' Disaggregation - Section E '!A$316:N915,9,0)),"")</f>
        <v/>
      </c>
      <c r="O1178" s="493" t="str">
        <f ca="1">IFERROR(IF(VLOOKUP(C1178,' Disaggregation - Section E '!A$315:N915,10,0)=0,"",VLOOKUP(C1178,' Disaggregation - Section E '!A$316:N915,10,0)),"")</f>
        <v/>
      </c>
    </row>
    <row r="1180" spans="1:15" x14ac:dyDescent="0.3">
      <c r="A1180" s="497" t="s">
        <v>276</v>
      </c>
    </row>
    <row r="1181" spans="1:15" x14ac:dyDescent="0.3">
      <c r="A1181" s="487" t="s">
        <v>46</v>
      </c>
      <c r="B1181" s="487"/>
      <c r="C1181" s="487" t="s">
        <v>48</v>
      </c>
      <c r="D1181" s="487" t="s">
        <v>20</v>
      </c>
      <c r="E1181" s="487" t="s">
        <v>4</v>
      </c>
      <c r="F1181" s="487" t="s">
        <v>27</v>
      </c>
      <c r="G1181" s="487" t="s">
        <v>2</v>
      </c>
      <c r="H1181" s="487" t="s">
        <v>3</v>
      </c>
      <c r="I1181" s="487" t="s">
        <v>29</v>
      </c>
      <c r="J1181" s="487" t="s">
        <v>18</v>
      </c>
      <c r="K1181" s="487" t="s">
        <v>362</v>
      </c>
      <c r="L1181" s="487" t="s">
        <v>9</v>
      </c>
      <c r="M1181" s="487" t="s">
        <v>369</v>
      </c>
      <c r="N1181" s="487" t="s">
        <v>477</v>
      </c>
      <c r="O1181" s="487" t="s">
        <v>478</v>
      </c>
    </row>
    <row r="1182" spans="1:15" hidden="1" x14ac:dyDescent="0.3">
      <c r="A1182" s="487" t="b">
        <f ca="1">IF(AND(OR(E1182&lt;&gt;"",G1182&lt;&gt;"",H1182&lt;&gt;""),M1182&lt;&gt;""),TRUE,FALSE)</f>
        <v>0</v>
      </c>
      <c r="B1182" s="487"/>
      <c r="C1182" s="505" t="str">
        <f ca="1">IF(COUNTA(D$1181:D1182)=1,"",OFFSET(B1182,-COUNTA(D$1181:D1182)+1,1))</f>
        <v/>
      </c>
      <c r="D1182" s="502"/>
      <c r="E1182" s="490" t="str">
        <f ca="1">IFERROR(IF(VLOOKUP(C1182,' Disaggregation - Section E '!A$10:J309,7,0)=0,"",VLOOKUP(C1182,' Disaggregation - Section E '!A$10:J309,7,0)*100),"")</f>
        <v/>
      </c>
      <c r="F1182" s="493" t="str">
        <f ca="1">IFERROR(IF(VLOOKUP(C1182,' Disaggregation - Section E '!A$10:N309,5,0)=0,"",VLOOKUP(C1182,' Disaggregation - Section E '!A$10:N309,5,0)),"")</f>
        <v/>
      </c>
      <c r="G1182" s="492" t="str">
        <f ca="1">IFERROR(IF(VLOOKUP(C1182,' Disaggregation - Section E '!A$10:N309,6,0)=0,"",VLOOKUP(C1182,' Disaggregation - Section E '!A$10:N309,6,0)),"")</f>
        <v/>
      </c>
      <c r="H1182" s="502" t="str">
        <f ca="1">IFERROR(IF(INDEX(' Disaggregation - Section E '!F$10:F309,MATCH(C1182,' Disaggregation - Section E '!A$10:A309,0)+1,1)&lt;&gt;0,INDEX(' Disaggregation - Section E '!F$10:F309,MATCH(C1182,' Disaggregation - Section E '!A$10:A309,0)+1,1),""),"")</f>
        <v/>
      </c>
      <c r="I1182" s="493" t="str">
        <f ca="1">IFERROR(IF(VLOOKUP(C1182,' Disaggregation - Section E '!A$10:N309,8,0)=0,"",VLOOKUP(C1182,' Disaggregation - Section E '!A$10:N309,8,0)),"")</f>
        <v/>
      </c>
      <c r="J1182" s="493" t="str">
        <f ca="1">IFERROR(IF(VLOOKUP(C1182,' Disaggregation - Section E '!A$10:N309,13,0)=0,"",VLOOKUP(C1182,' Disaggregation - Section E '!A$10:N309,13,0)),"")</f>
        <v/>
      </c>
      <c r="K1182" s="487" t="str">
        <f ca="1">IFERROR(VLOOKUP(C1182,' Disaggregation - Section E '!A$10:N309,3,0),"")</f>
        <v/>
      </c>
      <c r="L1182" s="493" t="str">
        <f ca="1">IFERROR(IF(VLOOKUP(C1182,' Disaggregation - Section E '!A$10:N309,14,0)=0,"",VLOOKUP(C1182,' Disaggregation - Section E '!A$10:N309,14,0)),"")</f>
        <v/>
      </c>
      <c r="M1182" s="487" t="str">
        <f ca="1">IFERROR(IF(VLOOKUP(C1182,' Disaggregation - Section E '!A$10:T309,20,0)=0,"",VLOOKUP(C1182,' Disaggregation - Section E '!A$10:T309,20,0)),"")</f>
        <v/>
      </c>
      <c r="N1182" s="493" t="str">
        <f ca="1">IFERROR(IF(VLOOKUP(C1182,' Disaggregation - Section E '!A$10:N309,9,0)=0,"",VLOOKUP(C1182,' Disaggregation - Section E '!A$10:N309,9,0)),"")</f>
        <v/>
      </c>
      <c r="O1182" s="493" t="str">
        <f ca="1">IFERROR(IF(VLOOKUP(C1182,' Disaggregation - Section E '!A$10:N309,10,0)=0,"",VLOOKUP(C1182,' Disaggregation - Section E '!A$10:N309,10,0)),"")</f>
        <v/>
      </c>
    </row>
    <row r="1183" spans="1:15" x14ac:dyDescent="0.3">
      <c r="A1183" s="487" t="b">
        <v>0</v>
      </c>
      <c r="B1183" s="487"/>
      <c r="C1183" s="505" t="s">
        <v>3867</v>
      </c>
      <c r="D1183" s="502">
        <v>1</v>
      </c>
      <c r="E1183" s="490"/>
      <c r="F1183" s="493"/>
      <c r="G1183" s="492"/>
      <c r="H1183" s="502"/>
      <c r="I1183" s="493"/>
      <c r="J1183" s="493"/>
      <c r="K1183" s="487" t="str">
        <f ca="1">IFERROR(VLOOKUP(C1183,' Disaggregation - Section E '!A$10:N310,3,0),"")</f>
        <v>HIV I-14 Nombre de nouvelles infections par le VIH pour 1000 habitants non infectés</v>
      </c>
      <c r="L1183" s="493"/>
      <c r="M1183" s="487"/>
      <c r="N1183" s="493"/>
      <c r="O1183" s="493"/>
    </row>
    <row r="1184" spans="1:15" x14ac:dyDescent="0.3">
      <c r="A1184" s="487" t="b">
        <v>0</v>
      </c>
      <c r="B1184" s="487"/>
      <c r="C1184" s="505" t="s">
        <v>3869</v>
      </c>
      <c r="D1184" s="502">
        <v>1</v>
      </c>
      <c r="E1184" s="490"/>
      <c r="F1184" s="493"/>
      <c r="G1184" s="492"/>
      <c r="H1184" s="502"/>
      <c r="I1184" s="493"/>
      <c r="J1184" s="493"/>
      <c r="K1184" s="487" t="str">
        <f ca="1">IFERROR(VLOOKUP(C1184,' Disaggregation - Section E '!A$10:N311,3,0),"")</f>
        <v>HIV I-14 Nombre de nouvelles infections par le VIH pour 1000 habitants non infectés</v>
      </c>
      <c r="L1184" s="493"/>
      <c r="M1184" s="487"/>
      <c r="N1184" s="493"/>
      <c r="O1184" s="493"/>
    </row>
    <row r="1185" spans="1:15" x14ac:dyDescent="0.3">
      <c r="A1185" s="487" t="b">
        <v>0</v>
      </c>
      <c r="B1185" s="487"/>
      <c r="C1185" s="505" t="s">
        <v>3871</v>
      </c>
      <c r="D1185" s="502">
        <v>1</v>
      </c>
      <c r="E1185" s="490"/>
      <c r="F1185" s="493"/>
      <c r="G1185" s="492"/>
      <c r="H1185" s="502"/>
      <c r="I1185" s="493"/>
      <c r="J1185" s="493"/>
      <c r="K1185" s="487" t="str">
        <f ca="1">IFERROR(VLOOKUP(C1185,' Disaggregation - Section E '!A$10:N312,3,0),"")</f>
        <v>HIV I-14 Nombre de nouvelles infections par le VIH pour 1000 habitants non infectés</v>
      </c>
      <c r="L1185" s="493"/>
      <c r="M1185" s="487"/>
      <c r="N1185" s="493"/>
      <c r="O1185" s="493"/>
    </row>
    <row r="1186" spans="1:15" x14ac:dyDescent="0.3">
      <c r="A1186" s="487" t="b">
        <v>0</v>
      </c>
      <c r="B1186" s="487"/>
      <c r="C1186" s="505" t="s">
        <v>3873</v>
      </c>
      <c r="D1186" s="502">
        <v>1</v>
      </c>
      <c r="E1186" s="490"/>
      <c r="F1186" s="493"/>
      <c r="G1186" s="492"/>
      <c r="H1186" s="502"/>
      <c r="I1186" s="493"/>
      <c r="J1186" s="493"/>
      <c r="K1186" s="487" t="str">
        <f ca="1">IFERROR(VLOOKUP(C1186,' Disaggregation - Section E '!A$10:N313,3,0),"")</f>
        <v>HIV I-14 Nombre de nouvelles infections par le VIH pour 1000 habitants non infectés</v>
      </c>
      <c r="L1186" s="493"/>
      <c r="M1186" s="487"/>
      <c r="N1186" s="493"/>
      <c r="O1186" s="493"/>
    </row>
    <row r="1187" spans="1:15" x14ac:dyDescent="0.3">
      <c r="A1187" s="487" t="b">
        <v>0</v>
      </c>
      <c r="B1187" s="487"/>
      <c r="C1187" s="505" t="s">
        <v>3875</v>
      </c>
      <c r="D1187" s="502">
        <v>1</v>
      </c>
      <c r="E1187" s="490"/>
      <c r="F1187" s="493"/>
      <c r="G1187" s="492"/>
      <c r="H1187" s="502"/>
      <c r="I1187" s="493"/>
      <c r="J1187" s="493"/>
      <c r="K1187" s="487" t="str">
        <f ca="1">IFERROR(VLOOKUP(C1187,' Disaggregation - Section E '!A$10:N314,3,0),"")</f>
        <v>HIV I-14 Nombre de nouvelles infections par le VIH pour 1000 habitants non infectés</v>
      </c>
      <c r="L1187" s="493"/>
      <c r="M1187" s="487"/>
      <c r="N1187" s="493"/>
      <c r="O1187" s="493"/>
    </row>
    <row r="1188" spans="1:15" x14ac:dyDescent="0.3">
      <c r="A1188" s="487" t="b">
        <v>0</v>
      </c>
      <c r="B1188" s="487"/>
      <c r="C1188" s="505" t="s">
        <v>3877</v>
      </c>
      <c r="D1188" s="502">
        <v>1</v>
      </c>
      <c r="E1188" s="490"/>
      <c r="F1188" s="493"/>
      <c r="G1188" s="492"/>
      <c r="H1188" s="502"/>
      <c r="I1188" s="493"/>
      <c r="J1188" s="493"/>
      <c r="K1188" s="487" t="str">
        <f ca="1">IFERROR(VLOOKUP(C1188,' Disaggregation - Section E '!A$10:N315,3,0),"")</f>
        <v>HIV I-14 Nombre de nouvelles infections par le VIH pour 1000 habitants non infectés</v>
      </c>
      <c r="L1188" s="493"/>
      <c r="M1188" s="487"/>
      <c r="N1188" s="493"/>
      <c r="O1188" s="493"/>
    </row>
    <row r="1189" spans="1:15" x14ac:dyDescent="0.3">
      <c r="A1189" s="487" t="b">
        <v>0</v>
      </c>
      <c r="B1189" s="487"/>
      <c r="C1189" s="505" t="s">
        <v>3879</v>
      </c>
      <c r="D1189" s="502">
        <v>1</v>
      </c>
      <c r="E1189" s="490"/>
      <c r="F1189" s="493"/>
      <c r="G1189" s="492"/>
      <c r="H1189" s="502"/>
      <c r="I1189" s="493"/>
      <c r="J1189" s="493"/>
      <c r="K1189" s="487" t="str">
        <f ca="1">IFERROR(VLOOKUP(C1189,' Disaggregation - Section E '!A$10:N316,3,0),"")</f>
        <v>HIV I-14 Nombre de nouvelles infections par le VIH pour 1000 habitants non infectés</v>
      </c>
      <c r="L1189" s="493"/>
      <c r="M1189" s="487"/>
      <c r="N1189" s="493"/>
      <c r="O1189" s="493"/>
    </row>
    <row r="1190" spans="1:15" x14ac:dyDescent="0.3">
      <c r="A1190" s="487" t="b">
        <v>0</v>
      </c>
      <c r="B1190" s="487"/>
      <c r="C1190" s="505" t="s">
        <v>3881</v>
      </c>
      <c r="D1190" s="502">
        <v>1</v>
      </c>
      <c r="E1190" s="490"/>
      <c r="F1190" s="493"/>
      <c r="G1190" s="492"/>
      <c r="H1190" s="502"/>
      <c r="I1190" s="493"/>
      <c r="J1190" s="493"/>
      <c r="K1190" s="487" t="str">
        <f ca="1">IFERROR(VLOOKUP(C1190,' Disaggregation - Section E '!A$10:N317,3,0),"")</f>
        <v>HIV I-14 Nombre de nouvelles infections par le VIH pour 1000 habitants non infectés</v>
      </c>
      <c r="L1190" s="493"/>
      <c r="M1190" s="487"/>
      <c r="N1190" s="493"/>
      <c r="O1190" s="493"/>
    </row>
    <row r="1191" spans="1:15" x14ac:dyDescent="0.3">
      <c r="A1191" s="487" t="b">
        <v>0</v>
      </c>
      <c r="B1191" s="487"/>
      <c r="C1191" s="505" t="s">
        <v>3883</v>
      </c>
      <c r="D1191" s="502">
        <v>1</v>
      </c>
      <c r="E1191" s="490"/>
      <c r="F1191" s="493"/>
      <c r="G1191" s="492"/>
      <c r="H1191" s="502"/>
      <c r="I1191" s="493"/>
      <c r="J1191" s="493"/>
      <c r="K1191" s="487" t="str">
        <f ca="1">IFERROR(VLOOKUP(C1191,' Disaggregation - Section E '!A$10:N318,3,0),"")</f>
        <v>HIV I-14 Nombre de nouvelles infections par le VIH pour 1000 habitants non infectés</v>
      </c>
      <c r="L1191" s="493"/>
      <c r="M1191" s="487"/>
      <c r="N1191" s="493"/>
      <c r="O1191" s="493"/>
    </row>
    <row r="1192" spans="1:15" x14ac:dyDescent="0.3">
      <c r="A1192" s="487" t="b">
        <v>0</v>
      </c>
      <c r="B1192" s="487"/>
      <c r="C1192" s="505" t="s">
        <v>3885</v>
      </c>
      <c r="D1192" s="502">
        <v>1</v>
      </c>
      <c r="E1192" s="490"/>
      <c r="F1192" s="493"/>
      <c r="G1192" s="492"/>
      <c r="H1192" s="502"/>
      <c r="I1192" s="493"/>
      <c r="J1192" s="493"/>
      <c r="K1192" s="487" t="str">
        <f ca="1">IFERROR(VLOOKUP(C1192,' Disaggregation - Section E '!A$10:N319,3,0),"")</f>
        <v>HIV I-14 Nombre de nouvelles infections par le VIH pour 1000 habitants non infectés</v>
      </c>
      <c r="L1192" s="493"/>
      <c r="M1192" s="487"/>
      <c r="N1192" s="493"/>
      <c r="O1192" s="493"/>
    </row>
    <row r="1193" spans="1:15" x14ac:dyDescent="0.3">
      <c r="A1193" s="487" t="b">
        <v>0</v>
      </c>
      <c r="B1193" s="487"/>
      <c r="C1193" s="505" t="s">
        <v>3888</v>
      </c>
      <c r="D1193" s="502">
        <v>2</v>
      </c>
      <c r="E1193" s="490"/>
      <c r="F1193" s="493"/>
      <c r="G1193" s="492"/>
      <c r="H1193" s="502"/>
      <c r="I1193" s="493"/>
      <c r="J1193" s="493"/>
      <c r="K1193" s="487" t="str">
        <f ca="1">IFERROR(VLOOKUP(C1193,' Disaggregation - Section E '!A$10:N320,3,0),"")</f>
        <v>HIV I-4 Nombre de décès liés au sida pour 100,000 habitants</v>
      </c>
      <c r="L1193" s="493"/>
      <c r="M1193" s="487"/>
      <c r="N1193" s="493"/>
      <c r="O1193" s="493"/>
    </row>
    <row r="1194" spans="1:15" x14ac:dyDescent="0.3">
      <c r="A1194" s="487" t="b">
        <v>0</v>
      </c>
      <c r="B1194" s="487"/>
      <c r="C1194" s="505" t="s">
        <v>3890</v>
      </c>
      <c r="D1194" s="502">
        <v>2</v>
      </c>
      <c r="E1194" s="490"/>
      <c r="F1194" s="493"/>
      <c r="G1194" s="492"/>
      <c r="H1194" s="502"/>
      <c r="I1194" s="493"/>
      <c r="J1194" s="493"/>
      <c r="K1194" s="487" t="str">
        <f ca="1">IFERROR(VLOOKUP(C1194,' Disaggregation - Section E '!A$10:N321,3,0),"")</f>
        <v>HIV I-4 Nombre de décès liés au sida pour 100,000 habitants</v>
      </c>
      <c r="L1194" s="493"/>
      <c r="M1194" s="487"/>
      <c r="N1194" s="493"/>
      <c r="O1194" s="493"/>
    </row>
    <row r="1195" spans="1:15" x14ac:dyDescent="0.3">
      <c r="A1195" s="487" t="b">
        <v>0</v>
      </c>
      <c r="B1195" s="487"/>
      <c r="C1195" s="505" t="s">
        <v>3892</v>
      </c>
      <c r="D1195" s="502">
        <v>2</v>
      </c>
      <c r="E1195" s="490"/>
      <c r="F1195" s="493"/>
      <c r="G1195" s="492"/>
      <c r="H1195" s="502"/>
      <c r="I1195" s="493"/>
      <c r="J1195" s="493"/>
      <c r="K1195" s="487" t="str">
        <f ca="1">IFERROR(VLOOKUP(C1195,' Disaggregation - Section E '!A$10:N322,3,0),"")</f>
        <v>HIV I-4 Nombre de décès liés au sida pour 100,000 habitants</v>
      </c>
      <c r="L1195" s="493"/>
      <c r="M1195" s="487"/>
      <c r="N1195" s="493"/>
      <c r="O1195" s="493"/>
    </row>
    <row r="1196" spans="1:15" x14ac:dyDescent="0.3">
      <c r="A1196" s="487" t="b">
        <v>0</v>
      </c>
      <c r="B1196" s="487"/>
      <c r="C1196" s="505" t="s">
        <v>3894</v>
      </c>
      <c r="D1196" s="502">
        <v>2</v>
      </c>
      <c r="E1196" s="490"/>
      <c r="F1196" s="493"/>
      <c r="G1196" s="492"/>
      <c r="H1196" s="502"/>
      <c r="I1196" s="493"/>
      <c r="J1196" s="493"/>
      <c r="K1196" s="487" t="str">
        <f ca="1">IFERROR(VLOOKUP(C1196,' Disaggregation - Section E '!A$10:N323,3,0),"")</f>
        <v>HIV I-4 Nombre de décès liés au sida pour 100,000 habitants</v>
      </c>
      <c r="L1196" s="493"/>
      <c r="M1196" s="487"/>
      <c r="N1196" s="493"/>
      <c r="O1196" s="493"/>
    </row>
    <row r="1197" spans="1:15" x14ac:dyDescent="0.3">
      <c r="A1197" s="487" t="b">
        <v>0</v>
      </c>
      <c r="B1197" s="487"/>
      <c r="C1197" s="505" t="s">
        <v>3896</v>
      </c>
      <c r="D1197" s="502">
        <v>2</v>
      </c>
      <c r="E1197" s="490"/>
      <c r="F1197" s="493"/>
      <c r="G1197" s="492"/>
      <c r="H1197" s="502"/>
      <c r="I1197" s="493"/>
      <c r="J1197" s="493"/>
      <c r="K1197" s="487" t="str">
        <f ca="1">IFERROR(VLOOKUP(C1197,' Disaggregation - Section E '!A$10:N324,3,0),"")</f>
        <v>HIV I-4 Nombre de décès liés au sida pour 100,000 habitants</v>
      </c>
      <c r="L1197" s="493"/>
      <c r="M1197" s="487"/>
      <c r="N1197" s="493"/>
      <c r="O1197" s="493"/>
    </row>
    <row r="1198" spans="1:15" x14ac:dyDescent="0.3">
      <c r="A1198" s="487" t="b">
        <v>0</v>
      </c>
      <c r="B1198" s="487"/>
      <c r="C1198" s="505" t="s">
        <v>3898</v>
      </c>
      <c r="D1198" s="502">
        <v>2</v>
      </c>
      <c r="E1198" s="490"/>
      <c r="F1198" s="493"/>
      <c r="G1198" s="492"/>
      <c r="H1198" s="502"/>
      <c r="I1198" s="493"/>
      <c r="J1198" s="493"/>
      <c r="K1198" s="487" t="str">
        <f ca="1">IFERROR(VLOOKUP(C1198,' Disaggregation - Section E '!A$10:N325,3,0),"")</f>
        <v>HIV I-4 Nombre de décès liés au sida pour 100,000 habitants</v>
      </c>
      <c r="L1198" s="493"/>
      <c r="M1198" s="487"/>
      <c r="N1198" s="493"/>
      <c r="O1198" s="493"/>
    </row>
    <row r="1199" spans="1:15" x14ac:dyDescent="0.3">
      <c r="A1199" s="487" t="b">
        <v>0</v>
      </c>
      <c r="B1199" s="487"/>
      <c r="C1199" s="505" t="s">
        <v>3900</v>
      </c>
      <c r="D1199" s="502">
        <v>2</v>
      </c>
      <c r="E1199" s="490"/>
      <c r="F1199" s="493"/>
      <c r="G1199" s="492"/>
      <c r="H1199" s="502"/>
      <c r="I1199" s="493"/>
      <c r="J1199" s="493"/>
      <c r="K1199" s="487" t="str">
        <f ca="1">IFERROR(VLOOKUP(C1199,' Disaggregation - Section E '!A$10:N326,3,0),"")</f>
        <v>HIV I-4 Nombre de décès liés au sida pour 100,000 habitants</v>
      </c>
      <c r="L1199" s="493"/>
      <c r="M1199" s="487"/>
      <c r="N1199" s="493"/>
      <c r="O1199" s="493"/>
    </row>
    <row r="1200" spans="1:15" x14ac:dyDescent="0.3">
      <c r="A1200" s="487" t="b">
        <v>0</v>
      </c>
      <c r="B1200" s="487"/>
      <c r="C1200" s="505" t="s">
        <v>3902</v>
      </c>
      <c r="D1200" s="502">
        <v>2</v>
      </c>
      <c r="E1200" s="490"/>
      <c r="F1200" s="493"/>
      <c r="G1200" s="492"/>
      <c r="H1200" s="502"/>
      <c r="I1200" s="493"/>
      <c r="J1200" s="493"/>
      <c r="K1200" s="487" t="str">
        <f ca="1">IFERROR(VLOOKUP(C1200,' Disaggregation - Section E '!A$10:N327,3,0),"")</f>
        <v>HIV I-4 Nombre de décès liés au sida pour 100,000 habitants</v>
      </c>
      <c r="L1200" s="493"/>
      <c r="M1200" s="487"/>
      <c r="N1200" s="493"/>
      <c r="O1200" s="493"/>
    </row>
    <row r="1201" spans="1:15" x14ac:dyDescent="0.3">
      <c r="A1201" s="487" t="b">
        <v>0</v>
      </c>
      <c r="B1201" s="487"/>
      <c r="C1201" s="505" t="s">
        <v>3904</v>
      </c>
      <c r="D1201" s="502">
        <v>2</v>
      </c>
      <c r="E1201" s="490"/>
      <c r="F1201" s="493"/>
      <c r="G1201" s="492"/>
      <c r="H1201" s="502"/>
      <c r="I1201" s="493"/>
      <c r="J1201" s="493"/>
      <c r="K1201" s="487" t="str">
        <f ca="1">IFERROR(VLOOKUP(C1201,' Disaggregation - Section E '!A$10:N328,3,0),"")</f>
        <v>HIV I-4 Nombre de décès liés au sida pour 100,000 habitants</v>
      </c>
      <c r="L1201" s="493"/>
      <c r="M1201" s="487"/>
      <c r="N1201" s="493"/>
      <c r="O1201" s="493"/>
    </row>
    <row r="1202" spans="1:15" x14ac:dyDescent="0.3">
      <c r="A1202" s="487" t="b">
        <v>0</v>
      </c>
      <c r="B1202" s="487"/>
      <c r="C1202" s="505" t="s">
        <v>3906</v>
      </c>
      <c r="D1202" s="502">
        <v>2</v>
      </c>
      <c r="E1202" s="490"/>
      <c r="F1202" s="493"/>
      <c r="G1202" s="492"/>
      <c r="H1202" s="502"/>
      <c r="I1202" s="493"/>
      <c r="J1202" s="493"/>
      <c r="K1202" s="487" t="str">
        <f ca="1">IFERROR(VLOOKUP(C1202,' Disaggregation - Section E '!A$10:N329,3,0),"")</f>
        <v>HIV I-4 Nombre de décès liés au sida pour 100,000 habitants</v>
      </c>
      <c r="L1202" s="493"/>
      <c r="M1202" s="487"/>
      <c r="N1202" s="493"/>
      <c r="O1202" s="493"/>
    </row>
    <row r="1203" spans="1:15" x14ac:dyDescent="0.3">
      <c r="A1203" s="487" t="b">
        <v>0</v>
      </c>
      <c r="B1203" s="487"/>
      <c r="C1203" s="505" t="s">
        <v>3909</v>
      </c>
      <c r="D1203" s="502">
        <v>3</v>
      </c>
      <c r="E1203" s="490"/>
      <c r="F1203" s="493"/>
      <c r="G1203" s="492"/>
      <c r="H1203" s="502"/>
      <c r="I1203" s="493"/>
      <c r="J1203" s="493"/>
      <c r="K1203" s="487" t="str">
        <f ca="1">IFERROR(VLOOKUP(C1203,' Disaggregation - Section E '!A$10:N330,3,0),"")</f>
        <v/>
      </c>
      <c r="L1203" s="493"/>
      <c r="M1203" s="487"/>
      <c r="N1203" s="493"/>
      <c r="O1203" s="493"/>
    </row>
    <row r="1204" spans="1:15" x14ac:dyDescent="0.3">
      <c r="A1204" s="487" t="b">
        <v>0</v>
      </c>
      <c r="B1204" s="487"/>
      <c r="C1204" s="505" t="s">
        <v>3911</v>
      </c>
      <c r="D1204" s="502">
        <v>3</v>
      </c>
      <c r="E1204" s="490"/>
      <c r="F1204" s="493"/>
      <c r="G1204" s="492"/>
      <c r="H1204" s="502"/>
      <c r="I1204" s="493"/>
      <c r="J1204" s="493"/>
      <c r="K1204" s="487" t="str">
        <f ca="1">IFERROR(VLOOKUP(C1204,' Disaggregation - Section E '!A$10:N331,3,0),"")</f>
        <v/>
      </c>
      <c r="L1204" s="493"/>
      <c r="M1204" s="487"/>
      <c r="N1204" s="493"/>
      <c r="O1204" s="493"/>
    </row>
    <row r="1205" spans="1:15" x14ac:dyDescent="0.3">
      <c r="A1205" s="487" t="b">
        <v>0</v>
      </c>
      <c r="B1205" s="487"/>
      <c r="C1205" s="505" t="s">
        <v>3913</v>
      </c>
      <c r="D1205" s="502">
        <v>3</v>
      </c>
      <c r="E1205" s="490"/>
      <c r="F1205" s="493"/>
      <c r="G1205" s="492"/>
      <c r="H1205" s="502"/>
      <c r="I1205" s="493"/>
      <c r="J1205" s="493"/>
      <c r="K1205" s="487" t="str">
        <f ca="1">IFERROR(VLOOKUP(C1205,' Disaggregation - Section E '!A$10:N332,3,0),"")</f>
        <v/>
      </c>
      <c r="L1205" s="493"/>
      <c r="M1205" s="487"/>
      <c r="N1205" s="493"/>
      <c r="O1205" s="493"/>
    </row>
    <row r="1206" spans="1:15" x14ac:dyDescent="0.3">
      <c r="A1206" s="487" t="b">
        <v>0</v>
      </c>
      <c r="B1206" s="487"/>
      <c r="C1206" s="505" t="s">
        <v>3915</v>
      </c>
      <c r="D1206" s="502">
        <v>3</v>
      </c>
      <c r="E1206" s="490"/>
      <c r="F1206" s="493"/>
      <c r="G1206" s="492"/>
      <c r="H1206" s="502"/>
      <c r="I1206" s="493"/>
      <c r="J1206" s="493"/>
      <c r="K1206" s="487" t="str">
        <f ca="1">IFERROR(VLOOKUP(C1206,' Disaggregation - Section E '!A$10:N333,3,0),"")</f>
        <v/>
      </c>
      <c r="L1206" s="493"/>
      <c r="M1206" s="487"/>
      <c r="N1206" s="493"/>
      <c r="O1206" s="493"/>
    </row>
    <row r="1207" spans="1:15" x14ac:dyDescent="0.3">
      <c r="A1207" s="487" t="b">
        <v>0</v>
      </c>
      <c r="B1207" s="487"/>
      <c r="C1207" s="505" t="s">
        <v>3917</v>
      </c>
      <c r="D1207" s="502">
        <v>3</v>
      </c>
      <c r="E1207" s="490"/>
      <c r="F1207" s="493"/>
      <c r="G1207" s="492"/>
      <c r="H1207" s="502"/>
      <c r="I1207" s="493"/>
      <c r="J1207" s="493"/>
      <c r="K1207" s="487" t="str">
        <f ca="1">IFERROR(VLOOKUP(C1207,' Disaggregation - Section E '!A$10:N334,3,0),"")</f>
        <v/>
      </c>
      <c r="L1207" s="493"/>
      <c r="M1207" s="487"/>
      <c r="N1207" s="493"/>
      <c r="O1207" s="493"/>
    </row>
    <row r="1208" spans="1:15" x14ac:dyDescent="0.3">
      <c r="A1208" s="487" t="b">
        <v>0</v>
      </c>
      <c r="B1208" s="487"/>
      <c r="C1208" s="505" t="s">
        <v>3919</v>
      </c>
      <c r="D1208" s="502">
        <v>3</v>
      </c>
      <c r="E1208" s="490"/>
      <c r="F1208" s="493"/>
      <c r="G1208" s="492"/>
      <c r="H1208" s="502"/>
      <c r="I1208" s="493"/>
      <c r="J1208" s="493"/>
      <c r="K1208" s="487" t="str">
        <f ca="1">IFERROR(VLOOKUP(C1208,' Disaggregation - Section E '!A$10:N335,3,0),"")</f>
        <v/>
      </c>
      <c r="L1208" s="493"/>
      <c r="M1208" s="487"/>
      <c r="N1208" s="493"/>
      <c r="O1208" s="493"/>
    </row>
    <row r="1209" spans="1:15" x14ac:dyDescent="0.3">
      <c r="A1209" s="487" t="b">
        <v>0</v>
      </c>
      <c r="B1209" s="487"/>
      <c r="C1209" s="505" t="s">
        <v>3921</v>
      </c>
      <c r="D1209" s="502">
        <v>3</v>
      </c>
      <c r="E1209" s="490"/>
      <c r="F1209" s="493"/>
      <c r="G1209" s="492"/>
      <c r="H1209" s="502"/>
      <c r="I1209" s="493"/>
      <c r="J1209" s="493"/>
      <c r="K1209" s="487" t="str">
        <f ca="1">IFERROR(VLOOKUP(C1209,' Disaggregation - Section E '!A$10:N336,3,0),"")</f>
        <v/>
      </c>
      <c r="L1209" s="493"/>
      <c r="M1209" s="487"/>
      <c r="N1209" s="493"/>
      <c r="O1209" s="493"/>
    </row>
    <row r="1210" spans="1:15" x14ac:dyDescent="0.3">
      <c r="A1210" s="487" t="b">
        <v>0</v>
      </c>
      <c r="B1210" s="487"/>
      <c r="C1210" s="505" t="s">
        <v>3923</v>
      </c>
      <c r="D1210" s="502">
        <v>3</v>
      </c>
      <c r="E1210" s="490"/>
      <c r="F1210" s="493"/>
      <c r="G1210" s="492"/>
      <c r="H1210" s="502"/>
      <c r="I1210" s="493"/>
      <c r="J1210" s="493"/>
      <c r="K1210" s="487" t="str">
        <f ca="1">IFERROR(VLOOKUP(C1210,' Disaggregation - Section E '!A$10:N337,3,0),"")</f>
        <v/>
      </c>
      <c r="L1210" s="493"/>
      <c r="M1210" s="487"/>
      <c r="N1210" s="493"/>
      <c r="O1210" s="493"/>
    </row>
    <row r="1211" spans="1:15" x14ac:dyDescent="0.3">
      <c r="A1211" s="487" t="b">
        <v>0</v>
      </c>
      <c r="B1211" s="487"/>
      <c r="C1211" s="505" t="s">
        <v>3925</v>
      </c>
      <c r="D1211" s="502">
        <v>3</v>
      </c>
      <c r="E1211" s="490"/>
      <c r="F1211" s="493"/>
      <c r="G1211" s="492"/>
      <c r="H1211" s="502"/>
      <c r="I1211" s="493"/>
      <c r="J1211" s="493"/>
      <c r="K1211" s="487" t="str">
        <f ca="1">IFERROR(VLOOKUP(C1211,' Disaggregation - Section E '!A$10:N338,3,0),"")</f>
        <v/>
      </c>
      <c r="L1211" s="493"/>
      <c r="M1211" s="487"/>
      <c r="N1211" s="493"/>
      <c r="O1211" s="493"/>
    </row>
    <row r="1212" spans="1:15" x14ac:dyDescent="0.3">
      <c r="A1212" s="487" t="b">
        <v>0</v>
      </c>
      <c r="B1212" s="487"/>
      <c r="C1212" s="505" t="s">
        <v>3927</v>
      </c>
      <c r="D1212" s="502">
        <v>3</v>
      </c>
      <c r="E1212" s="490"/>
      <c r="F1212" s="493"/>
      <c r="G1212" s="492"/>
      <c r="H1212" s="502"/>
      <c r="I1212" s="493"/>
      <c r="J1212" s="493"/>
      <c r="K1212" s="487" t="str">
        <f ca="1">IFERROR(VLOOKUP(C1212,' Disaggregation - Section E '!A$10:N339,3,0),"")</f>
        <v/>
      </c>
      <c r="L1212" s="493"/>
      <c r="M1212" s="487"/>
      <c r="N1212" s="493"/>
      <c r="O1212" s="493"/>
    </row>
    <row r="1213" spans="1:15" x14ac:dyDescent="0.3">
      <c r="A1213" s="487" t="b">
        <v>0</v>
      </c>
      <c r="B1213" s="487"/>
      <c r="C1213" s="505" t="s">
        <v>3930</v>
      </c>
      <c r="D1213" s="502">
        <v>4</v>
      </c>
      <c r="E1213" s="490"/>
      <c r="F1213" s="493"/>
      <c r="G1213" s="492"/>
      <c r="H1213" s="502"/>
      <c r="I1213" s="493"/>
      <c r="J1213" s="493"/>
      <c r="K1213" s="487" t="str">
        <f ca="1">IFERROR(VLOOKUP(C1213,' Disaggregation - Section E '!A$10:N340,3,0),"")</f>
        <v/>
      </c>
      <c r="L1213" s="493"/>
      <c r="M1213" s="487"/>
      <c r="N1213" s="493"/>
      <c r="O1213" s="493"/>
    </row>
    <row r="1214" spans="1:15" x14ac:dyDescent="0.3">
      <c r="A1214" s="487" t="b">
        <v>0</v>
      </c>
      <c r="B1214" s="487"/>
      <c r="C1214" s="505" t="s">
        <v>3932</v>
      </c>
      <c r="D1214" s="502">
        <v>4</v>
      </c>
      <c r="E1214" s="490"/>
      <c r="F1214" s="493"/>
      <c r="G1214" s="492"/>
      <c r="H1214" s="502"/>
      <c r="I1214" s="493"/>
      <c r="J1214" s="493"/>
      <c r="K1214" s="487" t="str">
        <f ca="1">IFERROR(VLOOKUP(C1214,' Disaggregation - Section E '!A$10:N341,3,0),"")</f>
        <v/>
      </c>
      <c r="L1214" s="493"/>
      <c r="M1214" s="487"/>
      <c r="N1214" s="493"/>
      <c r="O1214" s="493"/>
    </row>
    <row r="1215" spans="1:15" x14ac:dyDescent="0.3">
      <c r="A1215" s="487" t="b">
        <v>0</v>
      </c>
      <c r="B1215" s="487"/>
      <c r="C1215" s="505" t="s">
        <v>3934</v>
      </c>
      <c r="D1215" s="502">
        <v>4</v>
      </c>
      <c r="E1215" s="490"/>
      <c r="F1215" s="493"/>
      <c r="G1215" s="492"/>
      <c r="H1215" s="502"/>
      <c r="I1215" s="493"/>
      <c r="J1215" s="493"/>
      <c r="K1215" s="487" t="str">
        <f ca="1">IFERROR(VLOOKUP(C1215,' Disaggregation - Section E '!A$10:N342,3,0),"")</f>
        <v/>
      </c>
      <c r="L1215" s="493"/>
      <c r="M1215" s="487"/>
      <c r="N1215" s="493"/>
      <c r="O1215" s="493"/>
    </row>
    <row r="1216" spans="1:15" x14ac:dyDescent="0.3">
      <c r="A1216" s="487" t="b">
        <v>0</v>
      </c>
      <c r="B1216" s="487"/>
      <c r="C1216" s="505" t="s">
        <v>3936</v>
      </c>
      <c r="D1216" s="502">
        <v>4</v>
      </c>
      <c r="E1216" s="490"/>
      <c r="F1216" s="493"/>
      <c r="G1216" s="492"/>
      <c r="H1216" s="502"/>
      <c r="I1216" s="493"/>
      <c r="J1216" s="493"/>
      <c r="K1216" s="487" t="str">
        <f ca="1">IFERROR(VLOOKUP(C1216,' Disaggregation - Section E '!A$10:N343,3,0),"")</f>
        <v/>
      </c>
      <c r="L1216" s="493"/>
      <c r="M1216" s="487"/>
      <c r="N1216" s="493"/>
      <c r="O1216" s="493"/>
    </row>
    <row r="1217" spans="1:15" x14ac:dyDescent="0.3">
      <c r="A1217" s="487" t="b">
        <v>0</v>
      </c>
      <c r="B1217" s="487"/>
      <c r="C1217" s="505" t="s">
        <v>3938</v>
      </c>
      <c r="D1217" s="502">
        <v>4</v>
      </c>
      <c r="E1217" s="490"/>
      <c r="F1217" s="493"/>
      <c r="G1217" s="492"/>
      <c r="H1217" s="502"/>
      <c r="I1217" s="493"/>
      <c r="J1217" s="493"/>
      <c r="K1217" s="487" t="str">
        <f ca="1">IFERROR(VLOOKUP(C1217,' Disaggregation - Section E '!A$10:N344,3,0),"")</f>
        <v/>
      </c>
      <c r="L1217" s="493"/>
      <c r="M1217" s="487"/>
      <c r="N1217" s="493"/>
      <c r="O1217" s="493"/>
    </row>
    <row r="1218" spans="1:15" x14ac:dyDescent="0.3">
      <c r="A1218" s="487" t="b">
        <v>0</v>
      </c>
      <c r="B1218" s="487"/>
      <c r="C1218" s="505" t="s">
        <v>3940</v>
      </c>
      <c r="D1218" s="502">
        <v>4</v>
      </c>
      <c r="E1218" s="490"/>
      <c r="F1218" s="493"/>
      <c r="G1218" s="492"/>
      <c r="H1218" s="502"/>
      <c r="I1218" s="493"/>
      <c r="J1218" s="493"/>
      <c r="K1218" s="487" t="str">
        <f ca="1">IFERROR(VLOOKUP(C1218,' Disaggregation - Section E '!A$10:N345,3,0),"")</f>
        <v/>
      </c>
      <c r="L1218" s="493"/>
      <c r="M1218" s="487"/>
      <c r="N1218" s="493"/>
      <c r="O1218" s="493"/>
    </row>
    <row r="1219" spans="1:15" x14ac:dyDescent="0.3">
      <c r="A1219" s="487" t="b">
        <v>0</v>
      </c>
      <c r="B1219" s="487"/>
      <c r="C1219" s="505" t="s">
        <v>3942</v>
      </c>
      <c r="D1219" s="502">
        <v>4</v>
      </c>
      <c r="E1219" s="490"/>
      <c r="F1219" s="493"/>
      <c r="G1219" s="492"/>
      <c r="H1219" s="502"/>
      <c r="I1219" s="493"/>
      <c r="J1219" s="493"/>
      <c r="K1219" s="487" t="str">
        <f ca="1">IFERROR(VLOOKUP(C1219,' Disaggregation - Section E '!A$10:N346,3,0),"")</f>
        <v/>
      </c>
      <c r="L1219" s="493"/>
      <c r="M1219" s="487"/>
      <c r="N1219" s="493"/>
      <c r="O1219" s="493"/>
    </row>
    <row r="1220" spans="1:15" x14ac:dyDescent="0.3">
      <c r="A1220" s="487" t="b">
        <v>0</v>
      </c>
      <c r="B1220" s="487"/>
      <c r="C1220" s="505" t="s">
        <v>3944</v>
      </c>
      <c r="D1220" s="502">
        <v>4</v>
      </c>
      <c r="E1220" s="490"/>
      <c r="F1220" s="493"/>
      <c r="G1220" s="492"/>
      <c r="H1220" s="502"/>
      <c r="I1220" s="493"/>
      <c r="J1220" s="493"/>
      <c r="K1220" s="487" t="str">
        <f ca="1">IFERROR(VLOOKUP(C1220,' Disaggregation - Section E '!A$10:N347,3,0),"")</f>
        <v/>
      </c>
      <c r="L1220" s="493"/>
      <c r="M1220" s="487"/>
      <c r="N1220" s="493"/>
      <c r="O1220" s="493"/>
    </row>
    <row r="1221" spans="1:15" x14ac:dyDescent="0.3">
      <c r="A1221" s="487" t="b">
        <v>0</v>
      </c>
      <c r="B1221" s="487"/>
      <c r="C1221" s="505" t="s">
        <v>3946</v>
      </c>
      <c r="D1221" s="502">
        <v>4</v>
      </c>
      <c r="E1221" s="490"/>
      <c r="F1221" s="493"/>
      <c r="G1221" s="492"/>
      <c r="H1221" s="502"/>
      <c r="I1221" s="493"/>
      <c r="J1221" s="493"/>
      <c r="K1221" s="487" t="str">
        <f ca="1">IFERROR(VLOOKUP(C1221,' Disaggregation - Section E '!A$10:N348,3,0),"")</f>
        <v/>
      </c>
      <c r="L1221" s="493"/>
      <c r="M1221" s="487"/>
      <c r="N1221" s="493"/>
      <c r="O1221" s="493"/>
    </row>
    <row r="1222" spans="1:15" x14ac:dyDescent="0.3">
      <c r="A1222" s="487" t="b">
        <v>0</v>
      </c>
      <c r="B1222" s="487"/>
      <c r="C1222" s="505" t="s">
        <v>3948</v>
      </c>
      <c r="D1222" s="502">
        <v>4</v>
      </c>
      <c r="E1222" s="490"/>
      <c r="F1222" s="493"/>
      <c r="G1222" s="492"/>
      <c r="H1222" s="502"/>
      <c r="I1222" s="493"/>
      <c r="J1222" s="493"/>
      <c r="K1222" s="487" t="str">
        <f ca="1">IFERROR(VLOOKUP(C1222,' Disaggregation - Section E '!A$10:N349,3,0),"")</f>
        <v/>
      </c>
      <c r="L1222" s="493"/>
      <c r="M1222" s="487"/>
      <c r="N1222" s="493"/>
      <c r="O1222" s="493"/>
    </row>
    <row r="1223" spans="1:15" x14ac:dyDescent="0.3">
      <c r="A1223" s="487" t="b">
        <v>0</v>
      </c>
      <c r="B1223" s="487"/>
      <c r="C1223" s="505" t="s">
        <v>3951</v>
      </c>
      <c r="D1223" s="502">
        <v>5</v>
      </c>
      <c r="E1223" s="490"/>
      <c r="F1223" s="493"/>
      <c r="G1223" s="492"/>
      <c r="H1223" s="502"/>
      <c r="I1223" s="493"/>
      <c r="J1223" s="493"/>
      <c r="K1223" s="487" t="str">
        <f ca="1">IFERROR(VLOOKUP(C1223,' Disaggregation - Section E '!A$10:N350,3,0),"")</f>
        <v/>
      </c>
      <c r="L1223" s="493"/>
      <c r="M1223" s="487"/>
      <c r="N1223" s="493"/>
      <c r="O1223" s="493"/>
    </row>
    <row r="1224" spans="1:15" x14ac:dyDescent="0.3">
      <c r="A1224" s="487" t="b">
        <v>0</v>
      </c>
      <c r="B1224" s="487"/>
      <c r="C1224" s="505" t="s">
        <v>3953</v>
      </c>
      <c r="D1224" s="502">
        <v>5</v>
      </c>
      <c r="E1224" s="490"/>
      <c r="F1224" s="493"/>
      <c r="G1224" s="492"/>
      <c r="H1224" s="502"/>
      <c r="I1224" s="493"/>
      <c r="J1224" s="493"/>
      <c r="K1224" s="487" t="str">
        <f ca="1">IFERROR(VLOOKUP(C1224,' Disaggregation - Section E '!A$10:N351,3,0),"")</f>
        <v/>
      </c>
      <c r="L1224" s="493"/>
      <c r="M1224" s="487"/>
      <c r="N1224" s="493"/>
      <c r="O1224" s="493"/>
    </row>
    <row r="1225" spans="1:15" x14ac:dyDescent="0.3">
      <c r="A1225" s="487" t="b">
        <v>0</v>
      </c>
      <c r="B1225" s="487"/>
      <c r="C1225" s="505" t="s">
        <v>3955</v>
      </c>
      <c r="D1225" s="502">
        <v>5</v>
      </c>
      <c r="E1225" s="490"/>
      <c r="F1225" s="493"/>
      <c r="G1225" s="492"/>
      <c r="H1225" s="502"/>
      <c r="I1225" s="493"/>
      <c r="J1225" s="493"/>
      <c r="K1225" s="487" t="str">
        <f ca="1">IFERROR(VLOOKUP(C1225,' Disaggregation - Section E '!A$10:N352,3,0),"")</f>
        <v/>
      </c>
      <c r="L1225" s="493"/>
      <c r="M1225" s="487"/>
      <c r="N1225" s="493"/>
      <c r="O1225" s="493"/>
    </row>
    <row r="1226" spans="1:15" x14ac:dyDescent="0.3">
      <c r="A1226" s="487" t="b">
        <v>0</v>
      </c>
      <c r="B1226" s="487"/>
      <c r="C1226" s="505" t="s">
        <v>3957</v>
      </c>
      <c r="D1226" s="502">
        <v>5</v>
      </c>
      <c r="E1226" s="490"/>
      <c r="F1226" s="493"/>
      <c r="G1226" s="492"/>
      <c r="H1226" s="502"/>
      <c r="I1226" s="493"/>
      <c r="J1226" s="493"/>
      <c r="K1226" s="487" t="str">
        <f ca="1">IFERROR(VLOOKUP(C1226,' Disaggregation - Section E '!A$10:N353,3,0),"")</f>
        <v/>
      </c>
      <c r="L1226" s="493"/>
      <c r="M1226" s="487"/>
      <c r="N1226" s="493"/>
      <c r="O1226" s="493"/>
    </row>
    <row r="1227" spans="1:15" x14ac:dyDescent="0.3">
      <c r="A1227" s="487" t="b">
        <v>0</v>
      </c>
      <c r="B1227" s="487"/>
      <c r="C1227" s="505" t="s">
        <v>3959</v>
      </c>
      <c r="D1227" s="502">
        <v>5</v>
      </c>
      <c r="E1227" s="490"/>
      <c r="F1227" s="493"/>
      <c r="G1227" s="492"/>
      <c r="H1227" s="502"/>
      <c r="I1227" s="493"/>
      <c r="J1227" s="493"/>
      <c r="K1227" s="487" t="str">
        <f ca="1">IFERROR(VLOOKUP(C1227,' Disaggregation - Section E '!A$10:N354,3,0),"")</f>
        <v/>
      </c>
      <c r="L1227" s="493"/>
      <c r="M1227" s="487"/>
      <c r="N1227" s="493"/>
      <c r="O1227" s="493"/>
    </row>
    <row r="1228" spans="1:15" x14ac:dyDescent="0.3">
      <c r="A1228" s="487" t="b">
        <v>0</v>
      </c>
      <c r="B1228" s="487"/>
      <c r="C1228" s="505" t="s">
        <v>3961</v>
      </c>
      <c r="D1228" s="502">
        <v>5</v>
      </c>
      <c r="E1228" s="490"/>
      <c r="F1228" s="493"/>
      <c r="G1228" s="492"/>
      <c r="H1228" s="502"/>
      <c r="I1228" s="493"/>
      <c r="J1228" s="493"/>
      <c r="K1228" s="487" t="str">
        <f ca="1">IFERROR(VLOOKUP(C1228,' Disaggregation - Section E '!A$10:N355,3,0),"")</f>
        <v/>
      </c>
      <c r="L1228" s="493"/>
      <c r="M1228" s="487"/>
      <c r="N1228" s="493"/>
      <c r="O1228" s="493"/>
    </row>
    <row r="1229" spans="1:15" x14ac:dyDescent="0.3">
      <c r="A1229" s="487" t="b">
        <v>0</v>
      </c>
      <c r="B1229" s="487"/>
      <c r="C1229" s="505" t="s">
        <v>3963</v>
      </c>
      <c r="D1229" s="502">
        <v>5</v>
      </c>
      <c r="E1229" s="490"/>
      <c r="F1229" s="493"/>
      <c r="G1229" s="492"/>
      <c r="H1229" s="502"/>
      <c r="I1229" s="493"/>
      <c r="J1229" s="493"/>
      <c r="K1229" s="487" t="str">
        <f ca="1">IFERROR(VLOOKUP(C1229,' Disaggregation - Section E '!A$10:N356,3,0),"")</f>
        <v/>
      </c>
      <c r="L1229" s="493"/>
      <c r="M1229" s="487"/>
      <c r="N1229" s="493"/>
      <c r="O1229" s="493"/>
    </row>
    <row r="1230" spans="1:15" x14ac:dyDescent="0.3">
      <c r="A1230" s="487" t="b">
        <v>0</v>
      </c>
      <c r="B1230" s="487"/>
      <c r="C1230" s="505" t="s">
        <v>3965</v>
      </c>
      <c r="D1230" s="502">
        <v>5</v>
      </c>
      <c r="E1230" s="490"/>
      <c r="F1230" s="493"/>
      <c r="G1230" s="492"/>
      <c r="H1230" s="502"/>
      <c r="I1230" s="493"/>
      <c r="J1230" s="493"/>
      <c r="K1230" s="487" t="str">
        <f ca="1">IFERROR(VLOOKUP(C1230,' Disaggregation - Section E '!A$10:N357,3,0),"")</f>
        <v/>
      </c>
      <c r="L1230" s="493"/>
      <c r="M1230" s="487"/>
      <c r="N1230" s="493"/>
      <c r="O1230" s="493"/>
    </row>
    <row r="1231" spans="1:15" x14ac:dyDescent="0.3">
      <c r="A1231" s="487" t="b">
        <v>0</v>
      </c>
      <c r="B1231" s="487"/>
      <c r="C1231" s="505" t="s">
        <v>3967</v>
      </c>
      <c r="D1231" s="502">
        <v>5</v>
      </c>
      <c r="E1231" s="490"/>
      <c r="F1231" s="493"/>
      <c r="G1231" s="492"/>
      <c r="H1231" s="502"/>
      <c r="I1231" s="493"/>
      <c r="J1231" s="493"/>
      <c r="K1231" s="487" t="str">
        <f ca="1">IFERROR(VLOOKUP(C1231,' Disaggregation - Section E '!A$10:N358,3,0),"")</f>
        <v/>
      </c>
      <c r="L1231" s="493"/>
      <c r="M1231" s="487"/>
      <c r="N1231" s="493"/>
      <c r="O1231" s="493"/>
    </row>
    <row r="1232" spans="1:15" x14ac:dyDescent="0.3">
      <c r="A1232" s="487" t="b">
        <v>0</v>
      </c>
      <c r="B1232" s="487"/>
      <c r="C1232" s="505" t="s">
        <v>3969</v>
      </c>
      <c r="D1232" s="502">
        <v>5</v>
      </c>
      <c r="E1232" s="490"/>
      <c r="F1232" s="493"/>
      <c r="G1232" s="492"/>
      <c r="H1232" s="502"/>
      <c r="I1232" s="493"/>
      <c r="J1232" s="493"/>
      <c r="K1232" s="487" t="str">
        <f ca="1">IFERROR(VLOOKUP(C1232,' Disaggregation - Section E '!A$10:N359,3,0),"")</f>
        <v/>
      </c>
      <c r="L1232" s="493"/>
      <c r="M1232" s="487"/>
      <c r="N1232" s="493"/>
      <c r="O1232" s="493"/>
    </row>
    <row r="1233" spans="1:15" x14ac:dyDescent="0.3">
      <c r="A1233" s="487" t="b">
        <v>0</v>
      </c>
      <c r="B1233" s="487"/>
      <c r="C1233" s="505" t="s">
        <v>3972</v>
      </c>
      <c r="D1233" s="502">
        <v>6</v>
      </c>
      <c r="E1233" s="490"/>
      <c r="F1233" s="493"/>
      <c r="G1233" s="492"/>
      <c r="H1233" s="502"/>
      <c r="I1233" s="493"/>
      <c r="J1233" s="493"/>
      <c r="K1233" s="487" t="str">
        <f ca="1">IFERROR(VLOOKUP(C1233,' Disaggregation - Section E '!A$10:N360,3,0),"")</f>
        <v/>
      </c>
      <c r="L1233" s="493"/>
      <c r="M1233" s="487"/>
      <c r="N1233" s="493"/>
      <c r="O1233" s="493"/>
    </row>
    <row r="1234" spans="1:15" x14ac:dyDescent="0.3">
      <c r="A1234" s="487" t="b">
        <v>0</v>
      </c>
      <c r="B1234" s="487"/>
      <c r="C1234" s="505" t="s">
        <v>3974</v>
      </c>
      <c r="D1234" s="502">
        <v>6</v>
      </c>
      <c r="E1234" s="490"/>
      <c r="F1234" s="493"/>
      <c r="G1234" s="492"/>
      <c r="H1234" s="502"/>
      <c r="I1234" s="493"/>
      <c r="J1234" s="493"/>
      <c r="K1234" s="487" t="str">
        <f ca="1">IFERROR(VLOOKUP(C1234,' Disaggregation - Section E '!A$10:N361,3,0),"")</f>
        <v/>
      </c>
      <c r="L1234" s="493"/>
      <c r="M1234" s="487"/>
      <c r="N1234" s="493"/>
      <c r="O1234" s="493"/>
    </row>
    <row r="1235" spans="1:15" x14ac:dyDescent="0.3">
      <c r="A1235" s="487" t="b">
        <v>0</v>
      </c>
      <c r="B1235" s="487"/>
      <c r="C1235" s="505" t="s">
        <v>3976</v>
      </c>
      <c r="D1235" s="502">
        <v>6</v>
      </c>
      <c r="E1235" s="490"/>
      <c r="F1235" s="493"/>
      <c r="G1235" s="492"/>
      <c r="H1235" s="502"/>
      <c r="I1235" s="493"/>
      <c r="J1235" s="493"/>
      <c r="K1235" s="487" t="str">
        <f ca="1">IFERROR(VLOOKUP(C1235,' Disaggregation - Section E '!A$10:N362,3,0),"")</f>
        <v/>
      </c>
      <c r="L1235" s="493"/>
      <c r="M1235" s="487"/>
      <c r="N1235" s="493"/>
      <c r="O1235" s="493"/>
    </row>
    <row r="1236" spans="1:15" x14ac:dyDescent="0.3">
      <c r="A1236" s="487" t="b">
        <v>0</v>
      </c>
      <c r="B1236" s="487"/>
      <c r="C1236" s="505" t="s">
        <v>3978</v>
      </c>
      <c r="D1236" s="502">
        <v>6</v>
      </c>
      <c r="E1236" s="490"/>
      <c r="F1236" s="493"/>
      <c r="G1236" s="492"/>
      <c r="H1236" s="502"/>
      <c r="I1236" s="493"/>
      <c r="J1236" s="493"/>
      <c r="K1236" s="487" t="str">
        <f ca="1">IFERROR(VLOOKUP(C1236,' Disaggregation - Section E '!A$10:N363,3,0),"")</f>
        <v/>
      </c>
      <c r="L1236" s="493"/>
      <c r="M1236" s="487"/>
      <c r="N1236" s="493"/>
      <c r="O1236" s="493"/>
    </row>
    <row r="1237" spans="1:15" x14ac:dyDescent="0.3">
      <c r="A1237" s="487" t="b">
        <v>0</v>
      </c>
      <c r="B1237" s="487"/>
      <c r="C1237" s="505" t="s">
        <v>3980</v>
      </c>
      <c r="D1237" s="502">
        <v>6</v>
      </c>
      <c r="E1237" s="490"/>
      <c r="F1237" s="493"/>
      <c r="G1237" s="492"/>
      <c r="H1237" s="502"/>
      <c r="I1237" s="493"/>
      <c r="J1237" s="493"/>
      <c r="K1237" s="487" t="str">
        <f ca="1">IFERROR(VLOOKUP(C1237,' Disaggregation - Section E '!A$10:N364,3,0),"")</f>
        <v/>
      </c>
      <c r="L1237" s="493"/>
      <c r="M1237" s="487"/>
      <c r="N1237" s="493"/>
      <c r="O1237" s="493"/>
    </row>
    <row r="1238" spans="1:15" x14ac:dyDescent="0.3">
      <c r="A1238" s="487" t="b">
        <v>0</v>
      </c>
      <c r="B1238" s="487"/>
      <c r="C1238" s="505" t="s">
        <v>3982</v>
      </c>
      <c r="D1238" s="502">
        <v>6</v>
      </c>
      <c r="E1238" s="490"/>
      <c r="F1238" s="493"/>
      <c r="G1238" s="492"/>
      <c r="H1238" s="502"/>
      <c r="I1238" s="493"/>
      <c r="J1238" s="493"/>
      <c r="K1238" s="487" t="str">
        <f ca="1">IFERROR(VLOOKUP(C1238,' Disaggregation - Section E '!A$10:N365,3,0),"")</f>
        <v/>
      </c>
      <c r="L1238" s="493"/>
      <c r="M1238" s="487"/>
      <c r="N1238" s="493"/>
      <c r="O1238" s="493"/>
    </row>
    <row r="1239" spans="1:15" x14ac:dyDescent="0.3">
      <c r="A1239" s="487" t="b">
        <v>0</v>
      </c>
      <c r="B1239" s="487"/>
      <c r="C1239" s="505" t="s">
        <v>3984</v>
      </c>
      <c r="D1239" s="502">
        <v>6</v>
      </c>
      <c r="E1239" s="490"/>
      <c r="F1239" s="493"/>
      <c r="G1239" s="492"/>
      <c r="H1239" s="502"/>
      <c r="I1239" s="493"/>
      <c r="J1239" s="493"/>
      <c r="K1239" s="487" t="str">
        <f ca="1">IFERROR(VLOOKUP(C1239,' Disaggregation - Section E '!A$10:N366,3,0),"")</f>
        <v/>
      </c>
      <c r="L1239" s="493"/>
      <c r="M1239" s="487"/>
      <c r="N1239" s="493"/>
      <c r="O1239" s="493"/>
    </row>
    <row r="1240" spans="1:15" x14ac:dyDescent="0.3">
      <c r="A1240" s="487" t="b">
        <v>0</v>
      </c>
      <c r="B1240" s="487"/>
      <c r="C1240" s="505" t="s">
        <v>3986</v>
      </c>
      <c r="D1240" s="502">
        <v>6</v>
      </c>
      <c r="E1240" s="490"/>
      <c r="F1240" s="493"/>
      <c r="G1240" s="492"/>
      <c r="H1240" s="502"/>
      <c r="I1240" s="493"/>
      <c r="J1240" s="493"/>
      <c r="K1240" s="487" t="str">
        <f ca="1">IFERROR(VLOOKUP(C1240,' Disaggregation - Section E '!A$10:N367,3,0),"")</f>
        <v/>
      </c>
      <c r="L1240" s="493"/>
      <c r="M1240" s="487"/>
      <c r="N1240" s="493"/>
      <c r="O1240" s="493"/>
    </row>
    <row r="1241" spans="1:15" x14ac:dyDescent="0.3">
      <c r="A1241" s="487" t="b">
        <v>0</v>
      </c>
      <c r="B1241" s="487"/>
      <c r="C1241" s="505" t="s">
        <v>3988</v>
      </c>
      <c r="D1241" s="502">
        <v>6</v>
      </c>
      <c r="E1241" s="490"/>
      <c r="F1241" s="493"/>
      <c r="G1241" s="492"/>
      <c r="H1241" s="502"/>
      <c r="I1241" s="493"/>
      <c r="J1241" s="493"/>
      <c r="K1241" s="487" t="str">
        <f ca="1">IFERROR(VLOOKUP(C1241,' Disaggregation - Section E '!A$10:N368,3,0),"")</f>
        <v/>
      </c>
      <c r="L1241" s="493"/>
      <c r="M1241" s="487"/>
      <c r="N1241" s="493"/>
      <c r="O1241" s="493"/>
    </row>
    <row r="1242" spans="1:15" x14ac:dyDescent="0.3">
      <c r="A1242" s="487" t="b">
        <v>0</v>
      </c>
      <c r="B1242" s="487"/>
      <c r="C1242" s="505" t="s">
        <v>3990</v>
      </c>
      <c r="D1242" s="502">
        <v>6</v>
      </c>
      <c r="E1242" s="490"/>
      <c r="F1242" s="493"/>
      <c r="G1242" s="492"/>
      <c r="H1242" s="502"/>
      <c r="I1242" s="493"/>
      <c r="J1242" s="493"/>
      <c r="K1242" s="487" t="str">
        <f ca="1">IFERROR(VLOOKUP(C1242,' Disaggregation - Section E '!A$10:N369,3,0),"")</f>
        <v/>
      </c>
      <c r="L1242" s="493"/>
      <c r="M1242" s="487"/>
      <c r="N1242" s="493"/>
      <c r="O1242" s="493"/>
    </row>
    <row r="1243" spans="1:15" x14ac:dyDescent="0.3">
      <c r="A1243" s="487" t="b">
        <v>0</v>
      </c>
      <c r="B1243" s="487"/>
      <c r="C1243" s="505" t="s">
        <v>3993</v>
      </c>
      <c r="D1243" s="502">
        <v>7</v>
      </c>
      <c r="E1243" s="490"/>
      <c r="F1243" s="493"/>
      <c r="G1243" s="492"/>
      <c r="H1243" s="502"/>
      <c r="I1243" s="493"/>
      <c r="J1243" s="493"/>
      <c r="K1243" s="487" t="str">
        <f ca="1">IFERROR(VLOOKUP(C1243,' Disaggregation - Section E '!A$10:N370,3,0),"")</f>
        <v/>
      </c>
      <c r="L1243" s="493"/>
      <c r="M1243" s="487"/>
      <c r="N1243" s="493"/>
      <c r="O1243" s="493"/>
    </row>
    <row r="1244" spans="1:15" x14ac:dyDescent="0.3">
      <c r="A1244" s="487" t="b">
        <v>0</v>
      </c>
      <c r="B1244" s="487"/>
      <c r="C1244" s="505" t="s">
        <v>3995</v>
      </c>
      <c r="D1244" s="502">
        <v>7</v>
      </c>
      <c r="E1244" s="490"/>
      <c r="F1244" s="493"/>
      <c r="G1244" s="492"/>
      <c r="H1244" s="502"/>
      <c r="I1244" s="493"/>
      <c r="J1244" s="493"/>
      <c r="K1244" s="487" t="str">
        <f ca="1">IFERROR(VLOOKUP(C1244,' Disaggregation - Section E '!A$10:N371,3,0),"")</f>
        <v/>
      </c>
      <c r="L1244" s="493"/>
      <c r="M1244" s="487"/>
      <c r="N1244" s="493"/>
      <c r="O1244" s="493"/>
    </row>
    <row r="1245" spans="1:15" x14ac:dyDescent="0.3">
      <c r="A1245" s="487" t="b">
        <v>0</v>
      </c>
      <c r="B1245" s="487"/>
      <c r="C1245" s="505" t="s">
        <v>3997</v>
      </c>
      <c r="D1245" s="502">
        <v>7</v>
      </c>
      <c r="E1245" s="490"/>
      <c r="F1245" s="493"/>
      <c r="G1245" s="492"/>
      <c r="H1245" s="502"/>
      <c r="I1245" s="493"/>
      <c r="J1245" s="493"/>
      <c r="K1245" s="487" t="str">
        <f ca="1">IFERROR(VLOOKUP(C1245,' Disaggregation - Section E '!A$10:N372,3,0),"")</f>
        <v/>
      </c>
      <c r="L1245" s="493"/>
      <c r="M1245" s="487"/>
      <c r="N1245" s="493"/>
      <c r="O1245" s="493"/>
    </row>
    <row r="1246" spans="1:15" x14ac:dyDescent="0.3">
      <c r="A1246" s="487" t="b">
        <v>0</v>
      </c>
      <c r="B1246" s="487"/>
      <c r="C1246" s="505" t="s">
        <v>3999</v>
      </c>
      <c r="D1246" s="502">
        <v>7</v>
      </c>
      <c r="E1246" s="490"/>
      <c r="F1246" s="493"/>
      <c r="G1246" s="492"/>
      <c r="H1246" s="502"/>
      <c r="I1246" s="493"/>
      <c r="J1246" s="493"/>
      <c r="K1246" s="487" t="str">
        <f ca="1">IFERROR(VLOOKUP(C1246,' Disaggregation - Section E '!A$10:N373,3,0),"")</f>
        <v/>
      </c>
      <c r="L1246" s="493"/>
      <c r="M1246" s="487"/>
      <c r="N1246" s="493"/>
      <c r="O1246" s="493"/>
    </row>
    <row r="1247" spans="1:15" x14ac:dyDescent="0.3">
      <c r="A1247" s="487" t="b">
        <v>0</v>
      </c>
      <c r="B1247" s="487"/>
      <c r="C1247" s="505" t="s">
        <v>4001</v>
      </c>
      <c r="D1247" s="502">
        <v>7</v>
      </c>
      <c r="E1247" s="490"/>
      <c r="F1247" s="493"/>
      <c r="G1247" s="492"/>
      <c r="H1247" s="502"/>
      <c r="I1247" s="493"/>
      <c r="J1247" s="493"/>
      <c r="K1247" s="487" t="str">
        <f ca="1">IFERROR(VLOOKUP(C1247,' Disaggregation - Section E '!A$10:N374,3,0),"")</f>
        <v/>
      </c>
      <c r="L1247" s="493"/>
      <c r="M1247" s="487"/>
      <c r="N1247" s="493"/>
      <c r="O1247" s="493"/>
    </row>
    <row r="1248" spans="1:15" x14ac:dyDescent="0.3">
      <c r="A1248" s="487" t="b">
        <v>0</v>
      </c>
      <c r="B1248" s="487"/>
      <c r="C1248" s="505" t="s">
        <v>4003</v>
      </c>
      <c r="D1248" s="502">
        <v>7</v>
      </c>
      <c r="E1248" s="490"/>
      <c r="F1248" s="493"/>
      <c r="G1248" s="492"/>
      <c r="H1248" s="502"/>
      <c r="I1248" s="493"/>
      <c r="J1248" s="493"/>
      <c r="K1248" s="487" t="str">
        <f ca="1">IFERROR(VLOOKUP(C1248,' Disaggregation - Section E '!A$10:N375,3,0),"")</f>
        <v/>
      </c>
      <c r="L1248" s="493"/>
      <c r="M1248" s="487"/>
      <c r="N1248" s="493"/>
      <c r="O1248" s="493"/>
    </row>
    <row r="1249" spans="1:15" x14ac:dyDescent="0.3">
      <c r="A1249" s="487" t="b">
        <v>0</v>
      </c>
      <c r="B1249" s="487"/>
      <c r="C1249" s="505" t="s">
        <v>4005</v>
      </c>
      <c r="D1249" s="502">
        <v>7</v>
      </c>
      <c r="E1249" s="490"/>
      <c r="F1249" s="493"/>
      <c r="G1249" s="492"/>
      <c r="H1249" s="502"/>
      <c r="I1249" s="493"/>
      <c r="J1249" s="493"/>
      <c r="K1249" s="487" t="str">
        <f ca="1">IFERROR(VLOOKUP(C1249,' Disaggregation - Section E '!A$10:N376,3,0),"")</f>
        <v/>
      </c>
      <c r="L1249" s="493"/>
      <c r="M1249" s="487"/>
      <c r="N1249" s="493"/>
      <c r="O1249" s="493"/>
    </row>
    <row r="1250" spans="1:15" x14ac:dyDescent="0.3">
      <c r="A1250" s="487" t="b">
        <v>0</v>
      </c>
      <c r="B1250" s="487"/>
      <c r="C1250" s="505" t="s">
        <v>4007</v>
      </c>
      <c r="D1250" s="502">
        <v>7</v>
      </c>
      <c r="E1250" s="490"/>
      <c r="F1250" s="493"/>
      <c r="G1250" s="492"/>
      <c r="H1250" s="502"/>
      <c r="I1250" s="493"/>
      <c r="J1250" s="493"/>
      <c r="K1250" s="487" t="str">
        <f ca="1">IFERROR(VLOOKUP(C1250,' Disaggregation - Section E '!A$10:N377,3,0),"")</f>
        <v/>
      </c>
      <c r="L1250" s="493"/>
      <c r="M1250" s="487"/>
      <c r="N1250" s="493"/>
      <c r="O1250" s="493"/>
    </row>
    <row r="1251" spans="1:15" x14ac:dyDescent="0.3">
      <c r="A1251" s="487" t="b">
        <v>0</v>
      </c>
      <c r="B1251" s="487"/>
      <c r="C1251" s="505" t="s">
        <v>4009</v>
      </c>
      <c r="D1251" s="502">
        <v>7</v>
      </c>
      <c r="E1251" s="490"/>
      <c r="F1251" s="493"/>
      <c r="G1251" s="492"/>
      <c r="H1251" s="502"/>
      <c r="I1251" s="493"/>
      <c r="J1251" s="493"/>
      <c r="K1251" s="487" t="str">
        <f ca="1">IFERROR(VLOOKUP(C1251,' Disaggregation - Section E '!A$10:N378,3,0),"")</f>
        <v/>
      </c>
      <c r="L1251" s="493"/>
      <c r="M1251" s="487"/>
      <c r="N1251" s="493"/>
      <c r="O1251" s="493"/>
    </row>
    <row r="1252" spans="1:15" x14ac:dyDescent="0.3">
      <c r="A1252" s="487" t="b">
        <v>0</v>
      </c>
      <c r="B1252" s="487"/>
      <c r="C1252" s="505" t="s">
        <v>4011</v>
      </c>
      <c r="D1252" s="502">
        <v>7</v>
      </c>
      <c r="E1252" s="490"/>
      <c r="F1252" s="493"/>
      <c r="G1252" s="492"/>
      <c r="H1252" s="502"/>
      <c r="I1252" s="493"/>
      <c r="J1252" s="493"/>
      <c r="K1252" s="487" t="str">
        <f ca="1">IFERROR(VLOOKUP(C1252,' Disaggregation - Section E '!A$10:N379,3,0),"")</f>
        <v/>
      </c>
      <c r="L1252" s="493"/>
      <c r="M1252" s="487"/>
      <c r="N1252" s="493"/>
      <c r="O1252" s="493"/>
    </row>
    <row r="1253" spans="1:15" x14ac:dyDescent="0.3">
      <c r="A1253" s="487" t="b">
        <v>0</v>
      </c>
      <c r="B1253" s="487"/>
      <c r="C1253" s="505" t="s">
        <v>4014</v>
      </c>
      <c r="D1253" s="502">
        <v>8</v>
      </c>
      <c r="E1253" s="490"/>
      <c r="F1253" s="493"/>
      <c r="G1253" s="492"/>
      <c r="H1253" s="502"/>
      <c r="I1253" s="493"/>
      <c r="J1253" s="493"/>
      <c r="K1253" s="487" t="str">
        <f ca="1">IFERROR(VLOOKUP(C1253,' Disaggregation - Section E '!A$10:N380,3,0),"")</f>
        <v/>
      </c>
      <c r="L1253" s="493"/>
      <c r="M1253" s="487"/>
      <c r="N1253" s="493"/>
      <c r="O1253" s="493"/>
    </row>
    <row r="1254" spans="1:15" x14ac:dyDescent="0.3">
      <c r="A1254" s="487" t="b">
        <v>0</v>
      </c>
      <c r="B1254" s="487"/>
      <c r="C1254" s="505" t="s">
        <v>4016</v>
      </c>
      <c r="D1254" s="502">
        <v>8</v>
      </c>
      <c r="E1254" s="490"/>
      <c r="F1254" s="493"/>
      <c r="G1254" s="492"/>
      <c r="H1254" s="502"/>
      <c r="I1254" s="493"/>
      <c r="J1254" s="493"/>
      <c r="K1254" s="487" t="str">
        <f ca="1">IFERROR(VLOOKUP(C1254,' Disaggregation - Section E '!A$10:N381,3,0),"")</f>
        <v/>
      </c>
      <c r="L1254" s="493"/>
      <c r="M1254" s="487"/>
      <c r="N1254" s="493"/>
      <c r="O1254" s="493"/>
    </row>
    <row r="1255" spans="1:15" x14ac:dyDescent="0.3">
      <c r="A1255" s="487" t="b">
        <v>0</v>
      </c>
      <c r="B1255" s="487"/>
      <c r="C1255" s="505" t="s">
        <v>4018</v>
      </c>
      <c r="D1255" s="502">
        <v>8</v>
      </c>
      <c r="E1255" s="490"/>
      <c r="F1255" s="493"/>
      <c r="G1255" s="492"/>
      <c r="H1255" s="502"/>
      <c r="I1255" s="493"/>
      <c r="J1255" s="493"/>
      <c r="K1255" s="487" t="str">
        <f ca="1">IFERROR(VLOOKUP(C1255,' Disaggregation - Section E '!A$10:N382,3,0),"")</f>
        <v/>
      </c>
      <c r="L1255" s="493"/>
      <c r="M1255" s="487"/>
      <c r="N1255" s="493"/>
      <c r="O1255" s="493"/>
    </row>
    <row r="1256" spans="1:15" x14ac:dyDescent="0.3">
      <c r="A1256" s="487" t="b">
        <v>0</v>
      </c>
      <c r="B1256" s="487"/>
      <c r="C1256" s="505" t="s">
        <v>4020</v>
      </c>
      <c r="D1256" s="502">
        <v>8</v>
      </c>
      <c r="E1256" s="490"/>
      <c r="F1256" s="493"/>
      <c r="G1256" s="492"/>
      <c r="H1256" s="502"/>
      <c r="I1256" s="493"/>
      <c r="J1256" s="493"/>
      <c r="K1256" s="487" t="str">
        <f ca="1">IFERROR(VLOOKUP(C1256,' Disaggregation - Section E '!A$10:N383,3,0),"")</f>
        <v/>
      </c>
      <c r="L1256" s="493"/>
      <c r="M1256" s="487"/>
      <c r="N1256" s="493"/>
      <c r="O1256" s="493"/>
    </row>
    <row r="1257" spans="1:15" x14ac:dyDescent="0.3">
      <c r="A1257" s="487" t="b">
        <v>0</v>
      </c>
      <c r="B1257" s="487"/>
      <c r="C1257" s="505" t="s">
        <v>4022</v>
      </c>
      <c r="D1257" s="502">
        <v>8</v>
      </c>
      <c r="E1257" s="490"/>
      <c r="F1257" s="493"/>
      <c r="G1257" s="492"/>
      <c r="H1257" s="502"/>
      <c r="I1257" s="493"/>
      <c r="J1257" s="493"/>
      <c r="K1257" s="487" t="str">
        <f ca="1">IFERROR(VLOOKUP(C1257,' Disaggregation - Section E '!A$10:N384,3,0),"")</f>
        <v/>
      </c>
      <c r="L1257" s="493"/>
      <c r="M1257" s="487"/>
      <c r="N1257" s="493"/>
      <c r="O1257" s="493"/>
    </row>
    <row r="1258" spans="1:15" x14ac:dyDescent="0.3">
      <c r="A1258" s="487" t="b">
        <v>0</v>
      </c>
      <c r="B1258" s="487"/>
      <c r="C1258" s="505" t="s">
        <v>4024</v>
      </c>
      <c r="D1258" s="502">
        <v>8</v>
      </c>
      <c r="E1258" s="490"/>
      <c r="F1258" s="493"/>
      <c r="G1258" s="492"/>
      <c r="H1258" s="502"/>
      <c r="I1258" s="493"/>
      <c r="J1258" s="493"/>
      <c r="K1258" s="487" t="str">
        <f ca="1">IFERROR(VLOOKUP(C1258,' Disaggregation - Section E '!A$10:N385,3,0),"")</f>
        <v/>
      </c>
      <c r="L1258" s="493"/>
      <c r="M1258" s="487"/>
      <c r="N1258" s="493"/>
      <c r="O1258" s="493"/>
    </row>
    <row r="1259" spans="1:15" x14ac:dyDescent="0.3">
      <c r="A1259" s="487" t="b">
        <v>0</v>
      </c>
      <c r="B1259" s="487"/>
      <c r="C1259" s="505" t="s">
        <v>4026</v>
      </c>
      <c r="D1259" s="502">
        <v>8</v>
      </c>
      <c r="E1259" s="490"/>
      <c r="F1259" s="493"/>
      <c r="G1259" s="492"/>
      <c r="H1259" s="502"/>
      <c r="I1259" s="493"/>
      <c r="J1259" s="493"/>
      <c r="K1259" s="487" t="str">
        <f ca="1">IFERROR(VLOOKUP(C1259,' Disaggregation - Section E '!A$10:N386,3,0),"")</f>
        <v/>
      </c>
      <c r="L1259" s="493"/>
      <c r="M1259" s="487"/>
      <c r="N1259" s="493"/>
      <c r="O1259" s="493"/>
    </row>
    <row r="1260" spans="1:15" x14ac:dyDescent="0.3">
      <c r="A1260" s="487" t="b">
        <v>0</v>
      </c>
      <c r="B1260" s="487"/>
      <c r="C1260" s="505" t="s">
        <v>4028</v>
      </c>
      <c r="D1260" s="502">
        <v>8</v>
      </c>
      <c r="E1260" s="490"/>
      <c r="F1260" s="493"/>
      <c r="G1260" s="492"/>
      <c r="H1260" s="502"/>
      <c r="I1260" s="493"/>
      <c r="J1260" s="493"/>
      <c r="K1260" s="487" t="str">
        <f ca="1">IFERROR(VLOOKUP(C1260,' Disaggregation - Section E '!A$10:N387,3,0),"")</f>
        <v/>
      </c>
      <c r="L1260" s="493"/>
      <c r="M1260" s="487"/>
      <c r="N1260" s="493"/>
      <c r="O1260" s="493"/>
    </row>
    <row r="1261" spans="1:15" x14ac:dyDescent="0.3">
      <c r="A1261" s="487" t="b">
        <v>0</v>
      </c>
      <c r="B1261" s="487"/>
      <c r="C1261" s="505" t="s">
        <v>4030</v>
      </c>
      <c r="D1261" s="502">
        <v>8</v>
      </c>
      <c r="E1261" s="490"/>
      <c r="F1261" s="493"/>
      <c r="G1261" s="492"/>
      <c r="H1261" s="502"/>
      <c r="I1261" s="493"/>
      <c r="J1261" s="493"/>
      <c r="K1261" s="487" t="str">
        <f ca="1">IFERROR(VLOOKUP(C1261,' Disaggregation - Section E '!A$10:N388,3,0),"")</f>
        <v/>
      </c>
      <c r="L1261" s="493"/>
      <c r="M1261" s="487"/>
      <c r="N1261" s="493"/>
      <c r="O1261" s="493"/>
    </row>
    <row r="1262" spans="1:15" x14ac:dyDescent="0.3">
      <c r="A1262" s="487" t="b">
        <v>0</v>
      </c>
      <c r="B1262" s="487"/>
      <c r="C1262" s="505" t="s">
        <v>4032</v>
      </c>
      <c r="D1262" s="502">
        <v>8</v>
      </c>
      <c r="E1262" s="490"/>
      <c r="F1262" s="493"/>
      <c r="G1262" s="492"/>
      <c r="H1262" s="502"/>
      <c r="I1262" s="493"/>
      <c r="J1262" s="493"/>
      <c r="K1262" s="487" t="str">
        <f ca="1">IFERROR(VLOOKUP(C1262,' Disaggregation - Section E '!A$10:N389,3,0),"")</f>
        <v/>
      </c>
      <c r="L1262" s="493"/>
      <c r="M1262" s="487"/>
      <c r="N1262" s="493"/>
      <c r="O1262" s="493"/>
    </row>
    <row r="1263" spans="1:15" x14ac:dyDescent="0.3">
      <c r="A1263" s="487" t="b">
        <v>0</v>
      </c>
      <c r="B1263" s="487"/>
      <c r="C1263" s="505" t="s">
        <v>4035</v>
      </c>
      <c r="D1263" s="502">
        <v>9</v>
      </c>
      <c r="E1263" s="490"/>
      <c r="F1263" s="493"/>
      <c r="G1263" s="492"/>
      <c r="H1263" s="502"/>
      <c r="I1263" s="493"/>
      <c r="J1263" s="493"/>
      <c r="K1263" s="487" t="str">
        <f ca="1">IFERROR(VLOOKUP(C1263,' Disaggregation - Section E '!A$10:N390,3,0),"")</f>
        <v/>
      </c>
      <c r="L1263" s="493"/>
      <c r="M1263" s="487"/>
      <c r="N1263" s="493"/>
      <c r="O1263" s="493"/>
    </row>
    <row r="1264" spans="1:15" x14ac:dyDescent="0.3">
      <c r="A1264" s="487" t="b">
        <v>0</v>
      </c>
      <c r="B1264" s="487"/>
      <c r="C1264" s="505" t="s">
        <v>4037</v>
      </c>
      <c r="D1264" s="502">
        <v>9</v>
      </c>
      <c r="E1264" s="490"/>
      <c r="F1264" s="493"/>
      <c r="G1264" s="492"/>
      <c r="H1264" s="502"/>
      <c r="I1264" s="493"/>
      <c r="J1264" s="493"/>
      <c r="K1264" s="487" t="str">
        <f ca="1">IFERROR(VLOOKUP(C1264,' Disaggregation - Section E '!A$10:N391,3,0),"")</f>
        <v/>
      </c>
      <c r="L1264" s="493"/>
      <c r="M1264" s="487"/>
      <c r="N1264" s="493"/>
      <c r="O1264" s="493"/>
    </row>
    <row r="1265" spans="1:15" x14ac:dyDescent="0.3">
      <c r="A1265" s="487" t="b">
        <v>0</v>
      </c>
      <c r="B1265" s="487"/>
      <c r="C1265" s="505" t="s">
        <v>4039</v>
      </c>
      <c r="D1265" s="502">
        <v>9</v>
      </c>
      <c r="E1265" s="490"/>
      <c r="F1265" s="493"/>
      <c r="G1265" s="492"/>
      <c r="H1265" s="502"/>
      <c r="I1265" s="493"/>
      <c r="J1265" s="493"/>
      <c r="K1265" s="487" t="str">
        <f ca="1">IFERROR(VLOOKUP(C1265,' Disaggregation - Section E '!A$10:N392,3,0),"")</f>
        <v/>
      </c>
      <c r="L1265" s="493"/>
      <c r="M1265" s="487"/>
      <c r="N1265" s="493"/>
      <c r="O1265" s="493"/>
    </row>
    <row r="1266" spans="1:15" x14ac:dyDescent="0.3">
      <c r="A1266" s="487" t="b">
        <v>0</v>
      </c>
      <c r="B1266" s="487"/>
      <c r="C1266" s="505" t="s">
        <v>4041</v>
      </c>
      <c r="D1266" s="502">
        <v>9</v>
      </c>
      <c r="E1266" s="490"/>
      <c r="F1266" s="493"/>
      <c r="G1266" s="492"/>
      <c r="H1266" s="502"/>
      <c r="I1266" s="493"/>
      <c r="J1266" s="493"/>
      <c r="K1266" s="487" t="str">
        <f ca="1">IFERROR(VLOOKUP(C1266,' Disaggregation - Section E '!A$10:N393,3,0),"")</f>
        <v/>
      </c>
      <c r="L1266" s="493"/>
      <c r="M1266" s="487"/>
      <c r="N1266" s="493"/>
      <c r="O1266" s="493"/>
    </row>
    <row r="1267" spans="1:15" x14ac:dyDescent="0.3">
      <c r="A1267" s="487" t="b">
        <v>0</v>
      </c>
      <c r="B1267" s="487"/>
      <c r="C1267" s="505" t="s">
        <v>4043</v>
      </c>
      <c r="D1267" s="502">
        <v>9</v>
      </c>
      <c r="E1267" s="490"/>
      <c r="F1267" s="493"/>
      <c r="G1267" s="492"/>
      <c r="H1267" s="502"/>
      <c r="I1267" s="493"/>
      <c r="J1267" s="493"/>
      <c r="K1267" s="487" t="str">
        <f ca="1">IFERROR(VLOOKUP(C1267,' Disaggregation - Section E '!A$10:N394,3,0),"")</f>
        <v/>
      </c>
      <c r="L1267" s="493"/>
      <c r="M1267" s="487"/>
      <c r="N1267" s="493"/>
      <c r="O1267" s="493"/>
    </row>
    <row r="1268" spans="1:15" x14ac:dyDescent="0.3">
      <c r="A1268" s="487" t="b">
        <v>0</v>
      </c>
      <c r="B1268" s="487"/>
      <c r="C1268" s="505" t="s">
        <v>4045</v>
      </c>
      <c r="D1268" s="502">
        <v>9</v>
      </c>
      <c r="E1268" s="490"/>
      <c r="F1268" s="493"/>
      <c r="G1268" s="492"/>
      <c r="H1268" s="502"/>
      <c r="I1268" s="493"/>
      <c r="J1268" s="493"/>
      <c r="K1268" s="487" t="str">
        <f ca="1">IFERROR(VLOOKUP(C1268,' Disaggregation - Section E '!A$10:N395,3,0),"")</f>
        <v/>
      </c>
      <c r="L1268" s="493"/>
      <c r="M1268" s="487"/>
      <c r="N1268" s="493"/>
      <c r="O1268" s="493"/>
    </row>
    <row r="1269" spans="1:15" x14ac:dyDescent="0.3">
      <c r="A1269" s="487" t="b">
        <v>0</v>
      </c>
      <c r="B1269" s="487"/>
      <c r="C1269" s="505" t="s">
        <v>4047</v>
      </c>
      <c r="D1269" s="502">
        <v>9</v>
      </c>
      <c r="E1269" s="490"/>
      <c r="F1269" s="493"/>
      <c r="G1269" s="492"/>
      <c r="H1269" s="502"/>
      <c r="I1269" s="493"/>
      <c r="J1269" s="493"/>
      <c r="K1269" s="487" t="str">
        <f ca="1">IFERROR(VLOOKUP(C1269,' Disaggregation - Section E '!A$10:N396,3,0),"")</f>
        <v/>
      </c>
      <c r="L1269" s="493"/>
      <c r="M1269" s="487"/>
      <c r="N1269" s="493"/>
      <c r="O1269" s="493"/>
    </row>
    <row r="1270" spans="1:15" x14ac:dyDescent="0.3">
      <c r="A1270" s="487" t="b">
        <v>0</v>
      </c>
      <c r="B1270" s="487"/>
      <c r="C1270" s="505" t="s">
        <v>4049</v>
      </c>
      <c r="D1270" s="502">
        <v>9</v>
      </c>
      <c r="E1270" s="490"/>
      <c r="F1270" s="493"/>
      <c r="G1270" s="492"/>
      <c r="H1270" s="502"/>
      <c r="I1270" s="493"/>
      <c r="J1270" s="493"/>
      <c r="K1270" s="487" t="str">
        <f ca="1">IFERROR(VLOOKUP(C1270,' Disaggregation - Section E '!A$10:N397,3,0),"")</f>
        <v/>
      </c>
      <c r="L1270" s="493"/>
      <c r="M1270" s="487"/>
      <c r="N1270" s="493"/>
      <c r="O1270" s="493"/>
    </row>
    <row r="1271" spans="1:15" x14ac:dyDescent="0.3">
      <c r="A1271" s="487" t="b">
        <v>0</v>
      </c>
      <c r="B1271" s="487"/>
      <c r="C1271" s="505" t="s">
        <v>4051</v>
      </c>
      <c r="D1271" s="502">
        <v>9</v>
      </c>
      <c r="E1271" s="490"/>
      <c r="F1271" s="493"/>
      <c r="G1271" s="492"/>
      <c r="H1271" s="502"/>
      <c r="I1271" s="493"/>
      <c r="J1271" s="493"/>
      <c r="K1271" s="487" t="str">
        <f ca="1">IFERROR(VLOOKUP(C1271,' Disaggregation - Section E '!A$10:N398,3,0),"")</f>
        <v/>
      </c>
      <c r="L1271" s="493"/>
      <c r="M1271" s="487"/>
      <c r="N1271" s="493"/>
      <c r="O1271" s="493"/>
    </row>
    <row r="1272" spans="1:15" x14ac:dyDescent="0.3">
      <c r="A1272" s="487" t="b">
        <v>0</v>
      </c>
      <c r="B1272" s="487"/>
      <c r="C1272" s="505" t="s">
        <v>4053</v>
      </c>
      <c r="D1272" s="502">
        <v>9</v>
      </c>
      <c r="E1272" s="490"/>
      <c r="F1272" s="493"/>
      <c r="G1272" s="492"/>
      <c r="H1272" s="502"/>
      <c r="I1272" s="493"/>
      <c r="J1272" s="493"/>
      <c r="K1272" s="487" t="str">
        <f ca="1">IFERROR(VLOOKUP(C1272,' Disaggregation - Section E '!A$10:N399,3,0),"")</f>
        <v/>
      </c>
      <c r="L1272" s="493"/>
      <c r="M1272" s="487"/>
      <c r="N1272" s="493"/>
      <c r="O1272" s="493"/>
    </row>
    <row r="1273" spans="1:15" x14ac:dyDescent="0.3">
      <c r="A1273" s="487" t="b">
        <v>0</v>
      </c>
      <c r="B1273" s="487"/>
      <c r="C1273" s="505" t="s">
        <v>4056</v>
      </c>
      <c r="D1273" s="502">
        <v>10</v>
      </c>
      <c r="E1273" s="490"/>
      <c r="F1273" s="493"/>
      <c r="G1273" s="492"/>
      <c r="H1273" s="502"/>
      <c r="I1273" s="493"/>
      <c r="J1273" s="493"/>
      <c r="K1273" s="487" t="str">
        <f ca="1">IFERROR(VLOOKUP(C1273,' Disaggregation - Section E '!A$10:N400,3,0),"")</f>
        <v/>
      </c>
      <c r="L1273" s="493"/>
      <c r="M1273" s="487"/>
      <c r="N1273" s="493"/>
      <c r="O1273" s="493"/>
    </row>
    <row r="1274" spans="1:15" x14ac:dyDescent="0.3">
      <c r="A1274" s="487" t="b">
        <v>0</v>
      </c>
      <c r="B1274" s="487"/>
      <c r="C1274" s="505" t="s">
        <v>4058</v>
      </c>
      <c r="D1274" s="502">
        <v>10</v>
      </c>
      <c r="E1274" s="490"/>
      <c r="F1274" s="493"/>
      <c r="G1274" s="492"/>
      <c r="H1274" s="502"/>
      <c r="I1274" s="493"/>
      <c r="J1274" s="493"/>
      <c r="K1274" s="487" t="str">
        <f ca="1">IFERROR(VLOOKUP(C1274,' Disaggregation - Section E '!A$10:N401,3,0),"")</f>
        <v/>
      </c>
      <c r="L1274" s="493"/>
      <c r="M1274" s="487"/>
      <c r="N1274" s="493"/>
      <c r="O1274" s="493"/>
    </row>
    <row r="1275" spans="1:15" x14ac:dyDescent="0.3">
      <c r="A1275" s="487" t="b">
        <v>0</v>
      </c>
      <c r="B1275" s="487"/>
      <c r="C1275" s="505" t="s">
        <v>4060</v>
      </c>
      <c r="D1275" s="502">
        <v>10</v>
      </c>
      <c r="E1275" s="490"/>
      <c r="F1275" s="493"/>
      <c r="G1275" s="492"/>
      <c r="H1275" s="502"/>
      <c r="I1275" s="493"/>
      <c r="J1275" s="493"/>
      <c r="K1275" s="487" t="str">
        <f ca="1">IFERROR(VLOOKUP(C1275,' Disaggregation - Section E '!A$10:N402,3,0),"")</f>
        <v/>
      </c>
      <c r="L1275" s="493"/>
      <c r="M1275" s="487"/>
      <c r="N1275" s="493"/>
      <c r="O1275" s="493"/>
    </row>
    <row r="1276" spans="1:15" x14ac:dyDescent="0.3">
      <c r="A1276" s="487" t="b">
        <v>0</v>
      </c>
      <c r="B1276" s="487"/>
      <c r="C1276" s="505" t="s">
        <v>4062</v>
      </c>
      <c r="D1276" s="502">
        <v>10</v>
      </c>
      <c r="E1276" s="490"/>
      <c r="F1276" s="493"/>
      <c r="G1276" s="492"/>
      <c r="H1276" s="502"/>
      <c r="I1276" s="493"/>
      <c r="J1276" s="493"/>
      <c r="K1276" s="487" t="str">
        <f ca="1">IFERROR(VLOOKUP(C1276,' Disaggregation - Section E '!A$10:N403,3,0),"")</f>
        <v/>
      </c>
      <c r="L1276" s="493"/>
      <c r="M1276" s="487"/>
      <c r="N1276" s="493"/>
      <c r="O1276" s="493"/>
    </row>
    <row r="1277" spans="1:15" x14ac:dyDescent="0.3">
      <c r="A1277" s="487" t="b">
        <v>0</v>
      </c>
      <c r="B1277" s="487"/>
      <c r="C1277" s="505" t="s">
        <v>4064</v>
      </c>
      <c r="D1277" s="502">
        <v>10</v>
      </c>
      <c r="E1277" s="490"/>
      <c r="F1277" s="493"/>
      <c r="G1277" s="492"/>
      <c r="H1277" s="502"/>
      <c r="I1277" s="493"/>
      <c r="J1277" s="493"/>
      <c r="K1277" s="487" t="str">
        <f ca="1">IFERROR(VLOOKUP(C1277,' Disaggregation - Section E '!A$10:N404,3,0),"")</f>
        <v/>
      </c>
      <c r="L1277" s="493"/>
      <c r="M1277" s="487"/>
      <c r="N1277" s="493"/>
      <c r="O1277" s="493"/>
    </row>
    <row r="1278" spans="1:15" x14ac:dyDescent="0.3">
      <c r="A1278" s="487" t="b">
        <v>0</v>
      </c>
      <c r="B1278" s="487"/>
      <c r="C1278" s="505" t="s">
        <v>4066</v>
      </c>
      <c r="D1278" s="502">
        <v>10</v>
      </c>
      <c r="E1278" s="490"/>
      <c r="F1278" s="493"/>
      <c r="G1278" s="492"/>
      <c r="H1278" s="502"/>
      <c r="I1278" s="493"/>
      <c r="J1278" s="493"/>
      <c r="K1278" s="487" t="str">
        <f ca="1">IFERROR(VLOOKUP(C1278,' Disaggregation - Section E '!A$10:N405,3,0),"")</f>
        <v/>
      </c>
      <c r="L1278" s="493"/>
      <c r="M1278" s="487"/>
      <c r="N1278" s="493"/>
      <c r="O1278" s="493"/>
    </row>
    <row r="1279" spans="1:15" x14ac:dyDescent="0.3">
      <c r="A1279" s="487" t="b">
        <v>0</v>
      </c>
      <c r="B1279" s="487"/>
      <c r="C1279" s="505" t="s">
        <v>4068</v>
      </c>
      <c r="D1279" s="502">
        <v>10</v>
      </c>
      <c r="E1279" s="490"/>
      <c r="F1279" s="493"/>
      <c r="G1279" s="492"/>
      <c r="H1279" s="502"/>
      <c r="I1279" s="493"/>
      <c r="J1279" s="493"/>
      <c r="K1279" s="487" t="str">
        <f ca="1">IFERROR(VLOOKUP(C1279,' Disaggregation - Section E '!A$10:N406,3,0),"")</f>
        <v/>
      </c>
      <c r="L1279" s="493"/>
      <c r="M1279" s="487"/>
      <c r="N1279" s="493"/>
      <c r="O1279" s="493"/>
    </row>
    <row r="1280" spans="1:15" x14ac:dyDescent="0.3">
      <c r="A1280" s="487" t="b">
        <v>0</v>
      </c>
      <c r="B1280" s="487"/>
      <c r="C1280" s="505" t="s">
        <v>4070</v>
      </c>
      <c r="D1280" s="502">
        <v>10</v>
      </c>
      <c r="E1280" s="490"/>
      <c r="F1280" s="493"/>
      <c r="G1280" s="492"/>
      <c r="H1280" s="502"/>
      <c r="I1280" s="493"/>
      <c r="J1280" s="493"/>
      <c r="K1280" s="487" t="str">
        <f ca="1">IFERROR(VLOOKUP(C1280,' Disaggregation - Section E '!A$10:N407,3,0),"")</f>
        <v/>
      </c>
      <c r="L1280" s="493"/>
      <c r="M1280" s="487"/>
      <c r="N1280" s="493"/>
      <c r="O1280" s="493"/>
    </row>
    <row r="1281" spans="1:15" x14ac:dyDescent="0.3">
      <c r="A1281" s="487" t="b">
        <v>0</v>
      </c>
      <c r="B1281" s="487"/>
      <c r="C1281" s="505" t="s">
        <v>4072</v>
      </c>
      <c r="D1281" s="502">
        <v>10</v>
      </c>
      <c r="E1281" s="490"/>
      <c r="F1281" s="493"/>
      <c r="G1281" s="492"/>
      <c r="H1281" s="502"/>
      <c r="I1281" s="493"/>
      <c r="J1281" s="493"/>
      <c r="K1281" s="487" t="str">
        <f ca="1">IFERROR(VLOOKUP(C1281,' Disaggregation - Section E '!A$10:N408,3,0),"")</f>
        <v/>
      </c>
      <c r="L1281" s="493"/>
      <c r="M1281" s="487"/>
      <c r="N1281" s="493"/>
      <c r="O1281" s="493"/>
    </row>
    <row r="1282" spans="1:15" x14ac:dyDescent="0.3">
      <c r="A1282" s="487" t="b">
        <v>0</v>
      </c>
      <c r="B1282" s="487"/>
      <c r="C1282" s="505" t="s">
        <v>4074</v>
      </c>
      <c r="D1282" s="502">
        <v>10</v>
      </c>
      <c r="E1282" s="490"/>
      <c r="F1282" s="493"/>
      <c r="G1282" s="492"/>
      <c r="H1282" s="502"/>
      <c r="I1282" s="493"/>
      <c r="J1282" s="493"/>
      <c r="K1282" s="487" t="str">
        <f ca="1">IFERROR(VLOOKUP(C1282,' Disaggregation - Section E '!A$10:N409,3,0),"")</f>
        <v/>
      </c>
      <c r="L1282" s="493"/>
      <c r="M1282" s="487"/>
      <c r="N1282" s="493"/>
      <c r="O1282" s="493"/>
    </row>
    <row r="1283" spans="1:15" x14ac:dyDescent="0.3">
      <c r="A1283" s="487" t="b">
        <v>0</v>
      </c>
      <c r="B1283" s="487"/>
      <c r="C1283" s="505" t="s">
        <v>4077</v>
      </c>
      <c r="D1283" s="502">
        <v>11</v>
      </c>
      <c r="E1283" s="490"/>
      <c r="F1283" s="493"/>
      <c r="G1283" s="492"/>
      <c r="H1283" s="502"/>
      <c r="I1283" s="493"/>
      <c r="J1283" s="493"/>
      <c r="K1283" s="487" t="str">
        <f ca="1">IFERROR(VLOOKUP(C1283,' Disaggregation - Section E '!A$10:N410,3,0),"")</f>
        <v/>
      </c>
      <c r="L1283" s="493"/>
      <c r="M1283" s="487"/>
      <c r="N1283" s="493"/>
      <c r="O1283" s="493"/>
    </row>
    <row r="1284" spans="1:15" x14ac:dyDescent="0.3">
      <c r="A1284" s="487" t="b">
        <v>0</v>
      </c>
      <c r="B1284" s="487"/>
      <c r="C1284" s="505" t="s">
        <v>4079</v>
      </c>
      <c r="D1284" s="502">
        <v>11</v>
      </c>
      <c r="E1284" s="490"/>
      <c r="F1284" s="493"/>
      <c r="G1284" s="492"/>
      <c r="H1284" s="502"/>
      <c r="I1284" s="493"/>
      <c r="J1284" s="493"/>
      <c r="K1284" s="487" t="str">
        <f ca="1">IFERROR(VLOOKUP(C1284,' Disaggregation - Section E '!A$10:N411,3,0),"")</f>
        <v/>
      </c>
      <c r="L1284" s="493"/>
      <c r="M1284" s="487"/>
      <c r="N1284" s="493"/>
      <c r="O1284" s="493"/>
    </row>
    <row r="1285" spans="1:15" x14ac:dyDescent="0.3">
      <c r="A1285" s="487" t="b">
        <v>0</v>
      </c>
      <c r="B1285" s="487"/>
      <c r="C1285" s="505" t="s">
        <v>4081</v>
      </c>
      <c r="D1285" s="502">
        <v>11</v>
      </c>
      <c r="E1285" s="490"/>
      <c r="F1285" s="493"/>
      <c r="G1285" s="492"/>
      <c r="H1285" s="502"/>
      <c r="I1285" s="493"/>
      <c r="J1285" s="493"/>
      <c r="K1285" s="487" t="str">
        <f ca="1">IFERROR(VLOOKUP(C1285,' Disaggregation - Section E '!A$10:N412,3,0),"")</f>
        <v/>
      </c>
      <c r="L1285" s="493"/>
      <c r="M1285" s="487"/>
      <c r="N1285" s="493"/>
      <c r="O1285" s="493"/>
    </row>
    <row r="1286" spans="1:15" x14ac:dyDescent="0.3">
      <c r="A1286" s="487" t="b">
        <v>0</v>
      </c>
      <c r="B1286" s="487"/>
      <c r="C1286" s="505" t="s">
        <v>4083</v>
      </c>
      <c r="D1286" s="502">
        <v>11</v>
      </c>
      <c r="E1286" s="490"/>
      <c r="F1286" s="493"/>
      <c r="G1286" s="492"/>
      <c r="H1286" s="502"/>
      <c r="I1286" s="493"/>
      <c r="J1286" s="493"/>
      <c r="K1286" s="487" t="str">
        <f ca="1">IFERROR(VLOOKUP(C1286,' Disaggregation - Section E '!A$10:N413,3,0),"")</f>
        <v/>
      </c>
      <c r="L1286" s="493"/>
      <c r="M1286" s="487"/>
      <c r="N1286" s="493"/>
      <c r="O1286" s="493"/>
    </row>
    <row r="1287" spans="1:15" x14ac:dyDescent="0.3">
      <c r="A1287" s="487" t="b">
        <v>0</v>
      </c>
      <c r="B1287" s="487"/>
      <c r="C1287" s="505" t="s">
        <v>4085</v>
      </c>
      <c r="D1287" s="502">
        <v>11</v>
      </c>
      <c r="E1287" s="490"/>
      <c r="F1287" s="493"/>
      <c r="G1287" s="492"/>
      <c r="H1287" s="502"/>
      <c r="I1287" s="493"/>
      <c r="J1287" s="493"/>
      <c r="K1287" s="487" t="str">
        <f ca="1">IFERROR(VLOOKUP(C1287,' Disaggregation - Section E '!A$10:N414,3,0),"")</f>
        <v/>
      </c>
      <c r="L1287" s="493"/>
      <c r="M1287" s="487"/>
      <c r="N1287" s="493"/>
      <c r="O1287" s="493"/>
    </row>
    <row r="1288" spans="1:15" x14ac:dyDescent="0.3">
      <c r="A1288" s="487" t="b">
        <v>0</v>
      </c>
      <c r="B1288" s="487"/>
      <c r="C1288" s="505" t="s">
        <v>4087</v>
      </c>
      <c r="D1288" s="502">
        <v>11</v>
      </c>
      <c r="E1288" s="490"/>
      <c r="F1288" s="493"/>
      <c r="G1288" s="492"/>
      <c r="H1288" s="502"/>
      <c r="I1288" s="493"/>
      <c r="J1288" s="493"/>
      <c r="K1288" s="487" t="str">
        <f ca="1">IFERROR(VLOOKUP(C1288,' Disaggregation - Section E '!A$10:N415,3,0),"")</f>
        <v/>
      </c>
      <c r="L1288" s="493"/>
      <c r="M1288" s="487"/>
      <c r="N1288" s="493"/>
      <c r="O1288" s="493"/>
    </row>
    <row r="1289" spans="1:15" x14ac:dyDescent="0.3">
      <c r="A1289" s="487" t="b">
        <v>0</v>
      </c>
      <c r="B1289" s="487"/>
      <c r="C1289" s="505" t="s">
        <v>4089</v>
      </c>
      <c r="D1289" s="502">
        <v>11</v>
      </c>
      <c r="E1289" s="490"/>
      <c r="F1289" s="493"/>
      <c r="G1289" s="492"/>
      <c r="H1289" s="502"/>
      <c r="I1289" s="493"/>
      <c r="J1289" s="493"/>
      <c r="K1289" s="487" t="str">
        <f ca="1">IFERROR(VLOOKUP(C1289,' Disaggregation - Section E '!A$10:N416,3,0),"")</f>
        <v/>
      </c>
      <c r="L1289" s="493"/>
      <c r="M1289" s="487"/>
      <c r="N1289" s="493"/>
      <c r="O1289" s="493"/>
    </row>
    <row r="1290" spans="1:15" x14ac:dyDescent="0.3">
      <c r="A1290" s="487" t="b">
        <v>0</v>
      </c>
      <c r="B1290" s="487"/>
      <c r="C1290" s="505" t="s">
        <v>4091</v>
      </c>
      <c r="D1290" s="502">
        <v>11</v>
      </c>
      <c r="E1290" s="490"/>
      <c r="F1290" s="493"/>
      <c r="G1290" s="492"/>
      <c r="H1290" s="502"/>
      <c r="I1290" s="493"/>
      <c r="J1290" s="493"/>
      <c r="K1290" s="487" t="str">
        <f ca="1">IFERROR(VLOOKUP(C1290,' Disaggregation - Section E '!A$10:N417,3,0),"")</f>
        <v/>
      </c>
      <c r="L1290" s="493"/>
      <c r="M1290" s="487"/>
      <c r="N1290" s="493"/>
      <c r="O1290" s="493"/>
    </row>
    <row r="1291" spans="1:15" x14ac:dyDescent="0.3">
      <c r="A1291" s="487" t="b">
        <v>0</v>
      </c>
      <c r="B1291" s="487"/>
      <c r="C1291" s="505" t="s">
        <v>4093</v>
      </c>
      <c r="D1291" s="502">
        <v>11</v>
      </c>
      <c r="E1291" s="490"/>
      <c r="F1291" s="493"/>
      <c r="G1291" s="492"/>
      <c r="H1291" s="502"/>
      <c r="I1291" s="493"/>
      <c r="J1291" s="493"/>
      <c r="K1291" s="487" t="str">
        <f ca="1">IFERROR(VLOOKUP(C1291,' Disaggregation - Section E '!A$10:N418,3,0),"")</f>
        <v/>
      </c>
      <c r="L1291" s="493"/>
      <c r="M1291" s="487"/>
      <c r="N1291" s="493"/>
      <c r="O1291" s="493"/>
    </row>
    <row r="1292" spans="1:15" x14ac:dyDescent="0.3">
      <c r="A1292" s="487" t="b">
        <v>0</v>
      </c>
      <c r="B1292" s="487"/>
      <c r="C1292" s="505" t="s">
        <v>4095</v>
      </c>
      <c r="D1292" s="502">
        <v>11</v>
      </c>
      <c r="E1292" s="490"/>
      <c r="F1292" s="493"/>
      <c r="G1292" s="492"/>
      <c r="H1292" s="502"/>
      <c r="I1292" s="493"/>
      <c r="J1292" s="493"/>
      <c r="K1292" s="487" t="str">
        <f ca="1">IFERROR(VLOOKUP(C1292,' Disaggregation - Section E '!A$10:N419,3,0),"")</f>
        <v/>
      </c>
      <c r="L1292" s="493"/>
      <c r="M1292" s="487"/>
      <c r="N1292" s="493"/>
      <c r="O1292" s="493"/>
    </row>
    <row r="1293" spans="1:15" x14ac:dyDescent="0.3">
      <c r="A1293" s="487" t="b">
        <v>0</v>
      </c>
      <c r="B1293" s="487"/>
      <c r="C1293" s="505" t="s">
        <v>4098</v>
      </c>
      <c r="D1293" s="502">
        <v>12</v>
      </c>
      <c r="E1293" s="490"/>
      <c r="F1293" s="493"/>
      <c r="G1293" s="492"/>
      <c r="H1293" s="502"/>
      <c r="I1293" s="493"/>
      <c r="J1293" s="493"/>
      <c r="K1293" s="487" t="str">
        <f ca="1">IFERROR(VLOOKUP(C1293,' Disaggregation - Section E '!A$10:N420,3,0),"")</f>
        <v/>
      </c>
      <c r="L1293" s="493"/>
      <c r="M1293" s="487"/>
      <c r="N1293" s="493"/>
      <c r="O1293" s="493"/>
    </row>
    <row r="1294" spans="1:15" x14ac:dyDescent="0.3">
      <c r="A1294" s="487" t="b">
        <v>0</v>
      </c>
      <c r="B1294" s="487"/>
      <c r="C1294" s="505" t="s">
        <v>4100</v>
      </c>
      <c r="D1294" s="502">
        <v>12</v>
      </c>
      <c r="E1294" s="490"/>
      <c r="F1294" s="493"/>
      <c r="G1294" s="492"/>
      <c r="H1294" s="502"/>
      <c r="I1294" s="493"/>
      <c r="J1294" s="493"/>
      <c r="K1294" s="487" t="str">
        <f ca="1">IFERROR(VLOOKUP(C1294,' Disaggregation - Section E '!A$10:N421,3,0),"")</f>
        <v/>
      </c>
      <c r="L1294" s="493"/>
      <c r="M1294" s="487"/>
      <c r="N1294" s="493"/>
      <c r="O1294" s="493"/>
    </row>
    <row r="1295" spans="1:15" x14ac:dyDescent="0.3">
      <c r="A1295" s="487" t="b">
        <v>0</v>
      </c>
      <c r="B1295" s="487"/>
      <c r="C1295" s="505" t="s">
        <v>4102</v>
      </c>
      <c r="D1295" s="502">
        <v>12</v>
      </c>
      <c r="E1295" s="490"/>
      <c r="F1295" s="493"/>
      <c r="G1295" s="492"/>
      <c r="H1295" s="502"/>
      <c r="I1295" s="493"/>
      <c r="J1295" s="493"/>
      <c r="K1295" s="487" t="str">
        <f ca="1">IFERROR(VLOOKUP(C1295,' Disaggregation - Section E '!A$10:N422,3,0),"")</f>
        <v/>
      </c>
      <c r="L1295" s="493"/>
      <c r="M1295" s="487"/>
      <c r="N1295" s="493"/>
      <c r="O1295" s="493"/>
    </row>
    <row r="1296" spans="1:15" x14ac:dyDescent="0.3">
      <c r="A1296" s="487" t="b">
        <v>0</v>
      </c>
      <c r="B1296" s="487"/>
      <c r="C1296" s="505" t="s">
        <v>4104</v>
      </c>
      <c r="D1296" s="502">
        <v>12</v>
      </c>
      <c r="E1296" s="490"/>
      <c r="F1296" s="493"/>
      <c r="G1296" s="492"/>
      <c r="H1296" s="502"/>
      <c r="I1296" s="493"/>
      <c r="J1296" s="493"/>
      <c r="K1296" s="487" t="str">
        <f ca="1">IFERROR(VLOOKUP(C1296,' Disaggregation - Section E '!A$10:N423,3,0),"")</f>
        <v/>
      </c>
      <c r="L1296" s="493"/>
      <c r="M1296" s="487"/>
      <c r="N1296" s="493"/>
      <c r="O1296" s="493"/>
    </row>
    <row r="1297" spans="1:15" x14ac:dyDescent="0.3">
      <c r="A1297" s="487" t="b">
        <v>0</v>
      </c>
      <c r="B1297" s="487"/>
      <c r="C1297" s="505" t="s">
        <v>4106</v>
      </c>
      <c r="D1297" s="502">
        <v>12</v>
      </c>
      <c r="E1297" s="490"/>
      <c r="F1297" s="493"/>
      <c r="G1297" s="492"/>
      <c r="H1297" s="502"/>
      <c r="I1297" s="493"/>
      <c r="J1297" s="493"/>
      <c r="K1297" s="487" t="str">
        <f ca="1">IFERROR(VLOOKUP(C1297,' Disaggregation - Section E '!A$10:N424,3,0),"")</f>
        <v/>
      </c>
      <c r="L1297" s="493"/>
      <c r="M1297" s="487"/>
      <c r="N1297" s="493"/>
      <c r="O1297" s="493"/>
    </row>
    <row r="1298" spans="1:15" x14ac:dyDescent="0.3">
      <c r="A1298" s="487" t="b">
        <v>0</v>
      </c>
      <c r="B1298" s="487"/>
      <c r="C1298" s="505" t="s">
        <v>4108</v>
      </c>
      <c r="D1298" s="502">
        <v>12</v>
      </c>
      <c r="E1298" s="490"/>
      <c r="F1298" s="493"/>
      <c r="G1298" s="492"/>
      <c r="H1298" s="502"/>
      <c r="I1298" s="493"/>
      <c r="J1298" s="493"/>
      <c r="K1298" s="487" t="str">
        <f ca="1">IFERROR(VLOOKUP(C1298,' Disaggregation - Section E '!A$10:N425,3,0),"")</f>
        <v/>
      </c>
      <c r="L1298" s="493"/>
      <c r="M1298" s="487"/>
      <c r="N1298" s="493"/>
      <c r="O1298" s="493"/>
    </row>
    <row r="1299" spans="1:15" x14ac:dyDescent="0.3">
      <c r="A1299" s="487" t="b">
        <v>0</v>
      </c>
      <c r="B1299" s="487"/>
      <c r="C1299" s="505" t="s">
        <v>4110</v>
      </c>
      <c r="D1299" s="502">
        <v>12</v>
      </c>
      <c r="E1299" s="490"/>
      <c r="F1299" s="493"/>
      <c r="G1299" s="492"/>
      <c r="H1299" s="502"/>
      <c r="I1299" s="493"/>
      <c r="J1299" s="493"/>
      <c r="K1299" s="487" t="str">
        <f ca="1">IFERROR(VLOOKUP(C1299,' Disaggregation - Section E '!A$10:N426,3,0),"")</f>
        <v/>
      </c>
      <c r="L1299" s="493"/>
      <c r="M1299" s="487"/>
      <c r="N1299" s="493"/>
      <c r="O1299" s="493"/>
    </row>
    <row r="1300" spans="1:15" x14ac:dyDescent="0.3">
      <c r="A1300" s="487" t="b">
        <v>0</v>
      </c>
      <c r="B1300" s="487"/>
      <c r="C1300" s="505" t="s">
        <v>4112</v>
      </c>
      <c r="D1300" s="502">
        <v>12</v>
      </c>
      <c r="E1300" s="490"/>
      <c r="F1300" s="493"/>
      <c r="G1300" s="492"/>
      <c r="H1300" s="502"/>
      <c r="I1300" s="493"/>
      <c r="J1300" s="493"/>
      <c r="K1300" s="487" t="str">
        <f ca="1">IFERROR(VLOOKUP(C1300,' Disaggregation - Section E '!A$10:N427,3,0),"")</f>
        <v/>
      </c>
      <c r="L1300" s="493"/>
      <c r="M1300" s="487"/>
      <c r="N1300" s="493"/>
      <c r="O1300" s="493"/>
    </row>
    <row r="1301" spans="1:15" x14ac:dyDescent="0.3">
      <c r="A1301" s="487" t="b">
        <v>0</v>
      </c>
      <c r="B1301" s="487"/>
      <c r="C1301" s="505" t="s">
        <v>4114</v>
      </c>
      <c r="D1301" s="502">
        <v>12</v>
      </c>
      <c r="E1301" s="490"/>
      <c r="F1301" s="493"/>
      <c r="G1301" s="492"/>
      <c r="H1301" s="502"/>
      <c r="I1301" s="493"/>
      <c r="J1301" s="493"/>
      <c r="K1301" s="487" t="str">
        <f ca="1">IFERROR(VLOOKUP(C1301,' Disaggregation - Section E '!A$10:N428,3,0),"")</f>
        <v/>
      </c>
      <c r="L1301" s="493"/>
      <c r="M1301" s="487"/>
      <c r="N1301" s="493"/>
      <c r="O1301" s="493"/>
    </row>
    <row r="1302" spans="1:15" x14ac:dyDescent="0.3">
      <c r="A1302" s="487" t="b">
        <v>0</v>
      </c>
      <c r="B1302" s="487"/>
      <c r="C1302" s="505" t="s">
        <v>4116</v>
      </c>
      <c r="D1302" s="502">
        <v>12</v>
      </c>
      <c r="E1302" s="490"/>
      <c r="F1302" s="493"/>
      <c r="G1302" s="492"/>
      <c r="H1302" s="502"/>
      <c r="I1302" s="493"/>
      <c r="J1302" s="493"/>
      <c r="K1302" s="487" t="str">
        <f ca="1">IFERROR(VLOOKUP(C1302,' Disaggregation - Section E '!A$10:N429,3,0),"")</f>
        <v/>
      </c>
      <c r="L1302" s="493"/>
      <c r="M1302" s="487"/>
      <c r="N1302" s="493"/>
      <c r="O1302" s="493"/>
    </row>
    <row r="1303" spans="1:15" x14ac:dyDescent="0.3">
      <c r="A1303" s="487" t="b">
        <v>0</v>
      </c>
      <c r="B1303" s="487"/>
      <c r="C1303" s="505" t="s">
        <v>4119</v>
      </c>
      <c r="D1303" s="502">
        <v>13</v>
      </c>
      <c r="E1303" s="490"/>
      <c r="F1303" s="493"/>
      <c r="G1303" s="492"/>
      <c r="H1303" s="502"/>
      <c r="I1303" s="493"/>
      <c r="J1303" s="493"/>
      <c r="K1303" s="487" t="str">
        <f ca="1">IFERROR(VLOOKUP(C1303,' Disaggregation - Section E '!A$10:N430,3,0),"")</f>
        <v/>
      </c>
      <c r="L1303" s="493"/>
      <c r="M1303" s="487"/>
      <c r="N1303" s="493"/>
      <c r="O1303" s="493"/>
    </row>
    <row r="1304" spans="1:15" x14ac:dyDescent="0.3">
      <c r="A1304" s="487" t="b">
        <v>0</v>
      </c>
      <c r="B1304" s="487"/>
      <c r="C1304" s="505" t="s">
        <v>4121</v>
      </c>
      <c r="D1304" s="502">
        <v>13</v>
      </c>
      <c r="E1304" s="490"/>
      <c r="F1304" s="493"/>
      <c r="G1304" s="492"/>
      <c r="H1304" s="502"/>
      <c r="I1304" s="493"/>
      <c r="J1304" s="493"/>
      <c r="K1304" s="487" t="str">
        <f ca="1">IFERROR(VLOOKUP(C1304,' Disaggregation - Section E '!A$10:N431,3,0),"")</f>
        <v/>
      </c>
      <c r="L1304" s="493"/>
      <c r="M1304" s="487"/>
      <c r="N1304" s="493"/>
      <c r="O1304" s="493"/>
    </row>
    <row r="1305" spans="1:15" x14ac:dyDescent="0.3">
      <c r="A1305" s="487" t="b">
        <v>0</v>
      </c>
      <c r="B1305" s="487"/>
      <c r="C1305" s="505" t="s">
        <v>4123</v>
      </c>
      <c r="D1305" s="502">
        <v>13</v>
      </c>
      <c r="E1305" s="490"/>
      <c r="F1305" s="493"/>
      <c r="G1305" s="492"/>
      <c r="H1305" s="502"/>
      <c r="I1305" s="493"/>
      <c r="J1305" s="493"/>
      <c r="K1305" s="487" t="str">
        <f ca="1">IFERROR(VLOOKUP(C1305,' Disaggregation - Section E '!A$10:N432,3,0),"")</f>
        <v/>
      </c>
      <c r="L1305" s="493"/>
      <c r="M1305" s="487"/>
      <c r="N1305" s="493"/>
      <c r="O1305" s="493"/>
    </row>
    <row r="1306" spans="1:15" x14ac:dyDescent="0.3">
      <c r="A1306" s="487" t="b">
        <v>0</v>
      </c>
      <c r="B1306" s="487"/>
      <c r="C1306" s="505" t="s">
        <v>4125</v>
      </c>
      <c r="D1306" s="502">
        <v>13</v>
      </c>
      <c r="E1306" s="490"/>
      <c r="F1306" s="493"/>
      <c r="G1306" s="492"/>
      <c r="H1306" s="502"/>
      <c r="I1306" s="493"/>
      <c r="J1306" s="493"/>
      <c r="K1306" s="487" t="str">
        <f ca="1">IFERROR(VLOOKUP(C1306,' Disaggregation - Section E '!A$10:N433,3,0),"")</f>
        <v/>
      </c>
      <c r="L1306" s="493"/>
      <c r="M1306" s="487"/>
      <c r="N1306" s="493"/>
      <c r="O1306" s="493"/>
    </row>
    <row r="1307" spans="1:15" x14ac:dyDescent="0.3">
      <c r="A1307" s="487" t="b">
        <v>0</v>
      </c>
      <c r="B1307" s="487"/>
      <c r="C1307" s="505" t="s">
        <v>4127</v>
      </c>
      <c r="D1307" s="502">
        <v>13</v>
      </c>
      <c r="E1307" s="490"/>
      <c r="F1307" s="493"/>
      <c r="G1307" s="492"/>
      <c r="H1307" s="502"/>
      <c r="I1307" s="493"/>
      <c r="J1307" s="493"/>
      <c r="K1307" s="487" t="str">
        <f ca="1">IFERROR(VLOOKUP(C1307,' Disaggregation - Section E '!A$10:N434,3,0),"")</f>
        <v/>
      </c>
      <c r="L1307" s="493"/>
      <c r="M1307" s="487"/>
      <c r="N1307" s="493"/>
      <c r="O1307" s="493"/>
    </row>
    <row r="1308" spans="1:15" x14ac:dyDescent="0.3">
      <c r="A1308" s="487" t="b">
        <v>0</v>
      </c>
      <c r="B1308" s="487"/>
      <c r="C1308" s="505" t="s">
        <v>4129</v>
      </c>
      <c r="D1308" s="502">
        <v>13</v>
      </c>
      <c r="E1308" s="490"/>
      <c r="F1308" s="493"/>
      <c r="G1308" s="492"/>
      <c r="H1308" s="502"/>
      <c r="I1308" s="493"/>
      <c r="J1308" s="493"/>
      <c r="K1308" s="487" t="str">
        <f ca="1">IFERROR(VLOOKUP(C1308,' Disaggregation - Section E '!A$10:N435,3,0),"")</f>
        <v/>
      </c>
      <c r="L1308" s="493"/>
      <c r="M1308" s="487"/>
      <c r="N1308" s="493"/>
      <c r="O1308" s="493"/>
    </row>
    <row r="1309" spans="1:15" x14ac:dyDescent="0.3">
      <c r="A1309" s="487" t="b">
        <v>0</v>
      </c>
      <c r="B1309" s="487"/>
      <c r="C1309" s="505" t="s">
        <v>4131</v>
      </c>
      <c r="D1309" s="502">
        <v>13</v>
      </c>
      <c r="E1309" s="490"/>
      <c r="F1309" s="493"/>
      <c r="G1309" s="492"/>
      <c r="H1309" s="502"/>
      <c r="I1309" s="493"/>
      <c r="J1309" s="493"/>
      <c r="K1309" s="487" t="str">
        <f ca="1">IFERROR(VLOOKUP(C1309,' Disaggregation - Section E '!A$10:N436,3,0),"")</f>
        <v/>
      </c>
      <c r="L1309" s="493"/>
      <c r="M1309" s="487"/>
      <c r="N1309" s="493"/>
      <c r="O1309" s="493"/>
    </row>
    <row r="1310" spans="1:15" x14ac:dyDescent="0.3">
      <c r="A1310" s="487" t="b">
        <v>0</v>
      </c>
      <c r="B1310" s="487"/>
      <c r="C1310" s="505" t="s">
        <v>4133</v>
      </c>
      <c r="D1310" s="502">
        <v>13</v>
      </c>
      <c r="E1310" s="490"/>
      <c r="F1310" s="493"/>
      <c r="G1310" s="492"/>
      <c r="H1310" s="502"/>
      <c r="I1310" s="493"/>
      <c r="J1310" s="493"/>
      <c r="K1310" s="487" t="str">
        <f ca="1">IFERROR(VLOOKUP(C1310,' Disaggregation - Section E '!A$10:N437,3,0),"")</f>
        <v/>
      </c>
      <c r="L1310" s="493"/>
      <c r="M1310" s="487"/>
      <c r="N1310" s="493"/>
      <c r="O1310" s="493"/>
    </row>
    <row r="1311" spans="1:15" x14ac:dyDescent="0.3">
      <c r="A1311" s="487" t="b">
        <v>0</v>
      </c>
      <c r="B1311" s="487"/>
      <c r="C1311" s="505" t="s">
        <v>4135</v>
      </c>
      <c r="D1311" s="502">
        <v>13</v>
      </c>
      <c r="E1311" s="490"/>
      <c r="F1311" s="493"/>
      <c r="G1311" s="492"/>
      <c r="H1311" s="502"/>
      <c r="I1311" s="493"/>
      <c r="J1311" s="493"/>
      <c r="K1311" s="487" t="str">
        <f ca="1">IFERROR(VLOOKUP(C1311,' Disaggregation - Section E '!A$10:N438,3,0),"")</f>
        <v/>
      </c>
      <c r="L1311" s="493"/>
      <c r="M1311" s="487"/>
      <c r="N1311" s="493"/>
      <c r="O1311" s="493"/>
    </row>
    <row r="1312" spans="1:15" x14ac:dyDescent="0.3">
      <c r="A1312" s="487" t="b">
        <v>0</v>
      </c>
      <c r="B1312" s="487"/>
      <c r="C1312" s="505" t="s">
        <v>4137</v>
      </c>
      <c r="D1312" s="502">
        <v>13</v>
      </c>
      <c r="E1312" s="490"/>
      <c r="F1312" s="493"/>
      <c r="G1312" s="492"/>
      <c r="H1312" s="502"/>
      <c r="I1312" s="493"/>
      <c r="J1312" s="493"/>
      <c r="K1312" s="487" t="str">
        <f ca="1">IFERROR(VLOOKUP(C1312,' Disaggregation - Section E '!A$10:N439,3,0),"")</f>
        <v/>
      </c>
      <c r="L1312" s="493"/>
      <c r="M1312" s="487"/>
      <c r="N1312" s="493"/>
      <c r="O1312" s="493"/>
    </row>
    <row r="1313" spans="1:15" x14ac:dyDescent="0.3">
      <c r="A1313" s="487" t="b">
        <v>0</v>
      </c>
      <c r="B1313" s="487"/>
      <c r="C1313" s="505" t="s">
        <v>4140</v>
      </c>
      <c r="D1313" s="502">
        <v>14</v>
      </c>
      <c r="E1313" s="490"/>
      <c r="F1313" s="493"/>
      <c r="G1313" s="492"/>
      <c r="H1313" s="502"/>
      <c r="I1313" s="493"/>
      <c r="J1313" s="493"/>
      <c r="K1313" s="487" t="str">
        <f ca="1">IFERROR(VLOOKUP(C1313,' Disaggregation - Section E '!A$10:N440,3,0),"")</f>
        <v/>
      </c>
      <c r="L1313" s="493"/>
      <c r="M1313" s="487"/>
      <c r="N1313" s="493"/>
      <c r="O1313" s="493"/>
    </row>
    <row r="1314" spans="1:15" x14ac:dyDescent="0.3">
      <c r="A1314" s="487" t="b">
        <v>0</v>
      </c>
      <c r="B1314" s="487"/>
      <c r="C1314" s="505" t="s">
        <v>4142</v>
      </c>
      <c r="D1314" s="502">
        <v>14</v>
      </c>
      <c r="E1314" s="490"/>
      <c r="F1314" s="493"/>
      <c r="G1314" s="492"/>
      <c r="H1314" s="502"/>
      <c r="I1314" s="493"/>
      <c r="J1314" s="493"/>
      <c r="K1314" s="487" t="str">
        <f ca="1">IFERROR(VLOOKUP(C1314,' Disaggregation - Section E '!A$10:N441,3,0),"")</f>
        <v/>
      </c>
      <c r="L1314" s="493"/>
      <c r="M1314" s="487"/>
      <c r="N1314" s="493"/>
      <c r="O1314" s="493"/>
    </row>
    <row r="1315" spans="1:15" x14ac:dyDescent="0.3">
      <c r="A1315" s="487" t="b">
        <v>0</v>
      </c>
      <c r="B1315" s="487"/>
      <c r="C1315" s="505" t="s">
        <v>4144</v>
      </c>
      <c r="D1315" s="502">
        <v>14</v>
      </c>
      <c r="E1315" s="490"/>
      <c r="F1315" s="493"/>
      <c r="G1315" s="492"/>
      <c r="H1315" s="502"/>
      <c r="I1315" s="493"/>
      <c r="J1315" s="493"/>
      <c r="K1315" s="487" t="str">
        <f ca="1">IFERROR(VLOOKUP(C1315,' Disaggregation - Section E '!A$10:N442,3,0),"")</f>
        <v/>
      </c>
      <c r="L1315" s="493"/>
      <c r="M1315" s="487"/>
      <c r="N1315" s="493"/>
      <c r="O1315" s="493"/>
    </row>
    <row r="1316" spans="1:15" x14ac:dyDescent="0.3">
      <c r="A1316" s="487" t="b">
        <v>0</v>
      </c>
      <c r="B1316" s="487"/>
      <c r="C1316" s="505" t="s">
        <v>4146</v>
      </c>
      <c r="D1316" s="502">
        <v>14</v>
      </c>
      <c r="E1316" s="490"/>
      <c r="F1316" s="493"/>
      <c r="G1316" s="492"/>
      <c r="H1316" s="502"/>
      <c r="I1316" s="493"/>
      <c r="J1316" s="493"/>
      <c r="K1316" s="487" t="str">
        <f ca="1">IFERROR(VLOOKUP(C1316,' Disaggregation - Section E '!A$10:N443,3,0),"")</f>
        <v/>
      </c>
      <c r="L1316" s="493"/>
      <c r="M1316" s="487"/>
      <c r="N1316" s="493"/>
      <c r="O1316" s="493"/>
    </row>
    <row r="1317" spans="1:15" x14ac:dyDescent="0.3">
      <c r="A1317" s="487" t="b">
        <v>0</v>
      </c>
      <c r="B1317" s="487"/>
      <c r="C1317" s="505" t="s">
        <v>4148</v>
      </c>
      <c r="D1317" s="502">
        <v>14</v>
      </c>
      <c r="E1317" s="490"/>
      <c r="F1317" s="493"/>
      <c r="G1317" s="492"/>
      <c r="H1317" s="502"/>
      <c r="I1317" s="493"/>
      <c r="J1317" s="493"/>
      <c r="K1317" s="487" t="str">
        <f ca="1">IFERROR(VLOOKUP(C1317,' Disaggregation - Section E '!A$10:N444,3,0),"")</f>
        <v/>
      </c>
      <c r="L1317" s="493"/>
      <c r="M1317" s="487"/>
      <c r="N1317" s="493"/>
      <c r="O1317" s="493"/>
    </row>
    <row r="1318" spans="1:15" x14ac:dyDescent="0.3">
      <c r="A1318" s="487" t="b">
        <v>0</v>
      </c>
      <c r="B1318" s="487"/>
      <c r="C1318" s="505" t="s">
        <v>4150</v>
      </c>
      <c r="D1318" s="502">
        <v>14</v>
      </c>
      <c r="E1318" s="490"/>
      <c r="F1318" s="493"/>
      <c r="G1318" s="492"/>
      <c r="H1318" s="502"/>
      <c r="I1318" s="493"/>
      <c r="J1318" s="493"/>
      <c r="K1318" s="487" t="str">
        <f ca="1">IFERROR(VLOOKUP(C1318,' Disaggregation - Section E '!A$10:N445,3,0),"")</f>
        <v/>
      </c>
      <c r="L1318" s="493"/>
      <c r="M1318" s="487"/>
      <c r="N1318" s="493"/>
      <c r="O1318" s="493"/>
    </row>
    <row r="1319" spans="1:15" x14ac:dyDescent="0.3">
      <c r="A1319" s="487" t="b">
        <v>0</v>
      </c>
      <c r="B1319" s="487"/>
      <c r="C1319" s="505" t="s">
        <v>4152</v>
      </c>
      <c r="D1319" s="502">
        <v>14</v>
      </c>
      <c r="E1319" s="490"/>
      <c r="F1319" s="493"/>
      <c r="G1319" s="492"/>
      <c r="H1319" s="502"/>
      <c r="I1319" s="493"/>
      <c r="J1319" s="493"/>
      <c r="K1319" s="487" t="str">
        <f ca="1">IFERROR(VLOOKUP(C1319,' Disaggregation - Section E '!A$10:N446,3,0),"")</f>
        <v/>
      </c>
      <c r="L1319" s="493"/>
      <c r="M1319" s="487"/>
      <c r="N1319" s="493"/>
      <c r="O1319" s="493"/>
    </row>
    <row r="1320" spans="1:15" x14ac:dyDescent="0.3">
      <c r="A1320" s="487" t="b">
        <v>0</v>
      </c>
      <c r="B1320" s="487"/>
      <c r="C1320" s="505" t="s">
        <v>4154</v>
      </c>
      <c r="D1320" s="502">
        <v>14</v>
      </c>
      <c r="E1320" s="490"/>
      <c r="F1320" s="493"/>
      <c r="G1320" s="492"/>
      <c r="H1320" s="502"/>
      <c r="I1320" s="493"/>
      <c r="J1320" s="493"/>
      <c r="K1320" s="487" t="str">
        <f ca="1">IFERROR(VLOOKUP(C1320,' Disaggregation - Section E '!A$10:N447,3,0),"")</f>
        <v/>
      </c>
      <c r="L1320" s="493"/>
      <c r="M1320" s="487"/>
      <c r="N1320" s="493"/>
      <c r="O1320" s="493"/>
    </row>
    <row r="1321" spans="1:15" x14ac:dyDescent="0.3">
      <c r="A1321" s="487" t="b">
        <v>0</v>
      </c>
      <c r="B1321" s="487"/>
      <c r="C1321" s="505" t="s">
        <v>4156</v>
      </c>
      <c r="D1321" s="502">
        <v>14</v>
      </c>
      <c r="E1321" s="490"/>
      <c r="F1321" s="493"/>
      <c r="G1321" s="492"/>
      <c r="H1321" s="502"/>
      <c r="I1321" s="493"/>
      <c r="J1321" s="493"/>
      <c r="K1321" s="487" t="str">
        <f ca="1">IFERROR(VLOOKUP(C1321,' Disaggregation - Section E '!A$10:N448,3,0),"")</f>
        <v/>
      </c>
      <c r="L1321" s="493"/>
      <c r="M1321" s="487"/>
      <c r="N1321" s="493"/>
      <c r="O1321" s="493"/>
    </row>
    <row r="1322" spans="1:15" x14ac:dyDescent="0.3">
      <c r="A1322" s="487" t="b">
        <v>0</v>
      </c>
      <c r="B1322" s="487"/>
      <c r="C1322" s="505" t="s">
        <v>4158</v>
      </c>
      <c r="D1322" s="502">
        <v>14</v>
      </c>
      <c r="E1322" s="490"/>
      <c r="F1322" s="493"/>
      <c r="G1322" s="492"/>
      <c r="H1322" s="502"/>
      <c r="I1322" s="493"/>
      <c r="J1322" s="493"/>
      <c r="K1322" s="487" t="str">
        <f ca="1">IFERROR(VLOOKUP(C1322,' Disaggregation - Section E '!A$10:N449,3,0),"")</f>
        <v/>
      </c>
      <c r="L1322" s="493"/>
      <c r="M1322" s="487"/>
      <c r="N1322" s="493"/>
      <c r="O1322" s="493"/>
    </row>
    <row r="1323" spans="1:15" x14ac:dyDescent="0.3">
      <c r="A1323" s="487" t="b">
        <v>0</v>
      </c>
      <c r="B1323" s="487"/>
      <c r="C1323" s="505" t="s">
        <v>4161</v>
      </c>
      <c r="D1323" s="502">
        <v>15</v>
      </c>
      <c r="E1323" s="490"/>
      <c r="F1323" s="493"/>
      <c r="G1323" s="492"/>
      <c r="H1323" s="502"/>
      <c r="I1323" s="493"/>
      <c r="J1323" s="493"/>
      <c r="K1323" s="487" t="str">
        <f ca="1">IFERROR(VLOOKUP(C1323,' Disaggregation - Section E '!A$10:N450,3,0),"")</f>
        <v/>
      </c>
      <c r="L1323" s="493"/>
      <c r="M1323" s="487"/>
      <c r="N1323" s="493"/>
      <c r="O1323" s="493"/>
    </row>
    <row r="1324" spans="1:15" x14ac:dyDescent="0.3">
      <c r="A1324" s="487" t="b">
        <v>0</v>
      </c>
      <c r="B1324" s="487"/>
      <c r="C1324" s="505" t="s">
        <v>4163</v>
      </c>
      <c r="D1324" s="502">
        <v>15</v>
      </c>
      <c r="E1324" s="490"/>
      <c r="F1324" s="493"/>
      <c r="G1324" s="492"/>
      <c r="H1324" s="502"/>
      <c r="I1324" s="493"/>
      <c r="J1324" s="493"/>
      <c r="K1324" s="487" t="str">
        <f ca="1">IFERROR(VLOOKUP(C1324,' Disaggregation - Section E '!A$10:N451,3,0),"")</f>
        <v/>
      </c>
      <c r="L1324" s="493"/>
      <c r="M1324" s="487"/>
      <c r="N1324" s="493"/>
      <c r="O1324" s="493"/>
    </row>
    <row r="1325" spans="1:15" x14ac:dyDescent="0.3">
      <c r="A1325" s="487" t="b">
        <v>0</v>
      </c>
      <c r="B1325" s="487"/>
      <c r="C1325" s="505" t="s">
        <v>4165</v>
      </c>
      <c r="D1325" s="502">
        <v>15</v>
      </c>
      <c r="E1325" s="490"/>
      <c r="F1325" s="493"/>
      <c r="G1325" s="492"/>
      <c r="H1325" s="502"/>
      <c r="I1325" s="493"/>
      <c r="J1325" s="493"/>
      <c r="K1325" s="487" t="str">
        <f ca="1">IFERROR(VLOOKUP(C1325,' Disaggregation - Section E '!A$10:N452,3,0),"")</f>
        <v/>
      </c>
      <c r="L1325" s="493"/>
      <c r="M1325" s="487"/>
      <c r="N1325" s="493"/>
      <c r="O1325" s="493"/>
    </row>
    <row r="1326" spans="1:15" x14ac:dyDescent="0.3">
      <c r="A1326" s="487" t="b">
        <v>0</v>
      </c>
      <c r="B1326" s="487"/>
      <c r="C1326" s="505" t="s">
        <v>4167</v>
      </c>
      <c r="D1326" s="502">
        <v>15</v>
      </c>
      <c r="E1326" s="490"/>
      <c r="F1326" s="493"/>
      <c r="G1326" s="492"/>
      <c r="H1326" s="502"/>
      <c r="I1326" s="493"/>
      <c r="J1326" s="493"/>
      <c r="K1326" s="487" t="str">
        <f ca="1">IFERROR(VLOOKUP(C1326,' Disaggregation - Section E '!A$10:N453,3,0),"")</f>
        <v/>
      </c>
      <c r="L1326" s="493"/>
      <c r="M1326" s="487"/>
      <c r="N1326" s="493"/>
      <c r="O1326" s="493"/>
    </row>
    <row r="1327" spans="1:15" x14ac:dyDescent="0.3">
      <c r="A1327" s="487" t="b">
        <v>0</v>
      </c>
      <c r="B1327" s="487"/>
      <c r="C1327" s="505" t="s">
        <v>4169</v>
      </c>
      <c r="D1327" s="502">
        <v>15</v>
      </c>
      <c r="E1327" s="490"/>
      <c r="F1327" s="493"/>
      <c r="G1327" s="492"/>
      <c r="H1327" s="502"/>
      <c r="I1327" s="493"/>
      <c r="J1327" s="493"/>
      <c r="K1327" s="487" t="str">
        <f ca="1">IFERROR(VLOOKUP(C1327,' Disaggregation - Section E '!A$10:N454,3,0),"")</f>
        <v/>
      </c>
      <c r="L1327" s="493"/>
      <c r="M1327" s="487"/>
      <c r="N1327" s="493"/>
      <c r="O1327" s="493"/>
    </row>
    <row r="1328" spans="1:15" x14ac:dyDescent="0.3">
      <c r="A1328" s="487" t="b">
        <v>0</v>
      </c>
      <c r="B1328" s="487"/>
      <c r="C1328" s="505" t="s">
        <v>4171</v>
      </c>
      <c r="D1328" s="502">
        <v>15</v>
      </c>
      <c r="E1328" s="490"/>
      <c r="F1328" s="493"/>
      <c r="G1328" s="492"/>
      <c r="H1328" s="502"/>
      <c r="I1328" s="493"/>
      <c r="J1328" s="493"/>
      <c r="K1328" s="487" t="str">
        <f ca="1">IFERROR(VLOOKUP(C1328,' Disaggregation - Section E '!A$10:N455,3,0),"")</f>
        <v/>
      </c>
      <c r="L1328" s="493"/>
      <c r="M1328" s="487"/>
      <c r="N1328" s="493"/>
      <c r="O1328" s="493"/>
    </row>
    <row r="1329" spans="1:15" x14ac:dyDescent="0.3">
      <c r="A1329" s="487" t="b">
        <v>0</v>
      </c>
      <c r="B1329" s="487"/>
      <c r="C1329" s="505" t="s">
        <v>4173</v>
      </c>
      <c r="D1329" s="502">
        <v>15</v>
      </c>
      <c r="E1329" s="490"/>
      <c r="F1329" s="493"/>
      <c r="G1329" s="492"/>
      <c r="H1329" s="502"/>
      <c r="I1329" s="493"/>
      <c r="J1329" s="493"/>
      <c r="K1329" s="487" t="str">
        <f ca="1">IFERROR(VLOOKUP(C1329,' Disaggregation - Section E '!A$10:N456,3,0),"")</f>
        <v/>
      </c>
      <c r="L1329" s="493"/>
      <c r="M1329" s="487"/>
      <c r="N1329" s="493"/>
      <c r="O1329" s="493"/>
    </row>
    <row r="1330" spans="1:15" x14ac:dyDescent="0.3">
      <c r="A1330" s="487" t="b">
        <v>0</v>
      </c>
      <c r="B1330" s="487"/>
      <c r="C1330" s="505" t="s">
        <v>4175</v>
      </c>
      <c r="D1330" s="502">
        <v>15</v>
      </c>
      <c r="E1330" s="490"/>
      <c r="F1330" s="493"/>
      <c r="G1330" s="492"/>
      <c r="H1330" s="502"/>
      <c r="I1330" s="493"/>
      <c r="J1330" s="493"/>
      <c r="K1330" s="487" t="str">
        <f ca="1">IFERROR(VLOOKUP(C1330,' Disaggregation - Section E '!A$10:N457,3,0),"")</f>
        <v/>
      </c>
      <c r="L1330" s="493"/>
      <c r="M1330" s="487"/>
      <c r="N1330" s="493"/>
      <c r="O1330" s="493"/>
    </row>
    <row r="1331" spans="1:15" x14ac:dyDescent="0.3">
      <c r="A1331" s="487" t="b">
        <v>0</v>
      </c>
      <c r="B1331" s="487"/>
      <c r="C1331" s="505" t="s">
        <v>4177</v>
      </c>
      <c r="D1331" s="502">
        <v>15</v>
      </c>
      <c r="E1331" s="490"/>
      <c r="F1331" s="493"/>
      <c r="G1331" s="492"/>
      <c r="H1331" s="502"/>
      <c r="I1331" s="493"/>
      <c r="J1331" s="493"/>
      <c r="K1331" s="487" t="str">
        <f ca="1">IFERROR(VLOOKUP(C1331,' Disaggregation - Section E '!A$10:N458,3,0),"")</f>
        <v/>
      </c>
      <c r="L1331" s="493"/>
      <c r="M1331" s="487"/>
      <c r="N1331" s="493"/>
      <c r="O1331" s="493"/>
    </row>
    <row r="1332" spans="1:15" x14ac:dyDescent="0.3">
      <c r="A1332" s="487" t="b">
        <v>0</v>
      </c>
      <c r="B1332" s="487"/>
      <c r="C1332" s="505" t="s">
        <v>4179</v>
      </c>
      <c r="D1332" s="502">
        <v>15</v>
      </c>
      <c r="E1332" s="490"/>
      <c r="F1332" s="493"/>
      <c r="G1332" s="492"/>
      <c r="H1332" s="502"/>
      <c r="I1332" s="493"/>
      <c r="J1332" s="493"/>
      <c r="K1332" s="487" t="str">
        <f ca="1">IFERROR(VLOOKUP(C1332,' Disaggregation - Section E '!A$10:N459,3,0),"")</f>
        <v/>
      </c>
      <c r="L1332" s="493"/>
      <c r="M1332" s="487"/>
      <c r="N1332" s="493"/>
      <c r="O1332" s="493"/>
    </row>
    <row r="1333" spans="1:15" x14ac:dyDescent="0.3">
      <c r="A1333" s="487" t="b">
        <f t="shared" ref="A1333:A1396" ca="1" si="145">IF(AND(OR(E1333&lt;&gt;"",G1333&lt;&gt;"",H1333&lt;&gt;""),M1333&lt;&gt;""),TRUE,FALSE)</f>
        <v>0</v>
      </c>
      <c r="B1333" s="487"/>
      <c r="C1333" s="507" t="str">
        <f ca="1">IF(COUNTA(D$1181:D1333)=1,"",OFFSET(B1333,-COUNTA(D$1181:D1333)+1,1))</f>
        <v>a1G3p000003GJ3eEAG</v>
      </c>
      <c r="D1333" s="502"/>
      <c r="E1333" s="490" t="str">
        <f ca="1">IFERROR(IF(VLOOKUP(C1333,' Disaggregation - Section E '!A$10:J460,7,0)=0,"",VLOOKUP(C1333,' Disaggregation - Section E '!A$10:J460,7,0)*100),"")</f>
        <v/>
      </c>
      <c r="F1333" s="493" t="str">
        <f ca="1">IFERROR(IF(VLOOKUP(C1333,' Disaggregation - Section E '!A$10:N460,5,0)=0,"",VLOOKUP(C1333,' Disaggregation - Section E '!A$10:N460,5,0)),"")</f>
        <v>Femme 20-24</v>
      </c>
      <c r="G1333" s="492" t="str">
        <f ca="1">IFERROR(IF(VLOOKUP(C1333,' Disaggregation - Section E '!A$10:N460,6,0)=0,"",VLOOKUP(C1333,' Disaggregation - Section E '!A$10:N460,6,0)),"")</f>
        <v/>
      </c>
      <c r="H1333" s="502" t="str">
        <f ca="1">IFERROR(IF(INDEX(' Disaggregation - Section E '!F$10:F460,MATCH(C1333,' Disaggregation - Section E '!A$10:A460,0)+1,1)&lt;&gt;0,INDEX(' Disaggregation - Section E '!F$10:F460,MATCH(C1333,' Disaggregation - Section E '!A$10:A460,0)+1,1),""),"")</f>
        <v/>
      </c>
      <c r="I1333" s="493" t="str">
        <f ca="1">IFERROR(IF(VLOOKUP(C1333,' Disaggregation - Section E '!A$10:N460,8,0)=0,"",VLOOKUP(C1333,' Disaggregation - Section E '!A$10:N460,8,0)),"")</f>
        <v/>
      </c>
      <c r="J1333" s="493" t="str">
        <f ca="1">IFERROR(IF(VLOOKUP(C1333,' Disaggregation - Section E '!A$10:N460,13,0)=0,"",VLOOKUP(C1333,' Disaggregation - Section E '!A$10:N460,13,0)),"")</f>
        <v/>
      </c>
      <c r="K1333" s="487" t="str">
        <f ca="1">IFERROR(VLOOKUP(C1333,' Disaggregation - Section E '!A$10:N460,3,0),"")</f>
        <v>HIV I-14 Nombre de nouvelles infections par le VIH pour 1000 habitants non infectés</v>
      </c>
      <c r="L1333" s="493" t="str">
        <f ca="1">IFERROR(IF(VLOOKUP(C1333,' Disaggregation - Section E '!A$10:N460,14,0)=0,"",VLOOKUP(C1333,' Disaggregation - Section E '!A$10:N460,14,0)),"")</f>
        <v>To be added during grant making</v>
      </c>
      <c r="M1333" s="487" t="str">
        <f ca="1">IFERROR(IF(VLOOKUP(C1333,' Disaggregation - Section E '!A$10:T460,20,0)=0,"",VLOOKUP(C1333,' Disaggregation - Section E '!A$10:T460,20,0)),"")</f>
        <v>IDR-00879</v>
      </c>
      <c r="N1333" s="493" t="str">
        <f ca="1">IFERROR(IF(VLOOKUP(C1333,' Disaggregation - Section E '!A$10:N460,9,0)=0,"",VLOOKUP(C1333,' Disaggregation - Section E '!A$10:N460,9,0)),"")</f>
        <v/>
      </c>
      <c r="O1333" s="493" t="str">
        <f ca="1">IFERROR(IF(VLOOKUP(C1333,' Disaggregation - Section E '!A$10:N460,10,0)=0,"",VLOOKUP(C1333,' Disaggregation - Section E '!A$10:N460,10,0)),"")</f>
        <v>A ajouter lors du grant making</v>
      </c>
    </row>
    <row r="1334" spans="1:15" x14ac:dyDescent="0.3">
      <c r="A1334" s="487" t="b">
        <f t="shared" ca="1" si="145"/>
        <v>0</v>
      </c>
      <c r="B1334" s="487"/>
      <c r="C1334" s="507" t="str">
        <f ca="1">IF(COUNTA(D$1181:D1334)=1,"",OFFSET(B1334,-COUNTA(D$1181:D1334)+1,1))</f>
        <v>a1G3p000003GJ3fEAG</v>
      </c>
      <c r="D1334" s="502"/>
      <c r="E1334" s="490" t="str">
        <f ca="1">IFERROR(IF(VLOOKUP(C1334,' Disaggregation - Section E '!A$10:J461,7,0)=0,"",VLOOKUP(C1334,' Disaggregation - Section E '!A$10:J461,7,0)*100),"")</f>
        <v/>
      </c>
      <c r="F1334" s="493" t="str">
        <f ca="1">IFERROR(IF(VLOOKUP(C1334,' Disaggregation - Section E '!A$10:N461,5,0)=0,"",VLOOKUP(C1334,' Disaggregation - Section E '!A$10:N461,5,0)),"")</f>
        <v>Homme 20-24</v>
      </c>
      <c r="G1334" s="492" t="str">
        <f ca="1">IFERROR(IF(VLOOKUP(C1334,' Disaggregation - Section E '!A$10:N461,6,0)=0,"",VLOOKUP(C1334,' Disaggregation - Section E '!A$10:N461,6,0)),"")</f>
        <v/>
      </c>
      <c r="H1334" s="502" t="str">
        <f ca="1">IFERROR(IF(INDEX(' Disaggregation - Section E '!F$10:F461,MATCH(C1334,' Disaggregation - Section E '!A$10:A461,0)+1,1)&lt;&gt;0,INDEX(' Disaggregation - Section E '!F$10:F461,MATCH(C1334,' Disaggregation - Section E '!A$10:A461,0)+1,1),""),"")</f>
        <v/>
      </c>
      <c r="I1334" s="493" t="str">
        <f ca="1">IFERROR(IF(VLOOKUP(C1334,' Disaggregation - Section E '!A$10:N461,8,0)=0,"",VLOOKUP(C1334,' Disaggregation - Section E '!A$10:N461,8,0)),"")</f>
        <v/>
      </c>
      <c r="J1334" s="493" t="str">
        <f ca="1">IFERROR(IF(VLOOKUP(C1334,' Disaggregation - Section E '!A$10:N461,13,0)=0,"",VLOOKUP(C1334,' Disaggregation - Section E '!A$10:N461,13,0)),"")</f>
        <v/>
      </c>
      <c r="K1334" s="487" t="str">
        <f ca="1">IFERROR(VLOOKUP(C1334,' Disaggregation - Section E '!A$10:N461,3,0),"")</f>
        <v>HIV I-14 Nombre de nouvelles infections par le VIH pour 1000 habitants non infectés</v>
      </c>
      <c r="L1334" s="493" t="str">
        <f ca="1">IFERROR(IF(VLOOKUP(C1334,' Disaggregation - Section E '!A$10:N461,14,0)=0,"",VLOOKUP(C1334,' Disaggregation - Section E '!A$10:N461,14,0)),"")</f>
        <v>To be added during grant making</v>
      </c>
      <c r="M1334" s="487" t="str">
        <f ca="1">IFERROR(IF(VLOOKUP(C1334,' Disaggregation - Section E '!A$10:T461,20,0)=0,"",VLOOKUP(C1334,' Disaggregation - Section E '!A$10:T461,20,0)),"")</f>
        <v>IDR-00878</v>
      </c>
      <c r="N1334" s="493" t="str">
        <f ca="1">IFERROR(IF(VLOOKUP(C1334,' Disaggregation - Section E '!A$10:N461,9,0)=0,"",VLOOKUP(C1334,' Disaggregation - Section E '!A$10:N461,9,0)),"")</f>
        <v/>
      </c>
      <c r="O1334" s="493" t="str">
        <f ca="1">IFERROR(IF(VLOOKUP(C1334,' Disaggregation - Section E '!A$10:N461,10,0)=0,"",VLOOKUP(C1334,' Disaggregation - Section E '!A$10:N461,10,0)),"")</f>
        <v>A ajouter lors du grant making</v>
      </c>
    </row>
    <row r="1335" spans="1:15" x14ac:dyDescent="0.3">
      <c r="A1335" s="487" t="b">
        <f t="shared" ca="1" si="145"/>
        <v>0</v>
      </c>
      <c r="B1335" s="487"/>
      <c r="C1335" s="507" t="str">
        <f ca="1">IF(COUNTA(D$1181:D1335)=1,"",OFFSET(B1335,-COUNTA(D$1181:D1335)+1,1))</f>
        <v>a1G3p000003GJ3gEAG</v>
      </c>
      <c r="D1335" s="502"/>
      <c r="E1335" s="490" t="str">
        <f ca="1">IFERROR(IF(VLOOKUP(C1335,' Disaggregation - Section E '!A$10:J462,7,0)=0,"",VLOOKUP(C1335,' Disaggregation - Section E '!A$10:J462,7,0)*100),"")</f>
        <v/>
      </c>
      <c r="F1335" s="493" t="str">
        <f ca="1">IFERROR(IF(VLOOKUP(C1335,' Disaggregation - Section E '!A$10:N462,5,0)=0,"",VLOOKUP(C1335,' Disaggregation - Section E '!A$10:N462,5,0)),"")</f>
        <v>Femme 15-19</v>
      </c>
      <c r="G1335" s="492" t="str">
        <f ca="1">IFERROR(IF(VLOOKUP(C1335,' Disaggregation - Section E '!A$10:N462,6,0)=0,"",VLOOKUP(C1335,' Disaggregation - Section E '!A$10:N462,6,0)),"")</f>
        <v/>
      </c>
      <c r="H1335" s="502" t="str">
        <f ca="1">IFERROR(IF(INDEX(' Disaggregation - Section E '!F$10:F462,MATCH(C1335,' Disaggregation - Section E '!A$10:A462,0)+1,1)&lt;&gt;0,INDEX(' Disaggregation - Section E '!F$10:F462,MATCH(C1335,' Disaggregation - Section E '!A$10:A462,0)+1,1),""),"")</f>
        <v/>
      </c>
      <c r="I1335" s="493" t="str">
        <f ca="1">IFERROR(IF(VLOOKUP(C1335,' Disaggregation - Section E '!A$10:N462,8,0)=0,"",VLOOKUP(C1335,' Disaggregation - Section E '!A$10:N462,8,0)),"")</f>
        <v/>
      </c>
      <c r="J1335" s="493" t="str">
        <f ca="1">IFERROR(IF(VLOOKUP(C1335,' Disaggregation - Section E '!A$10:N462,13,0)=0,"",VLOOKUP(C1335,' Disaggregation - Section E '!A$10:N462,13,0)),"")</f>
        <v/>
      </c>
      <c r="K1335" s="487" t="str">
        <f ca="1">IFERROR(VLOOKUP(C1335,' Disaggregation - Section E '!A$10:N462,3,0),"")</f>
        <v>HIV I-14 Nombre de nouvelles infections par le VIH pour 1000 habitants non infectés</v>
      </c>
      <c r="L1335" s="493" t="str">
        <f ca="1">IFERROR(IF(VLOOKUP(C1335,' Disaggregation - Section E '!A$10:N462,14,0)=0,"",VLOOKUP(C1335,' Disaggregation - Section E '!A$10:N462,14,0)),"")</f>
        <v>To be added during grant making</v>
      </c>
      <c r="M1335" s="487" t="str">
        <f ca="1">IFERROR(IF(VLOOKUP(C1335,' Disaggregation - Section E '!A$10:T462,20,0)=0,"",VLOOKUP(C1335,' Disaggregation - Section E '!A$10:T462,20,0)),"")</f>
        <v>IDR-00877</v>
      </c>
      <c r="N1335" s="493" t="str">
        <f ca="1">IFERROR(IF(VLOOKUP(C1335,' Disaggregation - Section E '!A$10:N462,9,0)=0,"",VLOOKUP(C1335,' Disaggregation - Section E '!A$10:N462,9,0)),"")</f>
        <v/>
      </c>
      <c r="O1335" s="493" t="str">
        <f ca="1">IFERROR(IF(VLOOKUP(C1335,' Disaggregation - Section E '!A$10:N462,10,0)=0,"",VLOOKUP(C1335,' Disaggregation - Section E '!A$10:N462,10,0)),"")</f>
        <v>A ajouter lors du grant making</v>
      </c>
    </row>
    <row r="1336" spans="1:15" x14ac:dyDescent="0.3">
      <c r="A1336" s="487" t="b">
        <f t="shared" ca="1" si="145"/>
        <v>0</v>
      </c>
      <c r="B1336" s="487"/>
      <c r="C1336" s="507" t="str">
        <f ca="1">IF(COUNTA(D$1181:D1336)=1,"",OFFSET(B1336,-COUNTA(D$1181:D1336)+1,1))</f>
        <v>a1G3p000003GJ3hEAG</v>
      </c>
      <c r="D1336" s="502"/>
      <c r="E1336" s="490" t="str">
        <f ca="1">IFERROR(IF(VLOOKUP(C1336,' Disaggregation - Section E '!A$10:J463,7,0)=0,"",VLOOKUP(C1336,' Disaggregation - Section E '!A$10:J463,7,0)*100),"")</f>
        <v/>
      </c>
      <c r="F1336" s="493" t="str">
        <f ca="1">IFERROR(IF(VLOOKUP(C1336,' Disaggregation - Section E '!A$10:N463,5,0)=0,"",VLOOKUP(C1336,' Disaggregation - Section E '!A$10:N463,5,0)),"")</f>
        <v>Homme 15-19</v>
      </c>
      <c r="G1336" s="492" t="str">
        <f ca="1">IFERROR(IF(VLOOKUP(C1336,' Disaggregation - Section E '!A$10:N463,6,0)=0,"",VLOOKUP(C1336,' Disaggregation - Section E '!A$10:N463,6,0)),"")</f>
        <v/>
      </c>
      <c r="H1336" s="502" t="str">
        <f ca="1">IFERROR(IF(INDEX(' Disaggregation - Section E '!F$10:F463,MATCH(C1336,' Disaggregation - Section E '!A$10:A463,0)+1,1)&lt;&gt;0,INDEX(' Disaggregation - Section E '!F$10:F463,MATCH(C1336,' Disaggregation - Section E '!A$10:A463,0)+1,1),""),"")</f>
        <v/>
      </c>
      <c r="I1336" s="493" t="str">
        <f ca="1">IFERROR(IF(VLOOKUP(C1336,' Disaggregation - Section E '!A$10:N463,8,0)=0,"",VLOOKUP(C1336,' Disaggregation - Section E '!A$10:N463,8,0)),"")</f>
        <v/>
      </c>
      <c r="J1336" s="493" t="str">
        <f ca="1">IFERROR(IF(VLOOKUP(C1336,' Disaggregation - Section E '!A$10:N463,13,0)=0,"",VLOOKUP(C1336,' Disaggregation - Section E '!A$10:N463,13,0)),"")</f>
        <v/>
      </c>
      <c r="K1336" s="487" t="str">
        <f ca="1">IFERROR(VLOOKUP(C1336,' Disaggregation - Section E '!A$10:N463,3,0),"")</f>
        <v>HIV I-14 Nombre de nouvelles infections par le VIH pour 1000 habitants non infectés</v>
      </c>
      <c r="L1336" s="493" t="str">
        <f ca="1">IFERROR(IF(VLOOKUP(C1336,' Disaggregation - Section E '!A$10:N463,14,0)=0,"",VLOOKUP(C1336,' Disaggregation - Section E '!A$10:N463,14,0)),"")</f>
        <v>To be added during grant making</v>
      </c>
      <c r="M1336" s="487" t="str">
        <f ca="1">IFERROR(IF(VLOOKUP(C1336,' Disaggregation - Section E '!A$10:T463,20,0)=0,"",VLOOKUP(C1336,' Disaggregation - Section E '!A$10:T463,20,0)),"")</f>
        <v>IDR-00876</v>
      </c>
      <c r="N1336" s="493" t="str">
        <f ca="1">IFERROR(IF(VLOOKUP(C1336,' Disaggregation - Section E '!A$10:N463,9,0)=0,"",VLOOKUP(C1336,' Disaggregation - Section E '!A$10:N463,9,0)),"")</f>
        <v/>
      </c>
      <c r="O1336" s="493" t="str">
        <f ca="1">IFERROR(IF(VLOOKUP(C1336,' Disaggregation - Section E '!A$10:N463,10,0)=0,"",VLOOKUP(C1336,' Disaggregation - Section E '!A$10:N463,10,0)),"")</f>
        <v>A ajouter lors du grant making</v>
      </c>
    </row>
    <row r="1337" spans="1:15" x14ac:dyDescent="0.3">
      <c r="A1337" s="487" t="b">
        <f t="shared" ca="1" si="145"/>
        <v>0</v>
      </c>
      <c r="B1337" s="487"/>
      <c r="C1337" s="507" t="str">
        <f ca="1">IF(COUNTA(D$1181:D1337)=1,"",OFFSET(B1337,-COUNTA(D$1181:D1337)+1,1))</f>
        <v>a1G3p000003GJ3iEAG</v>
      </c>
      <c r="D1337" s="502"/>
      <c r="E1337" s="490" t="str">
        <f ca="1">IFERROR(IF(VLOOKUP(C1337,' Disaggregation - Section E '!A$10:J464,7,0)=0,"",VLOOKUP(C1337,' Disaggregation - Section E '!A$10:J464,7,0)*100),"")</f>
        <v/>
      </c>
      <c r="F1337" s="493" t="str">
        <f ca="1">IFERROR(IF(VLOOKUP(C1337,' Disaggregation - Section E '!A$10:N464,5,0)=0,"",VLOOKUP(C1337,' Disaggregation - Section E '!A$10:N464,5,0)),"")</f>
        <v>Femme</v>
      </c>
      <c r="G1337" s="492" t="str">
        <f ca="1">IFERROR(IF(VLOOKUP(C1337,' Disaggregation - Section E '!A$10:N464,6,0)=0,"",VLOOKUP(C1337,' Disaggregation - Section E '!A$10:N464,6,0)),"")</f>
        <v/>
      </c>
      <c r="H1337" s="502" t="str">
        <f ca="1">IFERROR(IF(INDEX(' Disaggregation - Section E '!F$10:F464,MATCH(C1337,' Disaggregation - Section E '!A$10:A464,0)+1,1)&lt;&gt;0,INDEX(' Disaggregation - Section E '!F$10:F464,MATCH(C1337,' Disaggregation - Section E '!A$10:A464,0)+1,1),""),"")</f>
        <v/>
      </c>
      <c r="I1337" s="493" t="str">
        <f ca="1">IFERROR(IF(VLOOKUP(C1337,' Disaggregation - Section E '!A$10:N464,8,0)=0,"",VLOOKUP(C1337,' Disaggregation - Section E '!A$10:N464,8,0)),"")</f>
        <v/>
      </c>
      <c r="J1337" s="493" t="str">
        <f ca="1">IFERROR(IF(VLOOKUP(C1337,' Disaggregation - Section E '!A$10:N464,13,0)=0,"",VLOOKUP(C1337,' Disaggregation - Section E '!A$10:N464,13,0)),"")</f>
        <v/>
      </c>
      <c r="K1337" s="487" t="str">
        <f ca="1">IFERROR(VLOOKUP(C1337,' Disaggregation - Section E '!A$10:N464,3,0),"")</f>
        <v>HIV I-14 Nombre de nouvelles infections par le VIH pour 1000 habitants non infectés</v>
      </c>
      <c r="L1337" s="493" t="str">
        <f ca="1">IFERROR(IF(VLOOKUP(C1337,' Disaggregation - Section E '!A$10:N464,14,0)=0,"",VLOOKUP(C1337,' Disaggregation - Section E '!A$10:N464,14,0)),"")</f>
        <v>To be added during grant making</v>
      </c>
      <c r="M1337" s="487" t="str">
        <f ca="1">IFERROR(IF(VLOOKUP(C1337,' Disaggregation - Section E '!A$10:T464,20,0)=0,"",VLOOKUP(C1337,' Disaggregation - Section E '!A$10:T464,20,0)),"")</f>
        <v>IDR-00771</v>
      </c>
      <c r="N1337" s="493" t="str">
        <f ca="1">IFERROR(IF(VLOOKUP(C1337,' Disaggregation - Section E '!A$10:N464,9,0)=0,"",VLOOKUP(C1337,' Disaggregation - Section E '!A$10:N464,9,0)),"")</f>
        <v/>
      </c>
      <c r="O1337" s="493" t="str">
        <f ca="1">IFERROR(IF(VLOOKUP(C1337,' Disaggregation - Section E '!A$10:N464,10,0)=0,"",VLOOKUP(C1337,' Disaggregation - Section E '!A$10:N464,10,0)),"")</f>
        <v>A ajouter lors du grant making</v>
      </c>
    </row>
    <row r="1338" spans="1:15" x14ac:dyDescent="0.3">
      <c r="A1338" s="487" t="b">
        <f t="shared" ca="1" si="145"/>
        <v>0</v>
      </c>
      <c r="B1338" s="487"/>
      <c r="C1338" s="507" t="str">
        <f ca="1">IF(COUNTA(D$1181:D1338)=1,"",OFFSET(B1338,-COUNTA(D$1181:D1338)+1,1))</f>
        <v>a1G3p000003GJ3jEAG</v>
      </c>
      <c r="D1338" s="502"/>
      <c r="E1338" s="490" t="str">
        <f ca="1">IFERROR(IF(VLOOKUP(C1338,' Disaggregation - Section E '!A$10:J465,7,0)=0,"",VLOOKUP(C1338,' Disaggregation - Section E '!A$10:J465,7,0)*100),"")</f>
        <v/>
      </c>
      <c r="F1338" s="493" t="str">
        <f ca="1">IFERROR(IF(VLOOKUP(C1338,' Disaggregation - Section E '!A$10:N465,5,0)=0,"",VLOOKUP(C1338,' Disaggregation - Section E '!A$10:N465,5,0)),"")</f>
        <v>Homme</v>
      </c>
      <c r="G1338" s="492" t="str">
        <f ca="1">IFERROR(IF(VLOOKUP(C1338,' Disaggregation - Section E '!A$10:N465,6,0)=0,"",VLOOKUP(C1338,' Disaggregation - Section E '!A$10:N465,6,0)),"")</f>
        <v/>
      </c>
      <c r="H1338" s="502" t="str">
        <f ca="1">IFERROR(IF(INDEX(' Disaggregation - Section E '!F$10:F465,MATCH(C1338,' Disaggregation - Section E '!A$10:A465,0)+1,1)&lt;&gt;0,INDEX(' Disaggregation - Section E '!F$10:F465,MATCH(C1338,' Disaggregation - Section E '!A$10:A465,0)+1,1),""),"")</f>
        <v/>
      </c>
      <c r="I1338" s="493" t="str">
        <f ca="1">IFERROR(IF(VLOOKUP(C1338,' Disaggregation - Section E '!A$10:N465,8,0)=0,"",VLOOKUP(C1338,' Disaggregation - Section E '!A$10:N465,8,0)),"")</f>
        <v/>
      </c>
      <c r="J1338" s="493" t="str">
        <f ca="1">IFERROR(IF(VLOOKUP(C1338,' Disaggregation - Section E '!A$10:N465,13,0)=0,"",VLOOKUP(C1338,' Disaggregation - Section E '!A$10:N465,13,0)),"")</f>
        <v/>
      </c>
      <c r="K1338" s="487" t="str">
        <f ca="1">IFERROR(VLOOKUP(C1338,' Disaggregation - Section E '!A$10:N465,3,0),"")</f>
        <v>HIV I-14 Nombre de nouvelles infections par le VIH pour 1000 habitants non infectés</v>
      </c>
      <c r="L1338" s="493" t="str">
        <f ca="1">IFERROR(IF(VLOOKUP(C1338,' Disaggregation - Section E '!A$10:N465,14,0)=0,"",VLOOKUP(C1338,' Disaggregation - Section E '!A$10:N465,14,0)),"")</f>
        <v>To be added during grant making</v>
      </c>
      <c r="M1338" s="487" t="str">
        <f ca="1">IFERROR(IF(VLOOKUP(C1338,' Disaggregation - Section E '!A$10:T465,20,0)=0,"",VLOOKUP(C1338,' Disaggregation - Section E '!A$10:T465,20,0)),"")</f>
        <v>IDR-00770</v>
      </c>
      <c r="N1338" s="493" t="str">
        <f ca="1">IFERROR(IF(VLOOKUP(C1338,' Disaggregation - Section E '!A$10:N465,9,0)=0,"",VLOOKUP(C1338,' Disaggregation - Section E '!A$10:N465,9,0)),"")</f>
        <v/>
      </c>
      <c r="O1338" s="493" t="str">
        <f ca="1">IFERROR(IF(VLOOKUP(C1338,' Disaggregation - Section E '!A$10:N465,10,0)=0,"",VLOOKUP(C1338,' Disaggregation - Section E '!A$10:N465,10,0)),"")</f>
        <v>A ajouter lors du grant making</v>
      </c>
    </row>
    <row r="1339" spans="1:15" x14ac:dyDescent="0.3">
      <c r="A1339" s="487" t="b">
        <f t="shared" ca="1" si="145"/>
        <v>0</v>
      </c>
      <c r="B1339" s="487"/>
      <c r="C1339" s="507" t="str">
        <f ca="1">IF(COUNTA(D$1181:D1339)=1,"",OFFSET(B1339,-COUNTA(D$1181:D1339)+1,1))</f>
        <v>a1G3p000003GJ3kEAG</v>
      </c>
      <c r="D1339" s="502"/>
      <c r="E1339" s="490" t="str">
        <f ca="1">IFERROR(IF(VLOOKUP(C1339,' Disaggregation - Section E '!A$10:J466,7,0)=0,"",VLOOKUP(C1339,' Disaggregation - Section E '!A$10:J466,7,0)*100),"")</f>
        <v/>
      </c>
      <c r="F1339" s="493" t="str">
        <f ca="1">IFERROR(IF(VLOOKUP(C1339,' Disaggregation - Section E '!A$10:N466,5,0)=0,"",VLOOKUP(C1339,' Disaggregation - Section E '!A$10:N466,5,0)),"")</f>
        <v>15+</v>
      </c>
      <c r="G1339" s="492" t="str">
        <f ca="1">IFERROR(IF(VLOOKUP(C1339,' Disaggregation - Section E '!A$10:N466,6,0)=0,"",VLOOKUP(C1339,' Disaggregation - Section E '!A$10:N466,6,0)),"")</f>
        <v/>
      </c>
      <c r="H1339" s="502" t="str">
        <f ca="1">IFERROR(IF(INDEX(' Disaggregation - Section E '!F$10:F466,MATCH(C1339,' Disaggregation - Section E '!A$10:A466,0)+1,1)&lt;&gt;0,INDEX(' Disaggregation - Section E '!F$10:F466,MATCH(C1339,' Disaggregation - Section E '!A$10:A466,0)+1,1),""),"")</f>
        <v/>
      </c>
      <c r="I1339" s="493" t="str">
        <f ca="1">IFERROR(IF(VLOOKUP(C1339,' Disaggregation - Section E '!A$10:N466,8,0)=0,"",VLOOKUP(C1339,' Disaggregation - Section E '!A$10:N466,8,0)),"")</f>
        <v/>
      </c>
      <c r="J1339" s="493" t="str">
        <f ca="1">IFERROR(IF(VLOOKUP(C1339,' Disaggregation - Section E '!A$10:N466,13,0)=0,"",VLOOKUP(C1339,' Disaggregation - Section E '!A$10:N466,13,0)),"")</f>
        <v/>
      </c>
      <c r="K1339" s="487" t="str">
        <f ca="1">IFERROR(VLOOKUP(C1339,' Disaggregation - Section E '!A$10:N466,3,0),"")</f>
        <v>HIV I-14 Nombre de nouvelles infections par le VIH pour 1000 habitants non infectés</v>
      </c>
      <c r="L1339" s="493" t="str">
        <f ca="1">IFERROR(IF(VLOOKUP(C1339,' Disaggregation - Section E '!A$10:N466,14,0)=0,"",VLOOKUP(C1339,' Disaggregation - Section E '!A$10:N466,14,0)),"")</f>
        <v>To be added during grant making</v>
      </c>
      <c r="M1339" s="487" t="str">
        <f ca="1">IFERROR(IF(VLOOKUP(C1339,' Disaggregation - Section E '!A$10:T466,20,0)=0,"",VLOOKUP(C1339,' Disaggregation - Section E '!A$10:T466,20,0)),"")</f>
        <v>IDR-00652</v>
      </c>
      <c r="N1339" s="493" t="str">
        <f ca="1">IFERROR(IF(VLOOKUP(C1339,' Disaggregation - Section E '!A$10:N466,9,0)=0,"",VLOOKUP(C1339,' Disaggregation - Section E '!A$10:N466,9,0)),"")</f>
        <v/>
      </c>
      <c r="O1339" s="493" t="str">
        <f ca="1">IFERROR(IF(VLOOKUP(C1339,' Disaggregation - Section E '!A$10:N466,10,0)=0,"",VLOOKUP(C1339,' Disaggregation - Section E '!A$10:N466,10,0)),"")</f>
        <v>A ajouter lors du grant making</v>
      </c>
    </row>
    <row r="1340" spans="1:15" x14ac:dyDescent="0.3">
      <c r="A1340" s="487" t="b">
        <f t="shared" ca="1" si="145"/>
        <v>0</v>
      </c>
      <c r="B1340" s="487"/>
      <c r="C1340" s="507" t="str">
        <f ca="1">IF(COUNTA(D$1181:D1340)=1,"",OFFSET(B1340,-COUNTA(D$1181:D1340)+1,1))</f>
        <v>a1G3p000003GJ3lEAG</v>
      </c>
      <c r="D1340" s="502"/>
      <c r="E1340" s="490" t="str">
        <f ca="1">IFERROR(IF(VLOOKUP(C1340,' Disaggregation - Section E '!A$10:J467,7,0)=0,"",VLOOKUP(C1340,' Disaggregation - Section E '!A$10:J467,7,0)*100),"")</f>
        <v/>
      </c>
      <c r="F1340" s="493" t="str">
        <f ca="1">IFERROR(IF(VLOOKUP(C1340,' Disaggregation - Section E '!A$10:N467,5,0)=0,"",VLOOKUP(C1340,' Disaggregation - Section E '!A$10:N467,5,0)),"")</f>
        <v>&lt;15</v>
      </c>
      <c r="G1340" s="492" t="str">
        <f ca="1">IFERROR(IF(VLOOKUP(C1340,' Disaggregation - Section E '!A$10:N467,6,0)=0,"",VLOOKUP(C1340,' Disaggregation - Section E '!A$10:N467,6,0)),"")</f>
        <v/>
      </c>
      <c r="H1340" s="502" t="str">
        <f ca="1">IFERROR(IF(INDEX(' Disaggregation - Section E '!F$10:F467,MATCH(C1340,' Disaggregation - Section E '!A$10:A467,0)+1,1)&lt;&gt;0,INDEX(' Disaggregation - Section E '!F$10:F467,MATCH(C1340,' Disaggregation - Section E '!A$10:A467,0)+1,1),""),"")</f>
        <v/>
      </c>
      <c r="I1340" s="493" t="str">
        <f ca="1">IFERROR(IF(VLOOKUP(C1340,' Disaggregation - Section E '!A$10:N467,8,0)=0,"",VLOOKUP(C1340,' Disaggregation - Section E '!A$10:N467,8,0)),"")</f>
        <v/>
      </c>
      <c r="J1340" s="493" t="str">
        <f ca="1">IFERROR(IF(VLOOKUP(C1340,' Disaggregation - Section E '!A$10:N467,13,0)=0,"",VLOOKUP(C1340,' Disaggregation - Section E '!A$10:N467,13,0)),"")</f>
        <v/>
      </c>
      <c r="K1340" s="487" t="str">
        <f ca="1">IFERROR(VLOOKUP(C1340,' Disaggregation - Section E '!A$10:N467,3,0),"")</f>
        <v>HIV I-14 Nombre de nouvelles infections par le VIH pour 1000 habitants non infectés</v>
      </c>
      <c r="L1340" s="493" t="str">
        <f ca="1">IFERROR(IF(VLOOKUP(C1340,' Disaggregation - Section E '!A$10:N467,14,0)=0,"",VLOOKUP(C1340,' Disaggregation - Section E '!A$10:N467,14,0)),"")</f>
        <v>To be added during grant making</v>
      </c>
      <c r="M1340" s="487" t="str">
        <f ca="1">IFERROR(IF(VLOOKUP(C1340,' Disaggregation - Section E '!A$10:T467,20,0)=0,"",VLOOKUP(C1340,' Disaggregation - Section E '!A$10:T467,20,0)),"")</f>
        <v>IDR-00651</v>
      </c>
      <c r="N1340" s="493" t="str">
        <f ca="1">IFERROR(IF(VLOOKUP(C1340,' Disaggregation - Section E '!A$10:N467,9,0)=0,"",VLOOKUP(C1340,' Disaggregation - Section E '!A$10:N467,9,0)),"")</f>
        <v/>
      </c>
      <c r="O1340" s="493" t="str">
        <f ca="1">IFERROR(IF(VLOOKUP(C1340,' Disaggregation - Section E '!A$10:N467,10,0)=0,"",VLOOKUP(C1340,' Disaggregation - Section E '!A$10:N467,10,0)),"")</f>
        <v>A ajouter lors du grant making</v>
      </c>
    </row>
    <row r="1341" spans="1:15" x14ac:dyDescent="0.3">
      <c r="A1341" s="487" t="b">
        <f t="shared" ca="1" si="145"/>
        <v>0</v>
      </c>
      <c r="B1341" s="487"/>
      <c r="C1341" s="507" t="str">
        <f ca="1">IF(COUNTA(D$1181:D1341)=1,"",OFFSET(B1341,-COUNTA(D$1181:D1341)+1,1))</f>
        <v>a1G3p000003GJ3mEAG</v>
      </c>
      <c r="D1341" s="502"/>
      <c r="E1341" s="490" t="str">
        <f ca="1">IFERROR(IF(VLOOKUP(C1341,' Disaggregation - Section E '!A$10:J468,7,0)=0,"",VLOOKUP(C1341,' Disaggregation - Section E '!A$10:J468,7,0)*100),"")</f>
        <v/>
      </c>
      <c r="F1341" s="493" t="str">
        <f ca="1">IFERROR(IF(VLOOKUP(C1341,' Disaggregation - Section E '!A$10:N468,5,0)=0,"",VLOOKUP(C1341,' Disaggregation - Section E '!A$10:N468,5,0)),"")</f>
        <v/>
      </c>
      <c r="G1341" s="492" t="str">
        <f ca="1">IFERROR(IF(VLOOKUP(C1341,' Disaggregation - Section E '!A$10:N468,6,0)=0,"",VLOOKUP(C1341,' Disaggregation - Section E '!A$10:N468,6,0)),"")</f>
        <v/>
      </c>
      <c r="H1341" s="502" t="str">
        <f ca="1">IFERROR(IF(INDEX(' Disaggregation - Section E '!F$10:F468,MATCH(C1341,' Disaggregation - Section E '!A$10:A468,0)+1,1)&lt;&gt;0,INDEX(' Disaggregation - Section E '!F$10:F468,MATCH(C1341,' Disaggregation - Section E '!A$10:A468,0)+1,1),""),"")</f>
        <v/>
      </c>
      <c r="I1341" s="493" t="str">
        <f ca="1">IFERROR(IF(VLOOKUP(C1341,' Disaggregation - Section E '!A$10:N468,8,0)=0,"",VLOOKUP(C1341,' Disaggregation - Section E '!A$10:N468,8,0)),"")</f>
        <v/>
      </c>
      <c r="J1341" s="493" t="str">
        <f ca="1">IFERROR(IF(VLOOKUP(C1341,' Disaggregation - Section E '!A$10:N468,13,0)=0,"",VLOOKUP(C1341,' Disaggregation - Section E '!A$10:N468,13,0)),"")</f>
        <v/>
      </c>
      <c r="K1341" s="487" t="str">
        <f ca="1">IFERROR(VLOOKUP(C1341,' Disaggregation - Section E '!A$10:N468,3,0),"")</f>
        <v>HIV I-14 Nombre de nouvelles infections par le VIH pour 1000 habitants non infectés</v>
      </c>
      <c r="L1341" s="493" t="str">
        <f ca="1">IFERROR(IF(VLOOKUP(C1341,' Disaggregation - Section E '!A$10:N468,14,0)=0,"",VLOOKUP(C1341,' Disaggregation - Section E '!A$10:N468,14,0)),"")</f>
        <v/>
      </c>
      <c r="M1341" s="487" t="str">
        <f ca="1">IFERROR(IF(VLOOKUP(C1341,' Disaggregation - Section E '!A$10:T468,20,0)=0,"",VLOOKUP(C1341,' Disaggregation - Section E '!A$10:T468,20,0)),"")</f>
        <v/>
      </c>
      <c r="N1341" s="493" t="str">
        <f ca="1">IFERROR(IF(VLOOKUP(C1341,' Disaggregation - Section E '!A$10:N468,9,0)=0,"",VLOOKUP(C1341,' Disaggregation - Section E '!A$10:N468,9,0)),"")</f>
        <v/>
      </c>
      <c r="O1341" s="493" t="str">
        <f ca="1">IFERROR(IF(VLOOKUP(C1341,' Disaggregation - Section E '!A$10:N468,10,0)=0,"",VLOOKUP(C1341,' Disaggregation - Section E '!A$10:N468,10,0)),"")</f>
        <v/>
      </c>
    </row>
    <row r="1342" spans="1:15" x14ac:dyDescent="0.3">
      <c r="A1342" s="487" t="b">
        <f t="shared" ca="1" si="145"/>
        <v>0</v>
      </c>
      <c r="B1342" s="487"/>
      <c r="C1342" s="507" t="str">
        <f ca="1">IF(COUNTA(D$1181:D1342)=1,"",OFFSET(B1342,-COUNTA(D$1181:D1342)+1,1))</f>
        <v>a1G3p000003GJ3nEAG</v>
      </c>
      <c r="D1342" s="502"/>
      <c r="E1342" s="490" t="str">
        <f ca="1">IFERROR(IF(VLOOKUP(C1342,' Disaggregation - Section E '!A$10:J469,7,0)=0,"",VLOOKUP(C1342,' Disaggregation - Section E '!A$10:J469,7,0)*100),"")</f>
        <v/>
      </c>
      <c r="F1342" s="493" t="str">
        <f ca="1">IFERROR(IF(VLOOKUP(C1342,' Disaggregation - Section E '!A$10:N469,5,0)=0,"",VLOOKUP(C1342,' Disaggregation - Section E '!A$10:N469,5,0)),"")</f>
        <v/>
      </c>
      <c r="G1342" s="492" t="str">
        <f ca="1">IFERROR(IF(VLOOKUP(C1342,' Disaggregation - Section E '!A$10:N469,6,0)=0,"",VLOOKUP(C1342,' Disaggregation - Section E '!A$10:N469,6,0)),"")</f>
        <v/>
      </c>
      <c r="H1342" s="502" t="str">
        <f ca="1">IFERROR(IF(INDEX(' Disaggregation - Section E '!F$10:F469,MATCH(C1342,' Disaggregation - Section E '!A$10:A469,0)+1,1)&lt;&gt;0,INDEX(' Disaggregation - Section E '!F$10:F469,MATCH(C1342,' Disaggregation - Section E '!A$10:A469,0)+1,1),""),"")</f>
        <v/>
      </c>
      <c r="I1342" s="493" t="str">
        <f ca="1">IFERROR(IF(VLOOKUP(C1342,' Disaggregation - Section E '!A$10:N469,8,0)=0,"",VLOOKUP(C1342,' Disaggregation - Section E '!A$10:N469,8,0)),"")</f>
        <v/>
      </c>
      <c r="J1342" s="493" t="str">
        <f ca="1">IFERROR(IF(VLOOKUP(C1342,' Disaggregation - Section E '!A$10:N469,13,0)=0,"",VLOOKUP(C1342,' Disaggregation - Section E '!A$10:N469,13,0)),"")</f>
        <v/>
      </c>
      <c r="K1342" s="487" t="str">
        <f ca="1">IFERROR(VLOOKUP(C1342,' Disaggregation - Section E '!A$10:N469,3,0),"")</f>
        <v>HIV I-14 Nombre de nouvelles infections par le VIH pour 1000 habitants non infectés</v>
      </c>
      <c r="L1342" s="493" t="str">
        <f ca="1">IFERROR(IF(VLOOKUP(C1342,' Disaggregation - Section E '!A$10:N469,14,0)=0,"",VLOOKUP(C1342,' Disaggregation - Section E '!A$10:N469,14,0)),"")</f>
        <v/>
      </c>
      <c r="M1342" s="487" t="str">
        <f ca="1">IFERROR(IF(VLOOKUP(C1342,' Disaggregation - Section E '!A$10:T469,20,0)=0,"",VLOOKUP(C1342,' Disaggregation - Section E '!A$10:T469,20,0)),"")</f>
        <v/>
      </c>
      <c r="N1342" s="493" t="str">
        <f ca="1">IFERROR(IF(VLOOKUP(C1342,' Disaggregation - Section E '!A$10:N469,9,0)=0,"",VLOOKUP(C1342,' Disaggregation - Section E '!A$10:N469,9,0)),"")</f>
        <v/>
      </c>
      <c r="O1342" s="493" t="str">
        <f ca="1">IFERROR(IF(VLOOKUP(C1342,' Disaggregation - Section E '!A$10:N469,10,0)=0,"",VLOOKUP(C1342,' Disaggregation - Section E '!A$10:N469,10,0)),"")</f>
        <v/>
      </c>
    </row>
    <row r="1343" spans="1:15" x14ac:dyDescent="0.3">
      <c r="A1343" s="487" t="b">
        <f t="shared" ca="1" si="145"/>
        <v>0</v>
      </c>
      <c r="B1343" s="487"/>
      <c r="C1343" s="507" t="str">
        <f ca="1">IF(COUNTA(D$1181:D1343)=1,"",OFFSET(B1343,-COUNTA(D$1181:D1343)+1,1))</f>
        <v>a1G3p000003GJ3oEAG</v>
      </c>
      <c r="D1343" s="502"/>
      <c r="E1343" s="490" t="str">
        <f ca="1">IFERROR(IF(VLOOKUP(C1343,' Disaggregation - Section E '!A$10:J470,7,0)=0,"",VLOOKUP(C1343,' Disaggregation - Section E '!A$10:J470,7,0)*100),"")</f>
        <v/>
      </c>
      <c r="F1343" s="493" t="str">
        <f ca="1">IFERROR(IF(VLOOKUP(C1343,' Disaggregation - Section E '!A$10:N470,5,0)=0,"",VLOOKUP(C1343,' Disaggregation - Section E '!A$10:N470,5,0)),"")</f>
        <v>Femme 20-24</v>
      </c>
      <c r="G1343" s="492" t="str">
        <f ca="1">IFERROR(IF(VLOOKUP(C1343,' Disaggregation - Section E '!A$10:N470,6,0)=0,"",VLOOKUP(C1343,' Disaggregation - Section E '!A$10:N470,6,0)),"")</f>
        <v/>
      </c>
      <c r="H1343" s="502" t="str">
        <f ca="1">IFERROR(IF(INDEX(' Disaggregation - Section E '!F$10:F470,MATCH(C1343,' Disaggregation - Section E '!A$10:A470,0)+1,1)&lt;&gt;0,INDEX(' Disaggregation - Section E '!F$10:F470,MATCH(C1343,' Disaggregation - Section E '!A$10:A470,0)+1,1),""),"")</f>
        <v/>
      </c>
      <c r="I1343" s="493" t="str">
        <f ca="1">IFERROR(IF(VLOOKUP(C1343,' Disaggregation - Section E '!A$10:N470,8,0)=0,"",VLOOKUP(C1343,' Disaggregation - Section E '!A$10:N470,8,0)),"")</f>
        <v/>
      </c>
      <c r="J1343" s="493" t="str">
        <f ca="1">IFERROR(IF(VLOOKUP(C1343,' Disaggregation - Section E '!A$10:N470,13,0)=0,"",VLOOKUP(C1343,' Disaggregation - Section E '!A$10:N470,13,0)),"")</f>
        <v/>
      </c>
      <c r="K1343" s="487" t="str">
        <f ca="1">IFERROR(VLOOKUP(C1343,' Disaggregation - Section E '!A$10:N470,3,0),"")</f>
        <v>HIV I-4 Nombre de décès liés au sida pour 100,000 habitants</v>
      </c>
      <c r="L1343" s="493" t="str">
        <f ca="1">IFERROR(IF(VLOOKUP(C1343,' Disaggregation - Section E '!A$10:N470,14,0)=0,"",VLOOKUP(C1343,' Disaggregation - Section E '!A$10:N470,14,0)),"")</f>
        <v>To be added during grant making</v>
      </c>
      <c r="M1343" s="487" t="str">
        <f ca="1">IFERROR(IF(VLOOKUP(C1343,' Disaggregation - Section E '!A$10:T470,20,0)=0,"",VLOOKUP(C1343,' Disaggregation - Section E '!A$10:T470,20,0)),"")</f>
        <v>IDR-00883</v>
      </c>
      <c r="N1343" s="493" t="str">
        <f ca="1">IFERROR(IF(VLOOKUP(C1343,' Disaggregation - Section E '!A$10:N470,9,0)=0,"",VLOOKUP(C1343,' Disaggregation - Section E '!A$10:N470,9,0)),"")</f>
        <v/>
      </c>
      <c r="O1343" s="493" t="str">
        <f ca="1">IFERROR(IF(VLOOKUP(C1343,' Disaggregation - Section E '!A$10:N470,10,0)=0,"",VLOOKUP(C1343,' Disaggregation - Section E '!A$10:N470,10,0)),"")</f>
        <v>A ajouter lors du grant making</v>
      </c>
    </row>
    <row r="1344" spans="1:15" x14ac:dyDescent="0.3">
      <c r="A1344" s="487" t="b">
        <f t="shared" ca="1" si="145"/>
        <v>0</v>
      </c>
      <c r="B1344" s="487"/>
      <c r="C1344" s="507" t="str">
        <f ca="1">IF(COUNTA(D$1181:D1344)=1,"",OFFSET(B1344,-COUNTA(D$1181:D1344)+1,1))</f>
        <v>a1G3p000003GJ3pEAG</v>
      </c>
      <c r="D1344" s="502"/>
      <c r="E1344" s="490" t="str">
        <f ca="1">IFERROR(IF(VLOOKUP(C1344,' Disaggregation - Section E '!A$10:J471,7,0)=0,"",VLOOKUP(C1344,' Disaggregation - Section E '!A$10:J471,7,0)*100),"")</f>
        <v/>
      </c>
      <c r="F1344" s="493" t="str">
        <f ca="1">IFERROR(IF(VLOOKUP(C1344,' Disaggregation - Section E '!A$10:N471,5,0)=0,"",VLOOKUP(C1344,' Disaggregation - Section E '!A$10:N471,5,0)),"")</f>
        <v>Homme 20-24</v>
      </c>
      <c r="G1344" s="492" t="str">
        <f ca="1">IFERROR(IF(VLOOKUP(C1344,' Disaggregation - Section E '!A$10:N471,6,0)=0,"",VLOOKUP(C1344,' Disaggregation - Section E '!A$10:N471,6,0)),"")</f>
        <v/>
      </c>
      <c r="H1344" s="502" t="str">
        <f ca="1">IFERROR(IF(INDEX(' Disaggregation - Section E '!F$10:F471,MATCH(C1344,' Disaggregation - Section E '!A$10:A471,0)+1,1)&lt;&gt;0,INDEX(' Disaggregation - Section E '!F$10:F471,MATCH(C1344,' Disaggregation - Section E '!A$10:A471,0)+1,1),""),"")</f>
        <v/>
      </c>
      <c r="I1344" s="493" t="str">
        <f ca="1">IFERROR(IF(VLOOKUP(C1344,' Disaggregation - Section E '!A$10:N471,8,0)=0,"",VLOOKUP(C1344,' Disaggregation - Section E '!A$10:N471,8,0)),"")</f>
        <v/>
      </c>
      <c r="J1344" s="493" t="str">
        <f ca="1">IFERROR(IF(VLOOKUP(C1344,' Disaggregation - Section E '!A$10:N471,13,0)=0,"",VLOOKUP(C1344,' Disaggregation - Section E '!A$10:N471,13,0)),"")</f>
        <v/>
      </c>
      <c r="K1344" s="487" t="str">
        <f ca="1">IFERROR(VLOOKUP(C1344,' Disaggregation - Section E '!A$10:N471,3,0),"")</f>
        <v>HIV I-4 Nombre de décès liés au sida pour 100,000 habitants</v>
      </c>
      <c r="L1344" s="493" t="str">
        <f ca="1">IFERROR(IF(VLOOKUP(C1344,' Disaggregation - Section E '!A$10:N471,14,0)=0,"",VLOOKUP(C1344,' Disaggregation - Section E '!A$10:N471,14,0)),"")</f>
        <v>To be added during grant making</v>
      </c>
      <c r="M1344" s="487" t="str">
        <f ca="1">IFERROR(IF(VLOOKUP(C1344,' Disaggregation - Section E '!A$10:T471,20,0)=0,"",VLOOKUP(C1344,' Disaggregation - Section E '!A$10:T471,20,0)),"")</f>
        <v>IDR-00882</v>
      </c>
      <c r="N1344" s="493" t="str">
        <f ca="1">IFERROR(IF(VLOOKUP(C1344,' Disaggregation - Section E '!A$10:N471,9,0)=0,"",VLOOKUP(C1344,' Disaggregation - Section E '!A$10:N471,9,0)),"")</f>
        <v/>
      </c>
      <c r="O1344" s="493" t="str">
        <f ca="1">IFERROR(IF(VLOOKUP(C1344,' Disaggregation - Section E '!A$10:N471,10,0)=0,"",VLOOKUP(C1344,' Disaggregation - Section E '!A$10:N471,10,0)),"")</f>
        <v>A ajouter lors du grant making</v>
      </c>
    </row>
    <row r="1345" spans="1:15" x14ac:dyDescent="0.3">
      <c r="A1345" s="487" t="b">
        <f t="shared" ca="1" si="145"/>
        <v>0</v>
      </c>
      <c r="B1345" s="487"/>
      <c r="C1345" s="507" t="str">
        <f ca="1">IF(COUNTA(D$1181:D1345)=1,"",OFFSET(B1345,-COUNTA(D$1181:D1345)+1,1))</f>
        <v>a1G3p000003GJ3qEAG</v>
      </c>
      <c r="D1345" s="502"/>
      <c r="E1345" s="490" t="str">
        <f ca="1">IFERROR(IF(VLOOKUP(C1345,' Disaggregation - Section E '!A$10:J472,7,0)=0,"",VLOOKUP(C1345,' Disaggregation - Section E '!A$10:J472,7,0)*100),"")</f>
        <v/>
      </c>
      <c r="F1345" s="493" t="str">
        <f ca="1">IFERROR(IF(VLOOKUP(C1345,' Disaggregation - Section E '!A$10:N472,5,0)=0,"",VLOOKUP(C1345,' Disaggregation - Section E '!A$10:N472,5,0)),"")</f>
        <v>Femme 15-19</v>
      </c>
      <c r="G1345" s="492" t="str">
        <f ca="1">IFERROR(IF(VLOOKUP(C1345,' Disaggregation - Section E '!A$10:N472,6,0)=0,"",VLOOKUP(C1345,' Disaggregation - Section E '!A$10:N472,6,0)),"")</f>
        <v/>
      </c>
      <c r="H1345" s="502" t="str">
        <f ca="1">IFERROR(IF(INDEX(' Disaggregation - Section E '!F$10:F472,MATCH(C1345,' Disaggregation - Section E '!A$10:A472,0)+1,1)&lt;&gt;0,INDEX(' Disaggregation - Section E '!F$10:F472,MATCH(C1345,' Disaggregation - Section E '!A$10:A472,0)+1,1),""),"")</f>
        <v/>
      </c>
      <c r="I1345" s="493" t="str">
        <f ca="1">IFERROR(IF(VLOOKUP(C1345,' Disaggregation - Section E '!A$10:N472,8,0)=0,"",VLOOKUP(C1345,' Disaggregation - Section E '!A$10:N472,8,0)),"")</f>
        <v/>
      </c>
      <c r="J1345" s="493" t="str">
        <f ca="1">IFERROR(IF(VLOOKUP(C1345,' Disaggregation - Section E '!A$10:N472,13,0)=0,"",VLOOKUP(C1345,' Disaggregation - Section E '!A$10:N472,13,0)),"")</f>
        <v/>
      </c>
      <c r="K1345" s="487" t="str">
        <f ca="1">IFERROR(VLOOKUP(C1345,' Disaggregation - Section E '!A$10:N472,3,0),"")</f>
        <v>HIV I-4 Nombre de décès liés au sida pour 100,000 habitants</v>
      </c>
      <c r="L1345" s="493" t="str">
        <f ca="1">IFERROR(IF(VLOOKUP(C1345,' Disaggregation - Section E '!A$10:N472,14,0)=0,"",VLOOKUP(C1345,' Disaggregation - Section E '!A$10:N472,14,0)),"")</f>
        <v>To be added during grant making</v>
      </c>
      <c r="M1345" s="487" t="str">
        <f ca="1">IFERROR(IF(VLOOKUP(C1345,' Disaggregation - Section E '!A$10:T472,20,0)=0,"",VLOOKUP(C1345,' Disaggregation - Section E '!A$10:T472,20,0)),"")</f>
        <v>IDR-00881</v>
      </c>
      <c r="N1345" s="493" t="str">
        <f ca="1">IFERROR(IF(VLOOKUP(C1345,' Disaggregation - Section E '!A$10:N472,9,0)=0,"",VLOOKUP(C1345,' Disaggregation - Section E '!A$10:N472,9,0)),"")</f>
        <v/>
      </c>
      <c r="O1345" s="493" t="str">
        <f ca="1">IFERROR(IF(VLOOKUP(C1345,' Disaggregation - Section E '!A$10:N472,10,0)=0,"",VLOOKUP(C1345,' Disaggregation - Section E '!A$10:N472,10,0)),"")</f>
        <v>A ajouter lors du grant making</v>
      </c>
    </row>
    <row r="1346" spans="1:15" x14ac:dyDescent="0.3">
      <c r="A1346" s="487" t="b">
        <f t="shared" ca="1" si="145"/>
        <v>0</v>
      </c>
      <c r="B1346" s="487"/>
      <c r="C1346" s="507" t="str">
        <f ca="1">IF(COUNTA(D$1181:D1346)=1,"",OFFSET(B1346,-COUNTA(D$1181:D1346)+1,1))</f>
        <v>a1G3p000003GJ3rEAG</v>
      </c>
      <c r="D1346" s="502"/>
      <c r="E1346" s="490" t="str">
        <f ca="1">IFERROR(IF(VLOOKUP(C1346,' Disaggregation - Section E '!A$10:J473,7,0)=0,"",VLOOKUP(C1346,' Disaggregation - Section E '!A$10:J473,7,0)*100),"")</f>
        <v/>
      </c>
      <c r="F1346" s="493" t="str">
        <f ca="1">IFERROR(IF(VLOOKUP(C1346,' Disaggregation - Section E '!A$10:N473,5,0)=0,"",VLOOKUP(C1346,' Disaggregation - Section E '!A$10:N473,5,0)),"")</f>
        <v>Homme 15-19</v>
      </c>
      <c r="G1346" s="492" t="str">
        <f ca="1">IFERROR(IF(VLOOKUP(C1346,' Disaggregation - Section E '!A$10:N473,6,0)=0,"",VLOOKUP(C1346,' Disaggregation - Section E '!A$10:N473,6,0)),"")</f>
        <v/>
      </c>
      <c r="H1346" s="502" t="str">
        <f ca="1">IFERROR(IF(INDEX(' Disaggregation - Section E '!F$10:F473,MATCH(C1346,' Disaggregation - Section E '!A$10:A473,0)+1,1)&lt;&gt;0,INDEX(' Disaggregation - Section E '!F$10:F473,MATCH(C1346,' Disaggregation - Section E '!A$10:A473,0)+1,1),""),"")</f>
        <v/>
      </c>
      <c r="I1346" s="493" t="str">
        <f ca="1">IFERROR(IF(VLOOKUP(C1346,' Disaggregation - Section E '!A$10:N473,8,0)=0,"",VLOOKUP(C1346,' Disaggregation - Section E '!A$10:N473,8,0)),"")</f>
        <v/>
      </c>
      <c r="J1346" s="493" t="str">
        <f ca="1">IFERROR(IF(VLOOKUP(C1346,' Disaggregation - Section E '!A$10:N473,13,0)=0,"",VLOOKUP(C1346,' Disaggregation - Section E '!A$10:N473,13,0)),"")</f>
        <v/>
      </c>
      <c r="K1346" s="487" t="str">
        <f ca="1">IFERROR(VLOOKUP(C1346,' Disaggregation - Section E '!A$10:N473,3,0),"")</f>
        <v>HIV I-4 Nombre de décès liés au sida pour 100,000 habitants</v>
      </c>
      <c r="L1346" s="493" t="str">
        <f ca="1">IFERROR(IF(VLOOKUP(C1346,' Disaggregation - Section E '!A$10:N473,14,0)=0,"",VLOOKUP(C1346,' Disaggregation - Section E '!A$10:N473,14,0)),"")</f>
        <v>To be added during grant making</v>
      </c>
      <c r="M1346" s="487" t="str">
        <f ca="1">IFERROR(IF(VLOOKUP(C1346,' Disaggregation - Section E '!A$10:T473,20,0)=0,"",VLOOKUP(C1346,' Disaggregation - Section E '!A$10:T473,20,0)),"")</f>
        <v>IDR-00880</v>
      </c>
      <c r="N1346" s="493" t="str">
        <f ca="1">IFERROR(IF(VLOOKUP(C1346,' Disaggregation - Section E '!A$10:N473,9,0)=0,"",VLOOKUP(C1346,' Disaggregation - Section E '!A$10:N473,9,0)),"")</f>
        <v/>
      </c>
      <c r="O1346" s="493" t="str">
        <f ca="1">IFERROR(IF(VLOOKUP(C1346,' Disaggregation - Section E '!A$10:N473,10,0)=0,"",VLOOKUP(C1346,' Disaggregation - Section E '!A$10:N473,10,0)),"")</f>
        <v>A ajouter lors du grant making</v>
      </c>
    </row>
    <row r="1347" spans="1:15" x14ac:dyDescent="0.3">
      <c r="A1347" s="487" t="b">
        <f t="shared" ca="1" si="145"/>
        <v>0</v>
      </c>
      <c r="B1347" s="487"/>
      <c r="C1347" s="507" t="str">
        <f ca="1">IF(COUNTA(D$1181:D1347)=1,"",OFFSET(B1347,-COUNTA(D$1181:D1347)+1,1))</f>
        <v>a1G3p000003GJ3sEAG</v>
      </c>
      <c r="D1347" s="502"/>
      <c r="E1347" s="490" t="str">
        <f ca="1">IFERROR(IF(VLOOKUP(C1347,' Disaggregation - Section E '!A$10:J474,7,0)=0,"",VLOOKUP(C1347,' Disaggregation - Section E '!A$10:J474,7,0)*100),"")</f>
        <v/>
      </c>
      <c r="F1347" s="493" t="str">
        <f ca="1">IFERROR(IF(VLOOKUP(C1347,' Disaggregation - Section E '!A$10:N474,5,0)=0,"",VLOOKUP(C1347,' Disaggregation - Section E '!A$10:N474,5,0)),"")</f>
        <v>Femme</v>
      </c>
      <c r="G1347" s="492" t="str">
        <f ca="1">IFERROR(IF(VLOOKUP(C1347,' Disaggregation - Section E '!A$10:N474,6,0)=0,"",VLOOKUP(C1347,' Disaggregation - Section E '!A$10:N474,6,0)),"")</f>
        <v/>
      </c>
      <c r="H1347" s="502" t="str">
        <f ca="1">IFERROR(IF(INDEX(' Disaggregation - Section E '!F$10:F474,MATCH(C1347,' Disaggregation - Section E '!A$10:A474,0)+1,1)&lt;&gt;0,INDEX(' Disaggregation - Section E '!F$10:F474,MATCH(C1347,' Disaggregation - Section E '!A$10:A474,0)+1,1),""),"")</f>
        <v/>
      </c>
      <c r="I1347" s="493" t="str">
        <f ca="1">IFERROR(IF(VLOOKUP(C1347,' Disaggregation - Section E '!A$10:N474,8,0)=0,"",VLOOKUP(C1347,' Disaggregation - Section E '!A$10:N474,8,0)),"")</f>
        <v/>
      </c>
      <c r="J1347" s="493" t="str">
        <f ca="1">IFERROR(IF(VLOOKUP(C1347,' Disaggregation - Section E '!A$10:N474,13,0)=0,"",VLOOKUP(C1347,' Disaggregation - Section E '!A$10:N474,13,0)),"")</f>
        <v/>
      </c>
      <c r="K1347" s="487" t="str">
        <f ca="1">IFERROR(VLOOKUP(C1347,' Disaggregation - Section E '!A$10:N474,3,0),"")</f>
        <v>HIV I-4 Nombre de décès liés au sida pour 100,000 habitants</v>
      </c>
      <c r="L1347" s="493" t="str">
        <f ca="1">IFERROR(IF(VLOOKUP(C1347,' Disaggregation - Section E '!A$10:N474,14,0)=0,"",VLOOKUP(C1347,' Disaggregation - Section E '!A$10:N474,14,0)),"")</f>
        <v>To be added during grant making</v>
      </c>
      <c r="M1347" s="487" t="str">
        <f ca="1">IFERROR(IF(VLOOKUP(C1347,' Disaggregation - Section E '!A$10:T474,20,0)=0,"",VLOOKUP(C1347,' Disaggregation - Section E '!A$10:T474,20,0)),"")</f>
        <v>IDR-00773</v>
      </c>
      <c r="N1347" s="493" t="str">
        <f ca="1">IFERROR(IF(VLOOKUP(C1347,' Disaggregation - Section E '!A$10:N474,9,0)=0,"",VLOOKUP(C1347,' Disaggregation - Section E '!A$10:N474,9,0)),"")</f>
        <v/>
      </c>
      <c r="O1347" s="493" t="str">
        <f ca="1">IFERROR(IF(VLOOKUP(C1347,' Disaggregation - Section E '!A$10:N474,10,0)=0,"",VLOOKUP(C1347,' Disaggregation - Section E '!A$10:N474,10,0)),"")</f>
        <v>A ajouter lors du grant making</v>
      </c>
    </row>
    <row r="1348" spans="1:15" x14ac:dyDescent="0.3">
      <c r="A1348" s="487" t="b">
        <f t="shared" ca="1" si="145"/>
        <v>0</v>
      </c>
      <c r="B1348" s="487"/>
      <c r="C1348" s="507" t="str">
        <f ca="1">IF(COUNTA(D$1181:D1348)=1,"",OFFSET(B1348,-COUNTA(D$1181:D1348)+1,1))</f>
        <v>a1G3p000003GJ3tEAG</v>
      </c>
      <c r="D1348" s="502"/>
      <c r="E1348" s="490" t="str">
        <f ca="1">IFERROR(IF(VLOOKUP(C1348,' Disaggregation - Section E '!A$10:J475,7,0)=0,"",VLOOKUP(C1348,' Disaggregation - Section E '!A$10:J475,7,0)*100),"")</f>
        <v/>
      </c>
      <c r="F1348" s="493" t="str">
        <f ca="1">IFERROR(IF(VLOOKUP(C1348,' Disaggregation - Section E '!A$10:N475,5,0)=0,"",VLOOKUP(C1348,' Disaggregation - Section E '!A$10:N475,5,0)),"")</f>
        <v>Homme</v>
      </c>
      <c r="G1348" s="492" t="str">
        <f ca="1">IFERROR(IF(VLOOKUP(C1348,' Disaggregation - Section E '!A$10:N475,6,0)=0,"",VLOOKUP(C1348,' Disaggregation - Section E '!A$10:N475,6,0)),"")</f>
        <v/>
      </c>
      <c r="H1348" s="502" t="str">
        <f ca="1">IFERROR(IF(INDEX(' Disaggregation - Section E '!F$10:F475,MATCH(C1348,' Disaggregation - Section E '!A$10:A475,0)+1,1)&lt;&gt;0,INDEX(' Disaggregation - Section E '!F$10:F475,MATCH(C1348,' Disaggregation - Section E '!A$10:A475,0)+1,1),""),"")</f>
        <v/>
      </c>
      <c r="I1348" s="493" t="str">
        <f ca="1">IFERROR(IF(VLOOKUP(C1348,' Disaggregation - Section E '!A$10:N475,8,0)=0,"",VLOOKUP(C1348,' Disaggregation - Section E '!A$10:N475,8,0)),"")</f>
        <v/>
      </c>
      <c r="J1348" s="493" t="str">
        <f ca="1">IFERROR(IF(VLOOKUP(C1348,' Disaggregation - Section E '!A$10:N475,13,0)=0,"",VLOOKUP(C1348,' Disaggregation - Section E '!A$10:N475,13,0)),"")</f>
        <v/>
      </c>
      <c r="K1348" s="487" t="str">
        <f ca="1">IFERROR(VLOOKUP(C1348,' Disaggregation - Section E '!A$10:N475,3,0),"")</f>
        <v>HIV I-4 Nombre de décès liés au sida pour 100,000 habitants</v>
      </c>
      <c r="L1348" s="493" t="str">
        <f ca="1">IFERROR(IF(VLOOKUP(C1348,' Disaggregation - Section E '!A$10:N475,14,0)=0,"",VLOOKUP(C1348,' Disaggregation - Section E '!A$10:N475,14,0)),"")</f>
        <v>To be added during grant making</v>
      </c>
      <c r="M1348" s="487" t="str">
        <f ca="1">IFERROR(IF(VLOOKUP(C1348,' Disaggregation - Section E '!A$10:T475,20,0)=0,"",VLOOKUP(C1348,' Disaggregation - Section E '!A$10:T475,20,0)),"")</f>
        <v>IDR-00772</v>
      </c>
      <c r="N1348" s="493" t="str">
        <f ca="1">IFERROR(IF(VLOOKUP(C1348,' Disaggregation - Section E '!A$10:N475,9,0)=0,"",VLOOKUP(C1348,' Disaggregation - Section E '!A$10:N475,9,0)),"")</f>
        <v/>
      </c>
      <c r="O1348" s="493" t="str">
        <f ca="1">IFERROR(IF(VLOOKUP(C1348,' Disaggregation - Section E '!A$10:N475,10,0)=0,"",VLOOKUP(C1348,' Disaggregation - Section E '!A$10:N475,10,0)),"")</f>
        <v>A ajouter lors du grant making</v>
      </c>
    </row>
    <row r="1349" spans="1:15" x14ac:dyDescent="0.3">
      <c r="A1349" s="487" t="b">
        <f t="shared" ca="1" si="145"/>
        <v>0</v>
      </c>
      <c r="B1349" s="487"/>
      <c r="C1349" s="507" t="str">
        <f ca="1">IF(COUNTA(D$1181:D1349)=1,"",OFFSET(B1349,-COUNTA(D$1181:D1349)+1,1))</f>
        <v>a1G3p000003GJ3uEAG</v>
      </c>
      <c r="D1349" s="502"/>
      <c r="E1349" s="490" t="str">
        <f ca="1">IFERROR(IF(VLOOKUP(C1349,' Disaggregation - Section E '!A$10:J476,7,0)=0,"",VLOOKUP(C1349,' Disaggregation - Section E '!A$10:J476,7,0)*100),"")</f>
        <v/>
      </c>
      <c r="F1349" s="493" t="str">
        <f ca="1">IFERROR(IF(VLOOKUP(C1349,' Disaggregation - Section E '!A$10:N476,5,0)=0,"",VLOOKUP(C1349,' Disaggregation - Section E '!A$10:N476,5,0)),"")</f>
        <v>15+</v>
      </c>
      <c r="G1349" s="492" t="str">
        <f ca="1">IFERROR(IF(VLOOKUP(C1349,' Disaggregation - Section E '!A$10:N476,6,0)=0,"",VLOOKUP(C1349,' Disaggregation - Section E '!A$10:N476,6,0)),"")</f>
        <v/>
      </c>
      <c r="H1349" s="502" t="str">
        <f ca="1">IFERROR(IF(INDEX(' Disaggregation - Section E '!F$10:F476,MATCH(C1349,' Disaggregation - Section E '!A$10:A476,0)+1,1)&lt;&gt;0,INDEX(' Disaggregation - Section E '!F$10:F476,MATCH(C1349,' Disaggregation - Section E '!A$10:A476,0)+1,1),""),"")</f>
        <v/>
      </c>
      <c r="I1349" s="493" t="str">
        <f ca="1">IFERROR(IF(VLOOKUP(C1349,' Disaggregation - Section E '!A$10:N476,8,0)=0,"",VLOOKUP(C1349,' Disaggregation - Section E '!A$10:N476,8,0)),"")</f>
        <v/>
      </c>
      <c r="J1349" s="493" t="str">
        <f ca="1">IFERROR(IF(VLOOKUP(C1349,' Disaggregation - Section E '!A$10:N476,13,0)=0,"",VLOOKUP(C1349,' Disaggregation - Section E '!A$10:N476,13,0)),"")</f>
        <v/>
      </c>
      <c r="K1349" s="487" t="str">
        <f ca="1">IFERROR(VLOOKUP(C1349,' Disaggregation - Section E '!A$10:N476,3,0),"")</f>
        <v>HIV I-4 Nombre de décès liés au sida pour 100,000 habitants</v>
      </c>
      <c r="L1349" s="493" t="str">
        <f ca="1">IFERROR(IF(VLOOKUP(C1349,' Disaggregation - Section E '!A$10:N476,14,0)=0,"",VLOOKUP(C1349,' Disaggregation - Section E '!A$10:N476,14,0)),"")</f>
        <v>To be added during grant making</v>
      </c>
      <c r="M1349" s="487" t="str">
        <f ca="1">IFERROR(IF(VLOOKUP(C1349,' Disaggregation - Section E '!A$10:T476,20,0)=0,"",VLOOKUP(C1349,' Disaggregation - Section E '!A$10:T476,20,0)),"")</f>
        <v>IDR-00655</v>
      </c>
      <c r="N1349" s="493" t="str">
        <f ca="1">IFERROR(IF(VLOOKUP(C1349,' Disaggregation - Section E '!A$10:N476,9,0)=0,"",VLOOKUP(C1349,' Disaggregation - Section E '!A$10:N476,9,0)),"")</f>
        <v/>
      </c>
      <c r="O1349" s="493" t="str">
        <f ca="1">IFERROR(IF(VLOOKUP(C1349,' Disaggregation - Section E '!A$10:N476,10,0)=0,"",VLOOKUP(C1349,' Disaggregation - Section E '!A$10:N476,10,0)),"")</f>
        <v>A ajouter lors du grant making</v>
      </c>
    </row>
    <row r="1350" spans="1:15" x14ac:dyDescent="0.3">
      <c r="A1350" s="487" t="b">
        <f t="shared" ca="1" si="145"/>
        <v>0</v>
      </c>
      <c r="B1350" s="487"/>
      <c r="C1350" s="507" t="str">
        <f ca="1">IF(COUNTA(D$1181:D1350)=1,"",OFFSET(B1350,-COUNTA(D$1181:D1350)+1,1))</f>
        <v>a1G3p000003GJ3vEAG</v>
      </c>
      <c r="D1350" s="502"/>
      <c r="E1350" s="490" t="str">
        <f ca="1">IFERROR(IF(VLOOKUP(C1350,' Disaggregation - Section E '!A$10:J477,7,0)=0,"",VLOOKUP(C1350,' Disaggregation - Section E '!A$10:J477,7,0)*100),"")</f>
        <v/>
      </c>
      <c r="F1350" s="493" t="str">
        <f ca="1">IFERROR(IF(VLOOKUP(C1350,' Disaggregation - Section E '!A$10:N477,5,0)=0,"",VLOOKUP(C1350,' Disaggregation - Section E '!A$10:N477,5,0)),"")</f>
        <v>5-14</v>
      </c>
      <c r="G1350" s="492" t="str">
        <f ca="1">IFERROR(IF(VLOOKUP(C1350,' Disaggregation - Section E '!A$10:N477,6,0)=0,"",VLOOKUP(C1350,' Disaggregation - Section E '!A$10:N477,6,0)),"")</f>
        <v/>
      </c>
      <c r="H1350" s="502" t="str">
        <f ca="1">IFERROR(IF(INDEX(' Disaggregation - Section E '!F$10:F477,MATCH(C1350,' Disaggregation - Section E '!A$10:A477,0)+1,1)&lt;&gt;0,INDEX(' Disaggregation - Section E '!F$10:F477,MATCH(C1350,' Disaggregation - Section E '!A$10:A477,0)+1,1),""),"")</f>
        <v/>
      </c>
      <c r="I1350" s="493" t="str">
        <f ca="1">IFERROR(IF(VLOOKUP(C1350,' Disaggregation - Section E '!A$10:N477,8,0)=0,"",VLOOKUP(C1350,' Disaggregation - Section E '!A$10:N477,8,0)),"")</f>
        <v/>
      </c>
      <c r="J1350" s="493" t="str">
        <f ca="1">IFERROR(IF(VLOOKUP(C1350,' Disaggregation - Section E '!A$10:N477,13,0)=0,"",VLOOKUP(C1350,' Disaggregation - Section E '!A$10:N477,13,0)),"")</f>
        <v/>
      </c>
      <c r="K1350" s="487" t="str">
        <f ca="1">IFERROR(VLOOKUP(C1350,' Disaggregation - Section E '!A$10:N477,3,0),"")</f>
        <v>HIV I-4 Nombre de décès liés au sida pour 100,000 habitants</v>
      </c>
      <c r="L1350" s="493" t="str">
        <f ca="1">IFERROR(IF(VLOOKUP(C1350,' Disaggregation - Section E '!A$10:N477,14,0)=0,"",VLOOKUP(C1350,' Disaggregation - Section E '!A$10:N477,14,0)),"")</f>
        <v>To be added during grant making</v>
      </c>
      <c r="M1350" s="487" t="str">
        <f ca="1">IFERROR(IF(VLOOKUP(C1350,' Disaggregation - Section E '!A$10:T477,20,0)=0,"",VLOOKUP(C1350,' Disaggregation - Section E '!A$10:T477,20,0)),"")</f>
        <v>IDR-00654</v>
      </c>
      <c r="N1350" s="493" t="str">
        <f ca="1">IFERROR(IF(VLOOKUP(C1350,' Disaggregation - Section E '!A$10:N477,9,0)=0,"",VLOOKUP(C1350,' Disaggregation - Section E '!A$10:N477,9,0)),"")</f>
        <v/>
      </c>
      <c r="O1350" s="493" t="str">
        <f ca="1">IFERROR(IF(VLOOKUP(C1350,' Disaggregation - Section E '!A$10:N477,10,0)=0,"",VLOOKUP(C1350,' Disaggregation - Section E '!A$10:N477,10,0)),"")</f>
        <v>A ajouter lors du grant making</v>
      </c>
    </row>
    <row r="1351" spans="1:15" x14ac:dyDescent="0.3">
      <c r="A1351" s="487" t="b">
        <f t="shared" ca="1" si="145"/>
        <v>0</v>
      </c>
      <c r="B1351" s="487"/>
      <c r="C1351" s="507" t="str">
        <f ca="1">IF(COUNTA(D$1181:D1351)=1,"",OFFSET(B1351,-COUNTA(D$1181:D1351)+1,1))</f>
        <v>a1G3p000003GJ3wEAG</v>
      </c>
      <c r="D1351" s="502"/>
      <c r="E1351" s="490" t="str">
        <f ca="1">IFERROR(IF(VLOOKUP(C1351,' Disaggregation - Section E '!A$10:J478,7,0)=0,"",VLOOKUP(C1351,' Disaggregation - Section E '!A$10:J478,7,0)*100),"")</f>
        <v/>
      </c>
      <c r="F1351" s="493" t="str">
        <f ca="1">IFERROR(IF(VLOOKUP(C1351,' Disaggregation - Section E '!A$10:N478,5,0)=0,"",VLOOKUP(C1351,' Disaggregation - Section E '!A$10:N478,5,0)),"")</f>
        <v>&lt;5</v>
      </c>
      <c r="G1351" s="492" t="str">
        <f ca="1">IFERROR(IF(VLOOKUP(C1351,' Disaggregation - Section E '!A$10:N478,6,0)=0,"",VLOOKUP(C1351,' Disaggregation - Section E '!A$10:N478,6,0)),"")</f>
        <v/>
      </c>
      <c r="H1351" s="502" t="str">
        <f ca="1">IFERROR(IF(INDEX(' Disaggregation - Section E '!F$10:F478,MATCH(C1351,' Disaggregation - Section E '!A$10:A478,0)+1,1)&lt;&gt;0,INDEX(' Disaggregation - Section E '!F$10:F478,MATCH(C1351,' Disaggregation - Section E '!A$10:A478,0)+1,1),""),"")</f>
        <v/>
      </c>
      <c r="I1351" s="493" t="str">
        <f ca="1">IFERROR(IF(VLOOKUP(C1351,' Disaggregation - Section E '!A$10:N478,8,0)=0,"",VLOOKUP(C1351,' Disaggregation - Section E '!A$10:N478,8,0)),"")</f>
        <v/>
      </c>
      <c r="J1351" s="493" t="str">
        <f ca="1">IFERROR(IF(VLOOKUP(C1351,' Disaggregation - Section E '!A$10:N478,13,0)=0,"",VLOOKUP(C1351,' Disaggregation - Section E '!A$10:N478,13,0)),"")</f>
        <v/>
      </c>
      <c r="K1351" s="487" t="str">
        <f ca="1">IFERROR(VLOOKUP(C1351,' Disaggregation - Section E '!A$10:N478,3,0),"")</f>
        <v>HIV I-4 Nombre de décès liés au sida pour 100,000 habitants</v>
      </c>
      <c r="L1351" s="493" t="str">
        <f ca="1">IFERROR(IF(VLOOKUP(C1351,' Disaggregation - Section E '!A$10:N478,14,0)=0,"",VLOOKUP(C1351,' Disaggregation - Section E '!A$10:N478,14,0)),"")</f>
        <v>To be added during grant making</v>
      </c>
      <c r="M1351" s="487" t="str">
        <f ca="1">IFERROR(IF(VLOOKUP(C1351,' Disaggregation - Section E '!A$10:T478,20,0)=0,"",VLOOKUP(C1351,' Disaggregation - Section E '!A$10:T478,20,0)),"")</f>
        <v>IDR-00653</v>
      </c>
      <c r="N1351" s="493" t="str">
        <f ca="1">IFERROR(IF(VLOOKUP(C1351,' Disaggregation - Section E '!A$10:N478,9,0)=0,"",VLOOKUP(C1351,' Disaggregation - Section E '!A$10:N478,9,0)),"")</f>
        <v/>
      </c>
      <c r="O1351" s="493" t="str">
        <f ca="1">IFERROR(IF(VLOOKUP(C1351,' Disaggregation - Section E '!A$10:N478,10,0)=0,"",VLOOKUP(C1351,' Disaggregation - Section E '!A$10:N478,10,0)),"")</f>
        <v>A ajouter lors du grant making</v>
      </c>
    </row>
    <row r="1352" spans="1:15" x14ac:dyDescent="0.3">
      <c r="A1352" s="487" t="b">
        <f t="shared" ca="1" si="145"/>
        <v>0</v>
      </c>
      <c r="B1352" s="487"/>
      <c r="C1352" s="507" t="str">
        <f ca="1">IF(COUNTA(D$1181:D1352)=1,"",OFFSET(B1352,-COUNTA(D$1181:D1352)+1,1))</f>
        <v>a1G3p000003GJ3xEAG</v>
      </c>
      <c r="D1352" s="502"/>
      <c r="E1352" s="490" t="str">
        <f ca="1">IFERROR(IF(VLOOKUP(C1352,' Disaggregation - Section E '!A$10:J479,7,0)=0,"",VLOOKUP(C1352,' Disaggregation - Section E '!A$10:J479,7,0)*100),"")</f>
        <v/>
      </c>
      <c r="F1352" s="493" t="str">
        <f ca="1">IFERROR(IF(VLOOKUP(C1352,' Disaggregation - Section E '!A$10:N479,5,0)=0,"",VLOOKUP(C1352,' Disaggregation - Section E '!A$10:N479,5,0)),"")</f>
        <v/>
      </c>
      <c r="G1352" s="492" t="str">
        <f ca="1">IFERROR(IF(VLOOKUP(C1352,' Disaggregation - Section E '!A$10:N479,6,0)=0,"",VLOOKUP(C1352,' Disaggregation - Section E '!A$10:N479,6,0)),"")</f>
        <v/>
      </c>
      <c r="H1352" s="502" t="str">
        <f ca="1">IFERROR(IF(INDEX(' Disaggregation - Section E '!F$10:F479,MATCH(C1352,' Disaggregation - Section E '!A$10:A479,0)+1,1)&lt;&gt;0,INDEX(' Disaggregation - Section E '!F$10:F479,MATCH(C1352,' Disaggregation - Section E '!A$10:A479,0)+1,1),""),"")</f>
        <v/>
      </c>
      <c r="I1352" s="493" t="str">
        <f ca="1">IFERROR(IF(VLOOKUP(C1352,' Disaggregation - Section E '!A$10:N479,8,0)=0,"",VLOOKUP(C1352,' Disaggregation - Section E '!A$10:N479,8,0)),"")</f>
        <v/>
      </c>
      <c r="J1352" s="493" t="str">
        <f ca="1">IFERROR(IF(VLOOKUP(C1352,' Disaggregation - Section E '!A$10:N479,13,0)=0,"",VLOOKUP(C1352,' Disaggregation - Section E '!A$10:N479,13,0)),"")</f>
        <v/>
      </c>
      <c r="K1352" s="487" t="str">
        <f ca="1">IFERROR(VLOOKUP(C1352,' Disaggregation - Section E '!A$10:N479,3,0),"")</f>
        <v>HIV I-4 Nombre de décès liés au sida pour 100,000 habitants</v>
      </c>
      <c r="L1352" s="493" t="str">
        <f ca="1">IFERROR(IF(VLOOKUP(C1352,' Disaggregation - Section E '!A$10:N479,14,0)=0,"",VLOOKUP(C1352,' Disaggregation - Section E '!A$10:N479,14,0)),"")</f>
        <v/>
      </c>
      <c r="M1352" s="487" t="str">
        <f ca="1">IFERROR(IF(VLOOKUP(C1352,' Disaggregation - Section E '!A$10:T479,20,0)=0,"",VLOOKUP(C1352,' Disaggregation - Section E '!A$10:T479,20,0)),"")</f>
        <v/>
      </c>
      <c r="N1352" s="493" t="str">
        <f ca="1">IFERROR(IF(VLOOKUP(C1352,' Disaggregation - Section E '!A$10:N479,9,0)=0,"",VLOOKUP(C1352,' Disaggregation - Section E '!A$10:N479,9,0)),"")</f>
        <v/>
      </c>
      <c r="O1352" s="493" t="str">
        <f ca="1">IFERROR(IF(VLOOKUP(C1352,' Disaggregation - Section E '!A$10:N479,10,0)=0,"",VLOOKUP(C1352,' Disaggregation - Section E '!A$10:N479,10,0)),"")</f>
        <v/>
      </c>
    </row>
    <row r="1353" spans="1:15" x14ac:dyDescent="0.3">
      <c r="A1353" s="487" t="b">
        <f t="shared" ca="1" si="145"/>
        <v>0</v>
      </c>
      <c r="B1353" s="487"/>
      <c r="C1353" s="507" t="str">
        <f ca="1">IF(COUNTA(D$1181:D1353)=1,"",OFFSET(B1353,-COUNTA(D$1181:D1353)+1,1))</f>
        <v>a1G3p000003GJ3yEAG</v>
      </c>
      <c r="D1353" s="502"/>
      <c r="E1353" s="490" t="str">
        <f ca="1">IFERROR(IF(VLOOKUP(C1353,' Disaggregation - Section E '!A$10:J480,7,0)=0,"",VLOOKUP(C1353,' Disaggregation - Section E '!A$10:J480,7,0)*100),"")</f>
        <v/>
      </c>
      <c r="F1353" s="493" t="str">
        <f ca="1">IFERROR(IF(VLOOKUP(C1353,' Disaggregation - Section E '!A$10:N480,5,0)=0,"",VLOOKUP(C1353,' Disaggregation - Section E '!A$10:N480,5,0)),"")</f>
        <v/>
      </c>
      <c r="G1353" s="492" t="str">
        <f ca="1">IFERROR(IF(VLOOKUP(C1353,' Disaggregation - Section E '!A$10:N480,6,0)=0,"",VLOOKUP(C1353,' Disaggregation - Section E '!A$10:N480,6,0)),"")</f>
        <v/>
      </c>
      <c r="H1353" s="502" t="str">
        <f ca="1">IFERROR(IF(INDEX(' Disaggregation - Section E '!F$10:F480,MATCH(C1353,' Disaggregation - Section E '!A$10:A480,0)+1,1)&lt;&gt;0,INDEX(' Disaggregation - Section E '!F$10:F480,MATCH(C1353,' Disaggregation - Section E '!A$10:A480,0)+1,1),""),"")</f>
        <v/>
      </c>
      <c r="I1353" s="493" t="str">
        <f ca="1">IFERROR(IF(VLOOKUP(C1353,' Disaggregation - Section E '!A$10:N480,8,0)=0,"",VLOOKUP(C1353,' Disaggregation - Section E '!A$10:N480,8,0)),"")</f>
        <v/>
      </c>
      <c r="J1353" s="493" t="str">
        <f ca="1">IFERROR(IF(VLOOKUP(C1353,' Disaggregation - Section E '!A$10:N480,13,0)=0,"",VLOOKUP(C1353,' Disaggregation - Section E '!A$10:N480,13,0)),"")</f>
        <v/>
      </c>
      <c r="K1353" s="487" t="str">
        <f ca="1">IFERROR(VLOOKUP(C1353,' Disaggregation - Section E '!A$10:N480,3,0),"")</f>
        <v/>
      </c>
      <c r="L1353" s="493" t="str">
        <f ca="1">IFERROR(IF(VLOOKUP(C1353,' Disaggregation - Section E '!A$10:N480,14,0)=0,"",VLOOKUP(C1353,' Disaggregation - Section E '!A$10:N480,14,0)),"")</f>
        <v/>
      </c>
      <c r="M1353" s="487" t="str">
        <f ca="1">IFERROR(IF(VLOOKUP(C1353,' Disaggregation - Section E '!A$10:T480,20,0)=0,"",VLOOKUP(C1353,' Disaggregation - Section E '!A$10:T480,20,0)),"")</f>
        <v/>
      </c>
      <c r="N1353" s="493" t="str">
        <f ca="1">IFERROR(IF(VLOOKUP(C1353,' Disaggregation - Section E '!A$10:N480,9,0)=0,"",VLOOKUP(C1353,' Disaggregation - Section E '!A$10:N480,9,0)),"")</f>
        <v/>
      </c>
      <c r="O1353" s="493" t="str">
        <f ca="1">IFERROR(IF(VLOOKUP(C1353,' Disaggregation - Section E '!A$10:N480,10,0)=0,"",VLOOKUP(C1353,' Disaggregation - Section E '!A$10:N480,10,0)),"")</f>
        <v/>
      </c>
    </row>
    <row r="1354" spans="1:15" x14ac:dyDescent="0.3">
      <c r="A1354" s="487" t="b">
        <f t="shared" ca="1" si="145"/>
        <v>0</v>
      </c>
      <c r="B1354" s="487"/>
      <c r="C1354" s="507" t="str">
        <f ca="1">IF(COUNTA(D$1181:D1354)=1,"",OFFSET(B1354,-COUNTA(D$1181:D1354)+1,1))</f>
        <v>a1G3p000003GJ3zEAG</v>
      </c>
      <c r="D1354" s="502"/>
      <c r="E1354" s="490" t="str">
        <f ca="1">IFERROR(IF(VLOOKUP(C1354,' Disaggregation - Section E '!A$10:J481,7,0)=0,"",VLOOKUP(C1354,' Disaggregation - Section E '!A$10:J481,7,0)*100),"")</f>
        <v/>
      </c>
      <c r="F1354" s="493" t="str">
        <f ca="1">IFERROR(IF(VLOOKUP(C1354,' Disaggregation - Section E '!A$10:N481,5,0)=0,"",VLOOKUP(C1354,' Disaggregation - Section E '!A$10:N481,5,0)),"")</f>
        <v/>
      </c>
      <c r="G1354" s="492" t="str">
        <f ca="1">IFERROR(IF(VLOOKUP(C1354,' Disaggregation - Section E '!A$10:N481,6,0)=0,"",VLOOKUP(C1354,' Disaggregation - Section E '!A$10:N481,6,0)),"")</f>
        <v/>
      </c>
      <c r="H1354" s="502" t="str">
        <f ca="1">IFERROR(IF(INDEX(' Disaggregation - Section E '!F$10:F481,MATCH(C1354,' Disaggregation - Section E '!A$10:A481,0)+1,1)&lt;&gt;0,INDEX(' Disaggregation - Section E '!F$10:F481,MATCH(C1354,' Disaggregation - Section E '!A$10:A481,0)+1,1),""),"")</f>
        <v/>
      </c>
      <c r="I1354" s="493" t="str">
        <f ca="1">IFERROR(IF(VLOOKUP(C1354,' Disaggregation - Section E '!A$10:N481,8,0)=0,"",VLOOKUP(C1354,' Disaggregation - Section E '!A$10:N481,8,0)),"")</f>
        <v/>
      </c>
      <c r="J1354" s="493" t="str">
        <f ca="1">IFERROR(IF(VLOOKUP(C1354,' Disaggregation - Section E '!A$10:N481,13,0)=0,"",VLOOKUP(C1354,' Disaggregation - Section E '!A$10:N481,13,0)),"")</f>
        <v/>
      </c>
      <c r="K1354" s="487" t="str">
        <f ca="1">IFERROR(VLOOKUP(C1354,' Disaggregation - Section E '!A$10:N481,3,0),"")</f>
        <v/>
      </c>
      <c r="L1354" s="493" t="str">
        <f ca="1">IFERROR(IF(VLOOKUP(C1354,' Disaggregation - Section E '!A$10:N481,14,0)=0,"",VLOOKUP(C1354,' Disaggregation - Section E '!A$10:N481,14,0)),"")</f>
        <v/>
      </c>
      <c r="M1354" s="487" t="str">
        <f ca="1">IFERROR(IF(VLOOKUP(C1354,' Disaggregation - Section E '!A$10:T481,20,0)=0,"",VLOOKUP(C1354,' Disaggregation - Section E '!A$10:T481,20,0)),"")</f>
        <v/>
      </c>
      <c r="N1354" s="493" t="str">
        <f ca="1">IFERROR(IF(VLOOKUP(C1354,' Disaggregation - Section E '!A$10:N481,9,0)=0,"",VLOOKUP(C1354,' Disaggregation - Section E '!A$10:N481,9,0)),"")</f>
        <v/>
      </c>
      <c r="O1354" s="493" t="str">
        <f ca="1">IFERROR(IF(VLOOKUP(C1354,' Disaggregation - Section E '!A$10:N481,10,0)=0,"",VLOOKUP(C1354,' Disaggregation - Section E '!A$10:N481,10,0)),"")</f>
        <v/>
      </c>
    </row>
    <row r="1355" spans="1:15" x14ac:dyDescent="0.3">
      <c r="A1355" s="487" t="b">
        <f t="shared" ca="1" si="145"/>
        <v>0</v>
      </c>
      <c r="B1355" s="487"/>
      <c r="C1355" s="507" t="str">
        <f ca="1">IF(COUNTA(D$1181:D1355)=1,"",OFFSET(B1355,-COUNTA(D$1181:D1355)+1,1))</f>
        <v>a1G3p000003GJ40EAG</v>
      </c>
      <c r="D1355" s="502"/>
      <c r="E1355" s="490" t="str">
        <f ca="1">IFERROR(IF(VLOOKUP(C1355,' Disaggregation - Section E '!A$10:J482,7,0)=0,"",VLOOKUP(C1355,' Disaggregation - Section E '!A$10:J482,7,0)*100),"")</f>
        <v/>
      </c>
      <c r="F1355" s="493" t="str">
        <f ca="1">IFERROR(IF(VLOOKUP(C1355,' Disaggregation - Section E '!A$10:N482,5,0)=0,"",VLOOKUP(C1355,' Disaggregation - Section E '!A$10:N482,5,0)),"")</f>
        <v/>
      </c>
      <c r="G1355" s="492" t="str">
        <f ca="1">IFERROR(IF(VLOOKUP(C1355,' Disaggregation - Section E '!A$10:N482,6,0)=0,"",VLOOKUP(C1355,' Disaggregation - Section E '!A$10:N482,6,0)),"")</f>
        <v/>
      </c>
      <c r="H1355" s="502" t="str">
        <f ca="1">IFERROR(IF(INDEX(' Disaggregation - Section E '!F$10:F482,MATCH(C1355,' Disaggregation - Section E '!A$10:A482,0)+1,1)&lt;&gt;0,INDEX(' Disaggregation - Section E '!F$10:F482,MATCH(C1355,' Disaggregation - Section E '!A$10:A482,0)+1,1),""),"")</f>
        <v/>
      </c>
      <c r="I1355" s="493" t="str">
        <f ca="1">IFERROR(IF(VLOOKUP(C1355,' Disaggregation - Section E '!A$10:N482,8,0)=0,"",VLOOKUP(C1355,' Disaggregation - Section E '!A$10:N482,8,0)),"")</f>
        <v/>
      </c>
      <c r="J1355" s="493" t="str">
        <f ca="1">IFERROR(IF(VLOOKUP(C1355,' Disaggregation - Section E '!A$10:N482,13,0)=0,"",VLOOKUP(C1355,' Disaggregation - Section E '!A$10:N482,13,0)),"")</f>
        <v/>
      </c>
      <c r="K1355" s="487" t="str">
        <f ca="1">IFERROR(VLOOKUP(C1355,' Disaggregation - Section E '!A$10:N482,3,0),"")</f>
        <v/>
      </c>
      <c r="L1355" s="493" t="str">
        <f ca="1">IFERROR(IF(VLOOKUP(C1355,' Disaggregation - Section E '!A$10:N482,14,0)=0,"",VLOOKUP(C1355,' Disaggregation - Section E '!A$10:N482,14,0)),"")</f>
        <v/>
      </c>
      <c r="M1355" s="487" t="str">
        <f ca="1">IFERROR(IF(VLOOKUP(C1355,' Disaggregation - Section E '!A$10:T482,20,0)=0,"",VLOOKUP(C1355,' Disaggregation - Section E '!A$10:T482,20,0)),"")</f>
        <v/>
      </c>
      <c r="N1355" s="493" t="str">
        <f ca="1">IFERROR(IF(VLOOKUP(C1355,' Disaggregation - Section E '!A$10:N482,9,0)=0,"",VLOOKUP(C1355,' Disaggregation - Section E '!A$10:N482,9,0)),"")</f>
        <v/>
      </c>
      <c r="O1355" s="493" t="str">
        <f ca="1">IFERROR(IF(VLOOKUP(C1355,' Disaggregation - Section E '!A$10:N482,10,0)=0,"",VLOOKUP(C1355,' Disaggregation - Section E '!A$10:N482,10,0)),"")</f>
        <v/>
      </c>
    </row>
    <row r="1356" spans="1:15" x14ac:dyDescent="0.3">
      <c r="A1356" s="487" t="b">
        <f t="shared" ca="1" si="145"/>
        <v>0</v>
      </c>
      <c r="B1356" s="487"/>
      <c r="C1356" s="507" t="str">
        <f ca="1">IF(COUNTA(D$1181:D1356)=1,"",OFFSET(B1356,-COUNTA(D$1181:D1356)+1,1))</f>
        <v>a1G3p000003GJ41EAG</v>
      </c>
      <c r="D1356" s="502"/>
      <c r="E1356" s="490" t="str">
        <f ca="1">IFERROR(IF(VLOOKUP(C1356,' Disaggregation - Section E '!A$10:J483,7,0)=0,"",VLOOKUP(C1356,' Disaggregation - Section E '!A$10:J483,7,0)*100),"")</f>
        <v/>
      </c>
      <c r="F1356" s="493" t="str">
        <f ca="1">IFERROR(IF(VLOOKUP(C1356,' Disaggregation - Section E '!A$10:N483,5,0)=0,"",VLOOKUP(C1356,' Disaggregation - Section E '!A$10:N483,5,0)),"")</f>
        <v/>
      </c>
      <c r="G1356" s="492" t="str">
        <f ca="1">IFERROR(IF(VLOOKUP(C1356,' Disaggregation - Section E '!A$10:N483,6,0)=0,"",VLOOKUP(C1356,' Disaggregation - Section E '!A$10:N483,6,0)),"")</f>
        <v/>
      </c>
      <c r="H1356" s="502" t="str">
        <f ca="1">IFERROR(IF(INDEX(' Disaggregation - Section E '!F$10:F483,MATCH(C1356,' Disaggregation - Section E '!A$10:A483,0)+1,1)&lt;&gt;0,INDEX(' Disaggregation - Section E '!F$10:F483,MATCH(C1356,' Disaggregation - Section E '!A$10:A483,0)+1,1),""),"")</f>
        <v/>
      </c>
      <c r="I1356" s="493" t="str">
        <f ca="1">IFERROR(IF(VLOOKUP(C1356,' Disaggregation - Section E '!A$10:N483,8,0)=0,"",VLOOKUP(C1356,' Disaggregation - Section E '!A$10:N483,8,0)),"")</f>
        <v/>
      </c>
      <c r="J1356" s="493" t="str">
        <f ca="1">IFERROR(IF(VLOOKUP(C1356,' Disaggregation - Section E '!A$10:N483,13,0)=0,"",VLOOKUP(C1356,' Disaggregation - Section E '!A$10:N483,13,0)),"")</f>
        <v/>
      </c>
      <c r="K1356" s="487" t="str">
        <f ca="1">IFERROR(VLOOKUP(C1356,' Disaggregation - Section E '!A$10:N483,3,0),"")</f>
        <v/>
      </c>
      <c r="L1356" s="493" t="str">
        <f ca="1">IFERROR(IF(VLOOKUP(C1356,' Disaggregation - Section E '!A$10:N483,14,0)=0,"",VLOOKUP(C1356,' Disaggregation - Section E '!A$10:N483,14,0)),"")</f>
        <v/>
      </c>
      <c r="M1356" s="487" t="str">
        <f ca="1">IFERROR(IF(VLOOKUP(C1356,' Disaggregation - Section E '!A$10:T483,20,0)=0,"",VLOOKUP(C1356,' Disaggregation - Section E '!A$10:T483,20,0)),"")</f>
        <v/>
      </c>
      <c r="N1356" s="493" t="str">
        <f ca="1">IFERROR(IF(VLOOKUP(C1356,' Disaggregation - Section E '!A$10:N483,9,0)=0,"",VLOOKUP(C1356,' Disaggregation - Section E '!A$10:N483,9,0)),"")</f>
        <v/>
      </c>
      <c r="O1356" s="493" t="str">
        <f ca="1">IFERROR(IF(VLOOKUP(C1356,' Disaggregation - Section E '!A$10:N483,10,0)=0,"",VLOOKUP(C1356,' Disaggregation - Section E '!A$10:N483,10,0)),"")</f>
        <v/>
      </c>
    </row>
    <row r="1357" spans="1:15" x14ac:dyDescent="0.3">
      <c r="A1357" s="487" t="b">
        <f t="shared" ca="1" si="145"/>
        <v>0</v>
      </c>
      <c r="B1357" s="487"/>
      <c r="C1357" s="507" t="str">
        <f ca="1">IF(COUNTA(D$1181:D1357)=1,"",OFFSET(B1357,-COUNTA(D$1181:D1357)+1,1))</f>
        <v>a1G3p000003GJ42EAG</v>
      </c>
      <c r="D1357" s="502"/>
      <c r="E1357" s="490" t="str">
        <f ca="1">IFERROR(IF(VLOOKUP(C1357,' Disaggregation - Section E '!A$10:J484,7,0)=0,"",VLOOKUP(C1357,' Disaggregation - Section E '!A$10:J484,7,0)*100),"")</f>
        <v/>
      </c>
      <c r="F1357" s="493" t="str">
        <f ca="1">IFERROR(IF(VLOOKUP(C1357,' Disaggregation - Section E '!A$10:N484,5,0)=0,"",VLOOKUP(C1357,' Disaggregation - Section E '!A$10:N484,5,0)),"")</f>
        <v/>
      </c>
      <c r="G1357" s="492" t="str">
        <f ca="1">IFERROR(IF(VLOOKUP(C1357,' Disaggregation - Section E '!A$10:N484,6,0)=0,"",VLOOKUP(C1357,' Disaggregation - Section E '!A$10:N484,6,0)),"")</f>
        <v/>
      </c>
      <c r="H1357" s="502" t="str">
        <f ca="1">IFERROR(IF(INDEX(' Disaggregation - Section E '!F$10:F484,MATCH(C1357,' Disaggregation - Section E '!A$10:A484,0)+1,1)&lt;&gt;0,INDEX(' Disaggregation - Section E '!F$10:F484,MATCH(C1357,' Disaggregation - Section E '!A$10:A484,0)+1,1),""),"")</f>
        <v/>
      </c>
      <c r="I1357" s="493" t="str">
        <f ca="1">IFERROR(IF(VLOOKUP(C1357,' Disaggregation - Section E '!A$10:N484,8,0)=0,"",VLOOKUP(C1357,' Disaggregation - Section E '!A$10:N484,8,0)),"")</f>
        <v/>
      </c>
      <c r="J1357" s="493" t="str">
        <f ca="1">IFERROR(IF(VLOOKUP(C1357,' Disaggregation - Section E '!A$10:N484,13,0)=0,"",VLOOKUP(C1357,' Disaggregation - Section E '!A$10:N484,13,0)),"")</f>
        <v/>
      </c>
      <c r="K1357" s="487" t="str">
        <f ca="1">IFERROR(VLOOKUP(C1357,' Disaggregation - Section E '!A$10:N484,3,0),"")</f>
        <v/>
      </c>
      <c r="L1357" s="493" t="str">
        <f ca="1">IFERROR(IF(VLOOKUP(C1357,' Disaggregation - Section E '!A$10:N484,14,0)=0,"",VLOOKUP(C1357,' Disaggregation - Section E '!A$10:N484,14,0)),"")</f>
        <v/>
      </c>
      <c r="M1357" s="487" t="str">
        <f ca="1">IFERROR(IF(VLOOKUP(C1357,' Disaggregation - Section E '!A$10:T484,20,0)=0,"",VLOOKUP(C1357,' Disaggregation - Section E '!A$10:T484,20,0)),"")</f>
        <v/>
      </c>
      <c r="N1357" s="493" t="str">
        <f ca="1">IFERROR(IF(VLOOKUP(C1357,' Disaggregation - Section E '!A$10:N484,9,0)=0,"",VLOOKUP(C1357,' Disaggregation - Section E '!A$10:N484,9,0)),"")</f>
        <v/>
      </c>
      <c r="O1357" s="493" t="str">
        <f ca="1">IFERROR(IF(VLOOKUP(C1357,' Disaggregation - Section E '!A$10:N484,10,0)=0,"",VLOOKUP(C1357,' Disaggregation - Section E '!A$10:N484,10,0)),"")</f>
        <v/>
      </c>
    </row>
    <row r="1358" spans="1:15" x14ac:dyDescent="0.3">
      <c r="A1358" s="487" t="b">
        <f t="shared" ca="1" si="145"/>
        <v>0</v>
      </c>
      <c r="B1358" s="487"/>
      <c r="C1358" s="507" t="str">
        <f ca="1">IF(COUNTA(D$1181:D1358)=1,"",OFFSET(B1358,-COUNTA(D$1181:D1358)+1,1))</f>
        <v>a1G3p000003GJ43EAG</v>
      </c>
      <c r="D1358" s="502"/>
      <c r="E1358" s="490" t="str">
        <f ca="1">IFERROR(IF(VLOOKUP(C1358,' Disaggregation - Section E '!A$10:J485,7,0)=0,"",VLOOKUP(C1358,' Disaggregation - Section E '!A$10:J485,7,0)*100),"")</f>
        <v/>
      </c>
      <c r="F1358" s="493" t="str">
        <f ca="1">IFERROR(IF(VLOOKUP(C1358,' Disaggregation - Section E '!A$10:N485,5,0)=0,"",VLOOKUP(C1358,' Disaggregation - Section E '!A$10:N485,5,0)),"")</f>
        <v/>
      </c>
      <c r="G1358" s="492" t="str">
        <f ca="1">IFERROR(IF(VLOOKUP(C1358,' Disaggregation - Section E '!A$10:N485,6,0)=0,"",VLOOKUP(C1358,' Disaggregation - Section E '!A$10:N485,6,0)),"")</f>
        <v/>
      </c>
      <c r="H1358" s="502" t="str">
        <f ca="1">IFERROR(IF(INDEX(' Disaggregation - Section E '!F$10:F485,MATCH(C1358,' Disaggregation - Section E '!A$10:A485,0)+1,1)&lt;&gt;0,INDEX(' Disaggregation - Section E '!F$10:F485,MATCH(C1358,' Disaggregation - Section E '!A$10:A485,0)+1,1),""),"")</f>
        <v/>
      </c>
      <c r="I1358" s="493" t="str">
        <f ca="1">IFERROR(IF(VLOOKUP(C1358,' Disaggregation - Section E '!A$10:N485,8,0)=0,"",VLOOKUP(C1358,' Disaggregation - Section E '!A$10:N485,8,0)),"")</f>
        <v/>
      </c>
      <c r="J1358" s="493" t="str">
        <f ca="1">IFERROR(IF(VLOOKUP(C1358,' Disaggregation - Section E '!A$10:N485,13,0)=0,"",VLOOKUP(C1358,' Disaggregation - Section E '!A$10:N485,13,0)),"")</f>
        <v/>
      </c>
      <c r="K1358" s="487" t="str">
        <f ca="1">IFERROR(VLOOKUP(C1358,' Disaggregation - Section E '!A$10:N485,3,0),"")</f>
        <v/>
      </c>
      <c r="L1358" s="493" t="str">
        <f ca="1">IFERROR(IF(VLOOKUP(C1358,' Disaggregation - Section E '!A$10:N485,14,0)=0,"",VLOOKUP(C1358,' Disaggregation - Section E '!A$10:N485,14,0)),"")</f>
        <v/>
      </c>
      <c r="M1358" s="487" t="str">
        <f ca="1">IFERROR(IF(VLOOKUP(C1358,' Disaggregation - Section E '!A$10:T485,20,0)=0,"",VLOOKUP(C1358,' Disaggregation - Section E '!A$10:T485,20,0)),"")</f>
        <v/>
      </c>
      <c r="N1358" s="493" t="str">
        <f ca="1">IFERROR(IF(VLOOKUP(C1358,' Disaggregation - Section E '!A$10:N485,9,0)=0,"",VLOOKUP(C1358,' Disaggregation - Section E '!A$10:N485,9,0)),"")</f>
        <v/>
      </c>
      <c r="O1358" s="493" t="str">
        <f ca="1">IFERROR(IF(VLOOKUP(C1358,' Disaggregation - Section E '!A$10:N485,10,0)=0,"",VLOOKUP(C1358,' Disaggregation - Section E '!A$10:N485,10,0)),"")</f>
        <v/>
      </c>
    </row>
    <row r="1359" spans="1:15" x14ac:dyDescent="0.3">
      <c r="A1359" s="487" t="b">
        <f t="shared" ca="1" si="145"/>
        <v>0</v>
      </c>
      <c r="B1359" s="487"/>
      <c r="C1359" s="507" t="str">
        <f ca="1">IF(COUNTA(D$1181:D1359)=1,"",OFFSET(B1359,-COUNTA(D$1181:D1359)+1,1))</f>
        <v>a1G3p000003GJ44EAG</v>
      </c>
      <c r="D1359" s="502"/>
      <c r="E1359" s="490" t="str">
        <f ca="1">IFERROR(IF(VLOOKUP(C1359,' Disaggregation - Section E '!A$10:J486,7,0)=0,"",VLOOKUP(C1359,' Disaggregation - Section E '!A$10:J486,7,0)*100),"")</f>
        <v/>
      </c>
      <c r="F1359" s="493" t="str">
        <f ca="1">IFERROR(IF(VLOOKUP(C1359,' Disaggregation - Section E '!A$10:N486,5,0)=0,"",VLOOKUP(C1359,' Disaggregation - Section E '!A$10:N486,5,0)),"")</f>
        <v/>
      </c>
      <c r="G1359" s="492" t="str">
        <f ca="1">IFERROR(IF(VLOOKUP(C1359,' Disaggregation - Section E '!A$10:N486,6,0)=0,"",VLOOKUP(C1359,' Disaggregation - Section E '!A$10:N486,6,0)),"")</f>
        <v/>
      </c>
      <c r="H1359" s="502" t="str">
        <f ca="1">IFERROR(IF(INDEX(' Disaggregation - Section E '!F$10:F486,MATCH(C1359,' Disaggregation - Section E '!A$10:A486,0)+1,1)&lt;&gt;0,INDEX(' Disaggregation - Section E '!F$10:F486,MATCH(C1359,' Disaggregation - Section E '!A$10:A486,0)+1,1),""),"")</f>
        <v/>
      </c>
      <c r="I1359" s="493" t="str">
        <f ca="1">IFERROR(IF(VLOOKUP(C1359,' Disaggregation - Section E '!A$10:N486,8,0)=0,"",VLOOKUP(C1359,' Disaggregation - Section E '!A$10:N486,8,0)),"")</f>
        <v/>
      </c>
      <c r="J1359" s="493" t="str">
        <f ca="1">IFERROR(IF(VLOOKUP(C1359,' Disaggregation - Section E '!A$10:N486,13,0)=0,"",VLOOKUP(C1359,' Disaggregation - Section E '!A$10:N486,13,0)),"")</f>
        <v/>
      </c>
      <c r="K1359" s="487" t="str">
        <f ca="1">IFERROR(VLOOKUP(C1359,' Disaggregation - Section E '!A$10:N486,3,0),"")</f>
        <v/>
      </c>
      <c r="L1359" s="493" t="str">
        <f ca="1">IFERROR(IF(VLOOKUP(C1359,' Disaggregation - Section E '!A$10:N486,14,0)=0,"",VLOOKUP(C1359,' Disaggregation - Section E '!A$10:N486,14,0)),"")</f>
        <v/>
      </c>
      <c r="M1359" s="487" t="str">
        <f ca="1">IFERROR(IF(VLOOKUP(C1359,' Disaggregation - Section E '!A$10:T486,20,0)=0,"",VLOOKUP(C1359,' Disaggregation - Section E '!A$10:T486,20,0)),"")</f>
        <v/>
      </c>
      <c r="N1359" s="493" t="str">
        <f ca="1">IFERROR(IF(VLOOKUP(C1359,' Disaggregation - Section E '!A$10:N486,9,0)=0,"",VLOOKUP(C1359,' Disaggregation - Section E '!A$10:N486,9,0)),"")</f>
        <v/>
      </c>
      <c r="O1359" s="493" t="str">
        <f ca="1">IFERROR(IF(VLOOKUP(C1359,' Disaggregation - Section E '!A$10:N486,10,0)=0,"",VLOOKUP(C1359,' Disaggregation - Section E '!A$10:N486,10,0)),"")</f>
        <v/>
      </c>
    </row>
    <row r="1360" spans="1:15" x14ac:dyDescent="0.3">
      <c r="A1360" s="487" t="b">
        <f t="shared" ca="1" si="145"/>
        <v>0</v>
      </c>
      <c r="B1360" s="487"/>
      <c r="C1360" s="507" t="str">
        <f ca="1">IF(COUNTA(D$1181:D1360)=1,"",OFFSET(B1360,-COUNTA(D$1181:D1360)+1,1))</f>
        <v>a1G3p000003GJ45EAG</v>
      </c>
      <c r="D1360" s="502"/>
      <c r="E1360" s="490" t="str">
        <f ca="1">IFERROR(IF(VLOOKUP(C1360,' Disaggregation - Section E '!A$10:J487,7,0)=0,"",VLOOKUP(C1360,' Disaggregation - Section E '!A$10:J487,7,0)*100),"")</f>
        <v/>
      </c>
      <c r="F1360" s="493" t="str">
        <f ca="1">IFERROR(IF(VLOOKUP(C1360,' Disaggregation - Section E '!A$10:N487,5,0)=0,"",VLOOKUP(C1360,' Disaggregation - Section E '!A$10:N487,5,0)),"")</f>
        <v/>
      </c>
      <c r="G1360" s="492" t="str">
        <f ca="1">IFERROR(IF(VLOOKUP(C1360,' Disaggregation - Section E '!A$10:N487,6,0)=0,"",VLOOKUP(C1360,' Disaggregation - Section E '!A$10:N487,6,0)),"")</f>
        <v/>
      </c>
      <c r="H1360" s="502" t="str">
        <f ca="1">IFERROR(IF(INDEX(' Disaggregation - Section E '!F$10:F487,MATCH(C1360,' Disaggregation - Section E '!A$10:A487,0)+1,1)&lt;&gt;0,INDEX(' Disaggregation - Section E '!F$10:F487,MATCH(C1360,' Disaggregation - Section E '!A$10:A487,0)+1,1),""),"")</f>
        <v/>
      </c>
      <c r="I1360" s="493" t="str">
        <f ca="1">IFERROR(IF(VLOOKUP(C1360,' Disaggregation - Section E '!A$10:N487,8,0)=0,"",VLOOKUP(C1360,' Disaggregation - Section E '!A$10:N487,8,0)),"")</f>
        <v/>
      </c>
      <c r="J1360" s="493" t="str">
        <f ca="1">IFERROR(IF(VLOOKUP(C1360,' Disaggregation - Section E '!A$10:N487,13,0)=0,"",VLOOKUP(C1360,' Disaggregation - Section E '!A$10:N487,13,0)),"")</f>
        <v/>
      </c>
      <c r="K1360" s="487" t="str">
        <f ca="1">IFERROR(VLOOKUP(C1360,' Disaggregation - Section E '!A$10:N487,3,0),"")</f>
        <v/>
      </c>
      <c r="L1360" s="493" t="str">
        <f ca="1">IFERROR(IF(VLOOKUP(C1360,' Disaggregation - Section E '!A$10:N487,14,0)=0,"",VLOOKUP(C1360,' Disaggregation - Section E '!A$10:N487,14,0)),"")</f>
        <v/>
      </c>
      <c r="M1360" s="487" t="str">
        <f ca="1">IFERROR(IF(VLOOKUP(C1360,' Disaggregation - Section E '!A$10:T487,20,0)=0,"",VLOOKUP(C1360,' Disaggregation - Section E '!A$10:T487,20,0)),"")</f>
        <v/>
      </c>
      <c r="N1360" s="493" t="str">
        <f ca="1">IFERROR(IF(VLOOKUP(C1360,' Disaggregation - Section E '!A$10:N487,9,0)=0,"",VLOOKUP(C1360,' Disaggregation - Section E '!A$10:N487,9,0)),"")</f>
        <v/>
      </c>
      <c r="O1360" s="493" t="str">
        <f ca="1">IFERROR(IF(VLOOKUP(C1360,' Disaggregation - Section E '!A$10:N487,10,0)=0,"",VLOOKUP(C1360,' Disaggregation - Section E '!A$10:N487,10,0)),"")</f>
        <v/>
      </c>
    </row>
    <row r="1361" spans="1:15" x14ac:dyDescent="0.3">
      <c r="A1361" s="487" t="b">
        <f t="shared" ca="1" si="145"/>
        <v>0</v>
      </c>
      <c r="B1361" s="487"/>
      <c r="C1361" s="507" t="str">
        <f ca="1">IF(COUNTA(D$1181:D1361)=1,"",OFFSET(B1361,-COUNTA(D$1181:D1361)+1,1))</f>
        <v>a1G3p000003GJ46EAG</v>
      </c>
      <c r="D1361" s="502"/>
      <c r="E1361" s="490" t="str">
        <f ca="1">IFERROR(IF(VLOOKUP(C1361,' Disaggregation - Section E '!A$10:J488,7,0)=0,"",VLOOKUP(C1361,' Disaggregation - Section E '!A$10:J488,7,0)*100),"")</f>
        <v/>
      </c>
      <c r="F1361" s="493" t="str">
        <f ca="1">IFERROR(IF(VLOOKUP(C1361,' Disaggregation - Section E '!A$10:N488,5,0)=0,"",VLOOKUP(C1361,' Disaggregation - Section E '!A$10:N488,5,0)),"")</f>
        <v/>
      </c>
      <c r="G1361" s="492" t="str">
        <f ca="1">IFERROR(IF(VLOOKUP(C1361,' Disaggregation - Section E '!A$10:N488,6,0)=0,"",VLOOKUP(C1361,' Disaggregation - Section E '!A$10:N488,6,0)),"")</f>
        <v/>
      </c>
      <c r="H1361" s="502" t="str">
        <f ca="1">IFERROR(IF(INDEX(' Disaggregation - Section E '!F$10:F488,MATCH(C1361,' Disaggregation - Section E '!A$10:A488,0)+1,1)&lt;&gt;0,INDEX(' Disaggregation - Section E '!F$10:F488,MATCH(C1361,' Disaggregation - Section E '!A$10:A488,0)+1,1),""),"")</f>
        <v/>
      </c>
      <c r="I1361" s="493" t="str">
        <f ca="1">IFERROR(IF(VLOOKUP(C1361,' Disaggregation - Section E '!A$10:N488,8,0)=0,"",VLOOKUP(C1361,' Disaggregation - Section E '!A$10:N488,8,0)),"")</f>
        <v/>
      </c>
      <c r="J1361" s="493" t="str">
        <f ca="1">IFERROR(IF(VLOOKUP(C1361,' Disaggregation - Section E '!A$10:N488,13,0)=0,"",VLOOKUP(C1361,' Disaggregation - Section E '!A$10:N488,13,0)),"")</f>
        <v/>
      </c>
      <c r="K1361" s="487" t="str">
        <f ca="1">IFERROR(VLOOKUP(C1361,' Disaggregation - Section E '!A$10:N488,3,0),"")</f>
        <v/>
      </c>
      <c r="L1361" s="493" t="str">
        <f ca="1">IFERROR(IF(VLOOKUP(C1361,' Disaggregation - Section E '!A$10:N488,14,0)=0,"",VLOOKUP(C1361,' Disaggregation - Section E '!A$10:N488,14,0)),"")</f>
        <v/>
      </c>
      <c r="M1361" s="487" t="str">
        <f ca="1">IFERROR(IF(VLOOKUP(C1361,' Disaggregation - Section E '!A$10:T488,20,0)=0,"",VLOOKUP(C1361,' Disaggregation - Section E '!A$10:T488,20,0)),"")</f>
        <v/>
      </c>
      <c r="N1361" s="493" t="str">
        <f ca="1">IFERROR(IF(VLOOKUP(C1361,' Disaggregation - Section E '!A$10:N488,9,0)=0,"",VLOOKUP(C1361,' Disaggregation - Section E '!A$10:N488,9,0)),"")</f>
        <v/>
      </c>
      <c r="O1361" s="493" t="str">
        <f ca="1">IFERROR(IF(VLOOKUP(C1361,' Disaggregation - Section E '!A$10:N488,10,0)=0,"",VLOOKUP(C1361,' Disaggregation - Section E '!A$10:N488,10,0)),"")</f>
        <v/>
      </c>
    </row>
    <row r="1362" spans="1:15" x14ac:dyDescent="0.3">
      <c r="A1362" s="487" t="b">
        <f t="shared" ca="1" si="145"/>
        <v>0</v>
      </c>
      <c r="B1362" s="487"/>
      <c r="C1362" s="507" t="str">
        <f ca="1">IF(COUNTA(D$1181:D1362)=1,"",OFFSET(B1362,-COUNTA(D$1181:D1362)+1,1))</f>
        <v>a1G3p000003GJ47EAG</v>
      </c>
      <c r="D1362" s="502"/>
      <c r="E1362" s="490" t="str">
        <f ca="1">IFERROR(IF(VLOOKUP(C1362,' Disaggregation - Section E '!A$10:J489,7,0)=0,"",VLOOKUP(C1362,' Disaggregation - Section E '!A$10:J489,7,0)*100),"")</f>
        <v/>
      </c>
      <c r="F1362" s="493" t="str">
        <f ca="1">IFERROR(IF(VLOOKUP(C1362,' Disaggregation - Section E '!A$10:N489,5,0)=0,"",VLOOKUP(C1362,' Disaggregation - Section E '!A$10:N489,5,0)),"")</f>
        <v/>
      </c>
      <c r="G1362" s="492" t="str">
        <f ca="1">IFERROR(IF(VLOOKUP(C1362,' Disaggregation - Section E '!A$10:N489,6,0)=0,"",VLOOKUP(C1362,' Disaggregation - Section E '!A$10:N489,6,0)),"")</f>
        <v/>
      </c>
      <c r="H1362" s="502" t="str">
        <f ca="1">IFERROR(IF(INDEX(' Disaggregation - Section E '!F$10:F489,MATCH(C1362,' Disaggregation - Section E '!A$10:A489,0)+1,1)&lt;&gt;0,INDEX(' Disaggregation - Section E '!F$10:F489,MATCH(C1362,' Disaggregation - Section E '!A$10:A489,0)+1,1),""),"")</f>
        <v/>
      </c>
      <c r="I1362" s="493" t="str">
        <f ca="1">IFERROR(IF(VLOOKUP(C1362,' Disaggregation - Section E '!A$10:N489,8,0)=0,"",VLOOKUP(C1362,' Disaggregation - Section E '!A$10:N489,8,0)),"")</f>
        <v/>
      </c>
      <c r="J1362" s="493" t="str">
        <f ca="1">IFERROR(IF(VLOOKUP(C1362,' Disaggregation - Section E '!A$10:N489,13,0)=0,"",VLOOKUP(C1362,' Disaggregation - Section E '!A$10:N489,13,0)),"")</f>
        <v/>
      </c>
      <c r="K1362" s="487" t="str">
        <f ca="1">IFERROR(VLOOKUP(C1362,' Disaggregation - Section E '!A$10:N489,3,0),"")</f>
        <v/>
      </c>
      <c r="L1362" s="493" t="str">
        <f ca="1">IFERROR(IF(VLOOKUP(C1362,' Disaggregation - Section E '!A$10:N489,14,0)=0,"",VLOOKUP(C1362,' Disaggregation - Section E '!A$10:N489,14,0)),"")</f>
        <v/>
      </c>
      <c r="M1362" s="487" t="str">
        <f ca="1">IFERROR(IF(VLOOKUP(C1362,' Disaggregation - Section E '!A$10:T489,20,0)=0,"",VLOOKUP(C1362,' Disaggregation - Section E '!A$10:T489,20,0)),"")</f>
        <v/>
      </c>
      <c r="N1362" s="493" t="str">
        <f ca="1">IFERROR(IF(VLOOKUP(C1362,' Disaggregation - Section E '!A$10:N489,9,0)=0,"",VLOOKUP(C1362,' Disaggregation - Section E '!A$10:N489,9,0)),"")</f>
        <v/>
      </c>
      <c r="O1362" s="493" t="str">
        <f ca="1">IFERROR(IF(VLOOKUP(C1362,' Disaggregation - Section E '!A$10:N489,10,0)=0,"",VLOOKUP(C1362,' Disaggregation - Section E '!A$10:N489,10,0)),"")</f>
        <v/>
      </c>
    </row>
    <row r="1363" spans="1:15" x14ac:dyDescent="0.3">
      <c r="A1363" s="487" t="b">
        <f t="shared" ca="1" si="145"/>
        <v>0</v>
      </c>
      <c r="B1363" s="487"/>
      <c r="C1363" s="507" t="str">
        <f ca="1">IF(COUNTA(D$1181:D1363)=1,"",OFFSET(B1363,-COUNTA(D$1181:D1363)+1,1))</f>
        <v>a1G3p000003GJ48EAG</v>
      </c>
      <c r="D1363" s="502"/>
      <c r="E1363" s="490" t="str">
        <f ca="1">IFERROR(IF(VLOOKUP(C1363,' Disaggregation - Section E '!A$10:J490,7,0)=0,"",VLOOKUP(C1363,' Disaggregation - Section E '!A$10:J490,7,0)*100),"")</f>
        <v/>
      </c>
      <c r="F1363" s="493" t="str">
        <f ca="1">IFERROR(IF(VLOOKUP(C1363,' Disaggregation - Section E '!A$10:N490,5,0)=0,"",VLOOKUP(C1363,' Disaggregation - Section E '!A$10:N490,5,0)),"")</f>
        <v/>
      </c>
      <c r="G1363" s="492" t="str">
        <f ca="1">IFERROR(IF(VLOOKUP(C1363,' Disaggregation - Section E '!A$10:N490,6,0)=0,"",VLOOKUP(C1363,' Disaggregation - Section E '!A$10:N490,6,0)),"")</f>
        <v/>
      </c>
      <c r="H1363" s="502" t="str">
        <f ca="1">IFERROR(IF(INDEX(' Disaggregation - Section E '!F$10:F490,MATCH(C1363,' Disaggregation - Section E '!A$10:A490,0)+1,1)&lt;&gt;0,INDEX(' Disaggregation - Section E '!F$10:F490,MATCH(C1363,' Disaggregation - Section E '!A$10:A490,0)+1,1),""),"")</f>
        <v/>
      </c>
      <c r="I1363" s="493" t="str">
        <f ca="1">IFERROR(IF(VLOOKUP(C1363,' Disaggregation - Section E '!A$10:N490,8,0)=0,"",VLOOKUP(C1363,' Disaggregation - Section E '!A$10:N490,8,0)),"")</f>
        <v/>
      </c>
      <c r="J1363" s="493" t="str">
        <f ca="1">IFERROR(IF(VLOOKUP(C1363,' Disaggregation - Section E '!A$10:N490,13,0)=0,"",VLOOKUP(C1363,' Disaggregation - Section E '!A$10:N490,13,0)),"")</f>
        <v/>
      </c>
      <c r="K1363" s="487" t="str">
        <f ca="1">IFERROR(VLOOKUP(C1363,' Disaggregation - Section E '!A$10:N490,3,0),"")</f>
        <v/>
      </c>
      <c r="L1363" s="493" t="str">
        <f ca="1">IFERROR(IF(VLOOKUP(C1363,' Disaggregation - Section E '!A$10:N490,14,0)=0,"",VLOOKUP(C1363,' Disaggregation - Section E '!A$10:N490,14,0)),"")</f>
        <v/>
      </c>
      <c r="M1363" s="487" t="str">
        <f ca="1">IFERROR(IF(VLOOKUP(C1363,' Disaggregation - Section E '!A$10:T490,20,0)=0,"",VLOOKUP(C1363,' Disaggregation - Section E '!A$10:T490,20,0)),"")</f>
        <v/>
      </c>
      <c r="N1363" s="493" t="str">
        <f ca="1">IFERROR(IF(VLOOKUP(C1363,' Disaggregation - Section E '!A$10:N490,9,0)=0,"",VLOOKUP(C1363,' Disaggregation - Section E '!A$10:N490,9,0)),"")</f>
        <v/>
      </c>
      <c r="O1363" s="493" t="str">
        <f ca="1">IFERROR(IF(VLOOKUP(C1363,' Disaggregation - Section E '!A$10:N490,10,0)=0,"",VLOOKUP(C1363,' Disaggregation - Section E '!A$10:N490,10,0)),"")</f>
        <v/>
      </c>
    </row>
    <row r="1364" spans="1:15" x14ac:dyDescent="0.3">
      <c r="A1364" s="487" t="b">
        <f t="shared" ca="1" si="145"/>
        <v>0</v>
      </c>
      <c r="B1364" s="487"/>
      <c r="C1364" s="507" t="str">
        <f ca="1">IF(COUNTA(D$1181:D1364)=1,"",OFFSET(B1364,-COUNTA(D$1181:D1364)+1,1))</f>
        <v>a1G3p000003GJ49EAG</v>
      </c>
      <c r="D1364" s="502"/>
      <c r="E1364" s="490" t="str">
        <f ca="1">IFERROR(IF(VLOOKUP(C1364,' Disaggregation - Section E '!A$10:J491,7,0)=0,"",VLOOKUP(C1364,' Disaggregation - Section E '!A$10:J491,7,0)*100),"")</f>
        <v/>
      </c>
      <c r="F1364" s="493" t="str">
        <f ca="1">IFERROR(IF(VLOOKUP(C1364,' Disaggregation - Section E '!A$10:N491,5,0)=0,"",VLOOKUP(C1364,' Disaggregation - Section E '!A$10:N491,5,0)),"")</f>
        <v/>
      </c>
      <c r="G1364" s="492" t="str">
        <f ca="1">IFERROR(IF(VLOOKUP(C1364,' Disaggregation - Section E '!A$10:N491,6,0)=0,"",VLOOKUP(C1364,' Disaggregation - Section E '!A$10:N491,6,0)),"")</f>
        <v/>
      </c>
      <c r="H1364" s="502" t="str">
        <f ca="1">IFERROR(IF(INDEX(' Disaggregation - Section E '!F$10:F491,MATCH(C1364,' Disaggregation - Section E '!A$10:A491,0)+1,1)&lt;&gt;0,INDEX(' Disaggregation - Section E '!F$10:F491,MATCH(C1364,' Disaggregation - Section E '!A$10:A491,0)+1,1),""),"")</f>
        <v/>
      </c>
      <c r="I1364" s="493" t="str">
        <f ca="1">IFERROR(IF(VLOOKUP(C1364,' Disaggregation - Section E '!A$10:N491,8,0)=0,"",VLOOKUP(C1364,' Disaggregation - Section E '!A$10:N491,8,0)),"")</f>
        <v/>
      </c>
      <c r="J1364" s="493" t="str">
        <f ca="1">IFERROR(IF(VLOOKUP(C1364,' Disaggregation - Section E '!A$10:N491,13,0)=0,"",VLOOKUP(C1364,' Disaggregation - Section E '!A$10:N491,13,0)),"")</f>
        <v/>
      </c>
      <c r="K1364" s="487" t="str">
        <f ca="1">IFERROR(VLOOKUP(C1364,' Disaggregation - Section E '!A$10:N491,3,0),"")</f>
        <v/>
      </c>
      <c r="L1364" s="493" t="str">
        <f ca="1">IFERROR(IF(VLOOKUP(C1364,' Disaggregation - Section E '!A$10:N491,14,0)=0,"",VLOOKUP(C1364,' Disaggregation - Section E '!A$10:N491,14,0)),"")</f>
        <v/>
      </c>
      <c r="M1364" s="487" t="str">
        <f ca="1">IFERROR(IF(VLOOKUP(C1364,' Disaggregation - Section E '!A$10:T491,20,0)=0,"",VLOOKUP(C1364,' Disaggregation - Section E '!A$10:T491,20,0)),"")</f>
        <v/>
      </c>
      <c r="N1364" s="493" t="str">
        <f ca="1">IFERROR(IF(VLOOKUP(C1364,' Disaggregation - Section E '!A$10:N491,9,0)=0,"",VLOOKUP(C1364,' Disaggregation - Section E '!A$10:N491,9,0)),"")</f>
        <v/>
      </c>
      <c r="O1364" s="493" t="str">
        <f ca="1">IFERROR(IF(VLOOKUP(C1364,' Disaggregation - Section E '!A$10:N491,10,0)=0,"",VLOOKUP(C1364,' Disaggregation - Section E '!A$10:N491,10,0)),"")</f>
        <v/>
      </c>
    </row>
    <row r="1365" spans="1:15" x14ac:dyDescent="0.3">
      <c r="A1365" s="487" t="b">
        <f t="shared" ca="1" si="145"/>
        <v>0</v>
      </c>
      <c r="B1365" s="487"/>
      <c r="C1365" s="507" t="str">
        <f ca="1">IF(COUNTA(D$1181:D1365)=1,"",OFFSET(B1365,-COUNTA(D$1181:D1365)+1,1))</f>
        <v>a1G3p000003GJ4AEAW</v>
      </c>
      <c r="D1365" s="502"/>
      <c r="E1365" s="490" t="str">
        <f ca="1">IFERROR(IF(VLOOKUP(C1365,' Disaggregation - Section E '!A$10:J492,7,0)=0,"",VLOOKUP(C1365,' Disaggregation - Section E '!A$10:J492,7,0)*100),"")</f>
        <v/>
      </c>
      <c r="F1365" s="493" t="str">
        <f ca="1">IFERROR(IF(VLOOKUP(C1365,' Disaggregation - Section E '!A$10:N492,5,0)=0,"",VLOOKUP(C1365,' Disaggregation - Section E '!A$10:N492,5,0)),"")</f>
        <v/>
      </c>
      <c r="G1365" s="492" t="str">
        <f ca="1">IFERROR(IF(VLOOKUP(C1365,' Disaggregation - Section E '!A$10:N492,6,0)=0,"",VLOOKUP(C1365,' Disaggregation - Section E '!A$10:N492,6,0)),"")</f>
        <v/>
      </c>
      <c r="H1365" s="502" t="str">
        <f ca="1">IFERROR(IF(INDEX(' Disaggregation - Section E '!F$10:F492,MATCH(C1365,' Disaggregation - Section E '!A$10:A492,0)+1,1)&lt;&gt;0,INDEX(' Disaggregation - Section E '!F$10:F492,MATCH(C1365,' Disaggregation - Section E '!A$10:A492,0)+1,1),""),"")</f>
        <v/>
      </c>
      <c r="I1365" s="493" t="str">
        <f ca="1">IFERROR(IF(VLOOKUP(C1365,' Disaggregation - Section E '!A$10:N492,8,0)=0,"",VLOOKUP(C1365,' Disaggregation - Section E '!A$10:N492,8,0)),"")</f>
        <v/>
      </c>
      <c r="J1365" s="493" t="str">
        <f ca="1">IFERROR(IF(VLOOKUP(C1365,' Disaggregation - Section E '!A$10:N492,13,0)=0,"",VLOOKUP(C1365,' Disaggregation - Section E '!A$10:N492,13,0)),"")</f>
        <v/>
      </c>
      <c r="K1365" s="487" t="str">
        <f ca="1">IFERROR(VLOOKUP(C1365,' Disaggregation - Section E '!A$10:N492,3,0),"")</f>
        <v/>
      </c>
      <c r="L1365" s="493" t="str">
        <f ca="1">IFERROR(IF(VLOOKUP(C1365,' Disaggregation - Section E '!A$10:N492,14,0)=0,"",VLOOKUP(C1365,' Disaggregation - Section E '!A$10:N492,14,0)),"")</f>
        <v/>
      </c>
      <c r="M1365" s="487" t="str">
        <f ca="1">IFERROR(IF(VLOOKUP(C1365,' Disaggregation - Section E '!A$10:T492,20,0)=0,"",VLOOKUP(C1365,' Disaggregation - Section E '!A$10:T492,20,0)),"")</f>
        <v/>
      </c>
      <c r="N1365" s="493" t="str">
        <f ca="1">IFERROR(IF(VLOOKUP(C1365,' Disaggregation - Section E '!A$10:N492,9,0)=0,"",VLOOKUP(C1365,' Disaggregation - Section E '!A$10:N492,9,0)),"")</f>
        <v/>
      </c>
      <c r="O1365" s="493" t="str">
        <f ca="1">IFERROR(IF(VLOOKUP(C1365,' Disaggregation - Section E '!A$10:N492,10,0)=0,"",VLOOKUP(C1365,' Disaggregation - Section E '!A$10:N492,10,0)),"")</f>
        <v/>
      </c>
    </row>
    <row r="1366" spans="1:15" x14ac:dyDescent="0.3">
      <c r="A1366" s="487" t="b">
        <f t="shared" ca="1" si="145"/>
        <v>0</v>
      </c>
      <c r="B1366" s="487"/>
      <c r="C1366" s="507" t="str">
        <f ca="1">IF(COUNTA(D$1181:D1366)=1,"",OFFSET(B1366,-COUNTA(D$1181:D1366)+1,1))</f>
        <v>a1G3p000003GJ4BEAW</v>
      </c>
      <c r="D1366" s="502"/>
      <c r="E1366" s="490" t="str">
        <f ca="1">IFERROR(IF(VLOOKUP(C1366,' Disaggregation - Section E '!A$10:J493,7,0)=0,"",VLOOKUP(C1366,' Disaggregation - Section E '!A$10:J493,7,0)*100),"")</f>
        <v/>
      </c>
      <c r="F1366" s="493" t="str">
        <f ca="1">IFERROR(IF(VLOOKUP(C1366,' Disaggregation - Section E '!A$10:N493,5,0)=0,"",VLOOKUP(C1366,' Disaggregation - Section E '!A$10:N493,5,0)),"")</f>
        <v/>
      </c>
      <c r="G1366" s="492" t="str">
        <f ca="1">IFERROR(IF(VLOOKUP(C1366,' Disaggregation - Section E '!A$10:N493,6,0)=0,"",VLOOKUP(C1366,' Disaggregation - Section E '!A$10:N493,6,0)),"")</f>
        <v/>
      </c>
      <c r="H1366" s="502" t="str">
        <f ca="1">IFERROR(IF(INDEX(' Disaggregation - Section E '!F$10:F493,MATCH(C1366,' Disaggregation - Section E '!A$10:A493,0)+1,1)&lt;&gt;0,INDEX(' Disaggregation - Section E '!F$10:F493,MATCH(C1366,' Disaggregation - Section E '!A$10:A493,0)+1,1),""),"")</f>
        <v/>
      </c>
      <c r="I1366" s="493" t="str">
        <f ca="1">IFERROR(IF(VLOOKUP(C1366,' Disaggregation - Section E '!A$10:N493,8,0)=0,"",VLOOKUP(C1366,' Disaggregation - Section E '!A$10:N493,8,0)),"")</f>
        <v/>
      </c>
      <c r="J1366" s="493" t="str">
        <f ca="1">IFERROR(IF(VLOOKUP(C1366,' Disaggregation - Section E '!A$10:N493,13,0)=0,"",VLOOKUP(C1366,' Disaggregation - Section E '!A$10:N493,13,0)),"")</f>
        <v/>
      </c>
      <c r="K1366" s="487" t="str">
        <f ca="1">IFERROR(VLOOKUP(C1366,' Disaggregation - Section E '!A$10:N493,3,0),"")</f>
        <v/>
      </c>
      <c r="L1366" s="493" t="str">
        <f ca="1">IFERROR(IF(VLOOKUP(C1366,' Disaggregation - Section E '!A$10:N493,14,0)=0,"",VLOOKUP(C1366,' Disaggregation - Section E '!A$10:N493,14,0)),"")</f>
        <v/>
      </c>
      <c r="M1366" s="487" t="str">
        <f ca="1">IFERROR(IF(VLOOKUP(C1366,' Disaggregation - Section E '!A$10:T493,20,0)=0,"",VLOOKUP(C1366,' Disaggregation - Section E '!A$10:T493,20,0)),"")</f>
        <v/>
      </c>
      <c r="N1366" s="493" t="str">
        <f ca="1">IFERROR(IF(VLOOKUP(C1366,' Disaggregation - Section E '!A$10:N493,9,0)=0,"",VLOOKUP(C1366,' Disaggregation - Section E '!A$10:N493,9,0)),"")</f>
        <v/>
      </c>
      <c r="O1366" s="493" t="str">
        <f ca="1">IFERROR(IF(VLOOKUP(C1366,' Disaggregation - Section E '!A$10:N493,10,0)=0,"",VLOOKUP(C1366,' Disaggregation - Section E '!A$10:N493,10,0)),"")</f>
        <v/>
      </c>
    </row>
    <row r="1367" spans="1:15" x14ac:dyDescent="0.3">
      <c r="A1367" s="487" t="b">
        <f t="shared" ca="1" si="145"/>
        <v>0</v>
      </c>
      <c r="B1367" s="487"/>
      <c r="C1367" s="507" t="str">
        <f ca="1">IF(COUNTA(D$1181:D1367)=1,"",OFFSET(B1367,-COUNTA(D$1181:D1367)+1,1))</f>
        <v>a1G3p000003GJ4CEAW</v>
      </c>
      <c r="D1367" s="502"/>
      <c r="E1367" s="490" t="str">
        <f ca="1">IFERROR(IF(VLOOKUP(C1367,' Disaggregation - Section E '!A$10:J494,7,0)=0,"",VLOOKUP(C1367,' Disaggregation - Section E '!A$10:J494,7,0)*100),"")</f>
        <v/>
      </c>
      <c r="F1367" s="493" t="str">
        <f ca="1">IFERROR(IF(VLOOKUP(C1367,' Disaggregation - Section E '!A$10:N494,5,0)=0,"",VLOOKUP(C1367,' Disaggregation - Section E '!A$10:N494,5,0)),"")</f>
        <v/>
      </c>
      <c r="G1367" s="492" t="str">
        <f ca="1">IFERROR(IF(VLOOKUP(C1367,' Disaggregation - Section E '!A$10:N494,6,0)=0,"",VLOOKUP(C1367,' Disaggregation - Section E '!A$10:N494,6,0)),"")</f>
        <v/>
      </c>
      <c r="H1367" s="502" t="str">
        <f ca="1">IFERROR(IF(INDEX(' Disaggregation - Section E '!F$10:F494,MATCH(C1367,' Disaggregation - Section E '!A$10:A494,0)+1,1)&lt;&gt;0,INDEX(' Disaggregation - Section E '!F$10:F494,MATCH(C1367,' Disaggregation - Section E '!A$10:A494,0)+1,1),""),"")</f>
        <v/>
      </c>
      <c r="I1367" s="493" t="str">
        <f ca="1">IFERROR(IF(VLOOKUP(C1367,' Disaggregation - Section E '!A$10:N494,8,0)=0,"",VLOOKUP(C1367,' Disaggregation - Section E '!A$10:N494,8,0)),"")</f>
        <v/>
      </c>
      <c r="J1367" s="493" t="str">
        <f ca="1">IFERROR(IF(VLOOKUP(C1367,' Disaggregation - Section E '!A$10:N494,13,0)=0,"",VLOOKUP(C1367,' Disaggregation - Section E '!A$10:N494,13,0)),"")</f>
        <v/>
      </c>
      <c r="K1367" s="487" t="str">
        <f ca="1">IFERROR(VLOOKUP(C1367,' Disaggregation - Section E '!A$10:N494,3,0),"")</f>
        <v/>
      </c>
      <c r="L1367" s="493" t="str">
        <f ca="1">IFERROR(IF(VLOOKUP(C1367,' Disaggregation - Section E '!A$10:N494,14,0)=0,"",VLOOKUP(C1367,' Disaggregation - Section E '!A$10:N494,14,0)),"")</f>
        <v/>
      </c>
      <c r="M1367" s="487" t="str">
        <f ca="1">IFERROR(IF(VLOOKUP(C1367,' Disaggregation - Section E '!A$10:T494,20,0)=0,"",VLOOKUP(C1367,' Disaggregation - Section E '!A$10:T494,20,0)),"")</f>
        <v/>
      </c>
      <c r="N1367" s="493" t="str">
        <f ca="1">IFERROR(IF(VLOOKUP(C1367,' Disaggregation - Section E '!A$10:N494,9,0)=0,"",VLOOKUP(C1367,' Disaggregation - Section E '!A$10:N494,9,0)),"")</f>
        <v/>
      </c>
      <c r="O1367" s="493" t="str">
        <f ca="1">IFERROR(IF(VLOOKUP(C1367,' Disaggregation - Section E '!A$10:N494,10,0)=0,"",VLOOKUP(C1367,' Disaggregation - Section E '!A$10:N494,10,0)),"")</f>
        <v/>
      </c>
    </row>
    <row r="1368" spans="1:15" x14ac:dyDescent="0.3">
      <c r="A1368" s="487" t="b">
        <f t="shared" ca="1" si="145"/>
        <v>0</v>
      </c>
      <c r="B1368" s="487"/>
      <c r="C1368" s="507" t="str">
        <f ca="1">IF(COUNTA(D$1181:D1368)=1,"",OFFSET(B1368,-COUNTA(D$1181:D1368)+1,1))</f>
        <v>a1G3p000003GJ4DEAW</v>
      </c>
      <c r="D1368" s="502"/>
      <c r="E1368" s="490" t="str">
        <f ca="1">IFERROR(IF(VLOOKUP(C1368,' Disaggregation - Section E '!A$10:J495,7,0)=0,"",VLOOKUP(C1368,' Disaggregation - Section E '!A$10:J495,7,0)*100),"")</f>
        <v/>
      </c>
      <c r="F1368" s="493" t="str">
        <f ca="1">IFERROR(IF(VLOOKUP(C1368,' Disaggregation - Section E '!A$10:N495,5,0)=0,"",VLOOKUP(C1368,' Disaggregation - Section E '!A$10:N495,5,0)),"")</f>
        <v/>
      </c>
      <c r="G1368" s="492" t="str">
        <f ca="1">IFERROR(IF(VLOOKUP(C1368,' Disaggregation - Section E '!A$10:N495,6,0)=0,"",VLOOKUP(C1368,' Disaggregation - Section E '!A$10:N495,6,0)),"")</f>
        <v/>
      </c>
      <c r="H1368" s="502" t="str">
        <f ca="1">IFERROR(IF(INDEX(' Disaggregation - Section E '!F$10:F495,MATCH(C1368,' Disaggregation - Section E '!A$10:A495,0)+1,1)&lt;&gt;0,INDEX(' Disaggregation - Section E '!F$10:F495,MATCH(C1368,' Disaggregation - Section E '!A$10:A495,0)+1,1),""),"")</f>
        <v/>
      </c>
      <c r="I1368" s="493" t="str">
        <f ca="1">IFERROR(IF(VLOOKUP(C1368,' Disaggregation - Section E '!A$10:N495,8,0)=0,"",VLOOKUP(C1368,' Disaggregation - Section E '!A$10:N495,8,0)),"")</f>
        <v/>
      </c>
      <c r="J1368" s="493" t="str">
        <f ca="1">IFERROR(IF(VLOOKUP(C1368,' Disaggregation - Section E '!A$10:N495,13,0)=0,"",VLOOKUP(C1368,' Disaggregation - Section E '!A$10:N495,13,0)),"")</f>
        <v/>
      </c>
      <c r="K1368" s="487" t="str">
        <f ca="1">IFERROR(VLOOKUP(C1368,' Disaggregation - Section E '!A$10:N495,3,0),"")</f>
        <v/>
      </c>
      <c r="L1368" s="493" t="str">
        <f ca="1">IFERROR(IF(VLOOKUP(C1368,' Disaggregation - Section E '!A$10:N495,14,0)=0,"",VLOOKUP(C1368,' Disaggregation - Section E '!A$10:N495,14,0)),"")</f>
        <v/>
      </c>
      <c r="M1368" s="487" t="str">
        <f ca="1">IFERROR(IF(VLOOKUP(C1368,' Disaggregation - Section E '!A$10:T495,20,0)=0,"",VLOOKUP(C1368,' Disaggregation - Section E '!A$10:T495,20,0)),"")</f>
        <v/>
      </c>
      <c r="N1368" s="493" t="str">
        <f ca="1">IFERROR(IF(VLOOKUP(C1368,' Disaggregation - Section E '!A$10:N495,9,0)=0,"",VLOOKUP(C1368,' Disaggregation - Section E '!A$10:N495,9,0)),"")</f>
        <v/>
      </c>
      <c r="O1368" s="493" t="str">
        <f ca="1">IFERROR(IF(VLOOKUP(C1368,' Disaggregation - Section E '!A$10:N495,10,0)=0,"",VLOOKUP(C1368,' Disaggregation - Section E '!A$10:N495,10,0)),"")</f>
        <v/>
      </c>
    </row>
    <row r="1369" spans="1:15" x14ac:dyDescent="0.3">
      <c r="A1369" s="487" t="b">
        <f t="shared" ca="1" si="145"/>
        <v>0</v>
      </c>
      <c r="B1369" s="487"/>
      <c r="C1369" s="507" t="str">
        <f ca="1">IF(COUNTA(D$1181:D1369)=1,"",OFFSET(B1369,-COUNTA(D$1181:D1369)+1,1))</f>
        <v>a1G3p000003GJ4EEAW</v>
      </c>
      <c r="D1369" s="502"/>
      <c r="E1369" s="490" t="str">
        <f ca="1">IFERROR(IF(VLOOKUP(C1369,' Disaggregation - Section E '!A$10:J496,7,0)=0,"",VLOOKUP(C1369,' Disaggregation - Section E '!A$10:J496,7,0)*100),"")</f>
        <v/>
      </c>
      <c r="F1369" s="493" t="str">
        <f ca="1">IFERROR(IF(VLOOKUP(C1369,' Disaggregation - Section E '!A$10:N496,5,0)=0,"",VLOOKUP(C1369,' Disaggregation - Section E '!A$10:N496,5,0)),"")</f>
        <v/>
      </c>
      <c r="G1369" s="492" t="str">
        <f ca="1">IFERROR(IF(VLOOKUP(C1369,' Disaggregation - Section E '!A$10:N496,6,0)=0,"",VLOOKUP(C1369,' Disaggregation - Section E '!A$10:N496,6,0)),"")</f>
        <v/>
      </c>
      <c r="H1369" s="502" t="str">
        <f ca="1">IFERROR(IF(INDEX(' Disaggregation - Section E '!F$10:F496,MATCH(C1369,' Disaggregation - Section E '!A$10:A496,0)+1,1)&lt;&gt;0,INDEX(' Disaggregation - Section E '!F$10:F496,MATCH(C1369,' Disaggregation - Section E '!A$10:A496,0)+1,1),""),"")</f>
        <v/>
      </c>
      <c r="I1369" s="493" t="str">
        <f ca="1">IFERROR(IF(VLOOKUP(C1369,' Disaggregation - Section E '!A$10:N496,8,0)=0,"",VLOOKUP(C1369,' Disaggregation - Section E '!A$10:N496,8,0)),"")</f>
        <v/>
      </c>
      <c r="J1369" s="493" t="str">
        <f ca="1">IFERROR(IF(VLOOKUP(C1369,' Disaggregation - Section E '!A$10:N496,13,0)=0,"",VLOOKUP(C1369,' Disaggregation - Section E '!A$10:N496,13,0)),"")</f>
        <v/>
      </c>
      <c r="K1369" s="487" t="str">
        <f ca="1">IFERROR(VLOOKUP(C1369,' Disaggregation - Section E '!A$10:N496,3,0),"")</f>
        <v/>
      </c>
      <c r="L1369" s="493" t="str">
        <f ca="1">IFERROR(IF(VLOOKUP(C1369,' Disaggregation - Section E '!A$10:N496,14,0)=0,"",VLOOKUP(C1369,' Disaggregation - Section E '!A$10:N496,14,0)),"")</f>
        <v/>
      </c>
      <c r="M1369" s="487" t="str">
        <f ca="1">IFERROR(IF(VLOOKUP(C1369,' Disaggregation - Section E '!A$10:T496,20,0)=0,"",VLOOKUP(C1369,' Disaggregation - Section E '!A$10:T496,20,0)),"")</f>
        <v/>
      </c>
      <c r="N1369" s="493" t="str">
        <f ca="1">IFERROR(IF(VLOOKUP(C1369,' Disaggregation - Section E '!A$10:N496,9,0)=0,"",VLOOKUP(C1369,' Disaggregation - Section E '!A$10:N496,9,0)),"")</f>
        <v/>
      </c>
      <c r="O1369" s="493" t="str">
        <f ca="1">IFERROR(IF(VLOOKUP(C1369,' Disaggregation - Section E '!A$10:N496,10,0)=0,"",VLOOKUP(C1369,' Disaggregation - Section E '!A$10:N496,10,0)),"")</f>
        <v/>
      </c>
    </row>
    <row r="1370" spans="1:15" x14ac:dyDescent="0.3">
      <c r="A1370" s="487" t="b">
        <f t="shared" ca="1" si="145"/>
        <v>0</v>
      </c>
      <c r="B1370" s="487"/>
      <c r="C1370" s="507" t="str">
        <f ca="1">IF(COUNTA(D$1181:D1370)=1,"",OFFSET(B1370,-COUNTA(D$1181:D1370)+1,1))</f>
        <v>a1G3p000003GJ4FEAW</v>
      </c>
      <c r="D1370" s="502"/>
      <c r="E1370" s="490" t="str">
        <f ca="1">IFERROR(IF(VLOOKUP(C1370,' Disaggregation - Section E '!A$10:J497,7,0)=0,"",VLOOKUP(C1370,' Disaggregation - Section E '!A$10:J497,7,0)*100),"")</f>
        <v/>
      </c>
      <c r="F1370" s="493" t="str">
        <f ca="1">IFERROR(IF(VLOOKUP(C1370,' Disaggregation - Section E '!A$10:N497,5,0)=0,"",VLOOKUP(C1370,' Disaggregation - Section E '!A$10:N497,5,0)),"")</f>
        <v/>
      </c>
      <c r="G1370" s="492" t="str">
        <f ca="1">IFERROR(IF(VLOOKUP(C1370,' Disaggregation - Section E '!A$10:N497,6,0)=0,"",VLOOKUP(C1370,' Disaggregation - Section E '!A$10:N497,6,0)),"")</f>
        <v/>
      </c>
      <c r="H1370" s="502" t="str">
        <f ca="1">IFERROR(IF(INDEX(' Disaggregation - Section E '!F$10:F497,MATCH(C1370,' Disaggregation - Section E '!A$10:A497,0)+1,1)&lt;&gt;0,INDEX(' Disaggregation - Section E '!F$10:F497,MATCH(C1370,' Disaggregation - Section E '!A$10:A497,0)+1,1),""),"")</f>
        <v/>
      </c>
      <c r="I1370" s="493" t="str">
        <f ca="1">IFERROR(IF(VLOOKUP(C1370,' Disaggregation - Section E '!A$10:N497,8,0)=0,"",VLOOKUP(C1370,' Disaggregation - Section E '!A$10:N497,8,0)),"")</f>
        <v/>
      </c>
      <c r="J1370" s="493" t="str">
        <f ca="1">IFERROR(IF(VLOOKUP(C1370,' Disaggregation - Section E '!A$10:N497,13,0)=0,"",VLOOKUP(C1370,' Disaggregation - Section E '!A$10:N497,13,0)),"")</f>
        <v/>
      </c>
      <c r="K1370" s="487" t="str">
        <f ca="1">IFERROR(VLOOKUP(C1370,' Disaggregation - Section E '!A$10:N497,3,0),"")</f>
        <v/>
      </c>
      <c r="L1370" s="493" t="str">
        <f ca="1">IFERROR(IF(VLOOKUP(C1370,' Disaggregation - Section E '!A$10:N497,14,0)=0,"",VLOOKUP(C1370,' Disaggregation - Section E '!A$10:N497,14,0)),"")</f>
        <v/>
      </c>
      <c r="M1370" s="487" t="str">
        <f ca="1">IFERROR(IF(VLOOKUP(C1370,' Disaggregation - Section E '!A$10:T497,20,0)=0,"",VLOOKUP(C1370,' Disaggregation - Section E '!A$10:T497,20,0)),"")</f>
        <v/>
      </c>
      <c r="N1370" s="493" t="str">
        <f ca="1">IFERROR(IF(VLOOKUP(C1370,' Disaggregation - Section E '!A$10:N497,9,0)=0,"",VLOOKUP(C1370,' Disaggregation - Section E '!A$10:N497,9,0)),"")</f>
        <v/>
      </c>
      <c r="O1370" s="493" t="str">
        <f ca="1">IFERROR(IF(VLOOKUP(C1370,' Disaggregation - Section E '!A$10:N497,10,0)=0,"",VLOOKUP(C1370,' Disaggregation - Section E '!A$10:N497,10,0)),"")</f>
        <v/>
      </c>
    </row>
    <row r="1371" spans="1:15" x14ac:dyDescent="0.3">
      <c r="A1371" s="487" t="b">
        <f t="shared" ca="1" si="145"/>
        <v>0</v>
      </c>
      <c r="B1371" s="487"/>
      <c r="C1371" s="507" t="str">
        <f ca="1">IF(COUNTA(D$1181:D1371)=1,"",OFFSET(B1371,-COUNTA(D$1181:D1371)+1,1))</f>
        <v>a1G3p000003GJ4GEAW</v>
      </c>
      <c r="D1371" s="502"/>
      <c r="E1371" s="490" t="str">
        <f ca="1">IFERROR(IF(VLOOKUP(C1371,' Disaggregation - Section E '!A$10:J498,7,0)=0,"",VLOOKUP(C1371,' Disaggregation - Section E '!A$10:J498,7,0)*100),"")</f>
        <v/>
      </c>
      <c r="F1371" s="493" t="str">
        <f ca="1">IFERROR(IF(VLOOKUP(C1371,' Disaggregation - Section E '!A$10:N498,5,0)=0,"",VLOOKUP(C1371,' Disaggregation - Section E '!A$10:N498,5,0)),"")</f>
        <v/>
      </c>
      <c r="G1371" s="492" t="str">
        <f ca="1">IFERROR(IF(VLOOKUP(C1371,' Disaggregation - Section E '!A$10:N498,6,0)=0,"",VLOOKUP(C1371,' Disaggregation - Section E '!A$10:N498,6,0)),"")</f>
        <v/>
      </c>
      <c r="H1371" s="502" t="str">
        <f ca="1">IFERROR(IF(INDEX(' Disaggregation - Section E '!F$10:F498,MATCH(C1371,' Disaggregation - Section E '!A$10:A498,0)+1,1)&lt;&gt;0,INDEX(' Disaggregation - Section E '!F$10:F498,MATCH(C1371,' Disaggregation - Section E '!A$10:A498,0)+1,1),""),"")</f>
        <v/>
      </c>
      <c r="I1371" s="493" t="str">
        <f ca="1">IFERROR(IF(VLOOKUP(C1371,' Disaggregation - Section E '!A$10:N498,8,0)=0,"",VLOOKUP(C1371,' Disaggregation - Section E '!A$10:N498,8,0)),"")</f>
        <v/>
      </c>
      <c r="J1371" s="493" t="str">
        <f ca="1">IFERROR(IF(VLOOKUP(C1371,' Disaggregation - Section E '!A$10:N498,13,0)=0,"",VLOOKUP(C1371,' Disaggregation - Section E '!A$10:N498,13,0)),"")</f>
        <v/>
      </c>
      <c r="K1371" s="487" t="str">
        <f ca="1">IFERROR(VLOOKUP(C1371,' Disaggregation - Section E '!A$10:N498,3,0),"")</f>
        <v/>
      </c>
      <c r="L1371" s="493" t="str">
        <f ca="1">IFERROR(IF(VLOOKUP(C1371,' Disaggregation - Section E '!A$10:N498,14,0)=0,"",VLOOKUP(C1371,' Disaggregation - Section E '!A$10:N498,14,0)),"")</f>
        <v/>
      </c>
      <c r="M1371" s="487" t="str">
        <f ca="1">IFERROR(IF(VLOOKUP(C1371,' Disaggregation - Section E '!A$10:T498,20,0)=0,"",VLOOKUP(C1371,' Disaggregation - Section E '!A$10:T498,20,0)),"")</f>
        <v/>
      </c>
      <c r="N1371" s="493" t="str">
        <f ca="1">IFERROR(IF(VLOOKUP(C1371,' Disaggregation - Section E '!A$10:N498,9,0)=0,"",VLOOKUP(C1371,' Disaggregation - Section E '!A$10:N498,9,0)),"")</f>
        <v/>
      </c>
      <c r="O1371" s="493" t="str">
        <f ca="1">IFERROR(IF(VLOOKUP(C1371,' Disaggregation - Section E '!A$10:N498,10,0)=0,"",VLOOKUP(C1371,' Disaggregation - Section E '!A$10:N498,10,0)),"")</f>
        <v/>
      </c>
    </row>
    <row r="1372" spans="1:15" x14ac:dyDescent="0.3">
      <c r="A1372" s="487" t="b">
        <f t="shared" ca="1" si="145"/>
        <v>0</v>
      </c>
      <c r="B1372" s="487"/>
      <c r="C1372" s="507" t="str">
        <f ca="1">IF(COUNTA(D$1181:D1372)=1,"",OFFSET(B1372,-COUNTA(D$1181:D1372)+1,1))</f>
        <v>a1G3p000003GJ4HEAW</v>
      </c>
      <c r="D1372" s="502"/>
      <c r="E1372" s="490" t="str">
        <f ca="1">IFERROR(IF(VLOOKUP(C1372,' Disaggregation - Section E '!A$10:J499,7,0)=0,"",VLOOKUP(C1372,' Disaggregation - Section E '!A$10:J499,7,0)*100),"")</f>
        <v/>
      </c>
      <c r="F1372" s="493" t="str">
        <f ca="1">IFERROR(IF(VLOOKUP(C1372,' Disaggregation - Section E '!A$10:N499,5,0)=0,"",VLOOKUP(C1372,' Disaggregation - Section E '!A$10:N499,5,0)),"")</f>
        <v/>
      </c>
      <c r="G1372" s="492" t="str">
        <f ca="1">IFERROR(IF(VLOOKUP(C1372,' Disaggregation - Section E '!A$10:N499,6,0)=0,"",VLOOKUP(C1372,' Disaggregation - Section E '!A$10:N499,6,0)),"")</f>
        <v/>
      </c>
      <c r="H1372" s="502" t="str">
        <f ca="1">IFERROR(IF(INDEX(' Disaggregation - Section E '!F$10:F499,MATCH(C1372,' Disaggregation - Section E '!A$10:A499,0)+1,1)&lt;&gt;0,INDEX(' Disaggregation - Section E '!F$10:F499,MATCH(C1372,' Disaggregation - Section E '!A$10:A499,0)+1,1),""),"")</f>
        <v/>
      </c>
      <c r="I1372" s="493" t="str">
        <f ca="1">IFERROR(IF(VLOOKUP(C1372,' Disaggregation - Section E '!A$10:N499,8,0)=0,"",VLOOKUP(C1372,' Disaggregation - Section E '!A$10:N499,8,0)),"")</f>
        <v/>
      </c>
      <c r="J1372" s="493" t="str">
        <f ca="1">IFERROR(IF(VLOOKUP(C1372,' Disaggregation - Section E '!A$10:N499,13,0)=0,"",VLOOKUP(C1372,' Disaggregation - Section E '!A$10:N499,13,0)),"")</f>
        <v/>
      </c>
      <c r="K1372" s="487" t="str">
        <f ca="1">IFERROR(VLOOKUP(C1372,' Disaggregation - Section E '!A$10:N499,3,0),"")</f>
        <v/>
      </c>
      <c r="L1372" s="493" t="str">
        <f ca="1">IFERROR(IF(VLOOKUP(C1372,' Disaggregation - Section E '!A$10:N499,14,0)=0,"",VLOOKUP(C1372,' Disaggregation - Section E '!A$10:N499,14,0)),"")</f>
        <v/>
      </c>
      <c r="M1372" s="487" t="str">
        <f ca="1">IFERROR(IF(VLOOKUP(C1372,' Disaggregation - Section E '!A$10:T499,20,0)=0,"",VLOOKUP(C1372,' Disaggregation - Section E '!A$10:T499,20,0)),"")</f>
        <v/>
      </c>
      <c r="N1372" s="493" t="str">
        <f ca="1">IFERROR(IF(VLOOKUP(C1372,' Disaggregation - Section E '!A$10:N499,9,0)=0,"",VLOOKUP(C1372,' Disaggregation - Section E '!A$10:N499,9,0)),"")</f>
        <v/>
      </c>
      <c r="O1372" s="493" t="str">
        <f ca="1">IFERROR(IF(VLOOKUP(C1372,' Disaggregation - Section E '!A$10:N499,10,0)=0,"",VLOOKUP(C1372,' Disaggregation - Section E '!A$10:N499,10,0)),"")</f>
        <v/>
      </c>
    </row>
    <row r="1373" spans="1:15" x14ac:dyDescent="0.3">
      <c r="A1373" s="487" t="b">
        <f t="shared" ca="1" si="145"/>
        <v>0</v>
      </c>
      <c r="B1373" s="487"/>
      <c r="C1373" s="507" t="str">
        <f ca="1">IF(COUNTA(D$1181:D1373)=1,"",OFFSET(B1373,-COUNTA(D$1181:D1373)+1,1))</f>
        <v>a1G3p000003GJ4IEAW</v>
      </c>
      <c r="D1373" s="502"/>
      <c r="E1373" s="490" t="str">
        <f ca="1">IFERROR(IF(VLOOKUP(C1373,' Disaggregation - Section E '!A$10:J500,7,0)=0,"",VLOOKUP(C1373,' Disaggregation - Section E '!A$10:J500,7,0)*100),"")</f>
        <v/>
      </c>
      <c r="F1373" s="493" t="str">
        <f ca="1">IFERROR(IF(VLOOKUP(C1373,' Disaggregation - Section E '!A$10:N500,5,0)=0,"",VLOOKUP(C1373,' Disaggregation - Section E '!A$10:N500,5,0)),"")</f>
        <v/>
      </c>
      <c r="G1373" s="492" t="str">
        <f ca="1">IFERROR(IF(VLOOKUP(C1373,' Disaggregation - Section E '!A$10:N500,6,0)=0,"",VLOOKUP(C1373,' Disaggregation - Section E '!A$10:N500,6,0)),"")</f>
        <v/>
      </c>
      <c r="H1373" s="502" t="str">
        <f ca="1">IFERROR(IF(INDEX(' Disaggregation - Section E '!F$10:F500,MATCH(C1373,' Disaggregation - Section E '!A$10:A500,0)+1,1)&lt;&gt;0,INDEX(' Disaggregation - Section E '!F$10:F500,MATCH(C1373,' Disaggregation - Section E '!A$10:A500,0)+1,1),""),"")</f>
        <v/>
      </c>
      <c r="I1373" s="493" t="str">
        <f ca="1">IFERROR(IF(VLOOKUP(C1373,' Disaggregation - Section E '!A$10:N500,8,0)=0,"",VLOOKUP(C1373,' Disaggregation - Section E '!A$10:N500,8,0)),"")</f>
        <v/>
      </c>
      <c r="J1373" s="493" t="str">
        <f ca="1">IFERROR(IF(VLOOKUP(C1373,' Disaggregation - Section E '!A$10:N500,13,0)=0,"",VLOOKUP(C1373,' Disaggregation - Section E '!A$10:N500,13,0)),"")</f>
        <v/>
      </c>
      <c r="K1373" s="487" t="str">
        <f ca="1">IFERROR(VLOOKUP(C1373,' Disaggregation - Section E '!A$10:N500,3,0),"")</f>
        <v/>
      </c>
      <c r="L1373" s="493" t="str">
        <f ca="1">IFERROR(IF(VLOOKUP(C1373,' Disaggregation - Section E '!A$10:N500,14,0)=0,"",VLOOKUP(C1373,' Disaggregation - Section E '!A$10:N500,14,0)),"")</f>
        <v/>
      </c>
      <c r="M1373" s="487" t="str">
        <f ca="1">IFERROR(IF(VLOOKUP(C1373,' Disaggregation - Section E '!A$10:T500,20,0)=0,"",VLOOKUP(C1373,' Disaggregation - Section E '!A$10:T500,20,0)),"")</f>
        <v/>
      </c>
      <c r="N1373" s="493" t="str">
        <f ca="1">IFERROR(IF(VLOOKUP(C1373,' Disaggregation - Section E '!A$10:N500,9,0)=0,"",VLOOKUP(C1373,' Disaggregation - Section E '!A$10:N500,9,0)),"")</f>
        <v/>
      </c>
      <c r="O1373" s="493" t="str">
        <f ca="1">IFERROR(IF(VLOOKUP(C1373,' Disaggregation - Section E '!A$10:N500,10,0)=0,"",VLOOKUP(C1373,' Disaggregation - Section E '!A$10:N500,10,0)),"")</f>
        <v/>
      </c>
    </row>
    <row r="1374" spans="1:15" x14ac:dyDescent="0.3">
      <c r="A1374" s="487" t="b">
        <f t="shared" ca="1" si="145"/>
        <v>0</v>
      </c>
      <c r="B1374" s="487"/>
      <c r="C1374" s="507" t="str">
        <f ca="1">IF(COUNTA(D$1181:D1374)=1,"",OFFSET(B1374,-COUNTA(D$1181:D1374)+1,1))</f>
        <v>a1G3p000003GJ4JEAW</v>
      </c>
      <c r="D1374" s="502"/>
      <c r="E1374" s="490" t="str">
        <f ca="1">IFERROR(IF(VLOOKUP(C1374,' Disaggregation - Section E '!A$10:J501,7,0)=0,"",VLOOKUP(C1374,' Disaggregation - Section E '!A$10:J501,7,0)*100),"")</f>
        <v/>
      </c>
      <c r="F1374" s="493" t="str">
        <f ca="1">IFERROR(IF(VLOOKUP(C1374,' Disaggregation - Section E '!A$10:N501,5,0)=0,"",VLOOKUP(C1374,' Disaggregation - Section E '!A$10:N501,5,0)),"")</f>
        <v/>
      </c>
      <c r="G1374" s="492" t="str">
        <f ca="1">IFERROR(IF(VLOOKUP(C1374,' Disaggregation - Section E '!A$10:N501,6,0)=0,"",VLOOKUP(C1374,' Disaggregation - Section E '!A$10:N501,6,0)),"")</f>
        <v/>
      </c>
      <c r="H1374" s="502" t="str">
        <f ca="1">IFERROR(IF(INDEX(' Disaggregation - Section E '!F$10:F501,MATCH(C1374,' Disaggregation - Section E '!A$10:A501,0)+1,1)&lt;&gt;0,INDEX(' Disaggregation - Section E '!F$10:F501,MATCH(C1374,' Disaggregation - Section E '!A$10:A501,0)+1,1),""),"")</f>
        <v/>
      </c>
      <c r="I1374" s="493" t="str">
        <f ca="1">IFERROR(IF(VLOOKUP(C1374,' Disaggregation - Section E '!A$10:N501,8,0)=0,"",VLOOKUP(C1374,' Disaggregation - Section E '!A$10:N501,8,0)),"")</f>
        <v/>
      </c>
      <c r="J1374" s="493" t="str">
        <f ca="1">IFERROR(IF(VLOOKUP(C1374,' Disaggregation - Section E '!A$10:N501,13,0)=0,"",VLOOKUP(C1374,' Disaggregation - Section E '!A$10:N501,13,0)),"")</f>
        <v/>
      </c>
      <c r="K1374" s="487" t="str">
        <f ca="1">IFERROR(VLOOKUP(C1374,' Disaggregation - Section E '!A$10:N501,3,0),"")</f>
        <v/>
      </c>
      <c r="L1374" s="493" t="str">
        <f ca="1">IFERROR(IF(VLOOKUP(C1374,' Disaggregation - Section E '!A$10:N501,14,0)=0,"",VLOOKUP(C1374,' Disaggregation - Section E '!A$10:N501,14,0)),"")</f>
        <v/>
      </c>
      <c r="M1374" s="487" t="str">
        <f ca="1">IFERROR(IF(VLOOKUP(C1374,' Disaggregation - Section E '!A$10:T501,20,0)=0,"",VLOOKUP(C1374,' Disaggregation - Section E '!A$10:T501,20,0)),"")</f>
        <v/>
      </c>
      <c r="N1374" s="493" t="str">
        <f ca="1">IFERROR(IF(VLOOKUP(C1374,' Disaggregation - Section E '!A$10:N501,9,0)=0,"",VLOOKUP(C1374,' Disaggregation - Section E '!A$10:N501,9,0)),"")</f>
        <v/>
      </c>
      <c r="O1374" s="493" t="str">
        <f ca="1">IFERROR(IF(VLOOKUP(C1374,' Disaggregation - Section E '!A$10:N501,10,0)=0,"",VLOOKUP(C1374,' Disaggregation - Section E '!A$10:N501,10,0)),"")</f>
        <v/>
      </c>
    </row>
    <row r="1375" spans="1:15" x14ac:dyDescent="0.3">
      <c r="A1375" s="487" t="b">
        <f t="shared" ca="1" si="145"/>
        <v>0</v>
      </c>
      <c r="B1375" s="487"/>
      <c r="C1375" s="507" t="str">
        <f ca="1">IF(COUNTA(D$1181:D1375)=1,"",OFFSET(B1375,-COUNTA(D$1181:D1375)+1,1))</f>
        <v>a1G3p000003GJ4KEAW</v>
      </c>
      <c r="D1375" s="502"/>
      <c r="E1375" s="490" t="str">
        <f ca="1">IFERROR(IF(VLOOKUP(C1375,' Disaggregation - Section E '!A$10:J502,7,0)=0,"",VLOOKUP(C1375,' Disaggregation - Section E '!A$10:J502,7,0)*100),"")</f>
        <v/>
      </c>
      <c r="F1375" s="493" t="str">
        <f ca="1">IFERROR(IF(VLOOKUP(C1375,' Disaggregation - Section E '!A$10:N502,5,0)=0,"",VLOOKUP(C1375,' Disaggregation - Section E '!A$10:N502,5,0)),"")</f>
        <v/>
      </c>
      <c r="G1375" s="492" t="str">
        <f ca="1">IFERROR(IF(VLOOKUP(C1375,' Disaggregation - Section E '!A$10:N502,6,0)=0,"",VLOOKUP(C1375,' Disaggregation - Section E '!A$10:N502,6,0)),"")</f>
        <v/>
      </c>
      <c r="H1375" s="502" t="str">
        <f ca="1">IFERROR(IF(INDEX(' Disaggregation - Section E '!F$10:F502,MATCH(C1375,' Disaggregation - Section E '!A$10:A502,0)+1,1)&lt;&gt;0,INDEX(' Disaggregation - Section E '!F$10:F502,MATCH(C1375,' Disaggregation - Section E '!A$10:A502,0)+1,1),""),"")</f>
        <v/>
      </c>
      <c r="I1375" s="493" t="str">
        <f ca="1">IFERROR(IF(VLOOKUP(C1375,' Disaggregation - Section E '!A$10:N502,8,0)=0,"",VLOOKUP(C1375,' Disaggregation - Section E '!A$10:N502,8,0)),"")</f>
        <v/>
      </c>
      <c r="J1375" s="493" t="str">
        <f ca="1">IFERROR(IF(VLOOKUP(C1375,' Disaggregation - Section E '!A$10:N502,13,0)=0,"",VLOOKUP(C1375,' Disaggregation - Section E '!A$10:N502,13,0)),"")</f>
        <v/>
      </c>
      <c r="K1375" s="487" t="str">
        <f ca="1">IFERROR(VLOOKUP(C1375,' Disaggregation - Section E '!A$10:N502,3,0),"")</f>
        <v/>
      </c>
      <c r="L1375" s="493" t="str">
        <f ca="1">IFERROR(IF(VLOOKUP(C1375,' Disaggregation - Section E '!A$10:N502,14,0)=0,"",VLOOKUP(C1375,' Disaggregation - Section E '!A$10:N502,14,0)),"")</f>
        <v/>
      </c>
      <c r="M1375" s="487" t="str">
        <f ca="1">IFERROR(IF(VLOOKUP(C1375,' Disaggregation - Section E '!A$10:T502,20,0)=0,"",VLOOKUP(C1375,' Disaggregation - Section E '!A$10:T502,20,0)),"")</f>
        <v/>
      </c>
      <c r="N1375" s="493" t="str">
        <f ca="1">IFERROR(IF(VLOOKUP(C1375,' Disaggregation - Section E '!A$10:N502,9,0)=0,"",VLOOKUP(C1375,' Disaggregation - Section E '!A$10:N502,9,0)),"")</f>
        <v/>
      </c>
      <c r="O1375" s="493" t="str">
        <f ca="1">IFERROR(IF(VLOOKUP(C1375,' Disaggregation - Section E '!A$10:N502,10,0)=0,"",VLOOKUP(C1375,' Disaggregation - Section E '!A$10:N502,10,0)),"")</f>
        <v/>
      </c>
    </row>
    <row r="1376" spans="1:15" x14ac:dyDescent="0.3">
      <c r="A1376" s="487" t="b">
        <f t="shared" ca="1" si="145"/>
        <v>0</v>
      </c>
      <c r="B1376" s="487"/>
      <c r="C1376" s="507" t="str">
        <f ca="1">IF(COUNTA(D$1181:D1376)=1,"",OFFSET(B1376,-COUNTA(D$1181:D1376)+1,1))</f>
        <v>a1G3p000003GJ4LEAW</v>
      </c>
      <c r="D1376" s="502"/>
      <c r="E1376" s="490" t="str">
        <f ca="1">IFERROR(IF(VLOOKUP(C1376,' Disaggregation - Section E '!A$10:J503,7,0)=0,"",VLOOKUP(C1376,' Disaggregation - Section E '!A$10:J503,7,0)*100),"")</f>
        <v/>
      </c>
      <c r="F1376" s="493" t="str">
        <f ca="1">IFERROR(IF(VLOOKUP(C1376,' Disaggregation - Section E '!A$10:N503,5,0)=0,"",VLOOKUP(C1376,' Disaggregation - Section E '!A$10:N503,5,0)),"")</f>
        <v/>
      </c>
      <c r="G1376" s="492" t="str">
        <f ca="1">IFERROR(IF(VLOOKUP(C1376,' Disaggregation - Section E '!A$10:N503,6,0)=0,"",VLOOKUP(C1376,' Disaggregation - Section E '!A$10:N503,6,0)),"")</f>
        <v/>
      </c>
      <c r="H1376" s="502" t="str">
        <f ca="1">IFERROR(IF(INDEX(' Disaggregation - Section E '!F$10:F503,MATCH(C1376,' Disaggregation - Section E '!A$10:A503,0)+1,1)&lt;&gt;0,INDEX(' Disaggregation - Section E '!F$10:F503,MATCH(C1376,' Disaggregation - Section E '!A$10:A503,0)+1,1),""),"")</f>
        <v/>
      </c>
      <c r="I1376" s="493" t="str">
        <f ca="1">IFERROR(IF(VLOOKUP(C1376,' Disaggregation - Section E '!A$10:N503,8,0)=0,"",VLOOKUP(C1376,' Disaggregation - Section E '!A$10:N503,8,0)),"")</f>
        <v/>
      </c>
      <c r="J1376" s="493" t="str">
        <f ca="1">IFERROR(IF(VLOOKUP(C1376,' Disaggregation - Section E '!A$10:N503,13,0)=0,"",VLOOKUP(C1376,' Disaggregation - Section E '!A$10:N503,13,0)),"")</f>
        <v/>
      </c>
      <c r="K1376" s="487" t="str">
        <f ca="1">IFERROR(VLOOKUP(C1376,' Disaggregation - Section E '!A$10:N503,3,0),"")</f>
        <v/>
      </c>
      <c r="L1376" s="493" t="str">
        <f ca="1">IFERROR(IF(VLOOKUP(C1376,' Disaggregation - Section E '!A$10:N503,14,0)=0,"",VLOOKUP(C1376,' Disaggregation - Section E '!A$10:N503,14,0)),"")</f>
        <v/>
      </c>
      <c r="M1376" s="487" t="str">
        <f ca="1">IFERROR(IF(VLOOKUP(C1376,' Disaggregation - Section E '!A$10:T503,20,0)=0,"",VLOOKUP(C1376,' Disaggregation - Section E '!A$10:T503,20,0)),"")</f>
        <v/>
      </c>
      <c r="N1376" s="493" t="str">
        <f ca="1">IFERROR(IF(VLOOKUP(C1376,' Disaggregation - Section E '!A$10:N503,9,0)=0,"",VLOOKUP(C1376,' Disaggregation - Section E '!A$10:N503,9,0)),"")</f>
        <v/>
      </c>
      <c r="O1376" s="493" t="str">
        <f ca="1">IFERROR(IF(VLOOKUP(C1376,' Disaggregation - Section E '!A$10:N503,10,0)=0,"",VLOOKUP(C1376,' Disaggregation - Section E '!A$10:N503,10,0)),"")</f>
        <v/>
      </c>
    </row>
    <row r="1377" spans="1:15" x14ac:dyDescent="0.3">
      <c r="A1377" s="487" t="b">
        <f t="shared" ca="1" si="145"/>
        <v>0</v>
      </c>
      <c r="B1377" s="487"/>
      <c r="C1377" s="507" t="str">
        <f ca="1">IF(COUNTA(D$1181:D1377)=1,"",OFFSET(B1377,-COUNTA(D$1181:D1377)+1,1))</f>
        <v>a1G3p000003GJ4MEAW</v>
      </c>
      <c r="D1377" s="502"/>
      <c r="E1377" s="490" t="str">
        <f ca="1">IFERROR(IF(VLOOKUP(C1377,' Disaggregation - Section E '!A$10:J504,7,0)=0,"",VLOOKUP(C1377,' Disaggregation - Section E '!A$10:J504,7,0)*100),"")</f>
        <v/>
      </c>
      <c r="F1377" s="493" t="str">
        <f ca="1">IFERROR(IF(VLOOKUP(C1377,' Disaggregation - Section E '!A$10:N504,5,0)=0,"",VLOOKUP(C1377,' Disaggregation - Section E '!A$10:N504,5,0)),"")</f>
        <v/>
      </c>
      <c r="G1377" s="492" t="str">
        <f ca="1">IFERROR(IF(VLOOKUP(C1377,' Disaggregation - Section E '!A$10:N504,6,0)=0,"",VLOOKUP(C1377,' Disaggregation - Section E '!A$10:N504,6,0)),"")</f>
        <v/>
      </c>
      <c r="H1377" s="502" t="str">
        <f ca="1">IFERROR(IF(INDEX(' Disaggregation - Section E '!F$10:F504,MATCH(C1377,' Disaggregation - Section E '!A$10:A504,0)+1,1)&lt;&gt;0,INDEX(' Disaggregation - Section E '!F$10:F504,MATCH(C1377,' Disaggregation - Section E '!A$10:A504,0)+1,1),""),"")</f>
        <v/>
      </c>
      <c r="I1377" s="493" t="str">
        <f ca="1">IFERROR(IF(VLOOKUP(C1377,' Disaggregation - Section E '!A$10:N504,8,0)=0,"",VLOOKUP(C1377,' Disaggregation - Section E '!A$10:N504,8,0)),"")</f>
        <v/>
      </c>
      <c r="J1377" s="493" t="str">
        <f ca="1">IFERROR(IF(VLOOKUP(C1377,' Disaggregation - Section E '!A$10:N504,13,0)=0,"",VLOOKUP(C1377,' Disaggregation - Section E '!A$10:N504,13,0)),"")</f>
        <v/>
      </c>
      <c r="K1377" s="487" t="str">
        <f ca="1">IFERROR(VLOOKUP(C1377,' Disaggregation - Section E '!A$10:N504,3,0),"")</f>
        <v/>
      </c>
      <c r="L1377" s="493" t="str">
        <f ca="1">IFERROR(IF(VLOOKUP(C1377,' Disaggregation - Section E '!A$10:N504,14,0)=0,"",VLOOKUP(C1377,' Disaggregation - Section E '!A$10:N504,14,0)),"")</f>
        <v/>
      </c>
      <c r="M1377" s="487" t="str">
        <f ca="1">IFERROR(IF(VLOOKUP(C1377,' Disaggregation - Section E '!A$10:T504,20,0)=0,"",VLOOKUP(C1377,' Disaggregation - Section E '!A$10:T504,20,0)),"")</f>
        <v/>
      </c>
      <c r="N1377" s="493" t="str">
        <f ca="1">IFERROR(IF(VLOOKUP(C1377,' Disaggregation - Section E '!A$10:N504,9,0)=0,"",VLOOKUP(C1377,' Disaggregation - Section E '!A$10:N504,9,0)),"")</f>
        <v/>
      </c>
      <c r="O1377" s="493" t="str">
        <f ca="1">IFERROR(IF(VLOOKUP(C1377,' Disaggregation - Section E '!A$10:N504,10,0)=0,"",VLOOKUP(C1377,' Disaggregation - Section E '!A$10:N504,10,0)),"")</f>
        <v/>
      </c>
    </row>
    <row r="1378" spans="1:15" x14ac:dyDescent="0.3">
      <c r="A1378" s="487" t="b">
        <f t="shared" ca="1" si="145"/>
        <v>0</v>
      </c>
      <c r="B1378" s="487"/>
      <c r="C1378" s="507" t="str">
        <f ca="1">IF(COUNTA(D$1181:D1378)=1,"",OFFSET(B1378,-COUNTA(D$1181:D1378)+1,1))</f>
        <v>a1G3p000003GJ4NEAW</v>
      </c>
      <c r="D1378" s="502"/>
      <c r="E1378" s="490" t="str">
        <f ca="1">IFERROR(IF(VLOOKUP(C1378,' Disaggregation - Section E '!A$10:J505,7,0)=0,"",VLOOKUP(C1378,' Disaggregation - Section E '!A$10:J505,7,0)*100),"")</f>
        <v/>
      </c>
      <c r="F1378" s="493" t="str">
        <f ca="1">IFERROR(IF(VLOOKUP(C1378,' Disaggregation - Section E '!A$10:N505,5,0)=0,"",VLOOKUP(C1378,' Disaggregation - Section E '!A$10:N505,5,0)),"")</f>
        <v/>
      </c>
      <c r="G1378" s="492" t="str">
        <f ca="1">IFERROR(IF(VLOOKUP(C1378,' Disaggregation - Section E '!A$10:N505,6,0)=0,"",VLOOKUP(C1378,' Disaggregation - Section E '!A$10:N505,6,0)),"")</f>
        <v/>
      </c>
      <c r="H1378" s="502" t="str">
        <f ca="1">IFERROR(IF(INDEX(' Disaggregation - Section E '!F$10:F505,MATCH(C1378,' Disaggregation - Section E '!A$10:A505,0)+1,1)&lt;&gt;0,INDEX(' Disaggregation - Section E '!F$10:F505,MATCH(C1378,' Disaggregation - Section E '!A$10:A505,0)+1,1),""),"")</f>
        <v/>
      </c>
      <c r="I1378" s="493" t="str">
        <f ca="1">IFERROR(IF(VLOOKUP(C1378,' Disaggregation - Section E '!A$10:N505,8,0)=0,"",VLOOKUP(C1378,' Disaggregation - Section E '!A$10:N505,8,0)),"")</f>
        <v/>
      </c>
      <c r="J1378" s="493" t="str">
        <f ca="1">IFERROR(IF(VLOOKUP(C1378,' Disaggregation - Section E '!A$10:N505,13,0)=0,"",VLOOKUP(C1378,' Disaggregation - Section E '!A$10:N505,13,0)),"")</f>
        <v/>
      </c>
      <c r="K1378" s="487" t="str">
        <f ca="1">IFERROR(VLOOKUP(C1378,' Disaggregation - Section E '!A$10:N505,3,0),"")</f>
        <v/>
      </c>
      <c r="L1378" s="493" t="str">
        <f ca="1">IFERROR(IF(VLOOKUP(C1378,' Disaggregation - Section E '!A$10:N505,14,0)=0,"",VLOOKUP(C1378,' Disaggregation - Section E '!A$10:N505,14,0)),"")</f>
        <v/>
      </c>
      <c r="M1378" s="487" t="str">
        <f ca="1">IFERROR(IF(VLOOKUP(C1378,' Disaggregation - Section E '!A$10:T505,20,0)=0,"",VLOOKUP(C1378,' Disaggregation - Section E '!A$10:T505,20,0)),"")</f>
        <v/>
      </c>
      <c r="N1378" s="493" t="str">
        <f ca="1">IFERROR(IF(VLOOKUP(C1378,' Disaggregation - Section E '!A$10:N505,9,0)=0,"",VLOOKUP(C1378,' Disaggregation - Section E '!A$10:N505,9,0)),"")</f>
        <v/>
      </c>
      <c r="O1378" s="493" t="str">
        <f ca="1">IFERROR(IF(VLOOKUP(C1378,' Disaggregation - Section E '!A$10:N505,10,0)=0,"",VLOOKUP(C1378,' Disaggregation - Section E '!A$10:N505,10,0)),"")</f>
        <v/>
      </c>
    </row>
    <row r="1379" spans="1:15" x14ac:dyDescent="0.3">
      <c r="A1379" s="487" t="b">
        <f t="shared" ca="1" si="145"/>
        <v>0</v>
      </c>
      <c r="B1379" s="487"/>
      <c r="C1379" s="507" t="str">
        <f ca="1">IF(COUNTA(D$1181:D1379)=1,"",OFFSET(B1379,-COUNTA(D$1181:D1379)+1,1))</f>
        <v>a1G3p000003GJ4OEAW</v>
      </c>
      <c r="D1379" s="502"/>
      <c r="E1379" s="490" t="str">
        <f ca="1">IFERROR(IF(VLOOKUP(C1379,' Disaggregation - Section E '!A$10:J506,7,0)=0,"",VLOOKUP(C1379,' Disaggregation - Section E '!A$10:J506,7,0)*100),"")</f>
        <v/>
      </c>
      <c r="F1379" s="493" t="str">
        <f ca="1">IFERROR(IF(VLOOKUP(C1379,' Disaggregation - Section E '!A$10:N506,5,0)=0,"",VLOOKUP(C1379,' Disaggregation - Section E '!A$10:N506,5,0)),"")</f>
        <v/>
      </c>
      <c r="G1379" s="492" t="str">
        <f ca="1">IFERROR(IF(VLOOKUP(C1379,' Disaggregation - Section E '!A$10:N506,6,0)=0,"",VLOOKUP(C1379,' Disaggregation - Section E '!A$10:N506,6,0)),"")</f>
        <v/>
      </c>
      <c r="H1379" s="502" t="str">
        <f ca="1">IFERROR(IF(INDEX(' Disaggregation - Section E '!F$10:F506,MATCH(C1379,' Disaggregation - Section E '!A$10:A506,0)+1,1)&lt;&gt;0,INDEX(' Disaggregation - Section E '!F$10:F506,MATCH(C1379,' Disaggregation - Section E '!A$10:A506,0)+1,1),""),"")</f>
        <v/>
      </c>
      <c r="I1379" s="493" t="str">
        <f ca="1">IFERROR(IF(VLOOKUP(C1379,' Disaggregation - Section E '!A$10:N506,8,0)=0,"",VLOOKUP(C1379,' Disaggregation - Section E '!A$10:N506,8,0)),"")</f>
        <v/>
      </c>
      <c r="J1379" s="493" t="str">
        <f ca="1">IFERROR(IF(VLOOKUP(C1379,' Disaggregation - Section E '!A$10:N506,13,0)=0,"",VLOOKUP(C1379,' Disaggregation - Section E '!A$10:N506,13,0)),"")</f>
        <v/>
      </c>
      <c r="K1379" s="487" t="str">
        <f ca="1">IFERROR(VLOOKUP(C1379,' Disaggregation - Section E '!A$10:N506,3,0),"")</f>
        <v/>
      </c>
      <c r="L1379" s="493" t="str">
        <f ca="1">IFERROR(IF(VLOOKUP(C1379,' Disaggregation - Section E '!A$10:N506,14,0)=0,"",VLOOKUP(C1379,' Disaggregation - Section E '!A$10:N506,14,0)),"")</f>
        <v/>
      </c>
      <c r="M1379" s="487" t="str">
        <f ca="1">IFERROR(IF(VLOOKUP(C1379,' Disaggregation - Section E '!A$10:T506,20,0)=0,"",VLOOKUP(C1379,' Disaggregation - Section E '!A$10:T506,20,0)),"")</f>
        <v/>
      </c>
      <c r="N1379" s="493" t="str">
        <f ca="1">IFERROR(IF(VLOOKUP(C1379,' Disaggregation - Section E '!A$10:N506,9,0)=0,"",VLOOKUP(C1379,' Disaggregation - Section E '!A$10:N506,9,0)),"")</f>
        <v/>
      </c>
      <c r="O1379" s="493" t="str">
        <f ca="1">IFERROR(IF(VLOOKUP(C1379,' Disaggregation - Section E '!A$10:N506,10,0)=0,"",VLOOKUP(C1379,' Disaggregation - Section E '!A$10:N506,10,0)),"")</f>
        <v/>
      </c>
    </row>
    <row r="1380" spans="1:15" x14ac:dyDescent="0.3">
      <c r="A1380" s="487" t="b">
        <f t="shared" ca="1" si="145"/>
        <v>0</v>
      </c>
      <c r="B1380" s="487"/>
      <c r="C1380" s="507" t="str">
        <f ca="1">IF(COUNTA(D$1181:D1380)=1,"",OFFSET(B1380,-COUNTA(D$1181:D1380)+1,1))</f>
        <v>a1G3p000003GJ4PEAW</v>
      </c>
      <c r="D1380" s="502"/>
      <c r="E1380" s="490" t="str">
        <f ca="1">IFERROR(IF(VLOOKUP(C1380,' Disaggregation - Section E '!A$10:J507,7,0)=0,"",VLOOKUP(C1380,' Disaggregation - Section E '!A$10:J507,7,0)*100),"")</f>
        <v/>
      </c>
      <c r="F1380" s="493" t="str">
        <f ca="1">IFERROR(IF(VLOOKUP(C1380,' Disaggregation - Section E '!A$10:N507,5,0)=0,"",VLOOKUP(C1380,' Disaggregation - Section E '!A$10:N507,5,0)),"")</f>
        <v/>
      </c>
      <c r="G1380" s="492" t="str">
        <f ca="1">IFERROR(IF(VLOOKUP(C1380,' Disaggregation - Section E '!A$10:N507,6,0)=0,"",VLOOKUP(C1380,' Disaggregation - Section E '!A$10:N507,6,0)),"")</f>
        <v/>
      </c>
      <c r="H1380" s="502" t="str">
        <f ca="1">IFERROR(IF(INDEX(' Disaggregation - Section E '!F$10:F507,MATCH(C1380,' Disaggregation - Section E '!A$10:A507,0)+1,1)&lt;&gt;0,INDEX(' Disaggregation - Section E '!F$10:F507,MATCH(C1380,' Disaggregation - Section E '!A$10:A507,0)+1,1),""),"")</f>
        <v/>
      </c>
      <c r="I1380" s="493" t="str">
        <f ca="1">IFERROR(IF(VLOOKUP(C1380,' Disaggregation - Section E '!A$10:N507,8,0)=0,"",VLOOKUP(C1380,' Disaggregation - Section E '!A$10:N507,8,0)),"")</f>
        <v/>
      </c>
      <c r="J1380" s="493" t="str">
        <f ca="1">IFERROR(IF(VLOOKUP(C1380,' Disaggregation - Section E '!A$10:N507,13,0)=0,"",VLOOKUP(C1380,' Disaggregation - Section E '!A$10:N507,13,0)),"")</f>
        <v/>
      </c>
      <c r="K1380" s="487" t="str">
        <f ca="1">IFERROR(VLOOKUP(C1380,' Disaggregation - Section E '!A$10:N507,3,0),"")</f>
        <v/>
      </c>
      <c r="L1380" s="493" t="str">
        <f ca="1">IFERROR(IF(VLOOKUP(C1380,' Disaggregation - Section E '!A$10:N507,14,0)=0,"",VLOOKUP(C1380,' Disaggregation - Section E '!A$10:N507,14,0)),"")</f>
        <v/>
      </c>
      <c r="M1380" s="487" t="str">
        <f ca="1">IFERROR(IF(VLOOKUP(C1380,' Disaggregation - Section E '!A$10:T507,20,0)=0,"",VLOOKUP(C1380,' Disaggregation - Section E '!A$10:T507,20,0)),"")</f>
        <v/>
      </c>
      <c r="N1380" s="493" t="str">
        <f ca="1">IFERROR(IF(VLOOKUP(C1380,' Disaggregation - Section E '!A$10:N507,9,0)=0,"",VLOOKUP(C1380,' Disaggregation - Section E '!A$10:N507,9,0)),"")</f>
        <v/>
      </c>
      <c r="O1380" s="493" t="str">
        <f ca="1">IFERROR(IF(VLOOKUP(C1380,' Disaggregation - Section E '!A$10:N507,10,0)=0,"",VLOOKUP(C1380,' Disaggregation - Section E '!A$10:N507,10,0)),"")</f>
        <v/>
      </c>
    </row>
    <row r="1381" spans="1:15" x14ac:dyDescent="0.3">
      <c r="A1381" s="487" t="b">
        <f t="shared" ca="1" si="145"/>
        <v>0</v>
      </c>
      <c r="B1381" s="487"/>
      <c r="C1381" s="507" t="str">
        <f ca="1">IF(COUNTA(D$1181:D1381)=1,"",OFFSET(B1381,-COUNTA(D$1181:D1381)+1,1))</f>
        <v>a1G3p000003GJ4QEAW</v>
      </c>
      <c r="D1381" s="502"/>
      <c r="E1381" s="490" t="str">
        <f ca="1">IFERROR(IF(VLOOKUP(C1381,' Disaggregation - Section E '!A$10:J508,7,0)=0,"",VLOOKUP(C1381,' Disaggregation - Section E '!A$10:J508,7,0)*100),"")</f>
        <v/>
      </c>
      <c r="F1381" s="493" t="str">
        <f ca="1">IFERROR(IF(VLOOKUP(C1381,' Disaggregation - Section E '!A$10:N508,5,0)=0,"",VLOOKUP(C1381,' Disaggregation - Section E '!A$10:N508,5,0)),"")</f>
        <v/>
      </c>
      <c r="G1381" s="492" t="str">
        <f ca="1">IFERROR(IF(VLOOKUP(C1381,' Disaggregation - Section E '!A$10:N508,6,0)=0,"",VLOOKUP(C1381,' Disaggregation - Section E '!A$10:N508,6,0)),"")</f>
        <v/>
      </c>
      <c r="H1381" s="502" t="str">
        <f ca="1">IFERROR(IF(INDEX(' Disaggregation - Section E '!F$10:F508,MATCH(C1381,' Disaggregation - Section E '!A$10:A508,0)+1,1)&lt;&gt;0,INDEX(' Disaggregation - Section E '!F$10:F508,MATCH(C1381,' Disaggregation - Section E '!A$10:A508,0)+1,1),""),"")</f>
        <v/>
      </c>
      <c r="I1381" s="493" t="str">
        <f ca="1">IFERROR(IF(VLOOKUP(C1381,' Disaggregation - Section E '!A$10:N508,8,0)=0,"",VLOOKUP(C1381,' Disaggregation - Section E '!A$10:N508,8,0)),"")</f>
        <v/>
      </c>
      <c r="J1381" s="493" t="str">
        <f ca="1">IFERROR(IF(VLOOKUP(C1381,' Disaggregation - Section E '!A$10:N508,13,0)=0,"",VLOOKUP(C1381,' Disaggregation - Section E '!A$10:N508,13,0)),"")</f>
        <v/>
      </c>
      <c r="K1381" s="487" t="str">
        <f ca="1">IFERROR(VLOOKUP(C1381,' Disaggregation - Section E '!A$10:N508,3,0),"")</f>
        <v/>
      </c>
      <c r="L1381" s="493" t="str">
        <f ca="1">IFERROR(IF(VLOOKUP(C1381,' Disaggregation - Section E '!A$10:N508,14,0)=0,"",VLOOKUP(C1381,' Disaggregation - Section E '!A$10:N508,14,0)),"")</f>
        <v/>
      </c>
      <c r="M1381" s="487" t="str">
        <f ca="1">IFERROR(IF(VLOOKUP(C1381,' Disaggregation - Section E '!A$10:T508,20,0)=0,"",VLOOKUP(C1381,' Disaggregation - Section E '!A$10:T508,20,0)),"")</f>
        <v/>
      </c>
      <c r="N1381" s="493" t="str">
        <f ca="1">IFERROR(IF(VLOOKUP(C1381,' Disaggregation - Section E '!A$10:N508,9,0)=0,"",VLOOKUP(C1381,' Disaggregation - Section E '!A$10:N508,9,0)),"")</f>
        <v/>
      </c>
      <c r="O1381" s="493" t="str">
        <f ca="1">IFERROR(IF(VLOOKUP(C1381,' Disaggregation - Section E '!A$10:N508,10,0)=0,"",VLOOKUP(C1381,' Disaggregation - Section E '!A$10:N508,10,0)),"")</f>
        <v/>
      </c>
    </row>
    <row r="1382" spans="1:15" x14ac:dyDescent="0.3">
      <c r="A1382" s="487" t="b">
        <f t="shared" ca="1" si="145"/>
        <v>0</v>
      </c>
      <c r="B1382" s="487"/>
      <c r="C1382" s="507" t="str">
        <f ca="1">IF(COUNTA(D$1181:D1382)=1,"",OFFSET(B1382,-COUNTA(D$1181:D1382)+1,1))</f>
        <v>a1G3p000003GJ4REAW</v>
      </c>
      <c r="D1382" s="502"/>
      <c r="E1382" s="490" t="str">
        <f ca="1">IFERROR(IF(VLOOKUP(C1382,' Disaggregation - Section E '!A$10:J509,7,0)=0,"",VLOOKUP(C1382,' Disaggregation - Section E '!A$10:J509,7,0)*100),"")</f>
        <v/>
      </c>
      <c r="F1382" s="493" t="str">
        <f ca="1">IFERROR(IF(VLOOKUP(C1382,' Disaggregation - Section E '!A$10:N509,5,0)=0,"",VLOOKUP(C1382,' Disaggregation - Section E '!A$10:N509,5,0)),"")</f>
        <v/>
      </c>
      <c r="G1382" s="492" t="str">
        <f ca="1">IFERROR(IF(VLOOKUP(C1382,' Disaggregation - Section E '!A$10:N509,6,0)=0,"",VLOOKUP(C1382,' Disaggregation - Section E '!A$10:N509,6,0)),"")</f>
        <v/>
      </c>
      <c r="H1382" s="502" t="str">
        <f ca="1">IFERROR(IF(INDEX(' Disaggregation - Section E '!F$10:F509,MATCH(C1382,' Disaggregation - Section E '!A$10:A509,0)+1,1)&lt;&gt;0,INDEX(' Disaggregation - Section E '!F$10:F509,MATCH(C1382,' Disaggregation - Section E '!A$10:A509,0)+1,1),""),"")</f>
        <v/>
      </c>
      <c r="I1382" s="493" t="str">
        <f ca="1">IFERROR(IF(VLOOKUP(C1382,' Disaggregation - Section E '!A$10:N509,8,0)=0,"",VLOOKUP(C1382,' Disaggregation - Section E '!A$10:N509,8,0)),"")</f>
        <v/>
      </c>
      <c r="J1382" s="493" t="str">
        <f ca="1">IFERROR(IF(VLOOKUP(C1382,' Disaggregation - Section E '!A$10:N509,13,0)=0,"",VLOOKUP(C1382,' Disaggregation - Section E '!A$10:N509,13,0)),"")</f>
        <v/>
      </c>
      <c r="K1382" s="487" t="str">
        <f ca="1">IFERROR(VLOOKUP(C1382,' Disaggregation - Section E '!A$10:N509,3,0),"")</f>
        <v/>
      </c>
      <c r="L1382" s="493" t="str">
        <f ca="1">IFERROR(IF(VLOOKUP(C1382,' Disaggregation - Section E '!A$10:N509,14,0)=0,"",VLOOKUP(C1382,' Disaggregation - Section E '!A$10:N509,14,0)),"")</f>
        <v/>
      </c>
      <c r="M1382" s="487" t="str">
        <f ca="1">IFERROR(IF(VLOOKUP(C1382,' Disaggregation - Section E '!A$10:T509,20,0)=0,"",VLOOKUP(C1382,' Disaggregation - Section E '!A$10:T509,20,0)),"")</f>
        <v/>
      </c>
      <c r="N1382" s="493" t="str">
        <f ca="1">IFERROR(IF(VLOOKUP(C1382,' Disaggregation - Section E '!A$10:N509,9,0)=0,"",VLOOKUP(C1382,' Disaggregation - Section E '!A$10:N509,9,0)),"")</f>
        <v/>
      </c>
      <c r="O1382" s="493" t="str">
        <f ca="1">IFERROR(IF(VLOOKUP(C1382,' Disaggregation - Section E '!A$10:N509,10,0)=0,"",VLOOKUP(C1382,' Disaggregation - Section E '!A$10:N509,10,0)),"")</f>
        <v/>
      </c>
    </row>
    <row r="1383" spans="1:15" x14ac:dyDescent="0.3">
      <c r="A1383" s="487" t="b">
        <f t="shared" ca="1" si="145"/>
        <v>0</v>
      </c>
      <c r="B1383" s="487"/>
      <c r="C1383" s="507" t="str">
        <f ca="1">IF(COUNTA(D$1181:D1383)=1,"",OFFSET(B1383,-COUNTA(D$1181:D1383)+1,1))</f>
        <v>a1G3p000003GJ4SEAW</v>
      </c>
      <c r="D1383" s="502"/>
      <c r="E1383" s="490" t="str">
        <f ca="1">IFERROR(IF(VLOOKUP(C1383,' Disaggregation - Section E '!A$10:J510,7,0)=0,"",VLOOKUP(C1383,' Disaggregation - Section E '!A$10:J510,7,0)*100),"")</f>
        <v/>
      </c>
      <c r="F1383" s="493" t="str">
        <f ca="1">IFERROR(IF(VLOOKUP(C1383,' Disaggregation - Section E '!A$10:N510,5,0)=0,"",VLOOKUP(C1383,' Disaggregation - Section E '!A$10:N510,5,0)),"")</f>
        <v/>
      </c>
      <c r="G1383" s="492" t="str">
        <f ca="1">IFERROR(IF(VLOOKUP(C1383,' Disaggregation - Section E '!A$10:N510,6,0)=0,"",VLOOKUP(C1383,' Disaggregation - Section E '!A$10:N510,6,0)),"")</f>
        <v/>
      </c>
      <c r="H1383" s="502" t="str">
        <f ca="1">IFERROR(IF(INDEX(' Disaggregation - Section E '!F$10:F510,MATCH(C1383,' Disaggregation - Section E '!A$10:A510,0)+1,1)&lt;&gt;0,INDEX(' Disaggregation - Section E '!F$10:F510,MATCH(C1383,' Disaggregation - Section E '!A$10:A510,0)+1,1),""),"")</f>
        <v/>
      </c>
      <c r="I1383" s="493" t="str">
        <f ca="1">IFERROR(IF(VLOOKUP(C1383,' Disaggregation - Section E '!A$10:N510,8,0)=0,"",VLOOKUP(C1383,' Disaggregation - Section E '!A$10:N510,8,0)),"")</f>
        <v/>
      </c>
      <c r="J1383" s="493" t="str">
        <f ca="1">IFERROR(IF(VLOOKUP(C1383,' Disaggregation - Section E '!A$10:N510,13,0)=0,"",VLOOKUP(C1383,' Disaggregation - Section E '!A$10:N510,13,0)),"")</f>
        <v/>
      </c>
      <c r="K1383" s="487" t="str">
        <f ca="1">IFERROR(VLOOKUP(C1383,' Disaggregation - Section E '!A$10:N510,3,0),"")</f>
        <v/>
      </c>
      <c r="L1383" s="493" t="str">
        <f ca="1">IFERROR(IF(VLOOKUP(C1383,' Disaggregation - Section E '!A$10:N510,14,0)=0,"",VLOOKUP(C1383,' Disaggregation - Section E '!A$10:N510,14,0)),"")</f>
        <v/>
      </c>
      <c r="M1383" s="487" t="str">
        <f ca="1">IFERROR(IF(VLOOKUP(C1383,' Disaggregation - Section E '!A$10:T510,20,0)=0,"",VLOOKUP(C1383,' Disaggregation - Section E '!A$10:T510,20,0)),"")</f>
        <v/>
      </c>
      <c r="N1383" s="493" t="str">
        <f ca="1">IFERROR(IF(VLOOKUP(C1383,' Disaggregation - Section E '!A$10:N510,9,0)=0,"",VLOOKUP(C1383,' Disaggregation - Section E '!A$10:N510,9,0)),"")</f>
        <v/>
      </c>
      <c r="O1383" s="493" t="str">
        <f ca="1">IFERROR(IF(VLOOKUP(C1383,' Disaggregation - Section E '!A$10:N510,10,0)=0,"",VLOOKUP(C1383,' Disaggregation - Section E '!A$10:N510,10,0)),"")</f>
        <v/>
      </c>
    </row>
    <row r="1384" spans="1:15" x14ac:dyDescent="0.3">
      <c r="A1384" s="487" t="b">
        <f t="shared" ca="1" si="145"/>
        <v>0</v>
      </c>
      <c r="B1384" s="487"/>
      <c r="C1384" s="507" t="str">
        <f ca="1">IF(COUNTA(D$1181:D1384)=1,"",OFFSET(B1384,-COUNTA(D$1181:D1384)+1,1))</f>
        <v>a1G3p000003GJ4TEAW</v>
      </c>
      <c r="D1384" s="502"/>
      <c r="E1384" s="490" t="str">
        <f ca="1">IFERROR(IF(VLOOKUP(C1384,' Disaggregation - Section E '!A$10:J511,7,0)=0,"",VLOOKUP(C1384,' Disaggregation - Section E '!A$10:J511,7,0)*100),"")</f>
        <v/>
      </c>
      <c r="F1384" s="493" t="str">
        <f ca="1">IFERROR(IF(VLOOKUP(C1384,' Disaggregation - Section E '!A$10:N511,5,0)=0,"",VLOOKUP(C1384,' Disaggregation - Section E '!A$10:N511,5,0)),"")</f>
        <v/>
      </c>
      <c r="G1384" s="492" t="str">
        <f ca="1">IFERROR(IF(VLOOKUP(C1384,' Disaggregation - Section E '!A$10:N511,6,0)=0,"",VLOOKUP(C1384,' Disaggregation - Section E '!A$10:N511,6,0)),"")</f>
        <v/>
      </c>
      <c r="H1384" s="502" t="str">
        <f ca="1">IFERROR(IF(INDEX(' Disaggregation - Section E '!F$10:F511,MATCH(C1384,' Disaggregation - Section E '!A$10:A511,0)+1,1)&lt;&gt;0,INDEX(' Disaggregation - Section E '!F$10:F511,MATCH(C1384,' Disaggregation - Section E '!A$10:A511,0)+1,1),""),"")</f>
        <v/>
      </c>
      <c r="I1384" s="493" t="str">
        <f ca="1">IFERROR(IF(VLOOKUP(C1384,' Disaggregation - Section E '!A$10:N511,8,0)=0,"",VLOOKUP(C1384,' Disaggregation - Section E '!A$10:N511,8,0)),"")</f>
        <v/>
      </c>
      <c r="J1384" s="493" t="str">
        <f ca="1">IFERROR(IF(VLOOKUP(C1384,' Disaggregation - Section E '!A$10:N511,13,0)=0,"",VLOOKUP(C1384,' Disaggregation - Section E '!A$10:N511,13,0)),"")</f>
        <v/>
      </c>
      <c r="K1384" s="487" t="str">
        <f ca="1">IFERROR(VLOOKUP(C1384,' Disaggregation - Section E '!A$10:N511,3,0),"")</f>
        <v/>
      </c>
      <c r="L1384" s="493" t="str">
        <f ca="1">IFERROR(IF(VLOOKUP(C1384,' Disaggregation - Section E '!A$10:N511,14,0)=0,"",VLOOKUP(C1384,' Disaggregation - Section E '!A$10:N511,14,0)),"")</f>
        <v/>
      </c>
      <c r="M1384" s="487" t="str">
        <f ca="1">IFERROR(IF(VLOOKUP(C1384,' Disaggregation - Section E '!A$10:T511,20,0)=0,"",VLOOKUP(C1384,' Disaggregation - Section E '!A$10:T511,20,0)),"")</f>
        <v/>
      </c>
      <c r="N1384" s="493" t="str">
        <f ca="1">IFERROR(IF(VLOOKUP(C1384,' Disaggregation - Section E '!A$10:N511,9,0)=0,"",VLOOKUP(C1384,' Disaggregation - Section E '!A$10:N511,9,0)),"")</f>
        <v/>
      </c>
      <c r="O1384" s="493" t="str">
        <f ca="1">IFERROR(IF(VLOOKUP(C1384,' Disaggregation - Section E '!A$10:N511,10,0)=0,"",VLOOKUP(C1384,' Disaggregation - Section E '!A$10:N511,10,0)),"")</f>
        <v/>
      </c>
    </row>
    <row r="1385" spans="1:15" x14ac:dyDescent="0.3">
      <c r="A1385" s="487" t="b">
        <f t="shared" ca="1" si="145"/>
        <v>0</v>
      </c>
      <c r="B1385" s="487"/>
      <c r="C1385" s="507" t="str">
        <f ca="1">IF(COUNTA(D$1181:D1385)=1,"",OFFSET(B1385,-COUNTA(D$1181:D1385)+1,1))</f>
        <v>a1G3p000003GJ4UEAW</v>
      </c>
      <c r="D1385" s="502"/>
      <c r="E1385" s="490" t="str">
        <f ca="1">IFERROR(IF(VLOOKUP(C1385,' Disaggregation - Section E '!A$10:J512,7,0)=0,"",VLOOKUP(C1385,' Disaggregation - Section E '!A$10:J512,7,0)*100),"")</f>
        <v/>
      </c>
      <c r="F1385" s="493" t="str">
        <f ca="1">IFERROR(IF(VLOOKUP(C1385,' Disaggregation - Section E '!A$10:N512,5,0)=0,"",VLOOKUP(C1385,' Disaggregation - Section E '!A$10:N512,5,0)),"")</f>
        <v/>
      </c>
      <c r="G1385" s="492" t="str">
        <f ca="1">IFERROR(IF(VLOOKUP(C1385,' Disaggregation - Section E '!A$10:N512,6,0)=0,"",VLOOKUP(C1385,' Disaggregation - Section E '!A$10:N512,6,0)),"")</f>
        <v/>
      </c>
      <c r="H1385" s="502" t="str">
        <f ca="1">IFERROR(IF(INDEX(' Disaggregation - Section E '!F$10:F512,MATCH(C1385,' Disaggregation - Section E '!A$10:A512,0)+1,1)&lt;&gt;0,INDEX(' Disaggregation - Section E '!F$10:F512,MATCH(C1385,' Disaggregation - Section E '!A$10:A512,0)+1,1),""),"")</f>
        <v/>
      </c>
      <c r="I1385" s="493" t="str">
        <f ca="1">IFERROR(IF(VLOOKUP(C1385,' Disaggregation - Section E '!A$10:N512,8,0)=0,"",VLOOKUP(C1385,' Disaggregation - Section E '!A$10:N512,8,0)),"")</f>
        <v/>
      </c>
      <c r="J1385" s="493" t="str">
        <f ca="1">IFERROR(IF(VLOOKUP(C1385,' Disaggregation - Section E '!A$10:N512,13,0)=0,"",VLOOKUP(C1385,' Disaggregation - Section E '!A$10:N512,13,0)),"")</f>
        <v/>
      </c>
      <c r="K1385" s="487" t="str">
        <f ca="1">IFERROR(VLOOKUP(C1385,' Disaggregation - Section E '!A$10:N512,3,0),"")</f>
        <v/>
      </c>
      <c r="L1385" s="493" t="str">
        <f ca="1">IFERROR(IF(VLOOKUP(C1385,' Disaggregation - Section E '!A$10:N512,14,0)=0,"",VLOOKUP(C1385,' Disaggregation - Section E '!A$10:N512,14,0)),"")</f>
        <v/>
      </c>
      <c r="M1385" s="487" t="str">
        <f ca="1">IFERROR(IF(VLOOKUP(C1385,' Disaggregation - Section E '!A$10:T512,20,0)=0,"",VLOOKUP(C1385,' Disaggregation - Section E '!A$10:T512,20,0)),"")</f>
        <v/>
      </c>
      <c r="N1385" s="493" t="str">
        <f ca="1">IFERROR(IF(VLOOKUP(C1385,' Disaggregation - Section E '!A$10:N512,9,0)=0,"",VLOOKUP(C1385,' Disaggregation - Section E '!A$10:N512,9,0)),"")</f>
        <v/>
      </c>
      <c r="O1385" s="493" t="str">
        <f ca="1">IFERROR(IF(VLOOKUP(C1385,' Disaggregation - Section E '!A$10:N512,10,0)=0,"",VLOOKUP(C1385,' Disaggregation - Section E '!A$10:N512,10,0)),"")</f>
        <v/>
      </c>
    </row>
    <row r="1386" spans="1:15" x14ac:dyDescent="0.3">
      <c r="A1386" s="487" t="b">
        <f t="shared" ca="1" si="145"/>
        <v>0</v>
      </c>
      <c r="B1386" s="487"/>
      <c r="C1386" s="507" t="str">
        <f ca="1">IF(COUNTA(D$1181:D1386)=1,"",OFFSET(B1386,-COUNTA(D$1181:D1386)+1,1))</f>
        <v>a1G3p000003GJ4VEAW</v>
      </c>
      <c r="D1386" s="502"/>
      <c r="E1386" s="490" t="str">
        <f ca="1">IFERROR(IF(VLOOKUP(C1386,' Disaggregation - Section E '!A$10:J513,7,0)=0,"",VLOOKUP(C1386,' Disaggregation - Section E '!A$10:J513,7,0)*100),"")</f>
        <v/>
      </c>
      <c r="F1386" s="493" t="str">
        <f ca="1">IFERROR(IF(VLOOKUP(C1386,' Disaggregation - Section E '!A$10:N513,5,0)=0,"",VLOOKUP(C1386,' Disaggregation - Section E '!A$10:N513,5,0)),"")</f>
        <v/>
      </c>
      <c r="G1386" s="492" t="str">
        <f ca="1">IFERROR(IF(VLOOKUP(C1386,' Disaggregation - Section E '!A$10:N513,6,0)=0,"",VLOOKUP(C1386,' Disaggregation - Section E '!A$10:N513,6,0)),"")</f>
        <v/>
      </c>
      <c r="H1386" s="502" t="str">
        <f ca="1">IFERROR(IF(INDEX(' Disaggregation - Section E '!F$10:F513,MATCH(C1386,' Disaggregation - Section E '!A$10:A513,0)+1,1)&lt;&gt;0,INDEX(' Disaggregation - Section E '!F$10:F513,MATCH(C1386,' Disaggregation - Section E '!A$10:A513,0)+1,1),""),"")</f>
        <v/>
      </c>
      <c r="I1386" s="493" t="str">
        <f ca="1">IFERROR(IF(VLOOKUP(C1386,' Disaggregation - Section E '!A$10:N513,8,0)=0,"",VLOOKUP(C1386,' Disaggregation - Section E '!A$10:N513,8,0)),"")</f>
        <v/>
      </c>
      <c r="J1386" s="493" t="str">
        <f ca="1">IFERROR(IF(VLOOKUP(C1386,' Disaggregation - Section E '!A$10:N513,13,0)=0,"",VLOOKUP(C1386,' Disaggregation - Section E '!A$10:N513,13,0)),"")</f>
        <v/>
      </c>
      <c r="K1386" s="487" t="str">
        <f ca="1">IFERROR(VLOOKUP(C1386,' Disaggregation - Section E '!A$10:N513,3,0),"")</f>
        <v/>
      </c>
      <c r="L1386" s="493" t="str">
        <f ca="1">IFERROR(IF(VLOOKUP(C1386,' Disaggregation - Section E '!A$10:N513,14,0)=0,"",VLOOKUP(C1386,' Disaggregation - Section E '!A$10:N513,14,0)),"")</f>
        <v/>
      </c>
      <c r="M1386" s="487" t="str">
        <f ca="1">IFERROR(IF(VLOOKUP(C1386,' Disaggregation - Section E '!A$10:T513,20,0)=0,"",VLOOKUP(C1386,' Disaggregation - Section E '!A$10:T513,20,0)),"")</f>
        <v/>
      </c>
      <c r="N1386" s="493" t="str">
        <f ca="1">IFERROR(IF(VLOOKUP(C1386,' Disaggregation - Section E '!A$10:N513,9,0)=0,"",VLOOKUP(C1386,' Disaggregation - Section E '!A$10:N513,9,0)),"")</f>
        <v/>
      </c>
      <c r="O1386" s="493" t="str">
        <f ca="1">IFERROR(IF(VLOOKUP(C1386,' Disaggregation - Section E '!A$10:N513,10,0)=0,"",VLOOKUP(C1386,' Disaggregation - Section E '!A$10:N513,10,0)),"")</f>
        <v/>
      </c>
    </row>
    <row r="1387" spans="1:15" x14ac:dyDescent="0.3">
      <c r="A1387" s="487" t="b">
        <f t="shared" ca="1" si="145"/>
        <v>0</v>
      </c>
      <c r="B1387" s="487"/>
      <c r="C1387" s="507" t="str">
        <f ca="1">IF(COUNTA(D$1181:D1387)=1,"",OFFSET(B1387,-COUNTA(D$1181:D1387)+1,1))</f>
        <v>a1G3p000003GJ4WEAW</v>
      </c>
      <c r="D1387" s="502"/>
      <c r="E1387" s="490" t="str">
        <f ca="1">IFERROR(IF(VLOOKUP(C1387,' Disaggregation - Section E '!A$10:J514,7,0)=0,"",VLOOKUP(C1387,' Disaggregation - Section E '!A$10:J514,7,0)*100),"")</f>
        <v/>
      </c>
      <c r="F1387" s="493" t="str">
        <f ca="1">IFERROR(IF(VLOOKUP(C1387,' Disaggregation - Section E '!A$10:N514,5,0)=0,"",VLOOKUP(C1387,' Disaggregation - Section E '!A$10:N514,5,0)),"")</f>
        <v/>
      </c>
      <c r="G1387" s="492" t="str">
        <f ca="1">IFERROR(IF(VLOOKUP(C1387,' Disaggregation - Section E '!A$10:N514,6,0)=0,"",VLOOKUP(C1387,' Disaggregation - Section E '!A$10:N514,6,0)),"")</f>
        <v/>
      </c>
      <c r="H1387" s="502" t="str">
        <f ca="1">IFERROR(IF(INDEX(' Disaggregation - Section E '!F$10:F514,MATCH(C1387,' Disaggregation - Section E '!A$10:A514,0)+1,1)&lt;&gt;0,INDEX(' Disaggregation - Section E '!F$10:F514,MATCH(C1387,' Disaggregation - Section E '!A$10:A514,0)+1,1),""),"")</f>
        <v/>
      </c>
      <c r="I1387" s="493" t="str">
        <f ca="1">IFERROR(IF(VLOOKUP(C1387,' Disaggregation - Section E '!A$10:N514,8,0)=0,"",VLOOKUP(C1387,' Disaggregation - Section E '!A$10:N514,8,0)),"")</f>
        <v/>
      </c>
      <c r="J1387" s="493" t="str">
        <f ca="1">IFERROR(IF(VLOOKUP(C1387,' Disaggregation - Section E '!A$10:N514,13,0)=0,"",VLOOKUP(C1387,' Disaggregation - Section E '!A$10:N514,13,0)),"")</f>
        <v/>
      </c>
      <c r="K1387" s="487" t="str">
        <f ca="1">IFERROR(VLOOKUP(C1387,' Disaggregation - Section E '!A$10:N514,3,0),"")</f>
        <v/>
      </c>
      <c r="L1387" s="493" t="str">
        <f ca="1">IFERROR(IF(VLOOKUP(C1387,' Disaggregation - Section E '!A$10:N514,14,0)=0,"",VLOOKUP(C1387,' Disaggregation - Section E '!A$10:N514,14,0)),"")</f>
        <v/>
      </c>
      <c r="M1387" s="487" t="str">
        <f ca="1">IFERROR(IF(VLOOKUP(C1387,' Disaggregation - Section E '!A$10:T514,20,0)=0,"",VLOOKUP(C1387,' Disaggregation - Section E '!A$10:T514,20,0)),"")</f>
        <v/>
      </c>
      <c r="N1387" s="493" t="str">
        <f ca="1">IFERROR(IF(VLOOKUP(C1387,' Disaggregation - Section E '!A$10:N514,9,0)=0,"",VLOOKUP(C1387,' Disaggregation - Section E '!A$10:N514,9,0)),"")</f>
        <v/>
      </c>
      <c r="O1387" s="493" t="str">
        <f ca="1">IFERROR(IF(VLOOKUP(C1387,' Disaggregation - Section E '!A$10:N514,10,0)=0,"",VLOOKUP(C1387,' Disaggregation - Section E '!A$10:N514,10,0)),"")</f>
        <v/>
      </c>
    </row>
    <row r="1388" spans="1:15" x14ac:dyDescent="0.3">
      <c r="A1388" s="487" t="b">
        <f t="shared" ca="1" si="145"/>
        <v>0</v>
      </c>
      <c r="B1388" s="487"/>
      <c r="C1388" s="507" t="str">
        <f ca="1">IF(COUNTA(D$1181:D1388)=1,"",OFFSET(B1388,-COUNTA(D$1181:D1388)+1,1))</f>
        <v>a1G3p000003GJ4XEAW</v>
      </c>
      <c r="D1388" s="502"/>
      <c r="E1388" s="490" t="str">
        <f ca="1">IFERROR(IF(VLOOKUP(C1388,' Disaggregation - Section E '!A$10:J515,7,0)=0,"",VLOOKUP(C1388,' Disaggregation - Section E '!A$10:J515,7,0)*100),"")</f>
        <v/>
      </c>
      <c r="F1388" s="493" t="str">
        <f ca="1">IFERROR(IF(VLOOKUP(C1388,' Disaggregation - Section E '!A$10:N515,5,0)=0,"",VLOOKUP(C1388,' Disaggregation - Section E '!A$10:N515,5,0)),"")</f>
        <v/>
      </c>
      <c r="G1388" s="492" t="str">
        <f ca="1">IFERROR(IF(VLOOKUP(C1388,' Disaggregation - Section E '!A$10:N515,6,0)=0,"",VLOOKUP(C1388,' Disaggregation - Section E '!A$10:N515,6,0)),"")</f>
        <v/>
      </c>
      <c r="H1388" s="502" t="str">
        <f ca="1">IFERROR(IF(INDEX(' Disaggregation - Section E '!F$10:F515,MATCH(C1388,' Disaggregation - Section E '!A$10:A515,0)+1,1)&lt;&gt;0,INDEX(' Disaggregation - Section E '!F$10:F515,MATCH(C1388,' Disaggregation - Section E '!A$10:A515,0)+1,1),""),"")</f>
        <v/>
      </c>
      <c r="I1388" s="493" t="str">
        <f ca="1">IFERROR(IF(VLOOKUP(C1388,' Disaggregation - Section E '!A$10:N515,8,0)=0,"",VLOOKUP(C1388,' Disaggregation - Section E '!A$10:N515,8,0)),"")</f>
        <v/>
      </c>
      <c r="J1388" s="493" t="str">
        <f ca="1">IFERROR(IF(VLOOKUP(C1388,' Disaggregation - Section E '!A$10:N515,13,0)=0,"",VLOOKUP(C1388,' Disaggregation - Section E '!A$10:N515,13,0)),"")</f>
        <v/>
      </c>
      <c r="K1388" s="487" t="str">
        <f ca="1">IFERROR(VLOOKUP(C1388,' Disaggregation - Section E '!A$10:N515,3,0),"")</f>
        <v/>
      </c>
      <c r="L1388" s="493" t="str">
        <f ca="1">IFERROR(IF(VLOOKUP(C1388,' Disaggregation - Section E '!A$10:N515,14,0)=0,"",VLOOKUP(C1388,' Disaggregation - Section E '!A$10:N515,14,0)),"")</f>
        <v/>
      </c>
      <c r="M1388" s="487" t="str">
        <f ca="1">IFERROR(IF(VLOOKUP(C1388,' Disaggregation - Section E '!A$10:T515,20,0)=0,"",VLOOKUP(C1388,' Disaggregation - Section E '!A$10:T515,20,0)),"")</f>
        <v/>
      </c>
      <c r="N1388" s="493" t="str">
        <f ca="1">IFERROR(IF(VLOOKUP(C1388,' Disaggregation - Section E '!A$10:N515,9,0)=0,"",VLOOKUP(C1388,' Disaggregation - Section E '!A$10:N515,9,0)),"")</f>
        <v/>
      </c>
      <c r="O1388" s="493" t="str">
        <f ca="1">IFERROR(IF(VLOOKUP(C1388,' Disaggregation - Section E '!A$10:N515,10,0)=0,"",VLOOKUP(C1388,' Disaggregation - Section E '!A$10:N515,10,0)),"")</f>
        <v/>
      </c>
    </row>
    <row r="1389" spans="1:15" x14ac:dyDescent="0.3">
      <c r="A1389" s="487" t="b">
        <f t="shared" ca="1" si="145"/>
        <v>0</v>
      </c>
      <c r="B1389" s="487"/>
      <c r="C1389" s="507" t="str">
        <f ca="1">IF(COUNTA(D$1181:D1389)=1,"",OFFSET(B1389,-COUNTA(D$1181:D1389)+1,1))</f>
        <v>a1G3p000003GJ4YEAW</v>
      </c>
      <c r="D1389" s="502"/>
      <c r="E1389" s="490" t="str">
        <f ca="1">IFERROR(IF(VLOOKUP(C1389,' Disaggregation - Section E '!A$10:J516,7,0)=0,"",VLOOKUP(C1389,' Disaggregation - Section E '!A$10:J516,7,0)*100),"")</f>
        <v/>
      </c>
      <c r="F1389" s="493" t="str">
        <f ca="1">IFERROR(IF(VLOOKUP(C1389,' Disaggregation - Section E '!A$10:N516,5,0)=0,"",VLOOKUP(C1389,' Disaggregation - Section E '!A$10:N516,5,0)),"")</f>
        <v/>
      </c>
      <c r="G1389" s="492" t="str">
        <f ca="1">IFERROR(IF(VLOOKUP(C1389,' Disaggregation - Section E '!A$10:N516,6,0)=0,"",VLOOKUP(C1389,' Disaggregation - Section E '!A$10:N516,6,0)),"")</f>
        <v/>
      </c>
      <c r="H1389" s="502" t="str">
        <f ca="1">IFERROR(IF(INDEX(' Disaggregation - Section E '!F$10:F516,MATCH(C1389,' Disaggregation - Section E '!A$10:A516,0)+1,1)&lt;&gt;0,INDEX(' Disaggregation - Section E '!F$10:F516,MATCH(C1389,' Disaggregation - Section E '!A$10:A516,0)+1,1),""),"")</f>
        <v/>
      </c>
      <c r="I1389" s="493" t="str">
        <f ca="1">IFERROR(IF(VLOOKUP(C1389,' Disaggregation - Section E '!A$10:N516,8,0)=0,"",VLOOKUP(C1389,' Disaggregation - Section E '!A$10:N516,8,0)),"")</f>
        <v/>
      </c>
      <c r="J1389" s="493" t="str">
        <f ca="1">IFERROR(IF(VLOOKUP(C1389,' Disaggregation - Section E '!A$10:N516,13,0)=0,"",VLOOKUP(C1389,' Disaggregation - Section E '!A$10:N516,13,0)),"")</f>
        <v/>
      </c>
      <c r="K1389" s="487" t="str">
        <f ca="1">IFERROR(VLOOKUP(C1389,' Disaggregation - Section E '!A$10:N516,3,0),"")</f>
        <v/>
      </c>
      <c r="L1389" s="493" t="str">
        <f ca="1">IFERROR(IF(VLOOKUP(C1389,' Disaggregation - Section E '!A$10:N516,14,0)=0,"",VLOOKUP(C1389,' Disaggregation - Section E '!A$10:N516,14,0)),"")</f>
        <v/>
      </c>
      <c r="M1389" s="487" t="str">
        <f ca="1">IFERROR(IF(VLOOKUP(C1389,' Disaggregation - Section E '!A$10:T516,20,0)=0,"",VLOOKUP(C1389,' Disaggregation - Section E '!A$10:T516,20,0)),"")</f>
        <v/>
      </c>
      <c r="N1389" s="493" t="str">
        <f ca="1">IFERROR(IF(VLOOKUP(C1389,' Disaggregation - Section E '!A$10:N516,9,0)=0,"",VLOOKUP(C1389,' Disaggregation - Section E '!A$10:N516,9,0)),"")</f>
        <v/>
      </c>
      <c r="O1389" s="493" t="str">
        <f ca="1">IFERROR(IF(VLOOKUP(C1389,' Disaggregation - Section E '!A$10:N516,10,0)=0,"",VLOOKUP(C1389,' Disaggregation - Section E '!A$10:N516,10,0)),"")</f>
        <v/>
      </c>
    </row>
    <row r="1390" spans="1:15" x14ac:dyDescent="0.3">
      <c r="A1390" s="487" t="b">
        <f t="shared" ca="1" si="145"/>
        <v>0</v>
      </c>
      <c r="B1390" s="487"/>
      <c r="C1390" s="507" t="str">
        <f ca="1">IF(COUNTA(D$1181:D1390)=1,"",OFFSET(B1390,-COUNTA(D$1181:D1390)+1,1))</f>
        <v>a1G3p000003GJ4ZEAW</v>
      </c>
      <c r="D1390" s="502"/>
      <c r="E1390" s="490" t="str">
        <f ca="1">IFERROR(IF(VLOOKUP(C1390,' Disaggregation - Section E '!A$10:J517,7,0)=0,"",VLOOKUP(C1390,' Disaggregation - Section E '!A$10:J517,7,0)*100),"")</f>
        <v/>
      </c>
      <c r="F1390" s="493" t="str">
        <f ca="1">IFERROR(IF(VLOOKUP(C1390,' Disaggregation - Section E '!A$10:N517,5,0)=0,"",VLOOKUP(C1390,' Disaggregation - Section E '!A$10:N517,5,0)),"")</f>
        <v/>
      </c>
      <c r="G1390" s="492" t="str">
        <f ca="1">IFERROR(IF(VLOOKUP(C1390,' Disaggregation - Section E '!A$10:N517,6,0)=0,"",VLOOKUP(C1390,' Disaggregation - Section E '!A$10:N517,6,0)),"")</f>
        <v/>
      </c>
      <c r="H1390" s="502" t="str">
        <f ca="1">IFERROR(IF(INDEX(' Disaggregation - Section E '!F$10:F517,MATCH(C1390,' Disaggregation - Section E '!A$10:A517,0)+1,1)&lt;&gt;0,INDEX(' Disaggregation - Section E '!F$10:F517,MATCH(C1390,' Disaggregation - Section E '!A$10:A517,0)+1,1),""),"")</f>
        <v/>
      </c>
      <c r="I1390" s="493" t="str">
        <f ca="1">IFERROR(IF(VLOOKUP(C1390,' Disaggregation - Section E '!A$10:N517,8,0)=0,"",VLOOKUP(C1390,' Disaggregation - Section E '!A$10:N517,8,0)),"")</f>
        <v/>
      </c>
      <c r="J1390" s="493" t="str">
        <f ca="1">IFERROR(IF(VLOOKUP(C1390,' Disaggregation - Section E '!A$10:N517,13,0)=0,"",VLOOKUP(C1390,' Disaggregation - Section E '!A$10:N517,13,0)),"")</f>
        <v/>
      </c>
      <c r="K1390" s="487" t="str">
        <f ca="1">IFERROR(VLOOKUP(C1390,' Disaggregation - Section E '!A$10:N517,3,0),"")</f>
        <v/>
      </c>
      <c r="L1390" s="493" t="str">
        <f ca="1">IFERROR(IF(VLOOKUP(C1390,' Disaggregation - Section E '!A$10:N517,14,0)=0,"",VLOOKUP(C1390,' Disaggregation - Section E '!A$10:N517,14,0)),"")</f>
        <v/>
      </c>
      <c r="M1390" s="487" t="str">
        <f ca="1">IFERROR(IF(VLOOKUP(C1390,' Disaggregation - Section E '!A$10:T517,20,0)=0,"",VLOOKUP(C1390,' Disaggregation - Section E '!A$10:T517,20,0)),"")</f>
        <v/>
      </c>
      <c r="N1390" s="493" t="str">
        <f ca="1">IFERROR(IF(VLOOKUP(C1390,' Disaggregation - Section E '!A$10:N517,9,0)=0,"",VLOOKUP(C1390,' Disaggregation - Section E '!A$10:N517,9,0)),"")</f>
        <v/>
      </c>
      <c r="O1390" s="493" t="str">
        <f ca="1">IFERROR(IF(VLOOKUP(C1390,' Disaggregation - Section E '!A$10:N517,10,0)=0,"",VLOOKUP(C1390,' Disaggregation - Section E '!A$10:N517,10,0)),"")</f>
        <v/>
      </c>
    </row>
    <row r="1391" spans="1:15" x14ac:dyDescent="0.3">
      <c r="A1391" s="487" t="b">
        <f t="shared" ca="1" si="145"/>
        <v>0</v>
      </c>
      <c r="B1391" s="487"/>
      <c r="C1391" s="507" t="str">
        <f ca="1">IF(COUNTA(D$1181:D1391)=1,"",OFFSET(B1391,-COUNTA(D$1181:D1391)+1,1))</f>
        <v>a1G3p000003GJ4aEAG</v>
      </c>
      <c r="D1391" s="502"/>
      <c r="E1391" s="490" t="str">
        <f ca="1">IFERROR(IF(VLOOKUP(C1391,' Disaggregation - Section E '!A$10:J518,7,0)=0,"",VLOOKUP(C1391,' Disaggregation - Section E '!A$10:J518,7,0)*100),"")</f>
        <v/>
      </c>
      <c r="F1391" s="493" t="str">
        <f ca="1">IFERROR(IF(VLOOKUP(C1391,' Disaggregation - Section E '!A$10:N518,5,0)=0,"",VLOOKUP(C1391,' Disaggregation - Section E '!A$10:N518,5,0)),"")</f>
        <v/>
      </c>
      <c r="G1391" s="492" t="str">
        <f ca="1">IFERROR(IF(VLOOKUP(C1391,' Disaggregation - Section E '!A$10:N518,6,0)=0,"",VLOOKUP(C1391,' Disaggregation - Section E '!A$10:N518,6,0)),"")</f>
        <v/>
      </c>
      <c r="H1391" s="502" t="str">
        <f ca="1">IFERROR(IF(INDEX(' Disaggregation - Section E '!F$10:F518,MATCH(C1391,' Disaggregation - Section E '!A$10:A518,0)+1,1)&lt;&gt;0,INDEX(' Disaggregation - Section E '!F$10:F518,MATCH(C1391,' Disaggregation - Section E '!A$10:A518,0)+1,1),""),"")</f>
        <v/>
      </c>
      <c r="I1391" s="493" t="str">
        <f ca="1">IFERROR(IF(VLOOKUP(C1391,' Disaggregation - Section E '!A$10:N518,8,0)=0,"",VLOOKUP(C1391,' Disaggregation - Section E '!A$10:N518,8,0)),"")</f>
        <v/>
      </c>
      <c r="J1391" s="493" t="str">
        <f ca="1">IFERROR(IF(VLOOKUP(C1391,' Disaggregation - Section E '!A$10:N518,13,0)=0,"",VLOOKUP(C1391,' Disaggregation - Section E '!A$10:N518,13,0)),"")</f>
        <v/>
      </c>
      <c r="K1391" s="487" t="str">
        <f ca="1">IFERROR(VLOOKUP(C1391,' Disaggregation - Section E '!A$10:N518,3,0),"")</f>
        <v/>
      </c>
      <c r="L1391" s="493" t="str">
        <f ca="1">IFERROR(IF(VLOOKUP(C1391,' Disaggregation - Section E '!A$10:N518,14,0)=0,"",VLOOKUP(C1391,' Disaggregation - Section E '!A$10:N518,14,0)),"")</f>
        <v/>
      </c>
      <c r="M1391" s="487" t="str">
        <f ca="1">IFERROR(IF(VLOOKUP(C1391,' Disaggregation - Section E '!A$10:T518,20,0)=0,"",VLOOKUP(C1391,' Disaggregation - Section E '!A$10:T518,20,0)),"")</f>
        <v/>
      </c>
      <c r="N1391" s="493" t="str">
        <f ca="1">IFERROR(IF(VLOOKUP(C1391,' Disaggregation - Section E '!A$10:N518,9,0)=0,"",VLOOKUP(C1391,' Disaggregation - Section E '!A$10:N518,9,0)),"")</f>
        <v/>
      </c>
      <c r="O1391" s="493" t="str">
        <f ca="1">IFERROR(IF(VLOOKUP(C1391,' Disaggregation - Section E '!A$10:N518,10,0)=0,"",VLOOKUP(C1391,' Disaggregation - Section E '!A$10:N518,10,0)),"")</f>
        <v/>
      </c>
    </row>
    <row r="1392" spans="1:15" x14ac:dyDescent="0.3">
      <c r="A1392" s="487" t="b">
        <f t="shared" ca="1" si="145"/>
        <v>0</v>
      </c>
      <c r="B1392" s="487"/>
      <c r="C1392" s="507" t="str">
        <f ca="1">IF(COUNTA(D$1181:D1392)=1,"",OFFSET(B1392,-COUNTA(D$1181:D1392)+1,1))</f>
        <v>a1G3p000003GJ4bEAG</v>
      </c>
      <c r="D1392" s="502"/>
      <c r="E1392" s="490" t="str">
        <f ca="1">IFERROR(IF(VLOOKUP(C1392,' Disaggregation - Section E '!A$10:J519,7,0)=0,"",VLOOKUP(C1392,' Disaggregation - Section E '!A$10:J519,7,0)*100),"")</f>
        <v/>
      </c>
      <c r="F1392" s="493" t="str">
        <f ca="1">IFERROR(IF(VLOOKUP(C1392,' Disaggregation - Section E '!A$10:N519,5,0)=0,"",VLOOKUP(C1392,' Disaggregation - Section E '!A$10:N519,5,0)),"")</f>
        <v/>
      </c>
      <c r="G1392" s="492" t="str">
        <f ca="1">IFERROR(IF(VLOOKUP(C1392,' Disaggregation - Section E '!A$10:N519,6,0)=0,"",VLOOKUP(C1392,' Disaggregation - Section E '!A$10:N519,6,0)),"")</f>
        <v/>
      </c>
      <c r="H1392" s="502" t="str">
        <f ca="1">IFERROR(IF(INDEX(' Disaggregation - Section E '!F$10:F519,MATCH(C1392,' Disaggregation - Section E '!A$10:A519,0)+1,1)&lt;&gt;0,INDEX(' Disaggregation - Section E '!F$10:F519,MATCH(C1392,' Disaggregation - Section E '!A$10:A519,0)+1,1),""),"")</f>
        <v/>
      </c>
      <c r="I1392" s="493" t="str">
        <f ca="1">IFERROR(IF(VLOOKUP(C1392,' Disaggregation - Section E '!A$10:N519,8,0)=0,"",VLOOKUP(C1392,' Disaggregation - Section E '!A$10:N519,8,0)),"")</f>
        <v/>
      </c>
      <c r="J1392" s="493" t="str">
        <f ca="1">IFERROR(IF(VLOOKUP(C1392,' Disaggregation - Section E '!A$10:N519,13,0)=0,"",VLOOKUP(C1392,' Disaggregation - Section E '!A$10:N519,13,0)),"")</f>
        <v/>
      </c>
      <c r="K1392" s="487" t="str">
        <f ca="1">IFERROR(VLOOKUP(C1392,' Disaggregation - Section E '!A$10:N519,3,0),"")</f>
        <v/>
      </c>
      <c r="L1392" s="493" t="str">
        <f ca="1">IFERROR(IF(VLOOKUP(C1392,' Disaggregation - Section E '!A$10:N519,14,0)=0,"",VLOOKUP(C1392,' Disaggregation - Section E '!A$10:N519,14,0)),"")</f>
        <v/>
      </c>
      <c r="M1392" s="487" t="str">
        <f ca="1">IFERROR(IF(VLOOKUP(C1392,' Disaggregation - Section E '!A$10:T519,20,0)=0,"",VLOOKUP(C1392,' Disaggregation - Section E '!A$10:T519,20,0)),"")</f>
        <v/>
      </c>
      <c r="N1392" s="493" t="str">
        <f ca="1">IFERROR(IF(VLOOKUP(C1392,' Disaggregation - Section E '!A$10:N519,9,0)=0,"",VLOOKUP(C1392,' Disaggregation - Section E '!A$10:N519,9,0)),"")</f>
        <v/>
      </c>
      <c r="O1392" s="493" t="str">
        <f ca="1">IFERROR(IF(VLOOKUP(C1392,' Disaggregation - Section E '!A$10:N519,10,0)=0,"",VLOOKUP(C1392,' Disaggregation - Section E '!A$10:N519,10,0)),"")</f>
        <v/>
      </c>
    </row>
    <row r="1393" spans="1:15" x14ac:dyDescent="0.3">
      <c r="A1393" s="487" t="b">
        <f t="shared" ca="1" si="145"/>
        <v>0</v>
      </c>
      <c r="B1393" s="487"/>
      <c r="C1393" s="507" t="str">
        <f ca="1">IF(COUNTA(D$1181:D1393)=1,"",OFFSET(B1393,-COUNTA(D$1181:D1393)+1,1))</f>
        <v>a1G3p000003GJ4cEAG</v>
      </c>
      <c r="D1393" s="502"/>
      <c r="E1393" s="490" t="str">
        <f ca="1">IFERROR(IF(VLOOKUP(C1393,' Disaggregation - Section E '!A$10:J520,7,0)=0,"",VLOOKUP(C1393,' Disaggregation - Section E '!A$10:J520,7,0)*100),"")</f>
        <v/>
      </c>
      <c r="F1393" s="493" t="str">
        <f ca="1">IFERROR(IF(VLOOKUP(C1393,' Disaggregation - Section E '!A$10:N520,5,0)=0,"",VLOOKUP(C1393,' Disaggregation - Section E '!A$10:N520,5,0)),"")</f>
        <v/>
      </c>
      <c r="G1393" s="492" t="str">
        <f ca="1">IFERROR(IF(VLOOKUP(C1393,' Disaggregation - Section E '!A$10:N520,6,0)=0,"",VLOOKUP(C1393,' Disaggregation - Section E '!A$10:N520,6,0)),"")</f>
        <v/>
      </c>
      <c r="H1393" s="502" t="str">
        <f ca="1">IFERROR(IF(INDEX(' Disaggregation - Section E '!F$10:F520,MATCH(C1393,' Disaggregation - Section E '!A$10:A520,0)+1,1)&lt;&gt;0,INDEX(' Disaggregation - Section E '!F$10:F520,MATCH(C1393,' Disaggregation - Section E '!A$10:A520,0)+1,1),""),"")</f>
        <v/>
      </c>
      <c r="I1393" s="493" t="str">
        <f ca="1">IFERROR(IF(VLOOKUP(C1393,' Disaggregation - Section E '!A$10:N520,8,0)=0,"",VLOOKUP(C1393,' Disaggregation - Section E '!A$10:N520,8,0)),"")</f>
        <v/>
      </c>
      <c r="J1393" s="493" t="str">
        <f ca="1">IFERROR(IF(VLOOKUP(C1393,' Disaggregation - Section E '!A$10:N520,13,0)=0,"",VLOOKUP(C1393,' Disaggregation - Section E '!A$10:N520,13,0)),"")</f>
        <v/>
      </c>
      <c r="K1393" s="487" t="str">
        <f ca="1">IFERROR(VLOOKUP(C1393,' Disaggregation - Section E '!A$10:N520,3,0),"")</f>
        <v/>
      </c>
      <c r="L1393" s="493" t="str">
        <f ca="1">IFERROR(IF(VLOOKUP(C1393,' Disaggregation - Section E '!A$10:N520,14,0)=0,"",VLOOKUP(C1393,' Disaggregation - Section E '!A$10:N520,14,0)),"")</f>
        <v/>
      </c>
      <c r="M1393" s="487" t="str">
        <f ca="1">IFERROR(IF(VLOOKUP(C1393,' Disaggregation - Section E '!A$10:T520,20,0)=0,"",VLOOKUP(C1393,' Disaggregation - Section E '!A$10:T520,20,0)),"")</f>
        <v/>
      </c>
      <c r="N1393" s="493" t="str">
        <f ca="1">IFERROR(IF(VLOOKUP(C1393,' Disaggregation - Section E '!A$10:N520,9,0)=0,"",VLOOKUP(C1393,' Disaggregation - Section E '!A$10:N520,9,0)),"")</f>
        <v/>
      </c>
      <c r="O1393" s="493" t="str">
        <f ca="1">IFERROR(IF(VLOOKUP(C1393,' Disaggregation - Section E '!A$10:N520,10,0)=0,"",VLOOKUP(C1393,' Disaggregation - Section E '!A$10:N520,10,0)),"")</f>
        <v/>
      </c>
    </row>
    <row r="1394" spans="1:15" x14ac:dyDescent="0.3">
      <c r="A1394" s="487" t="b">
        <f t="shared" ca="1" si="145"/>
        <v>0</v>
      </c>
      <c r="B1394" s="487"/>
      <c r="C1394" s="507" t="str">
        <f ca="1">IF(COUNTA(D$1181:D1394)=1,"",OFFSET(B1394,-COUNTA(D$1181:D1394)+1,1))</f>
        <v>a1G3p000003GJ4dEAG</v>
      </c>
      <c r="D1394" s="502"/>
      <c r="E1394" s="490" t="str">
        <f ca="1">IFERROR(IF(VLOOKUP(C1394,' Disaggregation - Section E '!A$10:J521,7,0)=0,"",VLOOKUP(C1394,' Disaggregation - Section E '!A$10:J521,7,0)*100),"")</f>
        <v/>
      </c>
      <c r="F1394" s="493" t="str">
        <f ca="1">IFERROR(IF(VLOOKUP(C1394,' Disaggregation - Section E '!A$10:N521,5,0)=0,"",VLOOKUP(C1394,' Disaggregation - Section E '!A$10:N521,5,0)),"")</f>
        <v/>
      </c>
      <c r="G1394" s="492" t="str">
        <f ca="1">IFERROR(IF(VLOOKUP(C1394,' Disaggregation - Section E '!A$10:N521,6,0)=0,"",VLOOKUP(C1394,' Disaggregation - Section E '!A$10:N521,6,0)),"")</f>
        <v/>
      </c>
      <c r="H1394" s="502" t="str">
        <f ca="1">IFERROR(IF(INDEX(' Disaggregation - Section E '!F$10:F521,MATCH(C1394,' Disaggregation - Section E '!A$10:A521,0)+1,1)&lt;&gt;0,INDEX(' Disaggregation - Section E '!F$10:F521,MATCH(C1394,' Disaggregation - Section E '!A$10:A521,0)+1,1),""),"")</f>
        <v/>
      </c>
      <c r="I1394" s="493" t="str">
        <f ca="1">IFERROR(IF(VLOOKUP(C1394,' Disaggregation - Section E '!A$10:N521,8,0)=0,"",VLOOKUP(C1394,' Disaggregation - Section E '!A$10:N521,8,0)),"")</f>
        <v/>
      </c>
      <c r="J1394" s="493" t="str">
        <f ca="1">IFERROR(IF(VLOOKUP(C1394,' Disaggregation - Section E '!A$10:N521,13,0)=0,"",VLOOKUP(C1394,' Disaggregation - Section E '!A$10:N521,13,0)),"")</f>
        <v/>
      </c>
      <c r="K1394" s="487" t="str">
        <f ca="1">IFERROR(VLOOKUP(C1394,' Disaggregation - Section E '!A$10:N521,3,0),"")</f>
        <v/>
      </c>
      <c r="L1394" s="493" t="str">
        <f ca="1">IFERROR(IF(VLOOKUP(C1394,' Disaggregation - Section E '!A$10:N521,14,0)=0,"",VLOOKUP(C1394,' Disaggregation - Section E '!A$10:N521,14,0)),"")</f>
        <v/>
      </c>
      <c r="M1394" s="487" t="str">
        <f ca="1">IFERROR(IF(VLOOKUP(C1394,' Disaggregation - Section E '!A$10:T521,20,0)=0,"",VLOOKUP(C1394,' Disaggregation - Section E '!A$10:T521,20,0)),"")</f>
        <v/>
      </c>
      <c r="N1394" s="493" t="str">
        <f ca="1">IFERROR(IF(VLOOKUP(C1394,' Disaggregation - Section E '!A$10:N521,9,0)=0,"",VLOOKUP(C1394,' Disaggregation - Section E '!A$10:N521,9,0)),"")</f>
        <v/>
      </c>
      <c r="O1394" s="493" t="str">
        <f ca="1">IFERROR(IF(VLOOKUP(C1394,' Disaggregation - Section E '!A$10:N521,10,0)=0,"",VLOOKUP(C1394,' Disaggregation - Section E '!A$10:N521,10,0)),"")</f>
        <v/>
      </c>
    </row>
    <row r="1395" spans="1:15" x14ac:dyDescent="0.3">
      <c r="A1395" s="487" t="b">
        <f t="shared" ca="1" si="145"/>
        <v>0</v>
      </c>
      <c r="B1395" s="487"/>
      <c r="C1395" s="507" t="str">
        <f ca="1">IF(COUNTA(D$1181:D1395)=1,"",OFFSET(B1395,-COUNTA(D$1181:D1395)+1,1))</f>
        <v>a1G3p000003GJ4eEAG</v>
      </c>
      <c r="D1395" s="502"/>
      <c r="E1395" s="490" t="str">
        <f ca="1">IFERROR(IF(VLOOKUP(C1395,' Disaggregation - Section E '!A$10:J522,7,0)=0,"",VLOOKUP(C1395,' Disaggregation - Section E '!A$10:J522,7,0)*100),"")</f>
        <v/>
      </c>
      <c r="F1395" s="493" t="str">
        <f ca="1">IFERROR(IF(VLOOKUP(C1395,' Disaggregation - Section E '!A$10:N522,5,0)=0,"",VLOOKUP(C1395,' Disaggregation - Section E '!A$10:N522,5,0)),"")</f>
        <v/>
      </c>
      <c r="G1395" s="492" t="str">
        <f ca="1">IFERROR(IF(VLOOKUP(C1395,' Disaggregation - Section E '!A$10:N522,6,0)=0,"",VLOOKUP(C1395,' Disaggregation - Section E '!A$10:N522,6,0)),"")</f>
        <v/>
      </c>
      <c r="H1395" s="502" t="str">
        <f ca="1">IFERROR(IF(INDEX(' Disaggregation - Section E '!F$10:F522,MATCH(C1395,' Disaggregation - Section E '!A$10:A522,0)+1,1)&lt;&gt;0,INDEX(' Disaggregation - Section E '!F$10:F522,MATCH(C1395,' Disaggregation - Section E '!A$10:A522,0)+1,1),""),"")</f>
        <v/>
      </c>
      <c r="I1395" s="493" t="str">
        <f ca="1">IFERROR(IF(VLOOKUP(C1395,' Disaggregation - Section E '!A$10:N522,8,0)=0,"",VLOOKUP(C1395,' Disaggregation - Section E '!A$10:N522,8,0)),"")</f>
        <v/>
      </c>
      <c r="J1395" s="493" t="str">
        <f ca="1">IFERROR(IF(VLOOKUP(C1395,' Disaggregation - Section E '!A$10:N522,13,0)=0,"",VLOOKUP(C1395,' Disaggregation - Section E '!A$10:N522,13,0)),"")</f>
        <v/>
      </c>
      <c r="K1395" s="487" t="str">
        <f ca="1">IFERROR(VLOOKUP(C1395,' Disaggregation - Section E '!A$10:N522,3,0),"")</f>
        <v/>
      </c>
      <c r="L1395" s="493" t="str">
        <f ca="1">IFERROR(IF(VLOOKUP(C1395,' Disaggregation - Section E '!A$10:N522,14,0)=0,"",VLOOKUP(C1395,' Disaggregation - Section E '!A$10:N522,14,0)),"")</f>
        <v/>
      </c>
      <c r="M1395" s="487" t="str">
        <f ca="1">IFERROR(IF(VLOOKUP(C1395,' Disaggregation - Section E '!A$10:T522,20,0)=0,"",VLOOKUP(C1395,' Disaggregation - Section E '!A$10:T522,20,0)),"")</f>
        <v/>
      </c>
      <c r="N1395" s="493" t="str">
        <f ca="1">IFERROR(IF(VLOOKUP(C1395,' Disaggregation - Section E '!A$10:N522,9,0)=0,"",VLOOKUP(C1395,' Disaggregation - Section E '!A$10:N522,9,0)),"")</f>
        <v/>
      </c>
      <c r="O1395" s="493" t="str">
        <f ca="1">IFERROR(IF(VLOOKUP(C1395,' Disaggregation - Section E '!A$10:N522,10,0)=0,"",VLOOKUP(C1395,' Disaggregation - Section E '!A$10:N522,10,0)),"")</f>
        <v/>
      </c>
    </row>
    <row r="1396" spans="1:15" x14ac:dyDescent="0.3">
      <c r="A1396" s="487" t="b">
        <f t="shared" ca="1" si="145"/>
        <v>0</v>
      </c>
      <c r="B1396" s="487"/>
      <c r="C1396" s="507" t="str">
        <f ca="1">IF(COUNTA(D$1181:D1396)=1,"",OFFSET(B1396,-COUNTA(D$1181:D1396)+1,1))</f>
        <v>a1G3p000003GJ4fEAG</v>
      </c>
      <c r="D1396" s="502"/>
      <c r="E1396" s="490" t="str">
        <f ca="1">IFERROR(IF(VLOOKUP(C1396,' Disaggregation - Section E '!A$10:J523,7,0)=0,"",VLOOKUP(C1396,' Disaggregation - Section E '!A$10:J523,7,0)*100),"")</f>
        <v/>
      </c>
      <c r="F1396" s="493" t="str">
        <f ca="1">IFERROR(IF(VLOOKUP(C1396,' Disaggregation - Section E '!A$10:N523,5,0)=0,"",VLOOKUP(C1396,' Disaggregation - Section E '!A$10:N523,5,0)),"")</f>
        <v/>
      </c>
      <c r="G1396" s="492" t="str">
        <f ca="1">IFERROR(IF(VLOOKUP(C1396,' Disaggregation - Section E '!A$10:N523,6,0)=0,"",VLOOKUP(C1396,' Disaggregation - Section E '!A$10:N523,6,0)),"")</f>
        <v/>
      </c>
      <c r="H1396" s="502" t="str">
        <f ca="1">IFERROR(IF(INDEX(' Disaggregation - Section E '!F$10:F523,MATCH(C1396,' Disaggregation - Section E '!A$10:A523,0)+1,1)&lt;&gt;0,INDEX(' Disaggregation - Section E '!F$10:F523,MATCH(C1396,' Disaggregation - Section E '!A$10:A523,0)+1,1),""),"")</f>
        <v/>
      </c>
      <c r="I1396" s="493" t="str">
        <f ca="1">IFERROR(IF(VLOOKUP(C1396,' Disaggregation - Section E '!A$10:N523,8,0)=0,"",VLOOKUP(C1396,' Disaggregation - Section E '!A$10:N523,8,0)),"")</f>
        <v/>
      </c>
      <c r="J1396" s="493" t="str">
        <f ca="1">IFERROR(IF(VLOOKUP(C1396,' Disaggregation - Section E '!A$10:N523,13,0)=0,"",VLOOKUP(C1396,' Disaggregation - Section E '!A$10:N523,13,0)),"")</f>
        <v/>
      </c>
      <c r="K1396" s="487" t="str">
        <f ca="1">IFERROR(VLOOKUP(C1396,' Disaggregation - Section E '!A$10:N523,3,0),"")</f>
        <v/>
      </c>
      <c r="L1396" s="493" t="str">
        <f ca="1">IFERROR(IF(VLOOKUP(C1396,' Disaggregation - Section E '!A$10:N523,14,0)=0,"",VLOOKUP(C1396,' Disaggregation - Section E '!A$10:N523,14,0)),"")</f>
        <v/>
      </c>
      <c r="M1396" s="487" t="str">
        <f ca="1">IFERROR(IF(VLOOKUP(C1396,' Disaggregation - Section E '!A$10:T523,20,0)=0,"",VLOOKUP(C1396,' Disaggregation - Section E '!A$10:T523,20,0)),"")</f>
        <v/>
      </c>
      <c r="N1396" s="493" t="str">
        <f ca="1">IFERROR(IF(VLOOKUP(C1396,' Disaggregation - Section E '!A$10:N523,9,0)=0,"",VLOOKUP(C1396,' Disaggregation - Section E '!A$10:N523,9,0)),"")</f>
        <v/>
      </c>
      <c r="O1396" s="493" t="str">
        <f ca="1">IFERROR(IF(VLOOKUP(C1396,' Disaggregation - Section E '!A$10:N523,10,0)=0,"",VLOOKUP(C1396,' Disaggregation - Section E '!A$10:N523,10,0)),"")</f>
        <v/>
      </c>
    </row>
    <row r="1397" spans="1:15" x14ac:dyDescent="0.3">
      <c r="A1397" s="487" t="b">
        <f t="shared" ref="A1397:A1407" ca="1" si="146">IF(AND(OR(E1397&lt;&gt;"",G1397&lt;&gt;"",H1397&lt;&gt;""),M1397&lt;&gt;""),TRUE,FALSE)</f>
        <v>0</v>
      </c>
      <c r="B1397" s="487"/>
      <c r="C1397" s="507" t="str">
        <f ca="1">IF(COUNTA(D$1181:D1397)=1,"",OFFSET(B1397,-COUNTA(D$1181:D1397)+1,1))</f>
        <v>a1G3p000003GJ4gEAG</v>
      </c>
      <c r="D1397" s="502"/>
      <c r="E1397" s="490" t="str">
        <f ca="1">IFERROR(IF(VLOOKUP(C1397,' Disaggregation - Section E '!A$10:J524,7,0)=0,"",VLOOKUP(C1397,' Disaggregation - Section E '!A$10:J524,7,0)*100),"")</f>
        <v/>
      </c>
      <c r="F1397" s="493" t="str">
        <f ca="1">IFERROR(IF(VLOOKUP(C1397,' Disaggregation - Section E '!A$10:N524,5,0)=0,"",VLOOKUP(C1397,' Disaggregation - Section E '!A$10:N524,5,0)),"")</f>
        <v/>
      </c>
      <c r="G1397" s="492" t="str">
        <f ca="1">IFERROR(IF(VLOOKUP(C1397,' Disaggregation - Section E '!A$10:N524,6,0)=0,"",VLOOKUP(C1397,' Disaggregation - Section E '!A$10:N524,6,0)),"")</f>
        <v/>
      </c>
      <c r="H1397" s="502" t="str">
        <f ca="1">IFERROR(IF(INDEX(' Disaggregation - Section E '!F$10:F524,MATCH(C1397,' Disaggregation - Section E '!A$10:A524,0)+1,1)&lt;&gt;0,INDEX(' Disaggregation - Section E '!F$10:F524,MATCH(C1397,' Disaggregation - Section E '!A$10:A524,0)+1,1),""),"")</f>
        <v/>
      </c>
      <c r="I1397" s="493" t="str">
        <f ca="1">IFERROR(IF(VLOOKUP(C1397,' Disaggregation - Section E '!A$10:N524,8,0)=0,"",VLOOKUP(C1397,' Disaggregation - Section E '!A$10:N524,8,0)),"")</f>
        <v/>
      </c>
      <c r="J1397" s="493" t="str">
        <f ca="1">IFERROR(IF(VLOOKUP(C1397,' Disaggregation - Section E '!A$10:N524,13,0)=0,"",VLOOKUP(C1397,' Disaggregation - Section E '!A$10:N524,13,0)),"")</f>
        <v/>
      </c>
      <c r="K1397" s="487" t="str">
        <f ca="1">IFERROR(VLOOKUP(C1397,' Disaggregation - Section E '!A$10:N524,3,0),"")</f>
        <v/>
      </c>
      <c r="L1397" s="493" t="str">
        <f ca="1">IFERROR(IF(VLOOKUP(C1397,' Disaggregation - Section E '!A$10:N524,14,0)=0,"",VLOOKUP(C1397,' Disaggregation - Section E '!A$10:N524,14,0)),"")</f>
        <v/>
      </c>
      <c r="M1397" s="487" t="str">
        <f ca="1">IFERROR(IF(VLOOKUP(C1397,' Disaggregation - Section E '!A$10:T524,20,0)=0,"",VLOOKUP(C1397,' Disaggregation - Section E '!A$10:T524,20,0)),"")</f>
        <v/>
      </c>
      <c r="N1397" s="493" t="str">
        <f ca="1">IFERROR(IF(VLOOKUP(C1397,' Disaggregation - Section E '!A$10:N524,9,0)=0,"",VLOOKUP(C1397,' Disaggregation - Section E '!A$10:N524,9,0)),"")</f>
        <v/>
      </c>
      <c r="O1397" s="493" t="str">
        <f ca="1">IFERROR(IF(VLOOKUP(C1397,' Disaggregation - Section E '!A$10:N524,10,0)=0,"",VLOOKUP(C1397,' Disaggregation - Section E '!A$10:N524,10,0)),"")</f>
        <v/>
      </c>
    </row>
    <row r="1398" spans="1:15" x14ac:dyDescent="0.3">
      <c r="A1398" s="487" t="b">
        <f t="shared" ca="1" si="146"/>
        <v>0</v>
      </c>
      <c r="B1398" s="487"/>
      <c r="C1398" s="507" t="str">
        <f ca="1">IF(COUNTA(D$1181:D1398)=1,"",OFFSET(B1398,-COUNTA(D$1181:D1398)+1,1))</f>
        <v>a1G3p000003GJ4hEAG</v>
      </c>
      <c r="D1398" s="502"/>
      <c r="E1398" s="490" t="str">
        <f ca="1">IFERROR(IF(VLOOKUP(C1398,' Disaggregation - Section E '!A$10:J525,7,0)=0,"",VLOOKUP(C1398,' Disaggregation - Section E '!A$10:J525,7,0)*100),"")</f>
        <v/>
      </c>
      <c r="F1398" s="493" t="str">
        <f ca="1">IFERROR(IF(VLOOKUP(C1398,' Disaggregation - Section E '!A$10:N525,5,0)=0,"",VLOOKUP(C1398,' Disaggregation - Section E '!A$10:N525,5,0)),"")</f>
        <v/>
      </c>
      <c r="G1398" s="492" t="str">
        <f ca="1">IFERROR(IF(VLOOKUP(C1398,' Disaggregation - Section E '!A$10:N525,6,0)=0,"",VLOOKUP(C1398,' Disaggregation - Section E '!A$10:N525,6,0)),"")</f>
        <v/>
      </c>
      <c r="H1398" s="502" t="str">
        <f ca="1">IFERROR(IF(INDEX(' Disaggregation - Section E '!F$10:F525,MATCH(C1398,' Disaggregation - Section E '!A$10:A525,0)+1,1)&lt;&gt;0,INDEX(' Disaggregation - Section E '!F$10:F525,MATCH(C1398,' Disaggregation - Section E '!A$10:A525,0)+1,1),""),"")</f>
        <v/>
      </c>
      <c r="I1398" s="493" t="str">
        <f ca="1">IFERROR(IF(VLOOKUP(C1398,' Disaggregation - Section E '!A$10:N525,8,0)=0,"",VLOOKUP(C1398,' Disaggregation - Section E '!A$10:N525,8,0)),"")</f>
        <v/>
      </c>
      <c r="J1398" s="493" t="str">
        <f ca="1">IFERROR(IF(VLOOKUP(C1398,' Disaggregation - Section E '!A$10:N525,13,0)=0,"",VLOOKUP(C1398,' Disaggregation - Section E '!A$10:N525,13,0)),"")</f>
        <v/>
      </c>
      <c r="K1398" s="487" t="str">
        <f ca="1">IFERROR(VLOOKUP(C1398,' Disaggregation - Section E '!A$10:N525,3,0),"")</f>
        <v/>
      </c>
      <c r="L1398" s="493" t="str">
        <f ca="1">IFERROR(IF(VLOOKUP(C1398,' Disaggregation - Section E '!A$10:N525,14,0)=0,"",VLOOKUP(C1398,' Disaggregation - Section E '!A$10:N525,14,0)),"")</f>
        <v/>
      </c>
      <c r="M1398" s="487" t="str">
        <f ca="1">IFERROR(IF(VLOOKUP(C1398,' Disaggregation - Section E '!A$10:T525,20,0)=0,"",VLOOKUP(C1398,' Disaggregation - Section E '!A$10:T525,20,0)),"")</f>
        <v/>
      </c>
      <c r="N1398" s="493" t="str">
        <f ca="1">IFERROR(IF(VLOOKUP(C1398,' Disaggregation - Section E '!A$10:N525,9,0)=0,"",VLOOKUP(C1398,' Disaggregation - Section E '!A$10:N525,9,0)),"")</f>
        <v/>
      </c>
      <c r="O1398" s="493" t="str">
        <f ca="1">IFERROR(IF(VLOOKUP(C1398,' Disaggregation - Section E '!A$10:N525,10,0)=0,"",VLOOKUP(C1398,' Disaggregation - Section E '!A$10:N525,10,0)),"")</f>
        <v/>
      </c>
    </row>
    <row r="1399" spans="1:15" x14ac:dyDescent="0.3">
      <c r="A1399" s="487" t="b">
        <f t="shared" ca="1" si="146"/>
        <v>0</v>
      </c>
      <c r="B1399" s="487"/>
      <c r="C1399" s="507" t="str">
        <f ca="1">IF(COUNTA(D$1181:D1399)=1,"",OFFSET(B1399,-COUNTA(D$1181:D1399)+1,1))</f>
        <v>a1G3p000003GJ4iEAG</v>
      </c>
      <c r="D1399" s="502"/>
      <c r="E1399" s="490" t="str">
        <f ca="1">IFERROR(IF(VLOOKUP(C1399,' Disaggregation - Section E '!A$10:J526,7,0)=0,"",VLOOKUP(C1399,' Disaggregation - Section E '!A$10:J526,7,0)*100),"")</f>
        <v/>
      </c>
      <c r="F1399" s="493" t="str">
        <f ca="1">IFERROR(IF(VLOOKUP(C1399,' Disaggregation - Section E '!A$10:N526,5,0)=0,"",VLOOKUP(C1399,' Disaggregation - Section E '!A$10:N526,5,0)),"")</f>
        <v/>
      </c>
      <c r="G1399" s="492" t="str">
        <f ca="1">IFERROR(IF(VLOOKUP(C1399,' Disaggregation - Section E '!A$10:N526,6,0)=0,"",VLOOKUP(C1399,' Disaggregation - Section E '!A$10:N526,6,0)),"")</f>
        <v/>
      </c>
      <c r="H1399" s="502" t="str">
        <f ca="1">IFERROR(IF(INDEX(' Disaggregation - Section E '!F$10:F526,MATCH(C1399,' Disaggregation - Section E '!A$10:A526,0)+1,1)&lt;&gt;0,INDEX(' Disaggregation - Section E '!F$10:F526,MATCH(C1399,' Disaggregation - Section E '!A$10:A526,0)+1,1),""),"")</f>
        <v/>
      </c>
      <c r="I1399" s="493" t="str">
        <f ca="1">IFERROR(IF(VLOOKUP(C1399,' Disaggregation - Section E '!A$10:N526,8,0)=0,"",VLOOKUP(C1399,' Disaggregation - Section E '!A$10:N526,8,0)),"")</f>
        <v/>
      </c>
      <c r="J1399" s="493" t="str">
        <f ca="1">IFERROR(IF(VLOOKUP(C1399,' Disaggregation - Section E '!A$10:N526,13,0)=0,"",VLOOKUP(C1399,' Disaggregation - Section E '!A$10:N526,13,0)),"")</f>
        <v/>
      </c>
      <c r="K1399" s="487" t="str">
        <f ca="1">IFERROR(VLOOKUP(C1399,' Disaggregation - Section E '!A$10:N526,3,0),"")</f>
        <v/>
      </c>
      <c r="L1399" s="493" t="str">
        <f ca="1">IFERROR(IF(VLOOKUP(C1399,' Disaggregation - Section E '!A$10:N526,14,0)=0,"",VLOOKUP(C1399,' Disaggregation - Section E '!A$10:N526,14,0)),"")</f>
        <v/>
      </c>
      <c r="M1399" s="487" t="str">
        <f ca="1">IFERROR(IF(VLOOKUP(C1399,' Disaggregation - Section E '!A$10:T526,20,0)=0,"",VLOOKUP(C1399,' Disaggregation - Section E '!A$10:T526,20,0)),"")</f>
        <v/>
      </c>
      <c r="N1399" s="493" t="str">
        <f ca="1">IFERROR(IF(VLOOKUP(C1399,' Disaggregation - Section E '!A$10:N526,9,0)=0,"",VLOOKUP(C1399,' Disaggregation - Section E '!A$10:N526,9,0)),"")</f>
        <v/>
      </c>
      <c r="O1399" s="493" t="str">
        <f ca="1">IFERROR(IF(VLOOKUP(C1399,' Disaggregation - Section E '!A$10:N526,10,0)=0,"",VLOOKUP(C1399,' Disaggregation - Section E '!A$10:N526,10,0)),"")</f>
        <v/>
      </c>
    </row>
    <row r="1400" spans="1:15" x14ac:dyDescent="0.3">
      <c r="A1400" s="487" t="b">
        <f t="shared" ca="1" si="146"/>
        <v>0</v>
      </c>
      <c r="B1400" s="487"/>
      <c r="C1400" s="507" t="str">
        <f ca="1">IF(COUNTA(D$1181:D1400)=1,"",OFFSET(B1400,-COUNTA(D$1181:D1400)+1,1))</f>
        <v>a1G3p000003GJ4jEAG</v>
      </c>
      <c r="D1400" s="502"/>
      <c r="E1400" s="490" t="str">
        <f ca="1">IFERROR(IF(VLOOKUP(C1400,' Disaggregation - Section E '!A$10:J527,7,0)=0,"",VLOOKUP(C1400,' Disaggregation - Section E '!A$10:J527,7,0)*100),"")</f>
        <v/>
      </c>
      <c r="F1400" s="493" t="str">
        <f ca="1">IFERROR(IF(VLOOKUP(C1400,' Disaggregation - Section E '!A$10:N527,5,0)=0,"",VLOOKUP(C1400,' Disaggregation - Section E '!A$10:N527,5,0)),"")</f>
        <v/>
      </c>
      <c r="G1400" s="492" t="str">
        <f ca="1">IFERROR(IF(VLOOKUP(C1400,' Disaggregation - Section E '!A$10:N527,6,0)=0,"",VLOOKUP(C1400,' Disaggregation - Section E '!A$10:N527,6,0)),"")</f>
        <v/>
      </c>
      <c r="H1400" s="502" t="str">
        <f ca="1">IFERROR(IF(INDEX(' Disaggregation - Section E '!F$10:F527,MATCH(C1400,' Disaggregation - Section E '!A$10:A527,0)+1,1)&lt;&gt;0,INDEX(' Disaggregation - Section E '!F$10:F527,MATCH(C1400,' Disaggregation - Section E '!A$10:A527,0)+1,1),""),"")</f>
        <v/>
      </c>
      <c r="I1400" s="493" t="str">
        <f ca="1">IFERROR(IF(VLOOKUP(C1400,' Disaggregation - Section E '!A$10:N527,8,0)=0,"",VLOOKUP(C1400,' Disaggregation - Section E '!A$10:N527,8,0)),"")</f>
        <v/>
      </c>
      <c r="J1400" s="493" t="str">
        <f ca="1">IFERROR(IF(VLOOKUP(C1400,' Disaggregation - Section E '!A$10:N527,13,0)=0,"",VLOOKUP(C1400,' Disaggregation - Section E '!A$10:N527,13,0)),"")</f>
        <v/>
      </c>
      <c r="K1400" s="487" t="str">
        <f ca="1">IFERROR(VLOOKUP(C1400,' Disaggregation - Section E '!A$10:N527,3,0),"")</f>
        <v/>
      </c>
      <c r="L1400" s="493" t="str">
        <f ca="1">IFERROR(IF(VLOOKUP(C1400,' Disaggregation - Section E '!A$10:N527,14,0)=0,"",VLOOKUP(C1400,' Disaggregation - Section E '!A$10:N527,14,0)),"")</f>
        <v/>
      </c>
      <c r="M1400" s="487" t="str">
        <f ca="1">IFERROR(IF(VLOOKUP(C1400,' Disaggregation - Section E '!A$10:T527,20,0)=0,"",VLOOKUP(C1400,' Disaggregation - Section E '!A$10:T527,20,0)),"")</f>
        <v/>
      </c>
      <c r="N1400" s="493" t="str">
        <f ca="1">IFERROR(IF(VLOOKUP(C1400,' Disaggregation - Section E '!A$10:N527,9,0)=0,"",VLOOKUP(C1400,' Disaggregation - Section E '!A$10:N527,9,0)),"")</f>
        <v/>
      </c>
      <c r="O1400" s="493" t="str">
        <f ca="1">IFERROR(IF(VLOOKUP(C1400,' Disaggregation - Section E '!A$10:N527,10,0)=0,"",VLOOKUP(C1400,' Disaggregation - Section E '!A$10:N527,10,0)),"")</f>
        <v/>
      </c>
    </row>
    <row r="1401" spans="1:15" x14ac:dyDescent="0.3">
      <c r="A1401" s="487" t="b">
        <f t="shared" ca="1" si="146"/>
        <v>0</v>
      </c>
      <c r="B1401" s="487"/>
      <c r="C1401" s="507" t="str">
        <f ca="1">IF(COUNTA(D$1181:D1401)=1,"",OFFSET(B1401,-COUNTA(D$1181:D1401)+1,1))</f>
        <v>a1G3p000003GJ4kEAG</v>
      </c>
      <c r="D1401" s="502"/>
      <c r="E1401" s="490" t="str">
        <f ca="1">IFERROR(IF(VLOOKUP(C1401,' Disaggregation - Section E '!A$10:J528,7,0)=0,"",VLOOKUP(C1401,' Disaggregation - Section E '!A$10:J528,7,0)*100),"")</f>
        <v/>
      </c>
      <c r="F1401" s="493" t="str">
        <f ca="1">IFERROR(IF(VLOOKUP(C1401,' Disaggregation - Section E '!A$10:N528,5,0)=0,"",VLOOKUP(C1401,' Disaggregation - Section E '!A$10:N528,5,0)),"")</f>
        <v/>
      </c>
      <c r="G1401" s="492" t="str">
        <f ca="1">IFERROR(IF(VLOOKUP(C1401,' Disaggregation - Section E '!A$10:N528,6,0)=0,"",VLOOKUP(C1401,' Disaggregation - Section E '!A$10:N528,6,0)),"")</f>
        <v/>
      </c>
      <c r="H1401" s="502" t="str">
        <f ca="1">IFERROR(IF(INDEX(' Disaggregation - Section E '!F$10:F528,MATCH(C1401,' Disaggregation - Section E '!A$10:A528,0)+1,1)&lt;&gt;0,INDEX(' Disaggregation - Section E '!F$10:F528,MATCH(C1401,' Disaggregation - Section E '!A$10:A528,0)+1,1),""),"")</f>
        <v/>
      </c>
      <c r="I1401" s="493" t="str">
        <f ca="1">IFERROR(IF(VLOOKUP(C1401,' Disaggregation - Section E '!A$10:N528,8,0)=0,"",VLOOKUP(C1401,' Disaggregation - Section E '!A$10:N528,8,0)),"")</f>
        <v/>
      </c>
      <c r="J1401" s="493" t="str">
        <f ca="1">IFERROR(IF(VLOOKUP(C1401,' Disaggregation - Section E '!A$10:N528,13,0)=0,"",VLOOKUP(C1401,' Disaggregation - Section E '!A$10:N528,13,0)),"")</f>
        <v/>
      </c>
      <c r="K1401" s="487" t="str">
        <f ca="1">IFERROR(VLOOKUP(C1401,' Disaggregation - Section E '!A$10:N528,3,0),"")</f>
        <v/>
      </c>
      <c r="L1401" s="493" t="str">
        <f ca="1">IFERROR(IF(VLOOKUP(C1401,' Disaggregation - Section E '!A$10:N528,14,0)=0,"",VLOOKUP(C1401,' Disaggregation - Section E '!A$10:N528,14,0)),"")</f>
        <v/>
      </c>
      <c r="M1401" s="487" t="str">
        <f ca="1">IFERROR(IF(VLOOKUP(C1401,' Disaggregation - Section E '!A$10:T528,20,0)=0,"",VLOOKUP(C1401,' Disaggregation - Section E '!A$10:T528,20,0)),"")</f>
        <v/>
      </c>
      <c r="N1401" s="493" t="str">
        <f ca="1">IFERROR(IF(VLOOKUP(C1401,' Disaggregation - Section E '!A$10:N528,9,0)=0,"",VLOOKUP(C1401,' Disaggregation - Section E '!A$10:N528,9,0)),"")</f>
        <v/>
      </c>
      <c r="O1401" s="493" t="str">
        <f ca="1">IFERROR(IF(VLOOKUP(C1401,' Disaggregation - Section E '!A$10:N528,10,0)=0,"",VLOOKUP(C1401,' Disaggregation - Section E '!A$10:N528,10,0)),"")</f>
        <v/>
      </c>
    </row>
    <row r="1402" spans="1:15" x14ac:dyDescent="0.3">
      <c r="A1402" s="487" t="b">
        <f t="shared" ca="1" si="146"/>
        <v>0</v>
      </c>
      <c r="B1402" s="487"/>
      <c r="C1402" s="507" t="str">
        <f ca="1">IF(COUNTA(D$1181:D1402)=1,"",OFFSET(B1402,-COUNTA(D$1181:D1402)+1,1))</f>
        <v>a1G3p000003GJ4lEAG</v>
      </c>
      <c r="D1402" s="502"/>
      <c r="E1402" s="490" t="str">
        <f ca="1">IFERROR(IF(VLOOKUP(C1402,' Disaggregation - Section E '!A$10:J529,7,0)=0,"",VLOOKUP(C1402,' Disaggregation - Section E '!A$10:J529,7,0)*100),"")</f>
        <v/>
      </c>
      <c r="F1402" s="493" t="str">
        <f ca="1">IFERROR(IF(VLOOKUP(C1402,' Disaggregation - Section E '!A$10:N529,5,0)=0,"",VLOOKUP(C1402,' Disaggregation - Section E '!A$10:N529,5,0)),"")</f>
        <v/>
      </c>
      <c r="G1402" s="492" t="str">
        <f ca="1">IFERROR(IF(VLOOKUP(C1402,' Disaggregation - Section E '!A$10:N529,6,0)=0,"",VLOOKUP(C1402,' Disaggregation - Section E '!A$10:N529,6,0)),"")</f>
        <v/>
      </c>
      <c r="H1402" s="502" t="str">
        <f ca="1">IFERROR(IF(INDEX(' Disaggregation - Section E '!F$10:F529,MATCH(C1402,' Disaggregation - Section E '!A$10:A529,0)+1,1)&lt;&gt;0,INDEX(' Disaggregation - Section E '!F$10:F529,MATCH(C1402,' Disaggregation - Section E '!A$10:A529,0)+1,1),""),"")</f>
        <v/>
      </c>
      <c r="I1402" s="493" t="str">
        <f ca="1">IFERROR(IF(VLOOKUP(C1402,' Disaggregation - Section E '!A$10:N529,8,0)=0,"",VLOOKUP(C1402,' Disaggregation - Section E '!A$10:N529,8,0)),"")</f>
        <v/>
      </c>
      <c r="J1402" s="493" t="str">
        <f ca="1">IFERROR(IF(VLOOKUP(C1402,' Disaggregation - Section E '!A$10:N529,13,0)=0,"",VLOOKUP(C1402,' Disaggregation - Section E '!A$10:N529,13,0)),"")</f>
        <v/>
      </c>
      <c r="K1402" s="487" t="str">
        <f ca="1">IFERROR(VLOOKUP(C1402,' Disaggregation - Section E '!A$10:N529,3,0),"")</f>
        <v/>
      </c>
      <c r="L1402" s="493" t="str">
        <f ca="1">IFERROR(IF(VLOOKUP(C1402,' Disaggregation - Section E '!A$10:N529,14,0)=0,"",VLOOKUP(C1402,' Disaggregation - Section E '!A$10:N529,14,0)),"")</f>
        <v/>
      </c>
      <c r="M1402" s="487" t="str">
        <f ca="1">IFERROR(IF(VLOOKUP(C1402,' Disaggregation - Section E '!A$10:T529,20,0)=0,"",VLOOKUP(C1402,' Disaggregation - Section E '!A$10:T529,20,0)),"")</f>
        <v/>
      </c>
      <c r="N1402" s="493" t="str">
        <f ca="1">IFERROR(IF(VLOOKUP(C1402,' Disaggregation - Section E '!A$10:N529,9,0)=0,"",VLOOKUP(C1402,' Disaggregation - Section E '!A$10:N529,9,0)),"")</f>
        <v/>
      </c>
      <c r="O1402" s="493" t="str">
        <f ca="1">IFERROR(IF(VLOOKUP(C1402,' Disaggregation - Section E '!A$10:N529,10,0)=0,"",VLOOKUP(C1402,' Disaggregation - Section E '!A$10:N529,10,0)),"")</f>
        <v/>
      </c>
    </row>
    <row r="1403" spans="1:15" x14ac:dyDescent="0.3">
      <c r="A1403" s="487" t="b">
        <f t="shared" ca="1" si="146"/>
        <v>0</v>
      </c>
      <c r="B1403" s="487"/>
      <c r="C1403" s="507" t="str">
        <f ca="1">IF(COUNTA(D$1181:D1403)=1,"",OFFSET(B1403,-COUNTA(D$1181:D1403)+1,1))</f>
        <v>a1G3p000003GJ4mEAG</v>
      </c>
      <c r="D1403" s="502"/>
      <c r="E1403" s="490" t="str">
        <f ca="1">IFERROR(IF(VLOOKUP(C1403,' Disaggregation - Section E '!A$10:J530,7,0)=0,"",VLOOKUP(C1403,' Disaggregation - Section E '!A$10:J530,7,0)*100),"")</f>
        <v/>
      </c>
      <c r="F1403" s="493" t="str">
        <f ca="1">IFERROR(IF(VLOOKUP(C1403,' Disaggregation - Section E '!A$10:N530,5,0)=0,"",VLOOKUP(C1403,' Disaggregation - Section E '!A$10:N530,5,0)),"")</f>
        <v/>
      </c>
      <c r="G1403" s="492" t="str">
        <f ca="1">IFERROR(IF(VLOOKUP(C1403,' Disaggregation - Section E '!A$10:N530,6,0)=0,"",VLOOKUP(C1403,' Disaggregation - Section E '!A$10:N530,6,0)),"")</f>
        <v/>
      </c>
      <c r="H1403" s="502" t="str">
        <f ca="1">IFERROR(IF(INDEX(' Disaggregation - Section E '!F$10:F530,MATCH(C1403,' Disaggregation - Section E '!A$10:A530,0)+1,1)&lt;&gt;0,INDEX(' Disaggregation - Section E '!F$10:F530,MATCH(C1403,' Disaggregation - Section E '!A$10:A530,0)+1,1),""),"")</f>
        <v/>
      </c>
      <c r="I1403" s="493" t="str">
        <f ca="1">IFERROR(IF(VLOOKUP(C1403,' Disaggregation - Section E '!A$10:N530,8,0)=0,"",VLOOKUP(C1403,' Disaggregation - Section E '!A$10:N530,8,0)),"")</f>
        <v/>
      </c>
      <c r="J1403" s="493" t="str">
        <f ca="1">IFERROR(IF(VLOOKUP(C1403,' Disaggregation - Section E '!A$10:N530,13,0)=0,"",VLOOKUP(C1403,' Disaggregation - Section E '!A$10:N530,13,0)),"")</f>
        <v/>
      </c>
      <c r="K1403" s="487" t="str">
        <f ca="1">IFERROR(VLOOKUP(C1403,' Disaggregation - Section E '!A$10:N530,3,0),"")</f>
        <v/>
      </c>
      <c r="L1403" s="493" t="str">
        <f ca="1">IFERROR(IF(VLOOKUP(C1403,' Disaggregation - Section E '!A$10:N530,14,0)=0,"",VLOOKUP(C1403,' Disaggregation - Section E '!A$10:N530,14,0)),"")</f>
        <v/>
      </c>
      <c r="M1403" s="487" t="str">
        <f ca="1">IFERROR(IF(VLOOKUP(C1403,' Disaggregation - Section E '!A$10:T530,20,0)=0,"",VLOOKUP(C1403,' Disaggregation - Section E '!A$10:T530,20,0)),"")</f>
        <v/>
      </c>
      <c r="N1403" s="493" t="str">
        <f ca="1">IFERROR(IF(VLOOKUP(C1403,' Disaggregation - Section E '!A$10:N530,9,0)=0,"",VLOOKUP(C1403,' Disaggregation - Section E '!A$10:N530,9,0)),"")</f>
        <v/>
      </c>
      <c r="O1403" s="493" t="str">
        <f ca="1">IFERROR(IF(VLOOKUP(C1403,' Disaggregation - Section E '!A$10:N530,10,0)=0,"",VLOOKUP(C1403,' Disaggregation - Section E '!A$10:N530,10,0)),"")</f>
        <v/>
      </c>
    </row>
    <row r="1404" spans="1:15" x14ac:dyDescent="0.3">
      <c r="A1404" s="487" t="b">
        <f t="shared" ca="1" si="146"/>
        <v>0</v>
      </c>
      <c r="B1404" s="487"/>
      <c r="C1404" s="507" t="str">
        <f ca="1">IF(COUNTA(D$1181:D1404)=1,"",OFFSET(B1404,-COUNTA(D$1181:D1404)+1,1))</f>
        <v>a1G3p000003GJ4nEAG</v>
      </c>
      <c r="D1404" s="502"/>
      <c r="E1404" s="490" t="str">
        <f ca="1">IFERROR(IF(VLOOKUP(C1404,' Disaggregation - Section E '!A$10:J531,7,0)=0,"",VLOOKUP(C1404,' Disaggregation - Section E '!A$10:J531,7,0)*100),"")</f>
        <v/>
      </c>
      <c r="F1404" s="493" t="str">
        <f ca="1">IFERROR(IF(VLOOKUP(C1404,' Disaggregation - Section E '!A$10:N531,5,0)=0,"",VLOOKUP(C1404,' Disaggregation - Section E '!A$10:N531,5,0)),"")</f>
        <v/>
      </c>
      <c r="G1404" s="492" t="str">
        <f ca="1">IFERROR(IF(VLOOKUP(C1404,' Disaggregation - Section E '!A$10:N531,6,0)=0,"",VLOOKUP(C1404,' Disaggregation - Section E '!A$10:N531,6,0)),"")</f>
        <v/>
      </c>
      <c r="H1404" s="502" t="str">
        <f ca="1">IFERROR(IF(INDEX(' Disaggregation - Section E '!F$10:F531,MATCH(C1404,' Disaggregation - Section E '!A$10:A531,0)+1,1)&lt;&gt;0,INDEX(' Disaggregation - Section E '!F$10:F531,MATCH(C1404,' Disaggregation - Section E '!A$10:A531,0)+1,1),""),"")</f>
        <v/>
      </c>
      <c r="I1404" s="493" t="str">
        <f ca="1">IFERROR(IF(VLOOKUP(C1404,' Disaggregation - Section E '!A$10:N531,8,0)=0,"",VLOOKUP(C1404,' Disaggregation - Section E '!A$10:N531,8,0)),"")</f>
        <v/>
      </c>
      <c r="J1404" s="493" t="str">
        <f ca="1">IFERROR(IF(VLOOKUP(C1404,' Disaggregation - Section E '!A$10:N531,13,0)=0,"",VLOOKUP(C1404,' Disaggregation - Section E '!A$10:N531,13,0)),"")</f>
        <v/>
      </c>
      <c r="K1404" s="487" t="str">
        <f ca="1">IFERROR(VLOOKUP(C1404,' Disaggregation - Section E '!A$10:N531,3,0),"")</f>
        <v/>
      </c>
      <c r="L1404" s="493" t="str">
        <f ca="1">IFERROR(IF(VLOOKUP(C1404,' Disaggregation - Section E '!A$10:N531,14,0)=0,"",VLOOKUP(C1404,' Disaggregation - Section E '!A$10:N531,14,0)),"")</f>
        <v/>
      </c>
      <c r="M1404" s="487" t="str">
        <f ca="1">IFERROR(IF(VLOOKUP(C1404,' Disaggregation - Section E '!A$10:T531,20,0)=0,"",VLOOKUP(C1404,' Disaggregation - Section E '!A$10:T531,20,0)),"")</f>
        <v/>
      </c>
      <c r="N1404" s="493" t="str">
        <f ca="1">IFERROR(IF(VLOOKUP(C1404,' Disaggregation - Section E '!A$10:N531,9,0)=0,"",VLOOKUP(C1404,' Disaggregation - Section E '!A$10:N531,9,0)),"")</f>
        <v/>
      </c>
      <c r="O1404" s="493" t="str">
        <f ca="1">IFERROR(IF(VLOOKUP(C1404,' Disaggregation - Section E '!A$10:N531,10,0)=0,"",VLOOKUP(C1404,' Disaggregation - Section E '!A$10:N531,10,0)),"")</f>
        <v/>
      </c>
    </row>
    <row r="1405" spans="1:15" x14ac:dyDescent="0.3">
      <c r="A1405" s="487" t="b">
        <f t="shared" ca="1" si="146"/>
        <v>0</v>
      </c>
      <c r="B1405" s="487"/>
      <c r="C1405" s="507" t="str">
        <f ca="1">IF(COUNTA(D$1181:D1405)=1,"",OFFSET(B1405,-COUNTA(D$1181:D1405)+1,1))</f>
        <v>a1G3p000003GJ4oEAG</v>
      </c>
      <c r="D1405" s="502"/>
      <c r="E1405" s="490" t="str">
        <f ca="1">IFERROR(IF(VLOOKUP(C1405,' Disaggregation - Section E '!A$10:J532,7,0)=0,"",VLOOKUP(C1405,' Disaggregation - Section E '!A$10:J532,7,0)*100),"")</f>
        <v/>
      </c>
      <c r="F1405" s="493" t="str">
        <f ca="1">IFERROR(IF(VLOOKUP(C1405,' Disaggregation - Section E '!A$10:N532,5,0)=0,"",VLOOKUP(C1405,' Disaggregation - Section E '!A$10:N532,5,0)),"")</f>
        <v/>
      </c>
      <c r="G1405" s="492" t="str">
        <f ca="1">IFERROR(IF(VLOOKUP(C1405,' Disaggregation - Section E '!A$10:N532,6,0)=0,"",VLOOKUP(C1405,' Disaggregation - Section E '!A$10:N532,6,0)),"")</f>
        <v/>
      </c>
      <c r="H1405" s="502" t="str">
        <f ca="1">IFERROR(IF(INDEX(' Disaggregation - Section E '!F$10:F532,MATCH(C1405,' Disaggregation - Section E '!A$10:A532,0)+1,1)&lt;&gt;0,INDEX(' Disaggregation - Section E '!F$10:F532,MATCH(C1405,' Disaggregation - Section E '!A$10:A532,0)+1,1),""),"")</f>
        <v/>
      </c>
      <c r="I1405" s="493" t="str">
        <f ca="1">IFERROR(IF(VLOOKUP(C1405,' Disaggregation - Section E '!A$10:N532,8,0)=0,"",VLOOKUP(C1405,' Disaggregation - Section E '!A$10:N532,8,0)),"")</f>
        <v/>
      </c>
      <c r="J1405" s="493" t="str">
        <f ca="1">IFERROR(IF(VLOOKUP(C1405,' Disaggregation - Section E '!A$10:N532,13,0)=0,"",VLOOKUP(C1405,' Disaggregation - Section E '!A$10:N532,13,0)),"")</f>
        <v/>
      </c>
      <c r="K1405" s="487" t="str">
        <f ca="1">IFERROR(VLOOKUP(C1405,' Disaggregation - Section E '!A$10:N532,3,0),"")</f>
        <v/>
      </c>
      <c r="L1405" s="493" t="str">
        <f ca="1">IFERROR(IF(VLOOKUP(C1405,' Disaggregation - Section E '!A$10:N532,14,0)=0,"",VLOOKUP(C1405,' Disaggregation - Section E '!A$10:N532,14,0)),"")</f>
        <v/>
      </c>
      <c r="M1405" s="487" t="str">
        <f ca="1">IFERROR(IF(VLOOKUP(C1405,' Disaggregation - Section E '!A$10:T532,20,0)=0,"",VLOOKUP(C1405,' Disaggregation - Section E '!A$10:T532,20,0)),"")</f>
        <v/>
      </c>
      <c r="N1405" s="493" t="str">
        <f ca="1">IFERROR(IF(VLOOKUP(C1405,' Disaggregation - Section E '!A$10:N532,9,0)=0,"",VLOOKUP(C1405,' Disaggregation - Section E '!A$10:N532,9,0)),"")</f>
        <v/>
      </c>
      <c r="O1405" s="493" t="str">
        <f ca="1">IFERROR(IF(VLOOKUP(C1405,' Disaggregation - Section E '!A$10:N532,10,0)=0,"",VLOOKUP(C1405,' Disaggregation - Section E '!A$10:N532,10,0)),"")</f>
        <v/>
      </c>
    </row>
    <row r="1406" spans="1:15" x14ac:dyDescent="0.3">
      <c r="A1406" s="487" t="b">
        <f t="shared" ca="1" si="146"/>
        <v>0</v>
      </c>
      <c r="B1406" s="487"/>
      <c r="C1406" s="507" t="str">
        <f ca="1">IF(COUNTA(D$1181:D1406)=1,"",OFFSET(B1406,-COUNTA(D$1181:D1406)+1,1))</f>
        <v>a1G3p000003GJ4pEAG</v>
      </c>
      <c r="D1406" s="502"/>
      <c r="E1406" s="490" t="str">
        <f ca="1">IFERROR(IF(VLOOKUP(C1406,' Disaggregation - Section E '!A$10:J533,7,0)=0,"",VLOOKUP(C1406,' Disaggregation - Section E '!A$10:J533,7,0)*100),"")</f>
        <v/>
      </c>
      <c r="F1406" s="493" t="str">
        <f ca="1">IFERROR(IF(VLOOKUP(C1406,' Disaggregation - Section E '!A$10:N533,5,0)=0,"",VLOOKUP(C1406,' Disaggregation - Section E '!A$10:N533,5,0)),"")</f>
        <v/>
      </c>
      <c r="G1406" s="492" t="str">
        <f ca="1">IFERROR(IF(VLOOKUP(C1406,' Disaggregation - Section E '!A$10:N533,6,0)=0,"",VLOOKUP(C1406,' Disaggregation - Section E '!A$10:N533,6,0)),"")</f>
        <v/>
      </c>
      <c r="H1406" s="502" t="str">
        <f ca="1">IFERROR(IF(INDEX(' Disaggregation - Section E '!F$10:F533,MATCH(C1406,' Disaggregation - Section E '!A$10:A533,0)+1,1)&lt;&gt;0,INDEX(' Disaggregation - Section E '!F$10:F533,MATCH(C1406,' Disaggregation - Section E '!A$10:A533,0)+1,1),""),"")</f>
        <v/>
      </c>
      <c r="I1406" s="493" t="str">
        <f ca="1">IFERROR(IF(VLOOKUP(C1406,' Disaggregation - Section E '!A$10:N533,8,0)=0,"",VLOOKUP(C1406,' Disaggregation - Section E '!A$10:N533,8,0)),"")</f>
        <v/>
      </c>
      <c r="J1406" s="493" t="str">
        <f ca="1">IFERROR(IF(VLOOKUP(C1406,' Disaggregation - Section E '!A$10:N533,13,0)=0,"",VLOOKUP(C1406,' Disaggregation - Section E '!A$10:N533,13,0)),"")</f>
        <v/>
      </c>
      <c r="K1406" s="487" t="str">
        <f ca="1">IFERROR(VLOOKUP(C1406,' Disaggregation - Section E '!A$10:N533,3,0),"")</f>
        <v/>
      </c>
      <c r="L1406" s="493" t="str">
        <f ca="1">IFERROR(IF(VLOOKUP(C1406,' Disaggregation - Section E '!A$10:N533,14,0)=0,"",VLOOKUP(C1406,' Disaggregation - Section E '!A$10:N533,14,0)),"")</f>
        <v/>
      </c>
      <c r="M1406" s="487" t="str">
        <f ca="1">IFERROR(IF(VLOOKUP(C1406,' Disaggregation - Section E '!A$10:T533,20,0)=0,"",VLOOKUP(C1406,' Disaggregation - Section E '!A$10:T533,20,0)),"")</f>
        <v/>
      </c>
      <c r="N1406" s="493" t="str">
        <f ca="1">IFERROR(IF(VLOOKUP(C1406,' Disaggregation - Section E '!A$10:N533,9,0)=0,"",VLOOKUP(C1406,' Disaggregation - Section E '!A$10:N533,9,0)),"")</f>
        <v/>
      </c>
      <c r="O1406" s="493" t="str">
        <f ca="1">IFERROR(IF(VLOOKUP(C1406,' Disaggregation - Section E '!A$10:N533,10,0)=0,"",VLOOKUP(C1406,' Disaggregation - Section E '!A$10:N533,10,0)),"")</f>
        <v/>
      </c>
    </row>
    <row r="1407" spans="1:15" x14ac:dyDescent="0.3">
      <c r="A1407" s="487" t="b">
        <f t="shared" ca="1" si="146"/>
        <v>0</v>
      </c>
      <c r="B1407" s="487"/>
      <c r="C1407" s="507" t="str">
        <f ca="1">IF(COUNTA(D$1181:D1407)=1,"",OFFSET(B1407,-COUNTA(D$1181:D1407)+1,1))</f>
        <v>a1G3p000003GJ4qEAG</v>
      </c>
      <c r="D1407" s="502"/>
      <c r="E1407" s="490" t="str">
        <f ca="1">IFERROR(IF(VLOOKUP(C1407,' Disaggregation - Section E '!A$10:J534,7,0)=0,"",VLOOKUP(C1407,' Disaggregation - Section E '!A$10:J534,7,0)*100),"")</f>
        <v/>
      </c>
      <c r="F1407" s="493" t="str">
        <f ca="1">IFERROR(IF(VLOOKUP(C1407,' Disaggregation - Section E '!A$10:N534,5,0)=0,"",VLOOKUP(C1407,' Disaggregation - Section E '!A$10:N534,5,0)),"")</f>
        <v/>
      </c>
      <c r="G1407" s="492" t="str">
        <f ca="1">IFERROR(IF(VLOOKUP(C1407,' Disaggregation - Section E '!A$10:N534,6,0)=0,"",VLOOKUP(C1407,' Disaggregation - Section E '!A$10:N534,6,0)),"")</f>
        <v/>
      </c>
      <c r="H1407" s="502" t="str">
        <f ca="1">IFERROR(IF(INDEX(' Disaggregation - Section E '!F$10:F534,MATCH(C1407,' Disaggregation - Section E '!A$10:A534,0)+1,1)&lt;&gt;0,INDEX(' Disaggregation - Section E '!F$10:F534,MATCH(C1407,' Disaggregation - Section E '!A$10:A534,0)+1,1),""),"")</f>
        <v/>
      </c>
      <c r="I1407" s="493" t="str">
        <f ca="1">IFERROR(IF(VLOOKUP(C1407,' Disaggregation - Section E '!A$10:N534,8,0)=0,"",VLOOKUP(C1407,' Disaggregation - Section E '!A$10:N534,8,0)),"")</f>
        <v/>
      </c>
      <c r="J1407" s="493" t="str">
        <f ca="1">IFERROR(IF(VLOOKUP(C1407,' Disaggregation - Section E '!A$10:N534,13,0)=0,"",VLOOKUP(C1407,' Disaggregation - Section E '!A$10:N534,13,0)),"")</f>
        <v/>
      </c>
      <c r="K1407" s="487" t="str">
        <f ca="1">IFERROR(VLOOKUP(C1407,' Disaggregation - Section E '!A$10:N534,3,0),"")</f>
        <v/>
      </c>
      <c r="L1407" s="493" t="str">
        <f ca="1">IFERROR(IF(VLOOKUP(C1407,' Disaggregation - Section E '!A$10:N534,14,0)=0,"",VLOOKUP(C1407,' Disaggregation - Section E '!A$10:N534,14,0)),"")</f>
        <v/>
      </c>
      <c r="M1407" s="487" t="str">
        <f ca="1">IFERROR(IF(VLOOKUP(C1407,' Disaggregation - Section E '!A$10:T534,20,0)=0,"",VLOOKUP(C1407,' Disaggregation - Section E '!A$10:T534,20,0)),"")</f>
        <v/>
      </c>
      <c r="N1407" s="493" t="str">
        <f ca="1">IFERROR(IF(VLOOKUP(C1407,' Disaggregation - Section E '!A$10:N534,9,0)=0,"",VLOOKUP(C1407,' Disaggregation - Section E '!A$10:N534,9,0)),"")</f>
        <v/>
      </c>
      <c r="O1407" s="493" t="str">
        <f ca="1">IFERROR(IF(VLOOKUP(C1407,' Disaggregation - Section E '!A$10:N534,10,0)=0,"",VLOOKUP(C1407,' Disaggregation - Section E '!A$10:N534,10,0)),"")</f>
        <v/>
      </c>
    </row>
    <row r="1409" spans="1:16" x14ac:dyDescent="0.3">
      <c r="A1409" s="497" t="s">
        <v>278</v>
      </c>
    </row>
    <row r="1410" spans="1:16" x14ac:dyDescent="0.3">
      <c r="A1410" s="487" t="s">
        <v>46</v>
      </c>
      <c r="B1410" s="487"/>
      <c r="C1410" s="487" t="s">
        <v>48</v>
      </c>
      <c r="D1410" s="487" t="s">
        <v>25</v>
      </c>
      <c r="E1410" s="487" t="s">
        <v>4</v>
      </c>
      <c r="F1410" s="487" t="s">
        <v>27</v>
      </c>
      <c r="G1410" s="487" t="s">
        <v>2</v>
      </c>
      <c r="H1410" s="487" t="s">
        <v>3</v>
      </c>
      <c r="I1410" s="487" t="s">
        <v>146</v>
      </c>
      <c r="J1410" s="487" t="s">
        <v>18</v>
      </c>
      <c r="K1410" s="487" t="s">
        <v>362</v>
      </c>
      <c r="L1410" s="487"/>
      <c r="M1410" s="487" t="s">
        <v>369</v>
      </c>
      <c r="N1410" s="487" t="s">
        <v>9</v>
      </c>
      <c r="O1410" s="487" t="s">
        <v>477</v>
      </c>
      <c r="P1410" s="487" t="s">
        <v>478</v>
      </c>
    </row>
    <row r="1411" spans="1:16" hidden="1" x14ac:dyDescent="0.3">
      <c r="A1411" s="487" t="b">
        <f ca="1">IF(AND(OR(E1411&lt;&gt;"",G1411&lt;&gt;"",H1411&lt;&gt;""),M1411&lt;&gt;""),TRUE,FALSE)</f>
        <v>0</v>
      </c>
      <c r="B1411" s="487"/>
      <c r="C1411" s="487" t="str">
        <f ca="1">IF(COUNTA(D$1410:D1411)=1,"",OFFSET(B1409,-COUNTA(D$1410:D1411)+3,1))</f>
        <v/>
      </c>
      <c r="D1411" s="502"/>
      <c r="E1411" s="490" t="str">
        <f ca="1">IFERROR(IF(VLOOKUP(C1411,' Disaggregation - Section E '!A$618:N623,7,0)=0,"",VLOOKUP(C1411,' Disaggregation - Section E '!A$618:N623,7,0)*100),"")</f>
        <v/>
      </c>
      <c r="F1411" s="493" t="str">
        <f ca="1">IFERROR(VLOOKUP(C1411,' Disaggregation - Section E '!A$618:N623,5,0),"")</f>
        <v/>
      </c>
      <c r="G1411" s="492" t="str">
        <f ca="1">IFERROR(IF(VLOOKUP(C1411,' Disaggregation - Section E '!A$618:N623,6,0)=0,"",VLOOKUP(C1411,' Disaggregation - Section E '!A$618:N623,6,0)),"")</f>
        <v/>
      </c>
      <c r="H1411" s="502" t="str">
        <f ca="1">IFERROR(IF(INDEX(' Disaggregation - Section E '!F$618:F1820,MATCH(C1411,' Disaggregation - Section E '!A$618:A1820,0)+1,1)&lt;&gt;0,INDEX(' Disaggregation - Section E '!F$618:F$1820,MATCH(C1411,' Disaggregation - Section E '!A$618:A1820,0)+1,1),""),"")</f>
        <v/>
      </c>
      <c r="I1411" s="493" t="str">
        <f ca="1">IFERROR(IF(VLOOKUP(C1411,' Disaggregation - Section E '!A$618:N623,8,0)=0,"",VLOOKUP(C1411,' Disaggregation - Section E '!A$618:N623,8,0)),"")</f>
        <v/>
      </c>
      <c r="J1411" s="493" t="str">
        <f ca="1">IFERROR(IF(VLOOKUP(C1411,' Disaggregation - Section E '!A$618:N1820,13,0)=0,"",VLOOKUP(C1411,' Disaggregation - Section E '!A$618:N1820,13,0)),"")</f>
        <v/>
      </c>
      <c r="K1411" s="487" t="str">
        <f ca="1">IFERROR(VLOOKUP(C1411,' Disaggregation - Section E '!A$618:N623,3,0),"")</f>
        <v/>
      </c>
      <c r="L1411" s="487"/>
      <c r="M1411" s="487" t="str">
        <f ca="1">IFERROR(IF(VLOOKUP(C1411,' Disaggregation - Section E '!A$618:T623,20,0)=0,"",VLOOKUP(C1411,' Disaggregation - Section E '!A$618:T623,20,0)),"")</f>
        <v/>
      </c>
      <c r="N1411" s="493" t="str">
        <f ca="1">IFERROR(IF(VLOOKUP(C1411,' Disaggregation - Section E '!A$618:N623,14,0)=0,"",VLOOKUP(C1411,' Disaggregation - Section E '!A$618:N623,14,0)),"")</f>
        <v/>
      </c>
      <c r="O1411" s="493" t="str">
        <f ca="1">IFERROR(IF(VLOOKUP(C1411,' Disaggregation - Section E '!A$618:N623,9,0)=0,"",VLOOKUP(C1411,' Disaggregation - Section E '!A$618:N623,9,0)),"")</f>
        <v/>
      </c>
      <c r="P1411" s="493" t="str">
        <f ca="1">IFERROR(IF(VLOOKUP(C1411,' Disaggregation - Section E '!A$618:N623,10,0)=0,"",VLOOKUP(C1411,' Disaggregation - Section E '!A$618:N623,10,0)),"")</f>
        <v/>
      </c>
    </row>
    <row r="1412" spans="1:16" x14ac:dyDescent="0.3">
      <c r="A1412" s="487" t="b">
        <v>0</v>
      </c>
      <c r="B1412" s="487"/>
      <c r="C1412" s="487" t="s">
        <v>4497</v>
      </c>
      <c r="D1412" s="502">
        <v>1</v>
      </c>
      <c r="E1412" s="490"/>
      <c r="F1412" s="493"/>
      <c r="G1412" s="492"/>
      <c r="H1412" s="502"/>
      <c r="I1412" s="493"/>
      <c r="J1412" s="493"/>
      <c r="K1412" s="487" t="str">
        <f ca="1">IFERROR(VLOOKUP(C1412,' Disaggregation - Section E '!A$618:N624,3,0),"")</f>
        <v>HTS-5 Pourcentage de personnes récemment diagnostiquées comme séropositives admises dans des services de prise en charge du VIH</v>
      </c>
      <c r="L1412" s="487"/>
      <c r="M1412" s="487"/>
      <c r="N1412" s="493"/>
      <c r="O1412" s="493"/>
      <c r="P1412" s="493"/>
    </row>
    <row r="1413" spans="1:16" x14ac:dyDescent="0.3">
      <c r="A1413" s="487" t="b">
        <v>0</v>
      </c>
      <c r="B1413" s="487"/>
      <c r="C1413" s="487" t="s">
        <v>4499</v>
      </c>
      <c r="D1413" s="502">
        <v>1</v>
      </c>
      <c r="E1413" s="490"/>
      <c r="F1413" s="493"/>
      <c r="G1413" s="492"/>
      <c r="H1413" s="502"/>
      <c r="I1413" s="493"/>
      <c r="J1413" s="493"/>
      <c r="K1413" s="487" t="str">
        <f ca="1">IFERROR(VLOOKUP(C1413,' Disaggregation - Section E '!A$618:N625,3,0),"")</f>
        <v>HTS-5 Pourcentage de personnes récemment diagnostiquées comme séropositives admises dans des services de prise en charge du VIH</v>
      </c>
      <c r="L1413" s="487"/>
      <c r="M1413" s="487"/>
      <c r="N1413" s="493"/>
      <c r="O1413" s="493"/>
      <c r="P1413" s="493"/>
    </row>
    <row r="1414" spans="1:16" x14ac:dyDescent="0.3">
      <c r="A1414" s="487" t="b">
        <v>0</v>
      </c>
      <c r="B1414" s="487"/>
      <c r="C1414" s="487" t="s">
        <v>4501</v>
      </c>
      <c r="D1414" s="502">
        <v>1</v>
      </c>
      <c r="E1414" s="490"/>
      <c r="F1414" s="493"/>
      <c r="G1414" s="492"/>
      <c r="H1414" s="502"/>
      <c r="I1414" s="493"/>
      <c r="J1414" s="493"/>
      <c r="K1414" s="487" t="str">
        <f ca="1">IFERROR(VLOOKUP(C1414,' Disaggregation - Section E '!A$618:N626,3,0),"")</f>
        <v>HTS-5 Pourcentage de personnes récemment diagnostiquées comme séropositives admises dans des services de prise en charge du VIH</v>
      </c>
      <c r="L1414" s="487"/>
      <c r="M1414" s="487"/>
      <c r="N1414" s="493"/>
      <c r="O1414" s="493"/>
      <c r="P1414" s="493"/>
    </row>
    <row r="1415" spans="1:16" x14ac:dyDescent="0.3">
      <c r="A1415" s="487" t="b">
        <v>0</v>
      </c>
      <c r="B1415" s="487"/>
      <c r="C1415" s="487" t="s">
        <v>4503</v>
      </c>
      <c r="D1415" s="502">
        <v>1</v>
      </c>
      <c r="E1415" s="490"/>
      <c r="F1415" s="493"/>
      <c r="G1415" s="492"/>
      <c r="H1415" s="502"/>
      <c r="I1415" s="493"/>
      <c r="J1415" s="493"/>
      <c r="K1415" s="487" t="str">
        <f ca="1">IFERROR(VLOOKUP(C1415,' Disaggregation - Section E '!A$618:N627,3,0),"")</f>
        <v>HTS-5 Pourcentage de personnes récemment diagnostiquées comme séropositives admises dans des services de prise en charge du VIH</v>
      </c>
      <c r="L1415" s="487"/>
      <c r="M1415" s="487"/>
      <c r="N1415" s="493"/>
      <c r="O1415" s="493"/>
      <c r="P1415" s="493"/>
    </row>
    <row r="1416" spans="1:16" x14ac:dyDescent="0.3">
      <c r="A1416" s="487" t="b">
        <v>0</v>
      </c>
      <c r="B1416" s="487"/>
      <c r="C1416" s="487" t="s">
        <v>4505</v>
      </c>
      <c r="D1416" s="502">
        <v>1</v>
      </c>
      <c r="E1416" s="490"/>
      <c r="F1416" s="493"/>
      <c r="G1416" s="492"/>
      <c r="H1416" s="502"/>
      <c r="I1416" s="493"/>
      <c r="J1416" s="493"/>
      <c r="K1416" s="487" t="str">
        <f ca="1">IFERROR(VLOOKUP(C1416,' Disaggregation - Section E '!A$618:N628,3,0),"")</f>
        <v/>
      </c>
      <c r="L1416" s="487"/>
      <c r="M1416" s="487"/>
      <c r="N1416" s="493"/>
      <c r="O1416" s="493"/>
      <c r="P1416" s="493"/>
    </row>
    <row r="1417" spans="1:16" x14ac:dyDescent="0.3">
      <c r="A1417" s="487" t="b">
        <v>0</v>
      </c>
      <c r="B1417" s="487"/>
      <c r="C1417" s="487" t="s">
        <v>4507</v>
      </c>
      <c r="D1417" s="502">
        <v>1</v>
      </c>
      <c r="E1417" s="490"/>
      <c r="F1417" s="493"/>
      <c r="G1417" s="492"/>
      <c r="H1417" s="502"/>
      <c r="I1417" s="493"/>
      <c r="J1417" s="493"/>
      <c r="K1417" s="487" t="str">
        <f ca="1">IFERROR(VLOOKUP(C1417,' Disaggregation - Section E '!A$618:N629,3,0),"")</f>
        <v/>
      </c>
      <c r="L1417" s="487"/>
      <c r="M1417" s="487"/>
      <c r="N1417" s="493"/>
      <c r="O1417" s="493"/>
      <c r="P1417" s="493"/>
    </row>
    <row r="1418" spans="1:16" x14ac:dyDescent="0.3">
      <c r="A1418" s="487" t="b">
        <v>0</v>
      </c>
      <c r="B1418" s="487"/>
      <c r="C1418" s="487" t="s">
        <v>4509</v>
      </c>
      <c r="D1418" s="502">
        <v>1</v>
      </c>
      <c r="E1418" s="490"/>
      <c r="F1418" s="493"/>
      <c r="G1418" s="492"/>
      <c r="H1418" s="502"/>
      <c r="I1418" s="493"/>
      <c r="J1418" s="493"/>
      <c r="K1418" s="487" t="str">
        <f ca="1">IFERROR(VLOOKUP(C1418,' Disaggregation - Section E '!A$618:N630,3,0),"")</f>
        <v/>
      </c>
      <c r="L1418" s="487"/>
      <c r="M1418" s="487"/>
      <c r="N1418" s="493"/>
      <c r="O1418" s="493"/>
      <c r="P1418" s="493"/>
    </row>
    <row r="1419" spans="1:16" x14ac:dyDescent="0.3">
      <c r="A1419" s="487" t="b">
        <v>0</v>
      </c>
      <c r="B1419" s="487"/>
      <c r="C1419" s="487" t="s">
        <v>4511</v>
      </c>
      <c r="D1419" s="502">
        <v>1</v>
      </c>
      <c r="E1419" s="490"/>
      <c r="F1419" s="493"/>
      <c r="G1419" s="492"/>
      <c r="H1419" s="502"/>
      <c r="I1419" s="493"/>
      <c r="J1419" s="493"/>
      <c r="K1419" s="487" t="str">
        <f ca="1">IFERROR(VLOOKUP(C1419,' Disaggregation - Section E '!A$618:N631,3,0),"")</f>
        <v/>
      </c>
      <c r="L1419" s="487"/>
      <c r="M1419" s="487"/>
      <c r="N1419" s="493"/>
      <c r="O1419" s="493"/>
      <c r="P1419" s="493"/>
    </row>
    <row r="1420" spans="1:16" x14ac:dyDescent="0.3">
      <c r="A1420" s="487" t="b">
        <v>0</v>
      </c>
      <c r="B1420" s="487"/>
      <c r="C1420" s="487" t="s">
        <v>4513</v>
      </c>
      <c r="D1420" s="502">
        <v>1</v>
      </c>
      <c r="E1420" s="490"/>
      <c r="F1420" s="493"/>
      <c r="G1420" s="492"/>
      <c r="H1420" s="502"/>
      <c r="I1420" s="493"/>
      <c r="J1420" s="493"/>
      <c r="K1420" s="487" t="str">
        <f ca="1">IFERROR(VLOOKUP(C1420,' Disaggregation - Section E '!A$618:N632,3,0),"")</f>
        <v/>
      </c>
      <c r="L1420" s="487"/>
      <c r="M1420" s="487"/>
      <c r="N1420" s="493"/>
      <c r="O1420" s="493"/>
      <c r="P1420" s="493"/>
    </row>
    <row r="1421" spans="1:16" x14ac:dyDescent="0.3">
      <c r="A1421" s="487" t="b">
        <v>0</v>
      </c>
      <c r="B1421" s="487"/>
      <c r="C1421" s="487" t="s">
        <v>4515</v>
      </c>
      <c r="D1421" s="502">
        <v>1</v>
      </c>
      <c r="E1421" s="490"/>
      <c r="F1421" s="493"/>
      <c r="G1421" s="492"/>
      <c r="H1421" s="502"/>
      <c r="I1421" s="493"/>
      <c r="J1421" s="493"/>
      <c r="K1421" s="487" t="str">
        <f ca="1">IFERROR(VLOOKUP(C1421,' Disaggregation - Section E '!A$618:N633,3,0),"")</f>
        <v/>
      </c>
      <c r="L1421" s="487"/>
      <c r="M1421" s="487"/>
      <c r="N1421" s="493"/>
      <c r="O1421" s="493"/>
      <c r="P1421" s="493"/>
    </row>
    <row r="1422" spans="1:16" x14ac:dyDescent="0.3">
      <c r="A1422" s="487" t="b">
        <v>0</v>
      </c>
      <c r="B1422" s="487"/>
      <c r="C1422" s="487" t="s">
        <v>4517</v>
      </c>
      <c r="D1422" s="502">
        <v>1</v>
      </c>
      <c r="E1422" s="490"/>
      <c r="F1422" s="493"/>
      <c r="G1422" s="492"/>
      <c r="H1422" s="502"/>
      <c r="I1422" s="493"/>
      <c r="J1422" s="493"/>
      <c r="K1422" s="487" t="str">
        <f ca="1">IFERROR(VLOOKUP(C1422,' Disaggregation - Section E '!A$618:N634,3,0),"")</f>
        <v/>
      </c>
      <c r="L1422" s="487"/>
      <c r="M1422" s="487"/>
      <c r="N1422" s="493"/>
      <c r="O1422" s="493"/>
      <c r="P1422" s="493"/>
    </row>
    <row r="1423" spans="1:16" x14ac:dyDescent="0.3">
      <c r="A1423" s="487" t="b">
        <v>0</v>
      </c>
      <c r="B1423" s="487"/>
      <c r="C1423" s="487" t="s">
        <v>4519</v>
      </c>
      <c r="D1423" s="502">
        <v>1</v>
      </c>
      <c r="E1423" s="490"/>
      <c r="F1423" s="493"/>
      <c r="G1423" s="492"/>
      <c r="H1423" s="502"/>
      <c r="I1423" s="493"/>
      <c r="J1423" s="493"/>
      <c r="K1423" s="487" t="str">
        <f ca="1">IFERROR(VLOOKUP(C1423,' Disaggregation - Section E '!A$618:N635,3,0),"")</f>
        <v/>
      </c>
      <c r="L1423" s="487"/>
      <c r="M1423" s="487"/>
      <c r="N1423" s="493"/>
      <c r="O1423" s="493"/>
      <c r="P1423" s="493"/>
    </row>
    <row r="1424" spans="1:16" x14ac:dyDescent="0.3">
      <c r="A1424" s="487" t="b">
        <v>0</v>
      </c>
      <c r="B1424" s="487"/>
      <c r="C1424" s="487" t="s">
        <v>4521</v>
      </c>
      <c r="D1424" s="502">
        <v>1</v>
      </c>
      <c r="E1424" s="490"/>
      <c r="F1424" s="493"/>
      <c r="G1424" s="492"/>
      <c r="H1424" s="502"/>
      <c r="I1424" s="493"/>
      <c r="J1424" s="493"/>
      <c r="K1424" s="487" t="str">
        <f ca="1">IFERROR(VLOOKUP(C1424,' Disaggregation - Section E '!A$618:N636,3,0),"")</f>
        <v/>
      </c>
      <c r="L1424" s="487"/>
      <c r="M1424" s="487"/>
      <c r="N1424" s="493"/>
      <c r="O1424" s="493"/>
      <c r="P1424" s="493"/>
    </row>
    <row r="1425" spans="1:16" x14ac:dyDescent="0.3">
      <c r="A1425" s="487" t="b">
        <v>0</v>
      </c>
      <c r="B1425" s="487"/>
      <c r="C1425" s="487" t="s">
        <v>4523</v>
      </c>
      <c r="D1425" s="502">
        <v>1</v>
      </c>
      <c r="E1425" s="490"/>
      <c r="F1425" s="493"/>
      <c r="G1425" s="492"/>
      <c r="H1425" s="502"/>
      <c r="I1425" s="493"/>
      <c r="J1425" s="493"/>
      <c r="K1425" s="487" t="str">
        <f ca="1">IFERROR(VLOOKUP(C1425,' Disaggregation - Section E '!A$618:N637,3,0),"")</f>
        <v/>
      </c>
      <c r="L1425" s="487"/>
      <c r="M1425" s="487"/>
      <c r="N1425" s="493"/>
      <c r="O1425" s="493"/>
      <c r="P1425" s="493"/>
    </row>
    <row r="1426" spans="1:16" x14ac:dyDescent="0.3">
      <c r="A1426" s="487" t="b">
        <v>0</v>
      </c>
      <c r="B1426" s="487"/>
      <c r="C1426" s="487" t="s">
        <v>4525</v>
      </c>
      <c r="D1426" s="502">
        <v>1</v>
      </c>
      <c r="E1426" s="490"/>
      <c r="F1426" s="493"/>
      <c r="G1426" s="492"/>
      <c r="H1426" s="502"/>
      <c r="I1426" s="493"/>
      <c r="J1426" s="493"/>
      <c r="K1426" s="487" t="str">
        <f ca="1">IFERROR(VLOOKUP(C1426,' Disaggregation - Section E '!A$618:N638,3,0),"")</f>
        <v/>
      </c>
      <c r="L1426" s="487"/>
      <c r="M1426" s="487"/>
      <c r="N1426" s="493"/>
      <c r="O1426" s="493"/>
      <c r="P1426" s="493"/>
    </row>
    <row r="1427" spans="1:16" x14ac:dyDescent="0.3">
      <c r="A1427" s="487" t="b">
        <v>0</v>
      </c>
      <c r="B1427" s="487"/>
      <c r="C1427" s="487" t="s">
        <v>4527</v>
      </c>
      <c r="D1427" s="502">
        <v>1</v>
      </c>
      <c r="E1427" s="490"/>
      <c r="F1427" s="493"/>
      <c r="G1427" s="492"/>
      <c r="H1427" s="502"/>
      <c r="I1427" s="493"/>
      <c r="J1427" s="493"/>
      <c r="K1427" s="487" t="str">
        <f ca="1">IFERROR(VLOOKUP(C1427,' Disaggregation - Section E '!A$618:N639,3,0),"")</f>
        <v/>
      </c>
      <c r="L1427" s="487"/>
      <c r="M1427" s="487"/>
      <c r="N1427" s="493"/>
      <c r="O1427" s="493"/>
      <c r="P1427" s="493"/>
    </row>
    <row r="1428" spans="1:16" x14ac:dyDescent="0.3">
      <c r="A1428" s="487" t="b">
        <v>0</v>
      </c>
      <c r="B1428" s="487"/>
      <c r="C1428" s="487" t="s">
        <v>4529</v>
      </c>
      <c r="D1428" s="502">
        <v>1</v>
      </c>
      <c r="E1428" s="490"/>
      <c r="F1428" s="493"/>
      <c r="G1428" s="492"/>
      <c r="H1428" s="502"/>
      <c r="I1428" s="493"/>
      <c r="J1428" s="493"/>
      <c r="K1428" s="487" t="str">
        <f ca="1">IFERROR(VLOOKUP(C1428,' Disaggregation - Section E '!A$618:N640,3,0),"")</f>
        <v/>
      </c>
      <c r="L1428" s="487"/>
      <c r="M1428" s="487"/>
      <c r="N1428" s="493"/>
      <c r="O1428" s="493"/>
      <c r="P1428" s="493"/>
    </row>
    <row r="1429" spans="1:16" x14ac:dyDescent="0.3">
      <c r="A1429" s="487" t="b">
        <v>0</v>
      </c>
      <c r="B1429" s="487"/>
      <c r="C1429" s="487" t="s">
        <v>4531</v>
      </c>
      <c r="D1429" s="502">
        <v>1</v>
      </c>
      <c r="E1429" s="490"/>
      <c r="F1429" s="493"/>
      <c r="G1429" s="492"/>
      <c r="H1429" s="502"/>
      <c r="I1429" s="493"/>
      <c r="J1429" s="493"/>
      <c r="K1429" s="487" t="str">
        <f ca="1">IFERROR(VLOOKUP(C1429,' Disaggregation - Section E '!A$618:N641,3,0),"")</f>
        <v/>
      </c>
      <c r="L1429" s="487"/>
      <c r="M1429" s="487"/>
      <c r="N1429" s="493"/>
      <c r="O1429" s="493"/>
      <c r="P1429" s="493"/>
    </row>
    <row r="1430" spans="1:16" x14ac:dyDescent="0.3">
      <c r="A1430" s="487" t="b">
        <v>0</v>
      </c>
      <c r="B1430" s="487"/>
      <c r="C1430" s="487" t="s">
        <v>4533</v>
      </c>
      <c r="D1430" s="502">
        <v>1</v>
      </c>
      <c r="E1430" s="490"/>
      <c r="F1430" s="493"/>
      <c r="G1430" s="492"/>
      <c r="H1430" s="502"/>
      <c r="I1430" s="493"/>
      <c r="J1430" s="493"/>
      <c r="K1430" s="487" t="str">
        <f ca="1">IFERROR(VLOOKUP(C1430,' Disaggregation - Section E '!A$618:N642,3,0),"")</f>
        <v/>
      </c>
      <c r="L1430" s="487"/>
      <c r="M1430" s="487"/>
      <c r="N1430" s="493"/>
      <c r="O1430" s="493"/>
      <c r="P1430" s="493"/>
    </row>
    <row r="1431" spans="1:16" x14ac:dyDescent="0.3">
      <c r="A1431" s="487" t="b">
        <v>0</v>
      </c>
      <c r="B1431" s="487"/>
      <c r="C1431" s="487" t="s">
        <v>4535</v>
      </c>
      <c r="D1431" s="502">
        <v>1</v>
      </c>
      <c r="E1431" s="490"/>
      <c r="F1431" s="493"/>
      <c r="G1431" s="492"/>
      <c r="H1431" s="502"/>
      <c r="I1431" s="493"/>
      <c r="J1431" s="493"/>
      <c r="K1431" s="487" t="str">
        <f ca="1">IFERROR(VLOOKUP(C1431,' Disaggregation - Section E '!A$618:N643,3,0),"")</f>
        <v/>
      </c>
      <c r="L1431" s="487"/>
      <c r="M1431" s="487"/>
      <c r="N1431" s="493"/>
      <c r="O1431" s="493"/>
      <c r="P1431" s="493"/>
    </row>
    <row r="1432" spans="1:16" x14ac:dyDescent="0.3">
      <c r="A1432" s="487" t="b">
        <v>0</v>
      </c>
      <c r="B1432" s="487"/>
      <c r="C1432" s="487" t="s">
        <v>4538</v>
      </c>
      <c r="D1432" s="502">
        <v>2</v>
      </c>
      <c r="E1432" s="490"/>
      <c r="F1432" s="493"/>
      <c r="G1432" s="492"/>
      <c r="H1432" s="502"/>
      <c r="I1432" s="493"/>
      <c r="J1432" s="493"/>
      <c r="K1432" s="487" t="str">
        <f ca="1">IFERROR(VLOOKUP(C1432,' Disaggregation - Section E '!A$618:N644,3,0),"")</f>
        <v/>
      </c>
      <c r="L1432" s="487"/>
      <c r="M1432" s="487"/>
      <c r="N1432" s="493"/>
      <c r="O1432" s="493"/>
      <c r="P1432" s="493"/>
    </row>
    <row r="1433" spans="1:16" x14ac:dyDescent="0.3">
      <c r="A1433" s="487" t="b">
        <v>0</v>
      </c>
      <c r="B1433" s="487"/>
      <c r="C1433" s="487" t="s">
        <v>4540</v>
      </c>
      <c r="D1433" s="502">
        <v>2</v>
      </c>
      <c r="E1433" s="490"/>
      <c r="F1433" s="493"/>
      <c r="G1433" s="492"/>
      <c r="H1433" s="502"/>
      <c r="I1433" s="493"/>
      <c r="J1433" s="493"/>
      <c r="K1433" s="487" t="str">
        <f ca="1">IFERROR(VLOOKUP(C1433,' Disaggregation - Section E '!A$618:N645,3,0),"")</f>
        <v/>
      </c>
      <c r="L1433" s="487"/>
      <c r="M1433" s="487"/>
      <c r="N1433" s="493"/>
      <c r="O1433" s="493"/>
      <c r="P1433" s="493"/>
    </row>
    <row r="1434" spans="1:16" x14ac:dyDescent="0.3">
      <c r="A1434" s="487" t="b">
        <v>0</v>
      </c>
      <c r="B1434" s="487"/>
      <c r="C1434" s="487" t="s">
        <v>4542</v>
      </c>
      <c r="D1434" s="502">
        <v>2</v>
      </c>
      <c r="E1434" s="490"/>
      <c r="F1434" s="493"/>
      <c r="G1434" s="492"/>
      <c r="H1434" s="502"/>
      <c r="I1434" s="493"/>
      <c r="J1434" s="493"/>
      <c r="K1434" s="487" t="str">
        <f ca="1">IFERROR(VLOOKUP(C1434,' Disaggregation - Section E '!A$618:N646,3,0),"")</f>
        <v/>
      </c>
      <c r="L1434" s="487"/>
      <c r="M1434" s="487"/>
      <c r="N1434" s="493"/>
      <c r="O1434" s="493"/>
      <c r="P1434" s="493"/>
    </row>
    <row r="1435" spans="1:16" x14ac:dyDescent="0.3">
      <c r="A1435" s="487" t="b">
        <v>0</v>
      </c>
      <c r="B1435" s="487"/>
      <c r="C1435" s="487" t="s">
        <v>4544</v>
      </c>
      <c r="D1435" s="502">
        <v>2</v>
      </c>
      <c r="E1435" s="490"/>
      <c r="F1435" s="493"/>
      <c r="G1435" s="492"/>
      <c r="H1435" s="502"/>
      <c r="I1435" s="493"/>
      <c r="J1435" s="493"/>
      <c r="K1435" s="487" t="str">
        <f ca="1">IFERROR(VLOOKUP(C1435,' Disaggregation - Section E '!A$618:N647,3,0),"")</f>
        <v/>
      </c>
      <c r="L1435" s="487"/>
      <c r="M1435" s="487"/>
      <c r="N1435" s="493"/>
      <c r="O1435" s="493"/>
      <c r="P1435" s="493"/>
    </row>
    <row r="1436" spans="1:16" x14ac:dyDescent="0.3">
      <c r="A1436" s="487" t="b">
        <v>0</v>
      </c>
      <c r="B1436" s="487"/>
      <c r="C1436" s="487" t="s">
        <v>4546</v>
      </c>
      <c r="D1436" s="502">
        <v>2</v>
      </c>
      <c r="E1436" s="490"/>
      <c r="F1436" s="493"/>
      <c r="G1436" s="492"/>
      <c r="H1436" s="502"/>
      <c r="I1436" s="493"/>
      <c r="J1436" s="493"/>
      <c r="K1436" s="487" t="str">
        <f ca="1">IFERROR(VLOOKUP(C1436,' Disaggregation - Section E '!A$618:N648,3,0),"")</f>
        <v/>
      </c>
      <c r="L1436" s="487"/>
      <c r="M1436" s="487"/>
      <c r="N1436" s="493"/>
      <c r="O1436" s="493"/>
      <c r="P1436" s="493"/>
    </row>
    <row r="1437" spans="1:16" x14ac:dyDescent="0.3">
      <c r="A1437" s="487" t="b">
        <v>0</v>
      </c>
      <c r="B1437" s="487"/>
      <c r="C1437" s="487" t="s">
        <v>4548</v>
      </c>
      <c r="D1437" s="502">
        <v>2</v>
      </c>
      <c r="E1437" s="490"/>
      <c r="F1437" s="493"/>
      <c r="G1437" s="492"/>
      <c r="H1437" s="502"/>
      <c r="I1437" s="493"/>
      <c r="J1437" s="493"/>
      <c r="K1437" s="487" t="str">
        <f ca="1">IFERROR(VLOOKUP(C1437,' Disaggregation - Section E '!A$618:N649,3,0),"")</f>
        <v/>
      </c>
      <c r="L1437" s="487"/>
      <c r="M1437" s="487"/>
      <c r="N1437" s="493"/>
      <c r="O1437" s="493"/>
      <c r="P1437" s="493"/>
    </row>
    <row r="1438" spans="1:16" x14ac:dyDescent="0.3">
      <c r="A1438" s="487" t="b">
        <v>0</v>
      </c>
      <c r="B1438" s="487"/>
      <c r="C1438" s="487" t="s">
        <v>4550</v>
      </c>
      <c r="D1438" s="502">
        <v>2</v>
      </c>
      <c r="E1438" s="490"/>
      <c r="F1438" s="493"/>
      <c r="G1438" s="492"/>
      <c r="H1438" s="502"/>
      <c r="I1438" s="493"/>
      <c r="J1438" s="493"/>
      <c r="K1438" s="487" t="str">
        <f ca="1">IFERROR(VLOOKUP(C1438,' Disaggregation - Section E '!A$618:N650,3,0),"")</f>
        <v/>
      </c>
      <c r="L1438" s="487"/>
      <c r="M1438" s="487"/>
      <c r="N1438" s="493"/>
      <c r="O1438" s="493"/>
      <c r="P1438" s="493"/>
    </row>
    <row r="1439" spans="1:16" x14ac:dyDescent="0.3">
      <c r="A1439" s="487" t="b">
        <v>0</v>
      </c>
      <c r="B1439" s="487"/>
      <c r="C1439" s="487" t="s">
        <v>4552</v>
      </c>
      <c r="D1439" s="502">
        <v>2</v>
      </c>
      <c r="E1439" s="490"/>
      <c r="F1439" s="493"/>
      <c r="G1439" s="492"/>
      <c r="H1439" s="502"/>
      <c r="I1439" s="493"/>
      <c r="J1439" s="493"/>
      <c r="K1439" s="487" t="str">
        <f ca="1">IFERROR(VLOOKUP(C1439,' Disaggregation - Section E '!A$618:N651,3,0),"")</f>
        <v/>
      </c>
      <c r="L1439" s="487"/>
      <c r="M1439" s="487"/>
      <c r="N1439" s="493"/>
      <c r="O1439" s="493"/>
      <c r="P1439" s="493"/>
    </row>
    <row r="1440" spans="1:16" x14ac:dyDescent="0.3">
      <c r="A1440" s="487" t="b">
        <v>0</v>
      </c>
      <c r="B1440" s="487"/>
      <c r="C1440" s="487" t="s">
        <v>4554</v>
      </c>
      <c r="D1440" s="502">
        <v>2</v>
      </c>
      <c r="E1440" s="490"/>
      <c r="F1440" s="493"/>
      <c r="G1440" s="492"/>
      <c r="H1440" s="502"/>
      <c r="I1440" s="493"/>
      <c r="J1440" s="493"/>
      <c r="K1440" s="487" t="str">
        <f ca="1">IFERROR(VLOOKUP(C1440,' Disaggregation - Section E '!A$618:N652,3,0),"")</f>
        <v/>
      </c>
      <c r="L1440" s="487"/>
      <c r="M1440" s="487"/>
      <c r="N1440" s="493"/>
      <c r="O1440" s="493"/>
      <c r="P1440" s="493"/>
    </row>
    <row r="1441" spans="1:16" x14ac:dyDescent="0.3">
      <c r="A1441" s="487" t="b">
        <v>0</v>
      </c>
      <c r="B1441" s="487"/>
      <c r="C1441" s="487" t="s">
        <v>4556</v>
      </c>
      <c r="D1441" s="502">
        <v>2</v>
      </c>
      <c r="E1441" s="490"/>
      <c r="F1441" s="493"/>
      <c r="G1441" s="492"/>
      <c r="H1441" s="502"/>
      <c r="I1441" s="493"/>
      <c r="J1441" s="493"/>
      <c r="K1441" s="487" t="str">
        <f ca="1">IFERROR(VLOOKUP(C1441,' Disaggregation - Section E '!A$618:N653,3,0),"")</f>
        <v/>
      </c>
      <c r="L1441" s="487"/>
      <c r="M1441" s="487"/>
      <c r="N1441" s="493"/>
      <c r="O1441" s="493"/>
      <c r="P1441" s="493"/>
    </row>
    <row r="1442" spans="1:16" x14ac:dyDescent="0.3">
      <c r="A1442" s="487" t="b">
        <v>0</v>
      </c>
      <c r="B1442" s="487"/>
      <c r="C1442" s="487" t="s">
        <v>4558</v>
      </c>
      <c r="D1442" s="502">
        <v>2</v>
      </c>
      <c r="E1442" s="490"/>
      <c r="F1442" s="493"/>
      <c r="G1442" s="492"/>
      <c r="H1442" s="502"/>
      <c r="I1442" s="493"/>
      <c r="J1442" s="493"/>
      <c r="K1442" s="487" t="str">
        <f ca="1">IFERROR(VLOOKUP(C1442,' Disaggregation - Section E '!A$618:N654,3,0),"")</f>
        <v/>
      </c>
      <c r="L1442" s="487"/>
      <c r="M1442" s="487"/>
      <c r="N1442" s="493"/>
      <c r="O1442" s="493"/>
      <c r="P1442" s="493"/>
    </row>
    <row r="1443" spans="1:16" x14ac:dyDescent="0.3">
      <c r="A1443" s="487" t="b">
        <v>0</v>
      </c>
      <c r="B1443" s="487"/>
      <c r="C1443" s="487" t="s">
        <v>4560</v>
      </c>
      <c r="D1443" s="502">
        <v>2</v>
      </c>
      <c r="E1443" s="490"/>
      <c r="F1443" s="493"/>
      <c r="G1443" s="492"/>
      <c r="H1443" s="502"/>
      <c r="I1443" s="493"/>
      <c r="J1443" s="493"/>
      <c r="K1443" s="487" t="str">
        <f ca="1">IFERROR(VLOOKUP(C1443,' Disaggregation - Section E '!A$618:N655,3,0),"")</f>
        <v/>
      </c>
      <c r="L1443" s="487"/>
      <c r="M1443" s="487"/>
      <c r="N1443" s="493"/>
      <c r="O1443" s="493"/>
      <c r="P1443" s="493"/>
    </row>
    <row r="1444" spans="1:16" x14ac:dyDescent="0.3">
      <c r="A1444" s="487" t="b">
        <v>0</v>
      </c>
      <c r="B1444" s="487"/>
      <c r="C1444" s="487" t="s">
        <v>4562</v>
      </c>
      <c r="D1444" s="502">
        <v>2</v>
      </c>
      <c r="E1444" s="490"/>
      <c r="F1444" s="493"/>
      <c r="G1444" s="492"/>
      <c r="H1444" s="502"/>
      <c r="I1444" s="493"/>
      <c r="J1444" s="493"/>
      <c r="K1444" s="487" t="str">
        <f ca="1">IFERROR(VLOOKUP(C1444,' Disaggregation - Section E '!A$618:N656,3,0),"")</f>
        <v/>
      </c>
      <c r="L1444" s="487"/>
      <c r="M1444" s="487"/>
      <c r="N1444" s="493"/>
      <c r="O1444" s="493"/>
      <c r="P1444" s="493"/>
    </row>
    <row r="1445" spans="1:16" x14ac:dyDescent="0.3">
      <c r="A1445" s="487" t="b">
        <v>0</v>
      </c>
      <c r="B1445" s="487"/>
      <c r="C1445" s="487" t="s">
        <v>4564</v>
      </c>
      <c r="D1445" s="502">
        <v>2</v>
      </c>
      <c r="E1445" s="490"/>
      <c r="F1445" s="493"/>
      <c r="G1445" s="492"/>
      <c r="H1445" s="502"/>
      <c r="I1445" s="493"/>
      <c r="J1445" s="493"/>
      <c r="K1445" s="487" t="str">
        <f ca="1">IFERROR(VLOOKUP(C1445,' Disaggregation - Section E '!A$618:N657,3,0),"")</f>
        <v/>
      </c>
      <c r="L1445" s="487"/>
      <c r="M1445" s="487"/>
      <c r="N1445" s="493"/>
      <c r="O1445" s="493"/>
      <c r="P1445" s="493"/>
    </row>
    <row r="1446" spans="1:16" x14ac:dyDescent="0.3">
      <c r="A1446" s="487" t="b">
        <v>0</v>
      </c>
      <c r="B1446" s="487"/>
      <c r="C1446" s="487" t="s">
        <v>4566</v>
      </c>
      <c r="D1446" s="502">
        <v>2</v>
      </c>
      <c r="E1446" s="490"/>
      <c r="F1446" s="493"/>
      <c r="G1446" s="492"/>
      <c r="H1446" s="502"/>
      <c r="I1446" s="493"/>
      <c r="J1446" s="493"/>
      <c r="K1446" s="487" t="str">
        <f ca="1">IFERROR(VLOOKUP(C1446,' Disaggregation - Section E '!A$618:N658,3,0),"")</f>
        <v/>
      </c>
      <c r="L1446" s="487"/>
      <c r="M1446" s="487"/>
      <c r="N1446" s="493"/>
      <c r="O1446" s="493"/>
      <c r="P1446" s="493"/>
    </row>
    <row r="1447" spans="1:16" x14ac:dyDescent="0.3">
      <c r="A1447" s="487" t="b">
        <v>0</v>
      </c>
      <c r="B1447" s="487"/>
      <c r="C1447" s="487" t="s">
        <v>4568</v>
      </c>
      <c r="D1447" s="502">
        <v>2</v>
      </c>
      <c r="E1447" s="490"/>
      <c r="F1447" s="493"/>
      <c r="G1447" s="492"/>
      <c r="H1447" s="502"/>
      <c r="I1447" s="493"/>
      <c r="J1447" s="493"/>
      <c r="K1447" s="487" t="str">
        <f ca="1">IFERROR(VLOOKUP(C1447,' Disaggregation - Section E '!A$618:N659,3,0),"")</f>
        <v/>
      </c>
      <c r="L1447" s="487"/>
      <c r="M1447" s="487"/>
      <c r="N1447" s="493"/>
      <c r="O1447" s="493"/>
      <c r="P1447" s="493"/>
    </row>
    <row r="1448" spans="1:16" x14ac:dyDescent="0.3">
      <c r="A1448" s="487" t="b">
        <v>0</v>
      </c>
      <c r="B1448" s="487"/>
      <c r="C1448" s="487" t="s">
        <v>4570</v>
      </c>
      <c r="D1448" s="502">
        <v>2</v>
      </c>
      <c r="E1448" s="490"/>
      <c r="F1448" s="493"/>
      <c r="G1448" s="492"/>
      <c r="H1448" s="502"/>
      <c r="I1448" s="493"/>
      <c r="J1448" s="493"/>
      <c r="K1448" s="487" t="str">
        <f ca="1">IFERROR(VLOOKUP(C1448,' Disaggregation - Section E '!A$618:N660,3,0),"")</f>
        <v/>
      </c>
      <c r="L1448" s="487"/>
      <c r="M1448" s="487"/>
      <c r="N1448" s="493"/>
      <c r="O1448" s="493"/>
      <c r="P1448" s="493"/>
    </row>
    <row r="1449" spans="1:16" x14ac:dyDescent="0.3">
      <c r="A1449" s="487" t="b">
        <v>0</v>
      </c>
      <c r="B1449" s="487"/>
      <c r="C1449" s="487" t="s">
        <v>4572</v>
      </c>
      <c r="D1449" s="502">
        <v>2</v>
      </c>
      <c r="E1449" s="490"/>
      <c r="F1449" s="493"/>
      <c r="G1449" s="492"/>
      <c r="H1449" s="502"/>
      <c r="I1449" s="493"/>
      <c r="J1449" s="493"/>
      <c r="K1449" s="487" t="str">
        <f ca="1">IFERROR(VLOOKUP(C1449,' Disaggregation - Section E '!A$618:N661,3,0),"")</f>
        <v/>
      </c>
      <c r="L1449" s="487"/>
      <c r="M1449" s="487"/>
      <c r="N1449" s="493"/>
      <c r="O1449" s="493"/>
      <c r="P1449" s="493"/>
    </row>
    <row r="1450" spans="1:16" x14ac:dyDescent="0.3">
      <c r="A1450" s="487" t="b">
        <v>0</v>
      </c>
      <c r="B1450" s="487"/>
      <c r="C1450" s="487" t="s">
        <v>4574</v>
      </c>
      <c r="D1450" s="502">
        <v>2</v>
      </c>
      <c r="E1450" s="490"/>
      <c r="F1450" s="493"/>
      <c r="G1450" s="492"/>
      <c r="H1450" s="502"/>
      <c r="I1450" s="493"/>
      <c r="J1450" s="493"/>
      <c r="K1450" s="487" t="str">
        <f ca="1">IFERROR(VLOOKUP(C1450,' Disaggregation - Section E '!A$618:N662,3,0),"")</f>
        <v/>
      </c>
      <c r="L1450" s="487"/>
      <c r="M1450" s="487"/>
      <c r="N1450" s="493"/>
      <c r="O1450" s="493"/>
      <c r="P1450" s="493"/>
    </row>
    <row r="1451" spans="1:16" x14ac:dyDescent="0.3">
      <c r="A1451" s="487" t="b">
        <v>0</v>
      </c>
      <c r="B1451" s="487"/>
      <c r="C1451" s="487" t="s">
        <v>4576</v>
      </c>
      <c r="D1451" s="502">
        <v>2</v>
      </c>
      <c r="E1451" s="490"/>
      <c r="F1451" s="493"/>
      <c r="G1451" s="492"/>
      <c r="H1451" s="502"/>
      <c r="I1451" s="493"/>
      <c r="J1451" s="493"/>
      <c r="K1451" s="487" t="str">
        <f ca="1">IFERROR(VLOOKUP(C1451,' Disaggregation - Section E '!A$618:N663,3,0),"")</f>
        <v/>
      </c>
      <c r="L1451" s="487"/>
      <c r="M1451" s="487"/>
      <c r="N1451" s="493"/>
      <c r="O1451" s="493"/>
      <c r="P1451" s="493"/>
    </row>
    <row r="1452" spans="1:16" x14ac:dyDescent="0.3">
      <c r="A1452" s="487" t="b">
        <v>0</v>
      </c>
      <c r="B1452" s="487"/>
      <c r="C1452" s="487" t="s">
        <v>4579</v>
      </c>
      <c r="D1452" s="502">
        <v>3</v>
      </c>
      <c r="E1452" s="490"/>
      <c r="F1452" s="493"/>
      <c r="G1452" s="492"/>
      <c r="H1452" s="502"/>
      <c r="I1452" s="493"/>
      <c r="J1452" s="493"/>
      <c r="K1452" s="487" t="str">
        <f ca="1">IFERROR(VLOOKUP(C1452,' Disaggregation - Section E '!A$618:N664,3,0),"")</f>
        <v/>
      </c>
      <c r="L1452" s="487"/>
      <c r="M1452" s="487"/>
      <c r="N1452" s="493"/>
      <c r="O1452" s="493"/>
      <c r="P1452" s="493"/>
    </row>
    <row r="1453" spans="1:16" x14ac:dyDescent="0.3">
      <c r="A1453" s="487" t="b">
        <v>0</v>
      </c>
      <c r="B1453" s="487"/>
      <c r="C1453" s="487" t="s">
        <v>4581</v>
      </c>
      <c r="D1453" s="502">
        <v>3</v>
      </c>
      <c r="E1453" s="490"/>
      <c r="F1453" s="493"/>
      <c r="G1453" s="492"/>
      <c r="H1453" s="502"/>
      <c r="I1453" s="493"/>
      <c r="J1453" s="493"/>
      <c r="K1453" s="487" t="str">
        <f ca="1">IFERROR(VLOOKUP(C1453,' Disaggregation - Section E '!A$618:N665,3,0),"")</f>
        <v/>
      </c>
      <c r="L1453" s="487"/>
      <c r="M1453" s="487"/>
      <c r="N1453" s="493"/>
      <c r="O1453" s="493"/>
      <c r="P1453" s="493"/>
    </row>
    <row r="1454" spans="1:16" x14ac:dyDescent="0.3">
      <c r="A1454" s="487" t="b">
        <v>0</v>
      </c>
      <c r="B1454" s="487"/>
      <c r="C1454" s="487" t="s">
        <v>4583</v>
      </c>
      <c r="D1454" s="502">
        <v>3</v>
      </c>
      <c r="E1454" s="490"/>
      <c r="F1454" s="493"/>
      <c r="G1454" s="492"/>
      <c r="H1454" s="502"/>
      <c r="I1454" s="493"/>
      <c r="J1454" s="493"/>
      <c r="K1454" s="487" t="str">
        <f ca="1">IFERROR(VLOOKUP(C1454,' Disaggregation - Section E '!A$618:N666,3,0),"")</f>
        <v/>
      </c>
      <c r="L1454" s="487"/>
      <c r="M1454" s="487"/>
      <c r="N1454" s="493"/>
      <c r="O1454" s="493"/>
      <c r="P1454" s="493"/>
    </row>
    <row r="1455" spans="1:16" x14ac:dyDescent="0.3">
      <c r="A1455" s="487" t="b">
        <v>0</v>
      </c>
      <c r="B1455" s="487"/>
      <c r="C1455" s="487" t="s">
        <v>4585</v>
      </c>
      <c r="D1455" s="502">
        <v>3</v>
      </c>
      <c r="E1455" s="490"/>
      <c r="F1455" s="493"/>
      <c r="G1455" s="492"/>
      <c r="H1455" s="502"/>
      <c r="I1455" s="493"/>
      <c r="J1455" s="493"/>
      <c r="K1455" s="487" t="str">
        <f ca="1">IFERROR(VLOOKUP(C1455,' Disaggregation - Section E '!A$618:N667,3,0),"")</f>
        <v/>
      </c>
      <c r="L1455" s="487"/>
      <c r="M1455" s="487"/>
      <c r="N1455" s="493"/>
      <c r="O1455" s="493"/>
      <c r="P1455" s="493"/>
    </row>
    <row r="1456" spans="1:16" x14ac:dyDescent="0.3">
      <c r="A1456" s="487" t="b">
        <v>0</v>
      </c>
      <c r="B1456" s="487"/>
      <c r="C1456" s="487" t="s">
        <v>4587</v>
      </c>
      <c r="D1456" s="502">
        <v>3</v>
      </c>
      <c r="E1456" s="490"/>
      <c r="F1456" s="493"/>
      <c r="G1456" s="492"/>
      <c r="H1456" s="502"/>
      <c r="I1456" s="493"/>
      <c r="J1456" s="493"/>
      <c r="K1456" s="487" t="str">
        <f ca="1">IFERROR(VLOOKUP(C1456,' Disaggregation - Section E '!A$618:N668,3,0),"")</f>
        <v/>
      </c>
      <c r="L1456" s="487"/>
      <c r="M1456" s="487"/>
      <c r="N1456" s="493"/>
      <c r="O1456" s="493"/>
      <c r="P1456" s="493"/>
    </row>
    <row r="1457" spans="1:16" x14ac:dyDescent="0.3">
      <c r="A1457" s="487" t="b">
        <v>0</v>
      </c>
      <c r="B1457" s="487"/>
      <c r="C1457" s="487" t="s">
        <v>4589</v>
      </c>
      <c r="D1457" s="502">
        <v>3</v>
      </c>
      <c r="E1457" s="490"/>
      <c r="F1457" s="493"/>
      <c r="G1457" s="492"/>
      <c r="H1457" s="502"/>
      <c r="I1457" s="493"/>
      <c r="J1457" s="493"/>
      <c r="K1457" s="487" t="str">
        <f ca="1">IFERROR(VLOOKUP(C1457,' Disaggregation - Section E '!A$618:N669,3,0),"")</f>
        <v/>
      </c>
      <c r="L1457" s="487"/>
      <c r="M1457" s="487"/>
      <c r="N1457" s="493"/>
      <c r="O1457" s="493"/>
      <c r="P1457" s="493"/>
    </row>
    <row r="1458" spans="1:16" x14ac:dyDescent="0.3">
      <c r="A1458" s="487" t="b">
        <v>0</v>
      </c>
      <c r="B1458" s="487"/>
      <c r="C1458" s="487" t="s">
        <v>4591</v>
      </c>
      <c r="D1458" s="502">
        <v>3</v>
      </c>
      <c r="E1458" s="490"/>
      <c r="F1458" s="493"/>
      <c r="G1458" s="492"/>
      <c r="H1458" s="502"/>
      <c r="I1458" s="493"/>
      <c r="J1458" s="493"/>
      <c r="K1458" s="487" t="str">
        <f ca="1">IFERROR(VLOOKUP(C1458,' Disaggregation - Section E '!A$618:N670,3,0),"")</f>
        <v/>
      </c>
      <c r="L1458" s="487"/>
      <c r="M1458" s="487"/>
      <c r="N1458" s="493"/>
      <c r="O1458" s="493"/>
      <c r="P1458" s="493"/>
    </row>
    <row r="1459" spans="1:16" x14ac:dyDescent="0.3">
      <c r="A1459" s="487" t="b">
        <v>0</v>
      </c>
      <c r="B1459" s="487"/>
      <c r="C1459" s="487" t="s">
        <v>4593</v>
      </c>
      <c r="D1459" s="502">
        <v>3</v>
      </c>
      <c r="E1459" s="490"/>
      <c r="F1459" s="493"/>
      <c r="G1459" s="492"/>
      <c r="H1459" s="502"/>
      <c r="I1459" s="493"/>
      <c r="J1459" s="493"/>
      <c r="K1459" s="487" t="str">
        <f ca="1">IFERROR(VLOOKUP(C1459,' Disaggregation - Section E '!A$618:N671,3,0),"")</f>
        <v/>
      </c>
      <c r="L1459" s="487"/>
      <c r="M1459" s="487"/>
      <c r="N1459" s="493"/>
      <c r="O1459" s="493"/>
      <c r="P1459" s="493"/>
    </row>
    <row r="1460" spans="1:16" x14ac:dyDescent="0.3">
      <c r="A1460" s="487" t="b">
        <v>0</v>
      </c>
      <c r="B1460" s="487"/>
      <c r="C1460" s="487" t="s">
        <v>4595</v>
      </c>
      <c r="D1460" s="502">
        <v>3</v>
      </c>
      <c r="E1460" s="490"/>
      <c r="F1460" s="493"/>
      <c r="G1460" s="492"/>
      <c r="H1460" s="502"/>
      <c r="I1460" s="493"/>
      <c r="J1460" s="493"/>
      <c r="K1460" s="487" t="str">
        <f ca="1">IFERROR(VLOOKUP(C1460,' Disaggregation - Section E '!A$618:N672,3,0),"")</f>
        <v/>
      </c>
      <c r="L1460" s="487"/>
      <c r="M1460" s="487"/>
      <c r="N1460" s="493"/>
      <c r="O1460" s="493"/>
      <c r="P1460" s="493"/>
    </row>
    <row r="1461" spans="1:16" x14ac:dyDescent="0.3">
      <c r="A1461" s="487" t="b">
        <v>0</v>
      </c>
      <c r="B1461" s="487"/>
      <c r="C1461" s="487" t="s">
        <v>4597</v>
      </c>
      <c r="D1461" s="502">
        <v>3</v>
      </c>
      <c r="E1461" s="490"/>
      <c r="F1461" s="493"/>
      <c r="G1461" s="492"/>
      <c r="H1461" s="502"/>
      <c r="I1461" s="493"/>
      <c r="J1461" s="493"/>
      <c r="K1461" s="487" t="str">
        <f ca="1">IFERROR(VLOOKUP(C1461,' Disaggregation - Section E '!A$618:N673,3,0),"")</f>
        <v/>
      </c>
      <c r="L1461" s="487"/>
      <c r="M1461" s="487"/>
      <c r="N1461" s="493"/>
      <c r="O1461" s="493"/>
      <c r="P1461" s="493"/>
    </row>
    <row r="1462" spans="1:16" x14ac:dyDescent="0.3">
      <c r="A1462" s="487" t="b">
        <v>0</v>
      </c>
      <c r="B1462" s="487"/>
      <c r="C1462" s="487" t="s">
        <v>4599</v>
      </c>
      <c r="D1462" s="502">
        <v>3</v>
      </c>
      <c r="E1462" s="490"/>
      <c r="F1462" s="493"/>
      <c r="G1462" s="492"/>
      <c r="H1462" s="502"/>
      <c r="I1462" s="493"/>
      <c r="J1462" s="493"/>
      <c r="K1462" s="487" t="str">
        <f ca="1">IFERROR(VLOOKUP(C1462,' Disaggregation - Section E '!A$618:N674,3,0),"")</f>
        <v/>
      </c>
      <c r="L1462" s="487"/>
      <c r="M1462" s="487"/>
      <c r="N1462" s="493"/>
      <c r="O1462" s="493"/>
      <c r="P1462" s="493"/>
    </row>
    <row r="1463" spans="1:16" x14ac:dyDescent="0.3">
      <c r="A1463" s="487" t="b">
        <v>0</v>
      </c>
      <c r="B1463" s="487"/>
      <c r="C1463" s="487" t="s">
        <v>4601</v>
      </c>
      <c r="D1463" s="502">
        <v>3</v>
      </c>
      <c r="E1463" s="490"/>
      <c r="F1463" s="493"/>
      <c r="G1463" s="492"/>
      <c r="H1463" s="502"/>
      <c r="I1463" s="493"/>
      <c r="J1463" s="493"/>
      <c r="K1463" s="487" t="str">
        <f ca="1">IFERROR(VLOOKUP(C1463,' Disaggregation - Section E '!A$618:N675,3,0),"")</f>
        <v/>
      </c>
      <c r="L1463" s="487"/>
      <c r="M1463" s="487"/>
      <c r="N1463" s="493"/>
      <c r="O1463" s="493"/>
      <c r="P1463" s="493"/>
    </row>
    <row r="1464" spans="1:16" x14ac:dyDescent="0.3">
      <c r="A1464" s="487" t="b">
        <v>0</v>
      </c>
      <c r="B1464" s="487"/>
      <c r="C1464" s="487" t="s">
        <v>4603</v>
      </c>
      <c r="D1464" s="502">
        <v>3</v>
      </c>
      <c r="E1464" s="490"/>
      <c r="F1464" s="493"/>
      <c r="G1464" s="492"/>
      <c r="H1464" s="502"/>
      <c r="I1464" s="493"/>
      <c r="J1464" s="493"/>
      <c r="K1464" s="487" t="str">
        <f ca="1">IFERROR(VLOOKUP(C1464,' Disaggregation - Section E '!A$618:N676,3,0),"")</f>
        <v/>
      </c>
      <c r="L1464" s="487"/>
      <c r="M1464" s="487"/>
      <c r="N1464" s="493"/>
      <c r="O1464" s="493"/>
      <c r="P1464" s="493"/>
    </row>
    <row r="1465" spans="1:16" x14ac:dyDescent="0.3">
      <c r="A1465" s="487" t="b">
        <v>0</v>
      </c>
      <c r="B1465" s="487"/>
      <c r="C1465" s="487" t="s">
        <v>4605</v>
      </c>
      <c r="D1465" s="502">
        <v>3</v>
      </c>
      <c r="E1465" s="490"/>
      <c r="F1465" s="493"/>
      <c r="G1465" s="492"/>
      <c r="H1465" s="502"/>
      <c r="I1465" s="493"/>
      <c r="J1465" s="493"/>
      <c r="K1465" s="487" t="str">
        <f ca="1">IFERROR(VLOOKUP(C1465,' Disaggregation - Section E '!A$618:N677,3,0),"")</f>
        <v/>
      </c>
      <c r="L1465" s="487"/>
      <c r="M1465" s="487"/>
      <c r="N1465" s="493"/>
      <c r="O1465" s="493"/>
      <c r="P1465" s="493"/>
    </row>
    <row r="1466" spans="1:16" x14ac:dyDescent="0.3">
      <c r="A1466" s="487" t="b">
        <v>0</v>
      </c>
      <c r="B1466" s="487"/>
      <c r="C1466" s="487" t="s">
        <v>4607</v>
      </c>
      <c r="D1466" s="502">
        <v>3</v>
      </c>
      <c r="E1466" s="490"/>
      <c r="F1466" s="493"/>
      <c r="G1466" s="492"/>
      <c r="H1466" s="502"/>
      <c r="I1466" s="493"/>
      <c r="J1466" s="493"/>
      <c r="K1466" s="487" t="str">
        <f ca="1">IFERROR(VLOOKUP(C1466,' Disaggregation - Section E '!A$618:N678,3,0),"")</f>
        <v/>
      </c>
      <c r="L1466" s="487"/>
      <c r="M1466" s="487"/>
      <c r="N1466" s="493"/>
      <c r="O1466" s="493"/>
      <c r="P1466" s="493"/>
    </row>
    <row r="1467" spans="1:16" x14ac:dyDescent="0.3">
      <c r="A1467" s="487" t="b">
        <v>0</v>
      </c>
      <c r="B1467" s="487"/>
      <c r="C1467" s="487" t="s">
        <v>4609</v>
      </c>
      <c r="D1467" s="502">
        <v>3</v>
      </c>
      <c r="E1467" s="490"/>
      <c r="F1467" s="493"/>
      <c r="G1467" s="492"/>
      <c r="H1467" s="502"/>
      <c r="I1467" s="493"/>
      <c r="J1467" s="493"/>
      <c r="K1467" s="487" t="str">
        <f ca="1">IFERROR(VLOOKUP(C1467,' Disaggregation - Section E '!A$618:N679,3,0),"")</f>
        <v/>
      </c>
      <c r="L1467" s="487"/>
      <c r="M1467" s="487"/>
      <c r="N1467" s="493"/>
      <c r="O1467" s="493"/>
      <c r="P1467" s="493"/>
    </row>
    <row r="1468" spans="1:16" x14ac:dyDescent="0.3">
      <c r="A1468" s="487" t="b">
        <v>0</v>
      </c>
      <c r="B1468" s="487"/>
      <c r="C1468" s="487" t="s">
        <v>4611</v>
      </c>
      <c r="D1468" s="502">
        <v>3</v>
      </c>
      <c r="E1468" s="490"/>
      <c r="F1468" s="493"/>
      <c r="G1468" s="492"/>
      <c r="H1468" s="502"/>
      <c r="I1468" s="493"/>
      <c r="J1468" s="493"/>
      <c r="K1468" s="487" t="str">
        <f ca="1">IFERROR(VLOOKUP(C1468,' Disaggregation - Section E '!A$618:N680,3,0),"")</f>
        <v/>
      </c>
      <c r="L1468" s="487"/>
      <c r="M1468" s="487"/>
      <c r="N1468" s="493"/>
      <c r="O1468" s="493"/>
      <c r="P1468" s="493"/>
    </row>
    <row r="1469" spans="1:16" x14ac:dyDescent="0.3">
      <c r="A1469" s="487" t="b">
        <v>0</v>
      </c>
      <c r="B1469" s="487"/>
      <c r="C1469" s="487" t="s">
        <v>4613</v>
      </c>
      <c r="D1469" s="502">
        <v>3</v>
      </c>
      <c r="E1469" s="490"/>
      <c r="F1469" s="493"/>
      <c r="G1469" s="492"/>
      <c r="H1469" s="502"/>
      <c r="I1469" s="493"/>
      <c r="J1469" s="493"/>
      <c r="K1469" s="487" t="str">
        <f ca="1">IFERROR(VLOOKUP(C1469,' Disaggregation - Section E '!A$618:N681,3,0),"")</f>
        <v/>
      </c>
      <c r="L1469" s="487"/>
      <c r="M1469" s="487"/>
      <c r="N1469" s="493"/>
      <c r="O1469" s="493"/>
      <c r="P1469" s="493"/>
    </row>
    <row r="1470" spans="1:16" x14ac:dyDescent="0.3">
      <c r="A1470" s="487" t="b">
        <v>0</v>
      </c>
      <c r="B1470" s="487"/>
      <c r="C1470" s="487" t="s">
        <v>4615</v>
      </c>
      <c r="D1470" s="502">
        <v>3</v>
      </c>
      <c r="E1470" s="490"/>
      <c r="F1470" s="493"/>
      <c r="G1470" s="492"/>
      <c r="H1470" s="502"/>
      <c r="I1470" s="493"/>
      <c r="J1470" s="493"/>
      <c r="K1470" s="487" t="str">
        <f ca="1">IFERROR(VLOOKUP(C1470,' Disaggregation - Section E '!A$618:N682,3,0),"")</f>
        <v/>
      </c>
      <c r="L1470" s="487"/>
      <c r="M1470" s="487"/>
      <c r="N1470" s="493"/>
      <c r="O1470" s="493"/>
      <c r="P1470" s="493"/>
    </row>
    <row r="1471" spans="1:16" x14ac:dyDescent="0.3">
      <c r="A1471" s="487" t="b">
        <v>0</v>
      </c>
      <c r="B1471" s="487"/>
      <c r="C1471" s="487" t="s">
        <v>4617</v>
      </c>
      <c r="D1471" s="502">
        <v>3</v>
      </c>
      <c r="E1471" s="490"/>
      <c r="F1471" s="493"/>
      <c r="G1471" s="492"/>
      <c r="H1471" s="502"/>
      <c r="I1471" s="493"/>
      <c r="J1471" s="493"/>
      <c r="K1471" s="487" t="str">
        <f ca="1">IFERROR(VLOOKUP(C1471,' Disaggregation - Section E '!A$618:N683,3,0),"")</f>
        <v/>
      </c>
      <c r="L1471" s="487"/>
      <c r="M1471" s="487"/>
      <c r="N1471" s="493"/>
      <c r="O1471" s="493"/>
      <c r="P1471" s="493"/>
    </row>
    <row r="1472" spans="1:16" x14ac:dyDescent="0.3">
      <c r="A1472" s="487" t="b">
        <v>0</v>
      </c>
      <c r="B1472" s="487"/>
      <c r="C1472" s="487" t="s">
        <v>4620</v>
      </c>
      <c r="D1472" s="502">
        <v>4</v>
      </c>
      <c r="E1472" s="490"/>
      <c r="F1472" s="493"/>
      <c r="G1472" s="492"/>
      <c r="H1472" s="502"/>
      <c r="I1472" s="493"/>
      <c r="J1472" s="493"/>
      <c r="K1472" s="487" t="str">
        <f ca="1">IFERROR(VLOOKUP(C1472,' Disaggregation - Section E '!A$618:N684,3,0),"")</f>
        <v/>
      </c>
      <c r="L1472" s="487"/>
      <c r="M1472" s="487"/>
      <c r="N1472" s="493"/>
      <c r="O1472" s="493"/>
      <c r="P1472" s="493"/>
    </row>
    <row r="1473" spans="1:16" x14ac:dyDescent="0.3">
      <c r="A1473" s="487" t="b">
        <v>0</v>
      </c>
      <c r="B1473" s="487"/>
      <c r="C1473" s="487" t="s">
        <v>4622</v>
      </c>
      <c r="D1473" s="502">
        <v>4</v>
      </c>
      <c r="E1473" s="490"/>
      <c r="F1473" s="493"/>
      <c r="G1473" s="492"/>
      <c r="H1473" s="502"/>
      <c r="I1473" s="493"/>
      <c r="J1473" s="493"/>
      <c r="K1473" s="487" t="str">
        <f ca="1">IFERROR(VLOOKUP(C1473,' Disaggregation - Section E '!A$618:N685,3,0),"")</f>
        <v/>
      </c>
      <c r="L1473" s="487"/>
      <c r="M1473" s="487"/>
      <c r="N1473" s="493"/>
      <c r="O1473" s="493"/>
      <c r="P1473" s="493"/>
    </row>
    <row r="1474" spans="1:16" x14ac:dyDescent="0.3">
      <c r="A1474" s="487" t="b">
        <v>0</v>
      </c>
      <c r="B1474" s="487"/>
      <c r="C1474" s="487" t="s">
        <v>4624</v>
      </c>
      <c r="D1474" s="502">
        <v>4</v>
      </c>
      <c r="E1474" s="490"/>
      <c r="F1474" s="493"/>
      <c r="G1474" s="492"/>
      <c r="H1474" s="502"/>
      <c r="I1474" s="493"/>
      <c r="J1474" s="493"/>
      <c r="K1474" s="487" t="str">
        <f ca="1">IFERROR(VLOOKUP(C1474,' Disaggregation - Section E '!A$618:N686,3,0),"")</f>
        <v/>
      </c>
      <c r="L1474" s="487"/>
      <c r="M1474" s="487"/>
      <c r="N1474" s="493"/>
      <c r="O1474" s="493"/>
      <c r="P1474" s="493"/>
    </row>
    <row r="1475" spans="1:16" x14ac:dyDescent="0.3">
      <c r="A1475" s="487" t="b">
        <v>0</v>
      </c>
      <c r="B1475" s="487"/>
      <c r="C1475" s="487" t="s">
        <v>4626</v>
      </c>
      <c r="D1475" s="502">
        <v>4</v>
      </c>
      <c r="E1475" s="490"/>
      <c r="F1475" s="493"/>
      <c r="G1475" s="492"/>
      <c r="H1475" s="502"/>
      <c r="I1475" s="493"/>
      <c r="J1475" s="493"/>
      <c r="K1475" s="487" t="str">
        <f ca="1">IFERROR(VLOOKUP(C1475,' Disaggregation - Section E '!A$618:N687,3,0),"")</f>
        <v/>
      </c>
      <c r="L1475" s="487"/>
      <c r="M1475" s="487"/>
      <c r="N1475" s="493"/>
      <c r="O1475" s="493"/>
      <c r="P1475" s="493"/>
    </row>
    <row r="1476" spans="1:16" x14ac:dyDescent="0.3">
      <c r="A1476" s="487" t="b">
        <v>0</v>
      </c>
      <c r="B1476" s="487"/>
      <c r="C1476" s="487" t="s">
        <v>4628</v>
      </c>
      <c r="D1476" s="502">
        <v>4</v>
      </c>
      <c r="E1476" s="490"/>
      <c r="F1476" s="493"/>
      <c r="G1476" s="492"/>
      <c r="H1476" s="502"/>
      <c r="I1476" s="493"/>
      <c r="J1476" s="493"/>
      <c r="K1476" s="487" t="str">
        <f ca="1">IFERROR(VLOOKUP(C1476,' Disaggregation - Section E '!A$618:N688,3,0),"")</f>
        <v/>
      </c>
      <c r="L1476" s="487"/>
      <c r="M1476" s="487"/>
      <c r="N1476" s="493"/>
      <c r="O1476" s="493"/>
      <c r="P1476" s="493"/>
    </row>
    <row r="1477" spans="1:16" x14ac:dyDescent="0.3">
      <c r="A1477" s="487" t="b">
        <v>0</v>
      </c>
      <c r="B1477" s="487"/>
      <c r="C1477" s="487" t="s">
        <v>4630</v>
      </c>
      <c r="D1477" s="502">
        <v>4</v>
      </c>
      <c r="E1477" s="490"/>
      <c r="F1477" s="493"/>
      <c r="G1477" s="492"/>
      <c r="H1477" s="502"/>
      <c r="I1477" s="493"/>
      <c r="J1477" s="493"/>
      <c r="K1477" s="487" t="str">
        <f ca="1">IFERROR(VLOOKUP(C1477,' Disaggregation - Section E '!A$618:N689,3,0),"")</f>
        <v/>
      </c>
      <c r="L1477" s="487"/>
      <c r="M1477" s="487"/>
      <c r="N1477" s="493"/>
      <c r="O1477" s="493"/>
      <c r="P1477" s="493"/>
    </row>
    <row r="1478" spans="1:16" x14ac:dyDescent="0.3">
      <c r="A1478" s="487" t="b">
        <v>0</v>
      </c>
      <c r="B1478" s="487"/>
      <c r="C1478" s="487" t="s">
        <v>4632</v>
      </c>
      <c r="D1478" s="502">
        <v>4</v>
      </c>
      <c r="E1478" s="490"/>
      <c r="F1478" s="493"/>
      <c r="G1478" s="492"/>
      <c r="H1478" s="502"/>
      <c r="I1478" s="493"/>
      <c r="J1478" s="493"/>
      <c r="K1478" s="487" t="str">
        <f ca="1">IFERROR(VLOOKUP(C1478,' Disaggregation - Section E '!A$618:N690,3,0),"")</f>
        <v/>
      </c>
      <c r="L1478" s="487"/>
      <c r="M1478" s="487"/>
      <c r="N1478" s="493"/>
      <c r="O1478" s="493"/>
      <c r="P1478" s="493"/>
    </row>
    <row r="1479" spans="1:16" x14ac:dyDescent="0.3">
      <c r="A1479" s="487" t="b">
        <v>0</v>
      </c>
      <c r="B1479" s="487"/>
      <c r="C1479" s="487" t="s">
        <v>4634</v>
      </c>
      <c r="D1479" s="502">
        <v>4</v>
      </c>
      <c r="E1479" s="490"/>
      <c r="F1479" s="493"/>
      <c r="G1479" s="492"/>
      <c r="H1479" s="502"/>
      <c r="I1479" s="493"/>
      <c r="J1479" s="493"/>
      <c r="K1479" s="487" t="str">
        <f ca="1">IFERROR(VLOOKUP(C1479,' Disaggregation - Section E '!A$618:N691,3,0),"")</f>
        <v/>
      </c>
      <c r="L1479" s="487"/>
      <c r="M1479" s="487"/>
      <c r="N1479" s="493"/>
      <c r="O1479" s="493"/>
      <c r="P1479" s="493"/>
    </row>
    <row r="1480" spans="1:16" x14ac:dyDescent="0.3">
      <c r="A1480" s="487" t="b">
        <v>0</v>
      </c>
      <c r="B1480" s="487"/>
      <c r="C1480" s="487" t="s">
        <v>4636</v>
      </c>
      <c r="D1480" s="502">
        <v>4</v>
      </c>
      <c r="E1480" s="490"/>
      <c r="F1480" s="493"/>
      <c r="G1480" s="492"/>
      <c r="H1480" s="502"/>
      <c r="I1480" s="493"/>
      <c r="J1480" s="493"/>
      <c r="K1480" s="487" t="str">
        <f ca="1">IFERROR(VLOOKUP(C1480,' Disaggregation - Section E '!A$618:N692,3,0),"")</f>
        <v/>
      </c>
      <c r="L1480" s="487"/>
      <c r="M1480" s="487"/>
      <c r="N1480" s="493"/>
      <c r="O1480" s="493"/>
      <c r="P1480" s="493"/>
    </row>
    <row r="1481" spans="1:16" x14ac:dyDescent="0.3">
      <c r="A1481" s="487" t="b">
        <v>0</v>
      </c>
      <c r="B1481" s="487"/>
      <c r="C1481" s="487" t="s">
        <v>4638</v>
      </c>
      <c r="D1481" s="502">
        <v>4</v>
      </c>
      <c r="E1481" s="490"/>
      <c r="F1481" s="493"/>
      <c r="G1481" s="492"/>
      <c r="H1481" s="502"/>
      <c r="I1481" s="493"/>
      <c r="J1481" s="493"/>
      <c r="K1481" s="487" t="str">
        <f ca="1">IFERROR(VLOOKUP(C1481,' Disaggregation - Section E '!A$618:N693,3,0),"")</f>
        <v/>
      </c>
      <c r="L1481" s="487"/>
      <c r="M1481" s="487"/>
      <c r="N1481" s="493"/>
      <c r="O1481" s="493"/>
      <c r="P1481" s="493"/>
    </row>
    <row r="1482" spans="1:16" x14ac:dyDescent="0.3">
      <c r="A1482" s="487" t="b">
        <v>0</v>
      </c>
      <c r="B1482" s="487"/>
      <c r="C1482" s="487" t="s">
        <v>4640</v>
      </c>
      <c r="D1482" s="502">
        <v>4</v>
      </c>
      <c r="E1482" s="490"/>
      <c r="F1482" s="493"/>
      <c r="G1482" s="492"/>
      <c r="H1482" s="502"/>
      <c r="I1482" s="493"/>
      <c r="J1482" s="493"/>
      <c r="K1482" s="487" t="str">
        <f ca="1">IFERROR(VLOOKUP(C1482,' Disaggregation - Section E '!A$618:N694,3,0),"")</f>
        <v/>
      </c>
      <c r="L1482" s="487"/>
      <c r="M1482" s="487"/>
      <c r="N1482" s="493"/>
      <c r="O1482" s="493"/>
      <c r="P1482" s="493"/>
    </row>
    <row r="1483" spans="1:16" x14ac:dyDescent="0.3">
      <c r="A1483" s="487" t="b">
        <v>0</v>
      </c>
      <c r="B1483" s="487"/>
      <c r="C1483" s="487" t="s">
        <v>4642</v>
      </c>
      <c r="D1483" s="502">
        <v>4</v>
      </c>
      <c r="E1483" s="490"/>
      <c r="F1483" s="493"/>
      <c r="G1483" s="492"/>
      <c r="H1483" s="502"/>
      <c r="I1483" s="493"/>
      <c r="J1483" s="493"/>
      <c r="K1483" s="487" t="str">
        <f ca="1">IFERROR(VLOOKUP(C1483,' Disaggregation - Section E '!A$618:N695,3,0),"")</f>
        <v/>
      </c>
      <c r="L1483" s="487"/>
      <c r="M1483" s="487"/>
      <c r="N1483" s="493"/>
      <c r="O1483" s="493"/>
      <c r="P1483" s="493"/>
    </row>
    <row r="1484" spans="1:16" x14ac:dyDescent="0.3">
      <c r="A1484" s="487" t="b">
        <v>0</v>
      </c>
      <c r="B1484" s="487"/>
      <c r="C1484" s="487" t="s">
        <v>4644</v>
      </c>
      <c r="D1484" s="502">
        <v>4</v>
      </c>
      <c r="E1484" s="490"/>
      <c r="F1484" s="493"/>
      <c r="G1484" s="492"/>
      <c r="H1484" s="502"/>
      <c r="I1484" s="493"/>
      <c r="J1484" s="493"/>
      <c r="K1484" s="487" t="str">
        <f ca="1">IFERROR(VLOOKUP(C1484,' Disaggregation - Section E '!A$618:N696,3,0),"")</f>
        <v/>
      </c>
      <c r="L1484" s="487"/>
      <c r="M1484" s="487"/>
      <c r="N1484" s="493"/>
      <c r="O1484" s="493"/>
      <c r="P1484" s="493"/>
    </row>
    <row r="1485" spans="1:16" x14ac:dyDescent="0.3">
      <c r="A1485" s="487" t="b">
        <v>0</v>
      </c>
      <c r="B1485" s="487"/>
      <c r="C1485" s="487" t="s">
        <v>4646</v>
      </c>
      <c r="D1485" s="502">
        <v>4</v>
      </c>
      <c r="E1485" s="490"/>
      <c r="F1485" s="493"/>
      <c r="G1485" s="492"/>
      <c r="H1485" s="502"/>
      <c r="I1485" s="493"/>
      <c r="J1485" s="493"/>
      <c r="K1485" s="487" t="str">
        <f ca="1">IFERROR(VLOOKUP(C1485,' Disaggregation - Section E '!A$618:N697,3,0),"")</f>
        <v/>
      </c>
      <c r="L1485" s="487"/>
      <c r="M1485" s="487"/>
      <c r="N1485" s="493"/>
      <c r="O1485" s="493"/>
      <c r="P1485" s="493"/>
    </row>
    <row r="1486" spans="1:16" x14ac:dyDescent="0.3">
      <c r="A1486" s="487" t="b">
        <v>0</v>
      </c>
      <c r="B1486" s="487"/>
      <c r="C1486" s="487" t="s">
        <v>4648</v>
      </c>
      <c r="D1486" s="502">
        <v>4</v>
      </c>
      <c r="E1486" s="490"/>
      <c r="F1486" s="493"/>
      <c r="G1486" s="492"/>
      <c r="H1486" s="502"/>
      <c r="I1486" s="493"/>
      <c r="J1486" s="493"/>
      <c r="K1486" s="487" t="str">
        <f ca="1">IFERROR(VLOOKUP(C1486,' Disaggregation - Section E '!A$618:N698,3,0),"")</f>
        <v/>
      </c>
      <c r="L1486" s="487"/>
      <c r="M1486" s="487"/>
      <c r="N1486" s="493"/>
      <c r="O1486" s="493"/>
      <c r="P1486" s="493"/>
    </row>
    <row r="1487" spans="1:16" x14ac:dyDescent="0.3">
      <c r="A1487" s="487" t="b">
        <v>0</v>
      </c>
      <c r="B1487" s="487"/>
      <c r="C1487" s="487" t="s">
        <v>4650</v>
      </c>
      <c r="D1487" s="502">
        <v>4</v>
      </c>
      <c r="E1487" s="490"/>
      <c r="F1487" s="493"/>
      <c r="G1487" s="492"/>
      <c r="H1487" s="502"/>
      <c r="I1487" s="493"/>
      <c r="J1487" s="493"/>
      <c r="K1487" s="487" t="str">
        <f ca="1">IFERROR(VLOOKUP(C1487,' Disaggregation - Section E '!A$618:N699,3,0),"")</f>
        <v/>
      </c>
      <c r="L1487" s="487"/>
      <c r="M1487" s="487"/>
      <c r="N1487" s="493"/>
      <c r="O1487" s="493"/>
      <c r="P1487" s="493"/>
    </row>
    <row r="1488" spans="1:16" x14ac:dyDescent="0.3">
      <c r="A1488" s="487" t="b">
        <v>0</v>
      </c>
      <c r="B1488" s="487"/>
      <c r="C1488" s="487" t="s">
        <v>4652</v>
      </c>
      <c r="D1488" s="502">
        <v>4</v>
      </c>
      <c r="E1488" s="490"/>
      <c r="F1488" s="493"/>
      <c r="G1488" s="492"/>
      <c r="H1488" s="502"/>
      <c r="I1488" s="493"/>
      <c r="J1488" s="493"/>
      <c r="K1488" s="487" t="str">
        <f ca="1">IFERROR(VLOOKUP(C1488,' Disaggregation - Section E '!A$618:N700,3,0),"")</f>
        <v/>
      </c>
      <c r="L1488" s="487"/>
      <c r="M1488" s="487"/>
      <c r="N1488" s="493"/>
      <c r="O1488" s="493"/>
      <c r="P1488" s="493"/>
    </row>
    <row r="1489" spans="1:16" x14ac:dyDescent="0.3">
      <c r="A1489" s="487" t="b">
        <v>0</v>
      </c>
      <c r="B1489" s="487"/>
      <c r="C1489" s="487" t="s">
        <v>4654</v>
      </c>
      <c r="D1489" s="502">
        <v>4</v>
      </c>
      <c r="E1489" s="490"/>
      <c r="F1489" s="493"/>
      <c r="G1489" s="492"/>
      <c r="H1489" s="502"/>
      <c r="I1489" s="493"/>
      <c r="J1489" s="493"/>
      <c r="K1489" s="487" t="str">
        <f ca="1">IFERROR(VLOOKUP(C1489,' Disaggregation - Section E '!A$618:N701,3,0),"")</f>
        <v/>
      </c>
      <c r="L1489" s="487"/>
      <c r="M1489" s="487"/>
      <c r="N1489" s="493"/>
      <c r="O1489" s="493"/>
      <c r="P1489" s="493"/>
    </row>
    <row r="1490" spans="1:16" x14ac:dyDescent="0.3">
      <c r="A1490" s="487" t="b">
        <v>0</v>
      </c>
      <c r="B1490" s="487"/>
      <c r="C1490" s="487" t="s">
        <v>4656</v>
      </c>
      <c r="D1490" s="502">
        <v>4</v>
      </c>
      <c r="E1490" s="490"/>
      <c r="F1490" s="493"/>
      <c r="G1490" s="492"/>
      <c r="H1490" s="502"/>
      <c r="I1490" s="493"/>
      <c r="J1490" s="493"/>
      <c r="K1490" s="487" t="str">
        <f ca="1">IFERROR(VLOOKUP(C1490,' Disaggregation - Section E '!A$618:N702,3,0),"")</f>
        <v/>
      </c>
      <c r="L1490" s="487"/>
      <c r="M1490" s="487"/>
      <c r="N1490" s="493"/>
      <c r="O1490" s="493"/>
      <c r="P1490" s="493"/>
    </row>
    <row r="1491" spans="1:16" x14ac:dyDescent="0.3">
      <c r="A1491" s="487" t="b">
        <v>0</v>
      </c>
      <c r="B1491" s="487"/>
      <c r="C1491" s="487" t="s">
        <v>4658</v>
      </c>
      <c r="D1491" s="502">
        <v>4</v>
      </c>
      <c r="E1491" s="490"/>
      <c r="F1491" s="493"/>
      <c r="G1491" s="492"/>
      <c r="H1491" s="502"/>
      <c r="I1491" s="493"/>
      <c r="J1491" s="493"/>
      <c r="K1491" s="487" t="str">
        <f ca="1">IFERROR(VLOOKUP(C1491,' Disaggregation - Section E '!A$618:N703,3,0),"")</f>
        <v/>
      </c>
      <c r="L1491" s="487"/>
      <c r="M1491" s="487"/>
      <c r="N1491" s="493"/>
      <c r="O1491" s="493"/>
      <c r="P1491" s="493"/>
    </row>
    <row r="1492" spans="1:16" x14ac:dyDescent="0.3">
      <c r="A1492" s="487" t="b">
        <v>0</v>
      </c>
      <c r="B1492" s="487"/>
      <c r="C1492" s="487" t="s">
        <v>4661</v>
      </c>
      <c r="D1492" s="502">
        <v>5</v>
      </c>
      <c r="E1492" s="490"/>
      <c r="F1492" s="493"/>
      <c r="G1492" s="492"/>
      <c r="H1492" s="502"/>
      <c r="I1492" s="493"/>
      <c r="J1492" s="493"/>
      <c r="K1492" s="487" t="str">
        <f ca="1">IFERROR(VLOOKUP(C1492,' Disaggregation - Section E '!A$618:N704,3,0),"")</f>
        <v/>
      </c>
      <c r="L1492" s="487"/>
      <c r="M1492" s="487"/>
      <c r="N1492" s="493"/>
      <c r="O1492" s="493"/>
      <c r="P1492" s="493"/>
    </row>
    <row r="1493" spans="1:16" x14ac:dyDescent="0.3">
      <c r="A1493" s="487" t="b">
        <v>0</v>
      </c>
      <c r="B1493" s="487"/>
      <c r="C1493" s="487" t="s">
        <v>4663</v>
      </c>
      <c r="D1493" s="502">
        <v>5</v>
      </c>
      <c r="E1493" s="490"/>
      <c r="F1493" s="493"/>
      <c r="G1493" s="492"/>
      <c r="H1493" s="502"/>
      <c r="I1493" s="493"/>
      <c r="J1493" s="493"/>
      <c r="K1493" s="487" t="str">
        <f ca="1">IFERROR(VLOOKUP(C1493,' Disaggregation - Section E '!A$618:N705,3,0),"")</f>
        <v/>
      </c>
      <c r="L1493" s="487"/>
      <c r="M1493" s="487"/>
      <c r="N1493" s="493"/>
      <c r="O1493" s="493"/>
      <c r="P1493" s="493"/>
    </row>
    <row r="1494" spans="1:16" x14ac:dyDescent="0.3">
      <c r="A1494" s="487" t="b">
        <v>0</v>
      </c>
      <c r="B1494" s="487"/>
      <c r="C1494" s="487" t="s">
        <v>4665</v>
      </c>
      <c r="D1494" s="502">
        <v>5</v>
      </c>
      <c r="E1494" s="490"/>
      <c r="F1494" s="493"/>
      <c r="G1494" s="492"/>
      <c r="H1494" s="502"/>
      <c r="I1494" s="493"/>
      <c r="J1494" s="493"/>
      <c r="K1494" s="487" t="str">
        <f ca="1">IFERROR(VLOOKUP(C1494,' Disaggregation - Section E '!A$618:N706,3,0),"")</f>
        <v/>
      </c>
      <c r="L1494" s="487"/>
      <c r="M1494" s="487"/>
      <c r="N1494" s="493"/>
      <c r="O1494" s="493"/>
      <c r="P1494" s="493"/>
    </row>
    <row r="1495" spans="1:16" x14ac:dyDescent="0.3">
      <c r="A1495" s="487" t="b">
        <v>0</v>
      </c>
      <c r="B1495" s="487"/>
      <c r="C1495" s="487" t="s">
        <v>4667</v>
      </c>
      <c r="D1495" s="502">
        <v>5</v>
      </c>
      <c r="E1495" s="490"/>
      <c r="F1495" s="493"/>
      <c r="G1495" s="492"/>
      <c r="H1495" s="502"/>
      <c r="I1495" s="493"/>
      <c r="J1495" s="493"/>
      <c r="K1495" s="487" t="str">
        <f ca="1">IFERROR(VLOOKUP(C1495,' Disaggregation - Section E '!A$618:N707,3,0),"")</f>
        <v/>
      </c>
      <c r="L1495" s="487"/>
      <c r="M1495" s="487"/>
      <c r="N1495" s="493"/>
      <c r="O1495" s="493"/>
      <c r="P1495" s="493"/>
    </row>
    <row r="1496" spans="1:16" x14ac:dyDescent="0.3">
      <c r="A1496" s="487" t="b">
        <v>0</v>
      </c>
      <c r="B1496" s="487"/>
      <c r="C1496" s="487" t="s">
        <v>4669</v>
      </c>
      <c r="D1496" s="502">
        <v>5</v>
      </c>
      <c r="E1496" s="490"/>
      <c r="F1496" s="493"/>
      <c r="G1496" s="492"/>
      <c r="H1496" s="502"/>
      <c r="I1496" s="493"/>
      <c r="J1496" s="493"/>
      <c r="K1496" s="487" t="str">
        <f ca="1">IFERROR(VLOOKUP(C1496,' Disaggregation - Section E '!A$618:N708,3,0),"")</f>
        <v/>
      </c>
      <c r="L1496" s="487"/>
      <c r="M1496" s="487"/>
      <c r="N1496" s="493"/>
      <c r="O1496" s="493"/>
      <c r="P1496" s="493"/>
    </row>
    <row r="1497" spans="1:16" x14ac:dyDescent="0.3">
      <c r="A1497" s="487" t="b">
        <v>0</v>
      </c>
      <c r="B1497" s="487"/>
      <c r="C1497" s="487" t="s">
        <v>4671</v>
      </c>
      <c r="D1497" s="502">
        <v>5</v>
      </c>
      <c r="E1497" s="490"/>
      <c r="F1497" s="493"/>
      <c r="G1497" s="492"/>
      <c r="H1497" s="502"/>
      <c r="I1497" s="493"/>
      <c r="J1497" s="493"/>
      <c r="K1497" s="487" t="str">
        <f ca="1">IFERROR(VLOOKUP(C1497,' Disaggregation - Section E '!A$618:N709,3,0),"")</f>
        <v/>
      </c>
      <c r="L1497" s="487"/>
      <c r="M1497" s="487"/>
      <c r="N1497" s="493"/>
      <c r="O1497" s="493"/>
      <c r="P1497" s="493"/>
    </row>
    <row r="1498" spans="1:16" x14ac:dyDescent="0.3">
      <c r="A1498" s="487" t="b">
        <v>0</v>
      </c>
      <c r="B1498" s="487"/>
      <c r="C1498" s="487" t="s">
        <v>4673</v>
      </c>
      <c r="D1498" s="502">
        <v>5</v>
      </c>
      <c r="E1498" s="490"/>
      <c r="F1498" s="493"/>
      <c r="G1498" s="492"/>
      <c r="H1498" s="502"/>
      <c r="I1498" s="493"/>
      <c r="J1498" s="493"/>
      <c r="K1498" s="487" t="str">
        <f ca="1">IFERROR(VLOOKUP(C1498,' Disaggregation - Section E '!A$618:N710,3,0),"")</f>
        <v/>
      </c>
      <c r="L1498" s="487"/>
      <c r="M1498" s="487"/>
      <c r="N1498" s="493"/>
      <c r="O1498" s="493"/>
      <c r="P1498" s="493"/>
    </row>
    <row r="1499" spans="1:16" x14ac:dyDescent="0.3">
      <c r="A1499" s="487" t="b">
        <v>0</v>
      </c>
      <c r="B1499" s="487"/>
      <c r="C1499" s="487" t="s">
        <v>4675</v>
      </c>
      <c r="D1499" s="502">
        <v>5</v>
      </c>
      <c r="E1499" s="490"/>
      <c r="F1499" s="493"/>
      <c r="G1499" s="492"/>
      <c r="H1499" s="502"/>
      <c r="I1499" s="493"/>
      <c r="J1499" s="493"/>
      <c r="K1499" s="487" t="str">
        <f ca="1">IFERROR(VLOOKUP(C1499,' Disaggregation - Section E '!A$618:N711,3,0),"")</f>
        <v/>
      </c>
      <c r="L1499" s="487"/>
      <c r="M1499" s="487"/>
      <c r="N1499" s="493"/>
      <c r="O1499" s="493"/>
      <c r="P1499" s="493"/>
    </row>
    <row r="1500" spans="1:16" x14ac:dyDescent="0.3">
      <c r="A1500" s="487" t="b">
        <v>0</v>
      </c>
      <c r="B1500" s="487"/>
      <c r="C1500" s="487" t="s">
        <v>4677</v>
      </c>
      <c r="D1500" s="502">
        <v>5</v>
      </c>
      <c r="E1500" s="490"/>
      <c r="F1500" s="493"/>
      <c r="G1500" s="492"/>
      <c r="H1500" s="502"/>
      <c r="I1500" s="493"/>
      <c r="J1500" s="493"/>
      <c r="K1500" s="487" t="str">
        <f ca="1">IFERROR(VLOOKUP(C1500,' Disaggregation - Section E '!A$618:N712,3,0),"")</f>
        <v/>
      </c>
      <c r="L1500" s="487"/>
      <c r="M1500" s="487"/>
      <c r="N1500" s="493"/>
      <c r="O1500" s="493"/>
      <c r="P1500" s="493"/>
    </row>
    <row r="1501" spans="1:16" x14ac:dyDescent="0.3">
      <c r="A1501" s="487" t="b">
        <v>0</v>
      </c>
      <c r="B1501" s="487"/>
      <c r="C1501" s="487" t="s">
        <v>4679</v>
      </c>
      <c r="D1501" s="502">
        <v>5</v>
      </c>
      <c r="E1501" s="490"/>
      <c r="F1501" s="493"/>
      <c r="G1501" s="492"/>
      <c r="H1501" s="502"/>
      <c r="I1501" s="493"/>
      <c r="J1501" s="493"/>
      <c r="K1501" s="487" t="str">
        <f ca="1">IFERROR(VLOOKUP(C1501,' Disaggregation - Section E '!A$618:N713,3,0),"")</f>
        <v/>
      </c>
      <c r="L1501" s="487"/>
      <c r="M1501" s="487"/>
      <c r="N1501" s="493"/>
      <c r="O1501" s="493"/>
      <c r="P1501" s="493"/>
    </row>
    <row r="1502" spans="1:16" x14ac:dyDescent="0.3">
      <c r="A1502" s="487" t="b">
        <v>0</v>
      </c>
      <c r="B1502" s="487"/>
      <c r="C1502" s="487" t="s">
        <v>4681</v>
      </c>
      <c r="D1502" s="502">
        <v>5</v>
      </c>
      <c r="E1502" s="490"/>
      <c r="F1502" s="493"/>
      <c r="G1502" s="492"/>
      <c r="H1502" s="502"/>
      <c r="I1502" s="493"/>
      <c r="J1502" s="493"/>
      <c r="K1502" s="487" t="str">
        <f ca="1">IFERROR(VLOOKUP(C1502,' Disaggregation - Section E '!A$618:N714,3,0),"")</f>
        <v/>
      </c>
      <c r="L1502" s="487"/>
      <c r="M1502" s="487"/>
      <c r="N1502" s="493"/>
      <c r="O1502" s="493"/>
      <c r="P1502" s="493"/>
    </row>
    <row r="1503" spans="1:16" x14ac:dyDescent="0.3">
      <c r="A1503" s="487" t="b">
        <v>0</v>
      </c>
      <c r="B1503" s="487"/>
      <c r="C1503" s="487" t="s">
        <v>4683</v>
      </c>
      <c r="D1503" s="502">
        <v>5</v>
      </c>
      <c r="E1503" s="490"/>
      <c r="F1503" s="493"/>
      <c r="G1503" s="492"/>
      <c r="H1503" s="502"/>
      <c r="I1503" s="493"/>
      <c r="J1503" s="493"/>
      <c r="K1503" s="487" t="str">
        <f ca="1">IFERROR(VLOOKUP(C1503,' Disaggregation - Section E '!A$618:N715,3,0),"")</f>
        <v/>
      </c>
      <c r="L1503" s="487"/>
      <c r="M1503" s="487"/>
      <c r="N1503" s="493"/>
      <c r="O1503" s="493"/>
      <c r="P1503" s="493"/>
    </row>
    <row r="1504" spans="1:16" x14ac:dyDescent="0.3">
      <c r="A1504" s="487" t="b">
        <v>0</v>
      </c>
      <c r="B1504" s="487"/>
      <c r="C1504" s="487" t="s">
        <v>4685</v>
      </c>
      <c r="D1504" s="502">
        <v>5</v>
      </c>
      <c r="E1504" s="490"/>
      <c r="F1504" s="493"/>
      <c r="G1504" s="492"/>
      <c r="H1504" s="502"/>
      <c r="I1504" s="493"/>
      <c r="J1504" s="493"/>
      <c r="K1504" s="487" t="str">
        <f ca="1">IFERROR(VLOOKUP(C1504,' Disaggregation - Section E '!A$618:N716,3,0),"")</f>
        <v/>
      </c>
      <c r="L1504" s="487"/>
      <c r="M1504" s="487"/>
      <c r="N1504" s="493"/>
      <c r="O1504" s="493"/>
      <c r="P1504" s="493"/>
    </row>
    <row r="1505" spans="1:16" x14ac:dyDescent="0.3">
      <c r="A1505" s="487" t="b">
        <v>0</v>
      </c>
      <c r="B1505" s="487"/>
      <c r="C1505" s="487" t="s">
        <v>4687</v>
      </c>
      <c r="D1505" s="502">
        <v>5</v>
      </c>
      <c r="E1505" s="490"/>
      <c r="F1505" s="493"/>
      <c r="G1505" s="492"/>
      <c r="H1505" s="502"/>
      <c r="I1505" s="493"/>
      <c r="J1505" s="493"/>
      <c r="K1505" s="487" t="str">
        <f ca="1">IFERROR(VLOOKUP(C1505,' Disaggregation - Section E '!A$618:N717,3,0),"")</f>
        <v/>
      </c>
      <c r="L1505" s="487"/>
      <c r="M1505" s="487"/>
      <c r="N1505" s="493"/>
      <c r="O1505" s="493"/>
      <c r="P1505" s="493"/>
    </row>
    <row r="1506" spans="1:16" x14ac:dyDescent="0.3">
      <c r="A1506" s="487" t="b">
        <v>0</v>
      </c>
      <c r="B1506" s="487"/>
      <c r="C1506" s="487" t="s">
        <v>4689</v>
      </c>
      <c r="D1506" s="502">
        <v>5</v>
      </c>
      <c r="E1506" s="490"/>
      <c r="F1506" s="493"/>
      <c r="G1506" s="492"/>
      <c r="H1506" s="502"/>
      <c r="I1506" s="493"/>
      <c r="J1506" s="493"/>
      <c r="K1506" s="487" t="str">
        <f ca="1">IFERROR(VLOOKUP(C1506,' Disaggregation - Section E '!A$618:N718,3,0),"")</f>
        <v/>
      </c>
      <c r="L1506" s="487"/>
      <c r="M1506" s="487"/>
      <c r="N1506" s="493"/>
      <c r="O1506" s="493"/>
      <c r="P1506" s="493"/>
    </row>
    <row r="1507" spans="1:16" x14ac:dyDescent="0.3">
      <c r="A1507" s="487" t="b">
        <v>0</v>
      </c>
      <c r="B1507" s="487"/>
      <c r="C1507" s="487" t="s">
        <v>4691</v>
      </c>
      <c r="D1507" s="502">
        <v>5</v>
      </c>
      <c r="E1507" s="490"/>
      <c r="F1507" s="493"/>
      <c r="G1507" s="492"/>
      <c r="H1507" s="502"/>
      <c r="I1507" s="493"/>
      <c r="J1507" s="493"/>
      <c r="K1507" s="487" t="str">
        <f ca="1">IFERROR(VLOOKUP(C1507,' Disaggregation - Section E '!A$618:N719,3,0),"")</f>
        <v/>
      </c>
      <c r="L1507" s="487"/>
      <c r="M1507" s="487"/>
      <c r="N1507" s="493"/>
      <c r="O1507" s="493"/>
      <c r="P1507" s="493"/>
    </row>
    <row r="1508" spans="1:16" x14ac:dyDescent="0.3">
      <c r="A1508" s="487" t="b">
        <v>0</v>
      </c>
      <c r="B1508" s="487"/>
      <c r="C1508" s="487" t="s">
        <v>4693</v>
      </c>
      <c r="D1508" s="502">
        <v>5</v>
      </c>
      <c r="E1508" s="490"/>
      <c r="F1508" s="493"/>
      <c r="G1508" s="492"/>
      <c r="H1508" s="502"/>
      <c r="I1508" s="493"/>
      <c r="J1508" s="493"/>
      <c r="K1508" s="487" t="str">
        <f ca="1">IFERROR(VLOOKUP(C1508,' Disaggregation - Section E '!A$618:N720,3,0),"")</f>
        <v/>
      </c>
      <c r="L1508" s="487"/>
      <c r="M1508" s="487"/>
      <c r="N1508" s="493"/>
      <c r="O1508" s="493"/>
      <c r="P1508" s="493"/>
    </row>
    <row r="1509" spans="1:16" x14ac:dyDescent="0.3">
      <c r="A1509" s="487" t="b">
        <v>0</v>
      </c>
      <c r="B1509" s="487"/>
      <c r="C1509" s="487" t="s">
        <v>4695</v>
      </c>
      <c r="D1509" s="502">
        <v>5</v>
      </c>
      <c r="E1509" s="490"/>
      <c r="F1509" s="493"/>
      <c r="G1509" s="492"/>
      <c r="H1509" s="502"/>
      <c r="I1509" s="493"/>
      <c r="J1509" s="493"/>
      <c r="K1509" s="487" t="str">
        <f ca="1">IFERROR(VLOOKUP(C1509,' Disaggregation - Section E '!A$618:N721,3,0),"")</f>
        <v/>
      </c>
      <c r="L1509" s="487"/>
      <c r="M1509" s="487"/>
      <c r="N1509" s="493"/>
      <c r="O1509" s="493"/>
      <c r="P1509" s="493"/>
    </row>
    <row r="1510" spans="1:16" x14ac:dyDescent="0.3">
      <c r="A1510" s="487" t="b">
        <v>0</v>
      </c>
      <c r="B1510" s="487"/>
      <c r="C1510" s="487" t="s">
        <v>4697</v>
      </c>
      <c r="D1510" s="502">
        <v>5</v>
      </c>
      <c r="E1510" s="490"/>
      <c r="F1510" s="493"/>
      <c r="G1510" s="492"/>
      <c r="H1510" s="502"/>
      <c r="I1510" s="493"/>
      <c r="J1510" s="493"/>
      <c r="K1510" s="487" t="str">
        <f ca="1">IFERROR(VLOOKUP(C1510,' Disaggregation - Section E '!A$618:N722,3,0),"")</f>
        <v/>
      </c>
      <c r="L1510" s="487"/>
      <c r="M1510" s="487"/>
      <c r="N1510" s="493"/>
      <c r="O1510" s="493"/>
      <c r="P1510" s="493"/>
    </row>
    <row r="1511" spans="1:16" x14ac:dyDescent="0.3">
      <c r="A1511" s="487" t="b">
        <v>0</v>
      </c>
      <c r="B1511" s="487"/>
      <c r="C1511" s="487" t="s">
        <v>4699</v>
      </c>
      <c r="D1511" s="502">
        <v>5</v>
      </c>
      <c r="E1511" s="490"/>
      <c r="F1511" s="493"/>
      <c r="G1511" s="492"/>
      <c r="H1511" s="502"/>
      <c r="I1511" s="493"/>
      <c r="J1511" s="493"/>
      <c r="K1511" s="487" t="str">
        <f ca="1">IFERROR(VLOOKUP(C1511,' Disaggregation - Section E '!A$618:N723,3,0),"")</f>
        <v/>
      </c>
      <c r="L1511" s="487"/>
      <c r="M1511" s="487"/>
      <c r="N1511" s="493"/>
      <c r="O1511" s="493"/>
      <c r="P1511" s="493"/>
    </row>
    <row r="1512" spans="1:16" x14ac:dyDescent="0.3">
      <c r="A1512" s="487" t="b">
        <v>0</v>
      </c>
      <c r="B1512" s="487"/>
      <c r="C1512" s="487" t="s">
        <v>4702</v>
      </c>
      <c r="D1512" s="502">
        <v>6</v>
      </c>
      <c r="E1512" s="490"/>
      <c r="F1512" s="493"/>
      <c r="G1512" s="492"/>
      <c r="H1512" s="502"/>
      <c r="I1512" s="493"/>
      <c r="J1512" s="493"/>
      <c r="K1512" s="487" t="str">
        <f ca="1">IFERROR(VLOOKUP(C1512,' Disaggregation - Section E '!A$618:N724,3,0),"")</f>
        <v/>
      </c>
      <c r="L1512" s="487"/>
      <c r="M1512" s="487"/>
      <c r="N1512" s="493"/>
      <c r="O1512" s="493"/>
      <c r="P1512" s="493"/>
    </row>
    <row r="1513" spans="1:16" x14ac:dyDescent="0.3">
      <c r="A1513" s="487" t="b">
        <v>0</v>
      </c>
      <c r="B1513" s="487"/>
      <c r="C1513" s="487" t="s">
        <v>4704</v>
      </c>
      <c r="D1513" s="502">
        <v>6</v>
      </c>
      <c r="E1513" s="490"/>
      <c r="F1513" s="493"/>
      <c r="G1513" s="492"/>
      <c r="H1513" s="502"/>
      <c r="I1513" s="493"/>
      <c r="J1513" s="493"/>
      <c r="K1513" s="487" t="str">
        <f ca="1">IFERROR(VLOOKUP(C1513,' Disaggregation - Section E '!A$618:N725,3,0),"")</f>
        <v/>
      </c>
      <c r="L1513" s="487"/>
      <c r="M1513" s="487"/>
      <c r="N1513" s="493"/>
      <c r="O1513" s="493"/>
      <c r="P1513" s="493"/>
    </row>
    <row r="1514" spans="1:16" x14ac:dyDescent="0.3">
      <c r="A1514" s="487" t="b">
        <v>0</v>
      </c>
      <c r="B1514" s="487"/>
      <c r="C1514" s="487" t="s">
        <v>4706</v>
      </c>
      <c r="D1514" s="502">
        <v>6</v>
      </c>
      <c r="E1514" s="490"/>
      <c r="F1514" s="493"/>
      <c r="G1514" s="492"/>
      <c r="H1514" s="502"/>
      <c r="I1514" s="493"/>
      <c r="J1514" s="493"/>
      <c r="K1514" s="487" t="str">
        <f ca="1">IFERROR(VLOOKUP(C1514,' Disaggregation - Section E '!A$618:N726,3,0),"")</f>
        <v/>
      </c>
      <c r="L1514" s="487"/>
      <c r="M1514" s="487"/>
      <c r="N1514" s="493"/>
      <c r="O1514" s="493"/>
      <c r="P1514" s="493"/>
    </row>
    <row r="1515" spans="1:16" x14ac:dyDescent="0.3">
      <c r="A1515" s="487" t="b">
        <v>0</v>
      </c>
      <c r="B1515" s="487"/>
      <c r="C1515" s="487" t="s">
        <v>4708</v>
      </c>
      <c r="D1515" s="502">
        <v>6</v>
      </c>
      <c r="E1515" s="490"/>
      <c r="F1515" s="493"/>
      <c r="G1515" s="492"/>
      <c r="H1515" s="502"/>
      <c r="I1515" s="493"/>
      <c r="J1515" s="493"/>
      <c r="K1515" s="487" t="str">
        <f ca="1">IFERROR(VLOOKUP(C1515,' Disaggregation - Section E '!A$618:N727,3,0),"")</f>
        <v/>
      </c>
      <c r="L1515" s="487"/>
      <c r="M1515" s="487"/>
      <c r="N1515" s="493"/>
      <c r="O1515" s="493"/>
      <c r="P1515" s="493"/>
    </row>
    <row r="1516" spans="1:16" x14ac:dyDescent="0.3">
      <c r="A1516" s="487" t="b">
        <v>0</v>
      </c>
      <c r="B1516" s="487"/>
      <c r="C1516" s="487" t="s">
        <v>4710</v>
      </c>
      <c r="D1516" s="502">
        <v>6</v>
      </c>
      <c r="E1516" s="490"/>
      <c r="F1516" s="493"/>
      <c r="G1516" s="492"/>
      <c r="H1516" s="502"/>
      <c r="I1516" s="493"/>
      <c r="J1516" s="493"/>
      <c r="K1516" s="487" t="str">
        <f ca="1">IFERROR(VLOOKUP(C1516,' Disaggregation - Section E '!A$618:N728,3,0),"")</f>
        <v/>
      </c>
      <c r="L1516" s="487"/>
      <c r="M1516" s="487"/>
      <c r="N1516" s="493"/>
      <c r="O1516" s="493"/>
      <c r="P1516" s="493"/>
    </row>
    <row r="1517" spans="1:16" x14ac:dyDescent="0.3">
      <c r="A1517" s="487" t="b">
        <v>0</v>
      </c>
      <c r="B1517" s="487"/>
      <c r="C1517" s="487" t="s">
        <v>4712</v>
      </c>
      <c r="D1517" s="502">
        <v>6</v>
      </c>
      <c r="E1517" s="490"/>
      <c r="F1517" s="493"/>
      <c r="G1517" s="492"/>
      <c r="H1517" s="502"/>
      <c r="I1517" s="493"/>
      <c r="J1517" s="493"/>
      <c r="K1517" s="487" t="str">
        <f ca="1">IFERROR(VLOOKUP(C1517,' Disaggregation - Section E '!A$618:N729,3,0),"")</f>
        <v/>
      </c>
      <c r="L1517" s="487"/>
      <c r="M1517" s="487"/>
      <c r="N1517" s="493"/>
      <c r="O1517" s="493"/>
      <c r="P1517" s="493"/>
    </row>
    <row r="1518" spans="1:16" x14ac:dyDescent="0.3">
      <c r="A1518" s="487" t="b">
        <v>0</v>
      </c>
      <c r="B1518" s="487"/>
      <c r="C1518" s="487" t="s">
        <v>4714</v>
      </c>
      <c r="D1518" s="502">
        <v>6</v>
      </c>
      <c r="E1518" s="490"/>
      <c r="F1518" s="493"/>
      <c r="G1518" s="492"/>
      <c r="H1518" s="502"/>
      <c r="I1518" s="493"/>
      <c r="J1518" s="493"/>
      <c r="K1518" s="487" t="str">
        <f ca="1">IFERROR(VLOOKUP(C1518,' Disaggregation - Section E '!A$618:N730,3,0),"")</f>
        <v/>
      </c>
      <c r="L1518" s="487"/>
      <c r="M1518" s="487"/>
      <c r="N1518" s="493"/>
      <c r="O1518" s="493"/>
      <c r="P1518" s="493"/>
    </row>
    <row r="1519" spans="1:16" x14ac:dyDescent="0.3">
      <c r="A1519" s="487" t="b">
        <v>0</v>
      </c>
      <c r="B1519" s="487"/>
      <c r="C1519" s="487" t="s">
        <v>4716</v>
      </c>
      <c r="D1519" s="502">
        <v>6</v>
      </c>
      <c r="E1519" s="490"/>
      <c r="F1519" s="493"/>
      <c r="G1519" s="492"/>
      <c r="H1519" s="502"/>
      <c r="I1519" s="493"/>
      <c r="J1519" s="493"/>
      <c r="K1519" s="487" t="str">
        <f ca="1">IFERROR(VLOOKUP(C1519,' Disaggregation - Section E '!A$618:N731,3,0),"")</f>
        <v/>
      </c>
      <c r="L1519" s="487"/>
      <c r="M1519" s="487"/>
      <c r="N1519" s="493"/>
      <c r="O1519" s="493"/>
      <c r="P1519" s="493"/>
    </row>
    <row r="1520" spans="1:16" x14ac:dyDescent="0.3">
      <c r="A1520" s="487" t="b">
        <v>0</v>
      </c>
      <c r="B1520" s="487"/>
      <c r="C1520" s="487" t="s">
        <v>4718</v>
      </c>
      <c r="D1520" s="502">
        <v>6</v>
      </c>
      <c r="E1520" s="490"/>
      <c r="F1520" s="493"/>
      <c r="G1520" s="492"/>
      <c r="H1520" s="502"/>
      <c r="I1520" s="493"/>
      <c r="J1520" s="493"/>
      <c r="K1520" s="487" t="str">
        <f ca="1">IFERROR(VLOOKUP(C1520,' Disaggregation - Section E '!A$618:N732,3,0),"")</f>
        <v/>
      </c>
      <c r="L1520" s="487"/>
      <c r="M1520" s="487"/>
      <c r="N1520" s="493"/>
      <c r="O1520" s="493"/>
      <c r="P1520" s="493"/>
    </row>
    <row r="1521" spans="1:16" x14ac:dyDescent="0.3">
      <c r="A1521" s="487" t="b">
        <v>0</v>
      </c>
      <c r="B1521" s="487"/>
      <c r="C1521" s="487" t="s">
        <v>4720</v>
      </c>
      <c r="D1521" s="502">
        <v>6</v>
      </c>
      <c r="E1521" s="490"/>
      <c r="F1521" s="493"/>
      <c r="G1521" s="492"/>
      <c r="H1521" s="502"/>
      <c r="I1521" s="493"/>
      <c r="J1521" s="493"/>
      <c r="K1521" s="487" t="str">
        <f ca="1">IFERROR(VLOOKUP(C1521,' Disaggregation - Section E '!A$618:N733,3,0),"")</f>
        <v/>
      </c>
      <c r="L1521" s="487"/>
      <c r="M1521" s="487"/>
      <c r="N1521" s="493"/>
      <c r="O1521" s="493"/>
      <c r="P1521" s="493"/>
    </row>
    <row r="1522" spans="1:16" x14ac:dyDescent="0.3">
      <c r="A1522" s="487" t="b">
        <v>0</v>
      </c>
      <c r="B1522" s="487"/>
      <c r="C1522" s="487" t="s">
        <v>4722</v>
      </c>
      <c r="D1522" s="502">
        <v>6</v>
      </c>
      <c r="E1522" s="490"/>
      <c r="F1522" s="493"/>
      <c r="G1522" s="492"/>
      <c r="H1522" s="502"/>
      <c r="I1522" s="493"/>
      <c r="J1522" s="493"/>
      <c r="K1522" s="487" t="str">
        <f ca="1">IFERROR(VLOOKUP(C1522,' Disaggregation - Section E '!A$618:N734,3,0),"")</f>
        <v/>
      </c>
      <c r="L1522" s="487"/>
      <c r="M1522" s="487"/>
      <c r="N1522" s="493"/>
      <c r="O1522" s="493"/>
      <c r="P1522" s="493"/>
    </row>
    <row r="1523" spans="1:16" x14ac:dyDescent="0.3">
      <c r="A1523" s="487" t="b">
        <v>0</v>
      </c>
      <c r="B1523" s="487"/>
      <c r="C1523" s="487" t="s">
        <v>4724</v>
      </c>
      <c r="D1523" s="502">
        <v>6</v>
      </c>
      <c r="E1523" s="490"/>
      <c r="F1523" s="493"/>
      <c r="G1523" s="492"/>
      <c r="H1523" s="502"/>
      <c r="I1523" s="493"/>
      <c r="J1523" s="493"/>
      <c r="K1523" s="487" t="str">
        <f ca="1">IFERROR(VLOOKUP(C1523,' Disaggregation - Section E '!A$618:N735,3,0),"")</f>
        <v/>
      </c>
      <c r="L1523" s="487"/>
      <c r="M1523" s="487"/>
      <c r="N1523" s="493"/>
      <c r="O1523" s="493"/>
      <c r="P1523" s="493"/>
    </row>
    <row r="1524" spans="1:16" x14ac:dyDescent="0.3">
      <c r="A1524" s="487" t="b">
        <v>0</v>
      </c>
      <c r="B1524" s="487"/>
      <c r="C1524" s="487" t="s">
        <v>4726</v>
      </c>
      <c r="D1524" s="502">
        <v>6</v>
      </c>
      <c r="E1524" s="490"/>
      <c r="F1524" s="493"/>
      <c r="G1524" s="492"/>
      <c r="H1524" s="502"/>
      <c r="I1524" s="493"/>
      <c r="J1524" s="493"/>
      <c r="K1524" s="487" t="str">
        <f ca="1">IFERROR(VLOOKUP(C1524,' Disaggregation - Section E '!A$618:N736,3,0),"")</f>
        <v/>
      </c>
      <c r="L1524" s="487"/>
      <c r="M1524" s="487"/>
      <c r="N1524" s="493"/>
      <c r="O1524" s="493"/>
      <c r="P1524" s="493"/>
    </row>
    <row r="1525" spans="1:16" x14ac:dyDescent="0.3">
      <c r="A1525" s="487" t="b">
        <v>0</v>
      </c>
      <c r="B1525" s="487"/>
      <c r="C1525" s="487" t="s">
        <v>4728</v>
      </c>
      <c r="D1525" s="502">
        <v>6</v>
      </c>
      <c r="E1525" s="490"/>
      <c r="F1525" s="493"/>
      <c r="G1525" s="492"/>
      <c r="H1525" s="502"/>
      <c r="I1525" s="493"/>
      <c r="J1525" s="493"/>
      <c r="K1525" s="487" t="str">
        <f ca="1">IFERROR(VLOOKUP(C1525,' Disaggregation - Section E '!A$618:N737,3,0),"")</f>
        <v/>
      </c>
      <c r="L1525" s="487"/>
      <c r="M1525" s="487"/>
      <c r="N1525" s="493"/>
      <c r="O1525" s="493"/>
      <c r="P1525" s="493"/>
    </row>
    <row r="1526" spans="1:16" x14ac:dyDescent="0.3">
      <c r="A1526" s="487" t="b">
        <v>0</v>
      </c>
      <c r="B1526" s="487"/>
      <c r="C1526" s="487" t="s">
        <v>4730</v>
      </c>
      <c r="D1526" s="502">
        <v>6</v>
      </c>
      <c r="E1526" s="490"/>
      <c r="F1526" s="493"/>
      <c r="G1526" s="492"/>
      <c r="H1526" s="502"/>
      <c r="I1526" s="493"/>
      <c r="J1526" s="493"/>
      <c r="K1526" s="487" t="str">
        <f ca="1">IFERROR(VLOOKUP(C1526,' Disaggregation - Section E '!A$618:N738,3,0),"")</f>
        <v/>
      </c>
      <c r="L1526" s="487"/>
      <c r="M1526" s="487"/>
      <c r="N1526" s="493"/>
      <c r="O1526" s="493"/>
      <c r="P1526" s="493"/>
    </row>
    <row r="1527" spans="1:16" x14ac:dyDescent="0.3">
      <c r="A1527" s="487" t="b">
        <v>0</v>
      </c>
      <c r="B1527" s="487"/>
      <c r="C1527" s="487" t="s">
        <v>4732</v>
      </c>
      <c r="D1527" s="502">
        <v>6</v>
      </c>
      <c r="E1527" s="490"/>
      <c r="F1527" s="493"/>
      <c r="G1527" s="492"/>
      <c r="H1527" s="502"/>
      <c r="I1527" s="493"/>
      <c r="J1527" s="493"/>
      <c r="K1527" s="487" t="str">
        <f ca="1">IFERROR(VLOOKUP(C1527,' Disaggregation - Section E '!A$618:N739,3,0),"")</f>
        <v/>
      </c>
      <c r="L1527" s="487"/>
      <c r="M1527" s="487"/>
      <c r="N1527" s="493"/>
      <c r="O1527" s="493"/>
      <c r="P1527" s="493"/>
    </row>
    <row r="1528" spans="1:16" x14ac:dyDescent="0.3">
      <c r="A1528" s="487" t="b">
        <v>0</v>
      </c>
      <c r="B1528" s="487"/>
      <c r="C1528" s="487" t="s">
        <v>4734</v>
      </c>
      <c r="D1528" s="502">
        <v>6</v>
      </c>
      <c r="E1528" s="490"/>
      <c r="F1528" s="493"/>
      <c r="G1528" s="492"/>
      <c r="H1528" s="502"/>
      <c r="I1528" s="493"/>
      <c r="J1528" s="493"/>
      <c r="K1528" s="487" t="str">
        <f ca="1">IFERROR(VLOOKUP(C1528,' Disaggregation - Section E '!A$618:N740,3,0),"")</f>
        <v/>
      </c>
      <c r="L1528" s="487"/>
      <c r="M1528" s="487"/>
      <c r="N1528" s="493"/>
      <c r="O1528" s="493"/>
      <c r="P1528" s="493"/>
    </row>
    <row r="1529" spans="1:16" x14ac:dyDescent="0.3">
      <c r="A1529" s="487" t="b">
        <v>0</v>
      </c>
      <c r="B1529" s="487"/>
      <c r="C1529" s="487" t="s">
        <v>4736</v>
      </c>
      <c r="D1529" s="502">
        <v>6</v>
      </c>
      <c r="E1529" s="490"/>
      <c r="F1529" s="493"/>
      <c r="G1529" s="492"/>
      <c r="H1529" s="502"/>
      <c r="I1529" s="493"/>
      <c r="J1529" s="493"/>
      <c r="K1529" s="487" t="str">
        <f ca="1">IFERROR(VLOOKUP(C1529,' Disaggregation - Section E '!A$618:N741,3,0),"")</f>
        <v/>
      </c>
      <c r="L1529" s="487"/>
      <c r="M1529" s="487"/>
      <c r="N1529" s="493"/>
      <c r="O1529" s="493"/>
      <c r="P1529" s="493"/>
    </row>
    <row r="1530" spans="1:16" x14ac:dyDescent="0.3">
      <c r="A1530" s="487" t="b">
        <v>0</v>
      </c>
      <c r="B1530" s="487"/>
      <c r="C1530" s="487" t="s">
        <v>4738</v>
      </c>
      <c r="D1530" s="502">
        <v>6</v>
      </c>
      <c r="E1530" s="490"/>
      <c r="F1530" s="493"/>
      <c r="G1530" s="492"/>
      <c r="H1530" s="502"/>
      <c r="I1530" s="493"/>
      <c r="J1530" s="493"/>
      <c r="K1530" s="487" t="str">
        <f ca="1">IFERROR(VLOOKUP(C1530,' Disaggregation - Section E '!A$618:N742,3,0),"")</f>
        <v/>
      </c>
      <c r="L1530" s="487"/>
      <c r="M1530" s="487"/>
      <c r="N1530" s="493"/>
      <c r="O1530" s="493"/>
      <c r="P1530" s="493"/>
    </row>
    <row r="1531" spans="1:16" x14ac:dyDescent="0.3">
      <c r="A1531" s="487" t="b">
        <v>0</v>
      </c>
      <c r="B1531" s="487"/>
      <c r="C1531" s="487" t="s">
        <v>4740</v>
      </c>
      <c r="D1531" s="502">
        <v>6</v>
      </c>
      <c r="E1531" s="490"/>
      <c r="F1531" s="493"/>
      <c r="G1531" s="492"/>
      <c r="H1531" s="502"/>
      <c r="I1531" s="493"/>
      <c r="J1531" s="493"/>
      <c r="K1531" s="487" t="str">
        <f ca="1">IFERROR(VLOOKUP(C1531,' Disaggregation - Section E '!A$618:N743,3,0),"")</f>
        <v/>
      </c>
      <c r="L1531" s="487"/>
      <c r="M1531" s="487"/>
      <c r="N1531" s="493"/>
      <c r="O1531" s="493"/>
      <c r="P1531" s="493"/>
    </row>
    <row r="1532" spans="1:16" x14ac:dyDescent="0.3">
      <c r="A1532" s="487" t="b">
        <v>0</v>
      </c>
      <c r="B1532" s="487"/>
      <c r="C1532" s="487" t="s">
        <v>4743</v>
      </c>
      <c r="D1532" s="502">
        <v>7</v>
      </c>
      <c r="E1532" s="490"/>
      <c r="F1532" s="493"/>
      <c r="G1532" s="492"/>
      <c r="H1532" s="502"/>
      <c r="I1532" s="493"/>
      <c r="J1532" s="493"/>
      <c r="K1532" s="487" t="str">
        <f ca="1">IFERROR(VLOOKUP(C1532,' Disaggregation - Section E '!A$618:N744,3,0),"")</f>
        <v/>
      </c>
      <c r="L1532" s="487"/>
      <c r="M1532" s="487"/>
      <c r="N1532" s="493"/>
      <c r="O1532" s="493"/>
      <c r="P1532" s="493"/>
    </row>
    <row r="1533" spans="1:16" x14ac:dyDescent="0.3">
      <c r="A1533" s="487" t="b">
        <v>0</v>
      </c>
      <c r="B1533" s="487"/>
      <c r="C1533" s="487" t="s">
        <v>4745</v>
      </c>
      <c r="D1533" s="502">
        <v>7</v>
      </c>
      <c r="E1533" s="490"/>
      <c r="F1533" s="493"/>
      <c r="G1533" s="492"/>
      <c r="H1533" s="502"/>
      <c r="I1533" s="493"/>
      <c r="J1533" s="493"/>
      <c r="K1533" s="487" t="str">
        <f ca="1">IFERROR(VLOOKUP(C1533,' Disaggregation - Section E '!A$618:N745,3,0),"")</f>
        <v/>
      </c>
      <c r="L1533" s="487"/>
      <c r="M1533" s="487"/>
      <c r="N1533" s="493"/>
      <c r="O1533" s="493"/>
      <c r="P1533" s="493"/>
    </row>
    <row r="1534" spans="1:16" x14ac:dyDescent="0.3">
      <c r="A1534" s="487" t="b">
        <v>0</v>
      </c>
      <c r="B1534" s="487"/>
      <c r="C1534" s="487" t="s">
        <v>4747</v>
      </c>
      <c r="D1534" s="502">
        <v>7</v>
      </c>
      <c r="E1534" s="490"/>
      <c r="F1534" s="493"/>
      <c r="G1534" s="492"/>
      <c r="H1534" s="502"/>
      <c r="I1534" s="493"/>
      <c r="J1534" s="493"/>
      <c r="K1534" s="487" t="str">
        <f ca="1">IFERROR(VLOOKUP(C1534,' Disaggregation - Section E '!A$618:N746,3,0),"")</f>
        <v/>
      </c>
      <c r="L1534" s="487"/>
      <c r="M1534" s="487"/>
      <c r="N1534" s="493"/>
      <c r="O1534" s="493"/>
      <c r="P1534" s="493"/>
    </row>
    <row r="1535" spans="1:16" x14ac:dyDescent="0.3">
      <c r="A1535" s="487" t="b">
        <v>0</v>
      </c>
      <c r="B1535" s="487"/>
      <c r="C1535" s="487" t="s">
        <v>4749</v>
      </c>
      <c r="D1535" s="502">
        <v>7</v>
      </c>
      <c r="E1535" s="490"/>
      <c r="F1535" s="493"/>
      <c r="G1535" s="492"/>
      <c r="H1535" s="502"/>
      <c r="I1535" s="493"/>
      <c r="J1535" s="493"/>
      <c r="K1535" s="487" t="str">
        <f ca="1">IFERROR(VLOOKUP(C1535,' Disaggregation - Section E '!A$618:N747,3,0),"")</f>
        <v/>
      </c>
      <c r="L1535" s="487"/>
      <c r="M1535" s="487"/>
      <c r="N1535" s="493"/>
      <c r="O1535" s="493"/>
      <c r="P1535" s="493"/>
    </row>
    <row r="1536" spans="1:16" x14ac:dyDescent="0.3">
      <c r="A1536" s="487" t="b">
        <v>0</v>
      </c>
      <c r="B1536" s="487"/>
      <c r="C1536" s="487" t="s">
        <v>4751</v>
      </c>
      <c r="D1536" s="502">
        <v>7</v>
      </c>
      <c r="E1536" s="490"/>
      <c r="F1536" s="493"/>
      <c r="G1536" s="492"/>
      <c r="H1536" s="502"/>
      <c r="I1536" s="493"/>
      <c r="J1536" s="493"/>
      <c r="K1536" s="487" t="str">
        <f ca="1">IFERROR(VLOOKUP(C1536,' Disaggregation - Section E '!A$618:N748,3,0),"")</f>
        <v/>
      </c>
      <c r="L1536" s="487"/>
      <c r="M1536" s="487"/>
      <c r="N1536" s="493"/>
      <c r="O1536" s="493"/>
      <c r="P1536" s="493"/>
    </row>
    <row r="1537" spans="1:16" x14ac:dyDescent="0.3">
      <c r="A1537" s="487" t="b">
        <v>0</v>
      </c>
      <c r="B1537" s="487"/>
      <c r="C1537" s="487" t="s">
        <v>4753</v>
      </c>
      <c r="D1537" s="502">
        <v>7</v>
      </c>
      <c r="E1537" s="490"/>
      <c r="F1537" s="493"/>
      <c r="G1537" s="492"/>
      <c r="H1537" s="502"/>
      <c r="I1537" s="493"/>
      <c r="J1537" s="493"/>
      <c r="K1537" s="487" t="str">
        <f ca="1">IFERROR(VLOOKUP(C1537,' Disaggregation - Section E '!A$618:N749,3,0),"")</f>
        <v/>
      </c>
      <c r="L1537" s="487"/>
      <c r="M1537" s="487"/>
      <c r="N1537" s="493"/>
      <c r="O1537" s="493"/>
      <c r="P1537" s="493"/>
    </row>
    <row r="1538" spans="1:16" x14ac:dyDescent="0.3">
      <c r="A1538" s="487" t="b">
        <v>0</v>
      </c>
      <c r="B1538" s="487"/>
      <c r="C1538" s="487" t="s">
        <v>4755</v>
      </c>
      <c r="D1538" s="502">
        <v>7</v>
      </c>
      <c r="E1538" s="490"/>
      <c r="F1538" s="493"/>
      <c r="G1538" s="492"/>
      <c r="H1538" s="502"/>
      <c r="I1538" s="493"/>
      <c r="J1538" s="493"/>
      <c r="K1538" s="487" t="str">
        <f ca="1">IFERROR(VLOOKUP(C1538,' Disaggregation - Section E '!A$618:N750,3,0),"")</f>
        <v/>
      </c>
      <c r="L1538" s="487"/>
      <c r="M1538" s="487"/>
      <c r="N1538" s="493"/>
      <c r="O1538" s="493"/>
      <c r="P1538" s="493"/>
    </row>
    <row r="1539" spans="1:16" x14ac:dyDescent="0.3">
      <c r="A1539" s="487" t="b">
        <v>0</v>
      </c>
      <c r="B1539" s="487"/>
      <c r="C1539" s="487" t="s">
        <v>4757</v>
      </c>
      <c r="D1539" s="502">
        <v>7</v>
      </c>
      <c r="E1539" s="490"/>
      <c r="F1539" s="493"/>
      <c r="G1539" s="492"/>
      <c r="H1539" s="502"/>
      <c r="I1539" s="493"/>
      <c r="J1539" s="493"/>
      <c r="K1539" s="487" t="str">
        <f ca="1">IFERROR(VLOOKUP(C1539,' Disaggregation - Section E '!A$618:N751,3,0),"")</f>
        <v/>
      </c>
      <c r="L1539" s="487"/>
      <c r="M1539" s="487"/>
      <c r="N1539" s="493"/>
      <c r="O1539" s="493"/>
      <c r="P1539" s="493"/>
    </row>
    <row r="1540" spans="1:16" x14ac:dyDescent="0.3">
      <c r="A1540" s="487" t="b">
        <v>0</v>
      </c>
      <c r="B1540" s="487"/>
      <c r="C1540" s="487" t="s">
        <v>4759</v>
      </c>
      <c r="D1540" s="502">
        <v>7</v>
      </c>
      <c r="E1540" s="490"/>
      <c r="F1540" s="493"/>
      <c r="G1540" s="492"/>
      <c r="H1540" s="502"/>
      <c r="I1540" s="493"/>
      <c r="J1540" s="493"/>
      <c r="K1540" s="487" t="str">
        <f ca="1">IFERROR(VLOOKUP(C1540,' Disaggregation - Section E '!A$618:N752,3,0),"")</f>
        <v/>
      </c>
      <c r="L1540" s="487"/>
      <c r="M1540" s="487"/>
      <c r="N1540" s="493"/>
      <c r="O1540" s="493"/>
      <c r="P1540" s="493"/>
    </row>
    <row r="1541" spans="1:16" x14ac:dyDescent="0.3">
      <c r="A1541" s="487" t="b">
        <v>0</v>
      </c>
      <c r="B1541" s="487"/>
      <c r="C1541" s="487" t="s">
        <v>4761</v>
      </c>
      <c r="D1541" s="502">
        <v>7</v>
      </c>
      <c r="E1541" s="490"/>
      <c r="F1541" s="493"/>
      <c r="G1541" s="492"/>
      <c r="H1541" s="502"/>
      <c r="I1541" s="493"/>
      <c r="J1541" s="493"/>
      <c r="K1541" s="487" t="str">
        <f ca="1">IFERROR(VLOOKUP(C1541,' Disaggregation - Section E '!A$618:N753,3,0),"")</f>
        <v/>
      </c>
      <c r="L1541" s="487"/>
      <c r="M1541" s="487"/>
      <c r="N1541" s="493"/>
      <c r="O1541" s="493"/>
      <c r="P1541" s="493"/>
    </row>
    <row r="1542" spans="1:16" x14ac:dyDescent="0.3">
      <c r="A1542" s="487" t="b">
        <v>0</v>
      </c>
      <c r="B1542" s="487"/>
      <c r="C1542" s="487" t="s">
        <v>4763</v>
      </c>
      <c r="D1542" s="502">
        <v>7</v>
      </c>
      <c r="E1542" s="490"/>
      <c r="F1542" s="493"/>
      <c r="G1542" s="492"/>
      <c r="H1542" s="502"/>
      <c r="I1542" s="493"/>
      <c r="J1542" s="493"/>
      <c r="K1542" s="487" t="str">
        <f ca="1">IFERROR(VLOOKUP(C1542,' Disaggregation - Section E '!A$618:N754,3,0),"")</f>
        <v/>
      </c>
      <c r="L1542" s="487"/>
      <c r="M1542" s="487"/>
      <c r="N1542" s="493"/>
      <c r="O1542" s="493"/>
      <c r="P1542" s="493"/>
    </row>
    <row r="1543" spans="1:16" x14ac:dyDescent="0.3">
      <c r="A1543" s="487" t="b">
        <v>0</v>
      </c>
      <c r="B1543" s="487"/>
      <c r="C1543" s="487" t="s">
        <v>4765</v>
      </c>
      <c r="D1543" s="502">
        <v>7</v>
      </c>
      <c r="E1543" s="490"/>
      <c r="F1543" s="493"/>
      <c r="G1543" s="492"/>
      <c r="H1543" s="502"/>
      <c r="I1543" s="493"/>
      <c r="J1543" s="493"/>
      <c r="K1543" s="487" t="str">
        <f ca="1">IFERROR(VLOOKUP(C1543,' Disaggregation - Section E '!A$618:N755,3,0),"")</f>
        <v/>
      </c>
      <c r="L1543" s="487"/>
      <c r="M1543" s="487"/>
      <c r="N1543" s="493"/>
      <c r="O1543" s="493"/>
      <c r="P1543" s="493"/>
    </row>
    <row r="1544" spans="1:16" x14ac:dyDescent="0.3">
      <c r="A1544" s="487" t="b">
        <v>0</v>
      </c>
      <c r="B1544" s="487"/>
      <c r="C1544" s="487" t="s">
        <v>4767</v>
      </c>
      <c r="D1544" s="502">
        <v>7</v>
      </c>
      <c r="E1544" s="490"/>
      <c r="F1544" s="493"/>
      <c r="G1544" s="492"/>
      <c r="H1544" s="502"/>
      <c r="I1544" s="493"/>
      <c r="J1544" s="493"/>
      <c r="K1544" s="487" t="str">
        <f ca="1">IFERROR(VLOOKUP(C1544,' Disaggregation - Section E '!A$618:N756,3,0),"")</f>
        <v/>
      </c>
      <c r="L1544" s="487"/>
      <c r="M1544" s="487"/>
      <c r="N1544" s="493"/>
      <c r="O1544" s="493"/>
      <c r="P1544" s="493"/>
    </row>
    <row r="1545" spans="1:16" x14ac:dyDescent="0.3">
      <c r="A1545" s="487" t="b">
        <v>0</v>
      </c>
      <c r="B1545" s="487"/>
      <c r="C1545" s="487" t="s">
        <v>4769</v>
      </c>
      <c r="D1545" s="502">
        <v>7</v>
      </c>
      <c r="E1545" s="490"/>
      <c r="F1545" s="493"/>
      <c r="G1545" s="492"/>
      <c r="H1545" s="502"/>
      <c r="I1545" s="493"/>
      <c r="J1545" s="493"/>
      <c r="K1545" s="487" t="str">
        <f ca="1">IFERROR(VLOOKUP(C1545,' Disaggregation - Section E '!A$618:N757,3,0),"")</f>
        <v/>
      </c>
      <c r="L1545" s="487"/>
      <c r="M1545" s="487"/>
      <c r="N1545" s="493"/>
      <c r="O1545" s="493"/>
      <c r="P1545" s="493"/>
    </row>
    <row r="1546" spans="1:16" x14ac:dyDescent="0.3">
      <c r="A1546" s="487" t="b">
        <v>0</v>
      </c>
      <c r="B1546" s="487"/>
      <c r="C1546" s="487" t="s">
        <v>4771</v>
      </c>
      <c r="D1546" s="502">
        <v>7</v>
      </c>
      <c r="E1546" s="490"/>
      <c r="F1546" s="493"/>
      <c r="G1546" s="492"/>
      <c r="H1546" s="502"/>
      <c r="I1546" s="493"/>
      <c r="J1546" s="493"/>
      <c r="K1546" s="487" t="str">
        <f ca="1">IFERROR(VLOOKUP(C1546,' Disaggregation - Section E '!A$618:N758,3,0),"")</f>
        <v/>
      </c>
      <c r="L1546" s="487"/>
      <c r="M1546" s="487"/>
      <c r="N1546" s="493"/>
      <c r="O1546" s="493"/>
      <c r="P1546" s="493"/>
    </row>
    <row r="1547" spans="1:16" x14ac:dyDescent="0.3">
      <c r="A1547" s="487" t="b">
        <v>0</v>
      </c>
      <c r="B1547" s="487"/>
      <c r="C1547" s="487" t="s">
        <v>4773</v>
      </c>
      <c r="D1547" s="502">
        <v>7</v>
      </c>
      <c r="E1547" s="490"/>
      <c r="F1547" s="493"/>
      <c r="G1547" s="492"/>
      <c r="H1547" s="502"/>
      <c r="I1547" s="493"/>
      <c r="J1547" s="493"/>
      <c r="K1547" s="487" t="str">
        <f ca="1">IFERROR(VLOOKUP(C1547,' Disaggregation - Section E '!A$618:N759,3,0),"")</f>
        <v/>
      </c>
      <c r="L1547" s="487"/>
      <c r="M1547" s="487"/>
      <c r="N1547" s="493"/>
      <c r="O1547" s="493"/>
      <c r="P1547" s="493"/>
    </row>
    <row r="1548" spans="1:16" x14ac:dyDescent="0.3">
      <c r="A1548" s="487" t="b">
        <v>0</v>
      </c>
      <c r="B1548" s="487"/>
      <c r="C1548" s="487" t="s">
        <v>4775</v>
      </c>
      <c r="D1548" s="502">
        <v>7</v>
      </c>
      <c r="E1548" s="490"/>
      <c r="F1548" s="493"/>
      <c r="G1548" s="492"/>
      <c r="H1548" s="502"/>
      <c r="I1548" s="493"/>
      <c r="J1548" s="493"/>
      <c r="K1548" s="487" t="str">
        <f ca="1">IFERROR(VLOOKUP(C1548,' Disaggregation - Section E '!A$618:N760,3,0),"")</f>
        <v/>
      </c>
      <c r="L1548" s="487"/>
      <c r="M1548" s="487"/>
      <c r="N1548" s="493"/>
      <c r="O1548" s="493"/>
      <c r="P1548" s="493"/>
    </row>
    <row r="1549" spans="1:16" x14ac:dyDescent="0.3">
      <c r="A1549" s="487" t="b">
        <v>0</v>
      </c>
      <c r="B1549" s="487"/>
      <c r="C1549" s="487" t="s">
        <v>4777</v>
      </c>
      <c r="D1549" s="502">
        <v>7</v>
      </c>
      <c r="E1549" s="490"/>
      <c r="F1549" s="493"/>
      <c r="G1549" s="492"/>
      <c r="H1549" s="502"/>
      <c r="I1549" s="493"/>
      <c r="J1549" s="493"/>
      <c r="K1549" s="487" t="str">
        <f ca="1">IFERROR(VLOOKUP(C1549,' Disaggregation - Section E '!A$618:N761,3,0),"")</f>
        <v/>
      </c>
      <c r="L1549" s="487"/>
      <c r="M1549" s="487"/>
      <c r="N1549" s="493"/>
      <c r="O1549" s="493"/>
      <c r="P1549" s="493"/>
    </row>
    <row r="1550" spans="1:16" x14ac:dyDescent="0.3">
      <c r="A1550" s="487" t="b">
        <v>0</v>
      </c>
      <c r="B1550" s="487"/>
      <c r="C1550" s="487" t="s">
        <v>4779</v>
      </c>
      <c r="D1550" s="502">
        <v>7</v>
      </c>
      <c r="E1550" s="490"/>
      <c r="F1550" s="493"/>
      <c r="G1550" s="492"/>
      <c r="H1550" s="502"/>
      <c r="I1550" s="493"/>
      <c r="J1550" s="493"/>
      <c r="K1550" s="487" t="str">
        <f ca="1">IFERROR(VLOOKUP(C1550,' Disaggregation - Section E '!A$618:N762,3,0),"")</f>
        <v/>
      </c>
      <c r="L1550" s="487"/>
      <c r="M1550" s="487"/>
      <c r="N1550" s="493"/>
      <c r="O1550" s="493"/>
      <c r="P1550" s="493"/>
    </row>
    <row r="1551" spans="1:16" x14ac:dyDescent="0.3">
      <c r="A1551" s="487" t="b">
        <v>0</v>
      </c>
      <c r="B1551" s="487"/>
      <c r="C1551" s="487" t="s">
        <v>4781</v>
      </c>
      <c r="D1551" s="502">
        <v>7</v>
      </c>
      <c r="E1551" s="490"/>
      <c r="F1551" s="493"/>
      <c r="G1551" s="492"/>
      <c r="H1551" s="502"/>
      <c r="I1551" s="493"/>
      <c r="J1551" s="493"/>
      <c r="K1551" s="487" t="str">
        <f ca="1">IFERROR(VLOOKUP(C1551,' Disaggregation - Section E '!A$618:N763,3,0),"")</f>
        <v/>
      </c>
      <c r="L1551" s="487"/>
      <c r="M1551" s="487"/>
      <c r="N1551" s="493"/>
      <c r="O1551" s="493"/>
      <c r="P1551" s="493"/>
    </row>
    <row r="1552" spans="1:16" x14ac:dyDescent="0.3">
      <c r="A1552" s="487" t="b">
        <v>0</v>
      </c>
      <c r="B1552" s="487"/>
      <c r="C1552" s="487" t="s">
        <v>4784</v>
      </c>
      <c r="D1552" s="502">
        <v>8</v>
      </c>
      <c r="E1552" s="490"/>
      <c r="F1552" s="493"/>
      <c r="G1552" s="492"/>
      <c r="H1552" s="502"/>
      <c r="I1552" s="493"/>
      <c r="J1552" s="493"/>
      <c r="K1552" s="487" t="str">
        <f ca="1">IFERROR(VLOOKUP(C1552,' Disaggregation - Section E '!A$618:N764,3,0),"")</f>
        <v/>
      </c>
      <c r="L1552" s="487"/>
      <c r="M1552" s="487"/>
      <c r="N1552" s="493"/>
      <c r="O1552" s="493"/>
      <c r="P1552" s="493"/>
    </row>
    <row r="1553" spans="1:16" x14ac:dyDescent="0.3">
      <c r="A1553" s="487" t="b">
        <v>0</v>
      </c>
      <c r="B1553" s="487"/>
      <c r="C1553" s="487" t="s">
        <v>4786</v>
      </c>
      <c r="D1553" s="502">
        <v>8</v>
      </c>
      <c r="E1553" s="490"/>
      <c r="F1553" s="493"/>
      <c r="G1553" s="492"/>
      <c r="H1553" s="502"/>
      <c r="I1553" s="493"/>
      <c r="J1553" s="493"/>
      <c r="K1553" s="487" t="str">
        <f ca="1">IFERROR(VLOOKUP(C1553,' Disaggregation - Section E '!A$618:N765,3,0),"")</f>
        <v/>
      </c>
      <c r="L1553" s="487"/>
      <c r="M1553" s="487"/>
      <c r="N1553" s="493"/>
      <c r="O1553" s="493"/>
      <c r="P1553" s="493"/>
    </row>
    <row r="1554" spans="1:16" x14ac:dyDescent="0.3">
      <c r="A1554" s="487" t="b">
        <v>0</v>
      </c>
      <c r="B1554" s="487"/>
      <c r="C1554" s="487" t="s">
        <v>4788</v>
      </c>
      <c r="D1554" s="502">
        <v>8</v>
      </c>
      <c r="E1554" s="490"/>
      <c r="F1554" s="493"/>
      <c r="G1554" s="492"/>
      <c r="H1554" s="502"/>
      <c r="I1554" s="493"/>
      <c r="J1554" s="493"/>
      <c r="K1554" s="487" t="str">
        <f ca="1">IFERROR(VLOOKUP(C1554,' Disaggregation - Section E '!A$618:N766,3,0),"")</f>
        <v/>
      </c>
      <c r="L1554" s="487"/>
      <c r="M1554" s="487"/>
      <c r="N1554" s="493"/>
      <c r="O1554" s="493"/>
      <c r="P1554" s="493"/>
    </row>
    <row r="1555" spans="1:16" x14ac:dyDescent="0.3">
      <c r="A1555" s="487" t="b">
        <v>0</v>
      </c>
      <c r="B1555" s="487"/>
      <c r="C1555" s="487" t="s">
        <v>4790</v>
      </c>
      <c r="D1555" s="502">
        <v>8</v>
      </c>
      <c r="E1555" s="490"/>
      <c r="F1555" s="493"/>
      <c r="G1555" s="492"/>
      <c r="H1555" s="502"/>
      <c r="I1555" s="493"/>
      <c r="J1555" s="493"/>
      <c r="K1555" s="487" t="str">
        <f ca="1">IFERROR(VLOOKUP(C1555,' Disaggregation - Section E '!A$618:N767,3,0),"")</f>
        <v/>
      </c>
      <c r="L1555" s="487"/>
      <c r="M1555" s="487"/>
      <c r="N1555" s="493"/>
      <c r="O1555" s="493"/>
      <c r="P1555" s="493"/>
    </row>
    <row r="1556" spans="1:16" x14ac:dyDescent="0.3">
      <c r="A1556" s="487" t="b">
        <v>0</v>
      </c>
      <c r="B1556" s="487"/>
      <c r="C1556" s="487" t="s">
        <v>4792</v>
      </c>
      <c r="D1556" s="502">
        <v>8</v>
      </c>
      <c r="E1556" s="490"/>
      <c r="F1556" s="493"/>
      <c r="G1556" s="492"/>
      <c r="H1556" s="502"/>
      <c r="I1556" s="493"/>
      <c r="J1556" s="493"/>
      <c r="K1556" s="487" t="str">
        <f ca="1">IFERROR(VLOOKUP(C1556,' Disaggregation - Section E '!A$618:N768,3,0),"")</f>
        <v/>
      </c>
      <c r="L1556" s="487"/>
      <c r="M1556" s="487"/>
      <c r="N1556" s="493"/>
      <c r="O1556" s="493"/>
      <c r="P1556" s="493"/>
    </row>
    <row r="1557" spans="1:16" x14ac:dyDescent="0.3">
      <c r="A1557" s="487" t="b">
        <v>0</v>
      </c>
      <c r="B1557" s="487"/>
      <c r="C1557" s="487" t="s">
        <v>4794</v>
      </c>
      <c r="D1557" s="502">
        <v>8</v>
      </c>
      <c r="E1557" s="490"/>
      <c r="F1557" s="493"/>
      <c r="G1557" s="492"/>
      <c r="H1557" s="502"/>
      <c r="I1557" s="493"/>
      <c r="J1557" s="493"/>
      <c r="K1557" s="487" t="str">
        <f ca="1">IFERROR(VLOOKUP(C1557,' Disaggregation - Section E '!A$618:N769,3,0),"")</f>
        <v/>
      </c>
      <c r="L1557" s="487"/>
      <c r="M1557" s="487"/>
      <c r="N1557" s="493"/>
      <c r="O1557" s="493"/>
      <c r="P1557" s="493"/>
    </row>
    <row r="1558" spans="1:16" x14ac:dyDescent="0.3">
      <c r="A1558" s="487" t="b">
        <v>0</v>
      </c>
      <c r="B1558" s="487"/>
      <c r="C1558" s="487" t="s">
        <v>4796</v>
      </c>
      <c r="D1558" s="502">
        <v>8</v>
      </c>
      <c r="E1558" s="490"/>
      <c r="F1558" s="493"/>
      <c r="G1558" s="492"/>
      <c r="H1558" s="502"/>
      <c r="I1558" s="493"/>
      <c r="J1558" s="493"/>
      <c r="K1558" s="487" t="str">
        <f ca="1">IFERROR(VLOOKUP(C1558,' Disaggregation - Section E '!A$618:N770,3,0),"")</f>
        <v/>
      </c>
      <c r="L1558" s="487"/>
      <c r="M1558" s="487"/>
      <c r="N1558" s="493"/>
      <c r="O1558" s="493"/>
      <c r="P1558" s="493"/>
    </row>
    <row r="1559" spans="1:16" x14ac:dyDescent="0.3">
      <c r="A1559" s="487" t="b">
        <v>0</v>
      </c>
      <c r="B1559" s="487"/>
      <c r="C1559" s="487" t="s">
        <v>4798</v>
      </c>
      <c r="D1559" s="502">
        <v>8</v>
      </c>
      <c r="E1559" s="490"/>
      <c r="F1559" s="493"/>
      <c r="G1559" s="492"/>
      <c r="H1559" s="502"/>
      <c r="I1559" s="493"/>
      <c r="J1559" s="493"/>
      <c r="K1559" s="487" t="str">
        <f ca="1">IFERROR(VLOOKUP(C1559,' Disaggregation - Section E '!A$618:N771,3,0),"")</f>
        <v/>
      </c>
      <c r="L1559" s="487"/>
      <c r="M1559" s="487"/>
      <c r="N1559" s="493"/>
      <c r="O1559" s="493"/>
      <c r="P1559" s="493"/>
    </row>
    <row r="1560" spans="1:16" x14ac:dyDescent="0.3">
      <c r="A1560" s="487" t="b">
        <v>0</v>
      </c>
      <c r="B1560" s="487"/>
      <c r="C1560" s="487" t="s">
        <v>4800</v>
      </c>
      <c r="D1560" s="502">
        <v>8</v>
      </c>
      <c r="E1560" s="490"/>
      <c r="F1560" s="493"/>
      <c r="G1560" s="492"/>
      <c r="H1560" s="502"/>
      <c r="I1560" s="493"/>
      <c r="J1560" s="493"/>
      <c r="K1560" s="487" t="str">
        <f ca="1">IFERROR(VLOOKUP(C1560,' Disaggregation - Section E '!A$618:N772,3,0),"")</f>
        <v/>
      </c>
      <c r="L1560" s="487"/>
      <c r="M1560" s="487"/>
      <c r="N1560" s="493"/>
      <c r="O1560" s="493"/>
      <c r="P1560" s="493"/>
    </row>
    <row r="1561" spans="1:16" x14ac:dyDescent="0.3">
      <c r="A1561" s="487" t="b">
        <v>0</v>
      </c>
      <c r="B1561" s="487"/>
      <c r="C1561" s="487" t="s">
        <v>4802</v>
      </c>
      <c r="D1561" s="502">
        <v>8</v>
      </c>
      <c r="E1561" s="490"/>
      <c r="F1561" s="493"/>
      <c r="G1561" s="492"/>
      <c r="H1561" s="502"/>
      <c r="I1561" s="493"/>
      <c r="J1561" s="493"/>
      <c r="K1561" s="487" t="str">
        <f ca="1">IFERROR(VLOOKUP(C1561,' Disaggregation - Section E '!A$618:N773,3,0),"")</f>
        <v/>
      </c>
      <c r="L1561" s="487"/>
      <c r="M1561" s="487"/>
      <c r="N1561" s="493"/>
      <c r="O1561" s="493"/>
      <c r="P1561" s="493"/>
    </row>
    <row r="1562" spans="1:16" x14ac:dyDescent="0.3">
      <c r="A1562" s="487" t="b">
        <v>0</v>
      </c>
      <c r="B1562" s="487"/>
      <c r="C1562" s="487" t="s">
        <v>4804</v>
      </c>
      <c r="D1562" s="502">
        <v>8</v>
      </c>
      <c r="E1562" s="490"/>
      <c r="F1562" s="493"/>
      <c r="G1562" s="492"/>
      <c r="H1562" s="502"/>
      <c r="I1562" s="493"/>
      <c r="J1562" s="493"/>
      <c r="K1562" s="487" t="str">
        <f ca="1">IFERROR(VLOOKUP(C1562,' Disaggregation - Section E '!A$618:N774,3,0),"")</f>
        <v/>
      </c>
      <c r="L1562" s="487"/>
      <c r="M1562" s="487"/>
      <c r="N1562" s="493"/>
      <c r="O1562" s="493"/>
      <c r="P1562" s="493"/>
    </row>
    <row r="1563" spans="1:16" x14ac:dyDescent="0.3">
      <c r="A1563" s="487" t="b">
        <v>0</v>
      </c>
      <c r="B1563" s="487"/>
      <c r="C1563" s="487" t="s">
        <v>4806</v>
      </c>
      <c r="D1563" s="502">
        <v>8</v>
      </c>
      <c r="E1563" s="490"/>
      <c r="F1563" s="493"/>
      <c r="G1563" s="492"/>
      <c r="H1563" s="502"/>
      <c r="I1563" s="493"/>
      <c r="J1563" s="493"/>
      <c r="K1563" s="487" t="str">
        <f ca="1">IFERROR(VLOOKUP(C1563,' Disaggregation - Section E '!A$618:N775,3,0),"")</f>
        <v/>
      </c>
      <c r="L1563" s="487"/>
      <c r="M1563" s="487"/>
      <c r="N1563" s="493"/>
      <c r="O1563" s="493"/>
      <c r="P1563" s="493"/>
    </row>
    <row r="1564" spans="1:16" x14ac:dyDescent="0.3">
      <c r="A1564" s="487" t="b">
        <v>0</v>
      </c>
      <c r="B1564" s="487"/>
      <c r="C1564" s="487" t="s">
        <v>4808</v>
      </c>
      <c r="D1564" s="502">
        <v>8</v>
      </c>
      <c r="E1564" s="490"/>
      <c r="F1564" s="493"/>
      <c r="G1564" s="492"/>
      <c r="H1564" s="502"/>
      <c r="I1564" s="493"/>
      <c r="J1564" s="493"/>
      <c r="K1564" s="487" t="str">
        <f ca="1">IFERROR(VLOOKUP(C1564,' Disaggregation - Section E '!A$618:N776,3,0),"")</f>
        <v/>
      </c>
      <c r="L1564" s="487"/>
      <c r="M1564" s="487"/>
      <c r="N1564" s="493"/>
      <c r="O1564" s="493"/>
      <c r="P1564" s="493"/>
    </row>
    <row r="1565" spans="1:16" x14ac:dyDescent="0.3">
      <c r="A1565" s="487" t="b">
        <v>0</v>
      </c>
      <c r="B1565" s="487"/>
      <c r="C1565" s="487" t="s">
        <v>4810</v>
      </c>
      <c r="D1565" s="502">
        <v>8</v>
      </c>
      <c r="E1565" s="490"/>
      <c r="F1565" s="493"/>
      <c r="G1565" s="492"/>
      <c r="H1565" s="502"/>
      <c r="I1565" s="493"/>
      <c r="J1565" s="493"/>
      <c r="K1565" s="487" t="str">
        <f ca="1">IFERROR(VLOOKUP(C1565,' Disaggregation - Section E '!A$618:N777,3,0),"")</f>
        <v/>
      </c>
      <c r="L1565" s="487"/>
      <c r="M1565" s="487"/>
      <c r="N1565" s="493"/>
      <c r="O1565" s="493"/>
      <c r="P1565" s="493"/>
    </row>
    <row r="1566" spans="1:16" x14ac:dyDescent="0.3">
      <c r="A1566" s="487" t="b">
        <v>0</v>
      </c>
      <c r="B1566" s="487"/>
      <c r="C1566" s="487" t="s">
        <v>4812</v>
      </c>
      <c r="D1566" s="502">
        <v>8</v>
      </c>
      <c r="E1566" s="490"/>
      <c r="F1566" s="493"/>
      <c r="G1566" s="492"/>
      <c r="H1566" s="502"/>
      <c r="I1566" s="493"/>
      <c r="J1566" s="493"/>
      <c r="K1566" s="487" t="str">
        <f ca="1">IFERROR(VLOOKUP(C1566,' Disaggregation - Section E '!A$618:N778,3,0),"")</f>
        <v/>
      </c>
      <c r="L1566" s="487"/>
      <c r="M1566" s="487"/>
      <c r="N1566" s="493"/>
      <c r="O1566" s="493"/>
      <c r="P1566" s="493"/>
    </row>
    <row r="1567" spans="1:16" x14ac:dyDescent="0.3">
      <c r="A1567" s="487" t="b">
        <v>0</v>
      </c>
      <c r="B1567" s="487"/>
      <c r="C1567" s="487" t="s">
        <v>4814</v>
      </c>
      <c r="D1567" s="502">
        <v>8</v>
      </c>
      <c r="E1567" s="490"/>
      <c r="F1567" s="493"/>
      <c r="G1567" s="492"/>
      <c r="H1567" s="502"/>
      <c r="I1567" s="493"/>
      <c r="J1567" s="493"/>
      <c r="K1567" s="487" t="str">
        <f ca="1">IFERROR(VLOOKUP(C1567,' Disaggregation - Section E '!A$618:N779,3,0),"")</f>
        <v/>
      </c>
      <c r="L1567" s="487"/>
      <c r="M1567" s="487"/>
      <c r="N1567" s="493"/>
      <c r="O1567" s="493"/>
      <c r="P1567" s="493"/>
    </row>
    <row r="1568" spans="1:16" x14ac:dyDescent="0.3">
      <c r="A1568" s="487" t="b">
        <v>0</v>
      </c>
      <c r="B1568" s="487"/>
      <c r="C1568" s="487" t="s">
        <v>4816</v>
      </c>
      <c r="D1568" s="502">
        <v>8</v>
      </c>
      <c r="E1568" s="490"/>
      <c r="F1568" s="493"/>
      <c r="G1568" s="492"/>
      <c r="H1568" s="502"/>
      <c r="I1568" s="493"/>
      <c r="J1568" s="493"/>
      <c r="K1568" s="487" t="str">
        <f ca="1">IFERROR(VLOOKUP(C1568,' Disaggregation - Section E '!A$618:N780,3,0),"")</f>
        <v/>
      </c>
      <c r="L1568" s="487"/>
      <c r="M1568" s="487"/>
      <c r="N1568" s="493"/>
      <c r="O1568" s="493"/>
      <c r="P1568" s="493"/>
    </row>
    <row r="1569" spans="1:16" x14ac:dyDescent="0.3">
      <c r="A1569" s="487" t="b">
        <v>0</v>
      </c>
      <c r="B1569" s="487"/>
      <c r="C1569" s="487" t="s">
        <v>4818</v>
      </c>
      <c r="D1569" s="502">
        <v>8</v>
      </c>
      <c r="E1569" s="490"/>
      <c r="F1569" s="493"/>
      <c r="G1569" s="492"/>
      <c r="H1569" s="502"/>
      <c r="I1569" s="493"/>
      <c r="J1569" s="493"/>
      <c r="K1569" s="487" t="str">
        <f ca="1">IFERROR(VLOOKUP(C1569,' Disaggregation - Section E '!A$618:N781,3,0),"")</f>
        <v/>
      </c>
      <c r="L1569" s="487"/>
      <c r="M1569" s="487"/>
      <c r="N1569" s="493"/>
      <c r="O1569" s="493"/>
      <c r="P1569" s="493"/>
    </row>
    <row r="1570" spans="1:16" x14ac:dyDescent="0.3">
      <c r="A1570" s="487" t="b">
        <v>0</v>
      </c>
      <c r="B1570" s="487"/>
      <c r="C1570" s="487" t="s">
        <v>4820</v>
      </c>
      <c r="D1570" s="502">
        <v>8</v>
      </c>
      <c r="E1570" s="490"/>
      <c r="F1570" s="493"/>
      <c r="G1570" s="492"/>
      <c r="H1570" s="502"/>
      <c r="I1570" s="493"/>
      <c r="J1570" s="493"/>
      <c r="K1570" s="487" t="str">
        <f ca="1">IFERROR(VLOOKUP(C1570,' Disaggregation - Section E '!A$618:N782,3,0),"")</f>
        <v/>
      </c>
      <c r="L1570" s="487"/>
      <c r="M1570" s="487"/>
      <c r="N1570" s="493"/>
      <c r="O1570" s="493"/>
      <c r="P1570" s="493"/>
    </row>
    <row r="1571" spans="1:16" x14ac:dyDescent="0.3">
      <c r="A1571" s="487" t="b">
        <v>0</v>
      </c>
      <c r="B1571" s="487"/>
      <c r="C1571" s="487" t="s">
        <v>4822</v>
      </c>
      <c r="D1571" s="502">
        <v>8</v>
      </c>
      <c r="E1571" s="490"/>
      <c r="F1571" s="493"/>
      <c r="G1571" s="492"/>
      <c r="H1571" s="502"/>
      <c r="I1571" s="493"/>
      <c r="J1571" s="493"/>
      <c r="K1571" s="487" t="str">
        <f ca="1">IFERROR(VLOOKUP(C1571,' Disaggregation - Section E '!A$618:N783,3,0),"")</f>
        <v/>
      </c>
      <c r="L1571" s="487"/>
      <c r="M1571" s="487"/>
      <c r="N1571" s="493"/>
      <c r="O1571" s="493"/>
      <c r="P1571" s="493"/>
    </row>
    <row r="1572" spans="1:16" x14ac:dyDescent="0.3">
      <c r="A1572" s="487" t="b">
        <v>0</v>
      </c>
      <c r="B1572" s="487"/>
      <c r="C1572" s="487" t="s">
        <v>4825</v>
      </c>
      <c r="D1572" s="502">
        <v>9</v>
      </c>
      <c r="E1572" s="490"/>
      <c r="F1572" s="493"/>
      <c r="G1572" s="492"/>
      <c r="H1572" s="502"/>
      <c r="I1572" s="493"/>
      <c r="J1572" s="493"/>
      <c r="K1572" s="487" t="str">
        <f ca="1">IFERROR(VLOOKUP(C1572,' Disaggregation - Section E '!A$618:N784,3,0),"")</f>
        <v/>
      </c>
      <c r="L1572" s="487"/>
      <c r="M1572" s="487"/>
      <c r="N1572" s="493"/>
      <c r="O1572" s="493"/>
      <c r="P1572" s="493"/>
    </row>
    <row r="1573" spans="1:16" x14ac:dyDescent="0.3">
      <c r="A1573" s="487" t="b">
        <v>0</v>
      </c>
      <c r="B1573" s="487"/>
      <c r="C1573" s="487" t="s">
        <v>4827</v>
      </c>
      <c r="D1573" s="502">
        <v>9</v>
      </c>
      <c r="E1573" s="490"/>
      <c r="F1573" s="493"/>
      <c r="G1573" s="492"/>
      <c r="H1573" s="502"/>
      <c r="I1573" s="493"/>
      <c r="J1573" s="493"/>
      <c r="K1573" s="487" t="str">
        <f ca="1">IFERROR(VLOOKUP(C1573,' Disaggregation - Section E '!A$618:N785,3,0),"")</f>
        <v/>
      </c>
      <c r="L1573" s="487"/>
      <c r="M1573" s="487"/>
      <c r="N1573" s="493"/>
      <c r="O1573" s="493"/>
      <c r="P1573" s="493"/>
    </row>
    <row r="1574" spans="1:16" x14ac:dyDescent="0.3">
      <c r="A1574" s="487" t="b">
        <v>0</v>
      </c>
      <c r="B1574" s="487"/>
      <c r="C1574" s="487" t="s">
        <v>4829</v>
      </c>
      <c r="D1574" s="502">
        <v>9</v>
      </c>
      <c r="E1574" s="490"/>
      <c r="F1574" s="493"/>
      <c r="G1574" s="492"/>
      <c r="H1574" s="502"/>
      <c r="I1574" s="493"/>
      <c r="J1574" s="493"/>
      <c r="K1574" s="487" t="str">
        <f ca="1">IFERROR(VLOOKUP(C1574,' Disaggregation - Section E '!A$618:N786,3,0),"")</f>
        <v/>
      </c>
      <c r="L1574" s="487"/>
      <c r="M1574" s="487"/>
      <c r="N1574" s="493"/>
      <c r="O1574" s="493"/>
      <c r="P1574" s="493"/>
    </row>
    <row r="1575" spans="1:16" x14ac:dyDescent="0.3">
      <c r="A1575" s="487" t="b">
        <v>0</v>
      </c>
      <c r="B1575" s="487"/>
      <c r="C1575" s="487" t="s">
        <v>4831</v>
      </c>
      <c r="D1575" s="502">
        <v>9</v>
      </c>
      <c r="E1575" s="490"/>
      <c r="F1575" s="493"/>
      <c r="G1575" s="492"/>
      <c r="H1575" s="502"/>
      <c r="I1575" s="493"/>
      <c r="J1575" s="493"/>
      <c r="K1575" s="487" t="str">
        <f ca="1">IFERROR(VLOOKUP(C1575,' Disaggregation - Section E '!A$618:N787,3,0),"")</f>
        <v/>
      </c>
      <c r="L1575" s="487"/>
      <c r="M1575" s="487"/>
      <c r="N1575" s="493"/>
      <c r="O1575" s="493"/>
      <c r="P1575" s="493"/>
    </row>
    <row r="1576" spans="1:16" x14ac:dyDescent="0.3">
      <c r="A1576" s="487" t="b">
        <v>0</v>
      </c>
      <c r="B1576" s="487"/>
      <c r="C1576" s="487" t="s">
        <v>4833</v>
      </c>
      <c r="D1576" s="502">
        <v>9</v>
      </c>
      <c r="E1576" s="490"/>
      <c r="F1576" s="493"/>
      <c r="G1576" s="492"/>
      <c r="H1576" s="502"/>
      <c r="I1576" s="493"/>
      <c r="J1576" s="493"/>
      <c r="K1576" s="487" t="str">
        <f ca="1">IFERROR(VLOOKUP(C1576,' Disaggregation - Section E '!A$618:N788,3,0),"")</f>
        <v/>
      </c>
      <c r="L1576" s="487"/>
      <c r="M1576" s="487"/>
      <c r="N1576" s="493"/>
      <c r="O1576" s="493"/>
      <c r="P1576" s="493"/>
    </row>
    <row r="1577" spans="1:16" x14ac:dyDescent="0.3">
      <c r="A1577" s="487" t="b">
        <v>0</v>
      </c>
      <c r="B1577" s="487"/>
      <c r="C1577" s="487" t="s">
        <v>4835</v>
      </c>
      <c r="D1577" s="502">
        <v>9</v>
      </c>
      <c r="E1577" s="490"/>
      <c r="F1577" s="493"/>
      <c r="G1577" s="492"/>
      <c r="H1577" s="502"/>
      <c r="I1577" s="493"/>
      <c r="J1577" s="493"/>
      <c r="K1577" s="487" t="str">
        <f ca="1">IFERROR(VLOOKUP(C1577,' Disaggregation - Section E '!A$618:N789,3,0),"")</f>
        <v/>
      </c>
      <c r="L1577" s="487"/>
      <c r="M1577" s="487"/>
      <c r="N1577" s="493"/>
      <c r="O1577" s="493"/>
      <c r="P1577" s="493"/>
    </row>
    <row r="1578" spans="1:16" x14ac:dyDescent="0.3">
      <c r="A1578" s="487" t="b">
        <v>0</v>
      </c>
      <c r="B1578" s="487"/>
      <c r="C1578" s="487" t="s">
        <v>4837</v>
      </c>
      <c r="D1578" s="502">
        <v>9</v>
      </c>
      <c r="E1578" s="490"/>
      <c r="F1578" s="493"/>
      <c r="G1578" s="492"/>
      <c r="H1578" s="502"/>
      <c r="I1578" s="493"/>
      <c r="J1578" s="493"/>
      <c r="K1578" s="487" t="str">
        <f ca="1">IFERROR(VLOOKUP(C1578,' Disaggregation - Section E '!A$618:N790,3,0),"")</f>
        <v/>
      </c>
      <c r="L1578" s="487"/>
      <c r="M1578" s="487"/>
      <c r="N1578" s="493"/>
      <c r="O1578" s="493"/>
      <c r="P1578" s="493"/>
    </row>
    <row r="1579" spans="1:16" x14ac:dyDescent="0.3">
      <c r="A1579" s="487" t="b">
        <v>0</v>
      </c>
      <c r="B1579" s="487"/>
      <c r="C1579" s="487" t="s">
        <v>4839</v>
      </c>
      <c r="D1579" s="502">
        <v>9</v>
      </c>
      <c r="E1579" s="490"/>
      <c r="F1579" s="493"/>
      <c r="G1579" s="492"/>
      <c r="H1579" s="502"/>
      <c r="I1579" s="493"/>
      <c r="J1579" s="493"/>
      <c r="K1579" s="487" t="str">
        <f ca="1">IFERROR(VLOOKUP(C1579,' Disaggregation - Section E '!A$618:N791,3,0),"")</f>
        <v/>
      </c>
      <c r="L1579" s="487"/>
      <c r="M1579" s="487"/>
      <c r="N1579" s="493"/>
      <c r="O1579" s="493"/>
      <c r="P1579" s="493"/>
    </row>
    <row r="1580" spans="1:16" x14ac:dyDescent="0.3">
      <c r="A1580" s="487" t="b">
        <v>0</v>
      </c>
      <c r="B1580" s="487"/>
      <c r="C1580" s="487" t="s">
        <v>4841</v>
      </c>
      <c r="D1580" s="502">
        <v>9</v>
      </c>
      <c r="E1580" s="490"/>
      <c r="F1580" s="493"/>
      <c r="G1580" s="492"/>
      <c r="H1580" s="502"/>
      <c r="I1580" s="493"/>
      <c r="J1580" s="493"/>
      <c r="K1580" s="487" t="str">
        <f ca="1">IFERROR(VLOOKUP(C1580,' Disaggregation - Section E '!A$618:N792,3,0),"")</f>
        <v/>
      </c>
      <c r="L1580" s="487"/>
      <c r="M1580" s="487"/>
      <c r="N1580" s="493"/>
      <c r="O1580" s="493"/>
      <c r="P1580" s="493"/>
    </row>
    <row r="1581" spans="1:16" x14ac:dyDescent="0.3">
      <c r="A1581" s="487" t="b">
        <v>0</v>
      </c>
      <c r="B1581" s="487"/>
      <c r="C1581" s="487" t="s">
        <v>4843</v>
      </c>
      <c r="D1581" s="502">
        <v>9</v>
      </c>
      <c r="E1581" s="490"/>
      <c r="F1581" s="493"/>
      <c r="G1581" s="492"/>
      <c r="H1581" s="502"/>
      <c r="I1581" s="493"/>
      <c r="J1581" s="493"/>
      <c r="K1581" s="487" t="str">
        <f ca="1">IFERROR(VLOOKUP(C1581,' Disaggregation - Section E '!A$618:N793,3,0),"")</f>
        <v/>
      </c>
      <c r="L1581" s="487"/>
      <c r="M1581" s="487"/>
      <c r="N1581" s="493"/>
      <c r="O1581" s="493"/>
      <c r="P1581" s="493"/>
    </row>
    <row r="1582" spans="1:16" x14ac:dyDescent="0.3">
      <c r="A1582" s="487" t="b">
        <v>0</v>
      </c>
      <c r="B1582" s="487"/>
      <c r="C1582" s="487" t="s">
        <v>4845</v>
      </c>
      <c r="D1582" s="502">
        <v>9</v>
      </c>
      <c r="E1582" s="490"/>
      <c r="F1582" s="493"/>
      <c r="G1582" s="492"/>
      <c r="H1582" s="502"/>
      <c r="I1582" s="493"/>
      <c r="J1582" s="493"/>
      <c r="K1582" s="487" t="str">
        <f ca="1">IFERROR(VLOOKUP(C1582,' Disaggregation - Section E '!A$618:N794,3,0),"")</f>
        <v/>
      </c>
      <c r="L1582" s="487"/>
      <c r="M1582" s="487"/>
      <c r="N1582" s="493"/>
      <c r="O1582" s="493"/>
      <c r="P1582" s="493"/>
    </row>
    <row r="1583" spans="1:16" x14ac:dyDescent="0.3">
      <c r="A1583" s="487" t="b">
        <v>0</v>
      </c>
      <c r="B1583" s="487"/>
      <c r="C1583" s="487" t="s">
        <v>4847</v>
      </c>
      <c r="D1583" s="502">
        <v>9</v>
      </c>
      <c r="E1583" s="490"/>
      <c r="F1583" s="493"/>
      <c r="G1583" s="492"/>
      <c r="H1583" s="502"/>
      <c r="I1583" s="493"/>
      <c r="J1583" s="493"/>
      <c r="K1583" s="487" t="str">
        <f ca="1">IFERROR(VLOOKUP(C1583,' Disaggregation - Section E '!A$618:N795,3,0),"")</f>
        <v/>
      </c>
      <c r="L1583" s="487"/>
      <c r="M1583" s="487"/>
      <c r="N1583" s="493"/>
      <c r="O1583" s="493"/>
      <c r="P1583" s="493"/>
    </row>
    <row r="1584" spans="1:16" x14ac:dyDescent="0.3">
      <c r="A1584" s="487" t="b">
        <v>0</v>
      </c>
      <c r="B1584" s="487"/>
      <c r="C1584" s="487" t="s">
        <v>4849</v>
      </c>
      <c r="D1584" s="502">
        <v>9</v>
      </c>
      <c r="E1584" s="490"/>
      <c r="F1584" s="493"/>
      <c r="G1584" s="492"/>
      <c r="H1584" s="502"/>
      <c r="I1584" s="493"/>
      <c r="J1584" s="493"/>
      <c r="K1584" s="487" t="str">
        <f ca="1">IFERROR(VLOOKUP(C1584,' Disaggregation - Section E '!A$618:N796,3,0),"")</f>
        <v/>
      </c>
      <c r="L1584" s="487"/>
      <c r="M1584" s="487"/>
      <c r="N1584" s="493"/>
      <c r="O1584" s="493"/>
      <c r="P1584" s="493"/>
    </row>
    <row r="1585" spans="1:16" x14ac:dyDescent="0.3">
      <c r="A1585" s="487" t="b">
        <v>0</v>
      </c>
      <c r="B1585" s="487"/>
      <c r="C1585" s="487" t="s">
        <v>4851</v>
      </c>
      <c r="D1585" s="502">
        <v>9</v>
      </c>
      <c r="E1585" s="490"/>
      <c r="F1585" s="493"/>
      <c r="G1585" s="492"/>
      <c r="H1585" s="502"/>
      <c r="I1585" s="493"/>
      <c r="J1585" s="493"/>
      <c r="K1585" s="487" t="str">
        <f ca="1">IFERROR(VLOOKUP(C1585,' Disaggregation - Section E '!A$618:N797,3,0),"")</f>
        <v/>
      </c>
      <c r="L1585" s="487"/>
      <c r="M1585" s="487"/>
      <c r="N1585" s="493"/>
      <c r="O1585" s="493"/>
      <c r="P1585" s="493"/>
    </row>
    <row r="1586" spans="1:16" x14ac:dyDescent="0.3">
      <c r="A1586" s="487" t="b">
        <v>0</v>
      </c>
      <c r="B1586" s="487"/>
      <c r="C1586" s="487" t="s">
        <v>4853</v>
      </c>
      <c r="D1586" s="502">
        <v>9</v>
      </c>
      <c r="E1586" s="490"/>
      <c r="F1586" s="493"/>
      <c r="G1586" s="492"/>
      <c r="H1586" s="502"/>
      <c r="I1586" s="493"/>
      <c r="J1586" s="493"/>
      <c r="K1586" s="487" t="str">
        <f ca="1">IFERROR(VLOOKUP(C1586,' Disaggregation - Section E '!A$618:N798,3,0),"")</f>
        <v/>
      </c>
      <c r="L1586" s="487"/>
      <c r="M1586" s="487"/>
      <c r="N1586" s="493"/>
      <c r="O1586" s="493"/>
      <c r="P1586" s="493"/>
    </row>
    <row r="1587" spans="1:16" x14ac:dyDescent="0.3">
      <c r="A1587" s="487" t="b">
        <v>0</v>
      </c>
      <c r="B1587" s="487"/>
      <c r="C1587" s="487" t="s">
        <v>4855</v>
      </c>
      <c r="D1587" s="502">
        <v>9</v>
      </c>
      <c r="E1587" s="490"/>
      <c r="F1587" s="493"/>
      <c r="G1587" s="492"/>
      <c r="H1587" s="502"/>
      <c r="I1587" s="493"/>
      <c r="J1587" s="493"/>
      <c r="K1587" s="487" t="str">
        <f ca="1">IFERROR(VLOOKUP(C1587,' Disaggregation - Section E '!A$618:N799,3,0),"")</f>
        <v/>
      </c>
      <c r="L1587" s="487"/>
      <c r="M1587" s="487"/>
      <c r="N1587" s="493"/>
      <c r="O1587" s="493"/>
      <c r="P1587" s="493"/>
    </row>
    <row r="1588" spans="1:16" x14ac:dyDescent="0.3">
      <c r="A1588" s="487" t="b">
        <v>0</v>
      </c>
      <c r="B1588" s="487"/>
      <c r="C1588" s="487" t="s">
        <v>4857</v>
      </c>
      <c r="D1588" s="502">
        <v>9</v>
      </c>
      <c r="E1588" s="490"/>
      <c r="F1588" s="493"/>
      <c r="G1588" s="492"/>
      <c r="H1588" s="502"/>
      <c r="I1588" s="493"/>
      <c r="J1588" s="493"/>
      <c r="K1588" s="487" t="str">
        <f ca="1">IFERROR(VLOOKUP(C1588,' Disaggregation - Section E '!A$618:N800,3,0),"")</f>
        <v/>
      </c>
      <c r="L1588" s="487"/>
      <c r="M1588" s="487"/>
      <c r="N1588" s="493"/>
      <c r="O1588" s="493"/>
      <c r="P1588" s="493"/>
    </row>
    <row r="1589" spans="1:16" x14ac:dyDescent="0.3">
      <c r="A1589" s="487" t="b">
        <v>0</v>
      </c>
      <c r="B1589" s="487"/>
      <c r="C1589" s="487" t="s">
        <v>4859</v>
      </c>
      <c r="D1589" s="502">
        <v>9</v>
      </c>
      <c r="E1589" s="490"/>
      <c r="F1589" s="493"/>
      <c r="G1589" s="492"/>
      <c r="H1589" s="502"/>
      <c r="I1589" s="493"/>
      <c r="J1589" s="493"/>
      <c r="K1589" s="487" t="str">
        <f ca="1">IFERROR(VLOOKUP(C1589,' Disaggregation - Section E '!A$618:N801,3,0),"")</f>
        <v/>
      </c>
      <c r="L1589" s="487"/>
      <c r="M1589" s="487"/>
      <c r="N1589" s="493"/>
      <c r="O1589" s="493"/>
      <c r="P1589" s="493"/>
    </row>
    <row r="1590" spans="1:16" x14ac:dyDescent="0.3">
      <c r="A1590" s="487" t="b">
        <v>0</v>
      </c>
      <c r="B1590" s="487"/>
      <c r="C1590" s="487" t="s">
        <v>4861</v>
      </c>
      <c r="D1590" s="502">
        <v>9</v>
      </c>
      <c r="E1590" s="490"/>
      <c r="F1590" s="493"/>
      <c r="G1590" s="492"/>
      <c r="H1590" s="502"/>
      <c r="I1590" s="493"/>
      <c r="J1590" s="493"/>
      <c r="K1590" s="487" t="str">
        <f ca="1">IFERROR(VLOOKUP(C1590,' Disaggregation - Section E '!A$618:N802,3,0),"")</f>
        <v/>
      </c>
      <c r="L1590" s="487"/>
      <c r="M1590" s="487"/>
      <c r="N1590" s="493"/>
      <c r="O1590" s="493"/>
      <c r="P1590" s="493"/>
    </row>
    <row r="1591" spans="1:16" x14ac:dyDescent="0.3">
      <c r="A1591" s="487" t="b">
        <v>0</v>
      </c>
      <c r="B1591" s="487"/>
      <c r="C1591" s="487" t="s">
        <v>4863</v>
      </c>
      <c r="D1591" s="502">
        <v>9</v>
      </c>
      <c r="E1591" s="490"/>
      <c r="F1591" s="493"/>
      <c r="G1591" s="492"/>
      <c r="H1591" s="502"/>
      <c r="I1591" s="493"/>
      <c r="J1591" s="493"/>
      <c r="K1591" s="487" t="str">
        <f ca="1">IFERROR(VLOOKUP(C1591,' Disaggregation - Section E '!A$618:N803,3,0),"")</f>
        <v/>
      </c>
      <c r="L1591" s="487"/>
      <c r="M1591" s="487"/>
      <c r="N1591" s="493"/>
      <c r="O1591" s="493"/>
      <c r="P1591" s="493"/>
    </row>
    <row r="1592" spans="1:16" x14ac:dyDescent="0.3">
      <c r="A1592" s="487" t="b">
        <v>0</v>
      </c>
      <c r="B1592" s="487"/>
      <c r="C1592" s="487" t="s">
        <v>4866</v>
      </c>
      <c r="D1592" s="502">
        <v>10</v>
      </c>
      <c r="E1592" s="490"/>
      <c r="F1592" s="493"/>
      <c r="G1592" s="492"/>
      <c r="H1592" s="502"/>
      <c r="I1592" s="493"/>
      <c r="J1592" s="493"/>
      <c r="K1592" s="487" t="str">
        <f ca="1">IFERROR(VLOOKUP(C1592,' Disaggregation - Section E '!A$618:N804,3,0),"")</f>
        <v/>
      </c>
      <c r="L1592" s="487"/>
      <c r="M1592" s="487"/>
      <c r="N1592" s="493"/>
      <c r="O1592" s="493"/>
      <c r="P1592" s="493"/>
    </row>
    <row r="1593" spans="1:16" x14ac:dyDescent="0.3">
      <c r="A1593" s="487" t="b">
        <v>0</v>
      </c>
      <c r="B1593" s="487"/>
      <c r="C1593" s="487" t="s">
        <v>4868</v>
      </c>
      <c r="D1593" s="502">
        <v>10</v>
      </c>
      <c r="E1593" s="490"/>
      <c r="F1593" s="493"/>
      <c r="G1593" s="492"/>
      <c r="H1593" s="502"/>
      <c r="I1593" s="493"/>
      <c r="J1593" s="493"/>
      <c r="K1593" s="487" t="str">
        <f ca="1">IFERROR(VLOOKUP(C1593,' Disaggregation - Section E '!A$618:N805,3,0),"")</f>
        <v/>
      </c>
      <c r="L1593" s="487"/>
      <c r="M1593" s="487"/>
      <c r="N1593" s="493"/>
      <c r="O1593" s="493"/>
      <c r="P1593" s="493"/>
    </row>
    <row r="1594" spans="1:16" x14ac:dyDescent="0.3">
      <c r="A1594" s="487" t="b">
        <v>0</v>
      </c>
      <c r="B1594" s="487"/>
      <c r="C1594" s="487" t="s">
        <v>4870</v>
      </c>
      <c r="D1594" s="502">
        <v>10</v>
      </c>
      <c r="E1594" s="490"/>
      <c r="F1594" s="493"/>
      <c r="G1594" s="492"/>
      <c r="H1594" s="502"/>
      <c r="I1594" s="493"/>
      <c r="J1594" s="493"/>
      <c r="K1594" s="487" t="str">
        <f ca="1">IFERROR(VLOOKUP(C1594,' Disaggregation - Section E '!A$618:N806,3,0),"")</f>
        <v/>
      </c>
      <c r="L1594" s="487"/>
      <c r="M1594" s="487"/>
      <c r="N1594" s="493"/>
      <c r="O1594" s="493"/>
      <c r="P1594" s="493"/>
    </row>
    <row r="1595" spans="1:16" x14ac:dyDescent="0.3">
      <c r="A1595" s="487" t="b">
        <v>0</v>
      </c>
      <c r="B1595" s="487"/>
      <c r="C1595" s="487" t="s">
        <v>4872</v>
      </c>
      <c r="D1595" s="502">
        <v>10</v>
      </c>
      <c r="E1595" s="490"/>
      <c r="F1595" s="493"/>
      <c r="G1595" s="492"/>
      <c r="H1595" s="502"/>
      <c r="I1595" s="493"/>
      <c r="J1595" s="493"/>
      <c r="K1595" s="487" t="str">
        <f ca="1">IFERROR(VLOOKUP(C1595,' Disaggregation - Section E '!A$618:N807,3,0),"")</f>
        <v/>
      </c>
      <c r="L1595" s="487"/>
      <c r="M1595" s="487"/>
      <c r="N1595" s="493"/>
      <c r="O1595" s="493"/>
      <c r="P1595" s="493"/>
    </row>
    <row r="1596" spans="1:16" x14ac:dyDescent="0.3">
      <c r="A1596" s="487" t="b">
        <v>0</v>
      </c>
      <c r="B1596" s="487"/>
      <c r="C1596" s="487" t="s">
        <v>4874</v>
      </c>
      <c r="D1596" s="502">
        <v>10</v>
      </c>
      <c r="E1596" s="490"/>
      <c r="F1596" s="493"/>
      <c r="G1596" s="492"/>
      <c r="H1596" s="502"/>
      <c r="I1596" s="493"/>
      <c r="J1596" s="493"/>
      <c r="K1596" s="487" t="str">
        <f ca="1">IFERROR(VLOOKUP(C1596,' Disaggregation - Section E '!A$618:N808,3,0),"")</f>
        <v/>
      </c>
      <c r="L1596" s="487"/>
      <c r="M1596" s="487"/>
      <c r="N1596" s="493"/>
      <c r="O1596" s="493"/>
      <c r="P1596" s="493"/>
    </row>
    <row r="1597" spans="1:16" x14ac:dyDescent="0.3">
      <c r="A1597" s="487" t="b">
        <v>0</v>
      </c>
      <c r="B1597" s="487"/>
      <c r="C1597" s="487" t="s">
        <v>4876</v>
      </c>
      <c r="D1597" s="502">
        <v>10</v>
      </c>
      <c r="E1597" s="490"/>
      <c r="F1597" s="493"/>
      <c r="G1597" s="492"/>
      <c r="H1597" s="502"/>
      <c r="I1597" s="493"/>
      <c r="J1597" s="493"/>
      <c r="K1597" s="487" t="str">
        <f ca="1">IFERROR(VLOOKUP(C1597,' Disaggregation - Section E '!A$618:N809,3,0),"")</f>
        <v/>
      </c>
      <c r="L1597" s="487"/>
      <c r="M1597" s="487"/>
      <c r="N1597" s="493"/>
      <c r="O1597" s="493"/>
      <c r="P1597" s="493"/>
    </row>
    <row r="1598" spans="1:16" x14ac:dyDescent="0.3">
      <c r="A1598" s="487" t="b">
        <v>0</v>
      </c>
      <c r="B1598" s="487"/>
      <c r="C1598" s="487" t="s">
        <v>4878</v>
      </c>
      <c r="D1598" s="502">
        <v>10</v>
      </c>
      <c r="E1598" s="490"/>
      <c r="F1598" s="493"/>
      <c r="G1598" s="492"/>
      <c r="H1598" s="502"/>
      <c r="I1598" s="493"/>
      <c r="J1598" s="493"/>
      <c r="K1598" s="487" t="str">
        <f ca="1">IFERROR(VLOOKUP(C1598,' Disaggregation - Section E '!A$618:N810,3,0),"")</f>
        <v/>
      </c>
      <c r="L1598" s="487"/>
      <c r="M1598" s="487"/>
      <c r="N1598" s="493"/>
      <c r="O1598" s="493"/>
      <c r="P1598" s="493"/>
    </row>
    <row r="1599" spans="1:16" x14ac:dyDescent="0.3">
      <c r="A1599" s="487" t="b">
        <v>0</v>
      </c>
      <c r="B1599" s="487"/>
      <c r="C1599" s="487" t="s">
        <v>4880</v>
      </c>
      <c r="D1599" s="502">
        <v>10</v>
      </c>
      <c r="E1599" s="490"/>
      <c r="F1599" s="493"/>
      <c r="G1599" s="492"/>
      <c r="H1599" s="502"/>
      <c r="I1599" s="493"/>
      <c r="J1599" s="493"/>
      <c r="K1599" s="487" t="str">
        <f ca="1">IFERROR(VLOOKUP(C1599,' Disaggregation - Section E '!A$618:N811,3,0),"")</f>
        <v/>
      </c>
      <c r="L1599" s="487"/>
      <c r="M1599" s="487"/>
      <c r="N1599" s="493"/>
      <c r="O1599" s="493"/>
      <c r="P1599" s="493"/>
    </row>
    <row r="1600" spans="1:16" x14ac:dyDescent="0.3">
      <c r="A1600" s="487" t="b">
        <v>0</v>
      </c>
      <c r="B1600" s="487"/>
      <c r="C1600" s="487" t="s">
        <v>4882</v>
      </c>
      <c r="D1600" s="502">
        <v>10</v>
      </c>
      <c r="E1600" s="490"/>
      <c r="F1600" s="493"/>
      <c r="G1600" s="492"/>
      <c r="H1600" s="502"/>
      <c r="I1600" s="493"/>
      <c r="J1600" s="493"/>
      <c r="K1600" s="487" t="str">
        <f ca="1">IFERROR(VLOOKUP(C1600,' Disaggregation - Section E '!A$618:N812,3,0),"")</f>
        <v/>
      </c>
      <c r="L1600" s="487"/>
      <c r="M1600" s="487"/>
      <c r="N1600" s="493"/>
      <c r="O1600" s="493"/>
      <c r="P1600" s="493"/>
    </row>
    <row r="1601" spans="1:16" x14ac:dyDescent="0.3">
      <c r="A1601" s="487" t="b">
        <v>0</v>
      </c>
      <c r="B1601" s="487"/>
      <c r="C1601" s="487" t="s">
        <v>4884</v>
      </c>
      <c r="D1601" s="502">
        <v>10</v>
      </c>
      <c r="E1601" s="490"/>
      <c r="F1601" s="493"/>
      <c r="G1601" s="492"/>
      <c r="H1601" s="502"/>
      <c r="I1601" s="493"/>
      <c r="J1601" s="493"/>
      <c r="K1601" s="487" t="str">
        <f ca="1">IFERROR(VLOOKUP(C1601,' Disaggregation - Section E '!A$618:N813,3,0),"")</f>
        <v/>
      </c>
      <c r="L1601" s="487"/>
      <c r="M1601" s="487"/>
      <c r="N1601" s="493"/>
      <c r="O1601" s="493"/>
      <c r="P1601" s="493"/>
    </row>
    <row r="1602" spans="1:16" x14ac:dyDescent="0.3">
      <c r="A1602" s="487" t="b">
        <v>0</v>
      </c>
      <c r="B1602" s="487"/>
      <c r="C1602" s="487" t="s">
        <v>4886</v>
      </c>
      <c r="D1602" s="502">
        <v>10</v>
      </c>
      <c r="E1602" s="490"/>
      <c r="F1602" s="493"/>
      <c r="G1602" s="492"/>
      <c r="H1602" s="502"/>
      <c r="I1602" s="493"/>
      <c r="J1602" s="493"/>
      <c r="K1602" s="487" t="str">
        <f ca="1">IFERROR(VLOOKUP(C1602,' Disaggregation - Section E '!A$618:N814,3,0),"")</f>
        <v/>
      </c>
      <c r="L1602" s="487"/>
      <c r="M1602" s="487"/>
      <c r="N1602" s="493"/>
      <c r="O1602" s="493"/>
      <c r="P1602" s="493"/>
    </row>
    <row r="1603" spans="1:16" x14ac:dyDescent="0.3">
      <c r="A1603" s="487" t="b">
        <v>0</v>
      </c>
      <c r="B1603" s="487"/>
      <c r="C1603" s="487" t="s">
        <v>4888</v>
      </c>
      <c r="D1603" s="502">
        <v>10</v>
      </c>
      <c r="E1603" s="490"/>
      <c r="F1603" s="493"/>
      <c r="G1603" s="492"/>
      <c r="H1603" s="502"/>
      <c r="I1603" s="493"/>
      <c r="J1603" s="493"/>
      <c r="K1603" s="487" t="str">
        <f ca="1">IFERROR(VLOOKUP(C1603,' Disaggregation - Section E '!A$618:N815,3,0),"")</f>
        <v/>
      </c>
      <c r="L1603" s="487"/>
      <c r="M1603" s="487"/>
      <c r="N1603" s="493"/>
      <c r="O1603" s="493"/>
      <c r="P1603" s="493"/>
    </row>
    <row r="1604" spans="1:16" x14ac:dyDescent="0.3">
      <c r="A1604" s="487" t="b">
        <v>0</v>
      </c>
      <c r="B1604" s="487"/>
      <c r="C1604" s="487" t="s">
        <v>4890</v>
      </c>
      <c r="D1604" s="502">
        <v>10</v>
      </c>
      <c r="E1604" s="490"/>
      <c r="F1604" s="493"/>
      <c r="G1604" s="492"/>
      <c r="H1604" s="502"/>
      <c r="I1604" s="493"/>
      <c r="J1604" s="493"/>
      <c r="K1604" s="487" t="str">
        <f ca="1">IFERROR(VLOOKUP(C1604,' Disaggregation - Section E '!A$618:N816,3,0),"")</f>
        <v/>
      </c>
      <c r="L1604" s="487"/>
      <c r="M1604" s="487"/>
      <c r="N1604" s="493"/>
      <c r="O1604" s="493"/>
      <c r="P1604" s="493"/>
    </row>
    <row r="1605" spans="1:16" x14ac:dyDescent="0.3">
      <c r="A1605" s="487" t="b">
        <v>0</v>
      </c>
      <c r="B1605" s="487"/>
      <c r="C1605" s="487" t="s">
        <v>4892</v>
      </c>
      <c r="D1605" s="502">
        <v>10</v>
      </c>
      <c r="E1605" s="490"/>
      <c r="F1605" s="493"/>
      <c r="G1605" s="492"/>
      <c r="H1605" s="502"/>
      <c r="I1605" s="493"/>
      <c r="J1605" s="493"/>
      <c r="K1605" s="487" t="str">
        <f ca="1">IFERROR(VLOOKUP(C1605,' Disaggregation - Section E '!A$618:N817,3,0),"")</f>
        <v/>
      </c>
      <c r="L1605" s="487"/>
      <c r="M1605" s="487"/>
      <c r="N1605" s="493"/>
      <c r="O1605" s="493"/>
      <c r="P1605" s="493"/>
    </row>
    <row r="1606" spans="1:16" x14ac:dyDescent="0.3">
      <c r="A1606" s="487" t="b">
        <v>0</v>
      </c>
      <c r="B1606" s="487"/>
      <c r="C1606" s="487" t="s">
        <v>4894</v>
      </c>
      <c r="D1606" s="502">
        <v>10</v>
      </c>
      <c r="E1606" s="490"/>
      <c r="F1606" s="493"/>
      <c r="G1606" s="492"/>
      <c r="H1606" s="502"/>
      <c r="I1606" s="493"/>
      <c r="J1606" s="493"/>
      <c r="K1606" s="487" t="str">
        <f ca="1">IFERROR(VLOOKUP(C1606,' Disaggregation - Section E '!A$618:N818,3,0),"")</f>
        <v/>
      </c>
      <c r="L1606" s="487"/>
      <c r="M1606" s="487"/>
      <c r="N1606" s="493"/>
      <c r="O1606" s="493"/>
      <c r="P1606" s="493"/>
    </row>
    <row r="1607" spans="1:16" x14ac:dyDescent="0.3">
      <c r="A1607" s="487" t="b">
        <v>0</v>
      </c>
      <c r="B1607" s="487"/>
      <c r="C1607" s="487" t="s">
        <v>4896</v>
      </c>
      <c r="D1607" s="502">
        <v>10</v>
      </c>
      <c r="E1607" s="490"/>
      <c r="F1607" s="493"/>
      <c r="G1607" s="492"/>
      <c r="H1607" s="502"/>
      <c r="I1607" s="493"/>
      <c r="J1607" s="493"/>
      <c r="K1607" s="487" t="str">
        <f ca="1">IFERROR(VLOOKUP(C1607,' Disaggregation - Section E '!A$618:N819,3,0),"")</f>
        <v/>
      </c>
      <c r="L1607" s="487"/>
      <c r="M1607" s="487"/>
      <c r="N1607" s="493"/>
      <c r="O1607" s="493"/>
      <c r="P1607" s="493"/>
    </row>
    <row r="1608" spans="1:16" x14ac:dyDescent="0.3">
      <c r="A1608" s="487" t="b">
        <v>0</v>
      </c>
      <c r="B1608" s="487"/>
      <c r="C1608" s="487" t="s">
        <v>4898</v>
      </c>
      <c r="D1608" s="502">
        <v>10</v>
      </c>
      <c r="E1608" s="490"/>
      <c r="F1608" s="493"/>
      <c r="G1608" s="492"/>
      <c r="H1608" s="502"/>
      <c r="I1608" s="493"/>
      <c r="J1608" s="493"/>
      <c r="K1608" s="487" t="str">
        <f ca="1">IFERROR(VLOOKUP(C1608,' Disaggregation - Section E '!A$618:N820,3,0),"")</f>
        <v/>
      </c>
      <c r="L1608" s="487"/>
      <c r="M1608" s="487"/>
      <c r="N1608" s="493"/>
      <c r="O1608" s="493"/>
      <c r="P1608" s="493"/>
    </row>
    <row r="1609" spans="1:16" x14ac:dyDescent="0.3">
      <c r="A1609" s="487" t="b">
        <v>0</v>
      </c>
      <c r="B1609" s="487"/>
      <c r="C1609" s="487" t="s">
        <v>4900</v>
      </c>
      <c r="D1609" s="502">
        <v>10</v>
      </c>
      <c r="E1609" s="490"/>
      <c r="F1609" s="493"/>
      <c r="G1609" s="492"/>
      <c r="H1609" s="502"/>
      <c r="I1609" s="493"/>
      <c r="J1609" s="493"/>
      <c r="K1609" s="487" t="str">
        <f ca="1">IFERROR(VLOOKUP(C1609,' Disaggregation - Section E '!A$618:N821,3,0),"")</f>
        <v/>
      </c>
      <c r="L1609" s="487"/>
      <c r="M1609" s="487"/>
      <c r="N1609" s="493"/>
      <c r="O1609" s="493"/>
      <c r="P1609" s="493"/>
    </row>
    <row r="1610" spans="1:16" x14ac:dyDescent="0.3">
      <c r="A1610" s="487" t="b">
        <v>0</v>
      </c>
      <c r="B1610" s="487"/>
      <c r="C1610" s="487" t="s">
        <v>4902</v>
      </c>
      <c r="D1610" s="502">
        <v>10</v>
      </c>
      <c r="E1610" s="490"/>
      <c r="F1610" s="493"/>
      <c r="G1610" s="492"/>
      <c r="H1610" s="502"/>
      <c r="I1610" s="493"/>
      <c r="J1610" s="493"/>
      <c r="K1610" s="487" t="str">
        <f ca="1">IFERROR(VLOOKUP(C1610,' Disaggregation - Section E '!A$618:N822,3,0),"")</f>
        <v/>
      </c>
      <c r="L1610" s="487"/>
      <c r="M1610" s="487"/>
      <c r="N1610" s="493"/>
      <c r="O1610" s="493"/>
      <c r="P1610" s="493"/>
    </row>
    <row r="1611" spans="1:16" x14ac:dyDescent="0.3">
      <c r="A1611" s="487" t="b">
        <v>0</v>
      </c>
      <c r="B1611" s="487"/>
      <c r="C1611" s="487" t="s">
        <v>4904</v>
      </c>
      <c r="D1611" s="502">
        <v>10</v>
      </c>
      <c r="E1611" s="490"/>
      <c r="F1611" s="493"/>
      <c r="G1611" s="492"/>
      <c r="H1611" s="502"/>
      <c r="I1611" s="493"/>
      <c r="J1611" s="493"/>
      <c r="K1611" s="487" t="str">
        <f ca="1">IFERROR(VLOOKUP(C1611,' Disaggregation - Section E '!A$618:N823,3,0),"")</f>
        <v/>
      </c>
      <c r="L1611" s="487"/>
      <c r="M1611" s="487"/>
      <c r="N1611" s="493"/>
      <c r="O1611" s="493"/>
      <c r="P1611" s="493"/>
    </row>
    <row r="1612" spans="1:16" x14ac:dyDescent="0.3">
      <c r="A1612" s="487" t="b">
        <v>0</v>
      </c>
      <c r="B1612" s="487"/>
      <c r="C1612" s="487" t="s">
        <v>4907</v>
      </c>
      <c r="D1612" s="502">
        <v>11</v>
      </c>
      <c r="E1612" s="490"/>
      <c r="F1612" s="493"/>
      <c r="G1612" s="492"/>
      <c r="H1612" s="502"/>
      <c r="I1612" s="493"/>
      <c r="J1612" s="493"/>
      <c r="K1612" s="487" t="str">
        <f ca="1">IFERROR(VLOOKUP(C1612,' Disaggregation - Section E '!A$618:N824,3,0),"")</f>
        <v/>
      </c>
      <c r="L1612" s="487"/>
      <c r="M1612" s="487"/>
      <c r="N1612" s="493"/>
      <c r="O1612" s="493"/>
      <c r="P1612" s="493"/>
    </row>
    <row r="1613" spans="1:16" x14ac:dyDescent="0.3">
      <c r="A1613" s="487" t="b">
        <v>0</v>
      </c>
      <c r="B1613" s="487"/>
      <c r="C1613" s="487" t="s">
        <v>4909</v>
      </c>
      <c r="D1613" s="502">
        <v>11</v>
      </c>
      <c r="E1613" s="490"/>
      <c r="F1613" s="493"/>
      <c r="G1613" s="492"/>
      <c r="H1613" s="502"/>
      <c r="I1613" s="493"/>
      <c r="J1613" s="493"/>
      <c r="K1613" s="487" t="str">
        <f ca="1">IFERROR(VLOOKUP(C1613,' Disaggregation - Section E '!A$618:N825,3,0),"")</f>
        <v/>
      </c>
      <c r="L1613" s="487"/>
      <c r="M1613" s="487"/>
      <c r="N1613" s="493"/>
      <c r="O1613" s="493"/>
      <c r="P1613" s="493"/>
    </row>
    <row r="1614" spans="1:16" x14ac:dyDescent="0.3">
      <c r="A1614" s="487" t="b">
        <v>0</v>
      </c>
      <c r="B1614" s="487"/>
      <c r="C1614" s="487" t="s">
        <v>4911</v>
      </c>
      <c r="D1614" s="502">
        <v>11</v>
      </c>
      <c r="E1614" s="490"/>
      <c r="F1614" s="493"/>
      <c r="G1614" s="492"/>
      <c r="H1614" s="502"/>
      <c r="I1614" s="493"/>
      <c r="J1614" s="493"/>
      <c r="K1614" s="487" t="str">
        <f ca="1">IFERROR(VLOOKUP(C1614,' Disaggregation - Section E '!A$618:N826,3,0),"")</f>
        <v/>
      </c>
      <c r="L1614" s="487"/>
      <c r="M1614" s="487"/>
      <c r="N1614" s="493"/>
      <c r="O1614" s="493"/>
      <c r="P1614" s="493"/>
    </row>
    <row r="1615" spans="1:16" x14ac:dyDescent="0.3">
      <c r="A1615" s="487" t="b">
        <v>0</v>
      </c>
      <c r="B1615" s="487"/>
      <c r="C1615" s="487" t="s">
        <v>4913</v>
      </c>
      <c r="D1615" s="502">
        <v>11</v>
      </c>
      <c r="E1615" s="490"/>
      <c r="F1615" s="493"/>
      <c r="G1615" s="492"/>
      <c r="H1615" s="502"/>
      <c r="I1615" s="493"/>
      <c r="J1615" s="493"/>
      <c r="K1615" s="487" t="str">
        <f ca="1">IFERROR(VLOOKUP(C1615,' Disaggregation - Section E '!A$618:N827,3,0),"")</f>
        <v/>
      </c>
      <c r="L1615" s="487"/>
      <c r="M1615" s="487"/>
      <c r="N1615" s="493"/>
      <c r="O1615" s="493"/>
      <c r="P1615" s="493"/>
    </row>
    <row r="1616" spans="1:16" x14ac:dyDescent="0.3">
      <c r="A1616" s="487" t="b">
        <v>0</v>
      </c>
      <c r="B1616" s="487"/>
      <c r="C1616" s="487" t="s">
        <v>4915</v>
      </c>
      <c r="D1616" s="502">
        <v>11</v>
      </c>
      <c r="E1616" s="490"/>
      <c r="F1616" s="493"/>
      <c r="G1616" s="492"/>
      <c r="H1616" s="502"/>
      <c r="I1616" s="493"/>
      <c r="J1616" s="493"/>
      <c r="K1616" s="487" t="str">
        <f ca="1">IFERROR(VLOOKUP(C1616,' Disaggregation - Section E '!A$618:N828,3,0),"")</f>
        <v/>
      </c>
      <c r="L1616" s="487"/>
      <c r="M1616" s="487"/>
      <c r="N1616" s="493"/>
      <c r="O1616" s="493"/>
      <c r="P1616" s="493"/>
    </row>
    <row r="1617" spans="1:16" x14ac:dyDescent="0.3">
      <c r="A1617" s="487" t="b">
        <v>0</v>
      </c>
      <c r="B1617" s="487"/>
      <c r="C1617" s="487" t="s">
        <v>4917</v>
      </c>
      <c r="D1617" s="502">
        <v>11</v>
      </c>
      <c r="E1617" s="490"/>
      <c r="F1617" s="493"/>
      <c r="G1617" s="492"/>
      <c r="H1617" s="502"/>
      <c r="I1617" s="493"/>
      <c r="J1617" s="493"/>
      <c r="K1617" s="487" t="str">
        <f ca="1">IFERROR(VLOOKUP(C1617,' Disaggregation - Section E '!A$618:N829,3,0),"")</f>
        <v/>
      </c>
      <c r="L1617" s="487"/>
      <c r="M1617" s="487"/>
      <c r="N1617" s="493"/>
      <c r="O1617" s="493"/>
      <c r="P1617" s="493"/>
    </row>
    <row r="1618" spans="1:16" x14ac:dyDescent="0.3">
      <c r="A1618" s="487" t="b">
        <v>0</v>
      </c>
      <c r="B1618" s="487"/>
      <c r="C1618" s="487" t="s">
        <v>4919</v>
      </c>
      <c r="D1618" s="502">
        <v>11</v>
      </c>
      <c r="E1618" s="490"/>
      <c r="F1618" s="493"/>
      <c r="G1618" s="492"/>
      <c r="H1618" s="502"/>
      <c r="I1618" s="493"/>
      <c r="J1618" s="493"/>
      <c r="K1618" s="487" t="str">
        <f ca="1">IFERROR(VLOOKUP(C1618,' Disaggregation - Section E '!A$618:N830,3,0),"")</f>
        <v/>
      </c>
      <c r="L1618" s="487"/>
      <c r="M1618" s="487"/>
      <c r="N1618" s="493"/>
      <c r="O1618" s="493"/>
      <c r="P1618" s="493"/>
    </row>
    <row r="1619" spans="1:16" x14ac:dyDescent="0.3">
      <c r="A1619" s="487" t="b">
        <v>0</v>
      </c>
      <c r="B1619" s="487"/>
      <c r="C1619" s="487" t="s">
        <v>4921</v>
      </c>
      <c r="D1619" s="502">
        <v>11</v>
      </c>
      <c r="E1619" s="490"/>
      <c r="F1619" s="493"/>
      <c r="G1619" s="492"/>
      <c r="H1619" s="502"/>
      <c r="I1619" s="493"/>
      <c r="J1619" s="493"/>
      <c r="K1619" s="487" t="str">
        <f ca="1">IFERROR(VLOOKUP(C1619,' Disaggregation - Section E '!A$618:N831,3,0),"")</f>
        <v/>
      </c>
      <c r="L1619" s="487"/>
      <c r="M1619" s="487"/>
      <c r="N1619" s="493"/>
      <c r="O1619" s="493"/>
      <c r="P1619" s="493"/>
    </row>
    <row r="1620" spans="1:16" x14ac:dyDescent="0.3">
      <c r="A1620" s="487" t="b">
        <v>0</v>
      </c>
      <c r="B1620" s="487"/>
      <c r="C1620" s="487" t="s">
        <v>4923</v>
      </c>
      <c r="D1620" s="502">
        <v>11</v>
      </c>
      <c r="E1620" s="490"/>
      <c r="F1620" s="493"/>
      <c r="G1620" s="492"/>
      <c r="H1620" s="502"/>
      <c r="I1620" s="493"/>
      <c r="J1620" s="493"/>
      <c r="K1620" s="487" t="str">
        <f ca="1">IFERROR(VLOOKUP(C1620,' Disaggregation - Section E '!A$618:N832,3,0),"")</f>
        <v/>
      </c>
      <c r="L1620" s="487"/>
      <c r="M1620" s="487"/>
      <c r="N1620" s="493"/>
      <c r="O1620" s="493"/>
      <c r="P1620" s="493"/>
    </row>
    <row r="1621" spans="1:16" x14ac:dyDescent="0.3">
      <c r="A1621" s="487" t="b">
        <v>0</v>
      </c>
      <c r="B1621" s="487"/>
      <c r="C1621" s="487" t="s">
        <v>4925</v>
      </c>
      <c r="D1621" s="502">
        <v>11</v>
      </c>
      <c r="E1621" s="490"/>
      <c r="F1621" s="493"/>
      <c r="G1621" s="492"/>
      <c r="H1621" s="502"/>
      <c r="I1621" s="493"/>
      <c r="J1621" s="493"/>
      <c r="K1621" s="487" t="str">
        <f ca="1">IFERROR(VLOOKUP(C1621,' Disaggregation - Section E '!A$618:N833,3,0),"")</f>
        <v/>
      </c>
      <c r="L1621" s="487"/>
      <c r="M1621" s="487"/>
      <c r="N1621" s="493"/>
      <c r="O1621" s="493"/>
      <c r="P1621" s="493"/>
    </row>
    <row r="1622" spans="1:16" x14ac:dyDescent="0.3">
      <c r="A1622" s="487" t="b">
        <v>0</v>
      </c>
      <c r="B1622" s="487"/>
      <c r="C1622" s="487" t="s">
        <v>4927</v>
      </c>
      <c r="D1622" s="502">
        <v>11</v>
      </c>
      <c r="E1622" s="490"/>
      <c r="F1622" s="493"/>
      <c r="G1622" s="492"/>
      <c r="H1622" s="502"/>
      <c r="I1622" s="493"/>
      <c r="J1622" s="493"/>
      <c r="K1622" s="487" t="str">
        <f ca="1">IFERROR(VLOOKUP(C1622,' Disaggregation - Section E '!A$618:N834,3,0),"")</f>
        <v/>
      </c>
      <c r="L1622" s="487"/>
      <c r="M1622" s="487"/>
      <c r="N1622" s="493"/>
      <c r="O1622" s="493"/>
      <c r="P1622" s="493"/>
    </row>
    <row r="1623" spans="1:16" x14ac:dyDescent="0.3">
      <c r="A1623" s="487" t="b">
        <v>0</v>
      </c>
      <c r="B1623" s="487"/>
      <c r="C1623" s="487" t="s">
        <v>4929</v>
      </c>
      <c r="D1623" s="502">
        <v>11</v>
      </c>
      <c r="E1623" s="490"/>
      <c r="F1623" s="493"/>
      <c r="G1623" s="492"/>
      <c r="H1623" s="502"/>
      <c r="I1623" s="493"/>
      <c r="J1623" s="493"/>
      <c r="K1623" s="487" t="str">
        <f ca="1">IFERROR(VLOOKUP(C1623,' Disaggregation - Section E '!A$618:N835,3,0),"")</f>
        <v/>
      </c>
      <c r="L1623" s="487"/>
      <c r="M1623" s="487"/>
      <c r="N1623" s="493"/>
      <c r="O1623" s="493"/>
      <c r="P1623" s="493"/>
    </row>
    <row r="1624" spans="1:16" x14ac:dyDescent="0.3">
      <c r="A1624" s="487" t="b">
        <v>0</v>
      </c>
      <c r="B1624" s="487"/>
      <c r="C1624" s="487" t="s">
        <v>4931</v>
      </c>
      <c r="D1624" s="502">
        <v>11</v>
      </c>
      <c r="E1624" s="490"/>
      <c r="F1624" s="493"/>
      <c r="G1624" s="492"/>
      <c r="H1624" s="502"/>
      <c r="I1624" s="493"/>
      <c r="J1624" s="493"/>
      <c r="K1624" s="487" t="str">
        <f ca="1">IFERROR(VLOOKUP(C1624,' Disaggregation - Section E '!A$618:N836,3,0),"")</f>
        <v/>
      </c>
      <c r="L1624" s="487"/>
      <c r="M1624" s="487"/>
      <c r="N1624" s="493"/>
      <c r="O1624" s="493"/>
      <c r="P1624" s="493"/>
    </row>
    <row r="1625" spans="1:16" x14ac:dyDescent="0.3">
      <c r="A1625" s="487" t="b">
        <v>0</v>
      </c>
      <c r="B1625" s="487"/>
      <c r="C1625" s="487" t="s">
        <v>4933</v>
      </c>
      <c r="D1625" s="502">
        <v>11</v>
      </c>
      <c r="E1625" s="490"/>
      <c r="F1625" s="493"/>
      <c r="G1625" s="492"/>
      <c r="H1625" s="502"/>
      <c r="I1625" s="493"/>
      <c r="J1625" s="493"/>
      <c r="K1625" s="487" t="str">
        <f ca="1">IFERROR(VLOOKUP(C1625,' Disaggregation - Section E '!A$618:N837,3,0),"")</f>
        <v/>
      </c>
      <c r="L1625" s="487"/>
      <c r="M1625" s="487"/>
      <c r="N1625" s="493"/>
      <c r="O1625" s="493"/>
      <c r="P1625" s="493"/>
    </row>
    <row r="1626" spans="1:16" x14ac:dyDescent="0.3">
      <c r="A1626" s="487" t="b">
        <v>0</v>
      </c>
      <c r="B1626" s="487"/>
      <c r="C1626" s="487" t="s">
        <v>4935</v>
      </c>
      <c r="D1626" s="502">
        <v>11</v>
      </c>
      <c r="E1626" s="490"/>
      <c r="F1626" s="493"/>
      <c r="G1626" s="492"/>
      <c r="H1626" s="502"/>
      <c r="I1626" s="493"/>
      <c r="J1626" s="493"/>
      <c r="K1626" s="487" t="str">
        <f ca="1">IFERROR(VLOOKUP(C1626,' Disaggregation - Section E '!A$618:N838,3,0),"")</f>
        <v/>
      </c>
      <c r="L1626" s="487"/>
      <c r="M1626" s="487"/>
      <c r="N1626" s="493"/>
      <c r="O1626" s="493"/>
      <c r="P1626" s="493"/>
    </row>
    <row r="1627" spans="1:16" x14ac:dyDescent="0.3">
      <c r="A1627" s="487" t="b">
        <v>0</v>
      </c>
      <c r="B1627" s="487"/>
      <c r="C1627" s="487" t="s">
        <v>4937</v>
      </c>
      <c r="D1627" s="502">
        <v>11</v>
      </c>
      <c r="E1627" s="490"/>
      <c r="F1627" s="493"/>
      <c r="G1627" s="492"/>
      <c r="H1627" s="502"/>
      <c r="I1627" s="493"/>
      <c r="J1627" s="493"/>
      <c r="K1627" s="487" t="str">
        <f ca="1">IFERROR(VLOOKUP(C1627,' Disaggregation - Section E '!A$618:N839,3,0),"")</f>
        <v/>
      </c>
      <c r="L1627" s="487"/>
      <c r="M1627" s="487"/>
      <c r="N1627" s="493"/>
      <c r="O1627" s="493"/>
      <c r="P1627" s="493"/>
    </row>
    <row r="1628" spans="1:16" x14ac:dyDescent="0.3">
      <c r="A1628" s="487" t="b">
        <v>0</v>
      </c>
      <c r="B1628" s="487"/>
      <c r="C1628" s="487" t="s">
        <v>4939</v>
      </c>
      <c r="D1628" s="502">
        <v>11</v>
      </c>
      <c r="E1628" s="490"/>
      <c r="F1628" s="493"/>
      <c r="G1628" s="492"/>
      <c r="H1628" s="502"/>
      <c r="I1628" s="493"/>
      <c r="J1628" s="493"/>
      <c r="K1628" s="487" t="str">
        <f ca="1">IFERROR(VLOOKUP(C1628,' Disaggregation - Section E '!A$618:N840,3,0),"")</f>
        <v/>
      </c>
      <c r="L1628" s="487"/>
      <c r="M1628" s="487"/>
      <c r="N1628" s="493"/>
      <c r="O1628" s="493"/>
      <c r="P1628" s="493"/>
    </row>
    <row r="1629" spans="1:16" x14ac:dyDescent="0.3">
      <c r="A1629" s="487" t="b">
        <v>0</v>
      </c>
      <c r="B1629" s="487"/>
      <c r="C1629" s="487" t="s">
        <v>4941</v>
      </c>
      <c r="D1629" s="502">
        <v>11</v>
      </c>
      <c r="E1629" s="490"/>
      <c r="F1629" s="493"/>
      <c r="G1629" s="492"/>
      <c r="H1629" s="502"/>
      <c r="I1629" s="493"/>
      <c r="J1629" s="493"/>
      <c r="K1629" s="487" t="str">
        <f ca="1">IFERROR(VLOOKUP(C1629,' Disaggregation - Section E '!A$618:N841,3,0),"")</f>
        <v/>
      </c>
      <c r="L1629" s="487"/>
      <c r="M1629" s="487"/>
      <c r="N1629" s="493"/>
      <c r="O1629" s="493"/>
      <c r="P1629" s="493"/>
    </row>
    <row r="1630" spans="1:16" x14ac:dyDescent="0.3">
      <c r="A1630" s="487" t="b">
        <v>0</v>
      </c>
      <c r="B1630" s="487"/>
      <c r="C1630" s="487" t="s">
        <v>4943</v>
      </c>
      <c r="D1630" s="502">
        <v>11</v>
      </c>
      <c r="E1630" s="490"/>
      <c r="F1630" s="493"/>
      <c r="G1630" s="492"/>
      <c r="H1630" s="502"/>
      <c r="I1630" s="493"/>
      <c r="J1630" s="493"/>
      <c r="K1630" s="487" t="str">
        <f ca="1">IFERROR(VLOOKUP(C1630,' Disaggregation - Section E '!A$618:N842,3,0),"")</f>
        <v/>
      </c>
      <c r="L1630" s="487"/>
      <c r="M1630" s="487"/>
      <c r="N1630" s="493"/>
      <c r="O1630" s="493"/>
      <c r="P1630" s="493"/>
    </row>
    <row r="1631" spans="1:16" x14ac:dyDescent="0.3">
      <c r="A1631" s="487" t="b">
        <v>0</v>
      </c>
      <c r="B1631" s="487"/>
      <c r="C1631" s="487" t="s">
        <v>4945</v>
      </c>
      <c r="D1631" s="502">
        <v>11</v>
      </c>
      <c r="E1631" s="490"/>
      <c r="F1631" s="493"/>
      <c r="G1631" s="492"/>
      <c r="H1631" s="502"/>
      <c r="I1631" s="493"/>
      <c r="J1631" s="493"/>
      <c r="K1631" s="487" t="str">
        <f ca="1">IFERROR(VLOOKUP(C1631,' Disaggregation - Section E '!A$618:N843,3,0),"")</f>
        <v/>
      </c>
      <c r="L1631" s="487"/>
      <c r="M1631" s="487"/>
      <c r="N1631" s="493"/>
      <c r="O1631" s="493"/>
      <c r="P1631" s="493"/>
    </row>
    <row r="1632" spans="1:16" x14ac:dyDescent="0.3">
      <c r="A1632" s="487" t="b">
        <v>0</v>
      </c>
      <c r="B1632" s="487"/>
      <c r="C1632" s="487" t="s">
        <v>4948</v>
      </c>
      <c r="D1632" s="502">
        <v>12</v>
      </c>
      <c r="E1632" s="490"/>
      <c r="F1632" s="493"/>
      <c r="G1632" s="492"/>
      <c r="H1632" s="502"/>
      <c r="I1632" s="493"/>
      <c r="J1632" s="493"/>
      <c r="K1632" s="487" t="str">
        <f ca="1">IFERROR(VLOOKUP(C1632,' Disaggregation - Section E '!A$618:N844,3,0),"")</f>
        <v/>
      </c>
      <c r="L1632" s="487"/>
      <c r="M1632" s="487"/>
      <c r="N1632" s="493"/>
      <c r="O1632" s="493"/>
      <c r="P1632" s="493"/>
    </row>
    <row r="1633" spans="1:16" x14ac:dyDescent="0.3">
      <c r="A1633" s="487" t="b">
        <v>0</v>
      </c>
      <c r="B1633" s="487"/>
      <c r="C1633" s="487" t="s">
        <v>4950</v>
      </c>
      <c r="D1633" s="502">
        <v>12</v>
      </c>
      <c r="E1633" s="490"/>
      <c r="F1633" s="493"/>
      <c r="G1633" s="492"/>
      <c r="H1633" s="502"/>
      <c r="I1633" s="493"/>
      <c r="J1633" s="493"/>
      <c r="K1633" s="487" t="str">
        <f ca="1">IFERROR(VLOOKUP(C1633,' Disaggregation - Section E '!A$618:N845,3,0),"")</f>
        <v/>
      </c>
      <c r="L1633" s="487"/>
      <c r="M1633" s="487"/>
      <c r="N1633" s="493"/>
      <c r="O1633" s="493"/>
      <c r="P1633" s="493"/>
    </row>
    <row r="1634" spans="1:16" x14ac:dyDescent="0.3">
      <c r="A1634" s="487" t="b">
        <v>0</v>
      </c>
      <c r="B1634" s="487"/>
      <c r="C1634" s="487" t="s">
        <v>4952</v>
      </c>
      <c r="D1634" s="502">
        <v>12</v>
      </c>
      <c r="E1634" s="490"/>
      <c r="F1634" s="493"/>
      <c r="G1634" s="492"/>
      <c r="H1634" s="502"/>
      <c r="I1634" s="493"/>
      <c r="J1634" s="493"/>
      <c r="K1634" s="487" t="str">
        <f ca="1">IFERROR(VLOOKUP(C1634,' Disaggregation - Section E '!A$618:N846,3,0),"")</f>
        <v/>
      </c>
      <c r="L1634" s="487"/>
      <c r="M1634" s="487"/>
      <c r="N1634" s="493"/>
      <c r="O1634" s="493"/>
      <c r="P1634" s="493"/>
    </row>
    <row r="1635" spans="1:16" x14ac:dyDescent="0.3">
      <c r="A1635" s="487" t="b">
        <v>0</v>
      </c>
      <c r="B1635" s="487"/>
      <c r="C1635" s="487" t="s">
        <v>4954</v>
      </c>
      <c r="D1635" s="502">
        <v>12</v>
      </c>
      <c r="E1635" s="490"/>
      <c r="F1635" s="493"/>
      <c r="G1635" s="492"/>
      <c r="H1635" s="502"/>
      <c r="I1635" s="493"/>
      <c r="J1635" s="493"/>
      <c r="K1635" s="487" t="str">
        <f ca="1">IFERROR(VLOOKUP(C1635,' Disaggregation - Section E '!A$618:N847,3,0),"")</f>
        <v/>
      </c>
      <c r="L1635" s="487"/>
      <c r="M1635" s="487"/>
      <c r="N1635" s="493"/>
      <c r="O1635" s="493"/>
      <c r="P1635" s="493"/>
    </row>
    <row r="1636" spans="1:16" x14ac:dyDescent="0.3">
      <c r="A1636" s="487" t="b">
        <v>0</v>
      </c>
      <c r="B1636" s="487"/>
      <c r="C1636" s="487" t="s">
        <v>4956</v>
      </c>
      <c r="D1636" s="502">
        <v>12</v>
      </c>
      <c r="E1636" s="490"/>
      <c r="F1636" s="493"/>
      <c r="G1636" s="492"/>
      <c r="H1636" s="502"/>
      <c r="I1636" s="493"/>
      <c r="J1636" s="493"/>
      <c r="K1636" s="487" t="str">
        <f ca="1">IFERROR(VLOOKUP(C1636,' Disaggregation - Section E '!A$618:N848,3,0),"")</f>
        <v/>
      </c>
      <c r="L1636" s="487"/>
      <c r="M1636" s="487"/>
      <c r="N1636" s="493"/>
      <c r="O1636" s="493"/>
      <c r="P1636" s="493"/>
    </row>
    <row r="1637" spans="1:16" x14ac:dyDescent="0.3">
      <c r="A1637" s="487" t="b">
        <v>0</v>
      </c>
      <c r="B1637" s="487"/>
      <c r="C1637" s="487" t="s">
        <v>4958</v>
      </c>
      <c r="D1637" s="502">
        <v>12</v>
      </c>
      <c r="E1637" s="490"/>
      <c r="F1637" s="493"/>
      <c r="G1637" s="492"/>
      <c r="H1637" s="502"/>
      <c r="I1637" s="493"/>
      <c r="J1637" s="493"/>
      <c r="K1637" s="487" t="str">
        <f ca="1">IFERROR(VLOOKUP(C1637,' Disaggregation - Section E '!A$618:N849,3,0),"")</f>
        <v/>
      </c>
      <c r="L1637" s="487"/>
      <c r="M1637" s="487"/>
      <c r="N1637" s="493"/>
      <c r="O1637" s="493"/>
      <c r="P1637" s="493"/>
    </row>
    <row r="1638" spans="1:16" x14ac:dyDescent="0.3">
      <c r="A1638" s="487" t="b">
        <v>0</v>
      </c>
      <c r="B1638" s="487"/>
      <c r="C1638" s="487" t="s">
        <v>4960</v>
      </c>
      <c r="D1638" s="502">
        <v>12</v>
      </c>
      <c r="E1638" s="490"/>
      <c r="F1638" s="493"/>
      <c r="G1638" s="492"/>
      <c r="H1638" s="502"/>
      <c r="I1638" s="493"/>
      <c r="J1638" s="493"/>
      <c r="K1638" s="487" t="str">
        <f ca="1">IFERROR(VLOOKUP(C1638,' Disaggregation - Section E '!A$618:N850,3,0),"")</f>
        <v/>
      </c>
      <c r="L1638" s="487"/>
      <c r="M1638" s="487"/>
      <c r="N1638" s="493"/>
      <c r="O1638" s="493"/>
      <c r="P1638" s="493"/>
    </row>
    <row r="1639" spans="1:16" x14ac:dyDescent="0.3">
      <c r="A1639" s="487" t="b">
        <v>0</v>
      </c>
      <c r="B1639" s="487"/>
      <c r="C1639" s="487" t="s">
        <v>4962</v>
      </c>
      <c r="D1639" s="502">
        <v>12</v>
      </c>
      <c r="E1639" s="490"/>
      <c r="F1639" s="493"/>
      <c r="G1639" s="492"/>
      <c r="H1639" s="502"/>
      <c r="I1639" s="493"/>
      <c r="J1639" s="493"/>
      <c r="K1639" s="487" t="str">
        <f ca="1">IFERROR(VLOOKUP(C1639,' Disaggregation - Section E '!A$618:N851,3,0),"")</f>
        <v/>
      </c>
      <c r="L1639" s="487"/>
      <c r="M1639" s="487"/>
      <c r="N1639" s="493"/>
      <c r="O1639" s="493"/>
      <c r="P1639" s="493"/>
    </row>
    <row r="1640" spans="1:16" x14ac:dyDescent="0.3">
      <c r="A1640" s="487" t="b">
        <v>0</v>
      </c>
      <c r="B1640" s="487"/>
      <c r="C1640" s="487" t="s">
        <v>4964</v>
      </c>
      <c r="D1640" s="502">
        <v>12</v>
      </c>
      <c r="E1640" s="490"/>
      <c r="F1640" s="493"/>
      <c r="G1640" s="492"/>
      <c r="H1640" s="502"/>
      <c r="I1640" s="493"/>
      <c r="J1640" s="493"/>
      <c r="K1640" s="487" t="str">
        <f ca="1">IFERROR(VLOOKUP(C1640,' Disaggregation - Section E '!A$618:N852,3,0),"")</f>
        <v/>
      </c>
      <c r="L1640" s="487"/>
      <c r="M1640" s="487"/>
      <c r="N1640" s="493"/>
      <c r="O1640" s="493"/>
      <c r="P1640" s="493"/>
    </row>
    <row r="1641" spans="1:16" x14ac:dyDescent="0.3">
      <c r="A1641" s="487" t="b">
        <v>0</v>
      </c>
      <c r="B1641" s="487"/>
      <c r="C1641" s="487" t="s">
        <v>4966</v>
      </c>
      <c r="D1641" s="502">
        <v>12</v>
      </c>
      <c r="E1641" s="490"/>
      <c r="F1641" s="493"/>
      <c r="G1641" s="492"/>
      <c r="H1641" s="502"/>
      <c r="I1641" s="493"/>
      <c r="J1641" s="493"/>
      <c r="K1641" s="487" t="str">
        <f ca="1">IFERROR(VLOOKUP(C1641,' Disaggregation - Section E '!A$618:N853,3,0),"")</f>
        <v/>
      </c>
      <c r="L1641" s="487"/>
      <c r="M1641" s="487"/>
      <c r="N1641" s="493"/>
      <c r="O1641" s="493"/>
      <c r="P1641" s="493"/>
    </row>
    <row r="1642" spans="1:16" x14ac:dyDescent="0.3">
      <c r="A1642" s="487" t="b">
        <v>0</v>
      </c>
      <c r="B1642" s="487"/>
      <c r="C1642" s="487" t="s">
        <v>4968</v>
      </c>
      <c r="D1642" s="502">
        <v>12</v>
      </c>
      <c r="E1642" s="490"/>
      <c r="F1642" s="493"/>
      <c r="G1642" s="492"/>
      <c r="H1642" s="502"/>
      <c r="I1642" s="493"/>
      <c r="J1642" s="493"/>
      <c r="K1642" s="487" t="str">
        <f ca="1">IFERROR(VLOOKUP(C1642,' Disaggregation - Section E '!A$618:N854,3,0),"")</f>
        <v/>
      </c>
      <c r="L1642" s="487"/>
      <c r="M1642" s="487"/>
      <c r="N1642" s="493"/>
      <c r="O1642" s="493"/>
      <c r="P1642" s="493"/>
    </row>
    <row r="1643" spans="1:16" x14ac:dyDescent="0.3">
      <c r="A1643" s="487" t="b">
        <v>0</v>
      </c>
      <c r="B1643" s="487"/>
      <c r="C1643" s="487" t="s">
        <v>4970</v>
      </c>
      <c r="D1643" s="502">
        <v>12</v>
      </c>
      <c r="E1643" s="490"/>
      <c r="F1643" s="493"/>
      <c r="G1643" s="492"/>
      <c r="H1643" s="502"/>
      <c r="I1643" s="493"/>
      <c r="J1643" s="493"/>
      <c r="K1643" s="487" t="str">
        <f ca="1">IFERROR(VLOOKUP(C1643,' Disaggregation - Section E '!A$618:N855,3,0),"")</f>
        <v/>
      </c>
      <c r="L1643" s="487"/>
      <c r="M1643" s="487"/>
      <c r="N1643" s="493"/>
      <c r="O1643" s="493"/>
      <c r="P1643" s="493"/>
    </row>
    <row r="1644" spans="1:16" x14ac:dyDescent="0.3">
      <c r="A1644" s="487" t="b">
        <v>0</v>
      </c>
      <c r="B1644" s="487"/>
      <c r="C1644" s="487" t="s">
        <v>4972</v>
      </c>
      <c r="D1644" s="502">
        <v>12</v>
      </c>
      <c r="E1644" s="490"/>
      <c r="F1644" s="493"/>
      <c r="G1644" s="492"/>
      <c r="H1644" s="502"/>
      <c r="I1644" s="493"/>
      <c r="J1644" s="493"/>
      <c r="K1644" s="487" t="str">
        <f ca="1">IFERROR(VLOOKUP(C1644,' Disaggregation - Section E '!A$618:N856,3,0),"")</f>
        <v/>
      </c>
      <c r="L1644" s="487"/>
      <c r="M1644" s="487"/>
      <c r="N1644" s="493"/>
      <c r="O1644" s="493"/>
      <c r="P1644" s="493"/>
    </row>
    <row r="1645" spans="1:16" x14ac:dyDescent="0.3">
      <c r="A1645" s="487" t="b">
        <v>0</v>
      </c>
      <c r="B1645" s="487"/>
      <c r="C1645" s="487" t="s">
        <v>4974</v>
      </c>
      <c r="D1645" s="502">
        <v>12</v>
      </c>
      <c r="E1645" s="490"/>
      <c r="F1645" s="493"/>
      <c r="G1645" s="492"/>
      <c r="H1645" s="502"/>
      <c r="I1645" s="493"/>
      <c r="J1645" s="493"/>
      <c r="K1645" s="487" t="str">
        <f ca="1">IFERROR(VLOOKUP(C1645,' Disaggregation - Section E '!A$618:N857,3,0),"")</f>
        <v/>
      </c>
      <c r="L1645" s="487"/>
      <c r="M1645" s="487"/>
      <c r="N1645" s="493"/>
      <c r="O1645" s="493"/>
      <c r="P1645" s="493"/>
    </row>
    <row r="1646" spans="1:16" x14ac:dyDescent="0.3">
      <c r="A1646" s="487" t="b">
        <v>0</v>
      </c>
      <c r="B1646" s="487"/>
      <c r="C1646" s="487" t="s">
        <v>4976</v>
      </c>
      <c r="D1646" s="502">
        <v>12</v>
      </c>
      <c r="E1646" s="490"/>
      <c r="F1646" s="493"/>
      <c r="G1646" s="492"/>
      <c r="H1646" s="502"/>
      <c r="I1646" s="493"/>
      <c r="J1646" s="493"/>
      <c r="K1646" s="487" t="str">
        <f ca="1">IFERROR(VLOOKUP(C1646,' Disaggregation - Section E '!A$618:N858,3,0),"")</f>
        <v/>
      </c>
      <c r="L1646" s="487"/>
      <c r="M1646" s="487"/>
      <c r="N1646" s="493"/>
      <c r="O1646" s="493"/>
      <c r="P1646" s="493"/>
    </row>
    <row r="1647" spans="1:16" x14ac:dyDescent="0.3">
      <c r="A1647" s="487" t="b">
        <v>0</v>
      </c>
      <c r="B1647" s="487"/>
      <c r="C1647" s="487" t="s">
        <v>4978</v>
      </c>
      <c r="D1647" s="502">
        <v>12</v>
      </c>
      <c r="E1647" s="490"/>
      <c r="F1647" s="493"/>
      <c r="G1647" s="492"/>
      <c r="H1647" s="502"/>
      <c r="I1647" s="493"/>
      <c r="J1647" s="493"/>
      <c r="K1647" s="487" t="str">
        <f ca="1">IFERROR(VLOOKUP(C1647,' Disaggregation - Section E '!A$618:N859,3,0),"")</f>
        <v/>
      </c>
      <c r="L1647" s="487"/>
      <c r="M1647" s="487"/>
      <c r="N1647" s="493"/>
      <c r="O1647" s="493"/>
      <c r="P1647" s="493"/>
    </row>
    <row r="1648" spans="1:16" x14ac:dyDescent="0.3">
      <c r="A1648" s="487" t="b">
        <v>0</v>
      </c>
      <c r="B1648" s="487"/>
      <c r="C1648" s="487" t="s">
        <v>4980</v>
      </c>
      <c r="D1648" s="502">
        <v>12</v>
      </c>
      <c r="E1648" s="490"/>
      <c r="F1648" s="493"/>
      <c r="G1648" s="492"/>
      <c r="H1648" s="502"/>
      <c r="I1648" s="493"/>
      <c r="J1648" s="493"/>
      <c r="K1648" s="487" t="str">
        <f ca="1">IFERROR(VLOOKUP(C1648,' Disaggregation - Section E '!A$618:N860,3,0),"")</f>
        <v/>
      </c>
      <c r="L1648" s="487"/>
      <c r="M1648" s="487"/>
      <c r="N1648" s="493"/>
      <c r="O1648" s="493"/>
      <c r="P1648" s="493"/>
    </row>
    <row r="1649" spans="1:16" x14ac:dyDescent="0.3">
      <c r="A1649" s="487" t="b">
        <v>0</v>
      </c>
      <c r="B1649" s="487"/>
      <c r="C1649" s="487" t="s">
        <v>4982</v>
      </c>
      <c r="D1649" s="502">
        <v>12</v>
      </c>
      <c r="E1649" s="490"/>
      <c r="F1649" s="493"/>
      <c r="G1649" s="492"/>
      <c r="H1649" s="502"/>
      <c r="I1649" s="493"/>
      <c r="J1649" s="493"/>
      <c r="K1649" s="487" t="str">
        <f ca="1">IFERROR(VLOOKUP(C1649,' Disaggregation - Section E '!A$618:N861,3,0),"")</f>
        <v/>
      </c>
      <c r="L1649" s="487"/>
      <c r="M1649" s="487"/>
      <c r="N1649" s="493"/>
      <c r="O1649" s="493"/>
      <c r="P1649" s="493"/>
    </row>
    <row r="1650" spans="1:16" x14ac:dyDescent="0.3">
      <c r="A1650" s="487" t="b">
        <v>0</v>
      </c>
      <c r="B1650" s="487"/>
      <c r="C1650" s="487" t="s">
        <v>4984</v>
      </c>
      <c r="D1650" s="502">
        <v>12</v>
      </c>
      <c r="E1650" s="490"/>
      <c r="F1650" s="493"/>
      <c r="G1650" s="492"/>
      <c r="H1650" s="502"/>
      <c r="I1650" s="493"/>
      <c r="J1650" s="493"/>
      <c r="K1650" s="487" t="str">
        <f ca="1">IFERROR(VLOOKUP(C1650,' Disaggregation - Section E '!A$618:N862,3,0),"")</f>
        <v/>
      </c>
      <c r="L1650" s="487"/>
      <c r="M1650" s="487"/>
      <c r="N1650" s="493"/>
      <c r="O1650" s="493"/>
      <c r="P1650" s="493"/>
    </row>
    <row r="1651" spans="1:16" x14ac:dyDescent="0.3">
      <c r="A1651" s="487" t="b">
        <v>0</v>
      </c>
      <c r="B1651" s="487"/>
      <c r="C1651" s="487" t="s">
        <v>4986</v>
      </c>
      <c r="D1651" s="502">
        <v>12</v>
      </c>
      <c r="E1651" s="490"/>
      <c r="F1651" s="493"/>
      <c r="G1651" s="492"/>
      <c r="H1651" s="502"/>
      <c r="I1651" s="493"/>
      <c r="J1651" s="493"/>
      <c r="K1651" s="487" t="str">
        <f ca="1">IFERROR(VLOOKUP(C1651,' Disaggregation - Section E '!A$618:N863,3,0),"")</f>
        <v/>
      </c>
      <c r="L1651" s="487"/>
      <c r="M1651" s="487"/>
      <c r="N1651" s="493"/>
      <c r="O1651" s="493"/>
      <c r="P1651" s="493"/>
    </row>
    <row r="1652" spans="1:16" x14ac:dyDescent="0.3">
      <c r="A1652" s="487" t="b">
        <v>0</v>
      </c>
      <c r="B1652" s="487"/>
      <c r="C1652" s="487" t="s">
        <v>4989</v>
      </c>
      <c r="D1652" s="502">
        <v>13</v>
      </c>
      <c r="E1652" s="490"/>
      <c r="F1652" s="493"/>
      <c r="G1652" s="492"/>
      <c r="H1652" s="502"/>
      <c r="I1652" s="493"/>
      <c r="J1652" s="493"/>
      <c r="K1652" s="487" t="str">
        <f ca="1">IFERROR(VLOOKUP(C1652,' Disaggregation - Section E '!A$618:N864,3,0),"")</f>
        <v/>
      </c>
      <c r="L1652" s="487"/>
      <c r="M1652" s="487"/>
      <c r="N1652" s="493"/>
      <c r="O1652" s="493"/>
      <c r="P1652" s="493"/>
    </row>
    <row r="1653" spans="1:16" x14ac:dyDescent="0.3">
      <c r="A1653" s="487" t="b">
        <v>0</v>
      </c>
      <c r="B1653" s="487"/>
      <c r="C1653" s="487" t="s">
        <v>4991</v>
      </c>
      <c r="D1653" s="502">
        <v>13</v>
      </c>
      <c r="E1653" s="490"/>
      <c r="F1653" s="493"/>
      <c r="G1653" s="492"/>
      <c r="H1653" s="502"/>
      <c r="I1653" s="493"/>
      <c r="J1653" s="493"/>
      <c r="K1653" s="487" t="str">
        <f ca="1">IFERROR(VLOOKUP(C1653,' Disaggregation - Section E '!A$618:N865,3,0),"")</f>
        <v/>
      </c>
      <c r="L1653" s="487"/>
      <c r="M1653" s="487"/>
      <c r="N1653" s="493"/>
      <c r="O1653" s="493"/>
      <c r="P1653" s="493"/>
    </row>
    <row r="1654" spans="1:16" x14ac:dyDescent="0.3">
      <c r="A1654" s="487" t="b">
        <v>0</v>
      </c>
      <c r="B1654" s="487"/>
      <c r="C1654" s="487" t="s">
        <v>4993</v>
      </c>
      <c r="D1654" s="502">
        <v>13</v>
      </c>
      <c r="E1654" s="490"/>
      <c r="F1654" s="493"/>
      <c r="G1654" s="492"/>
      <c r="H1654" s="502"/>
      <c r="I1654" s="493"/>
      <c r="J1654" s="493"/>
      <c r="K1654" s="487" t="str">
        <f ca="1">IFERROR(VLOOKUP(C1654,' Disaggregation - Section E '!A$618:N866,3,0),"")</f>
        <v/>
      </c>
      <c r="L1654" s="487"/>
      <c r="M1654" s="487"/>
      <c r="N1654" s="493"/>
      <c r="O1654" s="493"/>
      <c r="P1654" s="493"/>
    </row>
    <row r="1655" spans="1:16" x14ac:dyDescent="0.3">
      <c r="A1655" s="487" t="b">
        <v>0</v>
      </c>
      <c r="B1655" s="487"/>
      <c r="C1655" s="487" t="s">
        <v>4995</v>
      </c>
      <c r="D1655" s="502">
        <v>13</v>
      </c>
      <c r="E1655" s="490"/>
      <c r="F1655" s="493"/>
      <c r="G1655" s="492"/>
      <c r="H1655" s="502"/>
      <c r="I1655" s="493"/>
      <c r="J1655" s="493"/>
      <c r="K1655" s="487" t="str">
        <f ca="1">IFERROR(VLOOKUP(C1655,' Disaggregation - Section E '!A$618:N867,3,0),"")</f>
        <v/>
      </c>
      <c r="L1655" s="487"/>
      <c r="M1655" s="487"/>
      <c r="N1655" s="493"/>
      <c r="O1655" s="493"/>
      <c r="P1655" s="493"/>
    </row>
    <row r="1656" spans="1:16" x14ac:dyDescent="0.3">
      <c r="A1656" s="487" t="b">
        <v>0</v>
      </c>
      <c r="B1656" s="487"/>
      <c r="C1656" s="487" t="s">
        <v>4997</v>
      </c>
      <c r="D1656" s="502">
        <v>13</v>
      </c>
      <c r="E1656" s="490"/>
      <c r="F1656" s="493"/>
      <c r="G1656" s="492"/>
      <c r="H1656" s="502"/>
      <c r="I1656" s="493"/>
      <c r="J1656" s="493"/>
      <c r="K1656" s="487" t="str">
        <f ca="1">IFERROR(VLOOKUP(C1656,' Disaggregation - Section E '!A$618:N868,3,0),"")</f>
        <v/>
      </c>
      <c r="L1656" s="487"/>
      <c r="M1656" s="487"/>
      <c r="N1656" s="493"/>
      <c r="O1656" s="493"/>
      <c r="P1656" s="493"/>
    </row>
    <row r="1657" spans="1:16" x14ac:dyDescent="0.3">
      <c r="A1657" s="487" t="b">
        <v>0</v>
      </c>
      <c r="B1657" s="487"/>
      <c r="C1657" s="487" t="s">
        <v>4999</v>
      </c>
      <c r="D1657" s="502">
        <v>13</v>
      </c>
      <c r="E1657" s="490"/>
      <c r="F1657" s="493"/>
      <c r="G1657" s="492"/>
      <c r="H1657" s="502"/>
      <c r="I1657" s="493"/>
      <c r="J1657" s="493"/>
      <c r="K1657" s="487" t="str">
        <f ca="1">IFERROR(VLOOKUP(C1657,' Disaggregation - Section E '!A$618:N869,3,0),"")</f>
        <v/>
      </c>
      <c r="L1657" s="487"/>
      <c r="M1657" s="487"/>
      <c r="N1657" s="493"/>
      <c r="O1657" s="493"/>
      <c r="P1657" s="493"/>
    </row>
    <row r="1658" spans="1:16" x14ac:dyDescent="0.3">
      <c r="A1658" s="487" t="b">
        <v>0</v>
      </c>
      <c r="B1658" s="487"/>
      <c r="C1658" s="487" t="s">
        <v>5001</v>
      </c>
      <c r="D1658" s="502">
        <v>13</v>
      </c>
      <c r="E1658" s="490"/>
      <c r="F1658" s="493"/>
      <c r="G1658" s="492"/>
      <c r="H1658" s="502"/>
      <c r="I1658" s="493"/>
      <c r="J1658" s="493"/>
      <c r="K1658" s="487" t="str">
        <f ca="1">IFERROR(VLOOKUP(C1658,' Disaggregation - Section E '!A$618:N870,3,0),"")</f>
        <v/>
      </c>
      <c r="L1658" s="487"/>
      <c r="M1658" s="487"/>
      <c r="N1658" s="493"/>
      <c r="O1658" s="493"/>
      <c r="P1658" s="493"/>
    </row>
    <row r="1659" spans="1:16" x14ac:dyDescent="0.3">
      <c r="A1659" s="487" t="b">
        <v>0</v>
      </c>
      <c r="B1659" s="487"/>
      <c r="C1659" s="487" t="s">
        <v>5003</v>
      </c>
      <c r="D1659" s="502">
        <v>13</v>
      </c>
      <c r="E1659" s="490"/>
      <c r="F1659" s="493"/>
      <c r="G1659" s="492"/>
      <c r="H1659" s="502"/>
      <c r="I1659" s="493"/>
      <c r="J1659" s="493"/>
      <c r="K1659" s="487" t="str">
        <f ca="1">IFERROR(VLOOKUP(C1659,' Disaggregation - Section E '!A$618:N871,3,0),"")</f>
        <v/>
      </c>
      <c r="L1659" s="487"/>
      <c r="M1659" s="487"/>
      <c r="N1659" s="493"/>
      <c r="O1659" s="493"/>
      <c r="P1659" s="493"/>
    </row>
    <row r="1660" spans="1:16" x14ac:dyDescent="0.3">
      <c r="A1660" s="487" t="b">
        <v>0</v>
      </c>
      <c r="B1660" s="487"/>
      <c r="C1660" s="487" t="s">
        <v>5005</v>
      </c>
      <c r="D1660" s="502">
        <v>13</v>
      </c>
      <c r="E1660" s="490"/>
      <c r="F1660" s="493"/>
      <c r="G1660" s="492"/>
      <c r="H1660" s="502"/>
      <c r="I1660" s="493"/>
      <c r="J1660" s="493"/>
      <c r="K1660" s="487" t="str">
        <f ca="1">IFERROR(VLOOKUP(C1660,' Disaggregation - Section E '!A$618:N872,3,0),"")</f>
        <v/>
      </c>
      <c r="L1660" s="487"/>
      <c r="M1660" s="487"/>
      <c r="N1660" s="493"/>
      <c r="O1660" s="493"/>
      <c r="P1660" s="493"/>
    </row>
    <row r="1661" spans="1:16" x14ac:dyDescent="0.3">
      <c r="A1661" s="487" t="b">
        <v>0</v>
      </c>
      <c r="B1661" s="487"/>
      <c r="C1661" s="487" t="s">
        <v>5007</v>
      </c>
      <c r="D1661" s="502">
        <v>13</v>
      </c>
      <c r="E1661" s="490"/>
      <c r="F1661" s="493"/>
      <c r="G1661" s="492"/>
      <c r="H1661" s="502"/>
      <c r="I1661" s="493"/>
      <c r="J1661" s="493"/>
      <c r="K1661" s="487" t="str">
        <f ca="1">IFERROR(VLOOKUP(C1661,' Disaggregation - Section E '!A$618:N873,3,0),"")</f>
        <v/>
      </c>
      <c r="L1661" s="487"/>
      <c r="M1661" s="487"/>
      <c r="N1661" s="493"/>
      <c r="O1661" s="493"/>
      <c r="P1661" s="493"/>
    </row>
    <row r="1662" spans="1:16" x14ac:dyDescent="0.3">
      <c r="A1662" s="487" t="b">
        <v>0</v>
      </c>
      <c r="B1662" s="487"/>
      <c r="C1662" s="487" t="s">
        <v>5009</v>
      </c>
      <c r="D1662" s="502">
        <v>13</v>
      </c>
      <c r="E1662" s="490"/>
      <c r="F1662" s="493"/>
      <c r="G1662" s="492"/>
      <c r="H1662" s="502"/>
      <c r="I1662" s="493"/>
      <c r="J1662" s="493"/>
      <c r="K1662" s="487" t="str">
        <f ca="1">IFERROR(VLOOKUP(C1662,' Disaggregation - Section E '!A$618:N874,3,0),"")</f>
        <v/>
      </c>
      <c r="L1662" s="487"/>
      <c r="M1662" s="487"/>
      <c r="N1662" s="493"/>
      <c r="O1662" s="493"/>
      <c r="P1662" s="493"/>
    </row>
    <row r="1663" spans="1:16" x14ac:dyDescent="0.3">
      <c r="A1663" s="487" t="b">
        <v>0</v>
      </c>
      <c r="B1663" s="487"/>
      <c r="C1663" s="487" t="s">
        <v>5011</v>
      </c>
      <c r="D1663" s="502">
        <v>13</v>
      </c>
      <c r="E1663" s="490"/>
      <c r="F1663" s="493"/>
      <c r="G1663" s="492"/>
      <c r="H1663" s="502"/>
      <c r="I1663" s="493"/>
      <c r="J1663" s="493"/>
      <c r="K1663" s="487" t="str">
        <f ca="1">IFERROR(VLOOKUP(C1663,' Disaggregation - Section E '!A$618:N875,3,0),"")</f>
        <v/>
      </c>
      <c r="L1663" s="487"/>
      <c r="M1663" s="487"/>
      <c r="N1663" s="493"/>
      <c r="O1663" s="493"/>
      <c r="P1663" s="493"/>
    </row>
    <row r="1664" spans="1:16" x14ac:dyDescent="0.3">
      <c r="A1664" s="487" t="b">
        <v>0</v>
      </c>
      <c r="B1664" s="487"/>
      <c r="C1664" s="487" t="s">
        <v>5013</v>
      </c>
      <c r="D1664" s="502">
        <v>13</v>
      </c>
      <c r="E1664" s="490"/>
      <c r="F1664" s="493"/>
      <c r="G1664" s="492"/>
      <c r="H1664" s="502"/>
      <c r="I1664" s="493"/>
      <c r="J1664" s="493"/>
      <c r="K1664" s="487" t="str">
        <f ca="1">IFERROR(VLOOKUP(C1664,' Disaggregation - Section E '!A$618:N876,3,0),"")</f>
        <v/>
      </c>
      <c r="L1664" s="487"/>
      <c r="M1664" s="487"/>
      <c r="N1664" s="493"/>
      <c r="O1664" s="493"/>
      <c r="P1664" s="493"/>
    </row>
    <row r="1665" spans="1:16" x14ac:dyDescent="0.3">
      <c r="A1665" s="487" t="b">
        <v>0</v>
      </c>
      <c r="B1665" s="487"/>
      <c r="C1665" s="487" t="s">
        <v>5015</v>
      </c>
      <c r="D1665" s="502">
        <v>13</v>
      </c>
      <c r="E1665" s="490"/>
      <c r="F1665" s="493"/>
      <c r="G1665" s="492"/>
      <c r="H1665" s="502"/>
      <c r="I1665" s="493"/>
      <c r="J1665" s="493"/>
      <c r="K1665" s="487" t="str">
        <f ca="1">IFERROR(VLOOKUP(C1665,' Disaggregation - Section E '!A$618:N877,3,0),"")</f>
        <v/>
      </c>
      <c r="L1665" s="487"/>
      <c r="M1665" s="487"/>
      <c r="N1665" s="493"/>
      <c r="O1665" s="493"/>
      <c r="P1665" s="493"/>
    </row>
    <row r="1666" spans="1:16" x14ac:dyDescent="0.3">
      <c r="A1666" s="487" t="b">
        <v>0</v>
      </c>
      <c r="B1666" s="487"/>
      <c r="C1666" s="487" t="s">
        <v>5017</v>
      </c>
      <c r="D1666" s="502">
        <v>13</v>
      </c>
      <c r="E1666" s="490"/>
      <c r="F1666" s="493"/>
      <c r="G1666" s="492"/>
      <c r="H1666" s="502"/>
      <c r="I1666" s="493"/>
      <c r="J1666" s="493"/>
      <c r="K1666" s="487" t="str">
        <f ca="1">IFERROR(VLOOKUP(C1666,' Disaggregation - Section E '!A$618:N878,3,0),"")</f>
        <v/>
      </c>
      <c r="L1666" s="487"/>
      <c r="M1666" s="487"/>
      <c r="N1666" s="493"/>
      <c r="O1666" s="493"/>
      <c r="P1666" s="493"/>
    </row>
    <row r="1667" spans="1:16" x14ac:dyDescent="0.3">
      <c r="A1667" s="487" t="b">
        <v>0</v>
      </c>
      <c r="B1667" s="487"/>
      <c r="C1667" s="487" t="s">
        <v>5019</v>
      </c>
      <c r="D1667" s="502">
        <v>13</v>
      </c>
      <c r="E1667" s="490"/>
      <c r="F1667" s="493"/>
      <c r="G1667" s="492"/>
      <c r="H1667" s="502"/>
      <c r="I1667" s="493"/>
      <c r="J1667" s="493"/>
      <c r="K1667" s="487" t="str">
        <f ca="1">IFERROR(VLOOKUP(C1667,' Disaggregation - Section E '!A$618:N879,3,0),"")</f>
        <v/>
      </c>
      <c r="L1667" s="487"/>
      <c r="M1667" s="487"/>
      <c r="N1667" s="493"/>
      <c r="O1667" s="493"/>
      <c r="P1667" s="493"/>
    </row>
    <row r="1668" spans="1:16" x14ac:dyDescent="0.3">
      <c r="A1668" s="487" t="b">
        <v>0</v>
      </c>
      <c r="B1668" s="487"/>
      <c r="C1668" s="487" t="s">
        <v>5021</v>
      </c>
      <c r="D1668" s="502">
        <v>13</v>
      </c>
      <c r="E1668" s="490"/>
      <c r="F1668" s="493"/>
      <c r="G1668" s="492"/>
      <c r="H1668" s="502"/>
      <c r="I1668" s="493"/>
      <c r="J1668" s="493"/>
      <c r="K1668" s="487" t="str">
        <f ca="1">IFERROR(VLOOKUP(C1668,' Disaggregation - Section E '!A$618:N880,3,0),"")</f>
        <v/>
      </c>
      <c r="L1668" s="487"/>
      <c r="M1668" s="487"/>
      <c r="N1668" s="493"/>
      <c r="O1668" s="493"/>
      <c r="P1668" s="493"/>
    </row>
    <row r="1669" spans="1:16" x14ac:dyDescent="0.3">
      <c r="A1669" s="487" t="b">
        <v>0</v>
      </c>
      <c r="B1669" s="487"/>
      <c r="C1669" s="487" t="s">
        <v>5023</v>
      </c>
      <c r="D1669" s="502">
        <v>13</v>
      </c>
      <c r="E1669" s="490"/>
      <c r="F1669" s="493"/>
      <c r="G1669" s="492"/>
      <c r="H1669" s="502"/>
      <c r="I1669" s="493"/>
      <c r="J1669" s="493"/>
      <c r="K1669" s="487" t="str">
        <f ca="1">IFERROR(VLOOKUP(C1669,' Disaggregation - Section E '!A$618:N881,3,0),"")</f>
        <v/>
      </c>
      <c r="L1669" s="487"/>
      <c r="M1669" s="487"/>
      <c r="N1669" s="493"/>
      <c r="O1669" s="493"/>
      <c r="P1669" s="493"/>
    </row>
    <row r="1670" spans="1:16" x14ac:dyDescent="0.3">
      <c r="A1670" s="487" t="b">
        <v>0</v>
      </c>
      <c r="B1670" s="487"/>
      <c r="C1670" s="487" t="s">
        <v>5025</v>
      </c>
      <c r="D1670" s="502">
        <v>13</v>
      </c>
      <c r="E1670" s="490"/>
      <c r="F1670" s="493"/>
      <c r="G1670" s="492"/>
      <c r="H1670" s="502"/>
      <c r="I1670" s="493"/>
      <c r="J1670" s="493"/>
      <c r="K1670" s="487" t="str">
        <f ca="1">IFERROR(VLOOKUP(C1670,' Disaggregation - Section E '!A$618:N882,3,0),"")</f>
        <v/>
      </c>
      <c r="L1670" s="487"/>
      <c r="M1670" s="487"/>
      <c r="N1670" s="493"/>
      <c r="O1670" s="493"/>
      <c r="P1670" s="493"/>
    </row>
    <row r="1671" spans="1:16" x14ac:dyDescent="0.3">
      <c r="A1671" s="487" t="b">
        <v>0</v>
      </c>
      <c r="B1671" s="487"/>
      <c r="C1671" s="487" t="s">
        <v>5027</v>
      </c>
      <c r="D1671" s="502">
        <v>13</v>
      </c>
      <c r="E1671" s="490"/>
      <c r="F1671" s="493"/>
      <c r="G1671" s="492"/>
      <c r="H1671" s="502"/>
      <c r="I1671" s="493"/>
      <c r="J1671" s="493"/>
      <c r="K1671" s="487" t="str">
        <f ca="1">IFERROR(VLOOKUP(C1671,' Disaggregation - Section E '!A$618:N883,3,0),"")</f>
        <v/>
      </c>
      <c r="L1671" s="487"/>
      <c r="M1671" s="487"/>
      <c r="N1671" s="493"/>
      <c r="O1671" s="493"/>
      <c r="P1671" s="493"/>
    </row>
    <row r="1672" spans="1:16" x14ac:dyDescent="0.3">
      <c r="A1672" s="487" t="b">
        <v>0</v>
      </c>
      <c r="B1672" s="487"/>
      <c r="C1672" s="487" t="s">
        <v>5030</v>
      </c>
      <c r="D1672" s="502">
        <v>14</v>
      </c>
      <c r="E1672" s="490"/>
      <c r="F1672" s="493"/>
      <c r="G1672" s="492"/>
      <c r="H1672" s="502"/>
      <c r="I1672" s="493"/>
      <c r="J1672" s="493"/>
      <c r="K1672" s="487" t="str">
        <f ca="1">IFERROR(VLOOKUP(C1672,' Disaggregation - Section E '!A$618:N884,3,0),"")</f>
        <v/>
      </c>
      <c r="L1672" s="487"/>
      <c r="M1672" s="487"/>
      <c r="N1672" s="493"/>
      <c r="O1672" s="493"/>
      <c r="P1672" s="493"/>
    </row>
    <row r="1673" spans="1:16" x14ac:dyDescent="0.3">
      <c r="A1673" s="487" t="b">
        <v>0</v>
      </c>
      <c r="B1673" s="487"/>
      <c r="C1673" s="487" t="s">
        <v>5032</v>
      </c>
      <c r="D1673" s="502">
        <v>14</v>
      </c>
      <c r="E1673" s="490"/>
      <c r="F1673" s="493"/>
      <c r="G1673" s="492"/>
      <c r="H1673" s="502"/>
      <c r="I1673" s="493"/>
      <c r="J1673" s="493"/>
      <c r="K1673" s="487" t="str">
        <f ca="1">IFERROR(VLOOKUP(C1673,' Disaggregation - Section E '!A$618:N885,3,0),"")</f>
        <v/>
      </c>
      <c r="L1673" s="487"/>
      <c r="M1673" s="487"/>
      <c r="N1673" s="493"/>
      <c r="O1673" s="493"/>
      <c r="P1673" s="493"/>
    </row>
    <row r="1674" spans="1:16" x14ac:dyDescent="0.3">
      <c r="A1674" s="487" t="b">
        <v>0</v>
      </c>
      <c r="B1674" s="487"/>
      <c r="C1674" s="487" t="s">
        <v>5034</v>
      </c>
      <c r="D1674" s="502">
        <v>14</v>
      </c>
      <c r="E1674" s="490"/>
      <c r="F1674" s="493"/>
      <c r="G1674" s="492"/>
      <c r="H1674" s="502"/>
      <c r="I1674" s="493"/>
      <c r="J1674" s="493"/>
      <c r="K1674" s="487" t="str">
        <f ca="1">IFERROR(VLOOKUP(C1674,' Disaggregation - Section E '!A$618:N886,3,0),"")</f>
        <v/>
      </c>
      <c r="L1674" s="487"/>
      <c r="M1674" s="487"/>
      <c r="N1674" s="493"/>
      <c r="O1674" s="493"/>
      <c r="P1674" s="493"/>
    </row>
    <row r="1675" spans="1:16" x14ac:dyDescent="0.3">
      <c r="A1675" s="487" t="b">
        <v>0</v>
      </c>
      <c r="B1675" s="487"/>
      <c r="C1675" s="487" t="s">
        <v>5036</v>
      </c>
      <c r="D1675" s="502">
        <v>14</v>
      </c>
      <c r="E1675" s="490"/>
      <c r="F1675" s="493"/>
      <c r="G1675" s="492"/>
      <c r="H1675" s="502"/>
      <c r="I1675" s="493"/>
      <c r="J1675" s="493"/>
      <c r="K1675" s="487" t="str">
        <f ca="1">IFERROR(VLOOKUP(C1675,' Disaggregation - Section E '!A$618:N887,3,0),"")</f>
        <v/>
      </c>
      <c r="L1675" s="487"/>
      <c r="M1675" s="487"/>
      <c r="N1675" s="493"/>
      <c r="O1675" s="493"/>
      <c r="P1675" s="493"/>
    </row>
    <row r="1676" spans="1:16" x14ac:dyDescent="0.3">
      <c r="A1676" s="487" t="b">
        <v>0</v>
      </c>
      <c r="B1676" s="487"/>
      <c r="C1676" s="487" t="s">
        <v>5038</v>
      </c>
      <c r="D1676" s="502">
        <v>14</v>
      </c>
      <c r="E1676" s="490"/>
      <c r="F1676" s="493"/>
      <c r="G1676" s="492"/>
      <c r="H1676" s="502"/>
      <c r="I1676" s="493"/>
      <c r="J1676" s="493"/>
      <c r="K1676" s="487" t="str">
        <f ca="1">IFERROR(VLOOKUP(C1676,' Disaggregation - Section E '!A$618:N888,3,0),"")</f>
        <v/>
      </c>
      <c r="L1676" s="487"/>
      <c r="M1676" s="487"/>
      <c r="N1676" s="493"/>
      <c r="O1676" s="493"/>
      <c r="P1676" s="493"/>
    </row>
    <row r="1677" spans="1:16" x14ac:dyDescent="0.3">
      <c r="A1677" s="487" t="b">
        <v>0</v>
      </c>
      <c r="B1677" s="487"/>
      <c r="C1677" s="487" t="s">
        <v>5040</v>
      </c>
      <c r="D1677" s="502">
        <v>14</v>
      </c>
      <c r="E1677" s="490"/>
      <c r="F1677" s="493"/>
      <c r="G1677" s="492"/>
      <c r="H1677" s="502"/>
      <c r="I1677" s="493"/>
      <c r="J1677" s="493"/>
      <c r="K1677" s="487" t="str">
        <f ca="1">IFERROR(VLOOKUP(C1677,' Disaggregation - Section E '!A$618:N889,3,0),"")</f>
        <v/>
      </c>
      <c r="L1677" s="487"/>
      <c r="M1677" s="487"/>
      <c r="N1677" s="493"/>
      <c r="O1677" s="493"/>
      <c r="P1677" s="493"/>
    </row>
    <row r="1678" spans="1:16" x14ac:dyDescent="0.3">
      <c r="A1678" s="487" t="b">
        <v>0</v>
      </c>
      <c r="B1678" s="487"/>
      <c r="C1678" s="487" t="s">
        <v>5042</v>
      </c>
      <c r="D1678" s="502">
        <v>14</v>
      </c>
      <c r="E1678" s="490"/>
      <c r="F1678" s="493"/>
      <c r="G1678" s="492"/>
      <c r="H1678" s="502"/>
      <c r="I1678" s="493"/>
      <c r="J1678" s="493"/>
      <c r="K1678" s="487" t="str">
        <f ca="1">IFERROR(VLOOKUP(C1678,' Disaggregation - Section E '!A$618:N890,3,0),"")</f>
        <v/>
      </c>
      <c r="L1678" s="487"/>
      <c r="M1678" s="487"/>
      <c r="N1678" s="493"/>
      <c r="O1678" s="493"/>
      <c r="P1678" s="493"/>
    </row>
    <row r="1679" spans="1:16" x14ac:dyDescent="0.3">
      <c r="A1679" s="487" t="b">
        <v>0</v>
      </c>
      <c r="B1679" s="487"/>
      <c r="C1679" s="487" t="s">
        <v>5044</v>
      </c>
      <c r="D1679" s="502">
        <v>14</v>
      </c>
      <c r="E1679" s="490"/>
      <c r="F1679" s="493"/>
      <c r="G1679" s="492"/>
      <c r="H1679" s="502"/>
      <c r="I1679" s="493"/>
      <c r="J1679" s="493"/>
      <c r="K1679" s="487" t="str">
        <f ca="1">IFERROR(VLOOKUP(C1679,' Disaggregation - Section E '!A$618:N891,3,0),"")</f>
        <v/>
      </c>
      <c r="L1679" s="487"/>
      <c r="M1679" s="487"/>
      <c r="N1679" s="493"/>
      <c r="O1679" s="493"/>
      <c r="P1679" s="493"/>
    </row>
    <row r="1680" spans="1:16" x14ac:dyDescent="0.3">
      <c r="A1680" s="487" t="b">
        <v>0</v>
      </c>
      <c r="B1680" s="487"/>
      <c r="C1680" s="487" t="s">
        <v>5046</v>
      </c>
      <c r="D1680" s="502">
        <v>14</v>
      </c>
      <c r="E1680" s="490"/>
      <c r="F1680" s="493"/>
      <c r="G1680" s="492"/>
      <c r="H1680" s="502"/>
      <c r="I1680" s="493"/>
      <c r="J1680" s="493"/>
      <c r="K1680" s="487" t="str">
        <f ca="1">IFERROR(VLOOKUP(C1680,' Disaggregation - Section E '!A$618:N892,3,0),"")</f>
        <v/>
      </c>
      <c r="L1680" s="487"/>
      <c r="M1680" s="487"/>
      <c r="N1680" s="493"/>
      <c r="O1680" s="493"/>
      <c r="P1680" s="493"/>
    </row>
    <row r="1681" spans="1:16" x14ac:dyDescent="0.3">
      <c r="A1681" s="487" t="b">
        <v>0</v>
      </c>
      <c r="B1681" s="487"/>
      <c r="C1681" s="487" t="s">
        <v>5048</v>
      </c>
      <c r="D1681" s="502">
        <v>14</v>
      </c>
      <c r="E1681" s="490"/>
      <c r="F1681" s="493"/>
      <c r="G1681" s="492"/>
      <c r="H1681" s="502"/>
      <c r="I1681" s="493"/>
      <c r="J1681" s="493"/>
      <c r="K1681" s="487" t="str">
        <f ca="1">IFERROR(VLOOKUP(C1681,' Disaggregation - Section E '!A$618:N893,3,0),"")</f>
        <v/>
      </c>
      <c r="L1681" s="487"/>
      <c r="M1681" s="487"/>
      <c r="N1681" s="493"/>
      <c r="O1681" s="493"/>
      <c r="P1681" s="493"/>
    </row>
    <row r="1682" spans="1:16" x14ac:dyDescent="0.3">
      <c r="A1682" s="487" t="b">
        <v>0</v>
      </c>
      <c r="B1682" s="487"/>
      <c r="C1682" s="487" t="s">
        <v>5050</v>
      </c>
      <c r="D1682" s="502">
        <v>14</v>
      </c>
      <c r="E1682" s="490"/>
      <c r="F1682" s="493"/>
      <c r="G1682" s="492"/>
      <c r="H1682" s="502"/>
      <c r="I1682" s="493"/>
      <c r="J1682" s="493"/>
      <c r="K1682" s="487" t="str">
        <f ca="1">IFERROR(VLOOKUP(C1682,' Disaggregation - Section E '!A$618:N894,3,0),"")</f>
        <v/>
      </c>
      <c r="L1682" s="487"/>
      <c r="M1682" s="487"/>
      <c r="N1682" s="493"/>
      <c r="O1682" s="493"/>
      <c r="P1682" s="493"/>
    </row>
    <row r="1683" spans="1:16" x14ac:dyDescent="0.3">
      <c r="A1683" s="487" t="b">
        <v>0</v>
      </c>
      <c r="B1683" s="487"/>
      <c r="C1683" s="487" t="s">
        <v>5052</v>
      </c>
      <c r="D1683" s="502">
        <v>14</v>
      </c>
      <c r="E1683" s="490"/>
      <c r="F1683" s="493"/>
      <c r="G1683" s="492"/>
      <c r="H1683" s="502"/>
      <c r="I1683" s="493"/>
      <c r="J1683" s="493"/>
      <c r="K1683" s="487" t="str">
        <f ca="1">IFERROR(VLOOKUP(C1683,' Disaggregation - Section E '!A$618:N895,3,0),"")</f>
        <v/>
      </c>
      <c r="L1683" s="487"/>
      <c r="M1683" s="487"/>
      <c r="N1683" s="493"/>
      <c r="O1683" s="493"/>
      <c r="P1683" s="493"/>
    </row>
    <row r="1684" spans="1:16" x14ac:dyDescent="0.3">
      <c r="A1684" s="487" t="b">
        <v>0</v>
      </c>
      <c r="B1684" s="487"/>
      <c r="C1684" s="487" t="s">
        <v>5054</v>
      </c>
      <c r="D1684" s="502">
        <v>14</v>
      </c>
      <c r="E1684" s="490"/>
      <c r="F1684" s="493"/>
      <c r="G1684" s="492"/>
      <c r="H1684" s="502"/>
      <c r="I1684" s="493"/>
      <c r="J1684" s="493"/>
      <c r="K1684" s="487" t="str">
        <f ca="1">IFERROR(VLOOKUP(C1684,' Disaggregation - Section E '!A$618:N896,3,0),"")</f>
        <v/>
      </c>
      <c r="L1684" s="487"/>
      <c r="M1684" s="487"/>
      <c r="N1684" s="493"/>
      <c r="O1684" s="493"/>
      <c r="P1684" s="493"/>
    </row>
    <row r="1685" spans="1:16" x14ac:dyDescent="0.3">
      <c r="A1685" s="487" t="b">
        <v>0</v>
      </c>
      <c r="B1685" s="487"/>
      <c r="C1685" s="487" t="s">
        <v>5056</v>
      </c>
      <c r="D1685" s="502">
        <v>14</v>
      </c>
      <c r="E1685" s="490"/>
      <c r="F1685" s="493"/>
      <c r="G1685" s="492"/>
      <c r="H1685" s="502"/>
      <c r="I1685" s="493"/>
      <c r="J1685" s="493"/>
      <c r="K1685" s="487" t="str">
        <f ca="1">IFERROR(VLOOKUP(C1685,' Disaggregation - Section E '!A$618:N897,3,0),"")</f>
        <v/>
      </c>
      <c r="L1685" s="487"/>
      <c r="M1685" s="487"/>
      <c r="N1685" s="493"/>
      <c r="O1685" s="493"/>
      <c r="P1685" s="493"/>
    </row>
    <row r="1686" spans="1:16" x14ac:dyDescent="0.3">
      <c r="A1686" s="487" t="b">
        <v>0</v>
      </c>
      <c r="B1686" s="487"/>
      <c r="C1686" s="487" t="s">
        <v>5058</v>
      </c>
      <c r="D1686" s="502">
        <v>14</v>
      </c>
      <c r="E1686" s="490"/>
      <c r="F1686" s="493"/>
      <c r="G1686" s="492"/>
      <c r="H1686" s="502"/>
      <c r="I1686" s="493"/>
      <c r="J1686" s="493"/>
      <c r="K1686" s="487" t="str">
        <f ca="1">IFERROR(VLOOKUP(C1686,' Disaggregation - Section E '!A$618:N898,3,0),"")</f>
        <v/>
      </c>
      <c r="L1686" s="487"/>
      <c r="M1686" s="487"/>
      <c r="N1686" s="493"/>
      <c r="O1686" s="493"/>
      <c r="P1686" s="493"/>
    </row>
    <row r="1687" spans="1:16" x14ac:dyDescent="0.3">
      <c r="A1687" s="487" t="b">
        <v>0</v>
      </c>
      <c r="B1687" s="487"/>
      <c r="C1687" s="487" t="s">
        <v>5060</v>
      </c>
      <c r="D1687" s="502">
        <v>14</v>
      </c>
      <c r="E1687" s="490"/>
      <c r="F1687" s="493"/>
      <c r="G1687" s="492"/>
      <c r="H1687" s="502"/>
      <c r="I1687" s="493"/>
      <c r="J1687" s="493"/>
      <c r="K1687" s="487" t="str">
        <f ca="1">IFERROR(VLOOKUP(C1687,' Disaggregation - Section E '!A$618:N899,3,0),"")</f>
        <v/>
      </c>
      <c r="L1687" s="487"/>
      <c r="M1687" s="487"/>
      <c r="N1687" s="493"/>
      <c r="O1687" s="493"/>
      <c r="P1687" s="493"/>
    </row>
    <row r="1688" spans="1:16" x14ac:dyDescent="0.3">
      <c r="A1688" s="487" t="b">
        <v>0</v>
      </c>
      <c r="B1688" s="487"/>
      <c r="C1688" s="487" t="s">
        <v>5062</v>
      </c>
      <c r="D1688" s="502">
        <v>14</v>
      </c>
      <c r="E1688" s="490"/>
      <c r="F1688" s="493"/>
      <c r="G1688" s="492"/>
      <c r="H1688" s="502"/>
      <c r="I1688" s="493"/>
      <c r="J1688" s="493"/>
      <c r="K1688" s="487" t="str">
        <f ca="1">IFERROR(VLOOKUP(C1688,' Disaggregation - Section E '!A$618:N900,3,0),"")</f>
        <v/>
      </c>
      <c r="L1688" s="487"/>
      <c r="M1688" s="487"/>
      <c r="N1688" s="493"/>
      <c r="O1688" s="493"/>
      <c r="P1688" s="493"/>
    </row>
    <row r="1689" spans="1:16" x14ac:dyDescent="0.3">
      <c r="A1689" s="487" t="b">
        <v>0</v>
      </c>
      <c r="B1689" s="487"/>
      <c r="C1689" s="487" t="s">
        <v>5064</v>
      </c>
      <c r="D1689" s="502">
        <v>14</v>
      </c>
      <c r="E1689" s="490"/>
      <c r="F1689" s="493"/>
      <c r="G1689" s="492"/>
      <c r="H1689" s="502"/>
      <c r="I1689" s="493"/>
      <c r="J1689" s="493"/>
      <c r="K1689" s="487" t="str">
        <f ca="1">IFERROR(VLOOKUP(C1689,' Disaggregation - Section E '!A$618:N901,3,0),"")</f>
        <v/>
      </c>
      <c r="L1689" s="487"/>
      <c r="M1689" s="487"/>
      <c r="N1689" s="493"/>
      <c r="O1689" s="493"/>
      <c r="P1689" s="493"/>
    </row>
    <row r="1690" spans="1:16" x14ac:dyDescent="0.3">
      <c r="A1690" s="487" t="b">
        <v>0</v>
      </c>
      <c r="B1690" s="487"/>
      <c r="C1690" s="487" t="s">
        <v>5066</v>
      </c>
      <c r="D1690" s="502">
        <v>14</v>
      </c>
      <c r="E1690" s="490"/>
      <c r="F1690" s="493"/>
      <c r="G1690" s="492"/>
      <c r="H1690" s="502"/>
      <c r="I1690" s="493"/>
      <c r="J1690" s="493"/>
      <c r="K1690" s="487" t="str">
        <f ca="1">IFERROR(VLOOKUP(C1690,' Disaggregation - Section E '!A$618:N902,3,0),"")</f>
        <v/>
      </c>
      <c r="L1690" s="487"/>
      <c r="M1690" s="487"/>
      <c r="N1690" s="493"/>
      <c r="O1690" s="493"/>
      <c r="P1690" s="493"/>
    </row>
    <row r="1691" spans="1:16" x14ac:dyDescent="0.3">
      <c r="A1691" s="487" t="b">
        <v>0</v>
      </c>
      <c r="B1691" s="487"/>
      <c r="C1691" s="487" t="s">
        <v>5068</v>
      </c>
      <c r="D1691" s="502">
        <v>14</v>
      </c>
      <c r="E1691" s="490"/>
      <c r="F1691" s="493"/>
      <c r="G1691" s="492"/>
      <c r="H1691" s="502"/>
      <c r="I1691" s="493"/>
      <c r="J1691" s="493"/>
      <c r="K1691" s="487" t="str">
        <f ca="1">IFERROR(VLOOKUP(C1691,' Disaggregation - Section E '!A$618:N903,3,0),"")</f>
        <v/>
      </c>
      <c r="L1691" s="487"/>
      <c r="M1691" s="487"/>
      <c r="N1691" s="493"/>
      <c r="O1691" s="493"/>
      <c r="P1691" s="493"/>
    </row>
    <row r="1692" spans="1:16" x14ac:dyDescent="0.3">
      <c r="A1692" s="487" t="b">
        <v>0</v>
      </c>
      <c r="B1692" s="487"/>
      <c r="C1692" s="487" t="s">
        <v>5071</v>
      </c>
      <c r="D1692" s="502">
        <v>15</v>
      </c>
      <c r="E1692" s="490"/>
      <c r="F1692" s="493"/>
      <c r="G1692" s="492"/>
      <c r="H1692" s="502"/>
      <c r="I1692" s="493"/>
      <c r="J1692" s="493"/>
      <c r="K1692" s="487" t="str">
        <f ca="1">IFERROR(VLOOKUP(C1692,' Disaggregation - Section E '!A$618:N904,3,0),"")</f>
        <v/>
      </c>
      <c r="L1692" s="487"/>
      <c r="M1692" s="487"/>
      <c r="N1692" s="493"/>
      <c r="O1692" s="493"/>
      <c r="P1692" s="493"/>
    </row>
    <row r="1693" spans="1:16" x14ac:dyDescent="0.3">
      <c r="A1693" s="487" t="b">
        <v>0</v>
      </c>
      <c r="B1693" s="487"/>
      <c r="C1693" s="487" t="s">
        <v>5073</v>
      </c>
      <c r="D1693" s="502">
        <v>15</v>
      </c>
      <c r="E1693" s="490"/>
      <c r="F1693" s="493"/>
      <c r="G1693" s="492"/>
      <c r="H1693" s="502"/>
      <c r="I1693" s="493"/>
      <c r="J1693" s="493"/>
      <c r="K1693" s="487" t="str">
        <f ca="1">IFERROR(VLOOKUP(C1693,' Disaggregation - Section E '!A$618:N905,3,0),"")</f>
        <v/>
      </c>
      <c r="L1693" s="487"/>
      <c r="M1693" s="487"/>
      <c r="N1693" s="493"/>
      <c r="O1693" s="493"/>
      <c r="P1693" s="493"/>
    </row>
    <row r="1694" spans="1:16" x14ac:dyDescent="0.3">
      <c r="A1694" s="487" t="b">
        <v>0</v>
      </c>
      <c r="B1694" s="487"/>
      <c r="C1694" s="487" t="s">
        <v>5075</v>
      </c>
      <c r="D1694" s="502">
        <v>15</v>
      </c>
      <c r="E1694" s="490"/>
      <c r="F1694" s="493"/>
      <c r="G1694" s="492"/>
      <c r="H1694" s="502"/>
      <c r="I1694" s="493"/>
      <c r="J1694" s="493"/>
      <c r="K1694" s="487" t="str">
        <f ca="1">IFERROR(VLOOKUP(C1694,' Disaggregation - Section E '!A$618:N906,3,0),"")</f>
        <v/>
      </c>
      <c r="L1694" s="487"/>
      <c r="M1694" s="487"/>
      <c r="N1694" s="493"/>
      <c r="O1694" s="493"/>
      <c r="P1694" s="493"/>
    </row>
    <row r="1695" spans="1:16" x14ac:dyDescent="0.3">
      <c r="A1695" s="487" t="b">
        <v>0</v>
      </c>
      <c r="B1695" s="487"/>
      <c r="C1695" s="487" t="s">
        <v>5077</v>
      </c>
      <c r="D1695" s="502">
        <v>15</v>
      </c>
      <c r="E1695" s="490"/>
      <c r="F1695" s="493"/>
      <c r="G1695" s="492"/>
      <c r="H1695" s="502"/>
      <c r="I1695" s="493"/>
      <c r="J1695" s="493"/>
      <c r="K1695" s="487" t="str">
        <f ca="1">IFERROR(VLOOKUP(C1695,' Disaggregation - Section E '!A$618:N907,3,0),"")</f>
        <v/>
      </c>
      <c r="L1695" s="487"/>
      <c r="M1695" s="487"/>
      <c r="N1695" s="493"/>
      <c r="O1695" s="493"/>
      <c r="P1695" s="493"/>
    </row>
    <row r="1696" spans="1:16" x14ac:dyDescent="0.3">
      <c r="A1696" s="487" t="b">
        <v>0</v>
      </c>
      <c r="B1696" s="487"/>
      <c r="C1696" s="487" t="s">
        <v>5079</v>
      </c>
      <c r="D1696" s="502">
        <v>15</v>
      </c>
      <c r="E1696" s="490"/>
      <c r="F1696" s="493"/>
      <c r="G1696" s="492"/>
      <c r="H1696" s="502"/>
      <c r="I1696" s="493"/>
      <c r="J1696" s="493"/>
      <c r="K1696" s="487" t="str">
        <f ca="1">IFERROR(VLOOKUP(C1696,' Disaggregation - Section E '!A$618:N908,3,0),"")</f>
        <v/>
      </c>
      <c r="L1696" s="487"/>
      <c r="M1696" s="487"/>
      <c r="N1696" s="493"/>
      <c r="O1696" s="493"/>
      <c r="P1696" s="493"/>
    </row>
    <row r="1697" spans="1:16" x14ac:dyDescent="0.3">
      <c r="A1697" s="487" t="b">
        <v>0</v>
      </c>
      <c r="B1697" s="487"/>
      <c r="C1697" s="487" t="s">
        <v>5081</v>
      </c>
      <c r="D1697" s="502">
        <v>15</v>
      </c>
      <c r="E1697" s="490"/>
      <c r="F1697" s="493"/>
      <c r="G1697" s="492"/>
      <c r="H1697" s="502"/>
      <c r="I1697" s="493"/>
      <c r="J1697" s="493"/>
      <c r="K1697" s="487" t="str">
        <f ca="1">IFERROR(VLOOKUP(C1697,' Disaggregation - Section E '!A$618:N909,3,0),"")</f>
        <v/>
      </c>
      <c r="L1697" s="487"/>
      <c r="M1697" s="487"/>
      <c r="N1697" s="493"/>
      <c r="O1697" s="493"/>
      <c r="P1697" s="493"/>
    </row>
    <row r="1698" spans="1:16" x14ac:dyDescent="0.3">
      <c r="A1698" s="487" t="b">
        <v>0</v>
      </c>
      <c r="B1698" s="487"/>
      <c r="C1698" s="487" t="s">
        <v>5083</v>
      </c>
      <c r="D1698" s="502">
        <v>15</v>
      </c>
      <c r="E1698" s="490"/>
      <c r="F1698" s="493"/>
      <c r="G1698" s="492"/>
      <c r="H1698" s="502"/>
      <c r="I1698" s="493"/>
      <c r="J1698" s="493"/>
      <c r="K1698" s="487" t="str">
        <f ca="1">IFERROR(VLOOKUP(C1698,' Disaggregation - Section E '!A$618:N910,3,0),"")</f>
        <v/>
      </c>
      <c r="L1698" s="487"/>
      <c r="M1698" s="487"/>
      <c r="N1698" s="493"/>
      <c r="O1698" s="493"/>
      <c r="P1698" s="493"/>
    </row>
    <row r="1699" spans="1:16" x14ac:dyDescent="0.3">
      <c r="A1699" s="487" t="b">
        <v>0</v>
      </c>
      <c r="B1699" s="487"/>
      <c r="C1699" s="487" t="s">
        <v>5085</v>
      </c>
      <c r="D1699" s="502">
        <v>15</v>
      </c>
      <c r="E1699" s="490"/>
      <c r="F1699" s="493"/>
      <c r="G1699" s="492"/>
      <c r="H1699" s="502"/>
      <c r="I1699" s="493"/>
      <c r="J1699" s="493"/>
      <c r="K1699" s="487" t="str">
        <f ca="1">IFERROR(VLOOKUP(C1699,' Disaggregation - Section E '!A$618:N911,3,0),"")</f>
        <v/>
      </c>
      <c r="L1699" s="487"/>
      <c r="M1699" s="487"/>
      <c r="N1699" s="493"/>
      <c r="O1699" s="493"/>
      <c r="P1699" s="493"/>
    </row>
    <row r="1700" spans="1:16" x14ac:dyDescent="0.3">
      <c r="A1700" s="487" t="b">
        <v>0</v>
      </c>
      <c r="B1700" s="487"/>
      <c r="C1700" s="487" t="s">
        <v>5087</v>
      </c>
      <c r="D1700" s="502">
        <v>15</v>
      </c>
      <c r="E1700" s="490"/>
      <c r="F1700" s="493"/>
      <c r="G1700" s="492"/>
      <c r="H1700" s="502"/>
      <c r="I1700" s="493"/>
      <c r="J1700" s="493"/>
      <c r="K1700" s="487" t="str">
        <f ca="1">IFERROR(VLOOKUP(C1700,' Disaggregation - Section E '!A$618:N912,3,0),"")</f>
        <v/>
      </c>
      <c r="L1700" s="487"/>
      <c r="M1700" s="487"/>
      <c r="N1700" s="493"/>
      <c r="O1700" s="493"/>
      <c r="P1700" s="493"/>
    </row>
    <row r="1701" spans="1:16" x14ac:dyDescent="0.3">
      <c r="A1701" s="487" t="b">
        <v>0</v>
      </c>
      <c r="B1701" s="487"/>
      <c r="C1701" s="487" t="s">
        <v>5089</v>
      </c>
      <c r="D1701" s="502">
        <v>15</v>
      </c>
      <c r="E1701" s="490"/>
      <c r="F1701" s="493"/>
      <c r="G1701" s="492"/>
      <c r="H1701" s="502"/>
      <c r="I1701" s="493"/>
      <c r="J1701" s="493"/>
      <c r="K1701" s="487" t="str">
        <f ca="1">IFERROR(VLOOKUP(C1701,' Disaggregation - Section E '!A$618:N913,3,0),"")</f>
        <v/>
      </c>
      <c r="L1701" s="487"/>
      <c r="M1701" s="487"/>
      <c r="N1701" s="493"/>
      <c r="O1701" s="493"/>
      <c r="P1701" s="493"/>
    </row>
    <row r="1702" spans="1:16" x14ac:dyDescent="0.3">
      <c r="A1702" s="487" t="b">
        <v>0</v>
      </c>
      <c r="B1702" s="487"/>
      <c r="C1702" s="487" t="s">
        <v>5091</v>
      </c>
      <c r="D1702" s="502">
        <v>15</v>
      </c>
      <c r="E1702" s="490"/>
      <c r="F1702" s="493"/>
      <c r="G1702" s="492"/>
      <c r="H1702" s="502"/>
      <c r="I1702" s="493"/>
      <c r="J1702" s="493"/>
      <c r="K1702" s="487" t="str">
        <f ca="1">IFERROR(VLOOKUP(C1702,' Disaggregation - Section E '!A$618:N914,3,0),"")</f>
        <v/>
      </c>
      <c r="L1702" s="487"/>
      <c r="M1702" s="487"/>
      <c r="N1702" s="493"/>
      <c r="O1702" s="493"/>
      <c r="P1702" s="493"/>
    </row>
    <row r="1703" spans="1:16" x14ac:dyDescent="0.3">
      <c r="A1703" s="487" t="b">
        <v>0</v>
      </c>
      <c r="B1703" s="487"/>
      <c r="C1703" s="487" t="s">
        <v>5093</v>
      </c>
      <c r="D1703" s="502">
        <v>15</v>
      </c>
      <c r="E1703" s="490"/>
      <c r="F1703" s="493"/>
      <c r="G1703" s="492"/>
      <c r="H1703" s="502"/>
      <c r="I1703" s="493"/>
      <c r="J1703" s="493"/>
      <c r="K1703" s="487" t="str">
        <f ca="1">IFERROR(VLOOKUP(C1703,' Disaggregation - Section E '!A$618:N915,3,0),"")</f>
        <v/>
      </c>
      <c r="L1703" s="487"/>
      <c r="M1703" s="487"/>
      <c r="N1703" s="493"/>
      <c r="O1703" s="493"/>
      <c r="P1703" s="493"/>
    </row>
    <row r="1704" spans="1:16" x14ac:dyDescent="0.3">
      <c r="A1704" s="487" t="b">
        <v>0</v>
      </c>
      <c r="B1704" s="487"/>
      <c r="C1704" s="487" t="s">
        <v>5095</v>
      </c>
      <c r="D1704" s="502">
        <v>15</v>
      </c>
      <c r="E1704" s="490"/>
      <c r="F1704" s="493"/>
      <c r="G1704" s="492"/>
      <c r="H1704" s="502"/>
      <c r="I1704" s="493"/>
      <c r="J1704" s="493"/>
      <c r="K1704" s="487" t="str">
        <f ca="1">IFERROR(VLOOKUP(C1704,' Disaggregation - Section E '!A$618:N916,3,0),"")</f>
        <v/>
      </c>
      <c r="L1704" s="487"/>
      <c r="M1704" s="487"/>
      <c r="N1704" s="493"/>
      <c r="O1704" s="493"/>
      <c r="P1704" s="493"/>
    </row>
    <row r="1705" spans="1:16" x14ac:dyDescent="0.3">
      <c r="A1705" s="487" t="b">
        <v>0</v>
      </c>
      <c r="B1705" s="487"/>
      <c r="C1705" s="487" t="s">
        <v>5097</v>
      </c>
      <c r="D1705" s="502">
        <v>15</v>
      </c>
      <c r="E1705" s="490"/>
      <c r="F1705" s="493"/>
      <c r="G1705" s="492"/>
      <c r="H1705" s="502"/>
      <c r="I1705" s="493"/>
      <c r="J1705" s="493"/>
      <c r="K1705" s="487" t="str">
        <f ca="1">IFERROR(VLOOKUP(C1705,' Disaggregation - Section E '!A$618:N917,3,0),"")</f>
        <v/>
      </c>
      <c r="L1705" s="487"/>
      <c r="M1705" s="487"/>
      <c r="N1705" s="493"/>
      <c r="O1705" s="493"/>
      <c r="P1705" s="493"/>
    </row>
    <row r="1706" spans="1:16" x14ac:dyDescent="0.3">
      <c r="A1706" s="487" t="b">
        <v>0</v>
      </c>
      <c r="B1706" s="487"/>
      <c r="C1706" s="487" t="s">
        <v>5099</v>
      </c>
      <c r="D1706" s="502">
        <v>15</v>
      </c>
      <c r="E1706" s="490"/>
      <c r="F1706" s="493"/>
      <c r="G1706" s="492"/>
      <c r="H1706" s="502"/>
      <c r="I1706" s="493"/>
      <c r="J1706" s="493"/>
      <c r="K1706" s="487" t="str">
        <f ca="1">IFERROR(VLOOKUP(C1706,' Disaggregation - Section E '!A$618:N918,3,0),"")</f>
        <v/>
      </c>
      <c r="L1706" s="487"/>
      <c r="M1706" s="487"/>
      <c r="N1706" s="493"/>
      <c r="O1706" s="493"/>
      <c r="P1706" s="493"/>
    </row>
    <row r="1707" spans="1:16" x14ac:dyDescent="0.3">
      <c r="A1707" s="487" t="b">
        <v>0</v>
      </c>
      <c r="B1707" s="487"/>
      <c r="C1707" s="487" t="s">
        <v>5101</v>
      </c>
      <c r="D1707" s="502">
        <v>15</v>
      </c>
      <c r="E1707" s="490"/>
      <c r="F1707" s="493"/>
      <c r="G1707" s="492"/>
      <c r="H1707" s="502"/>
      <c r="I1707" s="493"/>
      <c r="J1707" s="493"/>
      <c r="K1707" s="487" t="str">
        <f ca="1">IFERROR(VLOOKUP(C1707,' Disaggregation - Section E '!A$618:N919,3,0),"")</f>
        <v/>
      </c>
      <c r="L1707" s="487"/>
      <c r="M1707" s="487"/>
      <c r="N1707" s="493"/>
      <c r="O1707" s="493"/>
      <c r="P1707" s="493"/>
    </row>
    <row r="1708" spans="1:16" x14ac:dyDescent="0.3">
      <c r="A1708" s="487" t="b">
        <v>0</v>
      </c>
      <c r="B1708" s="487"/>
      <c r="C1708" s="487" t="s">
        <v>5103</v>
      </c>
      <c r="D1708" s="502">
        <v>15</v>
      </c>
      <c r="E1708" s="490"/>
      <c r="F1708" s="493"/>
      <c r="G1708" s="492"/>
      <c r="H1708" s="502"/>
      <c r="I1708" s="493"/>
      <c r="J1708" s="493"/>
      <c r="K1708" s="487" t="str">
        <f ca="1">IFERROR(VLOOKUP(C1708,' Disaggregation - Section E '!A$618:N920,3,0),"")</f>
        <v/>
      </c>
      <c r="L1708" s="487"/>
      <c r="M1708" s="487"/>
      <c r="N1708" s="493"/>
      <c r="O1708" s="493"/>
      <c r="P1708" s="493"/>
    </row>
    <row r="1709" spans="1:16" x14ac:dyDescent="0.3">
      <c r="A1709" s="487" t="b">
        <v>0</v>
      </c>
      <c r="B1709" s="487"/>
      <c r="C1709" s="487" t="s">
        <v>5105</v>
      </c>
      <c r="D1709" s="502">
        <v>15</v>
      </c>
      <c r="E1709" s="490"/>
      <c r="F1709" s="493"/>
      <c r="G1709" s="492"/>
      <c r="H1709" s="502"/>
      <c r="I1709" s="493"/>
      <c r="J1709" s="493"/>
      <c r="K1709" s="487" t="str">
        <f ca="1">IFERROR(VLOOKUP(C1709,' Disaggregation - Section E '!A$618:N921,3,0),"")</f>
        <v/>
      </c>
      <c r="L1709" s="487"/>
      <c r="M1709" s="487"/>
      <c r="N1709" s="493"/>
      <c r="O1709" s="493"/>
      <c r="P1709" s="493"/>
    </row>
    <row r="1710" spans="1:16" x14ac:dyDescent="0.3">
      <c r="A1710" s="487" t="b">
        <v>0</v>
      </c>
      <c r="B1710" s="487"/>
      <c r="C1710" s="487" t="s">
        <v>5107</v>
      </c>
      <c r="D1710" s="502">
        <v>15</v>
      </c>
      <c r="E1710" s="490"/>
      <c r="F1710" s="493"/>
      <c r="G1710" s="492"/>
      <c r="H1710" s="502"/>
      <c r="I1710" s="493"/>
      <c r="J1710" s="493"/>
      <c r="K1710" s="487" t="str">
        <f ca="1">IFERROR(VLOOKUP(C1710,' Disaggregation - Section E '!A$618:N922,3,0),"")</f>
        <v/>
      </c>
      <c r="L1710" s="487"/>
      <c r="M1710" s="487"/>
      <c r="N1710" s="493"/>
      <c r="O1710" s="493"/>
      <c r="P1710" s="493"/>
    </row>
    <row r="1711" spans="1:16" x14ac:dyDescent="0.3">
      <c r="A1711" s="487" t="b">
        <v>0</v>
      </c>
      <c r="B1711" s="487"/>
      <c r="C1711" s="487" t="s">
        <v>5109</v>
      </c>
      <c r="D1711" s="502">
        <v>15</v>
      </c>
      <c r="E1711" s="490"/>
      <c r="F1711" s="493"/>
      <c r="G1711" s="492"/>
      <c r="H1711" s="502"/>
      <c r="I1711" s="493"/>
      <c r="J1711" s="493"/>
      <c r="K1711" s="487" t="str">
        <f ca="1">IFERROR(VLOOKUP(C1711,' Disaggregation - Section E '!A$618:N923,3,0),"")</f>
        <v/>
      </c>
      <c r="L1711" s="487"/>
      <c r="M1711" s="487"/>
      <c r="N1711" s="493"/>
      <c r="O1711" s="493"/>
      <c r="P1711" s="493"/>
    </row>
    <row r="1712" spans="1:16" x14ac:dyDescent="0.3">
      <c r="A1712" s="487" t="b">
        <v>0</v>
      </c>
      <c r="B1712" s="487"/>
      <c r="C1712" s="487" t="s">
        <v>5112</v>
      </c>
      <c r="D1712" s="502">
        <v>16</v>
      </c>
      <c r="E1712" s="490"/>
      <c r="F1712" s="493"/>
      <c r="G1712" s="492"/>
      <c r="H1712" s="502"/>
      <c r="I1712" s="493"/>
      <c r="J1712" s="493"/>
      <c r="K1712" s="487" t="str">
        <f ca="1">IFERROR(VLOOKUP(C1712,' Disaggregation - Section E '!A$618:N924,3,0),"")</f>
        <v/>
      </c>
      <c r="L1712" s="487"/>
      <c r="M1712" s="487"/>
      <c r="N1712" s="493"/>
      <c r="O1712" s="493"/>
      <c r="P1712" s="493"/>
    </row>
    <row r="1713" spans="1:16" x14ac:dyDescent="0.3">
      <c r="A1713" s="487" t="b">
        <v>0</v>
      </c>
      <c r="B1713" s="487"/>
      <c r="C1713" s="487" t="s">
        <v>5114</v>
      </c>
      <c r="D1713" s="502">
        <v>16</v>
      </c>
      <c r="E1713" s="490"/>
      <c r="F1713" s="493"/>
      <c r="G1713" s="492"/>
      <c r="H1713" s="502"/>
      <c r="I1713" s="493"/>
      <c r="J1713" s="493"/>
      <c r="K1713" s="487" t="str">
        <f ca="1">IFERROR(VLOOKUP(C1713,' Disaggregation - Section E '!A$618:N925,3,0),"")</f>
        <v/>
      </c>
      <c r="L1713" s="487"/>
      <c r="M1713" s="487"/>
      <c r="N1713" s="493"/>
      <c r="O1713" s="493"/>
      <c r="P1713" s="493"/>
    </row>
    <row r="1714" spans="1:16" x14ac:dyDescent="0.3">
      <c r="A1714" s="487" t="b">
        <v>0</v>
      </c>
      <c r="B1714" s="487"/>
      <c r="C1714" s="487" t="s">
        <v>5116</v>
      </c>
      <c r="D1714" s="502">
        <v>16</v>
      </c>
      <c r="E1714" s="490"/>
      <c r="F1714" s="493"/>
      <c r="G1714" s="492"/>
      <c r="H1714" s="502"/>
      <c r="I1714" s="493"/>
      <c r="J1714" s="493"/>
      <c r="K1714" s="487" t="str">
        <f ca="1">IFERROR(VLOOKUP(C1714,' Disaggregation - Section E '!A$618:N926,3,0),"")</f>
        <v/>
      </c>
      <c r="L1714" s="487"/>
      <c r="M1714" s="487"/>
      <c r="N1714" s="493"/>
      <c r="O1714" s="493"/>
      <c r="P1714" s="493"/>
    </row>
    <row r="1715" spans="1:16" x14ac:dyDescent="0.3">
      <c r="A1715" s="487" t="b">
        <v>0</v>
      </c>
      <c r="B1715" s="487"/>
      <c r="C1715" s="487" t="s">
        <v>5118</v>
      </c>
      <c r="D1715" s="502">
        <v>16</v>
      </c>
      <c r="E1715" s="490"/>
      <c r="F1715" s="493"/>
      <c r="G1715" s="492"/>
      <c r="H1715" s="502"/>
      <c r="I1715" s="493"/>
      <c r="J1715" s="493"/>
      <c r="K1715" s="487" t="str">
        <f ca="1">IFERROR(VLOOKUP(C1715,' Disaggregation - Section E '!A$618:N927,3,0),"")</f>
        <v/>
      </c>
      <c r="L1715" s="487"/>
      <c r="M1715" s="487"/>
      <c r="N1715" s="493"/>
      <c r="O1715" s="493"/>
      <c r="P1715" s="493"/>
    </row>
    <row r="1716" spans="1:16" x14ac:dyDescent="0.3">
      <c r="A1716" s="487" t="b">
        <v>0</v>
      </c>
      <c r="B1716" s="487"/>
      <c r="C1716" s="487" t="s">
        <v>5120</v>
      </c>
      <c r="D1716" s="502">
        <v>16</v>
      </c>
      <c r="E1716" s="490"/>
      <c r="F1716" s="493"/>
      <c r="G1716" s="492"/>
      <c r="H1716" s="502"/>
      <c r="I1716" s="493"/>
      <c r="J1716" s="493"/>
      <c r="K1716" s="487" t="str">
        <f ca="1">IFERROR(VLOOKUP(C1716,' Disaggregation - Section E '!A$618:N928,3,0),"")</f>
        <v/>
      </c>
      <c r="L1716" s="487"/>
      <c r="M1716" s="487"/>
      <c r="N1716" s="493"/>
      <c r="O1716" s="493"/>
      <c r="P1716" s="493"/>
    </row>
    <row r="1717" spans="1:16" x14ac:dyDescent="0.3">
      <c r="A1717" s="487" t="b">
        <v>0</v>
      </c>
      <c r="B1717" s="487"/>
      <c r="C1717" s="487" t="s">
        <v>5122</v>
      </c>
      <c r="D1717" s="502">
        <v>16</v>
      </c>
      <c r="E1717" s="490"/>
      <c r="F1717" s="493"/>
      <c r="G1717" s="492"/>
      <c r="H1717" s="502"/>
      <c r="I1717" s="493"/>
      <c r="J1717" s="493"/>
      <c r="K1717" s="487" t="str">
        <f ca="1">IFERROR(VLOOKUP(C1717,' Disaggregation - Section E '!A$618:N929,3,0),"")</f>
        <v/>
      </c>
      <c r="L1717" s="487"/>
      <c r="M1717" s="487"/>
      <c r="N1717" s="493"/>
      <c r="O1717" s="493"/>
      <c r="P1717" s="493"/>
    </row>
    <row r="1718" spans="1:16" x14ac:dyDescent="0.3">
      <c r="A1718" s="487" t="b">
        <v>0</v>
      </c>
      <c r="B1718" s="487"/>
      <c r="C1718" s="487" t="s">
        <v>5124</v>
      </c>
      <c r="D1718" s="502">
        <v>16</v>
      </c>
      <c r="E1718" s="490"/>
      <c r="F1718" s="493"/>
      <c r="G1718" s="492"/>
      <c r="H1718" s="502"/>
      <c r="I1718" s="493"/>
      <c r="J1718" s="493"/>
      <c r="K1718" s="487" t="str">
        <f ca="1">IFERROR(VLOOKUP(C1718,' Disaggregation - Section E '!A$618:N930,3,0),"")</f>
        <v/>
      </c>
      <c r="L1718" s="487"/>
      <c r="M1718" s="487"/>
      <c r="N1718" s="493"/>
      <c r="O1718" s="493"/>
      <c r="P1718" s="493"/>
    </row>
    <row r="1719" spans="1:16" x14ac:dyDescent="0.3">
      <c r="A1719" s="487" t="b">
        <v>0</v>
      </c>
      <c r="B1719" s="487"/>
      <c r="C1719" s="487" t="s">
        <v>5126</v>
      </c>
      <c r="D1719" s="502">
        <v>16</v>
      </c>
      <c r="E1719" s="490"/>
      <c r="F1719" s="493"/>
      <c r="G1719" s="492"/>
      <c r="H1719" s="502"/>
      <c r="I1719" s="493"/>
      <c r="J1719" s="493"/>
      <c r="K1719" s="487" t="str">
        <f ca="1">IFERROR(VLOOKUP(C1719,' Disaggregation - Section E '!A$618:N931,3,0),"")</f>
        <v/>
      </c>
      <c r="L1719" s="487"/>
      <c r="M1719" s="487"/>
      <c r="N1719" s="493"/>
      <c r="O1719" s="493"/>
      <c r="P1719" s="493"/>
    </row>
    <row r="1720" spans="1:16" x14ac:dyDescent="0.3">
      <c r="A1720" s="487" t="b">
        <v>0</v>
      </c>
      <c r="B1720" s="487"/>
      <c r="C1720" s="487" t="s">
        <v>5128</v>
      </c>
      <c r="D1720" s="502">
        <v>16</v>
      </c>
      <c r="E1720" s="490"/>
      <c r="F1720" s="493"/>
      <c r="G1720" s="492"/>
      <c r="H1720" s="502"/>
      <c r="I1720" s="493"/>
      <c r="J1720" s="493"/>
      <c r="K1720" s="487" t="str">
        <f ca="1">IFERROR(VLOOKUP(C1720,' Disaggregation - Section E '!A$618:N932,3,0),"")</f>
        <v/>
      </c>
      <c r="L1720" s="487"/>
      <c r="M1720" s="487"/>
      <c r="N1720" s="493"/>
      <c r="O1720" s="493"/>
      <c r="P1720" s="493"/>
    </row>
    <row r="1721" spans="1:16" x14ac:dyDescent="0.3">
      <c r="A1721" s="487" t="b">
        <v>0</v>
      </c>
      <c r="B1721" s="487"/>
      <c r="C1721" s="487" t="s">
        <v>5130</v>
      </c>
      <c r="D1721" s="502">
        <v>16</v>
      </c>
      <c r="E1721" s="490"/>
      <c r="F1721" s="493"/>
      <c r="G1721" s="492"/>
      <c r="H1721" s="502"/>
      <c r="I1721" s="493"/>
      <c r="J1721" s="493"/>
      <c r="K1721" s="487" t="str">
        <f ca="1">IFERROR(VLOOKUP(C1721,' Disaggregation - Section E '!A$618:N933,3,0),"")</f>
        <v/>
      </c>
      <c r="L1721" s="487"/>
      <c r="M1721" s="487"/>
      <c r="N1721" s="493"/>
      <c r="O1721" s="493"/>
      <c r="P1721" s="493"/>
    </row>
    <row r="1722" spans="1:16" x14ac:dyDescent="0.3">
      <c r="A1722" s="487" t="b">
        <v>0</v>
      </c>
      <c r="B1722" s="487"/>
      <c r="C1722" s="487" t="s">
        <v>5132</v>
      </c>
      <c r="D1722" s="502">
        <v>16</v>
      </c>
      <c r="E1722" s="490"/>
      <c r="F1722" s="493"/>
      <c r="G1722" s="492"/>
      <c r="H1722" s="502"/>
      <c r="I1722" s="493"/>
      <c r="J1722" s="493"/>
      <c r="K1722" s="487" t="str">
        <f ca="1">IFERROR(VLOOKUP(C1722,' Disaggregation - Section E '!A$618:N934,3,0),"")</f>
        <v/>
      </c>
      <c r="L1722" s="487"/>
      <c r="M1722" s="487"/>
      <c r="N1722" s="493"/>
      <c r="O1722" s="493"/>
      <c r="P1722" s="493"/>
    </row>
    <row r="1723" spans="1:16" x14ac:dyDescent="0.3">
      <c r="A1723" s="487" t="b">
        <v>0</v>
      </c>
      <c r="B1723" s="487"/>
      <c r="C1723" s="487" t="s">
        <v>5134</v>
      </c>
      <c r="D1723" s="502">
        <v>16</v>
      </c>
      <c r="E1723" s="490"/>
      <c r="F1723" s="493"/>
      <c r="G1723" s="492"/>
      <c r="H1723" s="502"/>
      <c r="I1723" s="493"/>
      <c r="J1723" s="493"/>
      <c r="K1723" s="487" t="str">
        <f ca="1">IFERROR(VLOOKUP(C1723,' Disaggregation - Section E '!A$618:N935,3,0),"")</f>
        <v/>
      </c>
      <c r="L1723" s="487"/>
      <c r="M1723" s="487"/>
      <c r="N1723" s="493"/>
      <c r="O1723" s="493"/>
      <c r="P1723" s="493"/>
    </row>
    <row r="1724" spans="1:16" x14ac:dyDescent="0.3">
      <c r="A1724" s="487" t="b">
        <v>0</v>
      </c>
      <c r="B1724" s="487"/>
      <c r="C1724" s="487" t="s">
        <v>5136</v>
      </c>
      <c r="D1724" s="502">
        <v>16</v>
      </c>
      <c r="E1724" s="490"/>
      <c r="F1724" s="493"/>
      <c r="G1724" s="492"/>
      <c r="H1724" s="502"/>
      <c r="I1724" s="493"/>
      <c r="J1724" s="493"/>
      <c r="K1724" s="487" t="str">
        <f ca="1">IFERROR(VLOOKUP(C1724,' Disaggregation - Section E '!A$618:N936,3,0),"")</f>
        <v/>
      </c>
      <c r="L1724" s="487"/>
      <c r="M1724" s="487"/>
      <c r="N1724" s="493"/>
      <c r="O1724" s="493"/>
      <c r="P1724" s="493"/>
    </row>
    <row r="1725" spans="1:16" x14ac:dyDescent="0.3">
      <c r="A1725" s="487" t="b">
        <v>0</v>
      </c>
      <c r="B1725" s="487"/>
      <c r="C1725" s="487" t="s">
        <v>5138</v>
      </c>
      <c r="D1725" s="502">
        <v>16</v>
      </c>
      <c r="E1725" s="490"/>
      <c r="F1725" s="493"/>
      <c r="G1725" s="492"/>
      <c r="H1725" s="502"/>
      <c r="I1725" s="493"/>
      <c r="J1725" s="493"/>
      <c r="K1725" s="487" t="str">
        <f ca="1">IFERROR(VLOOKUP(C1725,' Disaggregation - Section E '!A$618:N937,3,0),"")</f>
        <v/>
      </c>
      <c r="L1725" s="487"/>
      <c r="M1725" s="487"/>
      <c r="N1725" s="493"/>
      <c r="O1725" s="493"/>
      <c r="P1725" s="493"/>
    </row>
    <row r="1726" spans="1:16" x14ac:dyDescent="0.3">
      <c r="A1726" s="487" t="b">
        <v>0</v>
      </c>
      <c r="B1726" s="487"/>
      <c r="C1726" s="487" t="s">
        <v>5140</v>
      </c>
      <c r="D1726" s="502">
        <v>16</v>
      </c>
      <c r="E1726" s="490"/>
      <c r="F1726" s="493"/>
      <c r="G1726" s="492"/>
      <c r="H1726" s="502"/>
      <c r="I1726" s="493"/>
      <c r="J1726" s="493"/>
      <c r="K1726" s="487" t="str">
        <f ca="1">IFERROR(VLOOKUP(C1726,' Disaggregation - Section E '!A$618:N938,3,0),"")</f>
        <v/>
      </c>
      <c r="L1726" s="487"/>
      <c r="M1726" s="487"/>
      <c r="N1726" s="493"/>
      <c r="O1726" s="493"/>
      <c r="P1726" s="493"/>
    </row>
    <row r="1727" spans="1:16" x14ac:dyDescent="0.3">
      <c r="A1727" s="487" t="b">
        <v>0</v>
      </c>
      <c r="B1727" s="487"/>
      <c r="C1727" s="487" t="s">
        <v>5142</v>
      </c>
      <c r="D1727" s="502">
        <v>16</v>
      </c>
      <c r="E1727" s="490"/>
      <c r="F1727" s="493"/>
      <c r="G1727" s="492"/>
      <c r="H1727" s="502"/>
      <c r="I1727" s="493"/>
      <c r="J1727" s="493"/>
      <c r="K1727" s="487" t="str">
        <f ca="1">IFERROR(VLOOKUP(C1727,' Disaggregation - Section E '!A$618:N939,3,0),"")</f>
        <v/>
      </c>
      <c r="L1727" s="487"/>
      <c r="M1727" s="487"/>
      <c r="N1727" s="493"/>
      <c r="O1727" s="493"/>
      <c r="P1727" s="493"/>
    </row>
    <row r="1728" spans="1:16" x14ac:dyDescent="0.3">
      <c r="A1728" s="487" t="b">
        <v>0</v>
      </c>
      <c r="B1728" s="487"/>
      <c r="C1728" s="487" t="s">
        <v>5144</v>
      </c>
      <c r="D1728" s="502">
        <v>16</v>
      </c>
      <c r="E1728" s="490"/>
      <c r="F1728" s="493"/>
      <c r="G1728" s="492"/>
      <c r="H1728" s="502"/>
      <c r="I1728" s="493"/>
      <c r="J1728" s="493"/>
      <c r="K1728" s="487" t="str">
        <f ca="1">IFERROR(VLOOKUP(C1728,' Disaggregation - Section E '!A$618:N940,3,0),"")</f>
        <v/>
      </c>
      <c r="L1728" s="487"/>
      <c r="M1728" s="487"/>
      <c r="N1728" s="493"/>
      <c r="O1728" s="493"/>
      <c r="P1728" s="493"/>
    </row>
    <row r="1729" spans="1:16" x14ac:dyDescent="0.3">
      <c r="A1729" s="487" t="b">
        <v>0</v>
      </c>
      <c r="B1729" s="487"/>
      <c r="C1729" s="487" t="s">
        <v>5146</v>
      </c>
      <c r="D1729" s="502">
        <v>16</v>
      </c>
      <c r="E1729" s="490"/>
      <c r="F1729" s="493"/>
      <c r="G1729" s="492"/>
      <c r="H1729" s="502"/>
      <c r="I1729" s="493"/>
      <c r="J1729" s="493"/>
      <c r="K1729" s="487" t="str">
        <f ca="1">IFERROR(VLOOKUP(C1729,' Disaggregation - Section E '!A$618:N941,3,0),"")</f>
        <v/>
      </c>
      <c r="L1729" s="487"/>
      <c r="M1729" s="487"/>
      <c r="N1729" s="493"/>
      <c r="O1729" s="493"/>
      <c r="P1729" s="493"/>
    </row>
    <row r="1730" spans="1:16" x14ac:dyDescent="0.3">
      <c r="A1730" s="487" t="b">
        <v>0</v>
      </c>
      <c r="B1730" s="487"/>
      <c r="C1730" s="487" t="s">
        <v>5148</v>
      </c>
      <c r="D1730" s="502">
        <v>16</v>
      </c>
      <c r="E1730" s="490"/>
      <c r="F1730" s="493"/>
      <c r="G1730" s="492"/>
      <c r="H1730" s="502"/>
      <c r="I1730" s="493"/>
      <c r="J1730" s="493"/>
      <c r="K1730" s="487" t="str">
        <f ca="1">IFERROR(VLOOKUP(C1730,' Disaggregation - Section E '!A$618:N942,3,0),"")</f>
        <v/>
      </c>
      <c r="L1730" s="487"/>
      <c r="M1730" s="487"/>
      <c r="N1730" s="493"/>
      <c r="O1730" s="493"/>
      <c r="P1730" s="493"/>
    </row>
    <row r="1731" spans="1:16" x14ac:dyDescent="0.3">
      <c r="A1731" s="487" t="b">
        <v>0</v>
      </c>
      <c r="B1731" s="487"/>
      <c r="C1731" s="487" t="s">
        <v>5150</v>
      </c>
      <c r="D1731" s="502">
        <v>16</v>
      </c>
      <c r="E1731" s="490"/>
      <c r="F1731" s="493"/>
      <c r="G1731" s="492"/>
      <c r="H1731" s="502"/>
      <c r="I1731" s="493"/>
      <c r="J1731" s="493"/>
      <c r="K1731" s="487" t="str">
        <f ca="1">IFERROR(VLOOKUP(C1731,' Disaggregation - Section E '!A$618:N943,3,0),"")</f>
        <v/>
      </c>
      <c r="L1731" s="487"/>
      <c r="M1731" s="487"/>
      <c r="N1731" s="493"/>
      <c r="O1731" s="493"/>
      <c r="P1731" s="493"/>
    </row>
    <row r="1732" spans="1:16" x14ac:dyDescent="0.3">
      <c r="A1732" s="487" t="b">
        <v>0</v>
      </c>
      <c r="B1732" s="487"/>
      <c r="C1732" s="487" t="s">
        <v>5153</v>
      </c>
      <c r="D1732" s="502">
        <v>17</v>
      </c>
      <c r="E1732" s="490"/>
      <c r="F1732" s="493"/>
      <c r="G1732" s="492"/>
      <c r="H1732" s="502"/>
      <c r="I1732" s="493"/>
      <c r="J1732" s="493"/>
      <c r="K1732" s="487" t="str">
        <f ca="1">IFERROR(VLOOKUP(C1732,' Disaggregation - Section E '!A$618:N944,3,0),"")</f>
        <v/>
      </c>
      <c r="L1732" s="487"/>
      <c r="M1732" s="487"/>
      <c r="N1732" s="493"/>
      <c r="O1732" s="493"/>
      <c r="P1732" s="493"/>
    </row>
    <row r="1733" spans="1:16" x14ac:dyDescent="0.3">
      <c r="A1733" s="487" t="b">
        <v>0</v>
      </c>
      <c r="B1733" s="487"/>
      <c r="C1733" s="487" t="s">
        <v>5155</v>
      </c>
      <c r="D1733" s="502">
        <v>17</v>
      </c>
      <c r="E1733" s="490"/>
      <c r="F1733" s="493"/>
      <c r="G1733" s="492"/>
      <c r="H1733" s="502"/>
      <c r="I1733" s="493"/>
      <c r="J1733" s="493"/>
      <c r="K1733" s="487" t="str">
        <f ca="1">IFERROR(VLOOKUP(C1733,' Disaggregation - Section E '!A$618:N945,3,0),"")</f>
        <v/>
      </c>
      <c r="L1733" s="487"/>
      <c r="M1733" s="487"/>
      <c r="N1733" s="493"/>
      <c r="O1733" s="493"/>
      <c r="P1733" s="493"/>
    </row>
    <row r="1734" spans="1:16" x14ac:dyDescent="0.3">
      <c r="A1734" s="487" t="b">
        <v>0</v>
      </c>
      <c r="B1734" s="487"/>
      <c r="C1734" s="487" t="s">
        <v>5157</v>
      </c>
      <c r="D1734" s="502">
        <v>17</v>
      </c>
      <c r="E1734" s="490"/>
      <c r="F1734" s="493"/>
      <c r="G1734" s="492"/>
      <c r="H1734" s="502"/>
      <c r="I1734" s="493"/>
      <c r="J1734" s="493"/>
      <c r="K1734" s="487" t="str">
        <f ca="1">IFERROR(VLOOKUP(C1734,' Disaggregation - Section E '!A$618:N946,3,0),"")</f>
        <v/>
      </c>
      <c r="L1734" s="487"/>
      <c r="M1734" s="487"/>
      <c r="N1734" s="493"/>
      <c r="O1734" s="493"/>
      <c r="P1734" s="493"/>
    </row>
    <row r="1735" spans="1:16" x14ac:dyDescent="0.3">
      <c r="A1735" s="487" t="b">
        <v>0</v>
      </c>
      <c r="B1735" s="487"/>
      <c r="C1735" s="487" t="s">
        <v>5159</v>
      </c>
      <c r="D1735" s="502">
        <v>17</v>
      </c>
      <c r="E1735" s="490"/>
      <c r="F1735" s="493"/>
      <c r="G1735" s="492"/>
      <c r="H1735" s="502"/>
      <c r="I1735" s="493"/>
      <c r="J1735" s="493"/>
      <c r="K1735" s="487" t="str">
        <f ca="1">IFERROR(VLOOKUP(C1735,' Disaggregation - Section E '!A$618:N947,3,0),"")</f>
        <v/>
      </c>
      <c r="L1735" s="487"/>
      <c r="M1735" s="487"/>
      <c r="N1735" s="493"/>
      <c r="O1735" s="493"/>
      <c r="P1735" s="493"/>
    </row>
    <row r="1736" spans="1:16" x14ac:dyDescent="0.3">
      <c r="A1736" s="487" t="b">
        <v>0</v>
      </c>
      <c r="B1736" s="487"/>
      <c r="C1736" s="487" t="s">
        <v>5161</v>
      </c>
      <c r="D1736" s="502">
        <v>17</v>
      </c>
      <c r="E1736" s="490"/>
      <c r="F1736" s="493"/>
      <c r="G1736" s="492"/>
      <c r="H1736" s="502"/>
      <c r="I1736" s="493"/>
      <c r="J1736" s="493"/>
      <c r="K1736" s="487" t="str">
        <f ca="1">IFERROR(VLOOKUP(C1736,' Disaggregation - Section E '!A$618:N948,3,0),"")</f>
        <v/>
      </c>
      <c r="L1736" s="487"/>
      <c r="M1736" s="487"/>
      <c r="N1736" s="493"/>
      <c r="O1736" s="493"/>
      <c r="P1736" s="493"/>
    </row>
    <row r="1737" spans="1:16" x14ac:dyDescent="0.3">
      <c r="A1737" s="487" t="b">
        <v>0</v>
      </c>
      <c r="B1737" s="487"/>
      <c r="C1737" s="487" t="s">
        <v>5163</v>
      </c>
      <c r="D1737" s="502">
        <v>17</v>
      </c>
      <c r="E1737" s="490"/>
      <c r="F1737" s="493"/>
      <c r="G1737" s="492"/>
      <c r="H1737" s="502"/>
      <c r="I1737" s="493"/>
      <c r="J1737" s="493"/>
      <c r="K1737" s="487" t="str">
        <f ca="1">IFERROR(VLOOKUP(C1737,' Disaggregation - Section E '!A$618:N949,3,0),"")</f>
        <v/>
      </c>
      <c r="L1737" s="487"/>
      <c r="M1737" s="487"/>
      <c r="N1737" s="493"/>
      <c r="O1737" s="493"/>
      <c r="P1737" s="493"/>
    </row>
    <row r="1738" spans="1:16" x14ac:dyDescent="0.3">
      <c r="A1738" s="487" t="b">
        <v>0</v>
      </c>
      <c r="B1738" s="487"/>
      <c r="C1738" s="487" t="s">
        <v>5165</v>
      </c>
      <c r="D1738" s="502">
        <v>17</v>
      </c>
      <c r="E1738" s="490"/>
      <c r="F1738" s="493"/>
      <c r="G1738" s="492"/>
      <c r="H1738" s="502"/>
      <c r="I1738" s="493"/>
      <c r="J1738" s="493"/>
      <c r="K1738" s="487" t="str">
        <f ca="1">IFERROR(VLOOKUP(C1738,' Disaggregation - Section E '!A$618:N950,3,0),"")</f>
        <v/>
      </c>
      <c r="L1738" s="487"/>
      <c r="M1738" s="487"/>
      <c r="N1738" s="493"/>
      <c r="O1738" s="493"/>
      <c r="P1738" s="493"/>
    </row>
    <row r="1739" spans="1:16" x14ac:dyDescent="0.3">
      <c r="A1739" s="487" t="b">
        <v>0</v>
      </c>
      <c r="B1739" s="487"/>
      <c r="C1739" s="487" t="s">
        <v>5167</v>
      </c>
      <c r="D1739" s="502">
        <v>17</v>
      </c>
      <c r="E1739" s="490"/>
      <c r="F1739" s="493"/>
      <c r="G1739" s="492"/>
      <c r="H1739" s="502"/>
      <c r="I1739" s="493"/>
      <c r="J1739" s="493"/>
      <c r="K1739" s="487" t="str">
        <f ca="1">IFERROR(VLOOKUP(C1739,' Disaggregation - Section E '!A$618:N951,3,0),"")</f>
        <v/>
      </c>
      <c r="L1739" s="487"/>
      <c r="M1739" s="487"/>
      <c r="N1739" s="493"/>
      <c r="O1739" s="493"/>
      <c r="P1739" s="493"/>
    </row>
    <row r="1740" spans="1:16" x14ac:dyDescent="0.3">
      <c r="A1740" s="487" t="b">
        <v>0</v>
      </c>
      <c r="B1740" s="487"/>
      <c r="C1740" s="487" t="s">
        <v>5169</v>
      </c>
      <c r="D1740" s="502">
        <v>17</v>
      </c>
      <c r="E1740" s="490"/>
      <c r="F1740" s="493"/>
      <c r="G1740" s="492"/>
      <c r="H1740" s="502"/>
      <c r="I1740" s="493"/>
      <c r="J1740" s="493"/>
      <c r="K1740" s="487" t="str">
        <f ca="1">IFERROR(VLOOKUP(C1740,' Disaggregation - Section E '!A$618:N952,3,0),"")</f>
        <v/>
      </c>
      <c r="L1740" s="487"/>
      <c r="M1740" s="487"/>
      <c r="N1740" s="493"/>
      <c r="O1740" s="493"/>
      <c r="P1740" s="493"/>
    </row>
    <row r="1741" spans="1:16" x14ac:dyDescent="0.3">
      <c r="A1741" s="487" t="b">
        <v>0</v>
      </c>
      <c r="B1741" s="487"/>
      <c r="C1741" s="487" t="s">
        <v>5171</v>
      </c>
      <c r="D1741" s="502">
        <v>17</v>
      </c>
      <c r="E1741" s="490"/>
      <c r="F1741" s="493"/>
      <c r="G1741" s="492"/>
      <c r="H1741" s="502"/>
      <c r="I1741" s="493"/>
      <c r="J1741" s="493"/>
      <c r="K1741" s="487" t="str">
        <f ca="1">IFERROR(VLOOKUP(C1741,' Disaggregation - Section E '!A$618:N953,3,0),"")</f>
        <v/>
      </c>
      <c r="L1741" s="487"/>
      <c r="M1741" s="487"/>
      <c r="N1741" s="493"/>
      <c r="O1741" s="493"/>
      <c r="P1741" s="493"/>
    </row>
    <row r="1742" spans="1:16" x14ac:dyDescent="0.3">
      <c r="A1742" s="487" t="b">
        <v>0</v>
      </c>
      <c r="B1742" s="487"/>
      <c r="C1742" s="487" t="s">
        <v>5173</v>
      </c>
      <c r="D1742" s="502">
        <v>17</v>
      </c>
      <c r="E1742" s="490"/>
      <c r="F1742" s="493"/>
      <c r="G1742" s="492"/>
      <c r="H1742" s="502"/>
      <c r="I1742" s="493"/>
      <c r="J1742" s="493"/>
      <c r="K1742" s="487" t="str">
        <f ca="1">IFERROR(VLOOKUP(C1742,' Disaggregation - Section E '!A$618:N954,3,0),"")</f>
        <v/>
      </c>
      <c r="L1742" s="487"/>
      <c r="M1742" s="487"/>
      <c r="N1742" s="493"/>
      <c r="O1742" s="493"/>
      <c r="P1742" s="493"/>
    </row>
    <row r="1743" spans="1:16" x14ac:dyDescent="0.3">
      <c r="A1743" s="487" t="b">
        <v>0</v>
      </c>
      <c r="B1743" s="487"/>
      <c r="C1743" s="487" t="s">
        <v>5175</v>
      </c>
      <c r="D1743" s="502">
        <v>17</v>
      </c>
      <c r="E1743" s="490"/>
      <c r="F1743" s="493"/>
      <c r="G1743" s="492"/>
      <c r="H1743" s="502"/>
      <c r="I1743" s="493"/>
      <c r="J1743" s="493"/>
      <c r="K1743" s="487" t="str">
        <f ca="1">IFERROR(VLOOKUP(C1743,' Disaggregation - Section E '!A$618:N955,3,0),"")</f>
        <v/>
      </c>
      <c r="L1743" s="487"/>
      <c r="M1743" s="487"/>
      <c r="N1743" s="493"/>
      <c r="O1743" s="493"/>
      <c r="P1743" s="493"/>
    </row>
    <row r="1744" spans="1:16" x14ac:dyDescent="0.3">
      <c r="A1744" s="487" t="b">
        <v>0</v>
      </c>
      <c r="B1744" s="487"/>
      <c r="C1744" s="487" t="s">
        <v>5177</v>
      </c>
      <c r="D1744" s="502">
        <v>17</v>
      </c>
      <c r="E1744" s="490"/>
      <c r="F1744" s="493"/>
      <c r="G1744" s="492"/>
      <c r="H1744" s="502"/>
      <c r="I1744" s="493"/>
      <c r="J1744" s="493"/>
      <c r="K1744" s="487" t="str">
        <f ca="1">IFERROR(VLOOKUP(C1744,' Disaggregation - Section E '!A$618:N956,3,0),"")</f>
        <v/>
      </c>
      <c r="L1744" s="487"/>
      <c r="M1744" s="487"/>
      <c r="N1744" s="493"/>
      <c r="O1744" s="493"/>
      <c r="P1744" s="493"/>
    </row>
    <row r="1745" spans="1:16" x14ac:dyDescent="0.3">
      <c r="A1745" s="487" t="b">
        <v>0</v>
      </c>
      <c r="B1745" s="487"/>
      <c r="C1745" s="487" t="s">
        <v>5179</v>
      </c>
      <c r="D1745" s="502">
        <v>17</v>
      </c>
      <c r="E1745" s="490"/>
      <c r="F1745" s="493"/>
      <c r="G1745" s="492"/>
      <c r="H1745" s="502"/>
      <c r="I1745" s="493"/>
      <c r="J1745" s="493"/>
      <c r="K1745" s="487" t="str">
        <f ca="1">IFERROR(VLOOKUP(C1745,' Disaggregation - Section E '!A$618:N957,3,0),"")</f>
        <v/>
      </c>
      <c r="L1745" s="487"/>
      <c r="M1745" s="487"/>
      <c r="N1745" s="493"/>
      <c r="O1745" s="493"/>
      <c r="P1745" s="493"/>
    </row>
    <row r="1746" spans="1:16" x14ac:dyDescent="0.3">
      <c r="A1746" s="487" t="b">
        <v>0</v>
      </c>
      <c r="B1746" s="487"/>
      <c r="C1746" s="487" t="s">
        <v>5181</v>
      </c>
      <c r="D1746" s="502">
        <v>17</v>
      </c>
      <c r="E1746" s="490"/>
      <c r="F1746" s="493"/>
      <c r="G1746" s="492"/>
      <c r="H1746" s="502"/>
      <c r="I1746" s="493"/>
      <c r="J1746" s="493"/>
      <c r="K1746" s="487" t="str">
        <f ca="1">IFERROR(VLOOKUP(C1746,' Disaggregation - Section E '!A$618:N958,3,0),"")</f>
        <v/>
      </c>
      <c r="L1746" s="487"/>
      <c r="M1746" s="487"/>
      <c r="N1746" s="493"/>
      <c r="O1746" s="493"/>
      <c r="P1746" s="493"/>
    </row>
    <row r="1747" spans="1:16" x14ac:dyDescent="0.3">
      <c r="A1747" s="487" t="b">
        <v>0</v>
      </c>
      <c r="B1747" s="487"/>
      <c r="C1747" s="487" t="s">
        <v>5183</v>
      </c>
      <c r="D1747" s="502">
        <v>17</v>
      </c>
      <c r="E1747" s="490"/>
      <c r="F1747" s="493"/>
      <c r="G1747" s="492"/>
      <c r="H1747" s="502"/>
      <c r="I1747" s="493"/>
      <c r="J1747" s="493"/>
      <c r="K1747" s="487" t="str">
        <f ca="1">IFERROR(VLOOKUP(C1747,' Disaggregation - Section E '!A$618:N959,3,0),"")</f>
        <v/>
      </c>
      <c r="L1747" s="487"/>
      <c r="M1747" s="487"/>
      <c r="N1747" s="493"/>
      <c r="O1747" s="493"/>
      <c r="P1747" s="493"/>
    </row>
    <row r="1748" spans="1:16" x14ac:dyDescent="0.3">
      <c r="A1748" s="487" t="b">
        <v>0</v>
      </c>
      <c r="B1748" s="487"/>
      <c r="C1748" s="487" t="s">
        <v>5185</v>
      </c>
      <c r="D1748" s="502">
        <v>17</v>
      </c>
      <c r="E1748" s="490"/>
      <c r="F1748" s="493"/>
      <c r="G1748" s="492"/>
      <c r="H1748" s="502"/>
      <c r="I1748" s="493"/>
      <c r="J1748" s="493"/>
      <c r="K1748" s="487" t="str">
        <f ca="1">IFERROR(VLOOKUP(C1748,' Disaggregation - Section E '!A$618:N960,3,0),"")</f>
        <v/>
      </c>
      <c r="L1748" s="487"/>
      <c r="M1748" s="487"/>
      <c r="N1748" s="493"/>
      <c r="O1748" s="493"/>
      <c r="P1748" s="493"/>
    </row>
    <row r="1749" spans="1:16" x14ac:dyDescent="0.3">
      <c r="A1749" s="487" t="b">
        <v>0</v>
      </c>
      <c r="B1749" s="487"/>
      <c r="C1749" s="487" t="s">
        <v>5187</v>
      </c>
      <c r="D1749" s="502">
        <v>17</v>
      </c>
      <c r="E1749" s="490"/>
      <c r="F1749" s="493"/>
      <c r="G1749" s="492"/>
      <c r="H1749" s="502"/>
      <c r="I1749" s="493"/>
      <c r="J1749" s="493"/>
      <c r="K1749" s="487" t="str">
        <f ca="1">IFERROR(VLOOKUP(C1749,' Disaggregation - Section E '!A$618:N961,3,0),"")</f>
        <v/>
      </c>
      <c r="L1749" s="487"/>
      <c r="M1749" s="487"/>
      <c r="N1749" s="493"/>
      <c r="O1749" s="493"/>
      <c r="P1749" s="493"/>
    </row>
    <row r="1750" spans="1:16" x14ac:dyDescent="0.3">
      <c r="A1750" s="487" t="b">
        <v>0</v>
      </c>
      <c r="B1750" s="487"/>
      <c r="C1750" s="487" t="s">
        <v>5189</v>
      </c>
      <c r="D1750" s="502">
        <v>17</v>
      </c>
      <c r="E1750" s="490"/>
      <c r="F1750" s="493"/>
      <c r="G1750" s="492"/>
      <c r="H1750" s="502"/>
      <c r="I1750" s="493"/>
      <c r="J1750" s="493"/>
      <c r="K1750" s="487" t="str">
        <f ca="1">IFERROR(VLOOKUP(C1750,' Disaggregation - Section E '!A$618:N962,3,0),"")</f>
        <v/>
      </c>
      <c r="L1750" s="487"/>
      <c r="M1750" s="487"/>
      <c r="N1750" s="493"/>
      <c r="O1750" s="493"/>
      <c r="P1750" s="493"/>
    </row>
    <row r="1751" spans="1:16" x14ac:dyDescent="0.3">
      <c r="A1751" s="487" t="b">
        <v>0</v>
      </c>
      <c r="B1751" s="487"/>
      <c r="C1751" s="487" t="s">
        <v>5191</v>
      </c>
      <c r="D1751" s="502">
        <v>17</v>
      </c>
      <c r="E1751" s="490"/>
      <c r="F1751" s="493"/>
      <c r="G1751" s="492"/>
      <c r="H1751" s="502"/>
      <c r="I1751" s="493"/>
      <c r="J1751" s="493"/>
      <c r="K1751" s="487" t="str">
        <f ca="1">IFERROR(VLOOKUP(C1751,' Disaggregation - Section E '!A$618:N963,3,0),"")</f>
        <v/>
      </c>
      <c r="L1751" s="487"/>
      <c r="M1751" s="487"/>
      <c r="N1751" s="493"/>
      <c r="O1751" s="493"/>
      <c r="P1751" s="493"/>
    </row>
    <row r="1752" spans="1:16" x14ac:dyDescent="0.3">
      <c r="A1752" s="487" t="b">
        <v>0</v>
      </c>
      <c r="B1752" s="487"/>
      <c r="C1752" s="487" t="s">
        <v>5194</v>
      </c>
      <c r="D1752" s="502">
        <v>18</v>
      </c>
      <c r="E1752" s="490"/>
      <c r="F1752" s="493"/>
      <c r="G1752" s="492"/>
      <c r="H1752" s="502"/>
      <c r="I1752" s="493"/>
      <c r="J1752" s="493"/>
      <c r="K1752" s="487" t="str">
        <f ca="1">IFERROR(VLOOKUP(C1752,' Disaggregation - Section E '!A$618:N964,3,0),"")</f>
        <v/>
      </c>
      <c r="L1752" s="487"/>
      <c r="M1752" s="487"/>
      <c r="N1752" s="493"/>
      <c r="O1752" s="493"/>
      <c r="P1752" s="493"/>
    </row>
    <row r="1753" spans="1:16" x14ac:dyDescent="0.3">
      <c r="A1753" s="487" t="b">
        <v>0</v>
      </c>
      <c r="B1753" s="487"/>
      <c r="C1753" s="487" t="s">
        <v>5196</v>
      </c>
      <c r="D1753" s="502">
        <v>18</v>
      </c>
      <c r="E1753" s="490"/>
      <c r="F1753" s="493"/>
      <c r="G1753" s="492"/>
      <c r="H1753" s="502"/>
      <c r="I1753" s="493"/>
      <c r="J1753" s="493"/>
      <c r="K1753" s="487" t="str">
        <f ca="1">IFERROR(VLOOKUP(C1753,' Disaggregation - Section E '!A$618:N965,3,0),"")</f>
        <v/>
      </c>
      <c r="L1753" s="487"/>
      <c r="M1753" s="487"/>
      <c r="N1753" s="493"/>
      <c r="O1753" s="493"/>
      <c r="P1753" s="493"/>
    </row>
    <row r="1754" spans="1:16" x14ac:dyDescent="0.3">
      <c r="A1754" s="487" t="b">
        <v>0</v>
      </c>
      <c r="B1754" s="487"/>
      <c r="C1754" s="487" t="s">
        <v>5198</v>
      </c>
      <c r="D1754" s="502">
        <v>18</v>
      </c>
      <c r="E1754" s="490"/>
      <c r="F1754" s="493"/>
      <c r="G1754" s="492"/>
      <c r="H1754" s="502"/>
      <c r="I1754" s="493"/>
      <c r="J1754" s="493"/>
      <c r="K1754" s="487" t="str">
        <f ca="1">IFERROR(VLOOKUP(C1754,' Disaggregation - Section E '!A$618:N966,3,0),"")</f>
        <v/>
      </c>
      <c r="L1754" s="487"/>
      <c r="M1754" s="487"/>
      <c r="N1754" s="493"/>
      <c r="O1754" s="493"/>
      <c r="P1754" s="493"/>
    </row>
    <row r="1755" spans="1:16" x14ac:dyDescent="0.3">
      <c r="A1755" s="487" t="b">
        <v>0</v>
      </c>
      <c r="B1755" s="487"/>
      <c r="C1755" s="487" t="s">
        <v>5200</v>
      </c>
      <c r="D1755" s="502">
        <v>18</v>
      </c>
      <c r="E1755" s="490"/>
      <c r="F1755" s="493"/>
      <c r="G1755" s="492"/>
      <c r="H1755" s="502"/>
      <c r="I1755" s="493"/>
      <c r="J1755" s="493"/>
      <c r="K1755" s="487" t="str">
        <f ca="1">IFERROR(VLOOKUP(C1755,' Disaggregation - Section E '!A$618:N967,3,0),"")</f>
        <v/>
      </c>
      <c r="L1755" s="487"/>
      <c r="M1755" s="487"/>
      <c r="N1755" s="493"/>
      <c r="O1755" s="493"/>
      <c r="P1755" s="493"/>
    </row>
    <row r="1756" spans="1:16" x14ac:dyDescent="0.3">
      <c r="A1756" s="487" t="b">
        <v>0</v>
      </c>
      <c r="B1756" s="487"/>
      <c r="C1756" s="487" t="s">
        <v>5202</v>
      </c>
      <c r="D1756" s="502">
        <v>18</v>
      </c>
      <c r="E1756" s="490"/>
      <c r="F1756" s="493"/>
      <c r="G1756" s="492"/>
      <c r="H1756" s="502"/>
      <c r="I1756" s="493"/>
      <c r="J1756" s="493"/>
      <c r="K1756" s="487" t="str">
        <f ca="1">IFERROR(VLOOKUP(C1756,' Disaggregation - Section E '!A$618:N968,3,0),"")</f>
        <v/>
      </c>
      <c r="L1756" s="487"/>
      <c r="M1756" s="487"/>
      <c r="N1756" s="493"/>
      <c r="O1756" s="493"/>
      <c r="P1756" s="493"/>
    </row>
    <row r="1757" spans="1:16" x14ac:dyDescent="0.3">
      <c r="A1757" s="487" t="b">
        <v>0</v>
      </c>
      <c r="B1757" s="487"/>
      <c r="C1757" s="487" t="s">
        <v>5204</v>
      </c>
      <c r="D1757" s="502">
        <v>18</v>
      </c>
      <c r="E1757" s="490"/>
      <c r="F1757" s="493"/>
      <c r="G1757" s="492"/>
      <c r="H1757" s="502"/>
      <c r="I1757" s="493"/>
      <c r="J1757" s="493"/>
      <c r="K1757" s="487" t="str">
        <f ca="1">IFERROR(VLOOKUP(C1757,' Disaggregation - Section E '!A$618:N969,3,0),"")</f>
        <v/>
      </c>
      <c r="L1757" s="487"/>
      <c r="M1757" s="487"/>
      <c r="N1757" s="493"/>
      <c r="O1757" s="493"/>
      <c r="P1757" s="493"/>
    </row>
    <row r="1758" spans="1:16" x14ac:dyDescent="0.3">
      <c r="A1758" s="487" t="b">
        <v>0</v>
      </c>
      <c r="B1758" s="487"/>
      <c r="C1758" s="487" t="s">
        <v>5206</v>
      </c>
      <c r="D1758" s="502">
        <v>18</v>
      </c>
      <c r="E1758" s="490"/>
      <c r="F1758" s="493"/>
      <c r="G1758" s="492"/>
      <c r="H1758" s="502"/>
      <c r="I1758" s="493"/>
      <c r="J1758" s="493"/>
      <c r="K1758" s="487" t="str">
        <f ca="1">IFERROR(VLOOKUP(C1758,' Disaggregation - Section E '!A$618:N970,3,0),"")</f>
        <v/>
      </c>
      <c r="L1758" s="487"/>
      <c r="M1758" s="487"/>
      <c r="N1758" s="493"/>
      <c r="O1758" s="493"/>
      <c r="P1758" s="493"/>
    </row>
    <row r="1759" spans="1:16" x14ac:dyDescent="0.3">
      <c r="A1759" s="487" t="b">
        <v>0</v>
      </c>
      <c r="B1759" s="487"/>
      <c r="C1759" s="487" t="s">
        <v>5208</v>
      </c>
      <c r="D1759" s="502">
        <v>18</v>
      </c>
      <c r="E1759" s="490"/>
      <c r="F1759" s="493"/>
      <c r="G1759" s="492"/>
      <c r="H1759" s="502"/>
      <c r="I1759" s="493"/>
      <c r="J1759" s="493"/>
      <c r="K1759" s="487" t="str">
        <f ca="1">IFERROR(VLOOKUP(C1759,' Disaggregation - Section E '!A$618:N971,3,0),"")</f>
        <v/>
      </c>
      <c r="L1759" s="487"/>
      <c r="M1759" s="487"/>
      <c r="N1759" s="493"/>
      <c r="O1759" s="493"/>
      <c r="P1759" s="493"/>
    </row>
    <row r="1760" spans="1:16" x14ac:dyDescent="0.3">
      <c r="A1760" s="487" t="b">
        <v>0</v>
      </c>
      <c r="B1760" s="487"/>
      <c r="C1760" s="487" t="s">
        <v>5210</v>
      </c>
      <c r="D1760" s="502">
        <v>18</v>
      </c>
      <c r="E1760" s="490"/>
      <c r="F1760" s="493"/>
      <c r="G1760" s="492"/>
      <c r="H1760" s="502"/>
      <c r="I1760" s="493"/>
      <c r="J1760" s="493"/>
      <c r="K1760" s="487" t="str">
        <f ca="1">IFERROR(VLOOKUP(C1760,' Disaggregation - Section E '!A$618:N972,3,0),"")</f>
        <v/>
      </c>
      <c r="L1760" s="487"/>
      <c r="M1760" s="487"/>
      <c r="N1760" s="493"/>
      <c r="O1760" s="493"/>
      <c r="P1760" s="493"/>
    </row>
    <row r="1761" spans="1:16" x14ac:dyDescent="0.3">
      <c r="A1761" s="487" t="b">
        <v>0</v>
      </c>
      <c r="B1761" s="487"/>
      <c r="C1761" s="487" t="s">
        <v>5212</v>
      </c>
      <c r="D1761" s="502">
        <v>18</v>
      </c>
      <c r="E1761" s="490"/>
      <c r="F1761" s="493"/>
      <c r="G1761" s="492"/>
      <c r="H1761" s="502"/>
      <c r="I1761" s="493"/>
      <c r="J1761" s="493"/>
      <c r="K1761" s="487" t="str">
        <f ca="1">IFERROR(VLOOKUP(C1761,' Disaggregation - Section E '!A$618:N973,3,0),"")</f>
        <v/>
      </c>
      <c r="L1761" s="487"/>
      <c r="M1761" s="487"/>
      <c r="N1761" s="493"/>
      <c r="O1761" s="493"/>
      <c r="P1761" s="493"/>
    </row>
    <row r="1762" spans="1:16" x14ac:dyDescent="0.3">
      <c r="A1762" s="487" t="b">
        <v>0</v>
      </c>
      <c r="B1762" s="487"/>
      <c r="C1762" s="487" t="s">
        <v>5214</v>
      </c>
      <c r="D1762" s="502">
        <v>18</v>
      </c>
      <c r="E1762" s="490"/>
      <c r="F1762" s="493"/>
      <c r="G1762" s="492"/>
      <c r="H1762" s="502"/>
      <c r="I1762" s="493"/>
      <c r="J1762" s="493"/>
      <c r="K1762" s="487" t="str">
        <f ca="1">IFERROR(VLOOKUP(C1762,' Disaggregation - Section E '!A$618:N974,3,0),"")</f>
        <v/>
      </c>
      <c r="L1762" s="487"/>
      <c r="M1762" s="487"/>
      <c r="N1762" s="493"/>
      <c r="O1762" s="493"/>
      <c r="P1762" s="493"/>
    </row>
    <row r="1763" spans="1:16" x14ac:dyDescent="0.3">
      <c r="A1763" s="487" t="b">
        <v>0</v>
      </c>
      <c r="B1763" s="487"/>
      <c r="C1763" s="487" t="s">
        <v>5216</v>
      </c>
      <c r="D1763" s="502">
        <v>18</v>
      </c>
      <c r="E1763" s="490"/>
      <c r="F1763" s="493"/>
      <c r="G1763" s="492"/>
      <c r="H1763" s="502"/>
      <c r="I1763" s="493"/>
      <c r="J1763" s="493"/>
      <c r="K1763" s="487" t="str">
        <f ca="1">IFERROR(VLOOKUP(C1763,' Disaggregation - Section E '!A$618:N975,3,0),"")</f>
        <v/>
      </c>
      <c r="L1763" s="487"/>
      <c r="M1763" s="487"/>
      <c r="N1763" s="493"/>
      <c r="O1763" s="493"/>
      <c r="P1763" s="493"/>
    </row>
    <row r="1764" spans="1:16" x14ac:dyDescent="0.3">
      <c r="A1764" s="487" t="b">
        <v>0</v>
      </c>
      <c r="B1764" s="487"/>
      <c r="C1764" s="487" t="s">
        <v>5218</v>
      </c>
      <c r="D1764" s="502">
        <v>18</v>
      </c>
      <c r="E1764" s="490"/>
      <c r="F1764" s="493"/>
      <c r="G1764" s="492"/>
      <c r="H1764" s="502"/>
      <c r="I1764" s="493"/>
      <c r="J1764" s="493"/>
      <c r="K1764" s="487" t="str">
        <f ca="1">IFERROR(VLOOKUP(C1764,' Disaggregation - Section E '!A$618:N976,3,0),"")</f>
        <v/>
      </c>
      <c r="L1764" s="487"/>
      <c r="M1764" s="487"/>
      <c r="N1764" s="493"/>
      <c r="O1764" s="493"/>
      <c r="P1764" s="493"/>
    </row>
    <row r="1765" spans="1:16" x14ac:dyDescent="0.3">
      <c r="A1765" s="487" t="b">
        <v>0</v>
      </c>
      <c r="B1765" s="487"/>
      <c r="C1765" s="487" t="s">
        <v>5220</v>
      </c>
      <c r="D1765" s="502">
        <v>18</v>
      </c>
      <c r="E1765" s="490"/>
      <c r="F1765" s="493"/>
      <c r="G1765" s="492"/>
      <c r="H1765" s="502"/>
      <c r="I1765" s="493"/>
      <c r="J1765" s="493"/>
      <c r="K1765" s="487" t="str">
        <f ca="1">IFERROR(VLOOKUP(C1765,' Disaggregation - Section E '!A$618:N977,3,0),"")</f>
        <v/>
      </c>
      <c r="L1765" s="487"/>
      <c r="M1765" s="487"/>
      <c r="N1765" s="493"/>
      <c r="O1765" s="493"/>
      <c r="P1765" s="493"/>
    </row>
    <row r="1766" spans="1:16" x14ac:dyDescent="0.3">
      <c r="A1766" s="487" t="b">
        <v>0</v>
      </c>
      <c r="B1766" s="487"/>
      <c r="C1766" s="487" t="s">
        <v>5222</v>
      </c>
      <c r="D1766" s="502">
        <v>18</v>
      </c>
      <c r="E1766" s="490"/>
      <c r="F1766" s="493"/>
      <c r="G1766" s="492"/>
      <c r="H1766" s="502"/>
      <c r="I1766" s="493"/>
      <c r="J1766" s="493"/>
      <c r="K1766" s="487" t="str">
        <f ca="1">IFERROR(VLOOKUP(C1766,' Disaggregation - Section E '!A$618:N978,3,0),"")</f>
        <v/>
      </c>
      <c r="L1766" s="487"/>
      <c r="M1766" s="487"/>
      <c r="N1766" s="493"/>
      <c r="O1766" s="493"/>
      <c r="P1766" s="493"/>
    </row>
    <row r="1767" spans="1:16" x14ac:dyDescent="0.3">
      <c r="A1767" s="487" t="b">
        <v>0</v>
      </c>
      <c r="B1767" s="487"/>
      <c r="C1767" s="487" t="s">
        <v>5224</v>
      </c>
      <c r="D1767" s="502">
        <v>18</v>
      </c>
      <c r="E1767" s="490"/>
      <c r="F1767" s="493"/>
      <c r="G1767" s="492"/>
      <c r="H1767" s="502"/>
      <c r="I1767" s="493"/>
      <c r="J1767" s="493"/>
      <c r="K1767" s="487" t="str">
        <f ca="1">IFERROR(VLOOKUP(C1767,' Disaggregation - Section E '!A$618:N979,3,0),"")</f>
        <v/>
      </c>
      <c r="L1767" s="487"/>
      <c r="M1767" s="487"/>
      <c r="N1767" s="493"/>
      <c r="O1767" s="493"/>
      <c r="P1767" s="493"/>
    </row>
    <row r="1768" spans="1:16" x14ac:dyDescent="0.3">
      <c r="A1768" s="487" t="b">
        <v>0</v>
      </c>
      <c r="B1768" s="487"/>
      <c r="C1768" s="487" t="s">
        <v>5226</v>
      </c>
      <c r="D1768" s="502">
        <v>18</v>
      </c>
      <c r="E1768" s="490"/>
      <c r="F1768" s="493"/>
      <c r="G1768" s="492"/>
      <c r="H1768" s="502"/>
      <c r="I1768" s="493"/>
      <c r="J1768" s="493"/>
      <c r="K1768" s="487" t="str">
        <f ca="1">IFERROR(VLOOKUP(C1768,' Disaggregation - Section E '!A$618:N980,3,0),"")</f>
        <v/>
      </c>
      <c r="L1768" s="487"/>
      <c r="M1768" s="487"/>
      <c r="N1768" s="493"/>
      <c r="O1768" s="493"/>
      <c r="P1768" s="493"/>
    </row>
    <row r="1769" spans="1:16" x14ac:dyDescent="0.3">
      <c r="A1769" s="487" t="b">
        <v>0</v>
      </c>
      <c r="B1769" s="487"/>
      <c r="C1769" s="487" t="s">
        <v>5228</v>
      </c>
      <c r="D1769" s="502">
        <v>18</v>
      </c>
      <c r="E1769" s="490"/>
      <c r="F1769" s="493"/>
      <c r="G1769" s="492"/>
      <c r="H1769" s="502"/>
      <c r="I1769" s="493"/>
      <c r="J1769" s="493"/>
      <c r="K1769" s="487" t="str">
        <f ca="1">IFERROR(VLOOKUP(C1769,' Disaggregation - Section E '!A$618:N981,3,0),"")</f>
        <v/>
      </c>
      <c r="L1769" s="487"/>
      <c r="M1769" s="487"/>
      <c r="N1769" s="493"/>
      <c r="O1769" s="493"/>
      <c r="P1769" s="493"/>
    </row>
    <row r="1770" spans="1:16" x14ac:dyDescent="0.3">
      <c r="A1770" s="487" t="b">
        <v>0</v>
      </c>
      <c r="B1770" s="487"/>
      <c r="C1770" s="487" t="s">
        <v>5230</v>
      </c>
      <c r="D1770" s="502">
        <v>18</v>
      </c>
      <c r="E1770" s="490"/>
      <c r="F1770" s="493"/>
      <c r="G1770" s="492"/>
      <c r="H1770" s="502"/>
      <c r="I1770" s="493"/>
      <c r="J1770" s="493"/>
      <c r="K1770" s="487" t="str">
        <f ca="1">IFERROR(VLOOKUP(C1770,' Disaggregation - Section E '!A$618:N982,3,0),"")</f>
        <v/>
      </c>
      <c r="L1770" s="487"/>
      <c r="M1770" s="487"/>
      <c r="N1770" s="493"/>
      <c r="O1770" s="493"/>
      <c r="P1770" s="493"/>
    </row>
    <row r="1771" spans="1:16" x14ac:dyDescent="0.3">
      <c r="A1771" s="487" t="b">
        <v>0</v>
      </c>
      <c r="B1771" s="487"/>
      <c r="C1771" s="487" t="s">
        <v>5232</v>
      </c>
      <c r="D1771" s="502">
        <v>18</v>
      </c>
      <c r="E1771" s="490"/>
      <c r="F1771" s="493"/>
      <c r="G1771" s="492"/>
      <c r="H1771" s="502"/>
      <c r="I1771" s="493"/>
      <c r="J1771" s="493"/>
      <c r="K1771" s="487" t="str">
        <f ca="1">IFERROR(VLOOKUP(C1771,' Disaggregation - Section E '!A$618:N983,3,0),"")</f>
        <v/>
      </c>
      <c r="L1771" s="487"/>
      <c r="M1771" s="487"/>
      <c r="N1771" s="493"/>
      <c r="O1771" s="493"/>
      <c r="P1771" s="493"/>
    </row>
    <row r="1772" spans="1:16" x14ac:dyDescent="0.3">
      <c r="A1772" s="487" t="b">
        <v>0</v>
      </c>
      <c r="B1772" s="487"/>
      <c r="C1772" s="487" t="s">
        <v>5235</v>
      </c>
      <c r="D1772" s="502">
        <v>19</v>
      </c>
      <c r="E1772" s="490"/>
      <c r="F1772" s="493"/>
      <c r="G1772" s="492"/>
      <c r="H1772" s="502"/>
      <c r="I1772" s="493"/>
      <c r="J1772" s="493"/>
      <c r="K1772" s="487" t="str">
        <f ca="1">IFERROR(VLOOKUP(C1772,' Disaggregation - Section E '!A$618:N984,3,0),"")</f>
        <v/>
      </c>
      <c r="L1772" s="487"/>
      <c r="M1772" s="487"/>
      <c r="N1772" s="493"/>
      <c r="O1772" s="493"/>
      <c r="P1772" s="493"/>
    </row>
    <row r="1773" spans="1:16" x14ac:dyDescent="0.3">
      <c r="A1773" s="487" t="b">
        <v>0</v>
      </c>
      <c r="B1773" s="487"/>
      <c r="C1773" s="487" t="s">
        <v>5237</v>
      </c>
      <c r="D1773" s="502">
        <v>19</v>
      </c>
      <c r="E1773" s="490"/>
      <c r="F1773" s="493"/>
      <c r="G1773" s="492"/>
      <c r="H1773" s="502"/>
      <c r="I1773" s="493"/>
      <c r="J1773" s="493"/>
      <c r="K1773" s="487" t="str">
        <f ca="1">IFERROR(VLOOKUP(C1773,' Disaggregation - Section E '!A$618:N985,3,0),"")</f>
        <v/>
      </c>
      <c r="L1773" s="487"/>
      <c r="M1773" s="487"/>
      <c r="N1773" s="493"/>
      <c r="O1773" s="493"/>
      <c r="P1773" s="493"/>
    </row>
    <row r="1774" spans="1:16" x14ac:dyDescent="0.3">
      <c r="A1774" s="487" t="b">
        <v>0</v>
      </c>
      <c r="B1774" s="487"/>
      <c r="C1774" s="487" t="s">
        <v>5239</v>
      </c>
      <c r="D1774" s="502">
        <v>19</v>
      </c>
      <c r="E1774" s="490"/>
      <c r="F1774" s="493"/>
      <c r="G1774" s="492"/>
      <c r="H1774" s="502"/>
      <c r="I1774" s="493"/>
      <c r="J1774" s="493"/>
      <c r="K1774" s="487" t="str">
        <f ca="1">IFERROR(VLOOKUP(C1774,' Disaggregation - Section E '!A$618:N986,3,0),"")</f>
        <v/>
      </c>
      <c r="L1774" s="487"/>
      <c r="M1774" s="487"/>
      <c r="N1774" s="493"/>
      <c r="O1774" s="493"/>
      <c r="P1774" s="493"/>
    </row>
    <row r="1775" spans="1:16" x14ac:dyDescent="0.3">
      <c r="A1775" s="487" t="b">
        <v>0</v>
      </c>
      <c r="B1775" s="487"/>
      <c r="C1775" s="487" t="s">
        <v>5241</v>
      </c>
      <c r="D1775" s="502">
        <v>19</v>
      </c>
      <c r="E1775" s="490"/>
      <c r="F1775" s="493"/>
      <c r="G1775" s="492"/>
      <c r="H1775" s="502"/>
      <c r="I1775" s="493"/>
      <c r="J1775" s="493"/>
      <c r="K1775" s="487" t="str">
        <f ca="1">IFERROR(VLOOKUP(C1775,' Disaggregation - Section E '!A$618:N987,3,0),"")</f>
        <v/>
      </c>
      <c r="L1775" s="487"/>
      <c r="M1775" s="487"/>
      <c r="N1775" s="493"/>
      <c r="O1775" s="493"/>
      <c r="P1775" s="493"/>
    </row>
    <row r="1776" spans="1:16" x14ac:dyDescent="0.3">
      <c r="A1776" s="487" t="b">
        <v>0</v>
      </c>
      <c r="B1776" s="487"/>
      <c r="C1776" s="487" t="s">
        <v>5243</v>
      </c>
      <c r="D1776" s="502">
        <v>19</v>
      </c>
      <c r="E1776" s="490"/>
      <c r="F1776" s="493"/>
      <c r="G1776" s="492"/>
      <c r="H1776" s="502"/>
      <c r="I1776" s="493"/>
      <c r="J1776" s="493"/>
      <c r="K1776" s="487" t="str">
        <f ca="1">IFERROR(VLOOKUP(C1776,' Disaggregation - Section E '!A$618:N988,3,0),"")</f>
        <v/>
      </c>
      <c r="L1776" s="487"/>
      <c r="M1776" s="487"/>
      <c r="N1776" s="493"/>
      <c r="O1776" s="493"/>
      <c r="P1776" s="493"/>
    </row>
    <row r="1777" spans="1:16" x14ac:dyDescent="0.3">
      <c r="A1777" s="487" t="b">
        <v>0</v>
      </c>
      <c r="B1777" s="487"/>
      <c r="C1777" s="487" t="s">
        <v>5245</v>
      </c>
      <c r="D1777" s="502">
        <v>19</v>
      </c>
      <c r="E1777" s="490"/>
      <c r="F1777" s="493"/>
      <c r="G1777" s="492"/>
      <c r="H1777" s="502"/>
      <c r="I1777" s="493"/>
      <c r="J1777" s="493"/>
      <c r="K1777" s="487" t="str">
        <f ca="1">IFERROR(VLOOKUP(C1777,' Disaggregation - Section E '!A$618:N989,3,0),"")</f>
        <v/>
      </c>
      <c r="L1777" s="487"/>
      <c r="M1777" s="487"/>
      <c r="N1777" s="493"/>
      <c r="O1777" s="493"/>
      <c r="P1777" s="493"/>
    </row>
    <row r="1778" spans="1:16" x14ac:dyDescent="0.3">
      <c r="A1778" s="487" t="b">
        <v>0</v>
      </c>
      <c r="B1778" s="487"/>
      <c r="C1778" s="487" t="s">
        <v>5247</v>
      </c>
      <c r="D1778" s="502">
        <v>19</v>
      </c>
      <c r="E1778" s="490"/>
      <c r="F1778" s="493"/>
      <c r="G1778" s="492"/>
      <c r="H1778" s="502"/>
      <c r="I1778" s="493"/>
      <c r="J1778" s="493"/>
      <c r="K1778" s="487" t="str">
        <f ca="1">IFERROR(VLOOKUP(C1778,' Disaggregation - Section E '!A$618:N990,3,0),"")</f>
        <v/>
      </c>
      <c r="L1778" s="487"/>
      <c r="M1778" s="487"/>
      <c r="N1778" s="493"/>
      <c r="O1778" s="493"/>
      <c r="P1778" s="493"/>
    </row>
    <row r="1779" spans="1:16" x14ac:dyDescent="0.3">
      <c r="A1779" s="487" t="b">
        <v>0</v>
      </c>
      <c r="B1779" s="487"/>
      <c r="C1779" s="487" t="s">
        <v>5249</v>
      </c>
      <c r="D1779" s="502">
        <v>19</v>
      </c>
      <c r="E1779" s="490"/>
      <c r="F1779" s="493"/>
      <c r="G1779" s="492"/>
      <c r="H1779" s="502"/>
      <c r="I1779" s="493"/>
      <c r="J1779" s="493"/>
      <c r="K1779" s="487" t="str">
        <f ca="1">IFERROR(VLOOKUP(C1779,' Disaggregation - Section E '!A$618:N991,3,0),"")</f>
        <v/>
      </c>
      <c r="L1779" s="487"/>
      <c r="M1779" s="487"/>
      <c r="N1779" s="493"/>
      <c r="O1779" s="493"/>
      <c r="P1779" s="493"/>
    </row>
    <row r="1780" spans="1:16" x14ac:dyDescent="0.3">
      <c r="A1780" s="487" t="b">
        <v>0</v>
      </c>
      <c r="B1780" s="487"/>
      <c r="C1780" s="487" t="s">
        <v>5251</v>
      </c>
      <c r="D1780" s="502">
        <v>19</v>
      </c>
      <c r="E1780" s="490"/>
      <c r="F1780" s="493"/>
      <c r="G1780" s="492"/>
      <c r="H1780" s="502"/>
      <c r="I1780" s="493"/>
      <c r="J1780" s="493"/>
      <c r="K1780" s="487" t="str">
        <f ca="1">IFERROR(VLOOKUP(C1780,' Disaggregation - Section E '!A$618:N992,3,0),"")</f>
        <v/>
      </c>
      <c r="L1780" s="487"/>
      <c r="M1780" s="487"/>
      <c r="N1780" s="493"/>
      <c r="O1780" s="493"/>
      <c r="P1780" s="493"/>
    </row>
    <row r="1781" spans="1:16" x14ac:dyDescent="0.3">
      <c r="A1781" s="487" t="b">
        <v>0</v>
      </c>
      <c r="B1781" s="487"/>
      <c r="C1781" s="487" t="s">
        <v>5253</v>
      </c>
      <c r="D1781" s="502">
        <v>19</v>
      </c>
      <c r="E1781" s="490"/>
      <c r="F1781" s="493"/>
      <c r="G1781" s="492"/>
      <c r="H1781" s="502"/>
      <c r="I1781" s="493"/>
      <c r="J1781" s="493"/>
      <c r="K1781" s="487" t="str">
        <f ca="1">IFERROR(VLOOKUP(C1781,' Disaggregation - Section E '!A$618:N993,3,0),"")</f>
        <v/>
      </c>
      <c r="L1781" s="487"/>
      <c r="M1781" s="487"/>
      <c r="N1781" s="493"/>
      <c r="O1781" s="493"/>
      <c r="P1781" s="493"/>
    </row>
    <row r="1782" spans="1:16" x14ac:dyDescent="0.3">
      <c r="A1782" s="487" t="b">
        <v>0</v>
      </c>
      <c r="B1782" s="487"/>
      <c r="C1782" s="487" t="s">
        <v>5255</v>
      </c>
      <c r="D1782" s="502">
        <v>19</v>
      </c>
      <c r="E1782" s="490"/>
      <c r="F1782" s="493"/>
      <c r="G1782" s="492"/>
      <c r="H1782" s="502"/>
      <c r="I1782" s="493"/>
      <c r="J1782" s="493"/>
      <c r="K1782" s="487" t="str">
        <f ca="1">IFERROR(VLOOKUP(C1782,' Disaggregation - Section E '!A$618:N994,3,0),"")</f>
        <v/>
      </c>
      <c r="L1782" s="487"/>
      <c r="M1782" s="487"/>
      <c r="N1782" s="493"/>
      <c r="O1782" s="493"/>
      <c r="P1782" s="493"/>
    </row>
    <row r="1783" spans="1:16" x14ac:dyDescent="0.3">
      <c r="A1783" s="487" t="b">
        <v>0</v>
      </c>
      <c r="B1783" s="487"/>
      <c r="C1783" s="487" t="s">
        <v>5257</v>
      </c>
      <c r="D1783" s="502">
        <v>19</v>
      </c>
      <c r="E1783" s="490"/>
      <c r="F1783" s="493"/>
      <c r="G1783" s="492"/>
      <c r="H1783" s="502"/>
      <c r="I1783" s="493"/>
      <c r="J1783" s="493"/>
      <c r="K1783" s="487" t="str">
        <f ca="1">IFERROR(VLOOKUP(C1783,' Disaggregation - Section E '!A$618:N995,3,0),"")</f>
        <v/>
      </c>
      <c r="L1783" s="487"/>
      <c r="M1783" s="487"/>
      <c r="N1783" s="493"/>
      <c r="O1783" s="493"/>
      <c r="P1783" s="493"/>
    </row>
    <row r="1784" spans="1:16" x14ac:dyDescent="0.3">
      <c r="A1784" s="487" t="b">
        <v>0</v>
      </c>
      <c r="B1784" s="487"/>
      <c r="C1784" s="487" t="s">
        <v>5259</v>
      </c>
      <c r="D1784" s="502">
        <v>19</v>
      </c>
      <c r="E1784" s="490"/>
      <c r="F1784" s="493"/>
      <c r="G1784" s="492"/>
      <c r="H1784" s="502"/>
      <c r="I1784" s="493"/>
      <c r="J1784" s="493"/>
      <c r="K1784" s="487" t="str">
        <f ca="1">IFERROR(VLOOKUP(C1784,' Disaggregation - Section E '!A$618:N996,3,0),"")</f>
        <v/>
      </c>
      <c r="L1784" s="487"/>
      <c r="M1784" s="487"/>
      <c r="N1784" s="493"/>
      <c r="O1784" s="493"/>
      <c r="P1784" s="493"/>
    </row>
    <row r="1785" spans="1:16" x14ac:dyDescent="0.3">
      <c r="A1785" s="487" t="b">
        <v>0</v>
      </c>
      <c r="B1785" s="487"/>
      <c r="C1785" s="487" t="s">
        <v>5261</v>
      </c>
      <c r="D1785" s="502">
        <v>19</v>
      </c>
      <c r="E1785" s="490"/>
      <c r="F1785" s="493"/>
      <c r="G1785" s="492"/>
      <c r="H1785" s="502"/>
      <c r="I1785" s="493"/>
      <c r="J1785" s="493"/>
      <c r="K1785" s="487" t="str">
        <f ca="1">IFERROR(VLOOKUP(C1785,' Disaggregation - Section E '!A$618:N997,3,0),"")</f>
        <v/>
      </c>
      <c r="L1785" s="487"/>
      <c r="M1785" s="487"/>
      <c r="N1785" s="493"/>
      <c r="O1785" s="493"/>
      <c r="P1785" s="493"/>
    </row>
    <row r="1786" spans="1:16" x14ac:dyDescent="0.3">
      <c r="A1786" s="487" t="b">
        <v>0</v>
      </c>
      <c r="B1786" s="487"/>
      <c r="C1786" s="487" t="s">
        <v>5263</v>
      </c>
      <c r="D1786" s="502">
        <v>19</v>
      </c>
      <c r="E1786" s="490"/>
      <c r="F1786" s="493"/>
      <c r="G1786" s="492"/>
      <c r="H1786" s="502"/>
      <c r="I1786" s="493"/>
      <c r="J1786" s="493"/>
      <c r="K1786" s="487" t="str">
        <f ca="1">IFERROR(VLOOKUP(C1786,' Disaggregation - Section E '!A$618:N998,3,0),"")</f>
        <v/>
      </c>
      <c r="L1786" s="487"/>
      <c r="M1786" s="487"/>
      <c r="N1786" s="493"/>
      <c r="O1786" s="493"/>
      <c r="P1786" s="493"/>
    </row>
    <row r="1787" spans="1:16" x14ac:dyDescent="0.3">
      <c r="A1787" s="487" t="b">
        <v>0</v>
      </c>
      <c r="B1787" s="487"/>
      <c r="C1787" s="487" t="s">
        <v>5265</v>
      </c>
      <c r="D1787" s="502">
        <v>19</v>
      </c>
      <c r="E1787" s="490"/>
      <c r="F1787" s="493"/>
      <c r="G1787" s="492"/>
      <c r="H1787" s="502"/>
      <c r="I1787" s="493"/>
      <c r="J1787" s="493"/>
      <c r="K1787" s="487" t="str">
        <f ca="1">IFERROR(VLOOKUP(C1787,' Disaggregation - Section E '!A$618:N999,3,0),"")</f>
        <v/>
      </c>
      <c r="L1787" s="487"/>
      <c r="M1787" s="487"/>
      <c r="N1787" s="493"/>
      <c r="O1787" s="493"/>
      <c r="P1787" s="493"/>
    </row>
    <row r="1788" spans="1:16" x14ac:dyDescent="0.3">
      <c r="A1788" s="487" t="b">
        <v>0</v>
      </c>
      <c r="B1788" s="487"/>
      <c r="C1788" s="487" t="s">
        <v>5267</v>
      </c>
      <c r="D1788" s="502">
        <v>19</v>
      </c>
      <c r="E1788" s="490"/>
      <c r="F1788" s="493"/>
      <c r="G1788" s="492"/>
      <c r="H1788" s="502"/>
      <c r="I1788" s="493"/>
      <c r="J1788" s="493"/>
      <c r="K1788" s="487" t="str">
        <f ca="1">IFERROR(VLOOKUP(C1788,' Disaggregation - Section E '!A$618:N1000,3,0),"")</f>
        <v/>
      </c>
      <c r="L1788" s="487"/>
      <c r="M1788" s="487"/>
      <c r="N1788" s="493"/>
      <c r="O1788" s="493"/>
      <c r="P1788" s="493"/>
    </row>
    <row r="1789" spans="1:16" x14ac:dyDescent="0.3">
      <c r="A1789" s="487" t="b">
        <v>0</v>
      </c>
      <c r="B1789" s="487"/>
      <c r="C1789" s="487" t="s">
        <v>5269</v>
      </c>
      <c r="D1789" s="502">
        <v>19</v>
      </c>
      <c r="E1789" s="490"/>
      <c r="F1789" s="493"/>
      <c r="G1789" s="492"/>
      <c r="H1789" s="502"/>
      <c r="I1789" s="493"/>
      <c r="J1789" s="493"/>
      <c r="K1789" s="487" t="str">
        <f ca="1">IFERROR(VLOOKUP(C1789,' Disaggregation - Section E '!A$618:N1001,3,0),"")</f>
        <v/>
      </c>
      <c r="L1789" s="487"/>
      <c r="M1789" s="487"/>
      <c r="N1789" s="493"/>
      <c r="O1789" s="493"/>
      <c r="P1789" s="493"/>
    </row>
    <row r="1790" spans="1:16" x14ac:dyDescent="0.3">
      <c r="A1790" s="487" t="b">
        <v>0</v>
      </c>
      <c r="B1790" s="487"/>
      <c r="C1790" s="487" t="s">
        <v>5271</v>
      </c>
      <c r="D1790" s="502">
        <v>19</v>
      </c>
      <c r="E1790" s="490"/>
      <c r="F1790" s="493"/>
      <c r="G1790" s="492"/>
      <c r="H1790" s="502"/>
      <c r="I1790" s="493"/>
      <c r="J1790" s="493"/>
      <c r="K1790" s="487" t="str">
        <f ca="1">IFERROR(VLOOKUP(C1790,' Disaggregation - Section E '!A$618:N1002,3,0),"")</f>
        <v/>
      </c>
      <c r="L1790" s="487"/>
      <c r="M1790" s="487"/>
      <c r="N1790" s="493"/>
      <c r="O1790" s="493"/>
      <c r="P1790" s="493"/>
    </row>
    <row r="1791" spans="1:16" x14ac:dyDescent="0.3">
      <c r="A1791" s="487" t="b">
        <v>0</v>
      </c>
      <c r="B1791" s="487"/>
      <c r="C1791" s="487" t="s">
        <v>5273</v>
      </c>
      <c r="D1791" s="502">
        <v>19</v>
      </c>
      <c r="E1791" s="490"/>
      <c r="F1791" s="493"/>
      <c r="G1791" s="492"/>
      <c r="H1791" s="502"/>
      <c r="I1791" s="493"/>
      <c r="J1791" s="493"/>
      <c r="K1791" s="487" t="str">
        <f ca="1">IFERROR(VLOOKUP(C1791,' Disaggregation - Section E '!A$618:N1003,3,0),"")</f>
        <v/>
      </c>
      <c r="L1791" s="487"/>
      <c r="M1791" s="487"/>
      <c r="N1791" s="493"/>
      <c r="O1791" s="493"/>
      <c r="P1791" s="493"/>
    </row>
    <row r="1792" spans="1:16" x14ac:dyDescent="0.3">
      <c r="A1792" s="487" t="b">
        <v>0</v>
      </c>
      <c r="B1792" s="487"/>
      <c r="C1792" s="487" t="s">
        <v>5276</v>
      </c>
      <c r="D1792" s="502">
        <v>20</v>
      </c>
      <c r="E1792" s="490"/>
      <c r="F1792" s="493"/>
      <c r="G1792" s="492"/>
      <c r="H1792" s="502"/>
      <c r="I1792" s="493"/>
      <c r="J1792" s="493"/>
      <c r="K1792" s="487" t="str">
        <f ca="1">IFERROR(VLOOKUP(C1792,' Disaggregation - Section E '!A$618:N1004,3,0),"")</f>
        <v/>
      </c>
      <c r="L1792" s="487"/>
      <c r="M1792" s="487"/>
      <c r="N1792" s="493"/>
      <c r="O1792" s="493"/>
      <c r="P1792" s="493"/>
    </row>
    <row r="1793" spans="1:16" x14ac:dyDescent="0.3">
      <c r="A1793" s="487" t="b">
        <v>0</v>
      </c>
      <c r="B1793" s="487"/>
      <c r="C1793" s="487" t="s">
        <v>5278</v>
      </c>
      <c r="D1793" s="502">
        <v>20</v>
      </c>
      <c r="E1793" s="490"/>
      <c r="F1793" s="493"/>
      <c r="G1793" s="492"/>
      <c r="H1793" s="502"/>
      <c r="I1793" s="493"/>
      <c r="J1793" s="493"/>
      <c r="K1793" s="487" t="str">
        <f ca="1">IFERROR(VLOOKUP(C1793,' Disaggregation - Section E '!A$618:N1005,3,0),"")</f>
        <v/>
      </c>
      <c r="L1793" s="487"/>
      <c r="M1793" s="487"/>
      <c r="N1793" s="493"/>
      <c r="O1793" s="493"/>
      <c r="P1793" s="493"/>
    </row>
    <row r="1794" spans="1:16" x14ac:dyDescent="0.3">
      <c r="A1794" s="487" t="b">
        <v>0</v>
      </c>
      <c r="B1794" s="487"/>
      <c r="C1794" s="487" t="s">
        <v>5280</v>
      </c>
      <c r="D1794" s="502">
        <v>20</v>
      </c>
      <c r="E1794" s="490"/>
      <c r="F1794" s="493"/>
      <c r="G1794" s="492"/>
      <c r="H1794" s="502"/>
      <c r="I1794" s="493"/>
      <c r="J1794" s="493"/>
      <c r="K1794" s="487" t="str">
        <f ca="1">IFERROR(VLOOKUP(C1794,' Disaggregation - Section E '!A$618:N1006,3,0),"")</f>
        <v/>
      </c>
      <c r="L1794" s="487"/>
      <c r="M1794" s="487"/>
      <c r="N1794" s="493"/>
      <c r="O1794" s="493"/>
      <c r="P1794" s="493"/>
    </row>
    <row r="1795" spans="1:16" x14ac:dyDescent="0.3">
      <c r="A1795" s="487" t="b">
        <v>0</v>
      </c>
      <c r="B1795" s="487"/>
      <c r="C1795" s="487" t="s">
        <v>5282</v>
      </c>
      <c r="D1795" s="502">
        <v>20</v>
      </c>
      <c r="E1795" s="490"/>
      <c r="F1795" s="493"/>
      <c r="G1795" s="492"/>
      <c r="H1795" s="502"/>
      <c r="I1795" s="493"/>
      <c r="J1795" s="493"/>
      <c r="K1795" s="487" t="str">
        <f ca="1">IFERROR(VLOOKUP(C1795,' Disaggregation - Section E '!A$618:N1007,3,0),"")</f>
        <v/>
      </c>
      <c r="L1795" s="487"/>
      <c r="M1795" s="487"/>
      <c r="N1795" s="493"/>
      <c r="O1795" s="493"/>
      <c r="P1795" s="493"/>
    </row>
    <row r="1796" spans="1:16" x14ac:dyDescent="0.3">
      <c r="A1796" s="487" t="b">
        <v>0</v>
      </c>
      <c r="B1796" s="487"/>
      <c r="C1796" s="487" t="s">
        <v>5284</v>
      </c>
      <c r="D1796" s="502">
        <v>20</v>
      </c>
      <c r="E1796" s="490"/>
      <c r="F1796" s="493"/>
      <c r="G1796" s="492"/>
      <c r="H1796" s="502"/>
      <c r="I1796" s="493"/>
      <c r="J1796" s="493"/>
      <c r="K1796" s="487" t="str">
        <f ca="1">IFERROR(VLOOKUP(C1796,' Disaggregation - Section E '!A$618:N1008,3,0),"")</f>
        <v/>
      </c>
      <c r="L1796" s="487"/>
      <c r="M1796" s="487"/>
      <c r="N1796" s="493"/>
      <c r="O1796" s="493"/>
      <c r="P1796" s="493"/>
    </row>
    <row r="1797" spans="1:16" x14ac:dyDescent="0.3">
      <c r="A1797" s="487" t="b">
        <v>0</v>
      </c>
      <c r="B1797" s="487"/>
      <c r="C1797" s="487" t="s">
        <v>5286</v>
      </c>
      <c r="D1797" s="502">
        <v>20</v>
      </c>
      <c r="E1797" s="490"/>
      <c r="F1797" s="493"/>
      <c r="G1797" s="492"/>
      <c r="H1797" s="502"/>
      <c r="I1797" s="493"/>
      <c r="J1797" s="493"/>
      <c r="K1797" s="487" t="str">
        <f ca="1">IFERROR(VLOOKUP(C1797,' Disaggregation - Section E '!A$618:N1009,3,0),"")</f>
        <v/>
      </c>
      <c r="L1797" s="487"/>
      <c r="M1797" s="487"/>
      <c r="N1797" s="493"/>
      <c r="O1797" s="493"/>
      <c r="P1797" s="493"/>
    </row>
    <row r="1798" spans="1:16" x14ac:dyDescent="0.3">
      <c r="A1798" s="487" t="b">
        <v>0</v>
      </c>
      <c r="B1798" s="487"/>
      <c r="C1798" s="487" t="s">
        <v>5288</v>
      </c>
      <c r="D1798" s="502">
        <v>20</v>
      </c>
      <c r="E1798" s="490"/>
      <c r="F1798" s="493"/>
      <c r="G1798" s="492"/>
      <c r="H1798" s="502"/>
      <c r="I1798" s="493"/>
      <c r="J1798" s="493"/>
      <c r="K1798" s="487" t="str">
        <f ca="1">IFERROR(VLOOKUP(C1798,' Disaggregation - Section E '!A$618:N1010,3,0),"")</f>
        <v/>
      </c>
      <c r="L1798" s="487"/>
      <c r="M1798" s="487"/>
      <c r="N1798" s="493"/>
      <c r="O1798" s="493"/>
      <c r="P1798" s="493"/>
    </row>
    <row r="1799" spans="1:16" x14ac:dyDescent="0.3">
      <c r="A1799" s="487" t="b">
        <v>0</v>
      </c>
      <c r="B1799" s="487"/>
      <c r="C1799" s="487" t="s">
        <v>5290</v>
      </c>
      <c r="D1799" s="502">
        <v>20</v>
      </c>
      <c r="E1799" s="490"/>
      <c r="F1799" s="493"/>
      <c r="G1799" s="492"/>
      <c r="H1799" s="502"/>
      <c r="I1799" s="493"/>
      <c r="J1799" s="493"/>
      <c r="K1799" s="487" t="str">
        <f ca="1">IFERROR(VLOOKUP(C1799,' Disaggregation - Section E '!A$618:N1011,3,0),"")</f>
        <v/>
      </c>
      <c r="L1799" s="487"/>
      <c r="M1799" s="487"/>
      <c r="N1799" s="493"/>
      <c r="O1799" s="493"/>
      <c r="P1799" s="493"/>
    </row>
    <row r="1800" spans="1:16" x14ac:dyDescent="0.3">
      <c r="A1800" s="487" t="b">
        <v>0</v>
      </c>
      <c r="B1800" s="487"/>
      <c r="C1800" s="487" t="s">
        <v>5292</v>
      </c>
      <c r="D1800" s="502">
        <v>20</v>
      </c>
      <c r="E1800" s="490"/>
      <c r="F1800" s="493"/>
      <c r="G1800" s="492"/>
      <c r="H1800" s="502"/>
      <c r="I1800" s="493"/>
      <c r="J1800" s="493"/>
      <c r="K1800" s="487" t="str">
        <f ca="1">IFERROR(VLOOKUP(C1800,' Disaggregation - Section E '!A$618:N1012,3,0),"")</f>
        <v/>
      </c>
      <c r="L1800" s="487"/>
      <c r="M1800" s="487"/>
      <c r="N1800" s="493"/>
      <c r="O1800" s="493"/>
      <c r="P1800" s="493"/>
    </row>
    <row r="1801" spans="1:16" x14ac:dyDescent="0.3">
      <c r="A1801" s="487" t="b">
        <v>0</v>
      </c>
      <c r="B1801" s="487"/>
      <c r="C1801" s="487" t="s">
        <v>5294</v>
      </c>
      <c r="D1801" s="502">
        <v>20</v>
      </c>
      <c r="E1801" s="490"/>
      <c r="F1801" s="493"/>
      <c r="G1801" s="492"/>
      <c r="H1801" s="502"/>
      <c r="I1801" s="493"/>
      <c r="J1801" s="493"/>
      <c r="K1801" s="487" t="str">
        <f ca="1">IFERROR(VLOOKUP(C1801,' Disaggregation - Section E '!A$618:N1013,3,0),"")</f>
        <v/>
      </c>
      <c r="L1801" s="487"/>
      <c r="M1801" s="487"/>
      <c r="N1801" s="493"/>
      <c r="O1801" s="493"/>
      <c r="P1801" s="493"/>
    </row>
    <row r="1802" spans="1:16" x14ac:dyDescent="0.3">
      <c r="A1802" s="487" t="b">
        <v>0</v>
      </c>
      <c r="B1802" s="487"/>
      <c r="C1802" s="487" t="s">
        <v>5296</v>
      </c>
      <c r="D1802" s="502">
        <v>20</v>
      </c>
      <c r="E1802" s="490"/>
      <c r="F1802" s="493"/>
      <c r="G1802" s="492"/>
      <c r="H1802" s="502"/>
      <c r="I1802" s="493"/>
      <c r="J1802" s="493"/>
      <c r="K1802" s="487" t="str">
        <f ca="1">IFERROR(VLOOKUP(C1802,' Disaggregation - Section E '!A$618:N1014,3,0),"")</f>
        <v/>
      </c>
      <c r="L1802" s="487"/>
      <c r="M1802" s="487"/>
      <c r="N1802" s="493"/>
      <c r="O1802" s="493"/>
      <c r="P1802" s="493"/>
    </row>
    <row r="1803" spans="1:16" x14ac:dyDescent="0.3">
      <c r="A1803" s="487" t="b">
        <v>0</v>
      </c>
      <c r="B1803" s="487"/>
      <c r="C1803" s="487" t="s">
        <v>5298</v>
      </c>
      <c r="D1803" s="502">
        <v>20</v>
      </c>
      <c r="E1803" s="490"/>
      <c r="F1803" s="493"/>
      <c r="G1803" s="492"/>
      <c r="H1803" s="502"/>
      <c r="I1803" s="493"/>
      <c r="J1803" s="493"/>
      <c r="K1803" s="487" t="str">
        <f ca="1">IFERROR(VLOOKUP(C1803,' Disaggregation - Section E '!A$618:N1015,3,0),"")</f>
        <v/>
      </c>
      <c r="L1803" s="487"/>
      <c r="M1803" s="487"/>
      <c r="N1803" s="493"/>
      <c r="O1803" s="493"/>
      <c r="P1803" s="493"/>
    </row>
    <row r="1804" spans="1:16" x14ac:dyDescent="0.3">
      <c r="A1804" s="487" t="b">
        <v>0</v>
      </c>
      <c r="B1804" s="487"/>
      <c r="C1804" s="487" t="s">
        <v>5300</v>
      </c>
      <c r="D1804" s="502">
        <v>20</v>
      </c>
      <c r="E1804" s="490"/>
      <c r="F1804" s="493"/>
      <c r="G1804" s="492"/>
      <c r="H1804" s="502"/>
      <c r="I1804" s="493"/>
      <c r="J1804" s="493"/>
      <c r="K1804" s="487" t="str">
        <f ca="1">IFERROR(VLOOKUP(C1804,' Disaggregation - Section E '!A$618:N1016,3,0),"")</f>
        <v/>
      </c>
      <c r="L1804" s="487"/>
      <c r="M1804" s="487"/>
      <c r="N1804" s="493"/>
      <c r="O1804" s="493"/>
      <c r="P1804" s="493"/>
    </row>
    <row r="1805" spans="1:16" x14ac:dyDescent="0.3">
      <c r="A1805" s="487" t="b">
        <v>0</v>
      </c>
      <c r="B1805" s="487"/>
      <c r="C1805" s="487" t="s">
        <v>5302</v>
      </c>
      <c r="D1805" s="502">
        <v>20</v>
      </c>
      <c r="E1805" s="490"/>
      <c r="F1805" s="493"/>
      <c r="G1805" s="492"/>
      <c r="H1805" s="502"/>
      <c r="I1805" s="493"/>
      <c r="J1805" s="493"/>
      <c r="K1805" s="487" t="str">
        <f ca="1">IFERROR(VLOOKUP(C1805,' Disaggregation - Section E '!A$618:N1017,3,0),"")</f>
        <v/>
      </c>
      <c r="L1805" s="487"/>
      <c r="M1805" s="487"/>
      <c r="N1805" s="493"/>
      <c r="O1805" s="493"/>
      <c r="P1805" s="493"/>
    </row>
    <row r="1806" spans="1:16" x14ac:dyDescent="0.3">
      <c r="A1806" s="487" t="b">
        <v>0</v>
      </c>
      <c r="B1806" s="487"/>
      <c r="C1806" s="487" t="s">
        <v>5304</v>
      </c>
      <c r="D1806" s="502">
        <v>20</v>
      </c>
      <c r="E1806" s="490"/>
      <c r="F1806" s="493"/>
      <c r="G1806" s="492"/>
      <c r="H1806" s="502"/>
      <c r="I1806" s="493"/>
      <c r="J1806" s="493"/>
      <c r="K1806" s="487" t="str">
        <f ca="1">IFERROR(VLOOKUP(C1806,' Disaggregation - Section E '!A$618:N1018,3,0),"")</f>
        <v/>
      </c>
      <c r="L1806" s="487"/>
      <c r="M1806" s="487"/>
      <c r="N1806" s="493"/>
      <c r="O1806" s="493"/>
      <c r="P1806" s="493"/>
    </row>
    <row r="1807" spans="1:16" x14ac:dyDescent="0.3">
      <c r="A1807" s="487" t="b">
        <v>0</v>
      </c>
      <c r="B1807" s="487"/>
      <c r="C1807" s="487" t="s">
        <v>5306</v>
      </c>
      <c r="D1807" s="502">
        <v>20</v>
      </c>
      <c r="E1807" s="490"/>
      <c r="F1807" s="493"/>
      <c r="G1807" s="492"/>
      <c r="H1807" s="502"/>
      <c r="I1807" s="493"/>
      <c r="J1807" s="493"/>
      <c r="K1807" s="487" t="str">
        <f ca="1">IFERROR(VLOOKUP(C1807,' Disaggregation - Section E '!A$618:N1019,3,0),"")</f>
        <v/>
      </c>
      <c r="L1807" s="487"/>
      <c r="M1807" s="487"/>
      <c r="N1807" s="493"/>
      <c r="O1807" s="493"/>
      <c r="P1807" s="493"/>
    </row>
    <row r="1808" spans="1:16" x14ac:dyDescent="0.3">
      <c r="A1808" s="487" t="b">
        <v>0</v>
      </c>
      <c r="B1808" s="487"/>
      <c r="C1808" s="487" t="s">
        <v>5308</v>
      </c>
      <c r="D1808" s="502">
        <v>20</v>
      </c>
      <c r="E1808" s="490"/>
      <c r="F1808" s="493"/>
      <c r="G1808" s="492"/>
      <c r="H1808" s="502"/>
      <c r="I1808" s="493"/>
      <c r="J1808" s="493"/>
      <c r="K1808" s="487" t="str">
        <f ca="1">IFERROR(VLOOKUP(C1808,' Disaggregation - Section E '!A$618:N1020,3,0),"")</f>
        <v/>
      </c>
      <c r="L1808" s="487"/>
      <c r="M1808" s="487"/>
      <c r="N1808" s="493"/>
      <c r="O1808" s="493"/>
      <c r="P1808" s="493"/>
    </row>
    <row r="1809" spans="1:16" x14ac:dyDescent="0.3">
      <c r="A1809" s="487" t="b">
        <v>0</v>
      </c>
      <c r="B1809" s="487"/>
      <c r="C1809" s="487" t="s">
        <v>5310</v>
      </c>
      <c r="D1809" s="502">
        <v>20</v>
      </c>
      <c r="E1809" s="490"/>
      <c r="F1809" s="493"/>
      <c r="G1809" s="492"/>
      <c r="H1809" s="502"/>
      <c r="I1809" s="493"/>
      <c r="J1809" s="493"/>
      <c r="K1809" s="487" t="str">
        <f ca="1">IFERROR(VLOOKUP(C1809,' Disaggregation - Section E '!A$618:N1021,3,0),"")</f>
        <v/>
      </c>
      <c r="L1809" s="487"/>
      <c r="M1809" s="487"/>
      <c r="N1809" s="493"/>
      <c r="O1809" s="493"/>
      <c r="P1809" s="493"/>
    </row>
    <row r="1810" spans="1:16" x14ac:dyDescent="0.3">
      <c r="A1810" s="487" t="b">
        <v>0</v>
      </c>
      <c r="B1810" s="487"/>
      <c r="C1810" s="487" t="s">
        <v>5312</v>
      </c>
      <c r="D1810" s="502">
        <v>20</v>
      </c>
      <c r="E1810" s="490"/>
      <c r="F1810" s="493"/>
      <c r="G1810" s="492"/>
      <c r="H1810" s="502"/>
      <c r="I1810" s="493"/>
      <c r="J1810" s="493"/>
      <c r="K1810" s="487" t="str">
        <f ca="1">IFERROR(VLOOKUP(C1810,' Disaggregation - Section E '!A$618:N1022,3,0),"")</f>
        <v/>
      </c>
      <c r="L1810" s="487"/>
      <c r="M1810" s="487"/>
      <c r="N1810" s="493"/>
      <c r="O1810" s="493"/>
      <c r="P1810" s="493"/>
    </row>
    <row r="1811" spans="1:16" x14ac:dyDescent="0.3">
      <c r="A1811" s="487" t="b">
        <v>0</v>
      </c>
      <c r="B1811" s="487"/>
      <c r="C1811" s="487" t="s">
        <v>5314</v>
      </c>
      <c r="D1811" s="502">
        <v>20</v>
      </c>
      <c r="E1811" s="490"/>
      <c r="F1811" s="493"/>
      <c r="G1811" s="492"/>
      <c r="H1811" s="502"/>
      <c r="I1811" s="493"/>
      <c r="J1811" s="493"/>
      <c r="K1811" s="487" t="str">
        <f ca="1">IFERROR(VLOOKUP(C1811,' Disaggregation - Section E '!A$618:N1023,3,0),"")</f>
        <v/>
      </c>
      <c r="L1811" s="487"/>
      <c r="M1811" s="487"/>
      <c r="N1811" s="493"/>
      <c r="O1811" s="493"/>
      <c r="P1811" s="493"/>
    </row>
    <row r="1812" spans="1:16" x14ac:dyDescent="0.3">
      <c r="A1812" s="487" t="b">
        <v>0</v>
      </c>
      <c r="B1812" s="487"/>
      <c r="C1812" s="487" t="s">
        <v>5317</v>
      </c>
      <c r="D1812" s="502">
        <v>21</v>
      </c>
      <c r="E1812" s="490"/>
      <c r="F1812" s="493"/>
      <c r="G1812" s="492"/>
      <c r="H1812" s="502"/>
      <c r="I1812" s="493"/>
      <c r="J1812" s="493"/>
      <c r="K1812" s="487" t="str">
        <f ca="1">IFERROR(VLOOKUP(C1812,' Disaggregation - Section E '!A$618:N1024,3,0),"")</f>
        <v/>
      </c>
      <c r="L1812" s="487"/>
      <c r="M1812" s="487"/>
      <c r="N1812" s="493"/>
      <c r="O1812" s="493"/>
      <c r="P1812" s="493"/>
    </row>
    <row r="1813" spans="1:16" x14ac:dyDescent="0.3">
      <c r="A1813" s="487" t="b">
        <v>0</v>
      </c>
      <c r="B1813" s="487"/>
      <c r="C1813" s="487" t="s">
        <v>5319</v>
      </c>
      <c r="D1813" s="502">
        <v>21</v>
      </c>
      <c r="E1813" s="490"/>
      <c r="F1813" s="493"/>
      <c r="G1813" s="492"/>
      <c r="H1813" s="502"/>
      <c r="I1813" s="493"/>
      <c r="J1813" s="493"/>
      <c r="K1813" s="487" t="str">
        <f ca="1">IFERROR(VLOOKUP(C1813,' Disaggregation - Section E '!A$618:N1025,3,0),"")</f>
        <v/>
      </c>
      <c r="L1813" s="487"/>
      <c r="M1813" s="487"/>
      <c r="N1813" s="493"/>
      <c r="O1813" s="493"/>
      <c r="P1813" s="493"/>
    </row>
    <row r="1814" spans="1:16" x14ac:dyDescent="0.3">
      <c r="A1814" s="487" t="b">
        <v>0</v>
      </c>
      <c r="B1814" s="487"/>
      <c r="C1814" s="487" t="s">
        <v>5321</v>
      </c>
      <c r="D1814" s="502">
        <v>21</v>
      </c>
      <c r="E1814" s="490"/>
      <c r="F1814" s="493"/>
      <c r="G1814" s="492"/>
      <c r="H1814" s="502"/>
      <c r="I1814" s="493"/>
      <c r="J1814" s="493"/>
      <c r="K1814" s="487" t="str">
        <f ca="1">IFERROR(VLOOKUP(C1814,' Disaggregation - Section E '!A$618:N1026,3,0),"")</f>
        <v/>
      </c>
      <c r="L1814" s="487"/>
      <c r="M1814" s="487"/>
      <c r="N1814" s="493"/>
      <c r="O1814" s="493"/>
      <c r="P1814" s="493"/>
    </row>
    <row r="1815" spans="1:16" x14ac:dyDescent="0.3">
      <c r="A1815" s="487" t="b">
        <v>0</v>
      </c>
      <c r="B1815" s="487"/>
      <c r="C1815" s="487" t="s">
        <v>5323</v>
      </c>
      <c r="D1815" s="502">
        <v>21</v>
      </c>
      <c r="E1815" s="490"/>
      <c r="F1815" s="493"/>
      <c r="G1815" s="492"/>
      <c r="H1815" s="502"/>
      <c r="I1815" s="493"/>
      <c r="J1815" s="493"/>
      <c r="K1815" s="487" t="str">
        <f ca="1">IFERROR(VLOOKUP(C1815,' Disaggregation - Section E '!A$618:N1027,3,0),"")</f>
        <v/>
      </c>
      <c r="L1815" s="487"/>
      <c r="M1815" s="487"/>
      <c r="N1815" s="493"/>
      <c r="O1815" s="493"/>
      <c r="P1815" s="493"/>
    </row>
    <row r="1816" spans="1:16" x14ac:dyDescent="0.3">
      <c r="A1816" s="487" t="b">
        <v>0</v>
      </c>
      <c r="B1816" s="487"/>
      <c r="C1816" s="487" t="s">
        <v>5325</v>
      </c>
      <c r="D1816" s="502">
        <v>21</v>
      </c>
      <c r="E1816" s="490"/>
      <c r="F1816" s="493"/>
      <c r="G1816" s="492"/>
      <c r="H1816" s="502"/>
      <c r="I1816" s="493"/>
      <c r="J1816" s="493"/>
      <c r="K1816" s="487" t="str">
        <f ca="1">IFERROR(VLOOKUP(C1816,' Disaggregation - Section E '!A$618:N1028,3,0),"")</f>
        <v/>
      </c>
      <c r="L1816" s="487"/>
      <c r="M1816" s="487"/>
      <c r="N1816" s="493"/>
      <c r="O1816" s="493"/>
      <c r="P1816" s="493"/>
    </row>
    <row r="1817" spans="1:16" x14ac:dyDescent="0.3">
      <c r="A1817" s="487" t="b">
        <v>0</v>
      </c>
      <c r="B1817" s="487"/>
      <c r="C1817" s="487" t="s">
        <v>5327</v>
      </c>
      <c r="D1817" s="502">
        <v>21</v>
      </c>
      <c r="E1817" s="490"/>
      <c r="F1817" s="493"/>
      <c r="G1817" s="492"/>
      <c r="H1817" s="502"/>
      <c r="I1817" s="493"/>
      <c r="J1817" s="493"/>
      <c r="K1817" s="487" t="str">
        <f ca="1">IFERROR(VLOOKUP(C1817,' Disaggregation - Section E '!A$618:N1029,3,0),"")</f>
        <v/>
      </c>
      <c r="L1817" s="487"/>
      <c r="M1817" s="487"/>
      <c r="N1817" s="493"/>
      <c r="O1817" s="493"/>
      <c r="P1817" s="493"/>
    </row>
    <row r="1818" spans="1:16" x14ac:dyDescent="0.3">
      <c r="A1818" s="487" t="b">
        <v>0</v>
      </c>
      <c r="B1818" s="487"/>
      <c r="C1818" s="487" t="s">
        <v>5329</v>
      </c>
      <c r="D1818" s="502">
        <v>21</v>
      </c>
      <c r="E1818" s="490"/>
      <c r="F1818" s="493"/>
      <c r="G1818" s="492"/>
      <c r="H1818" s="502"/>
      <c r="I1818" s="493"/>
      <c r="J1818" s="493"/>
      <c r="K1818" s="487" t="str">
        <f ca="1">IFERROR(VLOOKUP(C1818,' Disaggregation - Section E '!A$618:N1030,3,0),"")</f>
        <v/>
      </c>
      <c r="L1818" s="487"/>
      <c r="M1818" s="487"/>
      <c r="N1818" s="493"/>
      <c r="O1818" s="493"/>
      <c r="P1818" s="493"/>
    </row>
    <row r="1819" spans="1:16" x14ac:dyDescent="0.3">
      <c r="A1819" s="487" t="b">
        <v>0</v>
      </c>
      <c r="B1819" s="487"/>
      <c r="C1819" s="487" t="s">
        <v>5331</v>
      </c>
      <c r="D1819" s="502">
        <v>21</v>
      </c>
      <c r="E1819" s="490"/>
      <c r="F1819" s="493"/>
      <c r="G1819" s="492"/>
      <c r="H1819" s="502"/>
      <c r="I1819" s="493"/>
      <c r="J1819" s="493"/>
      <c r="K1819" s="487" t="str">
        <f ca="1">IFERROR(VLOOKUP(C1819,' Disaggregation - Section E '!A$618:N1031,3,0),"")</f>
        <v/>
      </c>
      <c r="L1819" s="487"/>
      <c r="M1819" s="487"/>
      <c r="N1819" s="493"/>
      <c r="O1819" s="493"/>
      <c r="P1819" s="493"/>
    </row>
    <row r="1820" spans="1:16" x14ac:dyDescent="0.3">
      <c r="A1820" s="487" t="b">
        <v>0</v>
      </c>
      <c r="B1820" s="487"/>
      <c r="C1820" s="487" t="s">
        <v>5333</v>
      </c>
      <c r="D1820" s="502">
        <v>21</v>
      </c>
      <c r="E1820" s="490"/>
      <c r="F1820" s="493"/>
      <c r="G1820" s="492"/>
      <c r="H1820" s="502"/>
      <c r="I1820" s="493"/>
      <c r="J1820" s="493"/>
      <c r="K1820" s="487" t="str">
        <f ca="1">IFERROR(VLOOKUP(C1820,' Disaggregation - Section E '!A$618:N1032,3,0),"")</f>
        <v/>
      </c>
      <c r="L1820" s="487"/>
      <c r="M1820" s="487"/>
      <c r="N1820" s="493"/>
      <c r="O1820" s="493"/>
      <c r="P1820" s="493"/>
    </row>
    <row r="1821" spans="1:16" x14ac:dyDescent="0.3">
      <c r="A1821" s="487" t="b">
        <v>0</v>
      </c>
      <c r="B1821" s="487"/>
      <c r="C1821" s="487" t="s">
        <v>5335</v>
      </c>
      <c r="D1821" s="502">
        <v>21</v>
      </c>
      <c r="E1821" s="490"/>
      <c r="F1821" s="493"/>
      <c r="G1821" s="492"/>
      <c r="H1821" s="502"/>
      <c r="I1821" s="493"/>
      <c r="J1821" s="493"/>
      <c r="K1821" s="487" t="str">
        <f ca="1">IFERROR(VLOOKUP(C1821,' Disaggregation - Section E '!A$618:N1033,3,0),"")</f>
        <v/>
      </c>
      <c r="L1821" s="487"/>
      <c r="M1821" s="487"/>
      <c r="N1821" s="493"/>
      <c r="O1821" s="493"/>
      <c r="P1821" s="493"/>
    </row>
    <row r="1822" spans="1:16" x14ac:dyDescent="0.3">
      <c r="A1822" s="487" t="b">
        <v>0</v>
      </c>
      <c r="B1822" s="487"/>
      <c r="C1822" s="487" t="s">
        <v>5337</v>
      </c>
      <c r="D1822" s="502">
        <v>21</v>
      </c>
      <c r="E1822" s="490"/>
      <c r="F1822" s="493"/>
      <c r="G1822" s="492"/>
      <c r="H1822" s="502"/>
      <c r="I1822" s="493"/>
      <c r="J1822" s="493"/>
      <c r="K1822" s="487" t="str">
        <f ca="1">IFERROR(VLOOKUP(C1822,' Disaggregation - Section E '!A$618:N1034,3,0),"")</f>
        <v/>
      </c>
      <c r="L1822" s="487"/>
      <c r="M1822" s="487"/>
      <c r="N1822" s="493"/>
      <c r="O1822" s="493"/>
      <c r="P1822" s="493"/>
    </row>
    <row r="1823" spans="1:16" x14ac:dyDescent="0.3">
      <c r="A1823" s="487" t="b">
        <v>0</v>
      </c>
      <c r="B1823" s="487"/>
      <c r="C1823" s="487" t="s">
        <v>5339</v>
      </c>
      <c r="D1823" s="502">
        <v>21</v>
      </c>
      <c r="E1823" s="490"/>
      <c r="F1823" s="493"/>
      <c r="G1823" s="492"/>
      <c r="H1823" s="502"/>
      <c r="I1823" s="493"/>
      <c r="J1823" s="493"/>
      <c r="K1823" s="487" t="str">
        <f ca="1">IFERROR(VLOOKUP(C1823,' Disaggregation - Section E '!A$618:N1035,3,0),"")</f>
        <v/>
      </c>
      <c r="L1823" s="487"/>
      <c r="M1823" s="487"/>
      <c r="N1823" s="493"/>
      <c r="O1823" s="493"/>
      <c r="P1823" s="493"/>
    </row>
    <row r="1824" spans="1:16" x14ac:dyDescent="0.3">
      <c r="A1824" s="487" t="b">
        <v>0</v>
      </c>
      <c r="B1824" s="487"/>
      <c r="C1824" s="487" t="s">
        <v>5341</v>
      </c>
      <c r="D1824" s="502">
        <v>21</v>
      </c>
      <c r="E1824" s="490"/>
      <c r="F1824" s="493"/>
      <c r="G1824" s="492"/>
      <c r="H1824" s="502"/>
      <c r="I1824" s="493"/>
      <c r="J1824" s="493"/>
      <c r="K1824" s="487" t="str">
        <f ca="1">IFERROR(VLOOKUP(C1824,' Disaggregation - Section E '!A$618:N1036,3,0),"")</f>
        <v/>
      </c>
      <c r="L1824" s="487"/>
      <c r="M1824" s="487"/>
      <c r="N1824" s="493"/>
      <c r="O1824" s="493"/>
      <c r="P1824" s="493"/>
    </row>
    <row r="1825" spans="1:16" x14ac:dyDescent="0.3">
      <c r="A1825" s="487" t="b">
        <v>0</v>
      </c>
      <c r="B1825" s="487"/>
      <c r="C1825" s="487" t="s">
        <v>5343</v>
      </c>
      <c r="D1825" s="502">
        <v>21</v>
      </c>
      <c r="E1825" s="490"/>
      <c r="F1825" s="493"/>
      <c r="G1825" s="492"/>
      <c r="H1825" s="502"/>
      <c r="I1825" s="493"/>
      <c r="J1825" s="493"/>
      <c r="K1825" s="487" t="str">
        <f ca="1">IFERROR(VLOOKUP(C1825,' Disaggregation - Section E '!A$618:N1037,3,0),"")</f>
        <v/>
      </c>
      <c r="L1825" s="487"/>
      <c r="M1825" s="487"/>
      <c r="N1825" s="493"/>
      <c r="O1825" s="493"/>
      <c r="P1825" s="493"/>
    </row>
    <row r="1826" spans="1:16" x14ac:dyDescent="0.3">
      <c r="A1826" s="487" t="b">
        <v>0</v>
      </c>
      <c r="B1826" s="487"/>
      <c r="C1826" s="487" t="s">
        <v>5345</v>
      </c>
      <c r="D1826" s="502">
        <v>21</v>
      </c>
      <c r="E1826" s="490"/>
      <c r="F1826" s="493"/>
      <c r="G1826" s="492"/>
      <c r="H1826" s="502"/>
      <c r="I1826" s="493"/>
      <c r="J1826" s="493"/>
      <c r="K1826" s="487" t="str">
        <f ca="1">IFERROR(VLOOKUP(C1826,' Disaggregation - Section E '!A$618:N1038,3,0),"")</f>
        <v/>
      </c>
      <c r="L1826" s="487"/>
      <c r="M1826" s="487"/>
      <c r="N1826" s="493"/>
      <c r="O1826" s="493"/>
      <c r="P1826" s="493"/>
    </row>
    <row r="1827" spans="1:16" x14ac:dyDescent="0.3">
      <c r="A1827" s="487" t="b">
        <v>0</v>
      </c>
      <c r="B1827" s="487"/>
      <c r="C1827" s="487" t="s">
        <v>5347</v>
      </c>
      <c r="D1827" s="502">
        <v>21</v>
      </c>
      <c r="E1827" s="490"/>
      <c r="F1827" s="493"/>
      <c r="G1827" s="492"/>
      <c r="H1827" s="502"/>
      <c r="I1827" s="493"/>
      <c r="J1827" s="493"/>
      <c r="K1827" s="487" t="str">
        <f ca="1">IFERROR(VLOOKUP(C1827,' Disaggregation - Section E '!A$618:N1039,3,0),"")</f>
        <v/>
      </c>
      <c r="L1827" s="487"/>
      <c r="M1827" s="487"/>
      <c r="N1827" s="493"/>
      <c r="O1827" s="493"/>
      <c r="P1827" s="493"/>
    </row>
    <row r="1828" spans="1:16" x14ac:dyDescent="0.3">
      <c r="A1828" s="487" t="b">
        <v>0</v>
      </c>
      <c r="B1828" s="487"/>
      <c r="C1828" s="487" t="s">
        <v>5349</v>
      </c>
      <c r="D1828" s="502">
        <v>21</v>
      </c>
      <c r="E1828" s="490"/>
      <c r="F1828" s="493"/>
      <c r="G1828" s="492"/>
      <c r="H1828" s="502"/>
      <c r="I1828" s="493"/>
      <c r="J1828" s="493"/>
      <c r="K1828" s="487" t="str">
        <f ca="1">IFERROR(VLOOKUP(C1828,' Disaggregation - Section E '!A$618:N1040,3,0),"")</f>
        <v/>
      </c>
      <c r="L1828" s="487"/>
      <c r="M1828" s="487"/>
      <c r="N1828" s="493"/>
      <c r="O1828" s="493"/>
      <c r="P1828" s="493"/>
    </row>
    <row r="1829" spans="1:16" x14ac:dyDescent="0.3">
      <c r="A1829" s="487" t="b">
        <v>0</v>
      </c>
      <c r="B1829" s="487"/>
      <c r="C1829" s="487" t="s">
        <v>5351</v>
      </c>
      <c r="D1829" s="502">
        <v>21</v>
      </c>
      <c r="E1829" s="490"/>
      <c r="F1829" s="493"/>
      <c r="G1829" s="492"/>
      <c r="H1829" s="502"/>
      <c r="I1829" s="493"/>
      <c r="J1829" s="493"/>
      <c r="K1829" s="487" t="str">
        <f ca="1">IFERROR(VLOOKUP(C1829,' Disaggregation - Section E '!A$618:N1041,3,0),"")</f>
        <v/>
      </c>
      <c r="L1829" s="487"/>
      <c r="M1829" s="487"/>
      <c r="N1829" s="493"/>
      <c r="O1829" s="493"/>
      <c r="P1829" s="493"/>
    </row>
    <row r="1830" spans="1:16" x14ac:dyDescent="0.3">
      <c r="A1830" s="487" t="b">
        <v>0</v>
      </c>
      <c r="B1830" s="487"/>
      <c r="C1830" s="487" t="s">
        <v>5353</v>
      </c>
      <c r="D1830" s="502">
        <v>21</v>
      </c>
      <c r="E1830" s="490"/>
      <c r="F1830" s="493"/>
      <c r="G1830" s="492"/>
      <c r="H1830" s="502"/>
      <c r="I1830" s="493"/>
      <c r="J1830" s="493"/>
      <c r="K1830" s="487" t="str">
        <f ca="1">IFERROR(VLOOKUP(C1830,' Disaggregation - Section E '!A$618:N1042,3,0),"")</f>
        <v/>
      </c>
      <c r="L1830" s="487"/>
      <c r="M1830" s="487"/>
      <c r="N1830" s="493"/>
      <c r="O1830" s="493"/>
      <c r="P1830" s="493"/>
    </row>
    <row r="1831" spans="1:16" x14ac:dyDescent="0.3">
      <c r="A1831" s="487" t="b">
        <v>0</v>
      </c>
      <c r="B1831" s="487"/>
      <c r="C1831" s="487" t="s">
        <v>5355</v>
      </c>
      <c r="D1831" s="502">
        <v>21</v>
      </c>
      <c r="E1831" s="490"/>
      <c r="F1831" s="493"/>
      <c r="G1831" s="492"/>
      <c r="H1831" s="502"/>
      <c r="I1831" s="493"/>
      <c r="J1831" s="493"/>
      <c r="K1831" s="487" t="str">
        <f ca="1">IFERROR(VLOOKUP(C1831,' Disaggregation - Section E '!A$618:N1043,3,0),"")</f>
        <v/>
      </c>
      <c r="L1831" s="487"/>
      <c r="M1831" s="487"/>
      <c r="N1831" s="493"/>
      <c r="O1831" s="493"/>
      <c r="P1831" s="493"/>
    </row>
    <row r="1832" spans="1:16" x14ac:dyDescent="0.3">
      <c r="A1832" s="487" t="b">
        <v>0</v>
      </c>
      <c r="B1832" s="487"/>
      <c r="C1832" s="487" t="s">
        <v>5358</v>
      </c>
      <c r="D1832" s="502">
        <v>22</v>
      </c>
      <c r="E1832" s="490"/>
      <c r="F1832" s="493"/>
      <c r="G1832" s="492"/>
      <c r="H1832" s="502"/>
      <c r="I1832" s="493"/>
      <c r="J1832" s="493"/>
      <c r="K1832" s="487" t="str">
        <f ca="1">IFERROR(VLOOKUP(C1832,' Disaggregation - Section E '!A$618:N1044,3,0),"")</f>
        <v/>
      </c>
      <c r="L1832" s="487"/>
      <c r="M1832" s="487"/>
      <c r="N1832" s="493"/>
      <c r="O1832" s="493"/>
      <c r="P1832" s="493"/>
    </row>
    <row r="1833" spans="1:16" x14ac:dyDescent="0.3">
      <c r="A1833" s="487" t="b">
        <v>0</v>
      </c>
      <c r="B1833" s="487"/>
      <c r="C1833" s="487" t="s">
        <v>5360</v>
      </c>
      <c r="D1833" s="502">
        <v>22</v>
      </c>
      <c r="E1833" s="490"/>
      <c r="F1833" s="493"/>
      <c r="G1833" s="492"/>
      <c r="H1833" s="502"/>
      <c r="I1833" s="493"/>
      <c r="J1833" s="493"/>
      <c r="K1833" s="487" t="str">
        <f ca="1">IFERROR(VLOOKUP(C1833,' Disaggregation - Section E '!A$618:N1045,3,0),"")</f>
        <v/>
      </c>
      <c r="L1833" s="487"/>
      <c r="M1833" s="487"/>
      <c r="N1833" s="493"/>
      <c r="O1833" s="493"/>
      <c r="P1833" s="493"/>
    </row>
    <row r="1834" spans="1:16" x14ac:dyDescent="0.3">
      <c r="A1834" s="487" t="b">
        <v>0</v>
      </c>
      <c r="B1834" s="487"/>
      <c r="C1834" s="487" t="s">
        <v>5362</v>
      </c>
      <c r="D1834" s="502">
        <v>22</v>
      </c>
      <c r="E1834" s="490"/>
      <c r="F1834" s="493"/>
      <c r="G1834" s="492"/>
      <c r="H1834" s="502"/>
      <c r="I1834" s="493"/>
      <c r="J1834" s="493"/>
      <c r="K1834" s="487" t="str">
        <f ca="1">IFERROR(VLOOKUP(C1834,' Disaggregation - Section E '!A$618:N1046,3,0),"")</f>
        <v/>
      </c>
      <c r="L1834" s="487"/>
      <c r="M1834" s="487"/>
      <c r="N1834" s="493"/>
      <c r="O1834" s="493"/>
      <c r="P1834" s="493"/>
    </row>
    <row r="1835" spans="1:16" x14ac:dyDescent="0.3">
      <c r="A1835" s="487" t="b">
        <v>0</v>
      </c>
      <c r="B1835" s="487"/>
      <c r="C1835" s="487" t="s">
        <v>5364</v>
      </c>
      <c r="D1835" s="502">
        <v>22</v>
      </c>
      <c r="E1835" s="490"/>
      <c r="F1835" s="493"/>
      <c r="G1835" s="492"/>
      <c r="H1835" s="502"/>
      <c r="I1835" s="493"/>
      <c r="J1835" s="493"/>
      <c r="K1835" s="487" t="str">
        <f ca="1">IFERROR(VLOOKUP(C1835,' Disaggregation - Section E '!A$618:N1047,3,0),"")</f>
        <v/>
      </c>
      <c r="L1835" s="487"/>
      <c r="M1835" s="487"/>
      <c r="N1835" s="493"/>
      <c r="O1835" s="493"/>
      <c r="P1835" s="493"/>
    </row>
    <row r="1836" spans="1:16" x14ac:dyDescent="0.3">
      <c r="A1836" s="487" t="b">
        <v>0</v>
      </c>
      <c r="B1836" s="487"/>
      <c r="C1836" s="487" t="s">
        <v>5366</v>
      </c>
      <c r="D1836" s="502">
        <v>22</v>
      </c>
      <c r="E1836" s="490"/>
      <c r="F1836" s="493"/>
      <c r="G1836" s="492"/>
      <c r="H1836" s="502"/>
      <c r="I1836" s="493"/>
      <c r="J1836" s="493"/>
      <c r="K1836" s="487" t="str">
        <f ca="1">IFERROR(VLOOKUP(C1836,' Disaggregation - Section E '!A$618:N1048,3,0),"")</f>
        <v/>
      </c>
      <c r="L1836" s="487"/>
      <c r="M1836" s="487"/>
      <c r="N1836" s="493"/>
      <c r="O1836" s="493"/>
      <c r="P1836" s="493"/>
    </row>
    <row r="1837" spans="1:16" x14ac:dyDescent="0.3">
      <c r="A1837" s="487" t="b">
        <v>0</v>
      </c>
      <c r="B1837" s="487"/>
      <c r="C1837" s="487" t="s">
        <v>5368</v>
      </c>
      <c r="D1837" s="502">
        <v>22</v>
      </c>
      <c r="E1837" s="490"/>
      <c r="F1837" s="493"/>
      <c r="G1837" s="492"/>
      <c r="H1837" s="502"/>
      <c r="I1837" s="493"/>
      <c r="J1837" s="493"/>
      <c r="K1837" s="487" t="str">
        <f ca="1">IFERROR(VLOOKUP(C1837,' Disaggregation - Section E '!A$618:N1049,3,0),"")</f>
        <v/>
      </c>
      <c r="L1837" s="487"/>
      <c r="M1837" s="487"/>
      <c r="N1837" s="493"/>
      <c r="O1837" s="493"/>
      <c r="P1837" s="493"/>
    </row>
    <row r="1838" spans="1:16" x14ac:dyDescent="0.3">
      <c r="A1838" s="487" t="b">
        <v>0</v>
      </c>
      <c r="B1838" s="487"/>
      <c r="C1838" s="487" t="s">
        <v>5370</v>
      </c>
      <c r="D1838" s="502">
        <v>22</v>
      </c>
      <c r="E1838" s="490"/>
      <c r="F1838" s="493"/>
      <c r="G1838" s="492"/>
      <c r="H1838" s="502"/>
      <c r="I1838" s="493"/>
      <c r="J1838" s="493"/>
      <c r="K1838" s="487" t="str">
        <f ca="1">IFERROR(VLOOKUP(C1838,' Disaggregation - Section E '!A$618:N1050,3,0),"")</f>
        <v/>
      </c>
      <c r="L1838" s="487"/>
      <c r="M1838" s="487"/>
      <c r="N1838" s="493"/>
      <c r="O1838" s="493"/>
      <c r="P1838" s="493"/>
    </row>
    <row r="1839" spans="1:16" x14ac:dyDescent="0.3">
      <c r="A1839" s="487" t="b">
        <v>0</v>
      </c>
      <c r="B1839" s="487"/>
      <c r="C1839" s="487" t="s">
        <v>5372</v>
      </c>
      <c r="D1839" s="502">
        <v>22</v>
      </c>
      <c r="E1839" s="490"/>
      <c r="F1839" s="493"/>
      <c r="G1839" s="492"/>
      <c r="H1839" s="502"/>
      <c r="I1839" s="493"/>
      <c r="J1839" s="493"/>
      <c r="K1839" s="487" t="str">
        <f ca="1">IFERROR(VLOOKUP(C1839,' Disaggregation - Section E '!A$618:N1051,3,0),"")</f>
        <v/>
      </c>
      <c r="L1839" s="487"/>
      <c r="M1839" s="487"/>
      <c r="N1839" s="493"/>
      <c r="O1839" s="493"/>
      <c r="P1839" s="493"/>
    </row>
    <row r="1840" spans="1:16" x14ac:dyDescent="0.3">
      <c r="A1840" s="487" t="b">
        <v>0</v>
      </c>
      <c r="B1840" s="487"/>
      <c r="C1840" s="487" t="s">
        <v>5374</v>
      </c>
      <c r="D1840" s="502">
        <v>22</v>
      </c>
      <c r="E1840" s="490"/>
      <c r="F1840" s="493"/>
      <c r="G1840" s="492"/>
      <c r="H1840" s="502"/>
      <c r="I1840" s="493"/>
      <c r="J1840" s="493"/>
      <c r="K1840" s="487" t="str">
        <f ca="1">IFERROR(VLOOKUP(C1840,' Disaggregation - Section E '!A$618:N1052,3,0),"")</f>
        <v/>
      </c>
      <c r="L1840" s="487"/>
      <c r="M1840" s="487"/>
      <c r="N1840" s="493"/>
      <c r="O1840" s="493"/>
      <c r="P1840" s="493"/>
    </row>
    <row r="1841" spans="1:16" x14ac:dyDescent="0.3">
      <c r="A1841" s="487" t="b">
        <v>0</v>
      </c>
      <c r="B1841" s="487"/>
      <c r="C1841" s="487" t="s">
        <v>5376</v>
      </c>
      <c r="D1841" s="502">
        <v>22</v>
      </c>
      <c r="E1841" s="490"/>
      <c r="F1841" s="493"/>
      <c r="G1841" s="492"/>
      <c r="H1841" s="502"/>
      <c r="I1841" s="493"/>
      <c r="J1841" s="493"/>
      <c r="K1841" s="487" t="str">
        <f ca="1">IFERROR(VLOOKUP(C1841,' Disaggregation - Section E '!A$618:N1053,3,0),"")</f>
        <v/>
      </c>
      <c r="L1841" s="487"/>
      <c r="M1841" s="487"/>
      <c r="N1841" s="493"/>
      <c r="O1841" s="493"/>
      <c r="P1841" s="493"/>
    </row>
    <row r="1842" spans="1:16" x14ac:dyDescent="0.3">
      <c r="A1842" s="487" t="b">
        <v>0</v>
      </c>
      <c r="B1842" s="487"/>
      <c r="C1842" s="487" t="s">
        <v>5378</v>
      </c>
      <c r="D1842" s="502">
        <v>22</v>
      </c>
      <c r="E1842" s="490"/>
      <c r="F1842" s="493"/>
      <c r="G1842" s="492"/>
      <c r="H1842" s="502"/>
      <c r="I1842" s="493"/>
      <c r="J1842" s="493"/>
      <c r="K1842" s="487" t="str">
        <f ca="1">IFERROR(VLOOKUP(C1842,' Disaggregation - Section E '!A$618:N1054,3,0),"")</f>
        <v/>
      </c>
      <c r="L1842" s="487"/>
      <c r="M1842" s="487"/>
      <c r="N1842" s="493"/>
      <c r="O1842" s="493"/>
      <c r="P1842" s="493"/>
    </row>
    <row r="1843" spans="1:16" x14ac:dyDescent="0.3">
      <c r="A1843" s="487" t="b">
        <v>0</v>
      </c>
      <c r="B1843" s="487"/>
      <c r="C1843" s="487" t="s">
        <v>5380</v>
      </c>
      <c r="D1843" s="502">
        <v>22</v>
      </c>
      <c r="E1843" s="490"/>
      <c r="F1843" s="493"/>
      <c r="G1843" s="492"/>
      <c r="H1843" s="502"/>
      <c r="I1843" s="493"/>
      <c r="J1843" s="493"/>
      <c r="K1843" s="487" t="str">
        <f ca="1">IFERROR(VLOOKUP(C1843,' Disaggregation - Section E '!A$618:N1055,3,0),"")</f>
        <v/>
      </c>
      <c r="L1843" s="487"/>
      <c r="M1843" s="487"/>
      <c r="N1843" s="493"/>
      <c r="O1843" s="493"/>
      <c r="P1843" s="493"/>
    </row>
    <row r="1844" spans="1:16" x14ac:dyDescent="0.3">
      <c r="A1844" s="487" t="b">
        <v>0</v>
      </c>
      <c r="B1844" s="487"/>
      <c r="C1844" s="487" t="s">
        <v>5382</v>
      </c>
      <c r="D1844" s="502">
        <v>22</v>
      </c>
      <c r="E1844" s="490"/>
      <c r="F1844" s="493"/>
      <c r="G1844" s="492"/>
      <c r="H1844" s="502"/>
      <c r="I1844" s="493"/>
      <c r="J1844" s="493"/>
      <c r="K1844" s="487" t="str">
        <f ca="1">IFERROR(VLOOKUP(C1844,' Disaggregation - Section E '!A$618:N1056,3,0),"")</f>
        <v/>
      </c>
      <c r="L1844" s="487"/>
      <c r="M1844" s="487"/>
      <c r="N1844" s="493"/>
      <c r="O1844" s="493"/>
      <c r="P1844" s="493"/>
    </row>
    <row r="1845" spans="1:16" x14ac:dyDescent="0.3">
      <c r="A1845" s="487" t="b">
        <v>0</v>
      </c>
      <c r="B1845" s="487"/>
      <c r="C1845" s="487" t="s">
        <v>5384</v>
      </c>
      <c r="D1845" s="502">
        <v>22</v>
      </c>
      <c r="E1845" s="490"/>
      <c r="F1845" s="493"/>
      <c r="G1845" s="492"/>
      <c r="H1845" s="502"/>
      <c r="I1845" s="493"/>
      <c r="J1845" s="493"/>
      <c r="K1845" s="487" t="str">
        <f ca="1">IFERROR(VLOOKUP(C1845,' Disaggregation - Section E '!A$618:N1057,3,0),"")</f>
        <v/>
      </c>
      <c r="L1845" s="487"/>
      <c r="M1845" s="487"/>
      <c r="N1845" s="493"/>
      <c r="O1845" s="493"/>
      <c r="P1845" s="493"/>
    </row>
    <row r="1846" spans="1:16" x14ac:dyDescent="0.3">
      <c r="A1846" s="487" t="b">
        <v>0</v>
      </c>
      <c r="B1846" s="487"/>
      <c r="C1846" s="487" t="s">
        <v>5386</v>
      </c>
      <c r="D1846" s="502">
        <v>22</v>
      </c>
      <c r="E1846" s="490"/>
      <c r="F1846" s="493"/>
      <c r="G1846" s="492"/>
      <c r="H1846" s="502"/>
      <c r="I1846" s="493"/>
      <c r="J1846" s="493"/>
      <c r="K1846" s="487" t="str">
        <f ca="1">IFERROR(VLOOKUP(C1846,' Disaggregation - Section E '!A$618:N1058,3,0),"")</f>
        <v/>
      </c>
      <c r="L1846" s="487"/>
      <c r="M1846" s="487"/>
      <c r="N1846" s="493"/>
      <c r="O1846" s="493"/>
      <c r="P1846" s="493"/>
    </row>
    <row r="1847" spans="1:16" x14ac:dyDescent="0.3">
      <c r="A1847" s="487" t="b">
        <v>0</v>
      </c>
      <c r="B1847" s="487"/>
      <c r="C1847" s="487" t="s">
        <v>5388</v>
      </c>
      <c r="D1847" s="502">
        <v>22</v>
      </c>
      <c r="E1847" s="490"/>
      <c r="F1847" s="493"/>
      <c r="G1847" s="492"/>
      <c r="H1847" s="502"/>
      <c r="I1847" s="493"/>
      <c r="J1847" s="493"/>
      <c r="K1847" s="487" t="str">
        <f ca="1">IFERROR(VLOOKUP(C1847,' Disaggregation - Section E '!A$618:N1059,3,0),"")</f>
        <v/>
      </c>
      <c r="L1847" s="487"/>
      <c r="M1847" s="487"/>
      <c r="N1847" s="493"/>
      <c r="O1847" s="493"/>
      <c r="P1847" s="493"/>
    </row>
    <row r="1848" spans="1:16" x14ac:dyDescent="0.3">
      <c r="A1848" s="487" t="b">
        <v>0</v>
      </c>
      <c r="B1848" s="487"/>
      <c r="C1848" s="487" t="s">
        <v>5390</v>
      </c>
      <c r="D1848" s="502">
        <v>22</v>
      </c>
      <c r="E1848" s="490"/>
      <c r="F1848" s="493"/>
      <c r="G1848" s="492"/>
      <c r="H1848" s="502"/>
      <c r="I1848" s="493"/>
      <c r="J1848" s="493"/>
      <c r="K1848" s="487" t="str">
        <f ca="1">IFERROR(VLOOKUP(C1848,' Disaggregation - Section E '!A$618:N1060,3,0),"")</f>
        <v/>
      </c>
      <c r="L1848" s="487"/>
      <c r="M1848" s="487"/>
      <c r="N1848" s="493"/>
      <c r="O1848" s="493"/>
      <c r="P1848" s="493"/>
    </row>
    <row r="1849" spans="1:16" x14ac:dyDescent="0.3">
      <c r="A1849" s="487" t="b">
        <v>0</v>
      </c>
      <c r="B1849" s="487"/>
      <c r="C1849" s="487" t="s">
        <v>5392</v>
      </c>
      <c r="D1849" s="502">
        <v>22</v>
      </c>
      <c r="E1849" s="490"/>
      <c r="F1849" s="493"/>
      <c r="G1849" s="492"/>
      <c r="H1849" s="502"/>
      <c r="I1849" s="493"/>
      <c r="J1849" s="493"/>
      <c r="K1849" s="487" t="str">
        <f ca="1">IFERROR(VLOOKUP(C1849,' Disaggregation - Section E '!A$618:N1061,3,0),"")</f>
        <v/>
      </c>
      <c r="L1849" s="487"/>
      <c r="M1849" s="487"/>
      <c r="N1849" s="493"/>
      <c r="O1849" s="493"/>
      <c r="P1849" s="493"/>
    </row>
    <row r="1850" spans="1:16" x14ac:dyDescent="0.3">
      <c r="A1850" s="487" t="b">
        <v>0</v>
      </c>
      <c r="B1850" s="487"/>
      <c r="C1850" s="487" t="s">
        <v>5394</v>
      </c>
      <c r="D1850" s="502">
        <v>22</v>
      </c>
      <c r="E1850" s="490"/>
      <c r="F1850" s="493"/>
      <c r="G1850" s="492"/>
      <c r="H1850" s="502"/>
      <c r="I1850" s="493"/>
      <c r="J1850" s="493"/>
      <c r="K1850" s="487" t="str">
        <f ca="1">IFERROR(VLOOKUP(C1850,' Disaggregation - Section E '!A$618:N1062,3,0),"")</f>
        <v/>
      </c>
      <c r="L1850" s="487"/>
      <c r="M1850" s="487"/>
      <c r="N1850" s="493"/>
      <c r="O1850" s="493"/>
      <c r="P1850" s="493"/>
    </row>
    <row r="1851" spans="1:16" x14ac:dyDescent="0.3">
      <c r="A1851" s="487" t="b">
        <v>0</v>
      </c>
      <c r="B1851" s="487"/>
      <c r="C1851" s="487" t="s">
        <v>5396</v>
      </c>
      <c r="D1851" s="502">
        <v>22</v>
      </c>
      <c r="E1851" s="490"/>
      <c r="F1851" s="493"/>
      <c r="G1851" s="492"/>
      <c r="H1851" s="502"/>
      <c r="I1851" s="493"/>
      <c r="J1851" s="493"/>
      <c r="K1851" s="487" t="str">
        <f ca="1">IFERROR(VLOOKUP(C1851,' Disaggregation - Section E '!A$618:N1063,3,0),"")</f>
        <v/>
      </c>
      <c r="L1851" s="487"/>
      <c r="M1851" s="487"/>
      <c r="N1851" s="493"/>
      <c r="O1851" s="493"/>
      <c r="P1851" s="493"/>
    </row>
    <row r="1852" spans="1:16" x14ac:dyDescent="0.3">
      <c r="A1852" s="487" t="b">
        <v>0</v>
      </c>
      <c r="B1852" s="487"/>
      <c r="C1852" s="487" t="s">
        <v>5399</v>
      </c>
      <c r="D1852" s="502">
        <v>23</v>
      </c>
      <c r="E1852" s="490"/>
      <c r="F1852" s="493"/>
      <c r="G1852" s="492"/>
      <c r="H1852" s="502"/>
      <c r="I1852" s="493"/>
      <c r="J1852" s="493"/>
      <c r="K1852" s="487" t="str">
        <f ca="1">IFERROR(VLOOKUP(C1852,' Disaggregation - Section E '!A$618:N1064,3,0),"")</f>
        <v/>
      </c>
      <c r="L1852" s="487"/>
      <c r="M1852" s="487"/>
      <c r="N1852" s="493"/>
      <c r="O1852" s="493"/>
      <c r="P1852" s="493"/>
    </row>
    <row r="1853" spans="1:16" x14ac:dyDescent="0.3">
      <c r="A1853" s="487" t="b">
        <v>0</v>
      </c>
      <c r="B1853" s="487"/>
      <c r="C1853" s="487" t="s">
        <v>5401</v>
      </c>
      <c r="D1853" s="502">
        <v>23</v>
      </c>
      <c r="E1853" s="490"/>
      <c r="F1853" s="493"/>
      <c r="G1853" s="492"/>
      <c r="H1853" s="502"/>
      <c r="I1853" s="493"/>
      <c r="J1853" s="493"/>
      <c r="K1853" s="487" t="str">
        <f ca="1">IFERROR(VLOOKUP(C1853,' Disaggregation - Section E '!A$618:N1065,3,0),"")</f>
        <v/>
      </c>
      <c r="L1853" s="487"/>
      <c r="M1853" s="487"/>
      <c r="N1853" s="493"/>
      <c r="O1853" s="493"/>
      <c r="P1853" s="493"/>
    </row>
    <row r="1854" spans="1:16" x14ac:dyDescent="0.3">
      <c r="A1854" s="487" t="b">
        <v>0</v>
      </c>
      <c r="B1854" s="487"/>
      <c r="C1854" s="487" t="s">
        <v>5403</v>
      </c>
      <c r="D1854" s="502">
        <v>23</v>
      </c>
      <c r="E1854" s="490"/>
      <c r="F1854" s="493"/>
      <c r="G1854" s="492"/>
      <c r="H1854" s="502"/>
      <c r="I1854" s="493"/>
      <c r="J1854" s="493"/>
      <c r="K1854" s="487" t="str">
        <f ca="1">IFERROR(VLOOKUP(C1854,' Disaggregation - Section E '!A$618:N1066,3,0),"")</f>
        <v/>
      </c>
      <c r="L1854" s="487"/>
      <c r="M1854" s="487"/>
      <c r="N1854" s="493"/>
      <c r="O1854" s="493"/>
      <c r="P1854" s="493"/>
    </row>
    <row r="1855" spans="1:16" x14ac:dyDescent="0.3">
      <c r="A1855" s="487" t="b">
        <v>0</v>
      </c>
      <c r="B1855" s="487"/>
      <c r="C1855" s="487" t="s">
        <v>5405</v>
      </c>
      <c r="D1855" s="502">
        <v>23</v>
      </c>
      <c r="E1855" s="490"/>
      <c r="F1855" s="493"/>
      <c r="G1855" s="492"/>
      <c r="H1855" s="502"/>
      <c r="I1855" s="493"/>
      <c r="J1855" s="493"/>
      <c r="K1855" s="487" t="str">
        <f ca="1">IFERROR(VLOOKUP(C1855,' Disaggregation - Section E '!A$618:N1067,3,0),"")</f>
        <v/>
      </c>
      <c r="L1855" s="487"/>
      <c r="M1855" s="487"/>
      <c r="N1855" s="493"/>
      <c r="O1855" s="493"/>
      <c r="P1855" s="493"/>
    </row>
    <row r="1856" spans="1:16" x14ac:dyDescent="0.3">
      <c r="A1856" s="487" t="b">
        <v>0</v>
      </c>
      <c r="B1856" s="487"/>
      <c r="C1856" s="487" t="s">
        <v>5407</v>
      </c>
      <c r="D1856" s="502">
        <v>23</v>
      </c>
      <c r="E1856" s="490"/>
      <c r="F1856" s="493"/>
      <c r="G1856" s="492"/>
      <c r="H1856" s="502"/>
      <c r="I1856" s="493"/>
      <c r="J1856" s="493"/>
      <c r="K1856" s="487" t="str">
        <f ca="1">IFERROR(VLOOKUP(C1856,' Disaggregation - Section E '!A$618:N1068,3,0),"")</f>
        <v/>
      </c>
      <c r="L1856" s="487"/>
      <c r="M1856" s="487"/>
      <c r="N1856" s="493"/>
      <c r="O1856" s="493"/>
      <c r="P1856" s="493"/>
    </row>
    <row r="1857" spans="1:16" x14ac:dyDescent="0.3">
      <c r="A1857" s="487" t="b">
        <v>0</v>
      </c>
      <c r="B1857" s="487"/>
      <c r="C1857" s="487" t="s">
        <v>5409</v>
      </c>
      <c r="D1857" s="502">
        <v>23</v>
      </c>
      <c r="E1857" s="490"/>
      <c r="F1857" s="493"/>
      <c r="G1857" s="492"/>
      <c r="H1857" s="502"/>
      <c r="I1857" s="493"/>
      <c r="J1857" s="493"/>
      <c r="K1857" s="487" t="str">
        <f ca="1">IFERROR(VLOOKUP(C1857,' Disaggregation - Section E '!A$618:N1069,3,0),"")</f>
        <v/>
      </c>
      <c r="L1857" s="487"/>
      <c r="M1857" s="487"/>
      <c r="N1857" s="493"/>
      <c r="O1857" s="493"/>
      <c r="P1857" s="493"/>
    </row>
    <row r="1858" spans="1:16" x14ac:dyDescent="0.3">
      <c r="A1858" s="487" t="b">
        <v>0</v>
      </c>
      <c r="B1858" s="487"/>
      <c r="C1858" s="487" t="s">
        <v>5411</v>
      </c>
      <c r="D1858" s="502">
        <v>23</v>
      </c>
      <c r="E1858" s="490"/>
      <c r="F1858" s="493"/>
      <c r="G1858" s="492"/>
      <c r="H1858" s="502"/>
      <c r="I1858" s="493"/>
      <c r="J1858" s="493"/>
      <c r="K1858" s="487" t="str">
        <f ca="1">IFERROR(VLOOKUP(C1858,' Disaggregation - Section E '!A$618:N1070,3,0),"")</f>
        <v/>
      </c>
      <c r="L1858" s="487"/>
      <c r="M1858" s="487"/>
      <c r="N1858" s="493"/>
      <c r="O1858" s="493"/>
      <c r="P1858" s="493"/>
    </row>
    <row r="1859" spans="1:16" x14ac:dyDescent="0.3">
      <c r="A1859" s="487" t="b">
        <v>0</v>
      </c>
      <c r="B1859" s="487"/>
      <c r="C1859" s="487" t="s">
        <v>5413</v>
      </c>
      <c r="D1859" s="502">
        <v>23</v>
      </c>
      <c r="E1859" s="490"/>
      <c r="F1859" s="493"/>
      <c r="G1859" s="492"/>
      <c r="H1859" s="502"/>
      <c r="I1859" s="493"/>
      <c r="J1859" s="493"/>
      <c r="K1859" s="487" t="str">
        <f ca="1">IFERROR(VLOOKUP(C1859,' Disaggregation - Section E '!A$618:N1071,3,0),"")</f>
        <v/>
      </c>
      <c r="L1859" s="487"/>
      <c r="M1859" s="487"/>
      <c r="N1859" s="493"/>
      <c r="O1859" s="493"/>
      <c r="P1859" s="493"/>
    </row>
    <row r="1860" spans="1:16" x14ac:dyDescent="0.3">
      <c r="A1860" s="487" t="b">
        <v>0</v>
      </c>
      <c r="B1860" s="487"/>
      <c r="C1860" s="487" t="s">
        <v>5415</v>
      </c>
      <c r="D1860" s="502">
        <v>23</v>
      </c>
      <c r="E1860" s="490"/>
      <c r="F1860" s="493"/>
      <c r="G1860" s="492"/>
      <c r="H1860" s="502"/>
      <c r="I1860" s="493"/>
      <c r="J1860" s="493"/>
      <c r="K1860" s="487" t="str">
        <f ca="1">IFERROR(VLOOKUP(C1860,' Disaggregation - Section E '!A$618:N1072,3,0),"")</f>
        <v/>
      </c>
      <c r="L1860" s="487"/>
      <c r="M1860" s="487"/>
      <c r="N1860" s="493"/>
      <c r="O1860" s="493"/>
      <c r="P1860" s="493"/>
    </row>
    <row r="1861" spans="1:16" x14ac:dyDescent="0.3">
      <c r="A1861" s="487" t="b">
        <v>0</v>
      </c>
      <c r="B1861" s="487"/>
      <c r="C1861" s="487" t="s">
        <v>5417</v>
      </c>
      <c r="D1861" s="502">
        <v>23</v>
      </c>
      <c r="E1861" s="490"/>
      <c r="F1861" s="493"/>
      <c r="G1861" s="492"/>
      <c r="H1861" s="502"/>
      <c r="I1861" s="493"/>
      <c r="J1861" s="493"/>
      <c r="K1861" s="487" t="str">
        <f ca="1">IFERROR(VLOOKUP(C1861,' Disaggregation - Section E '!A$618:N1073,3,0),"")</f>
        <v/>
      </c>
      <c r="L1861" s="487"/>
      <c r="M1861" s="487"/>
      <c r="N1861" s="493"/>
      <c r="O1861" s="493"/>
      <c r="P1861" s="493"/>
    </row>
    <row r="1862" spans="1:16" x14ac:dyDescent="0.3">
      <c r="A1862" s="487" t="b">
        <v>0</v>
      </c>
      <c r="B1862" s="487"/>
      <c r="C1862" s="487" t="s">
        <v>5419</v>
      </c>
      <c r="D1862" s="502">
        <v>23</v>
      </c>
      <c r="E1862" s="490"/>
      <c r="F1862" s="493"/>
      <c r="G1862" s="492"/>
      <c r="H1862" s="502"/>
      <c r="I1862" s="493"/>
      <c r="J1862" s="493"/>
      <c r="K1862" s="487" t="str">
        <f ca="1">IFERROR(VLOOKUP(C1862,' Disaggregation - Section E '!A$618:N1074,3,0),"")</f>
        <v/>
      </c>
      <c r="L1862" s="487"/>
      <c r="M1862" s="487"/>
      <c r="N1862" s="493"/>
      <c r="O1862" s="493"/>
      <c r="P1862" s="493"/>
    </row>
    <row r="1863" spans="1:16" x14ac:dyDescent="0.3">
      <c r="A1863" s="487" t="b">
        <v>0</v>
      </c>
      <c r="B1863" s="487"/>
      <c r="C1863" s="487" t="s">
        <v>5421</v>
      </c>
      <c r="D1863" s="502">
        <v>23</v>
      </c>
      <c r="E1863" s="490"/>
      <c r="F1863" s="493"/>
      <c r="G1863" s="492"/>
      <c r="H1863" s="502"/>
      <c r="I1863" s="493"/>
      <c r="J1863" s="493"/>
      <c r="K1863" s="487" t="str">
        <f ca="1">IFERROR(VLOOKUP(C1863,' Disaggregation - Section E '!A$618:N1075,3,0),"")</f>
        <v/>
      </c>
      <c r="L1863" s="487"/>
      <c r="M1863" s="487"/>
      <c r="N1863" s="493"/>
      <c r="O1863" s="493"/>
      <c r="P1863" s="493"/>
    </row>
    <row r="1864" spans="1:16" x14ac:dyDescent="0.3">
      <c r="A1864" s="487" t="b">
        <v>0</v>
      </c>
      <c r="B1864" s="487"/>
      <c r="C1864" s="487" t="s">
        <v>5423</v>
      </c>
      <c r="D1864" s="502">
        <v>23</v>
      </c>
      <c r="E1864" s="490"/>
      <c r="F1864" s="493"/>
      <c r="G1864" s="492"/>
      <c r="H1864" s="502"/>
      <c r="I1864" s="493"/>
      <c r="J1864" s="493"/>
      <c r="K1864" s="487" t="str">
        <f ca="1">IFERROR(VLOOKUP(C1864,' Disaggregation - Section E '!A$618:N1076,3,0),"")</f>
        <v/>
      </c>
      <c r="L1864" s="487"/>
      <c r="M1864" s="487"/>
      <c r="N1864" s="493"/>
      <c r="O1864" s="493"/>
      <c r="P1864" s="493"/>
    </row>
    <row r="1865" spans="1:16" x14ac:dyDescent="0.3">
      <c r="A1865" s="487" t="b">
        <v>0</v>
      </c>
      <c r="B1865" s="487"/>
      <c r="C1865" s="487" t="s">
        <v>5425</v>
      </c>
      <c r="D1865" s="502">
        <v>23</v>
      </c>
      <c r="E1865" s="490"/>
      <c r="F1865" s="493"/>
      <c r="G1865" s="492"/>
      <c r="H1865" s="502"/>
      <c r="I1865" s="493"/>
      <c r="J1865" s="493"/>
      <c r="K1865" s="487" t="str">
        <f ca="1">IFERROR(VLOOKUP(C1865,' Disaggregation - Section E '!A$618:N1077,3,0),"")</f>
        <v/>
      </c>
      <c r="L1865" s="487"/>
      <c r="M1865" s="487"/>
      <c r="N1865" s="493"/>
      <c r="O1865" s="493"/>
      <c r="P1865" s="493"/>
    </row>
    <row r="1866" spans="1:16" x14ac:dyDescent="0.3">
      <c r="A1866" s="487" t="b">
        <v>0</v>
      </c>
      <c r="B1866" s="487"/>
      <c r="C1866" s="487" t="s">
        <v>5427</v>
      </c>
      <c r="D1866" s="502">
        <v>23</v>
      </c>
      <c r="E1866" s="490"/>
      <c r="F1866" s="493"/>
      <c r="G1866" s="492"/>
      <c r="H1866" s="502"/>
      <c r="I1866" s="493"/>
      <c r="J1866" s="493"/>
      <c r="K1866" s="487" t="str">
        <f ca="1">IFERROR(VLOOKUP(C1866,' Disaggregation - Section E '!A$618:N1078,3,0),"")</f>
        <v/>
      </c>
      <c r="L1866" s="487"/>
      <c r="M1866" s="487"/>
      <c r="N1866" s="493"/>
      <c r="O1866" s="493"/>
      <c r="P1866" s="493"/>
    </row>
    <row r="1867" spans="1:16" x14ac:dyDescent="0.3">
      <c r="A1867" s="487" t="b">
        <v>0</v>
      </c>
      <c r="B1867" s="487"/>
      <c r="C1867" s="487" t="s">
        <v>5429</v>
      </c>
      <c r="D1867" s="502">
        <v>23</v>
      </c>
      <c r="E1867" s="490"/>
      <c r="F1867" s="493"/>
      <c r="G1867" s="492"/>
      <c r="H1867" s="502"/>
      <c r="I1867" s="493"/>
      <c r="J1867" s="493"/>
      <c r="K1867" s="487" t="str">
        <f ca="1">IFERROR(VLOOKUP(C1867,' Disaggregation - Section E '!A$618:N1079,3,0),"")</f>
        <v/>
      </c>
      <c r="L1867" s="487"/>
      <c r="M1867" s="487"/>
      <c r="N1867" s="493"/>
      <c r="O1867" s="493"/>
      <c r="P1867" s="493"/>
    </row>
    <row r="1868" spans="1:16" x14ac:dyDescent="0.3">
      <c r="A1868" s="487" t="b">
        <v>0</v>
      </c>
      <c r="B1868" s="487"/>
      <c r="C1868" s="487" t="s">
        <v>5431</v>
      </c>
      <c r="D1868" s="502">
        <v>23</v>
      </c>
      <c r="E1868" s="490"/>
      <c r="F1868" s="493"/>
      <c r="G1868" s="492"/>
      <c r="H1868" s="502"/>
      <c r="I1868" s="493"/>
      <c r="J1868" s="493"/>
      <c r="K1868" s="487" t="str">
        <f ca="1">IFERROR(VLOOKUP(C1868,' Disaggregation - Section E '!A$618:N1080,3,0),"")</f>
        <v/>
      </c>
      <c r="L1868" s="487"/>
      <c r="M1868" s="487"/>
      <c r="N1868" s="493"/>
      <c r="O1868" s="493"/>
      <c r="P1868" s="493"/>
    </row>
    <row r="1869" spans="1:16" x14ac:dyDescent="0.3">
      <c r="A1869" s="487" t="b">
        <v>0</v>
      </c>
      <c r="B1869" s="487"/>
      <c r="C1869" s="487" t="s">
        <v>5433</v>
      </c>
      <c r="D1869" s="502">
        <v>23</v>
      </c>
      <c r="E1869" s="490"/>
      <c r="F1869" s="493"/>
      <c r="G1869" s="492"/>
      <c r="H1869" s="502"/>
      <c r="I1869" s="493"/>
      <c r="J1869" s="493"/>
      <c r="K1869" s="487" t="str">
        <f ca="1">IFERROR(VLOOKUP(C1869,' Disaggregation - Section E '!A$618:N1081,3,0),"")</f>
        <v/>
      </c>
      <c r="L1869" s="487"/>
      <c r="M1869" s="487"/>
      <c r="N1869" s="493"/>
      <c r="O1869" s="493"/>
      <c r="P1869" s="493"/>
    </row>
    <row r="1870" spans="1:16" x14ac:dyDescent="0.3">
      <c r="A1870" s="487" t="b">
        <v>0</v>
      </c>
      <c r="B1870" s="487"/>
      <c r="C1870" s="487" t="s">
        <v>5435</v>
      </c>
      <c r="D1870" s="502">
        <v>23</v>
      </c>
      <c r="E1870" s="490"/>
      <c r="F1870" s="493"/>
      <c r="G1870" s="492"/>
      <c r="H1870" s="502"/>
      <c r="I1870" s="493"/>
      <c r="J1870" s="493"/>
      <c r="K1870" s="487" t="str">
        <f ca="1">IFERROR(VLOOKUP(C1870,' Disaggregation - Section E '!A$618:N1082,3,0),"")</f>
        <v/>
      </c>
      <c r="L1870" s="487"/>
      <c r="M1870" s="487"/>
      <c r="N1870" s="493"/>
      <c r="O1870" s="493"/>
      <c r="P1870" s="493"/>
    </row>
    <row r="1871" spans="1:16" x14ac:dyDescent="0.3">
      <c r="A1871" s="487" t="b">
        <v>0</v>
      </c>
      <c r="B1871" s="487"/>
      <c r="C1871" s="487" t="s">
        <v>5437</v>
      </c>
      <c r="D1871" s="502">
        <v>23</v>
      </c>
      <c r="E1871" s="490"/>
      <c r="F1871" s="493"/>
      <c r="G1871" s="492"/>
      <c r="H1871" s="502"/>
      <c r="I1871" s="493"/>
      <c r="J1871" s="493"/>
      <c r="K1871" s="487" t="str">
        <f ca="1">IFERROR(VLOOKUP(C1871,' Disaggregation - Section E '!A$618:N1083,3,0),"")</f>
        <v/>
      </c>
      <c r="L1871" s="487"/>
      <c r="M1871" s="487"/>
      <c r="N1871" s="493"/>
      <c r="O1871" s="493"/>
      <c r="P1871" s="493"/>
    </row>
    <row r="1872" spans="1:16" x14ac:dyDescent="0.3">
      <c r="A1872" s="487" t="b">
        <v>0</v>
      </c>
      <c r="B1872" s="487"/>
      <c r="C1872" s="487" t="s">
        <v>5440</v>
      </c>
      <c r="D1872" s="502">
        <v>24</v>
      </c>
      <c r="E1872" s="490"/>
      <c r="F1872" s="493"/>
      <c r="G1872" s="492"/>
      <c r="H1872" s="502"/>
      <c r="I1872" s="493"/>
      <c r="J1872" s="493"/>
      <c r="K1872" s="487" t="str">
        <f ca="1">IFERROR(VLOOKUP(C1872,' Disaggregation - Section E '!A$618:N1084,3,0),"")</f>
        <v/>
      </c>
      <c r="L1872" s="487"/>
      <c r="M1872" s="487"/>
      <c r="N1872" s="493"/>
      <c r="O1872" s="493"/>
      <c r="P1872" s="493"/>
    </row>
    <row r="1873" spans="1:16" x14ac:dyDescent="0.3">
      <c r="A1873" s="487" t="b">
        <v>0</v>
      </c>
      <c r="B1873" s="487"/>
      <c r="C1873" s="487" t="s">
        <v>5442</v>
      </c>
      <c r="D1873" s="502">
        <v>24</v>
      </c>
      <c r="E1873" s="490"/>
      <c r="F1873" s="493"/>
      <c r="G1873" s="492"/>
      <c r="H1873" s="502"/>
      <c r="I1873" s="493"/>
      <c r="J1873" s="493"/>
      <c r="K1873" s="487" t="str">
        <f ca="1">IFERROR(VLOOKUP(C1873,' Disaggregation - Section E '!A$618:N1085,3,0),"")</f>
        <v/>
      </c>
      <c r="L1873" s="487"/>
      <c r="M1873" s="487"/>
      <c r="N1873" s="493"/>
      <c r="O1873" s="493"/>
      <c r="P1873" s="493"/>
    </row>
    <row r="1874" spans="1:16" x14ac:dyDescent="0.3">
      <c r="A1874" s="487" t="b">
        <v>0</v>
      </c>
      <c r="B1874" s="487"/>
      <c r="C1874" s="487" t="s">
        <v>5444</v>
      </c>
      <c r="D1874" s="502">
        <v>24</v>
      </c>
      <c r="E1874" s="490"/>
      <c r="F1874" s="493"/>
      <c r="G1874" s="492"/>
      <c r="H1874" s="502"/>
      <c r="I1874" s="493"/>
      <c r="J1874" s="493"/>
      <c r="K1874" s="487" t="str">
        <f ca="1">IFERROR(VLOOKUP(C1874,' Disaggregation - Section E '!A$618:N1086,3,0),"")</f>
        <v/>
      </c>
      <c r="L1874" s="487"/>
      <c r="M1874" s="487"/>
      <c r="N1874" s="493"/>
      <c r="O1874" s="493"/>
      <c r="P1874" s="493"/>
    </row>
    <row r="1875" spans="1:16" x14ac:dyDescent="0.3">
      <c r="A1875" s="487" t="b">
        <v>0</v>
      </c>
      <c r="B1875" s="487"/>
      <c r="C1875" s="487" t="s">
        <v>5446</v>
      </c>
      <c r="D1875" s="502">
        <v>24</v>
      </c>
      <c r="E1875" s="490"/>
      <c r="F1875" s="493"/>
      <c r="G1875" s="492"/>
      <c r="H1875" s="502"/>
      <c r="I1875" s="493"/>
      <c r="J1875" s="493"/>
      <c r="K1875" s="487" t="str">
        <f ca="1">IFERROR(VLOOKUP(C1875,' Disaggregation - Section E '!A$618:N1087,3,0),"")</f>
        <v/>
      </c>
      <c r="L1875" s="487"/>
      <c r="M1875" s="487"/>
      <c r="N1875" s="493"/>
      <c r="O1875" s="493"/>
      <c r="P1875" s="493"/>
    </row>
    <row r="1876" spans="1:16" x14ac:dyDescent="0.3">
      <c r="A1876" s="487" t="b">
        <v>0</v>
      </c>
      <c r="B1876" s="487"/>
      <c r="C1876" s="487" t="s">
        <v>5448</v>
      </c>
      <c r="D1876" s="502">
        <v>24</v>
      </c>
      <c r="E1876" s="490"/>
      <c r="F1876" s="493"/>
      <c r="G1876" s="492"/>
      <c r="H1876" s="502"/>
      <c r="I1876" s="493"/>
      <c r="J1876" s="493"/>
      <c r="K1876" s="487" t="str">
        <f ca="1">IFERROR(VLOOKUP(C1876,' Disaggregation - Section E '!A$618:N1088,3,0),"")</f>
        <v/>
      </c>
      <c r="L1876" s="487"/>
      <c r="M1876" s="487"/>
      <c r="N1876" s="493"/>
      <c r="O1876" s="493"/>
      <c r="P1876" s="493"/>
    </row>
    <row r="1877" spans="1:16" x14ac:dyDescent="0.3">
      <c r="A1877" s="487" t="b">
        <v>0</v>
      </c>
      <c r="B1877" s="487"/>
      <c r="C1877" s="487" t="s">
        <v>5450</v>
      </c>
      <c r="D1877" s="502">
        <v>24</v>
      </c>
      <c r="E1877" s="490"/>
      <c r="F1877" s="493"/>
      <c r="G1877" s="492"/>
      <c r="H1877" s="502"/>
      <c r="I1877" s="493"/>
      <c r="J1877" s="493"/>
      <c r="K1877" s="487" t="str">
        <f ca="1">IFERROR(VLOOKUP(C1877,' Disaggregation - Section E '!A$618:N1089,3,0),"")</f>
        <v/>
      </c>
      <c r="L1877" s="487"/>
      <c r="M1877" s="487"/>
      <c r="N1877" s="493"/>
      <c r="O1877" s="493"/>
      <c r="P1877" s="493"/>
    </row>
    <row r="1878" spans="1:16" x14ac:dyDescent="0.3">
      <c r="A1878" s="487" t="b">
        <v>0</v>
      </c>
      <c r="B1878" s="487"/>
      <c r="C1878" s="487" t="s">
        <v>5452</v>
      </c>
      <c r="D1878" s="502">
        <v>24</v>
      </c>
      <c r="E1878" s="490"/>
      <c r="F1878" s="493"/>
      <c r="G1878" s="492"/>
      <c r="H1878" s="502"/>
      <c r="I1878" s="493"/>
      <c r="J1878" s="493"/>
      <c r="K1878" s="487" t="str">
        <f ca="1">IFERROR(VLOOKUP(C1878,' Disaggregation - Section E '!A$618:N1090,3,0),"")</f>
        <v/>
      </c>
      <c r="L1878" s="487"/>
      <c r="M1878" s="487"/>
      <c r="N1878" s="493"/>
      <c r="O1878" s="493"/>
      <c r="P1878" s="493"/>
    </row>
    <row r="1879" spans="1:16" x14ac:dyDescent="0.3">
      <c r="A1879" s="487" t="b">
        <v>0</v>
      </c>
      <c r="B1879" s="487"/>
      <c r="C1879" s="487" t="s">
        <v>5454</v>
      </c>
      <c r="D1879" s="502">
        <v>24</v>
      </c>
      <c r="E1879" s="490"/>
      <c r="F1879" s="493"/>
      <c r="G1879" s="492"/>
      <c r="H1879" s="502"/>
      <c r="I1879" s="493"/>
      <c r="J1879" s="493"/>
      <c r="K1879" s="487" t="str">
        <f ca="1">IFERROR(VLOOKUP(C1879,' Disaggregation - Section E '!A$618:N1091,3,0),"")</f>
        <v/>
      </c>
      <c r="L1879" s="487"/>
      <c r="M1879" s="487"/>
      <c r="N1879" s="493"/>
      <c r="O1879" s="493"/>
      <c r="P1879" s="493"/>
    </row>
    <row r="1880" spans="1:16" x14ac:dyDescent="0.3">
      <c r="A1880" s="487" t="b">
        <v>0</v>
      </c>
      <c r="B1880" s="487"/>
      <c r="C1880" s="487" t="s">
        <v>5456</v>
      </c>
      <c r="D1880" s="502">
        <v>24</v>
      </c>
      <c r="E1880" s="490"/>
      <c r="F1880" s="493"/>
      <c r="G1880" s="492"/>
      <c r="H1880" s="502"/>
      <c r="I1880" s="493"/>
      <c r="J1880" s="493"/>
      <c r="K1880" s="487" t="str">
        <f ca="1">IFERROR(VLOOKUP(C1880,' Disaggregation - Section E '!A$618:N1092,3,0),"")</f>
        <v/>
      </c>
      <c r="L1880" s="487"/>
      <c r="M1880" s="487"/>
      <c r="N1880" s="493"/>
      <c r="O1880" s="493"/>
      <c r="P1880" s="493"/>
    </row>
    <row r="1881" spans="1:16" x14ac:dyDescent="0.3">
      <c r="A1881" s="487" t="b">
        <v>0</v>
      </c>
      <c r="B1881" s="487"/>
      <c r="C1881" s="487" t="s">
        <v>5458</v>
      </c>
      <c r="D1881" s="502">
        <v>24</v>
      </c>
      <c r="E1881" s="490"/>
      <c r="F1881" s="493"/>
      <c r="G1881" s="492"/>
      <c r="H1881" s="502"/>
      <c r="I1881" s="493"/>
      <c r="J1881" s="493"/>
      <c r="K1881" s="487" t="str">
        <f ca="1">IFERROR(VLOOKUP(C1881,' Disaggregation - Section E '!A$618:N1093,3,0),"")</f>
        <v/>
      </c>
      <c r="L1881" s="487"/>
      <c r="M1881" s="487"/>
      <c r="N1881" s="493"/>
      <c r="O1881" s="493"/>
      <c r="P1881" s="493"/>
    </row>
    <row r="1882" spans="1:16" x14ac:dyDescent="0.3">
      <c r="A1882" s="487" t="b">
        <v>0</v>
      </c>
      <c r="B1882" s="487"/>
      <c r="C1882" s="487" t="s">
        <v>5460</v>
      </c>
      <c r="D1882" s="502">
        <v>24</v>
      </c>
      <c r="E1882" s="490"/>
      <c r="F1882" s="493"/>
      <c r="G1882" s="492"/>
      <c r="H1882" s="502"/>
      <c r="I1882" s="493"/>
      <c r="J1882" s="493"/>
      <c r="K1882" s="487" t="str">
        <f ca="1">IFERROR(VLOOKUP(C1882,' Disaggregation - Section E '!A$618:N1094,3,0),"")</f>
        <v/>
      </c>
      <c r="L1882" s="487"/>
      <c r="M1882" s="487"/>
      <c r="N1882" s="493"/>
      <c r="O1882" s="493"/>
      <c r="P1882" s="493"/>
    </row>
    <row r="1883" spans="1:16" x14ac:dyDescent="0.3">
      <c r="A1883" s="487" t="b">
        <v>0</v>
      </c>
      <c r="B1883" s="487"/>
      <c r="C1883" s="487" t="s">
        <v>5462</v>
      </c>
      <c r="D1883" s="502">
        <v>24</v>
      </c>
      <c r="E1883" s="490"/>
      <c r="F1883" s="493"/>
      <c r="G1883" s="492"/>
      <c r="H1883" s="502"/>
      <c r="I1883" s="493"/>
      <c r="J1883" s="493"/>
      <c r="K1883" s="487" t="str">
        <f ca="1">IFERROR(VLOOKUP(C1883,' Disaggregation - Section E '!A$618:N1095,3,0),"")</f>
        <v/>
      </c>
      <c r="L1883" s="487"/>
      <c r="M1883" s="487"/>
      <c r="N1883" s="493"/>
      <c r="O1883" s="493"/>
      <c r="P1883" s="493"/>
    </row>
    <row r="1884" spans="1:16" x14ac:dyDescent="0.3">
      <c r="A1884" s="487" t="b">
        <v>0</v>
      </c>
      <c r="B1884" s="487"/>
      <c r="C1884" s="487" t="s">
        <v>5464</v>
      </c>
      <c r="D1884" s="502">
        <v>24</v>
      </c>
      <c r="E1884" s="490"/>
      <c r="F1884" s="493"/>
      <c r="G1884" s="492"/>
      <c r="H1884" s="502"/>
      <c r="I1884" s="493"/>
      <c r="J1884" s="493"/>
      <c r="K1884" s="487" t="str">
        <f ca="1">IFERROR(VLOOKUP(C1884,' Disaggregation - Section E '!A$618:N1096,3,0),"")</f>
        <v/>
      </c>
      <c r="L1884" s="487"/>
      <c r="M1884" s="487"/>
      <c r="N1884" s="493"/>
      <c r="O1884" s="493"/>
      <c r="P1884" s="493"/>
    </row>
    <row r="1885" spans="1:16" x14ac:dyDescent="0.3">
      <c r="A1885" s="487" t="b">
        <v>0</v>
      </c>
      <c r="B1885" s="487"/>
      <c r="C1885" s="487" t="s">
        <v>5466</v>
      </c>
      <c r="D1885" s="502">
        <v>24</v>
      </c>
      <c r="E1885" s="490"/>
      <c r="F1885" s="493"/>
      <c r="G1885" s="492"/>
      <c r="H1885" s="502"/>
      <c r="I1885" s="493"/>
      <c r="J1885" s="493"/>
      <c r="K1885" s="487" t="str">
        <f ca="1">IFERROR(VLOOKUP(C1885,' Disaggregation - Section E '!A$618:N1097,3,0),"")</f>
        <v/>
      </c>
      <c r="L1885" s="487"/>
      <c r="M1885" s="487"/>
      <c r="N1885" s="493"/>
      <c r="O1885" s="493"/>
      <c r="P1885" s="493"/>
    </row>
    <row r="1886" spans="1:16" x14ac:dyDescent="0.3">
      <c r="A1886" s="487" t="b">
        <v>0</v>
      </c>
      <c r="B1886" s="487"/>
      <c r="C1886" s="487" t="s">
        <v>5468</v>
      </c>
      <c r="D1886" s="502">
        <v>24</v>
      </c>
      <c r="E1886" s="490"/>
      <c r="F1886" s="493"/>
      <c r="G1886" s="492"/>
      <c r="H1886" s="502"/>
      <c r="I1886" s="493"/>
      <c r="J1886" s="493"/>
      <c r="K1886" s="487" t="str">
        <f ca="1">IFERROR(VLOOKUP(C1886,' Disaggregation - Section E '!A$618:N1098,3,0),"")</f>
        <v/>
      </c>
      <c r="L1886" s="487"/>
      <c r="M1886" s="487"/>
      <c r="N1886" s="493"/>
      <c r="O1886" s="493"/>
      <c r="P1886" s="493"/>
    </row>
    <row r="1887" spans="1:16" x14ac:dyDescent="0.3">
      <c r="A1887" s="487" t="b">
        <v>0</v>
      </c>
      <c r="B1887" s="487"/>
      <c r="C1887" s="487" t="s">
        <v>5470</v>
      </c>
      <c r="D1887" s="502">
        <v>24</v>
      </c>
      <c r="E1887" s="490"/>
      <c r="F1887" s="493"/>
      <c r="G1887" s="492"/>
      <c r="H1887" s="502"/>
      <c r="I1887" s="493"/>
      <c r="J1887" s="493"/>
      <c r="K1887" s="487" t="str">
        <f ca="1">IFERROR(VLOOKUP(C1887,' Disaggregation - Section E '!A$618:N1099,3,0),"")</f>
        <v/>
      </c>
      <c r="L1887" s="487"/>
      <c r="M1887" s="487"/>
      <c r="N1887" s="493"/>
      <c r="O1887" s="493"/>
      <c r="P1887" s="493"/>
    </row>
    <row r="1888" spans="1:16" x14ac:dyDescent="0.3">
      <c r="A1888" s="487" t="b">
        <v>0</v>
      </c>
      <c r="B1888" s="487"/>
      <c r="C1888" s="487" t="s">
        <v>5472</v>
      </c>
      <c r="D1888" s="502">
        <v>24</v>
      </c>
      <c r="E1888" s="490"/>
      <c r="F1888" s="493"/>
      <c r="G1888" s="492"/>
      <c r="H1888" s="502"/>
      <c r="I1888" s="493"/>
      <c r="J1888" s="493"/>
      <c r="K1888" s="487" t="str">
        <f ca="1">IFERROR(VLOOKUP(C1888,' Disaggregation - Section E '!A$618:N1100,3,0),"")</f>
        <v/>
      </c>
      <c r="L1888" s="487"/>
      <c r="M1888" s="487"/>
      <c r="N1888" s="493"/>
      <c r="O1888" s="493"/>
      <c r="P1888" s="493"/>
    </row>
    <row r="1889" spans="1:16" x14ac:dyDescent="0.3">
      <c r="A1889" s="487" t="b">
        <v>0</v>
      </c>
      <c r="B1889" s="487"/>
      <c r="C1889" s="487" t="s">
        <v>5474</v>
      </c>
      <c r="D1889" s="502">
        <v>24</v>
      </c>
      <c r="E1889" s="490"/>
      <c r="F1889" s="493"/>
      <c r="G1889" s="492"/>
      <c r="H1889" s="502"/>
      <c r="I1889" s="493"/>
      <c r="J1889" s="493"/>
      <c r="K1889" s="487" t="str">
        <f ca="1">IFERROR(VLOOKUP(C1889,' Disaggregation - Section E '!A$618:N1101,3,0),"")</f>
        <v/>
      </c>
      <c r="L1889" s="487"/>
      <c r="M1889" s="487"/>
      <c r="N1889" s="493"/>
      <c r="O1889" s="493"/>
      <c r="P1889" s="493"/>
    </row>
    <row r="1890" spans="1:16" x14ac:dyDescent="0.3">
      <c r="A1890" s="487" t="b">
        <v>0</v>
      </c>
      <c r="B1890" s="487"/>
      <c r="C1890" s="487" t="s">
        <v>5476</v>
      </c>
      <c r="D1890" s="502">
        <v>24</v>
      </c>
      <c r="E1890" s="490"/>
      <c r="F1890" s="493"/>
      <c r="G1890" s="492"/>
      <c r="H1890" s="502"/>
      <c r="I1890" s="493"/>
      <c r="J1890" s="493"/>
      <c r="K1890" s="487" t="str">
        <f ca="1">IFERROR(VLOOKUP(C1890,' Disaggregation - Section E '!A$618:N1102,3,0),"")</f>
        <v/>
      </c>
      <c r="L1890" s="487"/>
      <c r="M1890" s="487"/>
      <c r="N1890" s="493"/>
      <c r="O1890" s="493"/>
      <c r="P1890" s="493"/>
    </row>
    <row r="1891" spans="1:16" x14ac:dyDescent="0.3">
      <c r="A1891" s="487" t="b">
        <v>0</v>
      </c>
      <c r="B1891" s="487"/>
      <c r="C1891" s="487" t="s">
        <v>5478</v>
      </c>
      <c r="D1891" s="502">
        <v>24</v>
      </c>
      <c r="E1891" s="490"/>
      <c r="F1891" s="493"/>
      <c r="G1891" s="492"/>
      <c r="H1891" s="502"/>
      <c r="I1891" s="493"/>
      <c r="J1891" s="493"/>
      <c r="K1891" s="487" t="str">
        <f ca="1">IFERROR(VLOOKUP(C1891,' Disaggregation - Section E '!A$618:N1103,3,0),"")</f>
        <v/>
      </c>
      <c r="L1891" s="487"/>
      <c r="M1891" s="487"/>
      <c r="N1891" s="493"/>
      <c r="O1891" s="493"/>
      <c r="P1891" s="493"/>
    </row>
    <row r="1892" spans="1:16" x14ac:dyDescent="0.3">
      <c r="A1892" s="487" t="b">
        <v>0</v>
      </c>
      <c r="B1892" s="487"/>
      <c r="C1892" s="487" t="s">
        <v>5481</v>
      </c>
      <c r="D1892" s="502">
        <v>25</v>
      </c>
      <c r="E1892" s="490"/>
      <c r="F1892" s="493"/>
      <c r="G1892" s="492"/>
      <c r="H1892" s="502"/>
      <c r="I1892" s="493"/>
      <c r="J1892" s="493"/>
      <c r="K1892" s="487" t="str">
        <f ca="1">IFERROR(VLOOKUP(C1892,' Disaggregation - Section E '!A$618:N1104,3,0),"")</f>
        <v/>
      </c>
      <c r="L1892" s="487"/>
      <c r="M1892" s="487"/>
      <c r="N1892" s="493"/>
      <c r="O1892" s="493"/>
      <c r="P1892" s="493"/>
    </row>
    <row r="1893" spans="1:16" x14ac:dyDescent="0.3">
      <c r="A1893" s="487" t="b">
        <v>0</v>
      </c>
      <c r="B1893" s="487"/>
      <c r="C1893" s="487" t="s">
        <v>5483</v>
      </c>
      <c r="D1893" s="502">
        <v>25</v>
      </c>
      <c r="E1893" s="490"/>
      <c r="F1893" s="493"/>
      <c r="G1893" s="492"/>
      <c r="H1893" s="502"/>
      <c r="I1893" s="493"/>
      <c r="J1893" s="493"/>
      <c r="K1893" s="487" t="str">
        <f ca="1">IFERROR(VLOOKUP(C1893,' Disaggregation - Section E '!A$618:N1105,3,0),"")</f>
        <v/>
      </c>
      <c r="L1893" s="487"/>
      <c r="M1893" s="487"/>
      <c r="N1893" s="493"/>
      <c r="O1893" s="493"/>
      <c r="P1893" s="493"/>
    </row>
    <row r="1894" spans="1:16" x14ac:dyDescent="0.3">
      <c r="A1894" s="487" t="b">
        <v>0</v>
      </c>
      <c r="B1894" s="487"/>
      <c r="C1894" s="487" t="s">
        <v>5485</v>
      </c>
      <c r="D1894" s="502">
        <v>25</v>
      </c>
      <c r="E1894" s="490"/>
      <c r="F1894" s="493"/>
      <c r="G1894" s="492"/>
      <c r="H1894" s="502"/>
      <c r="I1894" s="493"/>
      <c r="J1894" s="493"/>
      <c r="K1894" s="487" t="str">
        <f ca="1">IFERROR(VLOOKUP(C1894,' Disaggregation - Section E '!A$618:N1106,3,0),"")</f>
        <v/>
      </c>
      <c r="L1894" s="487"/>
      <c r="M1894" s="487"/>
      <c r="N1894" s="493"/>
      <c r="O1894" s="493"/>
      <c r="P1894" s="493"/>
    </row>
    <row r="1895" spans="1:16" x14ac:dyDescent="0.3">
      <c r="A1895" s="487" t="b">
        <v>0</v>
      </c>
      <c r="B1895" s="487"/>
      <c r="C1895" s="487" t="s">
        <v>5487</v>
      </c>
      <c r="D1895" s="502">
        <v>25</v>
      </c>
      <c r="E1895" s="490"/>
      <c r="F1895" s="493"/>
      <c r="G1895" s="492"/>
      <c r="H1895" s="502"/>
      <c r="I1895" s="493"/>
      <c r="J1895" s="493"/>
      <c r="K1895" s="487" t="str">
        <f ca="1">IFERROR(VLOOKUP(C1895,' Disaggregation - Section E '!A$618:N1107,3,0),"")</f>
        <v/>
      </c>
      <c r="L1895" s="487"/>
      <c r="M1895" s="487"/>
      <c r="N1895" s="493"/>
      <c r="O1895" s="493"/>
      <c r="P1895" s="493"/>
    </row>
    <row r="1896" spans="1:16" x14ac:dyDescent="0.3">
      <c r="A1896" s="487" t="b">
        <v>0</v>
      </c>
      <c r="B1896" s="487"/>
      <c r="C1896" s="487" t="s">
        <v>5489</v>
      </c>
      <c r="D1896" s="502">
        <v>25</v>
      </c>
      <c r="E1896" s="490"/>
      <c r="F1896" s="493"/>
      <c r="G1896" s="492"/>
      <c r="H1896" s="502"/>
      <c r="I1896" s="493"/>
      <c r="J1896" s="493"/>
      <c r="K1896" s="487" t="str">
        <f ca="1">IFERROR(VLOOKUP(C1896,' Disaggregation - Section E '!A$618:N1108,3,0),"")</f>
        <v/>
      </c>
      <c r="L1896" s="487"/>
      <c r="M1896" s="487"/>
      <c r="N1896" s="493"/>
      <c r="O1896" s="493"/>
      <c r="P1896" s="493"/>
    </row>
    <row r="1897" spans="1:16" x14ac:dyDescent="0.3">
      <c r="A1897" s="487" t="b">
        <v>0</v>
      </c>
      <c r="B1897" s="487"/>
      <c r="C1897" s="487" t="s">
        <v>5491</v>
      </c>
      <c r="D1897" s="502">
        <v>25</v>
      </c>
      <c r="E1897" s="490"/>
      <c r="F1897" s="493"/>
      <c r="G1897" s="492"/>
      <c r="H1897" s="502"/>
      <c r="I1897" s="493"/>
      <c r="J1897" s="493"/>
      <c r="K1897" s="487" t="str">
        <f ca="1">IFERROR(VLOOKUP(C1897,' Disaggregation - Section E '!A$618:N1109,3,0),"")</f>
        <v/>
      </c>
      <c r="L1897" s="487"/>
      <c r="M1897" s="487"/>
      <c r="N1897" s="493"/>
      <c r="O1897" s="493"/>
      <c r="P1897" s="493"/>
    </row>
    <row r="1898" spans="1:16" x14ac:dyDescent="0.3">
      <c r="A1898" s="487" t="b">
        <v>0</v>
      </c>
      <c r="B1898" s="487"/>
      <c r="C1898" s="487" t="s">
        <v>5493</v>
      </c>
      <c r="D1898" s="502">
        <v>25</v>
      </c>
      <c r="E1898" s="490"/>
      <c r="F1898" s="493"/>
      <c r="G1898" s="492"/>
      <c r="H1898" s="502"/>
      <c r="I1898" s="493"/>
      <c r="J1898" s="493"/>
      <c r="K1898" s="487" t="str">
        <f ca="1">IFERROR(VLOOKUP(C1898,' Disaggregation - Section E '!A$618:N1110,3,0),"")</f>
        <v/>
      </c>
      <c r="L1898" s="487"/>
      <c r="M1898" s="487"/>
      <c r="N1898" s="493"/>
      <c r="O1898" s="493"/>
      <c r="P1898" s="493"/>
    </row>
    <row r="1899" spans="1:16" x14ac:dyDescent="0.3">
      <c r="A1899" s="487" t="b">
        <v>0</v>
      </c>
      <c r="B1899" s="487"/>
      <c r="C1899" s="487" t="s">
        <v>5495</v>
      </c>
      <c r="D1899" s="502">
        <v>25</v>
      </c>
      <c r="E1899" s="490"/>
      <c r="F1899" s="493"/>
      <c r="G1899" s="492"/>
      <c r="H1899" s="502"/>
      <c r="I1899" s="493"/>
      <c r="J1899" s="493"/>
      <c r="K1899" s="487" t="str">
        <f ca="1">IFERROR(VLOOKUP(C1899,' Disaggregation - Section E '!A$618:N1111,3,0),"")</f>
        <v/>
      </c>
      <c r="L1899" s="487"/>
      <c r="M1899" s="487"/>
      <c r="N1899" s="493"/>
      <c r="O1899" s="493"/>
      <c r="P1899" s="493"/>
    </row>
    <row r="1900" spans="1:16" x14ac:dyDescent="0.3">
      <c r="A1900" s="487" t="b">
        <v>0</v>
      </c>
      <c r="B1900" s="487"/>
      <c r="C1900" s="487" t="s">
        <v>5497</v>
      </c>
      <c r="D1900" s="502">
        <v>25</v>
      </c>
      <c r="E1900" s="490"/>
      <c r="F1900" s="493"/>
      <c r="G1900" s="492"/>
      <c r="H1900" s="502"/>
      <c r="I1900" s="493"/>
      <c r="J1900" s="493"/>
      <c r="K1900" s="487" t="str">
        <f ca="1">IFERROR(VLOOKUP(C1900,' Disaggregation - Section E '!A$618:N1112,3,0),"")</f>
        <v/>
      </c>
      <c r="L1900" s="487"/>
      <c r="M1900" s="487"/>
      <c r="N1900" s="493"/>
      <c r="O1900" s="493"/>
      <c r="P1900" s="493"/>
    </row>
    <row r="1901" spans="1:16" x14ac:dyDescent="0.3">
      <c r="A1901" s="487" t="b">
        <v>0</v>
      </c>
      <c r="B1901" s="487"/>
      <c r="C1901" s="487" t="s">
        <v>5499</v>
      </c>
      <c r="D1901" s="502">
        <v>25</v>
      </c>
      <c r="E1901" s="490"/>
      <c r="F1901" s="493"/>
      <c r="G1901" s="492"/>
      <c r="H1901" s="502"/>
      <c r="I1901" s="493"/>
      <c r="J1901" s="493"/>
      <c r="K1901" s="487" t="str">
        <f ca="1">IFERROR(VLOOKUP(C1901,' Disaggregation - Section E '!A$618:N1113,3,0),"")</f>
        <v/>
      </c>
      <c r="L1901" s="487"/>
      <c r="M1901" s="487"/>
      <c r="N1901" s="493"/>
      <c r="O1901" s="493"/>
      <c r="P1901" s="493"/>
    </row>
    <row r="1902" spans="1:16" x14ac:dyDescent="0.3">
      <c r="A1902" s="487" t="b">
        <v>0</v>
      </c>
      <c r="B1902" s="487"/>
      <c r="C1902" s="487" t="s">
        <v>5501</v>
      </c>
      <c r="D1902" s="502">
        <v>25</v>
      </c>
      <c r="E1902" s="490"/>
      <c r="F1902" s="493"/>
      <c r="G1902" s="492"/>
      <c r="H1902" s="502"/>
      <c r="I1902" s="493"/>
      <c r="J1902" s="493"/>
      <c r="K1902" s="487" t="str">
        <f ca="1">IFERROR(VLOOKUP(C1902,' Disaggregation - Section E '!A$618:N1114,3,0),"")</f>
        <v/>
      </c>
      <c r="L1902" s="487"/>
      <c r="M1902" s="487"/>
      <c r="N1902" s="493"/>
      <c r="O1902" s="493"/>
      <c r="P1902" s="493"/>
    </row>
    <row r="1903" spans="1:16" x14ac:dyDescent="0.3">
      <c r="A1903" s="487" t="b">
        <v>0</v>
      </c>
      <c r="B1903" s="487"/>
      <c r="C1903" s="487" t="s">
        <v>5503</v>
      </c>
      <c r="D1903" s="502">
        <v>25</v>
      </c>
      <c r="E1903" s="490"/>
      <c r="F1903" s="493"/>
      <c r="G1903" s="492"/>
      <c r="H1903" s="502"/>
      <c r="I1903" s="493"/>
      <c r="J1903" s="493"/>
      <c r="K1903" s="487" t="str">
        <f ca="1">IFERROR(VLOOKUP(C1903,' Disaggregation - Section E '!A$618:N1115,3,0),"")</f>
        <v/>
      </c>
      <c r="L1903" s="487"/>
      <c r="M1903" s="487"/>
      <c r="N1903" s="493"/>
      <c r="O1903" s="493"/>
      <c r="P1903" s="493"/>
    </row>
    <row r="1904" spans="1:16" x14ac:dyDescent="0.3">
      <c r="A1904" s="487" t="b">
        <v>0</v>
      </c>
      <c r="B1904" s="487"/>
      <c r="C1904" s="487" t="s">
        <v>5505</v>
      </c>
      <c r="D1904" s="502">
        <v>25</v>
      </c>
      <c r="E1904" s="490"/>
      <c r="F1904" s="493"/>
      <c r="G1904" s="492"/>
      <c r="H1904" s="502"/>
      <c r="I1904" s="493"/>
      <c r="J1904" s="493"/>
      <c r="K1904" s="487" t="str">
        <f ca="1">IFERROR(VLOOKUP(C1904,' Disaggregation - Section E '!A$618:N1116,3,0),"")</f>
        <v/>
      </c>
      <c r="L1904" s="487"/>
      <c r="M1904" s="487"/>
      <c r="N1904" s="493"/>
      <c r="O1904" s="493"/>
      <c r="P1904" s="493"/>
    </row>
    <row r="1905" spans="1:16" x14ac:dyDescent="0.3">
      <c r="A1905" s="487" t="b">
        <v>0</v>
      </c>
      <c r="B1905" s="487"/>
      <c r="C1905" s="487" t="s">
        <v>5507</v>
      </c>
      <c r="D1905" s="502">
        <v>25</v>
      </c>
      <c r="E1905" s="490"/>
      <c r="F1905" s="493"/>
      <c r="G1905" s="492"/>
      <c r="H1905" s="502"/>
      <c r="I1905" s="493"/>
      <c r="J1905" s="493"/>
      <c r="K1905" s="487" t="str">
        <f ca="1">IFERROR(VLOOKUP(C1905,' Disaggregation - Section E '!A$618:N1117,3,0),"")</f>
        <v/>
      </c>
      <c r="L1905" s="487"/>
      <c r="M1905" s="487"/>
      <c r="N1905" s="493"/>
      <c r="O1905" s="493"/>
      <c r="P1905" s="493"/>
    </row>
    <row r="1906" spans="1:16" x14ac:dyDescent="0.3">
      <c r="A1906" s="487" t="b">
        <v>0</v>
      </c>
      <c r="B1906" s="487"/>
      <c r="C1906" s="487" t="s">
        <v>5509</v>
      </c>
      <c r="D1906" s="502">
        <v>25</v>
      </c>
      <c r="E1906" s="490"/>
      <c r="F1906" s="493"/>
      <c r="G1906" s="492"/>
      <c r="H1906" s="502"/>
      <c r="I1906" s="493"/>
      <c r="J1906" s="493"/>
      <c r="K1906" s="487" t="str">
        <f ca="1">IFERROR(VLOOKUP(C1906,' Disaggregation - Section E '!A$618:N1118,3,0),"")</f>
        <v/>
      </c>
      <c r="L1906" s="487"/>
      <c r="M1906" s="487"/>
      <c r="N1906" s="493"/>
      <c r="O1906" s="493"/>
      <c r="P1906" s="493"/>
    </row>
    <row r="1907" spans="1:16" x14ac:dyDescent="0.3">
      <c r="A1907" s="487" t="b">
        <v>0</v>
      </c>
      <c r="B1907" s="487"/>
      <c r="C1907" s="487" t="s">
        <v>5511</v>
      </c>
      <c r="D1907" s="502">
        <v>25</v>
      </c>
      <c r="E1907" s="490"/>
      <c r="F1907" s="493"/>
      <c r="G1907" s="492"/>
      <c r="H1907" s="502"/>
      <c r="I1907" s="493"/>
      <c r="J1907" s="493"/>
      <c r="K1907" s="487" t="str">
        <f ca="1">IFERROR(VLOOKUP(C1907,' Disaggregation - Section E '!A$618:N1119,3,0),"")</f>
        <v/>
      </c>
      <c r="L1907" s="487"/>
      <c r="M1907" s="487"/>
      <c r="N1907" s="493"/>
      <c r="O1907" s="493"/>
      <c r="P1907" s="493"/>
    </row>
    <row r="1908" spans="1:16" x14ac:dyDescent="0.3">
      <c r="A1908" s="487" t="b">
        <v>0</v>
      </c>
      <c r="B1908" s="487"/>
      <c r="C1908" s="487" t="s">
        <v>5513</v>
      </c>
      <c r="D1908" s="502">
        <v>25</v>
      </c>
      <c r="E1908" s="490"/>
      <c r="F1908" s="493"/>
      <c r="G1908" s="492"/>
      <c r="H1908" s="502"/>
      <c r="I1908" s="493"/>
      <c r="J1908" s="493"/>
      <c r="K1908" s="487" t="str">
        <f ca="1">IFERROR(VLOOKUP(C1908,' Disaggregation - Section E '!A$618:N1120,3,0),"")</f>
        <v/>
      </c>
      <c r="L1908" s="487"/>
      <c r="M1908" s="487"/>
      <c r="N1908" s="493"/>
      <c r="O1908" s="493"/>
      <c r="P1908" s="493"/>
    </row>
    <row r="1909" spans="1:16" x14ac:dyDescent="0.3">
      <c r="A1909" s="487" t="b">
        <v>0</v>
      </c>
      <c r="B1909" s="487"/>
      <c r="C1909" s="487" t="s">
        <v>5515</v>
      </c>
      <c r="D1909" s="502">
        <v>25</v>
      </c>
      <c r="E1909" s="490"/>
      <c r="F1909" s="493"/>
      <c r="G1909" s="492"/>
      <c r="H1909" s="502"/>
      <c r="I1909" s="493"/>
      <c r="J1909" s="493"/>
      <c r="K1909" s="487" t="str">
        <f ca="1">IFERROR(VLOOKUP(C1909,' Disaggregation - Section E '!A$618:N1121,3,0),"")</f>
        <v/>
      </c>
      <c r="L1909" s="487"/>
      <c r="M1909" s="487"/>
      <c r="N1909" s="493"/>
      <c r="O1909" s="493"/>
      <c r="P1909" s="493"/>
    </row>
    <row r="1910" spans="1:16" x14ac:dyDescent="0.3">
      <c r="A1910" s="487" t="b">
        <v>0</v>
      </c>
      <c r="B1910" s="487"/>
      <c r="C1910" s="487" t="s">
        <v>5517</v>
      </c>
      <c r="D1910" s="502">
        <v>25</v>
      </c>
      <c r="E1910" s="490"/>
      <c r="F1910" s="493"/>
      <c r="G1910" s="492"/>
      <c r="H1910" s="502"/>
      <c r="I1910" s="493"/>
      <c r="J1910" s="493"/>
      <c r="K1910" s="487" t="str">
        <f ca="1">IFERROR(VLOOKUP(C1910,' Disaggregation - Section E '!A$618:N1122,3,0),"")</f>
        <v/>
      </c>
      <c r="L1910" s="487"/>
      <c r="M1910" s="487"/>
      <c r="N1910" s="493"/>
      <c r="O1910" s="493"/>
      <c r="P1910" s="493"/>
    </row>
    <row r="1911" spans="1:16" x14ac:dyDescent="0.3">
      <c r="A1911" s="487" t="b">
        <v>0</v>
      </c>
      <c r="B1911" s="487"/>
      <c r="C1911" s="487" t="s">
        <v>5519</v>
      </c>
      <c r="D1911" s="502">
        <v>25</v>
      </c>
      <c r="E1911" s="490"/>
      <c r="F1911" s="493"/>
      <c r="G1911" s="492"/>
      <c r="H1911" s="502"/>
      <c r="I1911" s="493"/>
      <c r="J1911" s="493"/>
      <c r="K1911" s="487" t="str">
        <f ca="1">IFERROR(VLOOKUP(C1911,' Disaggregation - Section E '!A$618:N1123,3,0),"")</f>
        <v/>
      </c>
      <c r="L1911" s="487"/>
      <c r="M1911" s="487"/>
      <c r="N1911" s="493"/>
      <c r="O1911" s="493"/>
      <c r="P1911" s="493"/>
    </row>
    <row r="1912" spans="1:16" x14ac:dyDescent="0.3">
      <c r="A1912" s="487" t="b">
        <v>0</v>
      </c>
      <c r="B1912" s="487"/>
      <c r="C1912" s="487" t="s">
        <v>5522</v>
      </c>
      <c r="D1912" s="502">
        <v>26</v>
      </c>
      <c r="E1912" s="490"/>
      <c r="F1912" s="493"/>
      <c r="G1912" s="492"/>
      <c r="H1912" s="502"/>
      <c r="I1912" s="493"/>
      <c r="J1912" s="493"/>
      <c r="K1912" s="487" t="str">
        <f ca="1">IFERROR(VLOOKUP(C1912,' Disaggregation - Section E '!A$618:N1124,3,0),"")</f>
        <v/>
      </c>
      <c r="L1912" s="487"/>
      <c r="M1912" s="487"/>
      <c r="N1912" s="493"/>
      <c r="O1912" s="493"/>
      <c r="P1912" s="493"/>
    </row>
    <row r="1913" spans="1:16" x14ac:dyDescent="0.3">
      <c r="A1913" s="487" t="b">
        <v>0</v>
      </c>
      <c r="B1913" s="487"/>
      <c r="C1913" s="487" t="s">
        <v>5524</v>
      </c>
      <c r="D1913" s="502">
        <v>26</v>
      </c>
      <c r="E1913" s="490"/>
      <c r="F1913" s="493"/>
      <c r="G1913" s="492"/>
      <c r="H1913" s="502"/>
      <c r="I1913" s="493"/>
      <c r="J1913" s="493"/>
      <c r="K1913" s="487" t="str">
        <f ca="1">IFERROR(VLOOKUP(C1913,' Disaggregation - Section E '!A$618:N1125,3,0),"")</f>
        <v/>
      </c>
      <c r="L1913" s="487"/>
      <c r="M1913" s="487"/>
      <c r="N1913" s="493"/>
      <c r="O1913" s="493"/>
      <c r="P1913" s="493"/>
    </row>
    <row r="1914" spans="1:16" x14ac:dyDescent="0.3">
      <c r="A1914" s="487" t="b">
        <v>0</v>
      </c>
      <c r="B1914" s="487"/>
      <c r="C1914" s="487" t="s">
        <v>5526</v>
      </c>
      <c r="D1914" s="502">
        <v>26</v>
      </c>
      <c r="E1914" s="490"/>
      <c r="F1914" s="493"/>
      <c r="G1914" s="492"/>
      <c r="H1914" s="502"/>
      <c r="I1914" s="493"/>
      <c r="J1914" s="493"/>
      <c r="K1914" s="487" t="str">
        <f ca="1">IFERROR(VLOOKUP(C1914,' Disaggregation - Section E '!A$618:N1126,3,0),"")</f>
        <v/>
      </c>
      <c r="L1914" s="487"/>
      <c r="M1914" s="487"/>
      <c r="N1914" s="493"/>
      <c r="O1914" s="493"/>
      <c r="P1914" s="493"/>
    </row>
    <row r="1915" spans="1:16" x14ac:dyDescent="0.3">
      <c r="A1915" s="487" t="b">
        <v>0</v>
      </c>
      <c r="B1915" s="487"/>
      <c r="C1915" s="487" t="s">
        <v>5528</v>
      </c>
      <c r="D1915" s="502">
        <v>26</v>
      </c>
      <c r="E1915" s="490"/>
      <c r="F1915" s="493"/>
      <c r="G1915" s="492"/>
      <c r="H1915" s="502"/>
      <c r="I1915" s="493"/>
      <c r="J1915" s="493"/>
      <c r="K1915" s="487" t="str">
        <f ca="1">IFERROR(VLOOKUP(C1915,' Disaggregation - Section E '!A$618:N1127,3,0),"")</f>
        <v/>
      </c>
      <c r="L1915" s="487"/>
      <c r="M1915" s="487"/>
      <c r="N1915" s="493"/>
      <c r="O1915" s="493"/>
      <c r="P1915" s="493"/>
    </row>
    <row r="1916" spans="1:16" x14ac:dyDescent="0.3">
      <c r="A1916" s="487" t="b">
        <v>0</v>
      </c>
      <c r="B1916" s="487"/>
      <c r="C1916" s="487" t="s">
        <v>5530</v>
      </c>
      <c r="D1916" s="502">
        <v>26</v>
      </c>
      <c r="E1916" s="490"/>
      <c r="F1916" s="493"/>
      <c r="G1916" s="492"/>
      <c r="H1916" s="502"/>
      <c r="I1916" s="493"/>
      <c r="J1916" s="493"/>
      <c r="K1916" s="487" t="str">
        <f ca="1">IFERROR(VLOOKUP(C1916,' Disaggregation - Section E '!A$618:N1128,3,0),"")</f>
        <v/>
      </c>
      <c r="L1916" s="487"/>
      <c r="M1916" s="487"/>
      <c r="N1916" s="493"/>
      <c r="O1916" s="493"/>
      <c r="P1916" s="493"/>
    </row>
    <row r="1917" spans="1:16" x14ac:dyDescent="0.3">
      <c r="A1917" s="487" t="b">
        <v>0</v>
      </c>
      <c r="B1917" s="487"/>
      <c r="C1917" s="487" t="s">
        <v>5532</v>
      </c>
      <c r="D1917" s="502">
        <v>26</v>
      </c>
      <c r="E1917" s="490"/>
      <c r="F1917" s="493"/>
      <c r="G1917" s="492"/>
      <c r="H1917" s="502"/>
      <c r="I1917" s="493"/>
      <c r="J1917" s="493"/>
      <c r="K1917" s="487" t="str">
        <f ca="1">IFERROR(VLOOKUP(C1917,' Disaggregation - Section E '!A$618:N1129,3,0),"")</f>
        <v/>
      </c>
      <c r="L1917" s="487"/>
      <c r="M1917" s="487"/>
      <c r="N1917" s="493"/>
      <c r="O1917" s="493"/>
      <c r="P1917" s="493"/>
    </row>
    <row r="1918" spans="1:16" x14ac:dyDescent="0.3">
      <c r="A1918" s="487" t="b">
        <v>0</v>
      </c>
      <c r="B1918" s="487"/>
      <c r="C1918" s="487" t="s">
        <v>5534</v>
      </c>
      <c r="D1918" s="502">
        <v>26</v>
      </c>
      <c r="E1918" s="490"/>
      <c r="F1918" s="493"/>
      <c r="G1918" s="492"/>
      <c r="H1918" s="502"/>
      <c r="I1918" s="493"/>
      <c r="J1918" s="493"/>
      <c r="K1918" s="487" t="str">
        <f ca="1">IFERROR(VLOOKUP(C1918,' Disaggregation - Section E '!A$618:N1130,3,0),"")</f>
        <v/>
      </c>
      <c r="L1918" s="487"/>
      <c r="M1918" s="487"/>
      <c r="N1918" s="493"/>
      <c r="O1918" s="493"/>
      <c r="P1918" s="493"/>
    </row>
    <row r="1919" spans="1:16" x14ac:dyDescent="0.3">
      <c r="A1919" s="487" t="b">
        <v>0</v>
      </c>
      <c r="B1919" s="487"/>
      <c r="C1919" s="487" t="s">
        <v>5536</v>
      </c>
      <c r="D1919" s="502">
        <v>26</v>
      </c>
      <c r="E1919" s="490"/>
      <c r="F1919" s="493"/>
      <c r="G1919" s="492"/>
      <c r="H1919" s="502"/>
      <c r="I1919" s="493"/>
      <c r="J1919" s="493"/>
      <c r="K1919" s="487" t="str">
        <f ca="1">IFERROR(VLOOKUP(C1919,' Disaggregation - Section E '!A$618:N1131,3,0),"")</f>
        <v/>
      </c>
      <c r="L1919" s="487"/>
      <c r="M1919" s="487"/>
      <c r="N1919" s="493"/>
      <c r="O1919" s="493"/>
      <c r="P1919" s="493"/>
    </row>
    <row r="1920" spans="1:16" x14ac:dyDescent="0.3">
      <c r="A1920" s="487" t="b">
        <v>0</v>
      </c>
      <c r="B1920" s="487"/>
      <c r="C1920" s="487" t="s">
        <v>5538</v>
      </c>
      <c r="D1920" s="502">
        <v>26</v>
      </c>
      <c r="E1920" s="490"/>
      <c r="F1920" s="493"/>
      <c r="G1920" s="492"/>
      <c r="H1920" s="502"/>
      <c r="I1920" s="493"/>
      <c r="J1920" s="493"/>
      <c r="K1920" s="487" t="str">
        <f ca="1">IFERROR(VLOOKUP(C1920,' Disaggregation - Section E '!A$618:N1132,3,0),"")</f>
        <v/>
      </c>
      <c r="L1920" s="487"/>
      <c r="M1920" s="487"/>
      <c r="N1920" s="493"/>
      <c r="O1920" s="493"/>
      <c r="P1920" s="493"/>
    </row>
    <row r="1921" spans="1:16" x14ac:dyDescent="0.3">
      <c r="A1921" s="487" t="b">
        <v>0</v>
      </c>
      <c r="B1921" s="487"/>
      <c r="C1921" s="487" t="s">
        <v>5540</v>
      </c>
      <c r="D1921" s="502">
        <v>26</v>
      </c>
      <c r="E1921" s="490"/>
      <c r="F1921" s="493"/>
      <c r="G1921" s="492"/>
      <c r="H1921" s="502"/>
      <c r="I1921" s="493"/>
      <c r="J1921" s="493"/>
      <c r="K1921" s="487" t="str">
        <f ca="1">IFERROR(VLOOKUP(C1921,' Disaggregation - Section E '!A$618:N1133,3,0),"")</f>
        <v/>
      </c>
      <c r="L1921" s="487"/>
      <c r="M1921" s="487"/>
      <c r="N1921" s="493"/>
      <c r="O1921" s="493"/>
      <c r="P1921" s="493"/>
    </row>
    <row r="1922" spans="1:16" x14ac:dyDescent="0.3">
      <c r="A1922" s="487" t="b">
        <v>0</v>
      </c>
      <c r="B1922" s="487"/>
      <c r="C1922" s="487" t="s">
        <v>5542</v>
      </c>
      <c r="D1922" s="502">
        <v>26</v>
      </c>
      <c r="E1922" s="490"/>
      <c r="F1922" s="493"/>
      <c r="G1922" s="492"/>
      <c r="H1922" s="502"/>
      <c r="I1922" s="493"/>
      <c r="J1922" s="493"/>
      <c r="K1922" s="487" t="str">
        <f ca="1">IFERROR(VLOOKUP(C1922,' Disaggregation - Section E '!A$618:N1134,3,0),"")</f>
        <v/>
      </c>
      <c r="L1922" s="487"/>
      <c r="M1922" s="487"/>
      <c r="N1922" s="493"/>
      <c r="O1922" s="493"/>
      <c r="P1922" s="493"/>
    </row>
    <row r="1923" spans="1:16" x14ac:dyDescent="0.3">
      <c r="A1923" s="487" t="b">
        <v>0</v>
      </c>
      <c r="B1923" s="487"/>
      <c r="C1923" s="487" t="s">
        <v>5544</v>
      </c>
      <c r="D1923" s="502">
        <v>26</v>
      </c>
      <c r="E1923" s="490"/>
      <c r="F1923" s="493"/>
      <c r="G1923" s="492"/>
      <c r="H1923" s="502"/>
      <c r="I1923" s="493"/>
      <c r="J1923" s="493"/>
      <c r="K1923" s="487" t="str">
        <f ca="1">IFERROR(VLOOKUP(C1923,' Disaggregation - Section E '!A$618:N1135,3,0),"")</f>
        <v/>
      </c>
      <c r="L1923" s="487"/>
      <c r="M1923" s="487"/>
      <c r="N1923" s="493"/>
      <c r="O1923" s="493"/>
      <c r="P1923" s="493"/>
    </row>
    <row r="1924" spans="1:16" x14ac:dyDescent="0.3">
      <c r="A1924" s="487" t="b">
        <v>0</v>
      </c>
      <c r="B1924" s="487"/>
      <c r="C1924" s="487" t="s">
        <v>5546</v>
      </c>
      <c r="D1924" s="502">
        <v>26</v>
      </c>
      <c r="E1924" s="490"/>
      <c r="F1924" s="493"/>
      <c r="G1924" s="492"/>
      <c r="H1924" s="502"/>
      <c r="I1924" s="493"/>
      <c r="J1924" s="493"/>
      <c r="K1924" s="487" t="str">
        <f ca="1">IFERROR(VLOOKUP(C1924,' Disaggregation - Section E '!A$618:N1136,3,0),"")</f>
        <v/>
      </c>
      <c r="L1924" s="487"/>
      <c r="M1924" s="487"/>
      <c r="N1924" s="493"/>
      <c r="O1924" s="493"/>
      <c r="P1924" s="493"/>
    </row>
    <row r="1925" spans="1:16" x14ac:dyDescent="0.3">
      <c r="A1925" s="487" t="b">
        <v>0</v>
      </c>
      <c r="B1925" s="487"/>
      <c r="C1925" s="487" t="s">
        <v>5548</v>
      </c>
      <c r="D1925" s="502">
        <v>26</v>
      </c>
      <c r="E1925" s="490"/>
      <c r="F1925" s="493"/>
      <c r="G1925" s="492"/>
      <c r="H1925" s="502"/>
      <c r="I1925" s="493"/>
      <c r="J1925" s="493"/>
      <c r="K1925" s="487" t="str">
        <f ca="1">IFERROR(VLOOKUP(C1925,' Disaggregation - Section E '!A$618:N1137,3,0),"")</f>
        <v/>
      </c>
      <c r="L1925" s="487"/>
      <c r="M1925" s="487"/>
      <c r="N1925" s="493"/>
      <c r="O1925" s="493"/>
      <c r="P1925" s="493"/>
    </row>
    <row r="1926" spans="1:16" x14ac:dyDescent="0.3">
      <c r="A1926" s="487" t="b">
        <v>0</v>
      </c>
      <c r="B1926" s="487"/>
      <c r="C1926" s="487" t="s">
        <v>5550</v>
      </c>
      <c r="D1926" s="502">
        <v>26</v>
      </c>
      <c r="E1926" s="490"/>
      <c r="F1926" s="493"/>
      <c r="G1926" s="492"/>
      <c r="H1926" s="502"/>
      <c r="I1926" s="493"/>
      <c r="J1926" s="493"/>
      <c r="K1926" s="487" t="str">
        <f ca="1">IFERROR(VLOOKUP(C1926,' Disaggregation - Section E '!A$618:N1138,3,0),"")</f>
        <v/>
      </c>
      <c r="L1926" s="487"/>
      <c r="M1926" s="487"/>
      <c r="N1926" s="493"/>
      <c r="O1926" s="493"/>
      <c r="P1926" s="493"/>
    </row>
    <row r="1927" spans="1:16" x14ac:dyDescent="0.3">
      <c r="A1927" s="487" t="b">
        <v>0</v>
      </c>
      <c r="B1927" s="487"/>
      <c r="C1927" s="487" t="s">
        <v>5552</v>
      </c>
      <c r="D1927" s="502">
        <v>26</v>
      </c>
      <c r="E1927" s="490"/>
      <c r="F1927" s="493"/>
      <c r="G1927" s="492"/>
      <c r="H1927" s="502"/>
      <c r="I1927" s="493"/>
      <c r="J1927" s="493"/>
      <c r="K1927" s="487" t="str">
        <f ca="1">IFERROR(VLOOKUP(C1927,' Disaggregation - Section E '!A$618:N1139,3,0),"")</f>
        <v/>
      </c>
      <c r="L1927" s="487"/>
      <c r="M1927" s="487"/>
      <c r="N1927" s="493"/>
      <c r="O1927" s="493"/>
      <c r="P1927" s="493"/>
    </row>
    <row r="1928" spans="1:16" x14ac:dyDescent="0.3">
      <c r="A1928" s="487" t="b">
        <v>0</v>
      </c>
      <c r="B1928" s="487"/>
      <c r="C1928" s="487" t="s">
        <v>5554</v>
      </c>
      <c r="D1928" s="502">
        <v>26</v>
      </c>
      <c r="E1928" s="490"/>
      <c r="F1928" s="493"/>
      <c r="G1928" s="492"/>
      <c r="H1928" s="502"/>
      <c r="I1928" s="493"/>
      <c r="J1928" s="493"/>
      <c r="K1928" s="487" t="str">
        <f ca="1">IFERROR(VLOOKUP(C1928,' Disaggregation - Section E '!A$618:N1140,3,0),"")</f>
        <v/>
      </c>
      <c r="L1928" s="487"/>
      <c r="M1928" s="487"/>
      <c r="N1928" s="493"/>
      <c r="O1928" s="493"/>
      <c r="P1928" s="493"/>
    </row>
    <row r="1929" spans="1:16" x14ac:dyDescent="0.3">
      <c r="A1929" s="487" t="b">
        <v>0</v>
      </c>
      <c r="B1929" s="487"/>
      <c r="C1929" s="487" t="s">
        <v>5556</v>
      </c>
      <c r="D1929" s="502">
        <v>26</v>
      </c>
      <c r="E1929" s="490"/>
      <c r="F1929" s="493"/>
      <c r="G1929" s="492"/>
      <c r="H1929" s="502"/>
      <c r="I1929" s="493"/>
      <c r="J1929" s="493"/>
      <c r="K1929" s="487" t="str">
        <f ca="1">IFERROR(VLOOKUP(C1929,' Disaggregation - Section E '!A$618:N1141,3,0),"")</f>
        <v/>
      </c>
      <c r="L1929" s="487"/>
      <c r="M1929" s="487"/>
      <c r="N1929" s="493"/>
      <c r="O1929" s="493"/>
      <c r="P1929" s="493"/>
    </row>
    <row r="1930" spans="1:16" x14ac:dyDescent="0.3">
      <c r="A1930" s="487" t="b">
        <v>0</v>
      </c>
      <c r="B1930" s="487"/>
      <c r="C1930" s="487" t="s">
        <v>5558</v>
      </c>
      <c r="D1930" s="502">
        <v>26</v>
      </c>
      <c r="E1930" s="490"/>
      <c r="F1930" s="493"/>
      <c r="G1930" s="492"/>
      <c r="H1930" s="502"/>
      <c r="I1930" s="493"/>
      <c r="J1930" s="493"/>
      <c r="K1930" s="487" t="str">
        <f ca="1">IFERROR(VLOOKUP(C1930,' Disaggregation - Section E '!A$618:N1142,3,0),"")</f>
        <v/>
      </c>
      <c r="L1930" s="487"/>
      <c r="M1930" s="487"/>
      <c r="N1930" s="493"/>
      <c r="O1930" s="493"/>
      <c r="P1930" s="493"/>
    </row>
    <row r="1931" spans="1:16" x14ac:dyDescent="0.3">
      <c r="A1931" s="487" t="b">
        <v>0</v>
      </c>
      <c r="B1931" s="487"/>
      <c r="C1931" s="487" t="s">
        <v>5560</v>
      </c>
      <c r="D1931" s="502">
        <v>26</v>
      </c>
      <c r="E1931" s="490"/>
      <c r="F1931" s="493"/>
      <c r="G1931" s="492"/>
      <c r="H1931" s="502"/>
      <c r="I1931" s="493"/>
      <c r="J1931" s="493"/>
      <c r="K1931" s="487" t="str">
        <f ca="1">IFERROR(VLOOKUP(C1931,' Disaggregation - Section E '!A$618:N1143,3,0),"")</f>
        <v/>
      </c>
      <c r="L1931" s="487"/>
      <c r="M1931" s="487"/>
      <c r="N1931" s="493"/>
      <c r="O1931" s="493"/>
      <c r="P1931" s="493"/>
    </row>
    <row r="1932" spans="1:16" x14ac:dyDescent="0.3">
      <c r="A1932" s="487" t="b">
        <v>0</v>
      </c>
      <c r="B1932" s="487"/>
      <c r="C1932" s="487" t="s">
        <v>5563</v>
      </c>
      <c r="D1932" s="502">
        <v>27</v>
      </c>
      <c r="E1932" s="490"/>
      <c r="F1932" s="493"/>
      <c r="G1932" s="492"/>
      <c r="H1932" s="502"/>
      <c r="I1932" s="493"/>
      <c r="J1932" s="493"/>
      <c r="K1932" s="487" t="str">
        <f ca="1">IFERROR(VLOOKUP(C1932,' Disaggregation - Section E '!A$618:N1144,3,0),"")</f>
        <v/>
      </c>
      <c r="L1932" s="487"/>
      <c r="M1932" s="487"/>
      <c r="N1932" s="493"/>
      <c r="O1932" s="493"/>
      <c r="P1932" s="493"/>
    </row>
    <row r="1933" spans="1:16" x14ac:dyDescent="0.3">
      <c r="A1933" s="487" t="b">
        <v>0</v>
      </c>
      <c r="B1933" s="487"/>
      <c r="C1933" s="487" t="s">
        <v>5565</v>
      </c>
      <c r="D1933" s="502">
        <v>27</v>
      </c>
      <c r="E1933" s="490"/>
      <c r="F1933" s="493"/>
      <c r="G1933" s="492"/>
      <c r="H1933" s="502"/>
      <c r="I1933" s="493"/>
      <c r="J1933" s="493"/>
      <c r="K1933" s="487" t="str">
        <f ca="1">IFERROR(VLOOKUP(C1933,' Disaggregation - Section E '!A$618:N1145,3,0),"")</f>
        <v/>
      </c>
      <c r="L1933" s="487"/>
      <c r="M1933" s="487"/>
      <c r="N1933" s="493"/>
      <c r="O1933" s="493"/>
      <c r="P1933" s="493"/>
    </row>
    <row r="1934" spans="1:16" x14ac:dyDescent="0.3">
      <c r="A1934" s="487" t="b">
        <v>0</v>
      </c>
      <c r="B1934" s="487"/>
      <c r="C1934" s="487" t="s">
        <v>5567</v>
      </c>
      <c r="D1934" s="502">
        <v>27</v>
      </c>
      <c r="E1934" s="490"/>
      <c r="F1934" s="493"/>
      <c r="G1934" s="492"/>
      <c r="H1934" s="502"/>
      <c r="I1934" s="493"/>
      <c r="J1934" s="493"/>
      <c r="K1934" s="487" t="str">
        <f ca="1">IFERROR(VLOOKUP(C1934,' Disaggregation - Section E '!A$618:N1146,3,0),"")</f>
        <v/>
      </c>
      <c r="L1934" s="487"/>
      <c r="M1934" s="487"/>
      <c r="N1934" s="493"/>
      <c r="O1934" s="493"/>
      <c r="P1934" s="493"/>
    </row>
    <row r="1935" spans="1:16" x14ac:dyDescent="0.3">
      <c r="A1935" s="487" t="b">
        <v>0</v>
      </c>
      <c r="B1935" s="487"/>
      <c r="C1935" s="487" t="s">
        <v>5569</v>
      </c>
      <c r="D1935" s="502">
        <v>27</v>
      </c>
      <c r="E1935" s="490"/>
      <c r="F1935" s="493"/>
      <c r="G1935" s="492"/>
      <c r="H1935" s="502"/>
      <c r="I1935" s="493"/>
      <c r="J1935" s="493"/>
      <c r="K1935" s="487" t="str">
        <f ca="1">IFERROR(VLOOKUP(C1935,' Disaggregation - Section E '!A$618:N1147,3,0),"")</f>
        <v/>
      </c>
      <c r="L1935" s="487"/>
      <c r="M1935" s="487"/>
      <c r="N1935" s="493"/>
      <c r="O1935" s="493"/>
      <c r="P1935" s="493"/>
    </row>
    <row r="1936" spans="1:16" x14ac:dyDescent="0.3">
      <c r="A1936" s="487" t="b">
        <v>0</v>
      </c>
      <c r="B1936" s="487"/>
      <c r="C1936" s="487" t="s">
        <v>5571</v>
      </c>
      <c r="D1936" s="502">
        <v>27</v>
      </c>
      <c r="E1936" s="490"/>
      <c r="F1936" s="493"/>
      <c r="G1936" s="492"/>
      <c r="H1936" s="502"/>
      <c r="I1936" s="493"/>
      <c r="J1936" s="493"/>
      <c r="K1936" s="487" t="str">
        <f ca="1">IFERROR(VLOOKUP(C1936,' Disaggregation - Section E '!A$618:N1148,3,0),"")</f>
        <v/>
      </c>
      <c r="L1936" s="487"/>
      <c r="M1936" s="487"/>
      <c r="N1936" s="493"/>
      <c r="O1936" s="493"/>
      <c r="P1936" s="493"/>
    </row>
    <row r="1937" spans="1:16" x14ac:dyDescent="0.3">
      <c r="A1937" s="487" t="b">
        <v>0</v>
      </c>
      <c r="B1937" s="487"/>
      <c r="C1937" s="487" t="s">
        <v>5573</v>
      </c>
      <c r="D1937" s="502">
        <v>27</v>
      </c>
      <c r="E1937" s="490"/>
      <c r="F1937" s="493"/>
      <c r="G1937" s="492"/>
      <c r="H1937" s="502"/>
      <c r="I1937" s="493"/>
      <c r="J1937" s="493"/>
      <c r="K1937" s="487" t="str">
        <f ca="1">IFERROR(VLOOKUP(C1937,' Disaggregation - Section E '!A$618:N1149,3,0),"")</f>
        <v/>
      </c>
      <c r="L1937" s="487"/>
      <c r="M1937" s="487"/>
      <c r="N1937" s="493"/>
      <c r="O1937" s="493"/>
      <c r="P1937" s="493"/>
    </row>
    <row r="1938" spans="1:16" x14ac:dyDescent="0.3">
      <c r="A1938" s="487" t="b">
        <v>0</v>
      </c>
      <c r="B1938" s="487"/>
      <c r="C1938" s="487" t="s">
        <v>5575</v>
      </c>
      <c r="D1938" s="502">
        <v>27</v>
      </c>
      <c r="E1938" s="490"/>
      <c r="F1938" s="493"/>
      <c r="G1938" s="492"/>
      <c r="H1938" s="502"/>
      <c r="I1938" s="493"/>
      <c r="J1938" s="493"/>
      <c r="K1938" s="487" t="str">
        <f ca="1">IFERROR(VLOOKUP(C1938,' Disaggregation - Section E '!A$618:N1150,3,0),"")</f>
        <v/>
      </c>
      <c r="L1938" s="487"/>
      <c r="M1938" s="487"/>
      <c r="N1938" s="493"/>
      <c r="O1938" s="493"/>
      <c r="P1938" s="493"/>
    </row>
    <row r="1939" spans="1:16" x14ac:dyDescent="0.3">
      <c r="A1939" s="487" t="b">
        <v>0</v>
      </c>
      <c r="B1939" s="487"/>
      <c r="C1939" s="487" t="s">
        <v>5577</v>
      </c>
      <c r="D1939" s="502">
        <v>27</v>
      </c>
      <c r="E1939" s="490"/>
      <c r="F1939" s="493"/>
      <c r="G1939" s="492"/>
      <c r="H1939" s="502"/>
      <c r="I1939" s="493"/>
      <c r="J1939" s="493"/>
      <c r="K1939" s="487" t="str">
        <f ca="1">IFERROR(VLOOKUP(C1939,' Disaggregation - Section E '!A$618:N1151,3,0),"")</f>
        <v/>
      </c>
      <c r="L1939" s="487"/>
      <c r="M1939" s="487"/>
      <c r="N1939" s="493"/>
      <c r="O1939" s="493"/>
      <c r="P1939" s="493"/>
    </row>
    <row r="1940" spans="1:16" x14ac:dyDescent="0.3">
      <c r="A1940" s="487" t="b">
        <v>0</v>
      </c>
      <c r="B1940" s="487"/>
      <c r="C1940" s="487" t="s">
        <v>5579</v>
      </c>
      <c r="D1940" s="502">
        <v>27</v>
      </c>
      <c r="E1940" s="490"/>
      <c r="F1940" s="493"/>
      <c r="G1940" s="492"/>
      <c r="H1940" s="502"/>
      <c r="I1940" s="493"/>
      <c r="J1940" s="493"/>
      <c r="K1940" s="487" t="str">
        <f ca="1">IFERROR(VLOOKUP(C1940,' Disaggregation - Section E '!A$618:N1152,3,0),"")</f>
        <v/>
      </c>
      <c r="L1940" s="487"/>
      <c r="M1940" s="487"/>
      <c r="N1940" s="493"/>
      <c r="O1940" s="493"/>
      <c r="P1940" s="493"/>
    </row>
    <row r="1941" spans="1:16" x14ac:dyDescent="0.3">
      <c r="A1941" s="487" t="b">
        <v>0</v>
      </c>
      <c r="B1941" s="487"/>
      <c r="C1941" s="487" t="s">
        <v>5581</v>
      </c>
      <c r="D1941" s="502">
        <v>27</v>
      </c>
      <c r="E1941" s="490"/>
      <c r="F1941" s="493"/>
      <c r="G1941" s="492"/>
      <c r="H1941" s="502"/>
      <c r="I1941" s="493"/>
      <c r="J1941" s="493"/>
      <c r="K1941" s="487" t="str">
        <f ca="1">IFERROR(VLOOKUP(C1941,' Disaggregation - Section E '!A$618:N1153,3,0),"")</f>
        <v/>
      </c>
      <c r="L1941" s="487"/>
      <c r="M1941" s="487"/>
      <c r="N1941" s="493"/>
      <c r="O1941" s="493"/>
      <c r="P1941" s="493"/>
    </row>
    <row r="1942" spans="1:16" x14ac:dyDescent="0.3">
      <c r="A1942" s="487" t="b">
        <v>0</v>
      </c>
      <c r="B1942" s="487"/>
      <c r="C1942" s="487" t="s">
        <v>5583</v>
      </c>
      <c r="D1942" s="502">
        <v>27</v>
      </c>
      <c r="E1942" s="490"/>
      <c r="F1942" s="493"/>
      <c r="G1942" s="492"/>
      <c r="H1942" s="502"/>
      <c r="I1942" s="493"/>
      <c r="J1942" s="493"/>
      <c r="K1942" s="487" t="str">
        <f ca="1">IFERROR(VLOOKUP(C1942,' Disaggregation - Section E '!A$618:N1154,3,0),"")</f>
        <v/>
      </c>
      <c r="L1942" s="487"/>
      <c r="M1942" s="487"/>
      <c r="N1942" s="493"/>
      <c r="O1942" s="493"/>
      <c r="P1942" s="493"/>
    </row>
    <row r="1943" spans="1:16" x14ac:dyDescent="0.3">
      <c r="A1943" s="487" t="b">
        <v>0</v>
      </c>
      <c r="B1943" s="487"/>
      <c r="C1943" s="487" t="s">
        <v>5585</v>
      </c>
      <c r="D1943" s="502">
        <v>27</v>
      </c>
      <c r="E1943" s="490"/>
      <c r="F1943" s="493"/>
      <c r="G1943" s="492"/>
      <c r="H1943" s="502"/>
      <c r="I1943" s="493"/>
      <c r="J1943" s="493"/>
      <c r="K1943" s="487" t="str">
        <f ca="1">IFERROR(VLOOKUP(C1943,' Disaggregation - Section E '!A$618:N1155,3,0),"")</f>
        <v/>
      </c>
      <c r="L1943" s="487"/>
      <c r="M1943" s="487"/>
      <c r="N1943" s="493"/>
      <c r="O1943" s="493"/>
      <c r="P1943" s="493"/>
    </row>
    <row r="1944" spans="1:16" x14ac:dyDescent="0.3">
      <c r="A1944" s="487" t="b">
        <v>0</v>
      </c>
      <c r="B1944" s="487"/>
      <c r="C1944" s="487" t="s">
        <v>5587</v>
      </c>
      <c r="D1944" s="502">
        <v>27</v>
      </c>
      <c r="E1944" s="490"/>
      <c r="F1944" s="493"/>
      <c r="G1944" s="492"/>
      <c r="H1944" s="502"/>
      <c r="I1944" s="493"/>
      <c r="J1944" s="493"/>
      <c r="K1944" s="487" t="str">
        <f ca="1">IFERROR(VLOOKUP(C1944,' Disaggregation - Section E '!A$618:N1156,3,0),"")</f>
        <v/>
      </c>
      <c r="L1944" s="487"/>
      <c r="M1944" s="487"/>
      <c r="N1944" s="493"/>
      <c r="O1944" s="493"/>
      <c r="P1944" s="493"/>
    </row>
    <row r="1945" spans="1:16" x14ac:dyDescent="0.3">
      <c r="A1945" s="487" t="b">
        <v>0</v>
      </c>
      <c r="B1945" s="487"/>
      <c r="C1945" s="487" t="s">
        <v>5589</v>
      </c>
      <c r="D1945" s="502">
        <v>27</v>
      </c>
      <c r="E1945" s="490"/>
      <c r="F1945" s="493"/>
      <c r="G1945" s="492"/>
      <c r="H1945" s="502"/>
      <c r="I1945" s="493"/>
      <c r="J1945" s="493"/>
      <c r="K1945" s="487" t="str">
        <f ca="1">IFERROR(VLOOKUP(C1945,' Disaggregation - Section E '!A$618:N1157,3,0),"")</f>
        <v/>
      </c>
      <c r="L1945" s="487"/>
      <c r="M1945" s="487"/>
      <c r="N1945" s="493"/>
      <c r="O1945" s="493"/>
      <c r="P1945" s="493"/>
    </row>
    <row r="1946" spans="1:16" x14ac:dyDescent="0.3">
      <c r="A1946" s="487" t="b">
        <v>0</v>
      </c>
      <c r="B1946" s="487"/>
      <c r="C1946" s="487" t="s">
        <v>5591</v>
      </c>
      <c r="D1946" s="502">
        <v>27</v>
      </c>
      <c r="E1946" s="490"/>
      <c r="F1946" s="493"/>
      <c r="G1946" s="492"/>
      <c r="H1946" s="502"/>
      <c r="I1946" s="493"/>
      <c r="J1946" s="493"/>
      <c r="K1946" s="487" t="str">
        <f ca="1">IFERROR(VLOOKUP(C1946,' Disaggregation - Section E '!A$618:N1158,3,0),"")</f>
        <v/>
      </c>
      <c r="L1946" s="487"/>
      <c r="M1946" s="487"/>
      <c r="N1946" s="493"/>
      <c r="O1946" s="493"/>
      <c r="P1946" s="493"/>
    </row>
    <row r="1947" spans="1:16" x14ac:dyDescent="0.3">
      <c r="A1947" s="487" t="b">
        <v>0</v>
      </c>
      <c r="B1947" s="487"/>
      <c r="C1947" s="487" t="s">
        <v>5593</v>
      </c>
      <c r="D1947" s="502">
        <v>27</v>
      </c>
      <c r="E1947" s="490"/>
      <c r="F1947" s="493"/>
      <c r="G1947" s="492"/>
      <c r="H1947" s="502"/>
      <c r="I1947" s="493"/>
      <c r="J1947" s="493"/>
      <c r="K1947" s="487" t="str">
        <f ca="1">IFERROR(VLOOKUP(C1947,' Disaggregation - Section E '!A$618:N1159,3,0),"")</f>
        <v/>
      </c>
      <c r="L1947" s="487"/>
      <c r="M1947" s="487"/>
      <c r="N1947" s="493"/>
      <c r="O1947" s="493"/>
      <c r="P1947" s="493"/>
    </row>
    <row r="1948" spans="1:16" x14ac:dyDescent="0.3">
      <c r="A1948" s="487" t="b">
        <v>0</v>
      </c>
      <c r="B1948" s="487"/>
      <c r="C1948" s="487" t="s">
        <v>5595</v>
      </c>
      <c r="D1948" s="502">
        <v>27</v>
      </c>
      <c r="E1948" s="490"/>
      <c r="F1948" s="493"/>
      <c r="G1948" s="492"/>
      <c r="H1948" s="502"/>
      <c r="I1948" s="493"/>
      <c r="J1948" s="493"/>
      <c r="K1948" s="487" t="str">
        <f ca="1">IFERROR(VLOOKUP(C1948,' Disaggregation - Section E '!A$618:N1160,3,0),"")</f>
        <v/>
      </c>
      <c r="L1948" s="487"/>
      <c r="M1948" s="487"/>
      <c r="N1948" s="493"/>
      <c r="O1948" s="493"/>
      <c r="P1948" s="493"/>
    </row>
    <row r="1949" spans="1:16" x14ac:dyDescent="0.3">
      <c r="A1949" s="487" t="b">
        <v>0</v>
      </c>
      <c r="B1949" s="487"/>
      <c r="C1949" s="487" t="s">
        <v>5597</v>
      </c>
      <c r="D1949" s="502">
        <v>27</v>
      </c>
      <c r="E1949" s="490"/>
      <c r="F1949" s="493"/>
      <c r="G1949" s="492"/>
      <c r="H1949" s="502"/>
      <c r="I1949" s="493"/>
      <c r="J1949" s="493"/>
      <c r="K1949" s="487" t="str">
        <f ca="1">IFERROR(VLOOKUP(C1949,' Disaggregation - Section E '!A$618:N1161,3,0),"")</f>
        <v/>
      </c>
      <c r="L1949" s="487"/>
      <c r="M1949" s="487"/>
      <c r="N1949" s="493"/>
      <c r="O1949" s="493"/>
      <c r="P1949" s="493"/>
    </row>
    <row r="1950" spans="1:16" x14ac:dyDescent="0.3">
      <c r="A1950" s="487" t="b">
        <v>0</v>
      </c>
      <c r="B1950" s="487"/>
      <c r="C1950" s="487" t="s">
        <v>5599</v>
      </c>
      <c r="D1950" s="502">
        <v>27</v>
      </c>
      <c r="E1950" s="490"/>
      <c r="F1950" s="493"/>
      <c r="G1950" s="492"/>
      <c r="H1950" s="502"/>
      <c r="I1950" s="493"/>
      <c r="J1950" s="493"/>
      <c r="K1950" s="487" t="str">
        <f ca="1">IFERROR(VLOOKUP(C1950,' Disaggregation - Section E '!A$618:N1162,3,0),"")</f>
        <v/>
      </c>
      <c r="L1950" s="487"/>
      <c r="M1950" s="487"/>
      <c r="N1950" s="493"/>
      <c r="O1950" s="493"/>
      <c r="P1950" s="493"/>
    </row>
    <row r="1951" spans="1:16" x14ac:dyDescent="0.3">
      <c r="A1951" s="487" t="b">
        <v>0</v>
      </c>
      <c r="B1951" s="487"/>
      <c r="C1951" s="487" t="s">
        <v>5601</v>
      </c>
      <c r="D1951" s="502">
        <v>27</v>
      </c>
      <c r="E1951" s="490"/>
      <c r="F1951" s="493"/>
      <c r="G1951" s="492"/>
      <c r="H1951" s="502"/>
      <c r="I1951" s="493"/>
      <c r="J1951" s="493"/>
      <c r="K1951" s="487" t="str">
        <f ca="1">IFERROR(VLOOKUP(C1951,' Disaggregation - Section E '!A$618:N1163,3,0),"")</f>
        <v/>
      </c>
      <c r="L1951" s="487"/>
      <c r="M1951" s="487"/>
      <c r="N1951" s="493"/>
      <c r="O1951" s="493"/>
      <c r="P1951" s="493"/>
    </row>
    <row r="1952" spans="1:16" x14ac:dyDescent="0.3">
      <c r="A1952" s="487" t="b">
        <v>0</v>
      </c>
      <c r="B1952" s="487"/>
      <c r="C1952" s="487" t="s">
        <v>5604</v>
      </c>
      <c r="D1952" s="502">
        <v>28</v>
      </c>
      <c r="E1952" s="490"/>
      <c r="F1952" s="493"/>
      <c r="G1952" s="492"/>
      <c r="H1952" s="502"/>
      <c r="I1952" s="493"/>
      <c r="J1952" s="493"/>
      <c r="K1952" s="487" t="str">
        <f ca="1">IFERROR(VLOOKUP(C1952,' Disaggregation - Section E '!A$618:N1164,3,0),"")</f>
        <v/>
      </c>
      <c r="L1952" s="487"/>
      <c r="M1952" s="487"/>
      <c r="N1952" s="493"/>
      <c r="O1952" s="493"/>
      <c r="P1952" s="493"/>
    </row>
    <row r="1953" spans="1:16" x14ac:dyDescent="0.3">
      <c r="A1953" s="487" t="b">
        <v>0</v>
      </c>
      <c r="B1953" s="487"/>
      <c r="C1953" s="487" t="s">
        <v>5606</v>
      </c>
      <c r="D1953" s="502">
        <v>28</v>
      </c>
      <c r="E1953" s="490"/>
      <c r="F1953" s="493"/>
      <c r="G1953" s="492"/>
      <c r="H1953" s="502"/>
      <c r="I1953" s="493"/>
      <c r="J1953" s="493"/>
      <c r="K1953" s="487" t="str">
        <f ca="1">IFERROR(VLOOKUP(C1953,' Disaggregation - Section E '!A$618:N1165,3,0),"")</f>
        <v/>
      </c>
      <c r="L1953" s="487"/>
      <c r="M1953" s="487"/>
      <c r="N1953" s="493"/>
      <c r="O1953" s="493"/>
      <c r="P1953" s="493"/>
    </row>
    <row r="1954" spans="1:16" x14ac:dyDescent="0.3">
      <c r="A1954" s="487" t="b">
        <v>0</v>
      </c>
      <c r="B1954" s="487"/>
      <c r="C1954" s="487" t="s">
        <v>5608</v>
      </c>
      <c r="D1954" s="502">
        <v>28</v>
      </c>
      <c r="E1954" s="490"/>
      <c r="F1954" s="493"/>
      <c r="G1954" s="492"/>
      <c r="H1954" s="502"/>
      <c r="I1954" s="493"/>
      <c r="J1954" s="493"/>
      <c r="K1954" s="487" t="str">
        <f ca="1">IFERROR(VLOOKUP(C1954,' Disaggregation - Section E '!A$618:N1166,3,0),"")</f>
        <v/>
      </c>
      <c r="L1954" s="487"/>
      <c r="M1954" s="487"/>
      <c r="N1954" s="493"/>
      <c r="O1954" s="493"/>
      <c r="P1954" s="493"/>
    </row>
    <row r="1955" spans="1:16" x14ac:dyDescent="0.3">
      <c r="A1955" s="487" t="b">
        <v>0</v>
      </c>
      <c r="B1955" s="487"/>
      <c r="C1955" s="487" t="s">
        <v>5610</v>
      </c>
      <c r="D1955" s="502">
        <v>28</v>
      </c>
      <c r="E1955" s="490"/>
      <c r="F1955" s="493"/>
      <c r="G1955" s="492"/>
      <c r="H1955" s="502"/>
      <c r="I1955" s="493"/>
      <c r="J1955" s="493"/>
      <c r="K1955" s="487" t="str">
        <f ca="1">IFERROR(VLOOKUP(C1955,' Disaggregation - Section E '!A$618:N1167,3,0),"")</f>
        <v/>
      </c>
      <c r="L1955" s="487"/>
      <c r="M1955" s="487"/>
      <c r="N1955" s="493"/>
      <c r="O1955" s="493"/>
      <c r="P1955" s="493"/>
    </row>
    <row r="1956" spans="1:16" x14ac:dyDescent="0.3">
      <c r="A1956" s="487" t="b">
        <v>0</v>
      </c>
      <c r="B1956" s="487"/>
      <c r="C1956" s="487" t="s">
        <v>5612</v>
      </c>
      <c r="D1956" s="502">
        <v>28</v>
      </c>
      <c r="E1956" s="490"/>
      <c r="F1956" s="493"/>
      <c r="G1956" s="492"/>
      <c r="H1956" s="502"/>
      <c r="I1956" s="493"/>
      <c r="J1956" s="493"/>
      <c r="K1956" s="487" t="str">
        <f ca="1">IFERROR(VLOOKUP(C1956,' Disaggregation - Section E '!A$618:N1168,3,0),"")</f>
        <v/>
      </c>
      <c r="L1956" s="487"/>
      <c r="M1956" s="487"/>
      <c r="N1956" s="493"/>
      <c r="O1956" s="493"/>
      <c r="P1956" s="493"/>
    </row>
    <row r="1957" spans="1:16" x14ac:dyDescent="0.3">
      <c r="A1957" s="487" t="b">
        <v>0</v>
      </c>
      <c r="B1957" s="487"/>
      <c r="C1957" s="487" t="s">
        <v>5614</v>
      </c>
      <c r="D1957" s="502">
        <v>28</v>
      </c>
      <c r="E1957" s="490"/>
      <c r="F1957" s="493"/>
      <c r="G1957" s="492"/>
      <c r="H1957" s="502"/>
      <c r="I1957" s="493"/>
      <c r="J1957" s="493"/>
      <c r="K1957" s="487" t="str">
        <f ca="1">IFERROR(VLOOKUP(C1957,' Disaggregation - Section E '!A$618:N1169,3,0),"")</f>
        <v/>
      </c>
      <c r="L1957" s="487"/>
      <c r="M1957" s="487"/>
      <c r="N1957" s="493"/>
      <c r="O1957" s="493"/>
      <c r="P1957" s="493"/>
    </row>
    <row r="1958" spans="1:16" x14ac:dyDescent="0.3">
      <c r="A1958" s="487" t="b">
        <v>0</v>
      </c>
      <c r="B1958" s="487"/>
      <c r="C1958" s="487" t="s">
        <v>5616</v>
      </c>
      <c r="D1958" s="502">
        <v>28</v>
      </c>
      <c r="E1958" s="490"/>
      <c r="F1958" s="493"/>
      <c r="G1958" s="492"/>
      <c r="H1958" s="502"/>
      <c r="I1958" s="493"/>
      <c r="J1958" s="493"/>
      <c r="K1958" s="487" t="str">
        <f ca="1">IFERROR(VLOOKUP(C1958,' Disaggregation - Section E '!A$618:N1170,3,0),"")</f>
        <v/>
      </c>
      <c r="L1958" s="487"/>
      <c r="M1958" s="487"/>
      <c r="N1958" s="493"/>
      <c r="O1958" s="493"/>
      <c r="P1958" s="493"/>
    </row>
    <row r="1959" spans="1:16" x14ac:dyDescent="0.3">
      <c r="A1959" s="487" t="b">
        <v>0</v>
      </c>
      <c r="B1959" s="487"/>
      <c r="C1959" s="487" t="s">
        <v>5618</v>
      </c>
      <c r="D1959" s="502">
        <v>28</v>
      </c>
      <c r="E1959" s="490"/>
      <c r="F1959" s="493"/>
      <c r="G1959" s="492"/>
      <c r="H1959" s="502"/>
      <c r="I1959" s="493"/>
      <c r="J1959" s="493"/>
      <c r="K1959" s="487" t="str">
        <f ca="1">IFERROR(VLOOKUP(C1959,' Disaggregation - Section E '!A$618:N1171,3,0),"")</f>
        <v/>
      </c>
      <c r="L1959" s="487"/>
      <c r="M1959" s="487"/>
      <c r="N1959" s="493"/>
      <c r="O1959" s="493"/>
      <c r="P1959" s="493"/>
    </row>
    <row r="1960" spans="1:16" x14ac:dyDescent="0.3">
      <c r="A1960" s="487" t="b">
        <v>0</v>
      </c>
      <c r="B1960" s="487"/>
      <c r="C1960" s="487" t="s">
        <v>5620</v>
      </c>
      <c r="D1960" s="502">
        <v>28</v>
      </c>
      <c r="E1960" s="490"/>
      <c r="F1960" s="493"/>
      <c r="G1960" s="492"/>
      <c r="H1960" s="502"/>
      <c r="I1960" s="493"/>
      <c r="J1960" s="493"/>
      <c r="K1960" s="487" t="str">
        <f ca="1">IFERROR(VLOOKUP(C1960,' Disaggregation - Section E '!A$618:N1172,3,0),"")</f>
        <v/>
      </c>
      <c r="L1960" s="487"/>
      <c r="M1960" s="487"/>
      <c r="N1960" s="493"/>
      <c r="O1960" s="493"/>
      <c r="P1960" s="493"/>
    </row>
    <row r="1961" spans="1:16" x14ac:dyDescent="0.3">
      <c r="A1961" s="487" t="b">
        <v>0</v>
      </c>
      <c r="B1961" s="487"/>
      <c r="C1961" s="487" t="s">
        <v>5622</v>
      </c>
      <c r="D1961" s="502">
        <v>28</v>
      </c>
      <c r="E1961" s="490"/>
      <c r="F1961" s="493"/>
      <c r="G1961" s="492"/>
      <c r="H1961" s="502"/>
      <c r="I1961" s="493"/>
      <c r="J1961" s="493"/>
      <c r="K1961" s="487" t="str">
        <f ca="1">IFERROR(VLOOKUP(C1961,' Disaggregation - Section E '!A$618:N1173,3,0),"")</f>
        <v/>
      </c>
      <c r="L1961" s="487"/>
      <c r="M1961" s="487"/>
      <c r="N1961" s="493"/>
      <c r="O1961" s="493"/>
      <c r="P1961" s="493"/>
    </row>
    <row r="1962" spans="1:16" x14ac:dyDescent="0.3">
      <c r="A1962" s="487" t="b">
        <v>0</v>
      </c>
      <c r="B1962" s="487"/>
      <c r="C1962" s="487" t="s">
        <v>5624</v>
      </c>
      <c r="D1962" s="502">
        <v>28</v>
      </c>
      <c r="E1962" s="490"/>
      <c r="F1962" s="493"/>
      <c r="G1962" s="492"/>
      <c r="H1962" s="502"/>
      <c r="I1962" s="493"/>
      <c r="J1962" s="493"/>
      <c r="K1962" s="487" t="str">
        <f ca="1">IFERROR(VLOOKUP(C1962,' Disaggregation - Section E '!A$618:N1174,3,0),"")</f>
        <v/>
      </c>
      <c r="L1962" s="487"/>
      <c r="M1962" s="487"/>
      <c r="N1962" s="493"/>
      <c r="O1962" s="493"/>
      <c r="P1962" s="493"/>
    </row>
    <row r="1963" spans="1:16" x14ac:dyDescent="0.3">
      <c r="A1963" s="487" t="b">
        <v>0</v>
      </c>
      <c r="B1963" s="487"/>
      <c r="C1963" s="487" t="s">
        <v>5626</v>
      </c>
      <c r="D1963" s="502">
        <v>28</v>
      </c>
      <c r="E1963" s="490"/>
      <c r="F1963" s="493"/>
      <c r="G1963" s="492"/>
      <c r="H1963" s="502"/>
      <c r="I1963" s="493"/>
      <c r="J1963" s="493"/>
      <c r="K1963" s="487" t="str">
        <f ca="1">IFERROR(VLOOKUP(C1963,' Disaggregation - Section E '!A$618:N1175,3,0),"")</f>
        <v/>
      </c>
      <c r="L1963" s="487"/>
      <c r="M1963" s="487"/>
      <c r="N1963" s="493"/>
      <c r="O1963" s="493"/>
      <c r="P1963" s="493"/>
    </row>
    <row r="1964" spans="1:16" x14ac:dyDescent="0.3">
      <c r="A1964" s="487" t="b">
        <v>0</v>
      </c>
      <c r="B1964" s="487"/>
      <c r="C1964" s="487" t="s">
        <v>5628</v>
      </c>
      <c r="D1964" s="502">
        <v>28</v>
      </c>
      <c r="E1964" s="490"/>
      <c r="F1964" s="493"/>
      <c r="G1964" s="492"/>
      <c r="H1964" s="502"/>
      <c r="I1964" s="493"/>
      <c r="J1964" s="493"/>
      <c r="K1964" s="487" t="str">
        <f ca="1">IFERROR(VLOOKUP(C1964,' Disaggregation - Section E '!A$618:N1176,3,0),"")</f>
        <v/>
      </c>
      <c r="L1964" s="487"/>
      <c r="M1964" s="487"/>
      <c r="N1964" s="493"/>
      <c r="O1964" s="493"/>
      <c r="P1964" s="493"/>
    </row>
    <row r="1965" spans="1:16" x14ac:dyDescent="0.3">
      <c r="A1965" s="487" t="b">
        <v>0</v>
      </c>
      <c r="B1965" s="487"/>
      <c r="C1965" s="487" t="s">
        <v>5630</v>
      </c>
      <c r="D1965" s="502">
        <v>28</v>
      </c>
      <c r="E1965" s="490"/>
      <c r="F1965" s="493"/>
      <c r="G1965" s="492"/>
      <c r="H1965" s="502"/>
      <c r="I1965" s="493"/>
      <c r="J1965" s="493"/>
      <c r="K1965" s="487" t="str">
        <f ca="1">IFERROR(VLOOKUP(C1965,' Disaggregation - Section E '!A$618:N1177,3,0),"")</f>
        <v/>
      </c>
      <c r="L1965" s="487"/>
      <c r="M1965" s="487"/>
      <c r="N1965" s="493"/>
      <c r="O1965" s="493"/>
      <c r="P1965" s="493"/>
    </row>
    <row r="1966" spans="1:16" x14ac:dyDescent="0.3">
      <c r="A1966" s="487" t="b">
        <v>0</v>
      </c>
      <c r="B1966" s="487"/>
      <c r="C1966" s="487" t="s">
        <v>5632</v>
      </c>
      <c r="D1966" s="502">
        <v>28</v>
      </c>
      <c r="E1966" s="490"/>
      <c r="F1966" s="493"/>
      <c r="G1966" s="492"/>
      <c r="H1966" s="502"/>
      <c r="I1966" s="493"/>
      <c r="J1966" s="493"/>
      <c r="K1966" s="487" t="str">
        <f ca="1">IFERROR(VLOOKUP(C1966,' Disaggregation - Section E '!A$618:N1178,3,0),"")</f>
        <v/>
      </c>
      <c r="L1966" s="487"/>
      <c r="M1966" s="487"/>
      <c r="N1966" s="493"/>
      <c r="O1966" s="493"/>
      <c r="P1966" s="493"/>
    </row>
    <row r="1967" spans="1:16" x14ac:dyDescent="0.3">
      <c r="A1967" s="487" t="b">
        <v>0</v>
      </c>
      <c r="B1967" s="487"/>
      <c r="C1967" s="487" t="s">
        <v>5634</v>
      </c>
      <c r="D1967" s="502">
        <v>28</v>
      </c>
      <c r="E1967" s="490"/>
      <c r="F1967" s="493"/>
      <c r="G1967" s="492"/>
      <c r="H1967" s="502"/>
      <c r="I1967" s="493"/>
      <c r="J1967" s="493"/>
      <c r="K1967" s="487" t="str">
        <f ca="1">IFERROR(VLOOKUP(C1967,' Disaggregation - Section E '!A$618:N1179,3,0),"")</f>
        <v/>
      </c>
      <c r="L1967" s="487"/>
      <c r="M1967" s="487"/>
      <c r="N1967" s="493"/>
      <c r="O1967" s="493"/>
      <c r="P1967" s="493"/>
    </row>
    <row r="1968" spans="1:16" x14ac:dyDescent="0.3">
      <c r="A1968" s="487" t="b">
        <v>0</v>
      </c>
      <c r="B1968" s="487"/>
      <c r="C1968" s="487" t="s">
        <v>5636</v>
      </c>
      <c r="D1968" s="502">
        <v>28</v>
      </c>
      <c r="E1968" s="490"/>
      <c r="F1968" s="493"/>
      <c r="G1968" s="492"/>
      <c r="H1968" s="502"/>
      <c r="I1968" s="493"/>
      <c r="J1968" s="493"/>
      <c r="K1968" s="487" t="str">
        <f ca="1">IFERROR(VLOOKUP(C1968,' Disaggregation - Section E '!A$618:N1180,3,0),"")</f>
        <v/>
      </c>
      <c r="L1968" s="487"/>
      <c r="M1968" s="487"/>
      <c r="N1968" s="493"/>
      <c r="O1968" s="493"/>
      <c r="P1968" s="493"/>
    </row>
    <row r="1969" spans="1:16" x14ac:dyDescent="0.3">
      <c r="A1969" s="487" t="b">
        <v>0</v>
      </c>
      <c r="B1969" s="487"/>
      <c r="C1969" s="487" t="s">
        <v>5638</v>
      </c>
      <c r="D1969" s="502">
        <v>28</v>
      </c>
      <c r="E1969" s="490"/>
      <c r="F1969" s="493"/>
      <c r="G1969" s="492"/>
      <c r="H1969" s="502"/>
      <c r="I1969" s="493"/>
      <c r="J1969" s="493"/>
      <c r="K1969" s="487" t="str">
        <f ca="1">IFERROR(VLOOKUP(C1969,' Disaggregation - Section E '!A$618:N1181,3,0),"")</f>
        <v/>
      </c>
      <c r="L1969" s="487"/>
      <c r="M1969" s="487"/>
      <c r="N1969" s="493"/>
      <c r="O1969" s="493"/>
      <c r="P1969" s="493"/>
    </row>
    <row r="1970" spans="1:16" x14ac:dyDescent="0.3">
      <c r="A1970" s="487" t="b">
        <v>0</v>
      </c>
      <c r="B1970" s="487"/>
      <c r="C1970" s="487" t="s">
        <v>5640</v>
      </c>
      <c r="D1970" s="502">
        <v>28</v>
      </c>
      <c r="E1970" s="490"/>
      <c r="F1970" s="493"/>
      <c r="G1970" s="492"/>
      <c r="H1970" s="502"/>
      <c r="I1970" s="493"/>
      <c r="J1970" s="493"/>
      <c r="K1970" s="487" t="str">
        <f ca="1">IFERROR(VLOOKUP(C1970,' Disaggregation - Section E '!A$618:N1182,3,0),"")</f>
        <v/>
      </c>
      <c r="L1970" s="487"/>
      <c r="M1970" s="487"/>
      <c r="N1970" s="493"/>
      <c r="O1970" s="493"/>
      <c r="P1970" s="493"/>
    </row>
    <row r="1971" spans="1:16" x14ac:dyDescent="0.3">
      <c r="A1971" s="487" t="b">
        <v>0</v>
      </c>
      <c r="B1971" s="487"/>
      <c r="C1971" s="487" t="s">
        <v>5642</v>
      </c>
      <c r="D1971" s="502">
        <v>28</v>
      </c>
      <c r="E1971" s="490"/>
      <c r="F1971" s="493"/>
      <c r="G1971" s="492"/>
      <c r="H1971" s="502"/>
      <c r="I1971" s="493"/>
      <c r="J1971" s="493"/>
      <c r="K1971" s="487" t="str">
        <f ca="1">IFERROR(VLOOKUP(C1971,' Disaggregation - Section E '!A$618:N1183,3,0),"")</f>
        <v/>
      </c>
      <c r="L1971" s="487"/>
      <c r="M1971" s="487"/>
      <c r="N1971" s="493"/>
      <c r="O1971" s="493"/>
      <c r="P1971" s="493"/>
    </row>
    <row r="1972" spans="1:16" x14ac:dyDescent="0.3">
      <c r="A1972" s="487" t="b">
        <v>0</v>
      </c>
      <c r="B1972" s="487"/>
      <c r="C1972" s="487" t="s">
        <v>5645</v>
      </c>
      <c r="D1972" s="502">
        <v>29</v>
      </c>
      <c r="E1972" s="490"/>
      <c r="F1972" s="493"/>
      <c r="G1972" s="492"/>
      <c r="H1972" s="502"/>
      <c r="I1972" s="493"/>
      <c r="J1972" s="493"/>
      <c r="K1972" s="487" t="str">
        <f ca="1">IFERROR(VLOOKUP(C1972,' Disaggregation - Section E '!A$618:N1184,3,0),"")</f>
        <v/>
      </c>
      <c r="L1972" s="487"/>
      <c r="M1972" s="487"/>
      <c r="N1972" s="493"/>
      <c r="O1972" s="493"/>
      <c r="P1972" s="493"/>
    </row>
    <row r="1973" spans="1:16" x14ac:dyDescent="0.3">
      <c r="A1973" s="487" t="b">
        <v>0</v>
      </c>
      <c r="B1973" s="487"/>
      <c r="C1973" s="487" t="s">
        <v>5647</v>
      </c>
      <c r="D1973" s="502">
        <v>29</v>
      </c>
      <c r="E1973" s="490"/>
      <c r="F1973" s="493"/>
      <c r="G1973" s="492"/>
      <c r="H1973" s="502"/>
      <c r="I1973" s="493"/>
      <c r="J1973" s="493"/>
      <c r="K1973" s="487" t="str">
        <f ca="1">IFERROR(VLOOKUP(C1973,' Disaggregation - Section E '!A$618:N1185,3,0),"")</f>
        <v/>
      </c>
      <c r="L1973" s="487"/>
      <c r="M1973" s="487"/>
      <c r="N1973" s="493"/>
      <c r="O1973" s="493"/>
      <c r="P1973" s="493"/>
    </row>
    <row r="1974" spans="1:16" x14ac:dyDescent="0.3">
      <c r="A1974" s="487" t="b">
        <v>0</v>
      </c>
      <c r="B1974" s="487"/>
      <c r="C1974" s="487" t="s">
        <v>5649</v>
      </c>
      <c r="D1974" s="502">
        <v>29</v>
      </c>
      <c r="E1974" s="490"/>
      <c r="F1974" s="493"/>
      <c r="G1974" s="492"/>
      <c r="H1974" s="502"/>
      <c r="I1974" s="493"/>
      <c r="J1974" s="493"/>
      <c r="K1974" s="487" t="str">
        <f ca="1">IFERROR(VLOOKUP(C1974,' Disaggregation - Section E '!A$618:N1186,3,0),"")</f>
        <v/>
      </c>
      <c r="L1974" s="487"/>
      <c r="M1974" s="487"/>
      <c r="N1974" s="493"/>
      <c r="O1974" s="493"/>
      <c r="P1974" s="493"/>
    </row>
    <row r="1975" spans="1:16" x14ac:dyDescent="0.3">
      <c r="A1975" s="487" t="b">
        <v>0</v>
      </c>
      <c r="B1975" s="487"/>
      <c r="C1975" s="487" t="s">
        <v>5651</v>
      </c>
      <c r="D1975" s="502">
        <v>29</v>
      </c>
      <c r="E1975" s="490"/>
      <c r="F1975" s="493"/>
      <c r="G1975" s="492"/>
      <c r="H1975" s="502"/>
      <c r="I1975" s="493"/>
      <c r="J1975" s="493"/>
      <c r="K1975" s="487" t="str">
        <f ca="1">IFERROR(VLOOKUP(C1975,' Disaggregation - Section E '!A$618:N1187,3,0),"")</f>
        <v/>
      </c>
      <c r="L1975" s="487"/>
      <c r="M1975" s="487"/>
      <c r="N1975" s="493"/>
      <c r="O1975" s="493"/>
      <c r="P1975" s="493"/>
    </row>
    <row r="1976" spans="1:16" x14ac:dyDescent="0.3">
      <c r="A1976" s="487" t="b">
        <v>0</v>
      </c>
      <c r="B1976" s="487"/>
      <c r="C1976" s="487" t="s">
        <v>5653</v>
      </c>
      <c r="D1976" s="502">
        <v>29</v>
      </c>
      <c r="E1976" s="490"/>
      <c r="F1976" s="493"/>
      <c r="G1976" s="492"/>
      <c r="H1976" s="502"/>
      <c r="I1976" s="493"/>
      <c r="J1976" s="493"/>
      <c r="K1976" s="487" t="str">
        <f ca="1">IFERROR(VLOOKUP(C1976,' Disaggregation - Section E '!A$618:N1188,3,0),"")</f>
        <v/>
      </c>
      <c r="L1976" s="487"/>
      <c r="M1976" s="487"/>
      <c r="N1976" s="493"/>
      <c r="O1976" s="493"/>
      <c r="P1976" s="493"/>
    </row>
    <row r="1977" spans="1:16" x14ac:dyDescent="0.3">
      <c r="A1977" s="487" t="b">
        <v>0</v>
      </c>
      <c r="B1977" s="487"/>
      <c r="C1977" s="487" t="s">
        <v>5655</v>
      </c>
      <c r="D1977" s="502">
        <v>29</v>
      </c>
      <c r="E1977" s="490"/>
      <c r="F1977" s="493"/>
      <c r="G1977" s="492"/>
      <c r="H1977" s="502"/>
      <c r="I1977" s="493"/>
      <c r="J1977" s="493"/>
      <c r="K1977" s="487" t="str">
        <f ca="1">IFERROR(VLOOKUP(C1977,' Disaggregation - Section E '!A$618:N1189,3,0),"")</f>
        <v/>
      </c>
      <c r="L1977" s="487"/>
      <c r="M1977" s="487"/>
      <c r="N1977" s="493"/>
      <c r="O1977" s="493"/>
      <c r="P1977" s="493"/>
    </row>
    <row r="1978" spans="1:16" x14ac:dyDescent="0.3">
      <c r="A1978" s="487" t="b">
        <v>0</v>
      </c>
      <c r="B1978" s="487"/>
      <c r="C1978" s="487" t="s">
        <v>5657</v>
      </c>
      <c r="D1978" s="502">
        <v>29</v>
      </c>
      <c r="E1978" s="490"/>
      <c r="F1978" s="493"/>
      <c r="G1978" s="492"/>
      <c r="H1978" s="502"/>
      <c r="I1978" s="493"/>
      <c r="J1978" s="493"/>
      <c r="K1978" s="487" t="str">
        <f ca="1">IFERROR(VLOOKUP(C1978,' Disaggregation - Section E '!A$618:N1190,3,0),"")</f>
        <v/>
      </c>
      <c r="L1978" s="487"/>
      <c r="M1978" s="487"/>
      <c r="N1978" s="493"/>
      <c r="O1978" s="493"/>
      <c r="P1978" s="493"/>
    </row>
    <row r="1979" spans="1:16" x14ac:dyDescent="0.3">
      <c r="A1979" s="487" t="b">
        <v>0</v>
      </c>
      <c r="B1979" s="487"/>
      <c r="C1979" s="487" t="s">
        <v>5659</v>
      </c>
      <c r="D1979" s="502">
        <v>29</v>
      </c>
      <c r="E1979" s="490"/>
      <c r="F1979" s="493"/>
      <c r="G1979" s="492"/>
      <c r="H1979" s="502"/>
      <c r="I1979" s="493"/>
      <c r="J1979" s="493"/>
      <c r="K1979" s="487" t="str">
        <f ca="1">IFERROR(VLOOKUP(C1979,' Disaggregation - Section E '!A$618:N1191,3,0),"")</f>
        <v/>
      </c>
      <c r="L1979" s="487"/>
      <c r="M1979" s="487"/>
      <c r="N1979" s="493"/>
      <c r="O1979" s="493"/>
      <c r="P1979" s="493"/>
    </row>
    <row r="1980" spans="1:16" x14ac:dyDescent="0.3">
      <c r="A1980" s="487" t="b">
        <v>0</v>
      </c>
      <c r="B1980" s="487"/>
      <c r="C1980" s="487" t="s">
        <v>5661</v>
      </c>
      <c r="D1980" s="502">
        <v>29</v>
      </c>
      <c r="E1980" s="490"/>
      <c r="F1980" s="493"/>
      <c r="G1980" s="492"/>
      <c r="H1980" s="502"/>
      <c r="I1980" s="493"/>
      <c r="J1980" s="493"/>
      <c r="K1980" s="487" t="str">
        <f ca="1">IFERROR(VLOOKUP(C1980,' Disaggregation - Section E '!A$618:N1192,3,0),"")</f>
        <v/>
      </c>
      <c r="L1980" s="487"/>
      <c r="M1980" s="487"/>
      <c r="N1980" s="493"/>
      <c r="O1980" s="493"/>
      <c r="P1980" s="493"/>
    </row>
    <row r="1981" spans="1:16" x14ac:dyDescent="0.3">
      <c r="A1981" s="487" t="b">
        <v>0</v>
      </c>
      <c r="B1981" s="487"/>
      <c r="C1981" s="487" t="s">
        <v>5663</v>
      </c>
      <c r="D1981" s="502">
        <v>29</v>
      </c>
      <c r="E1981" s="490"/>
      <c r="F1981" s="493"/>
      <c r="G1981" s="492"/>
      <c r="H1981" s="502"/>
      <c r="I1981" s="493"/>
      <c r="J1981" s="493"/>
      <c r="K1981" s="487" t="str">
        <f ca="1">IFERROR(VLOOKUP(C1981,' Disaggregation - Section E '!A$618:N1193,3,0),"")</f>
        <v/>
      </c>
      <c r="L1981" s="487"/>
      <c r="M1981" s="487"/>
      <c r="N1981" s="493"/>
      <c r="O1981" s="493"/>
      <c r="P1981" s="493"/>
    </row>
    <row r="1982" spans="1:16" x14ac:dyDescent="0.3">
      <c r="A1982" s="487" t="b">
        <v>0</v>
      </c>
      <c r="B1982" s="487"/>
      <c r="C1982" s="487" t="s">
        <v>5665</v>
      </c>
      <c r="D1982" s="502">
        <v>29</v>
      </c>
      <c r="E1982" s="490"/>
      <c r="F1982" s="493"/>
      <c r="G1982" s="492"/>
      <c r="H1982" s="502"/>
      <c r="I1982" s="493"/>
      <c r="J1982" s="493"/>
      <c r="K1982" s="487" t="str">
        <f ca="1">IFERROR(VLOOKUP(C1982,' Disaggregation - Section E '!A$618:N1194,3,0),"")</f>
        <v/>
      </c>
      <c r="L1982" s="487"/>
      <c r="M1982" s="487"/>
      <c r="N1982" s="493"/>
      <c r="O1982" s="493"/>
      <c r="P1982" s="493"/>
    </row>
    <row r="1983" spans="1:16" x14ac:dyDescent="0.3">
      <c r="A1983" s="487" t="b">
        <v>0</v>
      </c>
      <c r="B1983" s="487"/>
      <c r="C1983" s="487" t="s">
        <v>5667</v>
      </c>
      <c r="D1983" s="502">
        <v>29</v>
      </c>
      <c r="E1983" s="490"/>
      <c r="F1983" s="493"/>
      <c r="G1983" s="492"/>
      <c r="H1983" s="502"/>
      <c r="I1983" s="493"/>
      <c r="J1983" s="493"/>
      <c r="K1983" s="487" t="str">
        <f ca="1">IFERROR(VLOOKUP(C1983,' Disaggregation - Section E '!A$618:N1195,3,0),"")</f>
        <v/>
      </c>
      <c r="L1983" s="487"/>
      <c r="M1983" s="487"/>
      <c r="N1983" s="493"/>
      <c r="O1983" s="493"/>
      <c r="P1983" s="493"/>
    </row>
    <row r="1984" spans="1:16" x14ac:dyDescent="0.3">
      <c r="A1984" s="487" t="b">
        <v>0</v>
      </c>
      <c r="B1984" s="487"/>
      <c r="C1984" s="487" t="s">
        <v>5669</v>
      </c>
      <c r="D1984" s="502">
        <v>29</v>
      </c>
      <c r="E1984" s="490"/>
      <c r="F1984" s="493"/>
      <c r="G1984" s="492"/>
      <c r="H1984" s="502"/>
      <c r="I1984" s="493"/>
      <c r="J1984" s="493"/>
      <c r="K1984" s="487" t="str">
        <f ca="1">IFERROR(VLOOKUP(C1984,' Disaggregation - Section E '!A$618:N1196,3,0),"")</f>
        <v/>
      </c>
      <c r="L1984" s="487"/>
      <c r="M1984" s="487"/>
      <c r="N1984" s="493"/>
      <c r="O1984" s="493"/>
      <c r="P1984" s="493"/>
    </row>
    <row r="1985" spans="1:16" x14ac:dyDescent="0.3">
      <c r="A1985" s="487" t="b">
        <v>0</v>
      </c>
      <c r="B1985" s="487"/>
      <c r="C1985" s="487" t="s">
        <v>5671</v>
      </c>
      <c r="D1985" s="502">
        <v>29</v>
      </c>
      <c r="E1985" s="490"/>
      <c r="F1985" s="493"/>
      <c r="G1985" s="492"/>
      <c r="H1985" s="502"/>
      <c r="I1985" s="493"/>
      <c r="J1985" s="493"/>
      <c r="K1985" s="487" t="str">
        <f ca="1">IFERROR(VLOOKUP(C1985,' Disaggregation - Section E '!A$618:N1197,3,0),"")</f>
        <v/>
      </c>
      <c r="L1985" s="487"/>
      <c r="M1985" s="487"/>
      <c r="N1985" s="493"/>
      <c r="O1985" s="493"/>
      <c r="P1985" s="493"/>
    </row>
    <row r="1986" spans="1:16" x14ac:dyDescent="0.3">
      <c r="A1986" s="487" t="b">
        <v>0</v>
      </c>
      <c r="B1986" s="487"/>
      <c r="C1986" s="487" t="s">
        <v>5673</v>
      </c>
      <c r="D1986" s="502">
        <v>29</v>
      </c>
      <c r="E1986" s="490"/>
      <c r="F1986" s="493"/>
      <c r="G1986" s="492"/>
      <c r="H1986" s="502"/>
      <c r="I1986" s="493"/>
      <c r="J1986" s="493"/>
      <c r="K1986" s="487" t="str">
        <f ca="1">IFERROR(VLOOKUP(C1986,' Disaggregation - Section E '!A$618:N1198,3,0),"")</f>
        <v/>
      </c>
      <c r="L1986" s="487"/>
      <c r="M1986" s="487"/>
      <c r="N1986" s="493"/>
      <c r="O1986" s="493"/>
      <c r="P1986" s="493"/>
    </row>
    <row r="1987" spans="1:16" x14ac:dyDescent="0.3">
      <c r="A1987" s="487" t="b">
        <v>0</v>
      </c>
      <c r="B1987" s="487"/>
      <c r="C1987" s="487" t="s">
        <v>5675</v>
      </c>
      <c r="D1987" s="502">
        <v>29</v>
      </c>
      <c r="E1987" s="490"/>
      <c r="F1987" s="493"/>
      <c r="G1987" s="492"/>
      <c r="H1987" s="502"/>
      <c r="I1987" s="493"/>
      <c r="J1987" s="493"/>
      <c r="K1987" s="487" t="str">
        <f ca="1">IFERROR(VLOOKUP(C1987,' Disaggregation - Section E '!A$618:N1199,3,0),"")</f>
        <v/>
      </c>
      <c r="L1987" s="487"/>
      <c r="M1987" s="487"/>
      <c r="N1987" s="493"/>
      <c r="O1987" s="493"/>
      <c r="P1987" s="493"/>
    </row>
    <row r="1988" spans="1:16" x14ac:dyDescent="0.3">
      <c r="A1988" s="487" t="b">
        <v>0</v>
      </c>
      <c r="B1988" s="487"/>
      <c r="C1988" s="487" t="s">
        <v>5677</v>
      </c>
      <c r="D1988" s="502">
        <v>29</v>
      </c>
      <c r="E1988" s="490"/>
      <c r="F1988" s="493"/>
      <c r="G1988" s="492"/>
      <c r="H1988" s="502"/>
      <c r="I1988" s="493"/>
      <c r="J1988" s="493"/>
      <c r="K1988" s="487" t="str">
        <f ca="1">IFERROR(VLOOKUP(C1988,' Disaggregation - Section E '!A$618:N1200,3,0),"")</f>
        <v/>
      </c>
      <c r="L1988" s="487"/>
      <c r="M1988" s="487"/>
      <c r="N1988" s="493"/>
      <c r="O1988" s="493"/>
      <c r="P1988" s="493"/>
    </row>
    <row r="1989" spans="1:16" x14ac:dyDescent="0.3">
      <c r="A1989" s="487" t="b">
        <v>0</v>
      </c>
      <c r="B1989" s="487"/>
      <c r="C1989" s="487" t="s">
        <v>5679</v>
      </c>
      <c r="D1989" s="502">
        <v>29</v>
      </c>
      <c r="E1989" s="490"/>
      <c r="F1989" s="493"/>
      <c r="G1989" s="492"/>
      <c r="H1989" s="502"/>
      <c r="I1989" s="493"/>
      <c r="J1989" s="493"/>
      <c r="K1989" s="487" t="str">
        <f ca="1">IFERROR(VLOOKUP(C1989,' Disaggregation - Section E '!A$618:N1201,3,0),"")</f>
        <v/>
      </c>
      <c r="L1989" s="487"/>
      <c r="M1989" s="487"/>
      <c r="N1989" s="493"/>
      <c r="O1989" s="493"/>
      <c r="P1989" s="493"/>
    </row>
    <row r="1990" spans="1:16" x14ac:dyDescent="0.3">
      <c r="A1990" s="487" t="b">
        <v>0</v>
      </c>
      <c r="B1990" s="487"/>
      <c r="C1990" s="487" t="s">
        <v>5681</v>
      </c>
      <c r="D1990" s="502">
        <v>29</v>
      </c>
      <c r="E1990" s="490"/>
      <c r="F1990" s="493"/>
      <c r="G1990" s="492"/>
      <c r="H1990" s="502"/>
      <c r="I1990" s="493"/>
      <c r="J1990" s="493"/>
      <c r="K1990" s="487" t="str">
        <f ca="1">IFERROR(VLOOKUP(C1990,' Disaggregation - Section E '!A$618:N1202,3,0),"")</f>
        <v/>
      </c>
      <c r="L1990" s="487"/>
      <c r="M1990" s="487"/>
      <c r="N1990" s="493"/>
      <c r="O1990" s="493"/>
      <c r="P1990" s="493"/>
    </row>
    <row r="1991" spans="1:16" x14ac:dyDescent="0.3">
      <c r="A1991" s="487" t="b">
        <v>0</v>
      </c>
      <c r="B1991" s="487"/>
      <c r="C1991" s="487" t="s">
        <v>5683</v>
      </c>
      <c r="D1991" s="502">
        <v>29</v>
      </c>
      <c r="E1991" s="490"/>
      <c r="F1991" s="493"/>
      <c r="G1991" s="492"/>
      <c r="H1991" s="502"/>
      <c r="I1991" s="493"/>
      <c r="J1991" s="493"/>
      <c r="K1991" s="487" t="str">
        <f ca="1">IFERROR(VLOOKUP(C1991,' Disaggregation - Section E '!A$618:N1203,3,0),"")</f>
        <v/>
      </c>
      <c r="L1991" s="487"/>
      <c r="M1991" s="487"/>
      <c r="N1991" s="493"/>
      <c r="O1991" s="493"/>
      <c r="P1991" s="493"/>
    </row>
    <row r="1992" spans="1:16" x14ac:dyDescent="0.3">
      <c r="A1992" s="487" t="b">
        <v>0</v>
      </c>
      <c r="B1992" s="487"/>
      <c r="C1992" s="487" t="s">
        <v>5686</v>
      </c>
      <c r="D1992" s="502">
        <v>30</v>
      </c>
      <c r="E1992" s="490"/>
      <c r="F1992" s="493"/>
      <c r="G1992" s="492"/>
      <c r="H1992" s="502"/>
      <c r="I1992" s="493"/>
      <c r="J1992" s="493"/>
      <c r="K1992" s="487" t="str">
        <f ca="1">IFERROR(VLOOKUP(C1992,' Disaggregation - Section E '!A$618:N1204,3,0),"")</f>
        <v/>
      </c>
      <c r="L1992" s="487"/>
      <c r="M1992" s="487"/>
      <c r="N1992" s="493"/>
      <c r="O1992" s="493"/>
      <c r="P1992" s="493"/>
    </row>
    <row r="1993" spans="1:16" x14ac:dyDescent="0.3">
      <c r="A1993" s="487" t="b">
        <v>0</v>
      </c>
      <c r="B1993" s="487"/>
      <c r="C1993" s="487" t="s">
        <v>5688</v>
      </c>
      <c r="D1993" s="502">
        <v>30</v>
      </c>
      <c r="E1993" s="490"/>
      <c r="F1993" s="493"/>
      <c r="G1993" s="492"/>
      <c r="H1993" s="502"/>
      <c r="I1993" s="493"/>
      <c r="J1993" s="493"/>
      <c r="K1993" s="487" t="str">
        <f ca="1">IFERROR(VLOOKUP(C1993,' Disaggregation - Section E '!A$618:N1205,3,0),"")</f>
        <v/>
      </c>
      <c r="L1993" s="487"/>
      <c r="M1993" s="487"/>
      <c r="N1993" s="493"/>
      <c r="O1993" s="493"/>
      <c r="P1993" s="493"/>
    </row>
    <row r="1994" spans="1:16" x14ac:dyDescent="0.3">
      <c r="A1994" s="487" t="b">
        <v>0</v>
      </c>
      <c r="B1994" s="487"/>
      <c r="C1994" s="487" t="s">
        <v>5690</v>
      </c>
      <c r="D1994" s="502">
        <v>30</v>
      </c>
      <c r="E1994" s="490"/>
      <c r="F1994" s="493"/>
      <c r="G1994" s="492"/>
      <c r="H1994" s="502"/>
      <c r="I1994" s="493"/>
      <c r="J1994" s="493"/>
      <c r="K1994" s="487" t="str">
        <f ca="1">IFERROR(VLOOKUP(C1994,' Disaggregation - Section E '!A$618:N1206,3,0),"")</f>
        <v/>
      </c>
      <c r="L1994" s="487"/>
      <c r="M1994" s="487"/>
      <c r="N1994" s="493"/>
      <c r="O1994" s="493"/>
      <c r="P1994" s="493"/>
    </row>
    <row r="1995" spans="1:16" x14ac:dyDescent="0.3">
      <c r="A1995" s="487" t="b">
        <v>0</v>
      </c>
      <c r="B1995" s="487"/>
      <c r="C1995" s="487" t="s">
        <v>5692</v>
      </c>
      <c r="D1995" s="502">
        <v>30</v>
      </c>
      <c r="E1995" s="490"/>
      <c r="F1995" s="493"/>
      <c r="G1995" s="492"/>
      <c r="H1995" s="502"/>
      <c r="I1995" s="493"/>
      <c r="J1995" s="493"/>
      <c r="K1995" s="487" t="str">
        <f ca="1">IFERROR(VLOOKUP(C1995,' Disaggregation - Section E '!A$618:N1207,3,0),"")</f>
        <v/>
      </c>
      <c r="L1995" s="487"/>
      <c r="M1995" s="487"/>
      <c r="N1995" s="493"/>
      <c r="O1995" s="493"/>
      <c r="P1995" s="493"/>
    </row>
    <row r="1996" spans="1:16" x14ac:dyDescent="0.3">
      <c r="A1996" s="487" t="b">
        <v>0</v>
      </c>
      <c r="B1996" s="487"/>
      <c r="C1996" s="487" t="s">
        <v>5694</v>
      </c>
      <c r="D1996" s="502">
        <v>30</v>
      </c>
      <c r="E1996" s="490"/>
      <c r="F1996" s="493"/>
      <c r="G1996" s="492"/>
      <c r="H1996" s="502"/>
      <c r="I1996" s="493"/>
      <c r="J1996" s="493"/>
      <c r="K1996" s="487" t="str">
        <f ca="1">IFERROR(VLOOKUP(C1996,' Disaggregation - Section E '!A$618:N1208,3,0),"")</f>
        <v/>
      </c>
      <c r="L1996" s="487"/>
      <c r="M1996" s="487"/>
      <c r="N1996" s="493"/>
      <c r="O1996" s="493"/>
      <c r="P1996" s="493"/>
    </row>
    <row r="1997" spans="1:16" x14ac:dyDescent="0.3">
      <c r="A1997" s="487" t="b">
        <v>0</v>
      </c>
      <c r="B1997" s="487"/>
      <c r="C1997" s="487" t="s">
        <v>5696</v>
      </c>
      <c r="D1997" s="502">
        <v>30</v>
      </c>
      <c r="E1997" s="490"/>
      <c r="F1997" s="493"/>
      <c r="G1997" s="492"/>
      <c r="H1997" s="502"/>
      <c r="I1997" s="493"/>
      <c r="J1997" s="493"/>
      <c r="K1997" s="487" t="str">
        <f ca="1">IFERROR(VLOOKUP(C1997,' Disaggregation - Section E '!A$618:N1209,3,0),"")</f>
        <v/>
      </c>
      <c r="L1997" s="487"/>
      <c r="M1997" s="487"/>
      <c r="N1997" s="493"/>
      <c r="O1997" s="493"/>
      <c r="P1997" s="493"/>
    </row>
    <row r="1998" spans="1:16" x14ac:dyDescent="0.3">
      <c r="A1998" s="487" t="b">
        <v>0</v>
      </c>
      <c r="B1998" s="487"/>
      <c r="C1998" s="487" t="s">
        <v>5698</v>
      </c>
      <c r="D1998" s="502">
        <v>30</v>
      </c>
      <c r="E1998" s="490"/>
      <c r="F1998" s="493"/>
      <c r="G1998" s="492"/>
      <c r="H1998" s="502"/>
      <c r="I1998" s="493"/>
      <c r="J1998" s="493"/>
      <c r="K1998" s="487" t="str">
        <f ca="1">IFERROR(VLOOKUP(C1998,' Disaggregation - Section E '!A$618:N1210,3,0),"")</f>
        <v/>
      </c>
      <c r="L1998" s="487"/>
      <c r="M1998" s="487"/>
      <c r="N1998" s="493"/>
      <c r="O1998" s="493"/>
      <c r="P1998" s="493"/>
    </row>
    <row r="1999" spans="1:16" x14ac:dyDescent="0.3">
      <c r="A1999" s="487" t="b">
        <v>0</v>
      </c>
      <c r="B1999" s="487"/>
      <c r="C1999" s="487" t="s">
        <v>5700</v>
      </c>
      <c r="D1999" s="502">
        <v>30</v>
      </c>
      <c r="E1999" s="490"/>
      <c r="F1999" s="493"/>
      <c r="G1999" s="492"/>
      <c r="H1999" s="502"/>
      <c r="I1999" s="493"/>
      <c r="J1999" s="493"/>
      <c r="K1999" s="487" t="str">
        <f ca="1">IFERROR(VLOOKUP(C1999,' Disaggregation - Section E '!A$618:N1211,3,0),"")</f>
        <v/>
      </c>
      <c r="L1999" s="487"/>
      <c r="M1999" s="487"/>
      <c r="N1999" s="493"/>
      <c r="O1999" s="493"/>
      <c r="P1999" s="493"/>
    </row>
    <row r="2000" spans="1:16" x14ac:dyDescent="0.3">
      <c r="A2000" s="487" t="b">
        <v>0</v>
      </c>
      <c r="B2000" s="487"/>
      <c r="C2000" s="487" t="s">
        <v>5702</v>
      </c>
      <c r="D2000" s="502">
        <v>30</v>
      </c>
      <c r="E2000" s="490"/>
      <c r="F2000" s="493"/>
      <c r="G2000" s="492"/>
      <c r="H2000" s="502"/>
      <c r="I2000" s="493"/>
      <c r="J2000" s="493"/>
      <c r="K2000" s="487" t="str">
        <f ca="1">IFERROR(VLOOKUP(C2000,' Disaggregation - Section E '!A$618:N1212,3,0),"")</f>
        <v/>
      </c>
      <c r="L2000" s="487"/>
      <c r="M2000" s="487"/>
      <c r="N2000" s="493"/>
      <c r="O2000" s="493"/>
      <c r="P2000" s="493"/>
    </row>
    <row r="2001" spans="1:16" x14ac:dyDescent="0.3">
      <c r="A2001" s="487" t="b">
        <v>0</v>
      </c>
      <c r="B2001" s="487"/>
      <c r="C2001" s="487" t="s">
        <v>5704</v>
      </c>
      <c r="D2001" s="502">
        <v>30</v>
      </c>
      <c r="E2001" s="490"/>
      <c r="F2001" s="493"/>
      <c r="G2001" s="492"/>
      <c r="H2001" s="502"/>
      <c r="I2001" s="493"/>
      <c r="J2001" s="493"/>
      <c r="K2001" s="487" t="str">
        <f ca="1">IFERROR(VLOOKUP(C2001,' Disaggregation - Section E '!A$618:N1213,3,0),"")</f>
        <v/>
      </c>
      <c r="L2001" s="487"/>
      <c r="M2001" s="487"/>
      <c r="N2001" s="493"/>
      <c r="O2001" s="493"/>
      <c r="P2001" s="493"/>
    </row>
    <row r="2002" spans="1:16" x14ac:dyDescent="0.3">
      <c r="A2002" s="487" t="b">
        <v>0</v>
      </c>
      <c r="B2002" s="487"/>
      <c r="C2002" s="487" t="s">
        <v>5706</v>
      </c>
      <c r="D2002" s="502">
        <v>30</v>
      </c>
      <c r="E2002" s="490"/>
      <c r="F2002" s="493"/>
      <c r="G2002" s="492"/>
      <c r="H2002" s="502"/>
      <c r="I2002" s="493"/>
      <c r="J2002" s="493"/>
      <c r="K2002" s="487" t="str">
        <f ca="1">IFERROR(VLOOKUP(C2002,' Disaggregation - Section E '!A$618:N1214,3,0),"")</f>
        <v/>
      </c>
      <c r="L2002" s="487"/>
      <c r="M2002" s="487"/>
      <c r="N2002" s="493"/>
      <c r="O2002" s="493"/>
      <c r="P2002" s="493"/>
    </row>
    <row r="2003" spans="1:16" x14ac:dyDescent="0.3">
      <c r="A2003" s="487" t="b">
        <v>0</v>
      </c>
      <c r="B2003" s="487"/>
      <c r="C2003" s="487" t="s">
        <v>5708</v>
      </c>
      <c r="D2003" s="502">
        <v>30</v>
      </c>
      <c r="E2003" s="490"/>
      <c r="F2003" s="493"/>
      <c r="G2003" s="492"/>
      <c r="H2003" s="502"/>
      <c r="I2003" s="493"/>
      <c r="J2003" s="493"/>
      <c r="K2003" s="487" t="str">
        <f ca="1">IFERROR(VLOOKUP(C2003,' Disaggregation - Section E '!A$618:N1215,3,0),"")</f>
        <v/>
      </c>
      <c r="L2003" s="487"/>
      <c r="M2003" s="487"/>
      <c r="N2003" s="493"/>
      <c r="O2003" s="493"/>
      <c r="P2003" s="493"/>
    </row>
    <row r="2004" spans="1:16" x14ac:dyDescent="0.3">
      <c r="A2004" s="487" t="b">
        <v>0</v>
      </c>
      <c r="B2004" s="487"/>
      <c r="C2004" s="487" t="s">
        <v>5710</v>
      </c>
      <c r="D2004" s="502">
        <v>30</v>
      </c>
      <c r="E2004" s="490"/>
      <c r="F2004" s="493"/>
      <c r="G2004" s="492"/>
      <c r="H2004" s="502"/>
      <c r="I2004" s="493"/>
      <c r="J2004" s="493"/>
      <c r="K2004" s="487" t="str">
        <f ca="1">IFERROR(VLOOKUP(C2004,' Disaggregation - Section E '!A$618:N1216,3,0),"")</f>
        <v/>
      </c>
      <c r="L2004" s="487"/>
      <c r="M2004" s="487"/>
      <c r="N2004" s="493"/>
      <c r="O2004" s="493"/>
      <c r="P2004" s="493"/>
    </row>
    <row r="2005" spans="1:16" x14ac:dyDescent="0.3">
      <c r="A2005" s="487" t="b">
        <v>0</v>
      </c>
      <c r="B2005" s="487"/>
      <c r="C2005" s="487" t="s">
        <v>5712</v>
      </c>
      <c r="D2005" s="502">
        <v>30</v>
      </c>
      <c r="E2005" s="490"/>
      <c r="F2005" s="493"/>
      <c r="G2005" s="492"/>
      <c r="H2005" s="502"/>
      <c r="I2005" s="493"/>
      <c r="J2005" s="493"/>
      <c r="K2005" s="487" t="str">
        <f ca="1">IFERROR(VLOOKUP(C2005,' Disaggregation - Section E '!A$618:N1217,3,0),"")</f>
        <v/>
      </c>
      <c r="L2005" s="487"/>
      <c r="M2005" s="487"/>
      <c r="N2005" s="493"/>
      <c r="O2005" s="493"/>
      <c r="P2005" s="493"/>
    </row>
    <row r="2006" spans="1:16" x14ac:dyDescent="0.3">
      <c r="A2006" s="487" t="b">
        <v>0</v>
      </c>
      <c r="B2006" s="487"/>
      <c r="C2006" s="487" t="s">
        <v>5714</v>
      </c>
      <c r="D2006" s="502">
        <v>30</v>
      </c>
      <c r="E2006" s="490"/>
      <c r="F2006" s="493"/>
      <c r="G2006" s="492"/>
      <c r="H2006" s="502"/>
      <c r="I2006" s="493"/>
      <c r="J2006" s="493"/>
      <c r="K2006" s="487" t="str">
        <f ca="1">IFERROR(VLOOKUP(C2006,' Disaggregation - Section E '!A$618:N1218,3,0),"")</f>
        <v/>
      </c>
      <c r="L2006" s="487"/>
      <c r="M2006" s="487"/>
      <c r="N2006" s="493"/>
      <c r="O2006" s="493"/>
      <c r="P2006" s="493"/>
    </row>
    <row r="2007" spans="1:16" x14ac:dyDescent="0.3">
      <c r="A2007" s="487" t="b">
        <v>0</v>
      </c>
      <c r="B2007" s="487"/>
      <c r="C2007" s="487" t="s">
        <v>5716</v>
      </c>
      <c r="D2007" s="502">
        <v>30</v>
      </c>
      <c r="E2007" s="490"/>
      <c r="F2007" s="493"/>
      <c r="G2007" s="492"/>
      <c r="H2007" s="502"/>
      <c r="I2007" s="493"/>
      <c r="J2007" s="493"/>
      <c r="K2007" s="487" t="str">
        <f ca="1">IFERROR(VLOOKUP(C2007,' Disaggregation - Section E '!A$618:N1219,3,0),"")</f>
        <v/>
      </c>
      <c r="L2007" s="487"/>
      <c r="M2007" s="487"/>
      <c r="N2007" s="493"/>
      <c r="O2007" s="493"/>
      <c r="P2007" s="493"/>
    </row>
    <row r="2008" spans="1:16" x14ac:dyDescent="0.3">
      <c r="A2008" s="487" t="b">
        <v>0</v>
      </c>
      <c r="B2008" s="487"/>
      <c r="C2008" s="487" t="s">
        <v>5718</v>
      </c>
      <c r="D2008" s="502">
        <v>30</v>
      </c>
      <c r="E2008" s="490"/>
      <c r="F2008" s="493"/>
      <c r="G2008" s="492"/>
      <c r="H2008" s="502"/>
      <c r="I2008" s="493"/>
      <c r="J2008" s="493"/>
      <c r="K2008" s="487" t="str">
        <f ca="1">IFERROR(VLOOKUP(C2008,' Disaggregation - Section E '!A$618:N1220,3,0),"")</f>
        <v/>
      </c>
      <c r="L2008" s="487"/>
      <c r="M2008" s="487"/>
      <c r="N2008" s="493"/>
      <c r="O2008" s="493"/>
      <c r="P2008" s="493"/>
    </row>
    <row r="2009" spans="1:16" x14ac:dyDescent="0.3">
      <c r="A2009" s="487" t="b">
        <v>0</v>
      </c>
      <c r="B2009" s="487"/>
      <c r="C2009" s="487" t="s">
        <v>5720</v>
      </c>
      <c r="D2009" s="502">
        <v>30</v>
      </c>
      <c r="E2009" s="490"/>
      <c r="F2009" s="493"/>
      <c r="G2009" s="492"/>
      <c r="H2009" s="502"/>
      <c r="I2009" s="493"/>
      <c r="J2009" s="493"/>
      <c r="K2009" s="487" t="str">
        <f ca="1">IFERROR(VLOOKUP(C2009,' Disaggregation - Section E '!A$618:N1221,3,0),"")</f>
        <v/>
      </c>
      <c r="L2009" s="487"/>
      <c r="M2009" s="487"/>
      <c r="N2009" s="493"/>
      <c r="O2009" s="493"/>
      <c r="P2009" s="493"/>
    </row>
    <row r="2010" spans="1:16" x14ac:dyDescent="0.3">
      <c r="A2010" s="487" t="b">
        <v>0</v>
      </c>
      <c r="B2010" s="487"/>
      <c r="C2010" s="487" t="s">
        <v>5722</v>
      </c>
      <c r="D2010" s="502">
        <v>30</v>
      </c>
      <c r="E2010" s="490"/>
      <c r="F2010" s="493"/>
      <c r="G2010" s="492"/>
      <c r="H2010" s="502"/>
      <c r="I2010" s="493"/>
      <c r="J2010" s="493"/>
      <c r="K2010" s="487" t="str">
        <f ca="1">IFERROR(VLOOKUP(C2010,' Disaggregation - Section E '!A$618:N1222,3,0),"")</f>
        <v/>
      </c>
      <c r="L2010" s="487"/>
      <c r="M2010" s="487"/>
      <c r="N2010" s="493"/>
      <c r="O2010" s="493"/>
      <c r="P2010" s="493"/>
    </row>
    <row r="2011" spans="1:16" x14ac:dyDescent="0.3">
      <c r="A2011" s="487" t="b">
        <v>0</v>
      </c>
      <c r="B2011" s="487"/>
      <c r="C2011" s="487" t="s">
        <v>5724</v>
      </c>
      <c r="D2011" s="502">
        <v>30</v>
      </c>
      <c r="E2011" s="490"/>
      <c r="F2011" s="493"/>
      <c r="G2011" s="492"/>
      <c r="H2011" s="502"/>
      <c r="I2011" s="493"/>
      <c r="J2011" s="493"/>
      <c r="K2011" s="487" t="str">
        <f ca="1">IFERROR(VLOOKUP(C2011,' Disaggregation - Section E '!A$618:N1223,3,0),"")</f>
        <v/>
      </c>
      <c r="L2011" s="487"/>
      <c r="M2011" s="487"/>
      <c r="N2011" s="493"/>
      <c r="O2011" s="493"/>
      <c r="P2011" s="493"/>
    </row>
    <row r="2012" spans="1:16" x14ac:dyDescent="0.3">
      <c r="A2012" s="487" t="b">
        <f t="shared" ref="A2012:A2075" ca="1" si="147">IF(AND(OR(E2012&lt;&gt;"",G2012&lt;&gt;"",H2012&lt;&gt;""),M2012&lt;&gt;""),TRUE,FALSE)</f>
        <v>0</v>
      </c>
      <c r="B2012" s="487"/>
      <c r="C2012" s="500" t="str">
        <f ca="1">IF(COUNTA(D$1410:D2012)=1,"",OFFSET(B2010,-COUNTA(D$1410:D2012)+3,1))</f>
        <v>a163p000002zQZNAA2</v>
      </c>
      <c r="D2012" s="502"/>
      <c r="E2012" s="490" t="str">
        <f ca="1">IFERROR(IF(VLOOKUP(C2012,' Disaggregation - Section E '!A$618:N1224,7,0)=0,"",VLOOKUP(C2012,' Disaggregation - Section E '!A$618:N1224,7,0)*100),"")</f>
        <v/>
      </c>
      <c r="F2012" s="493" t="str">
        <f ca="1">IFERROR(VLOOKUP(C2012,' Disaggregation - Section E '!A$618:N1224,5,0),"")</f>
        <v>Homme</v>
      </c>
      <c r="G2012" s="492" t="str">
        <f ca="1">IFERROR(IF(VLOOKUP(C2012,' Disaggregation - Section E '!A$618:N1224,6,0)=0,"",VLOOKUP(C2012,' Disaggregation - Section E '!A$618:N1224,6,0)),"")</f>
        <v/>
      </c>
      <c r="H2012" s="502" t="str">
        <f ca="1">IFERROR(IF(INDEX(' Disaggregation - Section E '!F$618:F2421,MATCH(C2012,' Disaggregation - Section E '!A$618:A2421,0)+1,1)&lt;&gt;0,INDEX(' Disaggregation - Section E '!F$618:F$1820,MATCH(C2012,' Disaggregation - Section E '!A$618:A2421,0)+1,1),""),"")</f>
        <v/>
      </c>
      <c r="I2012" s="493" t="str">
        <f ca="1">IFERROR(IF(VLOOKUP(C2012,' Disaggregation - Section E '!A$618:N1224,8,0)=0,"",VLOOKUP(C2012,' Disaggregation - Section E '!A$618:N1224,8,0)),"")</f>
        <v/>
      </c>
      <c r="J2012" s="493" t="str">
        <f ca="1">IFERROR(IF(VLOOKUP(C2012,' Disaggregation - Section E '!A$618:N2421,13,0)=0,"",VLOOKUP(C2012,' Disaggregation - Section E '!A$618:N2421,13,0)),"")</f>
        <v/>
      </c>
      <c r="K2012" s="487" t="str">
        <f ca="1">IFERROR(VLOOKUP(C2012,' Disaggregation - Section E '!A$618:N1224,3,0),"")</f>
        <v>HTS-5 Pourcentage de personnes récemment diagnostiquées comme séropositives admises dans des services de prise en charge du VIH</v>
      </c>
      <c r="L2012" s="487"/>
      <c r="M2012" s="487" t="str">
        <f ca="1">IFERROR(IF(VLOOKUP(C2012,' Disaggregation - Section E '!A$618:T1224,20,0)=0,"",VLOOKUP(C2012,' Disaggregation - Section E '!A$618:T1224,20,0)),"")</f>
        <v>IDR-00841</v>
      </c>
      <c r="N2012" s="493" t="str">
        <f ca="1">IFERROR(IF(VLOOKUP(C2012,' Disaggregation - Section E '!A$618:N1224,14,0)=0,"",VLOOKUP(C2012,' Disaggregation - Section E '!A$618:N1224,14,0)),"")</f>
        <v/>
      </c>
      <c r="O2012" s="493" t="str">
        <f ca="1">IFERROR(IF(VLOOKUP(C2012,' Disaggregation - Section E '!A$618:N1224,9,0)=0,"",VLOOKUP(C2012,' Disaggregation - Section E '!A$618:N1224,9,0)),"")</f>
        <v/>
      </c>
      <c r="P2012" s="493" t="str">
        <f ca="1">IFERROR(IF(VLOOKUP(C2012,' Disaggregation - Section E '!A$618:N1224,10,0)=0,"",VLOOKUP(C2012,' Disaggregation - Section E '!A$618:N1224,10,0)),"")</f>
        <v/>
      </c>
    </row>
    <row r="2013" spans="1:16" x14ac:dyDescent="0.3">
      <c r="A2013" s="487" t="b">
        <f t="shared" ca="1" si="147"/>
        <v>0</v>
      </c>
      <c r="B2013" s="487"/>
      <c r="C2013" s="500" t="str">
        <f ca="1">IF(COUNTA(D$1410:D2013)=1,"",OFFSET(B2011,-COUNTA(D$1410:D2013)+3,1))</f>
        <v>a163p000002zQZOAA2</v>
      </c>
      <c r="D2013" s="502"/>
      <c r="E2013" s="490" t="str">
        <f ca="1">IFERROR(IF(VLOOKUP(C2013,' Disaggregation - Section E '!A$618:N1225,7,0)=0,"",VLOOKUP(C2013,' Disaggregation - Section E '!A$618:N1225,7,0)*100),"")</f>
        <v/>
      </c>
      <c r="F2013" s="493" t="str">
        <f ca="1">IFERROR(VLOOKUP(C2013,' Disaggregation - Section E '!A$618:N1225,5,0),"")</f>
        <v>Femme</v>
      </c>
      <c r="G2013" s="492" t="str">
        <f ca="1">IFERROR(IF(VLOOKUP(C2013,' Disaggregation - Section E '!A$618:N1225,6,0)=0,"",VLOOKUP(C2013,' Disaggregation - Section E '!A$618:N1225,6,0)),"")</f>
        <v/>
      </c>
      <c r="H2013" s="502" t="str">
        <f ca="1">IFERROR(IF(INDEX(' Disaggregation - Section E '!F$618:F2422,MATCH(C2013,' Disaggregation - Section E '!A$618:A2422,0)+1,1)&lt;&gt;0,INDEX(' Disaggregation - Section E '!F$618:F$1820,MATCH(C2013,' Disaggregation - Section E '!A$618:A2422,0)+1,1),""),"")</f>
        <v/>
      </c>
      <c r="I2013" s="493" t="str">
        <f ca="1">IFERROR(IF(VLOOKUP(C2013,' Disaggregation - Section E '!A$618:N1225,8,0)=0,"",VLOOKUP(C2013,' Disaggregation - Section E '!A$618:N1225,8,0)),"")</f>
        <v/>
      </c>
      <c r="J2013" s="493" t="str">
        <f ca="1">IFERROR(IF(VLOOKUP(C2013,' Disaggregation - Section E '!A$618:N2422,13,0)=0,"",VLOOKUP(C2013,' Disaggregation - Section E '!A$618:N2422,13,0)),"")</f>
        <v/>
      </c>
      <c r="K2013" s="487" t="str">
        <f ca="1">IFERROR(VLOOKUP(C2013,' Disaggregation - Section E '!A$618:N1225,3,0),"")</f>
        <v>HTS-5 Pourcentage de personnes récemment diagnostiquées comme séropositives admises dans des services de prise en charge du VIH</v>
      </c>
      <c r="L2013" s="487"/>
      <c r="M2013" s="487" t="str">
        <f ca="1">IFERROR(IF(VLOOKUP(C2013,' Disaggregation - Section E '!A$618:T1225,20,0)=0,"",VLOOKUP(C2013,' Disaggregation - Section E '!A$618:T1225,20,0)),"")</f>
        <v>IDR-00842</v>
      </c>
      <c r="N2013" s="493" t="str">
        <f ca="1">IFERROR(IF(VLOOKUP(C2013,' Disaggregation - Section E '!A$618:N1225,14,0)=0,"",VLOOKUP(C2013,' Disaggregation - Section E '!A$618:N1225,14,0)),"")</f>
        <v/>
      </c>
      <c r="O2013" s="493" t="str">
        <f ca="1">IFERROR(IF(VLOOKUP(C2013,' Disaggregation - Section E '!A$618:N1225,9,0)=0,"",VLOOKUP(C2013,' Disaggregation - Section E '!A$618:N1225,9,0)),"")</f>
        <v/>
      </c>
      <c r="P2013" s="493" t="str">
        <f ca="1">IFERROR(IF(VLOOKUP(C2013,' Disaggregation - Section E '!A$618:N1225,10,0)=0,"",VLOOKUP(C2013,' Disaggregation - Section E '!A$618:N1225,10,0)),"")</f>
        <v/>
      </c>
    </row>
    <row r="2014" spans="1:16" x14ac:dyDescent="0.3">
      <c r="A2014" s="487" t="b">
        <f t="shared" ca="1" si="147"/>
        <v>0</v>
      </c>
      <c r="B2014" s="487"/>
      <c r="C2014" s="500" t="str">
        <f ca="1">IF(COUNTA(D$1410:D2014)=1,"",OFFSET(B2012,-COUNTA(D$1410:D2014)+3,1))</f>
        <v>a163p000002zQZPAA2</v>
      </c>
      <c r="D2014" s="502"/>
      <c r="E2014" s="490" t="str">
        <f ca="1">IFERROR(IF(VLOOKUP(C2014,' Disaggregation - Section E '!A$618:N1226,7,0)=0,"",VLOOKUP(C2014,' Disaggregation - Section E '!A$618:N1226,7,0)*100),"")</f>
        <v/>
      </c>
      <c r="F2014" s="493" t="str">
        <f ca="1">IFERROR(VLOOKUP(C2014,' Disaggregation - Section E '!A$618:N1226,5,0),"")</f>
        <v>Transgenre</v>
      </c>
      <c r="G2014" s="492" t="str">
        <f ca="1">IFERROR(IF(VLOOKUP(C2014,' Disaggregation - Section E '!A$618:N1226,6,0)=0,"",VLOOKUP(C2014,' Disaggregation - Section E '!A$618:N1226,6,0)),"")</f>
        <v/>
      </c>
      <c r="H2014" s="502" t="str">
        <f ca="1">IFERROR(IF(INDEX(' Disaggregation - Section E '!F$618:F2423,MATCH(C2014,' Disaggregation - Section E '!A$618:A2423,0)+1,1)&lt;&gt;0,INDEX(' Disaggregation - Section E '!F$618:F$1820,MATCH(C2014,' Disaggregation - Section E '!A$618:A2423,0)+1,1),""),"")</f>
        <v/>
      </c>
      <c r="I2014" s="493" t="str">
        <f ca="1">IFERROR(IF(VLOOKUP(C2014,' Disaggregation - Section E '!A$618:N1226,8,0)=0,"",VLOOKUP(C2014,' Disaggregation - Section E '!A$618:N1226,8,0)),"")</f>
        <v/>
      </c>
      <c r="J2014" s="493" t="str">
        <f ca="1">IFERROR(IF(VLOOKUP(C2014,' Disaggregation - Section E '!A$618:N2423,13,0)=0,"",VLOOKUP(C2014,' Disaggregation - Section E '!A$618:N2423,13,0)),"")</f>
        <v/>
      </c>
      <c r="K2014" s="487" t="str">
        <f ca="1">IFERROR(VLOOKUP(C2014,' Disaggregation - Section E '!A$618:N1226,3,0),"")</f>
        <v>HTS-5 Pourcentage de personnes récemment diagnostiquées comme séropositives admises dans des services de prise en charge du VIH</v>
      </c>
      <c r="L2014" s="487"/>
      <c r="M2014" s="487" t="str">
        <f ca="1">IFERROR(IF(VLOOKUP(C2014,' Disaggregation - Section E '!A$618:T1226,20,0)=0,"",VLOOKUP(C2014,' Disaggregation - Section E '!A$618:T1226,20,0)),"")</f>
        <v>IDR-00843</v>
      </c>
      <c r="N2014" s="493" t="str">
        <f ca="1">IFERROR(IF(VLOOKUP(C2014,' Disaggregation - Section E '!A$618:N1226,14,0)=0,"",VLOOKUP(C2014,' Disaggregation - Section E '!A$618:N1226,14,0)),"")</f>
        <v/>
      </c>
      <c r="O2014" s="493" t="str">
        <f ca="1">IFERROR(IF(VLOOKUP(C2014,' Disaggregation - Section E '!A$618:N1226,9,0)=0,"",VLOOKUP(C2014,' Disaggregation - Section E '!A$618:N1226,9,0)),"")</f>
        <v/>
      </c>
      <c r="P2014" s="493" t="str">
        <f ca="1">IFERROR(IF(VLOOKUP(C2014,' Disaggregation - Section E '!A$618:N1226,10,0)=0,"",VLOOKUP(C2014,' Disaggregation - Section E '!A$618:N1226,10,0)),"")</f>
        <v/>
      </c>
    </row>
    <row r="2015" spans="1:16" x14ac:dyDescent="0.3">
      <c r="A2015" s="487" t="b">
        <f t="shared" ca="1" si="147"/>
        <v>0</v>
      </c>
      <c r="B2015" s="487"/>
      <c r="C2015" s="500" t="str">
        <f ca="1">IF(COUNTA(D$1410:D2015)=1,"",OFFSET(B2013,-COUNTA(D$1410:D2015)+3,1))</f>
        <v>a163p000002zQZQAA2</v>
      </c>
      <c r="D2015" s="502"/>
      <c r="E2015" s="490" t="str">
        <f ca="1">IFERROR(IF(VLOOKUP(C2015,' Disaggregation - Section E '!A$618:N1227,7,0)=0,"",VLOOKUP(C2015,' Disaggregation - Section E '!A$618:N1227,7,0)*100),"")</f>
        <v/>
      </c>
      <c r="F2015" s="493" t="str">
        <f ca="1">IFERROR(VLOOKUP(C2015,' Disaggregation - Section E '!A$618:N1227,5,0),"")</f>
        <v>Usagers de drogues injectables</v>
      </c>
      <c r="G2015" s="492" t="str">
        <f ca="1">IFERROR(IF(VLOOKUP(C2015,' Disaggregation - Section E '!A$618:N1227,6,0)=0,"",VLOOKUP(C2015,' Disaggregation - Section E '!A$618:N1227,6,0)),"")</f>
        <v/>
      </c>
      <c r="H2015" s="502" t="str">
        <f ca="1">IFERROR(IF(INDEX(' Disaggregation - Section E '!F$618:F2424,MATCH(C2015,' Disaggregation - Section E '!A$618:A2424,0)+1,1)&lt;&gt;0,INDEX(' Disaggregation - Section E '!F$618:F$1820,MATCH(C2015,' Disaggregation - Section E '!A$618:A2424,0)+1,1),""),"")</f>
        <v/>
      </c>
      <c r="I2015" s="493" t="str">
        <f ca="1">IFERROR(IF(VLOOKUP(C2015,' Disaggregation - Section E '!A$618:N1227,8,0)=0,"",VLOOKUP(C2015,' Disaggregation - Section E '!A$618:N1227,8,0)),"")</f>
        <v/>
      </c>
      <c r="J2015" s="493" t="str">
        <f ca="1">IFERROR(IF(VLOOKUP(C2015,' Disaggregation - Section E '!A$618:N2424,13,0)=0,"",VLOOKUP(C2015,' Disaggregation - Section E '!A$618:N2424,13,0)),"")</f>
        <v/>
      </c>
      <c r="K2015" s="487" t="str">
        <f ca="1">IFERROR(VLOOKUP(C2015,' Disaggregation - Section E '!A$618:N1227,3,0),"")</f>
        <v>HTS-5 Pourcentage de personnes récemment diagnostiquées comme séropositives admises dans des services de prise en charge du VIH</v>
      </c>
      <c r="L2015" s="487"/>
      <c r="M2015" s="487" t="str">
        <f ca="1">IFERROR(IF(VLOOKUP(C2015,' Disaggregation - Section E '!A$618:T1227,20,0)=0,"",VLOOKUP(C2015,' Disaggregation - Section E '!A$618:T1227,20,0)),"")</f>
        <v>IDR-00975</v>
      </c>
      <c r="N2015" s="493" t="str">
        <f ca="1">IFERROR(IF(VLOOKUP(C2015,' Disaggregation - Section E '!A$618:N1227,14,0)=0,"",VLOOKUP(C2015,' Disaggregation - Section E '!A$618:N1227,14,0)),"")</f>
        <v/>
      </c>
      <c r="O2015" s="493" t="str">
        <f ca="1">IFERROR(IF(VLOOKUP(C2015,' Disaggregation - Section E '!A$618:N1227,9,0)=0,"",VLOOKUP(C2015,' Disaggregation - Section E '!A$618:N1227,9,0)),"")</f>
        <v/>
      </c>
      <c r="P2015" s="493" t="str">
        <f ca="1">IFERROR(IF(VLOOKUP(C2015,' Disaggregation - Section E '!A$618:N1227,10,0)=0,"",VLOOKUP(C2015,' Disaggregation - Section E '!A$618:N1227,10,0)),"")</f>
        <v/>
      </c>
    </row>
    <row r="2016" spans="1:16" x14ac:dyDescent="0.3">
      <c r="A2016" s="487" t="b">
        <f t="shared" ca="1" si="147"/>
        <v>0</v>
      </c>
      <c r="B2016" s="487"/>
      <c r="C2016" s="500" t="str">
        <f ca="1">IF(COUNTA(D$1410:D2016)=1,"",OFFSET(B2014,-COUNTA(D$1410:D2016)+3,1))</f>
        <v>a163p000002zQZRAA2</v>
      </c>
      <c r="D2016" s="502"/>
      <c r="E2016" s="490" t="str">
        <f ca="1">IFERROR(IF(VLOOKUP(C2016,' Disaggregation - Section E '!A$618:N1228,7,0)=0,"",VLOOKUP(C2016,' Disaggregation - Section E '!A$618:N1228,7,0)*100),"")</f>
        <v/>
      </c>
      <c r="F2016" s="493" t="str">
        <f ca="1">IFERROR(VLOOKUP(C2016,' Disaggregation - Section E '!A$618:N1228,5,0),"")</f>
        <v>Prisonniers</v>
      </c>
      <c r="G2016" s="492" t="str">
        <f ca="1">IFERROR(IF(VLOOKUP(C2016,' Disaggregation - Section E '!A$618:N1228,6,0)=0,"",VLOOKUP(C2016,' Disaggregation - Section E '!A$618:N1228,6,0)),"")</f>
        <v/>
      </c>
      <c r="H2016" s="502" t="str">
        <f ca="1">IFERROR(IF(INDEX(' Disaggregation - Section E '!F$618:F2425,MATCH(C2016,' Disaggregation - Section E '!A$618:A2425,0)+1,1)&lt;&gt;0,INDEX(' Disaggregation - Section E '!F$618:F$1820,MATCH(C2016,' Disaggregation - Section E '!A$618:A2425,0)+1,1),""),"")</f>
        <v/>
      </c>
      <c r="I2016" s="493" t="str">
        <f ca="1">IFERROR(IF(VLOOKUP(C2016,' Disaggregation - Section E '!A$618:N1228,8,0)=0,"",VLOOKUP(C2016,' Disaggregation - Section E '!A$618:N1228,8,0)),"")</f>
        <v/>
      </c>
      <c r="J2016" s="493" t="str">
        <f ca="1">IFERROR(IF(VLOOKUP(C2016,' Disaggregation - Section E '!A$618:N2425,13,0)=0,"",VLOOKUP(C2016,' Disaggregation - Section E '!A$618:N2425,13,0)),"")</f>
        <v/>
      </c>
      <c r="K2016" s="487" t="str">
        <f ca="1">IFERROR(VLOOKUP(C2016,' Disaggregation - Section E '!A$618:N1228,3,0),"")</f>
        <v>HTS-5 Pourcentage de personnes récemment diagnostiquées comme séropositives admises dans des services de prise en charge du VIH</v>
      </c>
      <c r="L2016" s="487"/>
      <c r="M2016" s="487" t="str">
        <f ca="1">IFERROR(IF(VLOOKUP(C2016,' Disaggregation - Section E '!A$618:T1228,20,0)=0,"",VLOOKUP(C2016,' Disaggregation - Section E '!A$618:T1228,20,0)),"")</f>
        <v>IDR-00976</v>
      </c>
      <c r="N2016" s="493" t="str">
        <f ca="1">IFERROR(IF(VLOOKUP(C2016,' Disaggregation - Section E '!A$618:N1228,14,0)=0,"",VLOOKUP(C2016,' Disaggregation - Section E '!A$618:N1228,14,0)),"")</f>
        <v/>
      </c>
      <c r="O2016" s="493" t="str">
        <f ca="1">IFERROR(IF(VLOOKUP(C2016,' Disaggregation - Section E '!A$618:N1228,9,0)=0,"",VLOOKUP(C2016,' Disaggregation - Section E '!A$618:N1228,9,0)),"")</f>
        <v/>
      </c>
      <c r="P2016" s="493" t="str">
        <f ca="1">IFERROR(IF(VLOOKUP(C2016,' Disaggregation - Section E '!A$618:N1228,10,0)=0,"",VLOOKUP(C2016,' Disaggregation - Section E '!A$618:N1228,10,0)),"")</f>
        <v/>
      </c>
    </row>
    <row r="2017" spans="1:16" x14ac:dyDescent="0.3">
      <c r="A2017" s="487" t="b">
        <f t="shared" ca="1" si="147"/>
        <v>0</v>
      </c>
      <c r="B2017" s="487"/>
      <c r="C2017" s="500" t="str">
        <f ca="1">IF(COUNTA(D$1410:D2017)=1,"",OFFSET(B2015,-COUNTA(D$1410:D2017)+3,1))</f>
        <v>a163p000002zQZSAA2</v>
      </c>
      <c r="D2017" s="502"/>
      <c r="E2017" s="490" t="str">
        <f ca="1">IFERROR(IF(VLOOKUP(C2017,' Disaggregation - Section E '!A$618:N1229,7,0)=0,"",VLOOKUP(C2017,' Disaggregation - Section E '!A$618:N1229,7,0)*100),"")</f>
        <v/>
      </c>
      <c r="F2017" s="493" t="str">
        <f ca="1">IFERROR(VLOOKUP(C2017,' Disaggregation - Section E '!A$618:N1229,5,0),"")</f>
        <v>HSH</v>
      </c>
      <c r="G2017" s="492" t="str">
        <f ca="1">IFERROR(IF(VLOOKUP(C2017,' Disaggregation - Section E '!A$618:N1229,6,0)=0,"",VLOOKUP(C2017,' Disaggregation - Section E '!A$618:N1229,6,0)),"")</f>
        <v/>
      </c>
      <c r="H2017" s="502" t="str">
        <f ca="1">IFERROR(IF(INDEX(' Disaggregation - Section E '!F$618:F2426,MATCH(C2017,' Disaggregation - Section E '!A$618:A2426,0)+1,1)&lt;&gt;0,INDEX(' Disaggregation - Section E '!F$618:F$1820,MATCH(C2017,' Disaggregation - Section E '!A$618:A2426,0)+1,1),""),"")</f>
        <v/>
      </c>
      <c r="I2017" s="493" t="str">
        <f ca="1">IFERROR(IF(VLOOKUP(C2017,' Disaggregation - Section E '!A$618:N1229,8,0)=0,"",VLOOKUP(C2017,' Disaggregation - Section E '!A$618:N1229,8,0)),"")</f>
        <v/>
      </c>
      <c r="J2017" s="493" t="str">
        <f ca="1">IFERROR(IF(VLOOKUP(C2017,' Disaggregation - Section E '!A$618:N2426,13,0)=0,"",VLOOKUP(C2017,' Disaggregation - Section E '!A$618:N2426,13,0)),"")</f>
        <v/>
      </c>
      <c r="K2017" s="487" t="str">
        <f ca="1">IFERROR(VLOOKUP(C2017,' Disaggregation - Section E '!A$618:N1229,3,0),"")</f>
        <v>HTS-5 Pourcentage de personnes récemment diagnostiquées comme séropositives admises dans des services de prise en charge du VIH</v>
      </c>
      <c r="L2017" s="487"/>
      <c r="M2017" s="487" t="str">
        <f ca="1">IFERROR(IF(VLOOKUP(C2017,' Disaggregation - Section E '!A$618:T1229,20,0)=0,"",VLOOKUP(C2017,' Disaggregation - Section E '!A$618:T1229,20,0)),"")</f>
        <v>IDR-00973</v>
      </c>
      <c r="N2017" s="493" t="str">
        <f ca="1">IFERROR(IF(VLOOKUP(C2017,' Disaggregation - Section E '!A$618:N1229,14,0)=0,"",VLOOKUP(C2017,' Disaggregation - Section E '!A$618:N1229,14,0)),"")</f>
        <v/>
      </c>
      <c r="O2017" s="493" t="str">
        <f ca="1">IFERROR(IF(VLOOKUP(C2017,' Disaggregation - Section E '!A$618:N1229,9,0)=0,"",VLOOKUP(C2017,' Disaggregation - Section E '!A$618:N1229,9,0)),"")</f>
        <v/>
      </c>
      <c r="P2017" s="493" t="str">
        <f ca="1">IFERROR(IF(VLOOKUP(C2017,' Disaggregation - Section E '!A$618:N1229,10,0)=0,"",VLOOKUP(C2017,' Disaggregation - Section E '!A$618:N1229,10,0)),"")</f>
        <v/>
      </c>
    </row>
    <row r="2018" spans="1:16" x14ac:dyDescent="0.3">
      <c r="A2018" s="487" t="b">
        <f t="shared" ca="1" si="147"/>
        <v>0</v>
      </c>
      <c r="B2018" s="487"/>
      <c r="C2018" s="500" t="str">
        <f ca="1">IF(COUNTA(D$1410:D2018)=1,"",OFFSET(B2016,-COUNTA(D$1410:D2018)+3,1))</f>
        <v>a163p000002zQZTAA2</v>
      </c>
      <c r="D2018" s="502"/>
      <c r="E2018" s="490" t="str">
        <f ca="1">IFERROR(IF(VLOOKUP(C2018,' Disaggregation - Section E '!A$618:N1230,7,0)=0,"",VLOOKUP(C2018,' Disaggregation - Section E '!A$618:N1230,7,0)*100),"")</f>
        <v/>
      </c>
      <c r="F2018" s="493" t="str">
        <f ca="1">IFERROR(VLOOKUP(C2018,' Disaggregation - Section E '!A$618:N1230,5,0),"")</f>
        <v>Professionnels du sexe</v>
      </c>
      <c r="G2018" s="492" t="str">
        <f ca="1">IFERROR(IF(VLOOKUP(C2018,' Disaggregation - Section E '!A$618:N1230,6,0)=0,"",VLOOKUP(C2018,' Disaggregation - Section E '!A$618:N1230,6,0)),"")</f>
        <v/>
      </c>
      <c r="H2018" s="502" t="str">
        <f ca="1">IFERROR(IF(INDEX(' Disaggregation - Section E '!F$618:F2427,MATCH(C2018,' Disaggregation - Section E '!A$618:A2427,0)+1,1)&lt;&gt;0,INDEX(' Disaggregation - Section E '!F$618:F$1820,MATCH(C2018,' Disaggregation - Section E '!A$618:A2427,0)+1,1),""),"")</f>
        <v/>
      </c>
      <c r="I2018" s="493" t="str">
        <f ca="1">IFERROR(IF(VLOOKUP(C2018,' Disaggregation - Section E '!A$618:N1230,8,0)=0,"",VLOOKUP(C2018,' Disaggregation - Section E '!A$618:N1230,8,0)),"")</f>
        <v/>
      </c>
      <c r="J2018" s="493" t="str">
        <f ca="1">IFERROR(IF(VLOOKUP(C2018,' Disaggregation - Section E '!A$618:N2427,13,0)=0,"",VLOOKUP(C2018,' Disaggregation - Section E '!A$618:N2427,13,0)),"")</f>
        <v/>
      </c>
      <c r="K2018" s="487" t="str">
        <f ca="1">IFERROR(VLOOKUP(C2018,' Disaggregation - Section E '!A$618:N1230,3,0),"")</f>
        <v>HTS-5 Pourcentage de personnes récemment diagnostiquées comme séropositives admises dans des services de prise en charge du VIH</v>
      </c>
      <c r="L2018" s="487"/>
      <c r="M2018" s="487" t="str">
        <f ca="1">IFERROR(IF(VLOOKUP(C2018,' Disaggregation - Section E '!A$618:T1230,20,0)=0,"",VLOOKUP(C2018,' Disaggregation - Section E '!A$618:T1230,20,0)),"")</f>
        <v>IDR-00974</v>
      </c>
      <c r="N2018" s="493" t="str">
        <f ca="1">IFERROR(IF(VLOOKUP(C2018,' Disaggregation - Section E '!A$618:N1230,14,0)=0,"",VLOOKUP(C2018,' Disaggregation - Section E '!A$618:N1230,14,0)),"")</f>
        <v/>
      </c>
      <c r="O2018" s="493" t="str">
        <f ca="1">IFERROR(IF(VLOOKUP(C2018,' Disaggregation - Section E '!A$618:N1230,9,0)=0,"",VLOOKUP(C2018,' Disaggregation - Section E '!A$618:N1230,9,0)),"")</f>
        <v/>
      </c>
      <c r="P2018" s="493" t="str">
        <f ca="1">IFERROR(IF(VLOOKUP(C2018,' Disaggregation - Section E '!A$618:N1230,10,0)=0,"",VLOOKUP(C2018,' Disaggregation - Section E '!A$618:N1230,10,0)),"")</f>
        <v/>
      </c>
    </row>
    <row r="2019" spans="1:16" x14ac:dyDescent="0.3">
      <c r="A2019" s="487" t="b">
        <f t="shared" ca="1" si="147"/>
        <v>0</v>
      </c>
      <c r="B2019" s="487"/>
      <c r="C2019" s="500" t="str">
        <f ca="1">IF(COUNTA(D$1410:D2019)=1,"",OFFSET(B2017,-COUNTA(D$1410:D2019)+3,1))</f>
        <v>a163p000002zQZUAA2</v>
      </c>
      <c r="D2019" s="502"/>
      <c r="E2019" s="490" t="str">
        <f ca="1">IFERROR(IF(VLOOKUP(C2019,' Disaggregation - Section E '!A$618:N1231,7,0)=0,"",VLOOKUP(C2019,' Disaggregation - Section E '!A$618:N1231,7,0)*100),"")</f>
        <v/>
      </c>
      <c r="F2019" s="493" t="str">
        <f ca="1">IFERROR(VLOOKUP(C2019,' Disaggregation - Section E '!A$618:N1231,5,0),"")</f>
        <v/>
      </c>
      <c r="G2019" s="492" t="str">
        <f ca="1">IFERROR(IF(VLOOKUP(C2019,' Disaggregation - Section E '!A$618:N1231,6,0)=0,"",VLOOKUP(C2019,' Disaggregation - Section E '!A$618:N1231,6,0)),"")</f>
        <v/>
      </c>
      <c r="H2019" s="502" t="str">
        <f ca="1">IFERROR(IF(INDEX(' Disaggregation - Section E '!F$618:F2428,MATCH(C2019,' Disaggregation - Section E '!A$618:A2428,0)+1,1)&lt;&gt;0,INDEX(' Disaggregation - Section E '!F$618:F$1820,MATCH(C2019,' Disaggregation - Section E '!A$618:A2428,0)+1,1),""),"")</f>
        <v/>
      </c>
      <c r="I2019" s="493" t="str">
        <f ca="1">IFERROR(IF(VLOOKUP(C2019,' Disaggregation - Section E '!A$618:N1231,8,0)=0,"",VLOOKUP(C2019,' Disaggregation - Section E '!A$618:N1231,8,0)),"")</f>
        <v/>
      </c>
      <c r="J2019" s="493" t="str">
        <f ca="1">IFERROR(IF(VLOOKUP(C2019,' Disaggregation - Section E '!A$618:N2428,13,0)=0,"",VLOOKUP(C2019,' Disaggregation - Section E '!A$618:N2428,13,0)),"")</f>
        <v/>
      </c>
      <c r="K2019" s="487" t="str">
        <f ca="1">IFERROR(VLOOKUP(C2019,' Disaggregation - Section E '!A$618:N1231,3,0),"")</f>
        <v>HTS-5 Pourcentage de personnes récemment diagnostiquées comme séropositives admises dans des services de prise en charge du VIH</v>
      </c>
      <c r="L2019" s="487"/>
      <c r="M2019" s="487" t="str">
        <f ca="1">IFERROR(IF(VLOOKUP(C2019,' Disaggregation - Section E '!A$618:T1231,20,0)=0,"",VLOOKUP(C2019,' Disaggregation - Section E '!A$618:T1231,20,0)),"")</f>
        <v/>
      </c>
      <c r="N2019" s="493" t="str">
        <f ca="1">IFERROR(IF(VLOOKUP(C2019,' Disaggregation - Section E '!A$618:N1231,14,0)=0,"",VLOOKUP(C2019,' Disaggregation - Section E '!A$618:N1231,14,0)),"")</f>
        <v/>
      </c>
      <c r="O2019" s="493" t="str">
        <f ca="1">IFERROR(IF(VLOOKUP(C2019,' Disaggregation - Section E '!A$618:N1231,9,0)=0,"",VLOOKUP(C2019,' Disaggregation - Section E '!A$618:N1231,9,0)),"")</f>
        <v/>
      </c>
      <c r="P2019" s="493" t="str">
        <f ca="1">IFERROR(IF(VLOOKUP(C2019,' Disaggregation - Section E '!A$618:N1231,10,0)=0,"",VLOOKUP(C2019,' Disaggregation - Section E '!A$618:N1231,10,0)),"")</f>
        <v/>
      </c>
    </row>
    <row r="2020" spans="1:16" x14ac:dyDescent="0.3">
      <c r="A2020" s="487" t="b">
        <f t="shared" ca="1" si="147"/>
        <v>0</v>
      </c>
      <c r="B2020" s="487"/>
      <c r="C2020" s="500" t="str">
        <f ca="1">IF(COUNTA(D$1410:D2020)=1,"",OFFSET(B2018,-COUNTA(D$1410:D2020)+3,1))</f>
        <v>a163p000002zQZVAA2</v>
      </c>
      <c r="D2020" s="502"/>
      <c r="E2020" s="490" t="str">
        <f ca="1">IFERROR(IF(VLOOKUP(C2020,' Disaggregation - Section E '!A$618:N1232,7,0)=0,"",VLOOKUP(C2020,' Disaggregation - Section E '!A$618:N1232,7,0)*100),"")</f>
        <v/>
      </c>
      <c r="F2020" s="493" t="str">
        <f ca="1">IFERROR(VLOOKUP(C2020,' Disaggregation - Section E '!A$618:N1232,5,0),"")</f>
        <v/>
      </c>
      <c r="G2020" s="492" t="str">
        <f ca="1">IFERROR(IF(VLOOKUP(C2020,' Disaggregation - Section E '!A$618:N1232,6,0)=0,"",VLOOKUP(C2020,' Disaggregation - Section E '!A$618:N1232,6,0)),"")</f>
        <v/>
      </c>
      <c r="H2020" s="502" t="str">
        <f ca="1">IFERROR(IF(INDEX(' Disaggregation - Section E '!F$618:F2429,MATCH(C2020,' Disaggregation - Section E '!A$618:A2429,0)+1,1)&lt;&gt;0,INDEX(' Disaggregation - Section E '!F$618:F$1820,MATCH(C2020,' Disaggregation - Section E '!A$618:A2429,0)+1,1),""),"")</f>
        <v/>
      </c>
      <c r="I2020" s="493" t="str">
        <f ca="1">IFERROR(IF(VLOOKUP(C2020,' Disaggregation - Section E '!A$618:N1232,8,0)=0,"",VLOOKUP(C2020,' Disaggregation - Section E '!A$618:N1232,8,0)),"")</f>
        <v/>
      </c>
      <c r="J2020" s="493" t="str">
        <f ca="1">IFERROR(IF(VLOOKUP(C2020,' Disaggregation - Section E '!A$618:N2429,13,0)=0,"",VLOOKUP(C2020,' Disaggregation - Section E '!A$618:N2429,13,0)),"")</f>
        <v/>
      </c>
      <c r="K2020" s="487" t="str">
        <f ca="1">IFERROR(VLOOKUP(C2020,' Disaggregation - Section E '!A$618:N1232,3,0),"")</f>
        <v>HTS-5 Pourcentage de personnes récemment diagnostiquées comme séropositives admises dans des services de prise en charge du VIH</v>
      </c>
      <c r="L2020" s="487"/>
      <c r="M2020" s="487" t="str">
        <f ca="1">IFERROR(IF(VLOOKUP(C2020,' Disaggregation - Section E '!A$618:T1232,20,0)=0,"",VLOOKUP(C2020,' Disaggregation - Section E '!A$618:T1232,20,0)),"")</f>
        <v/>
      </c>
      <c r="N2020" s="493" t="str">
        <f ca="1">IFERROR(IF(VLOOKUP(C2020,' Disaggregation - Section E '!A$618:N1232,14,0)=0,"",VLOOKUP(C2020,' Disaggregation - Section E '!A$618:N1232,14,0)),"")</f>
        <v/>
      </c>
      <c r="O2020" s="493" t="str">
        <f ca="1">IFERROR(IF(VLOOKUP(C2020,' Disaggregation - Section E '!A$618:N1232,9,0)=0,"",VLOOKUP(C2020,' Disaggregation - Section E '!A$618:N1232,9,0)),"")</f>
        <v/>
      </c>
      <c r="P2020" s="493" t="str">
        <f ca="1">IFERROR(IF(VLOOKUP(C2020,' Disaggregation - Section E '!A$618:N1232,10,0)=0,"",VLOOKUP(C2020,' Disaggregation - Section E '!A$618:N1232,10,0)),"")</f>
        <v/>
      </c>
    </row>
    <row r="2021" spans="1:16" x14ac:dyDescent="0.3">
      <c r="A2021" s="487" t="b">
        <f t="shared" ca="1" si="147"/>
        <v>0</v>
      </c>
      <c r="B2021" s="487"/>
      <c r="C2021" s="500" t="str">
        <f ca="1">IF(COUNTA(D$1410:D2021)=1,"",OFFSET(B2019,-COUNTA(D$1410:D2021)+3,1))</f>
        <v>a163p000002zQZWAA2</v>
      </c>
      <c r="D2021" s="502"/>
      <c r="E2021" s="490" t="str">
        <f ca="1">IFERROR(IF(VLOOKUP(C2021,' Disaggregation - Section E '!A$618:N1233,7,0)=0,"",VLOOKUP(C2021,' Disaggregation - Section E '!A$618:N1233,7,0)*100),"")</f>
        <v/>
      </c>
      <c r="F2021" s="493" t="str">
        <f ca="1">IFERROR(VLOOKUP(C2021,' Disaggregation - Section E '!A$618:N1233,5,0),"")</f>
        <v/>
      </c>
      <c r="G2021" s="492" t="str">
        <f ca="1">IFERROR(IF(VLOOKUP(C2021,' Disaggregation - Section E '!A$618:N1233,6,0)=0,"",VLOOKUP(C2021,' Disaggregation - Section E '!A$618:N1233,6,0)),"")</f>
        <v/>
      </c>
      <c r="H2021" s="502" t="str">
        <f ca="1">IFERROR(IF(INDEX(' Disaggregation - Section E '!F$618:F2430,MATCH(C2021,' Disaggregation - Section E '!A$618:A2430,0)+1,1)&lt;&gt;0,INDEX(' Disaggregation - Section E '!F$618:F$1820,MATCH(C2021,' Disaggregation - Section E '!A$618:A2430,0)+1,1),""),"")</f>
        <v/>
      </c>
      <c r="I2021" s="493" t="str">
        <f ca="1">IFERROR(IF(VLOOKUP(C2021,' Disaggregation - Section E '!A$618:N1233,8,0)=0,"",VLOOKUP(C2021,' Disaggregation - Section E '!A$618:N1233,8,0)),"")</f>
        <v/>
      </c>
      <c r="J2021" s="493" t="str">
        <f ca="1">IFERROR(IF(VLOOKUP(C2021,' Disaggregation - Section E '!A$618:N2430,13,0)=0,"",VLOOKUP(C2021,' Disaggregation - Section E '!A$618:N2430,13,0)),"")</f>
        <v/>
      </c>
      <c r="K2021" s="487" t="str">
        <f ca="1">IFERROR(VLOOKUP(C2021,' Disaggregation - Section E '!A$618:N1233,3,0),"")</f>
        <v>HTS-5 Pourcentage de personnes récemment diagnostiquées comme séropositives admises dans des services de prise en charge du VIH</v>
      </c>
      <c r="L2021" s="487"/>
      <c r="M2021" s="487" t="str">
        <f ca="1">IFERROR(IF(VLOOKUP(C2021,' Disaggregation - Section E '!A$618:T1233,20,0)=0,"",VLOOKUP(C2021,' Disaggregation - Section E '!A$618:T1233,20,0)),"")</f>
        <v/>
      </c>
      <c r="N2021" s="493" t="str">
        <f ca="1">IFERROR(IF(VLOOKUP(C2021,' Disaggregation - Section E '!A$618:N1233,14,0)=0,"",VLOOKUP(C2021,' Disaggregation - Section E '!A$618:N1233,14,0)),"")</f>
        <v/>
      </c>
      <c r="O2021" s="493" t="str">
        <f ca="1">IFERROR(IF(VLOOKUP(C2021,' Disaggregation - Section E '!A$618:N1233,9,0)=0,"",VLOOKUP(C2021,' Disaggregation - Section E '!A$618:N1233,9,0)),"")</f>
        <v/>
      </c>
      <c r="P2021" s="493" t="str">
        <f ca="1">IFERROR(IF(VLOOKUP(C2021,' Disaggregation - Section E '!A$618:N1233,10,0)=0,"",VLOOKUP(C2021,' Disaggregation - Section E '!A$618:N1233,10,0)),"")</f>
        <v/>
      </c>
    </row>
    <row r="2022" spans="1:16" x14ac:dyDescent="0.3">
      <c r="A2022" s="487" t="b">
        <f t="shared" ca="1" si="147"/>
        <v>0</v>
      </c>
      <c r="B2022" s="487"/>
      <c r="C2022" s="500" t="str">
        <f ca="1">IF(COUNTA(D$1410:D2022)=1,"",OFFSET(B2020,-COUNTA(D$1410:D2022)+3,1))</f>
        <v>a163p000002zQZXAA2</v>
      </c>
      <c r="D2022" s="502"/>
      <c r="E2022" s="490" t="str">
        <f ca="1">IFERROR(IF(VLOOKUP(C2022,' Disaggregation - Section E '!A$618:N1234,7,0)=0,"",VLOOKUP(C2022,' Disaggregation - Section E '!A$618:N1234,7,0)*100),"")</f>
        <v/>
      </c>
      <c r="F2022" s="493" t="str">
        <f ca="1">IFERROR(VLOOKUP(C2022,' Disaggregation - Section E '!A$618:N1234,5,0),"")</f>
        <v/>
      </c>
      <c r="G2022" s="492" t="str">
        <f ca="1">IFERROR(IF(VLOOKUP(C2022,' Disaggregation - Section E '!A$618:N1234,6,0)=0,"",VLOOKUP(C2022,' Disaggregation - Section E '!A$618:N1234,6,0)),"")</f>
        <v/>
      </c>
      <c r="H2022" s="502" t="str">
        <f ca="1">IFERROR(IF(INDEX(' Disaggregation - Section E '!F$618:F2431,MATCH(C2022,' Disaggregation - Section E '!A$618:A2431,0)+1,1)&lt;&gt;0,INDEX(' Disaggregation - Section E '!F$618:F$1820,MATCH(C2022,' Disaggregation - Section E '!A$618:A2431,0)+1,1),""),"")</f>
        <v/>
      </c>
      <c r="I2022" s="493" t="str">
        <f ca="1">IFERROR(IF(VLOOKUP(C2022,' Disaggregation - Section E '!A$618:N1234,8,0)=0,"",VLOOKUP(C2022,' Disaggregation - Section E '!A$618:N1234,8,0)),"")</f>
        <v/>
      </c>
      <c r="J2022" s="493" t="str">
        <f ca="1">IFERROR(IF(VLOOKUP(C2022,' Disaggregation - Section E '!A$618:N2431,13,0)=0,"",VLOOKUP(C2022,' Disaggregation - Section E '!A$618:N2431,13,0)),"")</f>
        <v/>
      </c>
      <c r="K2022" s="487" t="str">
        <f ca="1">IFERROR(VLOOKUP(C2022,' Disaggregation - Section E '!A$618:N1234,3,0),"")</f>
        <v>HTS-5 Pourcentage de personnes récemment diagnostiquées comme séropositives admises dans des services de prise en charge du VIH</v>
      </c>
      <c r="L2022" s="487"/>
      <c r="M2022" s="487" t="str">
        <f ca="1">IFERROR(IF(VLOOKUP(C2022,' Disaggregation - Section E '!A$618:T1234,20,0)=0,"",VLOOKUP(C2022,' Disaggregation - Section E '!A$618:T1234,20,0)),"")</f>
        <v/>
      </c>
      <c r="N2022" s="493" t="str">
        <f ca="1">IFERROR(IF(VLOOKUP(C2022,' Disaggregation - Section E '!A$618:N1234,14,0)=0,"",VLOOKUP(C2022,' Disaggregation - Section E '!A$618:N1234,14,0)),"")</f>
        <v/>
      </c>
      <c r="O2022" s="493" t="str">
        <f ca="1">IFERROR(IF(VLOOKUP(C2022,' Disaggregation - Section E '!A$618:N1234,9,0)=0,"",VLOOKUP(C2022,' Disaggregation - Section E '!A$618:N1234,9,0)),"")</f>
        <v/>
      </c>
      <c r="P2022" s="493" t="str">
        <f ca="1">IFERROR(IF(VLOOKUP(C2022,' Disaggregation - Section E '!A$618:N1234,10,0)=0,"",VLOOKUP(C2022,' Disaggregation - Section E '!A$618:N1234,10,0)),"")</f>
        <v/>
      </c>
    </row>
    <row r="2023" spans="1:16" x14ac:dyDescent="0.3">
      <c r="A2023" s="487" t="b">
        <f t="shared" ca="1" si="147"/>
        <v>0</v>
      </c>
      <c r="B2023" s="487"/>
      <c r="C2023" s="500" t="str">
        <f ca="1">IF(COUNTA(D$1410:D2023)=1,"",OFFSET(B2021,-COUNTA(D$1410:D2023)+3,1))</f>
        <v>a163p000002zQZYAA2</v>
      </c>
      <c r="D2023" s="502"/>
      <c r="E2023" s="490" t="str">
        <f ca="1">IFERROR(IF(VLOOKUP(C2023,' Disaggregation - Section E '!A$618:N1235,7,0)=0,"",VLOOKUP(C2023,' Disaggregation - Section E '!A$618:N1235,7,0)*100),"")</f>
        <v/>
      </c>
      <c r="F2023" s="493" t="str">
        <f ca="1">IFERROR(VLOOKUP(C2023,' Disaggregation - Section E '!A$618:N1235,5,0),"")</f>
        <v/>
      </c>
      <c r="G2023" s="492" t="str">
        <f ca="1">IFERROR(IF(VLOOKUP(C2023,' Disaggregation - Section E '!A$618:N1235,6,0)=0,"",VLOOKUP(C2023,' Disaggregation - Section E '!A$618:N1235,6,0)),"")</f>
        <v/>
      </c>
      <c r="H2023" s="502" t="str">
        <f ca="1">IFERROR(IF(INDEX(' Disaggregation - Section E '!F$618:F2432,MATCH(C2023,' Disaggregation - Section E '!A$618:A2432,0)+1,1)&lt;&gt;0,INDEX(' Disaggregation - Section E '!F$618:F$1820,MATCH(C2023,' Disaggregation - Section E '!A$618:A2432,0)+1,1),""),"")</f>
        <v/>
      </c>
      <c r="I2023" s="493" t="str">
        <f ca="1">IFERROR(IF(VLOOKUP(C2023,' Disaggregation - Section E '!A$618:N1235,8,0)=0,"",VLOOKUP(C2023,' Disaggregation - Section E '!A$618:N1235,8,0)),"")</f>
        <v/>
      </c>
      <c r="J2023" s="493" t="str">
        <f ca="1">IFERROR(IF(VLOOKUP(C2023,' Disaggregation - Section E '!A$618:N2432,13,0)=0,"",VLOOKUP(C2023,' Disaggregation - Section E '!A$618:N2432,13,0)),"")</f>
        <v/>
      </c>
      <c r="K2023" s="487" t="str">
        <f ca="1">IFERROR(VLOOKUP(C2023,' Disaggregation - Section E '!A$618:N1235,3,0),"")</f>
        <v>HTS-5 Pourcentage de personnes récemment diagnostiquées comme séropositives admises dans des services de prise en charge du VIH</v>
      </c>
      <c r="L2023" s="487"/>
      <c r="M2023" s="487" t="str">
        <f ca="1">IFERROR(IF(VLOOKUP(C2023,' Disaggregation - Section E '!A$618:T1235,20,0)=0,"",VLOOKUP(C2023,' Disaggregation - Section E '!A$618:T1235,20,0)),"")</f>
        <v/>
      </c>
      <c r="N2023" s="493" t="str">
        <f ca="1">IFERROR(IF(VLOOKUP(C2023,' Disaggregation - Section E '!A$618:N1235,14,0)=0,"",VLOOKUP(C2023,' Disaggregation - Section E '!A$618:N1235,14,0)),"")</f>
        <v/>
      </c>
      <c r="O2023" s="493" t="str">
        <f ca="1">IFERROR(IF(VLOOKUP(C2023,' Disaggregation - Section E '!A$618:N1235,9,0)=0,"",VLOOKUP(C2023,' Disaggregation - Section E '!A$618:N1235,9,0)),"")</f>
        <v/>
      </c>
      <c r="P2023" s="493" t="str">
        <f ca="1">IFERROR(IF(VLOOKUP(C2023,' Disaggregation - Section E '!A$618:N1235,10,0)=0,"",VLOOKUP(C2023,' Disaggregation - Section E '!A$618:N1235,10,0)),"")</f>
        <v/>
      </c>
    </row>
    <row r="2024" spans="1:16" x14ac:dyDescent="0.3">
      <c r="A2024" s="487" t="b">
        <f t="shared" ca="1" si="147"/>
        <v>0</v>
      </c>
      <c r="B2024" s="487"/>
      <c r="C2024" s="500" t="str">
        <f ca="1">IF(COUNTA(D$1410:D2024)=1,"",OFFSET(B2022,-COUNTA(D$1410:D2024)+3,1))</f>
        <v>a163p000002zQZZAA2</v>
      </c>
      <c r="D2024" s="502"/>
      <c r="E2024" s="490" t="str">
        <f ca="1">IFERROR(IF(VLOOKUP(C2024,' Disaggregation - Section E '!A$618:N1236,7,0)=0,"",VLOOKUP(C2024,' Disaggregation - Section E '!A$618:N1236,7,0)*100),"")</f>
        <v/>
      </c>
      <c r="F2024" s="493" t="str">
        <f ca="1">IFERROR(VLOOKUP(C2024,' Disaggregation - Section E '!A$618:N1236,5,0),"")</f>
        <v/>
      </c>
      <c r="G2024" s="492" t="str">
        <f ca="1">IFERROR(IF(VLOOKUP(C2024,' Disaggregation - Section E '!A$618:N1236,6,0)=0,"",VLOOKUP(C2024,' Disaggregation - Section E '!A$618:N1236,6,0)),"")</f>
        <v/>
      </c>
      <c r="H2024" s="502" t="str">
        <f ca="1">IFERROR(IF(INDEX(' Disaggregation - Section E '!F$618:F2433,MATCH(C2024,' Disaggregation - Section E '!A$618:A2433,0)+1,1)&lt;&gt;0,INDEX(' Disaggregation - Section E '!F$618:F$1820,MATCH(C2024,' Disaggregation - Section E '!A$618:A2433,0)+1,1),""),"")</f>
        <v/>
      </c>
      <c r="I2024" s="493" t="str">
        <f ca="1">IFERROR(IF(VLOOKUP(C2024,' Disaggregation - Section E '!A$618:N1236,8,0)=0,"",VLOOKUP(C2024,' Disaggregation - Section E '!A$618:N1236,8,0)),"")</f>
        <v/>
      </c>
      <c r="J2024" s="493" t="str">
        <f ca="1">IFERROR(IF(VLOOKUP(C2024,' Disaggregation - Section E '!A$618:N2433,13,0)=0,"",VLOOKUP(C2024,' Disaggregation - Section E '!A$618:N2433,13,0)),"")</f>
        <v/>
      </c>
      <c r="K2024" s="487" t="str">
        <f ca="1">IFERROR(VLOOKUP(C2024,' Disaggregation - Section E '!A$618:N1236,3,0),"")</f>
        <v>HTS-5 Pourcentage de personnes récemment diagnostiquées comme séropositives admises dans des services de prise en charge du VIH</v>
      </c>
      <c r="L2024" s="487"/>
      <c r="M2024" s="487" t="str">
        <f ca="1">IFERROR(IF(VLOOKUP(C2024,' Disaggregation - Section E '!A$618:T1236,20,0)=0,"",VLOOKUP(C2024,' Disaggregation - Section E '!A$618:T1236,20,0)),"")</f>
        <v/>
      </c>
      <c r="N2024" s="493" t="str">
        <f ca="1">IFERROR(IF(VLOOKUP(C2024,' Disaggregation - Section E '!A$618:N1236,14,0)=0,"",VLOOKUP(C2024,' Disaggregation - Section E '!A$618:N1236,14,0)),"")</f>
        <v/>
      </c>
      <c r="O2024" s="493" t="str">
        <f ca="1">IFERROR(IF(VLOOKUP(C2024,' Disaggregation - Section E '!A$618:N1236,9,0)=0,"",VLOOKUP(C2024,' Disaggregation - Section E '!A$618:N1236,9,0)),"")</f>
        <v/>
      </c>
      <c r="P2024" s="493" t="str">
        <f ca="1">IFERROR(IF(VLOOKUP(C2024,' Disaggregation - Section E '!A$618:N1236,10,0)=0,"",VLOOKUP(C2024,' Disaggregation - Section E '!A$618:N1236,10,0)),"")</f>
        <v/>
      </c>
    </row>
    <row r="2025" spans="1:16" x14ac:dyDescent="0.3">
      <c r="A2025" s="487" t="b">
        <f t="shared" ca="1" si="147"/>
        <v>0</v>
      </c>
      <c r="B2025" s="487"/>
      <c r="C2025" s="500" t="str">
        <f ca="1">IF(COUNTA(D$1410:D2025)=1,"",OFFSET(B2023,-COUNTA(D$1410:D2025)+3,1))</f>
        <v>a163p000002zQZaAAM</v>
      </c>
      <c r="D2025" s="502"/>
      <c r="E2025" s="490" t="str">
        <f ca="1">IFERROR(IF(VLOOKUP(C2025,' Disaggregation - Section E '!A$618:N1237,7,0)=0,"",VLOOKUP(C2025,' Disaggregation - Section E '!A$618:N1237,7,0)*100),"")</f>
        <v/>
      </c>
      <c r="F2025" s="493" t="str">
        <f ca="1">IFERROR(VLOOKUP(C2025,' Disaggregation - Section E '!A$618:N1237,5,0),"")</f>
        <v/>
      </c>
      <c r="G2025" s="492" t="str">
        <f ca="1">IFERROR(IF(VLOOKUP(C2025,' Disaggregation - Section E '!A$618:N1237,6,0)=0,"",VLOOKUP(C2025,' Disaggregation - Section E '!A$618:N1237,6,0)),"")</f>
        <v/>
      </c>
      <c r="H2025" s="502" t="str">
        <f ca="1">IFERROR(IF(INDEX(' Disaggregation - Section E '!F$618:F2434,MATCH(C2025,' Disaggregation - Section E '!A$618:A2434,0)+1,1)&lt;&gt;0,INDEX(' Disaggregation - Section E '!F$618:F$1820,MATCH(C2025,' Disaggregation - Section E '!A$618:A2434,0)+1,1),""),"")</f>
        <v/>
      </c>
      <c r="I2025" s="493" t="str">
        <f ca="1">IFERROR(IF(VLOOKUP(C2025,' Disaggregation - Section E '!A$618:N1237,8,0)=0,"",VLOOKUP(C2025,' Disaggregation - Section E '!A$618:N1237,8,0)),"")</f>
        <v/>
      </c>
      <c r="J2025" s="493" t="str">
        <f ca="1">IFERROR(IF(VLOOKUP(C2025,' Disaggregation - Section E '!A$618:N2434,13,0)=0,"",VLOOKUP(C2025,' Disaggregation - Section E '!A$618:N2434,13,0)),"")</f>
        <v/>
      </c>
      <c r="K2025" s="487" t="str">
        <f ca="1">IFERROR(VLOOKUP(C2025,' Disaggregation - Section E '!A$618:N1237,3,0),"")</f>
        <v>HTS-5 Pourcentage de personnes récemment diagnostiquées comme séropositives admises dans des services de prise en charge du VIH</v>
      </c>
      <c r="L2025" s="487"/>
      <c r="M2025" s="487" t="str">
        <f ca="1">IFERROR(IF(VLOOKUP(C2025,' Disaggregation - Section E '!A$618:T1237,20,0)=0,"",VLOOKUP(C2025,' Disaggregation - Section E '!A$618:T1237,20,0)),"")</f>
        <v/>
      </c>
      <c r="N2025" s="493" t="str">
        <f ca="1">IFERROR(IF(VLOOKUP(C2025,' Disaggregation - Section E '!A$618:N1237,14,0)=0,"",VLOOKUP(C2025,' Disaggregation - Section E '!A$618:N1237,14,0)),"")</f>
        <v/>
      </c>
      <c r="O2025" s="493" t="str">
        <f ca="1">IFERROR(IF(VLOOKUP(C2025,' Disaggregation - Section E '!A$618:N1237,9,0)=0,"",VLOOKUP(C2025,' Disaggregation - Section E '!A$618:N1237,9,0)),"")</f>
        <v/>
      </c>
      <c r="P2025" s="493" t="str">
        <f ca="1">IFERROR(IF(VLOOKUP(C2025,' Disaggregation - Section E '!A$618:N1237,10,0)=0,"",VLOOKUP(C2025,' Disaggregation - Section E '!A$618:N1237,10,0)),"")</f>
        <v/>
      </c>
    </row>
    <row r="2026" spans="1:16" x14ac:dyDescent="0.3">
      <c r="A2026" s="487" t="b">
        <f t="shared" ca="1" si="147"/>
        <v>0</v>
      </c>
      <c r="B2026" s="487"/>
      <c r="C2026" s="500" t="str">
        <f ca="1">IF(COUNTA(D$1410:D2026)=1,"",OFFSET(B2024,-COUNTA(D$1410:D2026)+3,1))</f>
        <v>a163p000002zQZbAAM</v>
      </c>
      <c r="D2026" s="502"/>
      <c r="E2026" s="490" t="str">
        <f ca="1">IFERROR(IF(VLOOKUP(C2026,' Disaggregation - Section E '!A$618:N1238,7,0)=0,"",VLOOKUP(C2026,' Disaggregation - Section E '!A$618:N1238,7,0)*100),"")</f>
        <v/>
      </c>
      <c r="F2026" s="493" t="str">
        <f ca="1">IFERROR(VLOOKUP(C2026,' Disaggregation - Section E '!A$618:N1238,5,0),"")</f>
        <v/>
      </c>
      <c r="G2026" s="492" t="str">
        <f ca="1">IFERROR(IF(VLOOKUP(C2026,' Disaggregation - Section E '!A$618:N1238,6,0)=0,"",VLOOKUP(C2026,' Disaggregation - Section E '!A$618:N1238,6,0)),"")</f>
        <v/>
      </c>
      <c r="H2026" s="502" t="str">
        <f ca="1">IFERROR(IF(INDEX(' Disaggregation - Section E '!F$618:F2435,MATCH(C2026,' Disaggregation - Section E '!A$618:A2435,0)+1,1)&lt;&gt;0,INDEX(' Disaggregation - Section E '!F$618:F$1820,MATCH(C2026,' Disaggregation - Section E '!A$618:A2435,0)+1,1),""),"")</f>
        <v/>
      </c>
      <c r="I2026" s="493" t="str">
        <f ca="1">IFERROR(IF(VLOOKUP(C2026,' Disaggregation - Section E '!A$618:N1238,8,0)=0,"",VLOOKUP(C2026,' Disaggregation - Section E '!A$618:N1238,8,0)),"")</f>
        <v/>
      </c>
      <c r="J2026" s="493" t="str">
        <f ca="1">IFERROR(IF(VLOOKUP(C2026,' Disaggregation - Section E '!A$618:N2435,13,0)=0,"",VLOOKUP(C2026,' Disaggregation - Section E '!A$618:N2435,13,0)),"")</f>
        <v/>
      </c>
      <c r="K2026" s="487" t="str">
        <f ca="1">IFERROR(VLOOKUP(C2026,' Disaggregation - Section E '!A$618:N1238,3,0),"")</f>
        <v>HTS-5 Pourcentage de personnes récemment diagnostiquées comme séropositives admises dans des services de prise en charge du VIH</v>
      </c>
      <c r="L2026" s="487"/>
      <c r="M2026" s="487" t="str">
        <f ca="1">IFERROR(IF(VLOOKUP(C2026,' Disaggregation - Section E '!A$618:T1238,20,0)=0,"",VLOOKUP(C2026,' Disaggregation - Section E '!A$618:T1238,20,0)),"")</f>
        <v/>
      </c>
      <c r="N2026" s="493" t="str">
        <f ca="1">IFERROR(IF(VLOOKUP(C2026,' Disaggregation - Section E '!A$618:N1238,14,0)=0,"",VLOOKUP(C2026,' Disaggregation - Section E '!A$618:N1238,14,0)),"")</f>
        <v/>
      </c>
      <c r="O2026" s="493" t="str">
        <f ca="1">IFERROR(IF(VLOOKUP(C2026,' Disaggregation - Section E '!A$618:N1238,9,0)=0,"",VLOOKUP(C2026,' Disaggregation - Section E '!A$618:N1238,9,0)),"")</f>
        <v/>
      </c>
      <c r="P2026" s="493" t="str">
        <f ca="1">IFERROR(IF(VLOOKUP(C2026,' Disaggregation - Section E '!A$618:N1238,10,0)=0,"",VLOOKUP(C2026,' Disaggregation - Section E '!A$618:N1238,10,0)),"")</f>
        <v/>
      </c>
    </row>
    <row r="2027" spans="1:16" x14ac:dyDescent="0.3">
      <c r="A2027" s="487" t="b">
        <f t="shared" ca="1" si="147"/>
        <v>0</v>
      </c>
      <c r="B2027" s="487"/>
      <c r="C2027" s="500" t="str">
        <f ca="1">IF(COUNTA(D$1410:D2027)=1,"",OFFSET(B2025,-COUNTA(D$1410:D2027)+3,1))</f>
        <v>a163p000002zQZcAAM</v>
      </c>
      <c r="D2027" s="502"/>
      <c r="E2027" s="490" t="str">
        <f ca="1">IFERROR(IF(VLOOKUP(C2027,' Disaggregation - Section E '!A$618:N1239,7,0)=0,"",VLOOKUP(C2027,' Disaggregation - Section E '!A$618:N1239,7,0)*100),"")</f>
        <v/>
      </c>
      <c r="F2027" s="493" t="str">
        <f ca="1">IFERROR(VLOOKUP(C2027,' Disaggregation - Section E '!A$618:N1239,5,0),"")</f>
        <v/>
      </c>
      <c r="G2027" s="492" t="str">
        <f ca="1">IFERROR(IF(VLOOKUP(C2027,' Disaggregation - Section E '!A$618:N1239,6,0)=0,"",VLOOKUP(C2027,' Disaggregation - Section E '!A$618:N1239,6,0)),"")</f>
        <v/>
      </c>
      <c r="H2027" s="502" t="str">
        <f ca="1">IFERROR(IF(INDEX(' Disaggregation - Section E '!F$618:F2436,MATCH(C2027,' Disaggregation - Section E '!A$618:A2436,0)+1,1)&lt;&gt;0,INDEX(' Disaggregation - Section E '!F$618:F$1820,MATCH(C2027,' Disaggregation - Section E '!A$618:A2436,0)+1,1),""),"")</f>
        <v/>
      </c>
      <c r="I2027" s="493" t="str">
        <f ca="1">IFERROR(IF(VLOOKUP(C2027,' Disaggregation - Section E '!A$618:N1239,8,0)=0,"",VLOOKUP(C2027,' Disaggregation - Section E '!A$618:N1239,8,0)),"")</f>
        <v/>
      </c>
      <c r="J2027" s="493" t="str">
        <f ca="1">IFERROR(IF(VLOOKUP(C2027,' Disaggregation - Section E '!A$618:N2436,13,0)=0,"",VLOOKUP(C2027,' Disaggregation - Section E '!A$618:N2436,13,0)),"")</f>
        <v/>
      </c>
      <c r="K2027" s="487" t="str">
        <f ca="1">IFERROR(VLOOKUP(C2027,' Disaggregation - Section E '!A$618:N1239,3,0),"")</f>
        <v>HTS-5 Pourcentage de personnes récemment diagnostiquées comme séropositives admises dans des services de prise en charge du VIH</v>
      </c>
      <c r="L2027" s="487"/>
      <c r="M2027" s="487" t="str">
        <f ca="1">IFERROR(IF(VLOOKUP(C2027,' Disaggregation - Section E '!A$618:T1239,20,0)=0,"",VLOOKUP(C2027,' Disaggregation - Section E '!A$618:T1239,20,0)),"")</f>
        <v/>
      </c>
      <c r="N2027" s="493" t="str">
        <f ca="1">IFERROR(IF(VLOOKUP(C2027,' Disaggregation - Section E '!A$618:N1239,14,0)=0,"",VLOOKUP(C2027,' Disaggregation - Section E '!A$618:N1239,14,0)),"")</f>
        <v/>
      </c>
      <c r="O2027" s="493" t="str">
        <f ca="1">IFERROR(IF(VLOOKUP(C2027,' Disaggregation - Section E '!A$618:N1239,9,0)=0,"",VLOOKUP(C2027,' Disaggregation - Section E '!A$618:N1239,9,0)),"")</f>
        <v/>
      </c>
      <c r="P2027" s="493" t="str">
        <f ca="1">IFERROR(IF(VLOOKUP(C2027,' Disaggregation - Section E '!A$618:N1239,10,0)=0,"",VLOOKUP(C2027,' Disaggregation - Section E '!A$618:N1239,10,0)),"")</f>
        <v/>
      </c>
    </row>
    <row r="2028" spans="1:16" x14ac:dyDescent="0.3">
      <c r="A2028" s="487" t="b">
        <f t="shared" ca="1" si="147"/>
        <v>0</v>
      </c>
      <c r="B2028" s="487"/>
      <c r="C2028" s="500" t="str">
        <f ca="1">IF(COUNTA(D$1410:D2028)=1,"",OFFSET(B2026,-COUNTA(D$1410:D2028)+3,1))</f>
        <v>a163p000002zQZdAAM</v>
      </c>
      <c r="D2028" s="502"/>
      <c r="E2028" s="490" t="str">
        <f ca="1">IFERROR(IF(VLOOKUP(C2028,' Disaggregation - Section E '!A$618:N1240,7,0)=0,"",VLOOKUP(C2028,' Disaggregation - Section E '!A$618:N1240,7,0)*100),"")</f>
        <v/>
      </c>
      <c r="F2028" s="493" t="str">
        <f ca="1">IFERROR(VLOOKUP(C2028,' Disaggregation - Section E '!A$618:N1240,5,0),"")</f>
        <v/>
      </c>
      <c r="G2028" s="492" t="str">
        <f ca="1">IFERROR(IF(VLOOKUP(C2028,' Disaggregation - Section E '!A$618:N1240,6,0)=0,"",VLOOKUP(C2028,' Disaggregation - Section E '!A$618:N1240,6,0)),"")</f>
        <v/>
      </c>
      <c r="H2028" s="502" t="str">
        <f ca="1">IFERROR(IF(INDEX(' Disaggregation - Section E '!F$618:F2437,MATCH(C2028,' Disaggregation - Section E '!A$618:A2437,0)+1,1)&lt;&gt;0,INDEX(' Disaggregation - Section E '!F$618:F$1820,MATCH(C2028,' Disaggregation - Section E '!A$618:A2437,0)+1,1),""),"")</f>
        <v/>
      </c>
      <c r="I2028" s="493" t="str">
        <f ca="1">IFERROR(IF(VLOOKUP(C2028,' Disaggregation - Section E '!A$618:N1240,8,0)=0,"",VLOOKUP(C2028,' Disaggregation - Section E '!A$618:N1240,8,0)),"")</f>
        <v/>
      </c>
      <c r="J2028" s="493" t="str">
        <f ca="1">IFERROR(IF(VLOOKUP(C2028,' Disaggregation - Section E '!A$618:N2437,13,0)=0,"",VLOOKUP(C2028,' Disaggregation - Section E '!A$618:N2437,13,0)),"")</f>
        <v/>
      </c>
      <c r="K2028" s="487" t="str">
        <f ca="1">IFERROR(VLOOKUP(C2028,' Disaggregation - Section E '!A$618:N1240,3,0),"")</f>
        <v>HTS-5 Pourcentage de personnes récemment diagnostiquées comme séropositives admises dans des services de prise en charge du VIH</v>
      </c>
      <c r="L2028" s="487"/>
      <c r="M2028" s="487" t="str">
        <f ca="1">IFERROR(IF(VLOOKUP(C2028,' Disaggregation - Section E '!A$618:T1240,20,0)=0,"",VLOOKUP(C2028,' Disaggregation - Section E '!A$618:T1240,20,0)),"")</f>
        <v/>
      </c>
      <c r="N2028" s="493" t="str">
        <f ca="1">IFERROR(IF(VLOOKUP(C2028,' Disaggregation - Section E '!A$618:N1240,14,0)=0,"",VLOOKUP(C2028,' Disaggregation - Section E '!A$618:N1240,14,0)),"")</f>
        <v/>
      </c>
      <c r="O2028" s="493" t="str">
        <f ca="1">IFERROR(IF(VLOOKUP(C2028,' Disaggregation - Section E '!A$618:N1240,9,0)=0,"",VLOOKUP(C2028,' Disaggregation - Section E '!A$618:N1240,9,0)),"")</f>
        <v/>
      </c>
      <c r="P2028" s="493" t="str">
        <f ca="1">IFERROR(IF(VLOOKUP(C2028,' Disaggregation - Section E '!A$618:N1240,10,0)=0,"",VLOOKUP(C2028,' Disaggregation - Section E '!A$618:N1240,10,0)),"")</f>
        <v/>
      </c>
    </row>
    <row r="2029" spans="1:16" x14ac:dyDescent="0.3">
      <c r="A2029" s="487" t="b">
        <f t="shared" ca="1" si="147"/>
        <v>0</v>
      </c>
      <c r="B2029" s="487"/>
      <c r="C2029" s="500" t="str">
        <f ca="1">IF(COUNTA(D$1410:D2029)=1,"",OFFSET(B2027,-COUNTA(D$1410:D2029)+3,1))</f>
        <v>a163p000002zQZeAAM</v>
      </c>
      <c r="D2029" s="502"/>
      <c r="E2029" s="490" t="str">
        <f ca="1">IFERROR(IF(VLOOKUP(C2029,' Disaggregation - Section E '!A$618:N1241,7,0)=0,"",VLOOKUP(C2029,' Disaggregation - Section E '!A$618:N1241,7,0)*100),"")</f>
        <v/>
      </c>
      <c r="F2029" s="493" t="str">
        <f ca="1">IFERROR(VLOOKUP(C2029,' Disaggregation - Section E '!A$618:N1241,5,0),"")</f>
        <v/>
      </c>
      <c r="G2029" s="492" t="str">
        <f ca="1">IFERROR(IF(VLOOKUP(C2029,' Disaggregation - Section E '!A$618:N1241,6,0)=0,"",VLOOKUP(C2029,' Disaggregation - Section E '!A$618:N1241,6,0)),"")</f>
        <v/>
      </c>
      <c r="H2029" s="502" t="str">
        <f ca="1">IFERROR(IF(INDEX(' Disaggregation - Section E '!F$618:F2438,MATCH(C2029,' Disaggregation - Section E '!A$618:A2438,0)+1,1)&lt;&gt;0,INDEX(' Disaggregation - Section E '!F$618:F$1820,MATCH(C2029,' Disaggregation - Section E '!A$618:A2438,0)+1,1),""),"")</f>
        <v/>
      </c>
      <c r="I2029" s="493" t="str">
        <f ca="1">IFERROR(IF(VLOOKUP(C2029,' Disaggregation - Section E '!A$618:N1241,8,0)=0,"",VLOOKUP(C2029,' Disaggregation - Section E '!A$618:N1241,8,0)),"")</f>
        <v/>
      </c>
      <c r="J2029" s="493" t="str">
        <f ca="1">IFERROR(IF(VLOOKUP(C2029,' Disaggregation - Section E '!A$618:N2438,13,0)=0,"",VLOOKUP(C2029,' Disaggregation - Section E '!A$618:N2438,13,0)),"")</f>
        <v/>
      </c>
      <c r="K2029" s="487" t="str">
        <f ca="1">IFERROR(VLOOKUP(C2029,' Disaggregation - Section E '!A$618:N1241,3,0),"")</f>
        <v>HTS-5 Pourcentage de personnes récemment diagnostiquées comme séropositives admises dans des services de prise en charge du VIH</v>
      </c>
      <c r="L2029" s="487"/>
      <c r="M2029" s="487" t="str">
        <f ca="1">IFERROR(IF(VLOOKUP(C2029,' Disaggregation - Section E '!A$618:T1241,20,0)=0,"",VLOOKUP(C2029,' Disaggregation - Section E '!A$618:T1241,20,0)),"")</f>
        <v/>
      </c>
      <c r="N2029" s="493" t="str">
        <f ca="1">IFERROR(IF(VLOOKUP(C2029,' Disaggregation - Section E '!A$618:N1241,14,0)=0,"",VLOOKUP(C2029,' Disaggregation - Section E '!A$618:N1241,14,0)),"")</f>
        <v/>
      </c>
      <c r="O2029" s="493" t="str">
        <f ca="1">IFERROR(IF(VLOOKUP(C2029,' Disaggregation - Section E '!A$618:N1241,9,0)=0,"",VLOOKUP(C2029,' Disaggregation - Section E '!A$618:N1241,9,0)),"")</f>
        <v/>
      </c>
      <c r="P2029" s="493" t="str">
        <f ca="1">IFERROR(IF(VLOOKUP(C2029,' Disaggregation - Section E '!A$618:N1241,10,0)=0,"",VLOOKUP(C2029,' Disaggregation - Section E '!A$618:N1241,10,0)),"")</f>
        <v/>
      </c>
    </row>
    <row r="2030" spans="1:16" x14ac:dyDescent="0.3">
      <c r="A2030" s="487" t="b">
        <f t="shared" ca="1" si="147"/>
        <v>0</v>
      </c>
      <c r="B2030" s="487"/>
      <c r="C2030" s="500" t="str">
        <f ca="1">IF(COUNTA(D$1410:D2030)=1,"",OFFSET(B2028,-COUNTA(D$1410:D2030)+3,1))</f>
        <v>a163p000002zQZfAAM</v>
      </c>
      <c r="D2030" s="502"/>
      <c r="E2030" s="490" t="str">
        <f ca="1">IFERROR(IF(VLOOKUP(C2030,' Disaggregation - Section E '!A$618:N1242,7,0)=0,"",VLOOKUP(C2030,' Disaggregation - Section E '!A$618:N1242,7,0)*100),"")</f>
        <v/>
      </c>
      <c r="F2030" s="493" t="str">
        <f ca="1">IFERROR(VLOOKUP(C2030,' Disaggregation - Section E '!A$618:N1242,5,0),"")</f>
        <v/>
      </c>
      <c r="G2030" s="492" t="str">
        <f ca="1">IFERROR(IF(VLOOKUP(C2030,' Disaggregation - Section E '!A$618:N1242,6,0)=0,"",VLOOKUP(C2030,' Disaggregation - Section E '!A$618:N1242,6,0)),"")</f>
        <v/>
      </c>
      <c r="H2030" s="502" t="str">
        <f ca="1">IFERROR(IF(INDEX(' Disaggregation - Section E '!F$618:F2439,MATCH(C2030,' Disaggregation - Section E '!A$618:A2439,0)+1,1)&lt;&gt;0,INDEX(' Disaggregation - Section E '!F$618:F$1820,MATCH(C2030,' Disaggregation - Section E '!A$618:A2439,0)+1,1),""),"")</f>
        <v/>
      </c>
      <c r="I2030" s="493" t="str">
        <f ca="1">IFERROR(IF(VLOOKUP(C2030,' Disaggregation - Section E '!A$618:N1242,8,0)=0,"",VLOOKUP(C2030,' Disaggregation - Section E '!A$618:N1242,8,0)),"")</f>
        <v/>
      </c>
      <c r="J2030" s="493" t="str">
        <f ca="1">IFERROR(IF(VLOOKUP(C2030,' Disaggregation - Section E '!A$618:N2439,13,0)=0,"",VLOOKUP(C2030,' Disaggregation - Section E '!A$618:N2439,13,0)),"")</f>
        <v/>
      </c>
      <c r="K2030" s="487" t="str">
        <f ca="1">IFERROR(VLOOKUP(C2030,' Disaggregation - Section E '!A$618:N1242,3,0),"")</f>
        <v>HTS-5 Pourcentage de personnes récemment diagnostiquées comme séropositives admises dans des services de prise en charge du VIH</v>
      </c>
      <c r="L2030" s="487"/>
      <c r="M2030" s="487" t="str">
        <f ca="1">IFERROR(IF(VLOOKUP(C2030,' Disaggregation - Section E '!A$618:T1242,20,0)=0,"",VLOOKUP(C2030,' Disaggregation - Section E '!A$618:T1242,20,0)),"")</f>
        <v/>
      </c>
      <c r="N2030" s="493" t="str">
        <f ca="1">IFERROR(IF(VLOOKUP(C2030,' Disaggregation - Section E '!A$618:N1242,14,0)=0,"",VLOOKUP(C2030,' Disaggregation - Section E '!A$618:N1242,14,0)),"")</f>
        <v/>
      </c>
      <c r="O2030" s="493" t="str">
        <f ca="1">IFERROR(IF(VLOOKUP(C2030,' Disaggregation - Section E '!A$618:N1242,9,0)=0,"",VLOOKUP(C2030,' Disaggregation - Section E '!A$618:N1242,9,0)),"")</f>
        <v/>
      </c>
      <c r="P2030" s="493" t="str">
        <f ca="1">IFERROR(IF(VLOOKUP(C2030,' Disaggregation - Section E '!A$618:N1242,10,0)=0,"",VLOOKUP(C2030,' Disaggregation - Section E '!A$618:N1242,10,0)),"")</f>
        <v/>
      </c>
    </row>
    <row r="2031" spans="1:16" x14ac:dyDescent="0.3">
      <c r="A2031" s="487" t="b">
        <f t="shared" ca="1" si="147"/>
        <v>0</v>
      </c>
      <c r="B2031" s="487"/>
      <c r="C2031" s="500" t="str">
        <f ca="1">IF(COUNTA(D$1410:D2031)=1,"",OFFSET(B2029,-COUNTA(D$1410:D2031)+3,1))</f>
        <v>a163p000002zQZgAAM</v>
      </c>
      <c r="D2031" s="502"/>
      <c r="E2031" s="490" t="str">
        <f ca="1">IFERROR(IF(VLOOKUP(C2031,' Disaggregation - Section E '!A$618:N1243,7,0)=0,"",VLOOKUP(C2031,' Disaggregation - Section E '!A$618:N1243,7,0)*100),"")</f>
        <v/>
      </c>
      <c r="F2031" s="493" t="str">
        <f ca="1">IFERROR(VLOOKUP(C2031,' Disaggregation - Section E '!A$618:N1243,5,0),"")</f>
        <v/>
      </c>
      <c r="G2031" s="492" t="str">
        <f ca="1">IFERROR(IF(VLOOKUP(C2031,' Disaggregation - Section E '!A$618:N1243,6,0)=0,"",VLOOKUP(C2031,' Disaggregation - Section E '!A$618:N1243,6,0)),"")</f>
        <v/>
      </c>
      <c r="H2031" s="502" t="str">
        <f ca="1">IFERROR(IF(INDEX(' Disaggregation - Section E '!F$618:F2440,MATCH(C2031,' Disaggregation - Section E '!A$618:A2440,0)+1,1)&lt;&gt;0,INDEX(' Disaggregation - Section E '!F$618:F$1820,MATCH(C2031,' Disaggregation - Section E '!A$618:A2440,0)+1,1),""),"")</f>
        <v/>
      </c>
      <c r="I2031" s="493" t="str">
        <f ca="1">IFERROR(IF(VLOOKUP(C2031,' Disaggregation - Section E '!A$618:N1243,8,0)=0,"",VLOOKUP(C2031,' Disaggregation - Section E '!A$618:N1243,8,0)),"")</f>
        <v/>
      </c>
      <c r="J2031" s="493" t="str">
        <f ca="1">IFERROR(IF(VLOOKUP(C2031,' Disaggregation - Section E '!A$618:N2440,13,0)=0,"",VLOOKUP(C2031,' Disaggregation - Section E '!A$618:N2440,13,0)),"")</f>
        <v/>
      </c>
      <c r="K2031" s="487" t="str">
        <f ca="1">IFERROR(VLOOKUP(C2031,' Disaggregation - Section E '!A$618:N1243,3,0),"")</f>
        <v>HTS-5 Pourcentage de personnes récemment diagnostiquées comme séropositives admises dans des services de prise en charge du VIH</v>
      </c>
      <c r="L2031" s="487"/>
      <c r="M2031" s="487" t="str">
        <f ca="1">IFERROR(IF(VLOOKUP(C2031,' Disaggregation - Section E '!A$618:T1243,20,0)=0,"",VLOOKUP(C2031,' Disaggregation - Section E '!A$618:T1243,20,0)),"")</f>
        <v/>
      </c>
      <c r="N2031" s="493" t="str">
        <f ca="1">IFERROR(IF(VLOOKUP(C2031,' Disaggregation - Section E '!A$618:N1243,14,0)=0,"",VLOOKUP(C2031,' Disaggregation - Section E '!A$618:N1243,14,0)),"")</f>
        <v/>
      </c>
      <c r="O2031" s="493" t="str">
        <f ca="1">IFERROR(IF(VLOOKUP(C2031,' Disaggregation - Section E '!A$618:N1243,9,0)=0,"",VLOOKUP(C2031,' Disaggregation - Section E '!A$618:N1243,9,0)),"")</f>
        <v/>
      </c>
      <c r="P2031" s="493" t="str">
        <f ca="1">IFERROR(IF(VLOOKUP(C2031,' Disaggregation - Section E '!A$618:N1243,10,0)=0,"",VLOOKUP(C2031,' Disaggregation - Section E '!A$618:N1243,10,0)),"")</f>
        <v/>
      </c>
    </row>
    <row r="2032" spans="1:16" x14ac:dyDescent="0.3">
      <c r="A2032" s="487" t="b">
        <f t="shared" ca="1" si="147"/>
        <v>0</v>
      </c>
      <c r="B2032" s="487"/>
      <c r="C2032" s="500" t="str">
        <f ca="1">IF(COUNTA(D$1410:D2032)=1,"",OFFSET(B2030,-COUNTA(D$1410:D2032)+3,1))</f>
        <v>a163p000002zQZhAAM</v>
      </c>
      <c r="D2032" s="502"/>
      <c r="E2032" s="490" t="str">
        <f ca="1">IFERROR(IF(VLOOKUP(C2032,' Disaggregation - Section E '!A$618:N1244,7,0)=0,"",VLOOKUP(C2032,' Disaggregation - Section E '!A$618:N1244,7,0)*100),"")</f>
        <v/>
      </c>
      <c r="F2032" s="493" t="str">
        <f ca="1">IFERROR(VLOOKUP(C2032,' Disaggregation - Section E '!A$618:N1244,5,0),"")</f>
        <v>Positif</v>
      </c>
      <c r="G2032" s="492" t="str">
        <f ca="1">IFERROR(IF(VLOOKUP(C2032,' Disaggregation - Section E '!A$618:N1244,6,0)=0,"",VLOOKUP(C2032,' Disaggregation - Section E '!A$618:N1244,6,0)),"")</f>
        <v/>
      </c>
      <c r="H2032" s="502" t="str">
        <f ca="1">IFERROR(IF(INDEX(' Disaggregation - Section E '!F$618:F2441,MATCH(C2032,' Disaggregation - Section E '!A$618:A2441,0)+1,1)&lt;&gt;0,INDEX(' Disaggregation - Section E '!F$618:F$1820,MATCH(C2032,' Disaggregation - Section E '!A$618:A2441,0)+1,1),""),"")</f>
        <v/>
      </c>
      <c r="I2032" s="493" t="str">
        <f ca="1">IFERROR(IF(VLOOKUP(C2032,' Disaggregation - Section E '!A$618:N1244,8,0)=0,"",VLOOKUP(C2032,' Disaggregation - Section E '!A$618:N1244,8,0)),"")</f>
        <v/>
      </c>
      <c r="J2032" s="493" t="str">
        <f ca="1">IFERROR(IF(VLOOKUP(C2032,' Disaggregation - Section E '!A$618:N2441,13,0)=0,"",VLOOKUP(C2032,' Disaggregation - Section E '!A$618:N2441,13,0)),"")</f>
        <v/>
      </c>
      <c r="K2032" s="487" t="str">
        <f ca="1">IFERROR(VLOOKUP(C2032,' Disaggregation - Section E '!A$618:N1244,3,0),"")</f>
        <v>HTS-3f⁽ᴹ⁾ Pourcentage de personnes en détention ou se trouvant dans d’autres lieux fermés chez lesquels un dépistage du VIH a été réalisé durant la période de communication de l’information et qui connaissent leur résultat</v>
      </c>
      <c r="L2032" s="487"/>
      <c r="M2032" s="487" t="str">
        <f ca="1">IFERROR(IF(VLOOKUP(C2032,' Disaggregation - Section E '!A$618:T1244,20,0)=0,"",VLOOKUP(C2032,' Disaggregation - Section E '!A$618:T1244,20,0)),"")</f>
        <v>IDR-00929</v>
      </c>
      <c r="N2032" s="493" t="str">
        <f ca="1">IFERROR(IF(VLOOKUP(C2032,' Disaggregation - Section E '!A$618:N1244,14,0)=0,"",VLOOKUP(C2032,' Disaggregation - Section E '!A$618:N1244,14,0)),"")</f>
        <v/>
      </c>
      <c r="O2032" s="493" t="str">
        <f ca="1">IFERROR(IF(VLOOKUP(C2032,' Disaggregation - Section E '!A$618:N1244,9,0)=0,"",VLOOKUP(C2032,' Disaggregation - Section E '!A$618:N1244,9,0)),"")</f>
        <v/>
      </c>
      <c r="P2032" s="493" t="str">
        <f ca="1">IFERROR(IF(VLOOKUP(C2032,' Disaggregation - Section E '!A$618:N1244,10,0)=0,"",VLOOKUP(C2032,' Disaggregation - Section E '!A$618:N1244,10,0)),"")</f>
        <v/>
      </c>
    </row>
    <row r="2033" spans="1:16" x14ac:dyDescent="0.3">
      <c r="A2033" s="487" t="b">
        <f t="shared" ca="1" si="147"/>
        <v>0</v>
      </c>
      <c r="B2033" s="487"/>
      <c r="C2033" s="500" t="str">
        <f ca="1">IF(COUNTA(D$1410:D2033)=1,"",OFFSET(B2031,-COUNTA(D$1410:D2033)+3,1))</f>
        <v>a163p000002zQZiAAM</v>
      </c>
      <c r="D2033" s="502"/>
      <c r="E2033" s="490" t="str">
        <f ca="1">IFERROR(IF(VLOOKUP(C2033,' Disaggregation - Section E '!A$618:N1245,7,0)=0,"",VLOOKUP(C2033,' Disaggregation - Section E '!A$618:N1245,7,0)*100),"")</f>
        <v/>
      </c>
      <c r="F2033" s="493" t="str">
        <f ca="1">IFERROR(VLOOKUP(C2033,' Disaggregation - Section E '!A$618:N1245,5,0),"")</f>
        <v>Négatif</v>
      </c>
      <c r="G2033" s="492" t="str">
        <f ca="1">IFERROR(IF(VLOOKUP(C2033,' Disaggregation - Section E '!A$618:N1245,6,0)=0,"",VLOOKUP(C2033,' Disaggregation - Section E '!A$618:N1245,6,0)),"")</f>
        <v/>
      </c>
      <c r="H2033" s="502" t="str">
        <f ca="1">IFERROR(IF(INDEX(' Disaggregation - Section E '!F$618:F2442,MATCH(C2033,' Disaggregation - Section E '!A$618:A2442,0)+1,1)&lt;&gt;0,INDEX(' Disaggregation - Section E '!F$618:F$1820,MATCH(C2033,' Disaggregation - Section E '!A$618:A2442,0)+1,1),""),"")</f>
        <v/>
      </c>
      <c r="I2033" s="493" t="str">
        <f ca="1">IFERROR(IF(VLOOKUP(C2033,' Disaggregation - Section E '!A$618:N1245,8,0)=0,"",VLOOKUP(C2033,' Disaggregation - Section E '!A$618:N1245,8,0)),"")</f>
        <v/>
      </c>
      <c r="J2033" s="493" t="str">
        <f ca="1">IFERROR(IF(VLOOKUP(C2033,' Disaggregation - Section E '!A$618:N2442,13,0)=0,"",VLOOKUP(C2033,' Disaggregation - Section E '!A$618:N2442,13,0)),"")</f>
        <v/>
      </c>
      <c r="K2033" s="487" t="str">
        <f ca="1">IFERROR(VLOOKUP(C2033,' Disaggregation - Section E '!A$618:N1245,3,0),"")</f>
        <v>HTS-3f⁽ᴹ⁾ Pourcentage de personnes en détention ou se trouvant dans d’autres lieux fermés chez lesquels un dépistage du VIH a été réalisé durant la période de communication de l’information et qui connaissent leur résultat</v>
      </c>
      <c r="L2033" s="487"/>
      <c r="M2033" s="487" t="str">
        <f ca="1">IFERROR(IF(VLOOKUP(C2033,' Disaggregation - Section E '!A$618:T1245,20,0)=0,"",VLOOKUP(C2033,' Disaggregation - Section E '!A$618:T1245,20,0)),"")</f>
        <v>IDR-00930</v>
      </c>
      <c r="N2033" s="493" t="str">
        <f ca="1">IFERROR(IF(VLOOKUP(C2033,' Disaggregation - Section E '!A$618:N1245,14,0)=0,"",VLOOKUP(C2033,' Disaggregation - Section E '!A$618:N1245,14,0)),"")</f>
        <v/>
      </c>
      <c r="O2033" s="493" t="str">
        <f ca="1">IFERROR(IF(VLOOKUP(C2033,' Disaggregation - Section E '!A$618:N1245,9,0)=0,"",VLOOKUP(C2033,' Disaggregation - Section E '!A$618:N1245,9,0)),"")</f>
        <v/>
      </c>
      <c r="P2033" s="493" t="str">
        <f ca="1">IFERROR(IF(VLOOKUP(C2033,' Disaggregation - Section E '!A$618:N1245,10,0)=0,"",VLOOKUP(C2033,' Disaggregation - Section E '!A$618:N1245,10,0)),"")</f>
        <v/>
      </c>
    </row>
    <row r="2034" spans="1:16" x14ac:dyDescent="0.3">
      <c r="A2034" s="487" t="b">
        <f t="shared" ca="1" si="147"/>
        <v>0</v>
      </c>
      <c r="B2034" s="487"/>
      <c r="C2034" s="500" t="str">
        <f ca="1">IF(COUNTA(D$1410:D2034)=1,"",OFFSET(B2032,-COUNTA(D$1410:D2034)+3,1))</f>
        <v>a163p000002zQZjAAM</v>
      </c>
      <c r="D2034" s="502"/>
      <c r="E2034" s="490" t="str">
        <f ca="1">IFERROR(IF(VLOOKUP(C2034,' Disaggregation - Section E '!A$618:N1246,7,0)=0,"",VLOOKUP(C2034,' Disaggregation - Section E '!A$618:N1246,7,0)*100),"")</f>
        <v/>
      </c>
      <c r="F2034" s="493" t="str">
        <f ca="1">IFERROR(VLOOKUP(C2034,' Disaggregation - Section E '!A$618:N1246,5,0),"")</f>
        <v/>
      </c>
      <c r="G2034" s="492" t="str">
        <f ca="1">IFERROR(IF(VLOOKUP(C2034,' Disaggregation - Section E '!A$618:N1246,6,0)=0,"",VLOOKUP(C2034,' Disaggregation - Section E '!A$618:N1246,6,0)),"")</f>
        <v/>
      </c>
      <c r="H2034" s="502" t="str">
        <f ca="1">IFERROR(IF(INDEX(' Disaggregation - Section E '!F$618:F2443,MATCH(C2034,' Disaggregation - Section E '!A$618:A2443,0)+1,1)&lt;&gt;0,INDEX(' Disaggregation - Section E '!F$618:F$1820,MATCH(C2034,' Disaggregation - Section E '!A$618:A2443,0)+1,1),""),"")</f>
        <v/>
      </c>
      <c r="I2034" s="493" t="str">
        <f ca="1">IFERROR(IF(VLOOKUP(C2034,' Disaggregation - Section E '!A$618:N1246,8,0)=0,"",VLOOKUP(C2034,' Disaggregation - Section E '!A$618:N1246,8,0)),"")</f>
        <v/>
      </c>
      <c r="J2034" s="493" t="str">
        <f ca="1">IFERROR(IF(VLOOKUP(C2034,' Disaggregation - Section E '!A$618:N2443,13,0)=0,"",VLOOKUP(C2034,' Disaggregation - Section E '!A$618:N2443,13,0)),"")</f>
        <v/>
      </c>
      <c r="K2034" s="487" t="str">
        <f ca="1">IFERROR(VLOOKUP(C2034,' Disaggregation - Section E '!A$618:N1246,3,0),"")</f>
        <v>HTS-3f⁽ᴹ⁾ Pourcentage de personnes en détention ou se trouvant dans d’autres lieux fermés chez lesquels un dépistage du VIH a été réalisé durant la période de communication de l’information et qui connaissent leur résultat</v>
      </c>
      <c r="L2034" s="487"/>
      <c r="M2034" s="487" t="str">
        <f ca="1">IFERROR(IF(VLOOKUP(C2034,' Disaggregation - Section E '!A$618:T1246,20,0)=0,"",VLOOKUP(C2034,' Disaggregation - Section E '!A$618:T1246,20,0)),"")</f>
        <v/>
      </c>
      <c r="N2034" s="493" t="str">
        <f ca="1">IFERROR(IF(VLOOKUP(C2034,' Disaggregation - Section E '!A$618:N1246,14,0)=0,"",VLOOKUP(C2034,' Disaggregation - Section E '!A$618:N1246,14,0)),"")</f>
        <v/>
      </c>
      <c r="O2034" s="493" t="str">
        <f ca="1">IFERROR(IF(VLOOKUP(C2034,' Disaggregation - Section E '!A$618:N1246,9,0)=0,"",VLOOKUP(C2034,' Disaggregation - Section E '!A$618:N1246,9,0)),"")</f>
        <v/>
      </c>
      <c r="P2034" s="493" t="str">
        <f ca="1">IFERROR(IF(VLOOKUP(C2034,' Disaggregation - Section E '!A$618:N1246,10,0)=0,"",VLOOKUP(C2034,' Disaggregation - Section E '!A$618:N1246,10,0)),"")</f>
        <v/>
      </c>
    </row>
    <row r="2035" spans="1:16" x14ac:dyDescent="0.3">
      <c r="A2035" s="487" t="b">
        <f t="shared" ca="1" si="147"/>
        <v>0</v>
      </c>
      <c r="B2035" s="487"/>
      <c r="C2035" s="500" t="str">
        <f ca="1">IF(COUNTA(D$1410:D2035)=1,"",OFFSET(B2033,-COUNTA(D$1410:D2035)+3,1))</f>
        <v>a163p000002zQZkAAM</v>
      </c>
      <c r="D2035" s="502"/>
      <c r="E2035" s="490" t="str">
        <f ca="1">IFERROR(IF(VLOOKUP(C2035,' Disaggregation - Section E '!A$618:N1247,7,0)=0,"",VLOOKUP(C2035,' Disaggregation - Section E '!A$618:N1247,7,0)*100),"")</f>
        <v/>
      </c>
      <c r="F2035" s="493" t="str">
        <f ca="1">IFERROR(VLOOKUP(C2035,' Disaggregation - Section E '!A$618:N1247,5,0),"")</f>
        <v/>
      </c>
      <c r="G2035" s="492" t="str">
        <f ca="1">IFERROR(IF(VLOOKUP(C2035,' Disaggregation - Section E '!A$618:N1247,6,0)=0,"",VLOOKUP(C2035,' Disaggregation - Section E '!A$618:N1247,6,0)),"")</f>
        <v/>
      </c>
      <c r="H2035" s="502" t="str">
        <f ca="1">IFERROR(IF(INDEX(' Disaggregation - Section E '!F$618:F2444,MATCH(C2035,' Disaggregation - Section E '!A$618:A2444,0)+1,1)&lt;&gt;0,INDEX(' Disaggregation - Section E '!F$618:F$1820,MATCH(C2035,' Disaggregation - Section E '!A$618:A2444,0)+1,1),""),"")</f>
        <v/>
      </c>
      <c r="I2035" s="493" t="str">
        <f ca="1">IFERROR(IF(VLOOKUP(C2035,' Disaggregation - Section E '!A$618:N1247,8,0)=0,"",VLOOKUP(C2035,' Disaggregation - Section E '!A$618:N1247,8,0)),"")</f>
        <v/>
      </c>
      <c r="J2035" s="493" t="str">
        <f ca="1">IFERROR(IF(VLOOKUP(C2035,' Disaggregation - Section E '!A$618:N2444,13,0)=0,"",VLOOKUP(C2035,' Disaggregation - Section E '!A$618:N2444,13,0)),"")</f>
        <v/>
      </c>
      <c r="K2035" s="487" t="str">
        <f ca="1">IFERROR(VLOOKUP(C2035,' Disaggregation - Section E '!A$618:N1247,3,0),"")</f>
        <v>HTS-3f⁽ᴹ⁾ Pourcentage de personnes en détention ou se trouvant dans d’autres lieux fermés chez lesquels un dépistage du VIH a été réalisé durant la période de communication de l’information et qui connaissent leur résultat</v>
      </c>
      <c r="L2035" s="487"/>
      <c r="M2035" s="487" t="str">
        <f ca="1">IFERROR(IF(VLOOKUP(C2035,' Disaggregation - Section E '!A$618:T1247,20,0)=0,"",VLOOKUP(C2035,' Disaggregation - Section E '!A$618:T1247,20,0)),"")</f>
        <v/>
      </c>
      <c r="N2035" s="493" t="str">
        <f ca="1">IFERROR(IF(VLOOKUP(C2035,' Disaggregation - Section E '!A$618:N1247,14,0)=0,"",VLOOKUP(C2035,' Disaggregation - Section E '!A$618:N1247,14,0)),"")</f>
        <v/>
      </c>
      <c r="O2035" s="493" t="str">
        <f ca="1">IFERROR(IF(VLOOKUP(C2035,' Disaggregation - Section E '!A$618:N1247,9,0)=0,"",VLOOKUP(C2035,' Disaggregation - Section E '!A$618:N1247,9,0)),"")</f>
        <v/>
      </c>
      <c r="P2035" s="493" t="str">
        <f ca="1">IFERROR(IF(VLOOKUP(C2035,' Disaggregation - Section E '!A$618:N1247,10,0)=0,"",VLOOKUP(C2035,' Disaggregation - Section E '!A$618:N1247,10,0)),"")</f>
        <v/>
      </c>
    </row>
    <row r="2036" spans="1:16" x14ac:dyDescent="0.3">
      <c r="A2036" s="487" t="b">
        <f t="shared" ca="1" si="147"/>
        <v>0</v>
      </c>
      <c r="B2036" s="487"/>
      <c r="C2036" s="500" t="str">
        <f ca="1">IF(COUNTA(D$1410:D2036)=1,"",OFFSET(B2034,-COUNTA(D$1410:D2036)+3,1))</f>
        <v>a163p000002zQZlAAM</v>
      </c>
      <c r="D2036" s="502"/>
      <c r="E2036" s="490" t="str">
        <f ca="1">IFERROR(IF(VLOOKUP(C2036,' Disaggregation - Section E '!A$618:N1248,7,0)=0,"",VLOOKUP(C2036,' Disaggregation - Section E '!A$618:N1248,7,0)*100),"")</f>
        <v/>
      </c>
      <c r="F2036" s="493" t="str">
        <f ca="1">IFERROR(VLOOKUP(C2036,' Disaggregation - Section E '!A$618:N1248,5,0),"")</f>
        <v/>
      </c>
      <c r="G2036" s="492" t="str">
        <f ca="1">IFERROR(IF(VLOOKUP(C2036,' Disaggregation - Section E '!A$618:N1248,6,0)=0,"",VLOOKUP(C2036,' Disaggregation - Section E '!A$618:N1248,6,0)),"")</f>
        <v/>
      </c>
      <c r="H2036" s="502" t="str">
        <f ca="1">IFERROR(IF(INDEX(' Disaggregation - Section E '!F$618:F2445,MATCH(C2036,' Disaggregation - Section E '!A$618:A2445,0)+1,1)&lt;&gt;0,INDEX(' Disaggregation - Section E '!F$618:F$1820,MATCH(C2036,' Disaggregation - Section E '!A$618:A2445,0)+1,1),""),"")</f>
        <v/>
      </c>
      <c r="I2036" s="493" t="str">
        <f ca="1">IFERROR(IF(VLOOKUP(C2036,' Disaggregation - Section E '!A$618:N1248,8,0)=0,"",VLOOKUP(C2036,' Disaggregation - Section E '!A$618:N1248,8,0)),"")</f>
        <v/>
      </c>
      <c r="J2036" s="493" t="str">
        <f ca="1">IFERROR(IF(VLOOKUP(C2036,' Disaggregation - Section E '!A$618:N2445,13,0)=0,"",VLOOKUP(C2036,' Disaggregation - Section E '!A$618:N2445,13,0)),"")</f>
        <v/>
      </c>
      <c r="K2036" s="487" t="str">
        <f ca="1">IFERROR(VLOOKUP(C2036,' Disaggregation - Section E '!A$618:N1248,3,0),"")</f>
        <v>HTS-3f⁽ᴹ⁾ Pourcentage de personnes en détention ou se trouvant dans d’autres lieux fermés chez lesquels un dépistage du VIH a été réalisé durant la période de communication de l’information et qui connaissent leur résultat</v>
      </c>
      <c r="L2036" s="487"/>
      <c r="M2036" s="487" t="str">
        <f ca="1">IFERROR(IF(VLOOKUP(C2036,' Disaggregation - Section E '!A$618:T1248,20,0)=0,"",VLOOKUP(C2036,' Disaggregation - Section E '!A$618:T1248,20,0)),"")</f>
        <v/>
      </c>
      <c r="N2036" s="493" t="str">
        <f ca="1">IFERROR(IF(VLOOKUP(C2036,' Disaggregation - Section E '!A$618:N1248,14,0)=0,"",VLOOKUP(C2036,' Disaggregation - Section E '!A$618:N1248,14,0)),"")</f>
        <v/>
      </c>
      <c r="O2036" s="493" t="str">
        <f ca="1">IFERROR(IF(VLOOKUP(C2036,' Disaggregation - Section E '!A$618:N1248,9,0)=0,"",VLOOKUP(C2036,' Disaggregation - Section E '!A$618:N1248,9,0)),"")</f>
        <v/>
      </c>
      <c r="P2036" s="493" t="str">
        <f ca="1">IFERROR(IF(VLOOKUP(C2036,' Disaggregation - Section E '!A$618:N1248,10,0)=0,"",VLOOKUP(C2036,' Disaggregation - Section E '!A$618:N1248,10,0)),"")</f>
        <v/>
      </c>
    </row>
    <row r="2037" spans="1:16" x14ac:dyDescent="0.3">
      <c r="A2037" s="487" t="b">
        <f t="shared" ca="1" si="147"/>
        <v>0</v>
      </c>
      <c r="B2037" s="487"/>
      <c r="C2037" s="500" t="str">
        <f ca="1">IF(COUNTA(D$1410:D2037)=1,"",OFFSET(B2035,-COUNTA(D$1410:D2037)+3,1))</f>
        <v>a163p000002zQZmAAM</v>
      </c>
      <c r="D2037" s="502"/>
      <c r="E2037" s="490" t="str">
        <f ca="1">IFERROR(IF(VLOOKUP(C2037,' Disaggregation - Section E '!A$618:N1249,7,0)=0,"",VLOOKUP(C2037,' Disaggregation - Section E '!A$618:N1249,7,0)*100),"")</f>
        <v/>
      </c>
      <c r="F2037" s="493" t="str">
        <f ca="1">IFERROR(VLOOKUP(C2037,' Disaggregation - Section E '!A$618:N1249,5,0),"")</f>
        <v/>
      </c>
      <c r="G2037" s="492" t="str">
        <f ca="1">IFERROR(IF(VLOOKUP(C2037,' Disaggregation - Section E '!A$618:N1249,6,0)=0,"",VLOOKUP(C2037,' Disaggregation - Section E '!A$618:N1249,6,0)),"")</f>
        <v/>
      </c>
      <c r="H2037" s="502" t="str">
        <f ca="1">IFERROR(IF(INDEX(' Disaggregation - Section E '!F$618:F2446,MATCH(C2037,' Disaggregation - Section E '!A$618:A2446,0)+1,1)&lt;&gt;0,INDEX(' Disaggregation - Section E '!F$618:F$1820,MATCH(C2037,' Disaggregation - Section E '!A$618:A2446,0)+1,1),""),"")</f>
        <v/>
      </c>
      <c r="I2037" s="493" t="str">
        <f ca="1">IFERROR(IF(VLOOKUP(C2037,' Disaggregation - Section E '!A$618:N1249,8,0)=0,"",VLOOKUP(C2037,' Disaggregation - Section E '!A$618:N1249,8,0)),"")</f>
        <v/>
      </c>
      <c r="J2037" s="493" t="str">
        <f ca="1">IFERROR(IF(VLOOKUP(C2037,' Disaggregation - Section E '!A$618:N2446,13,0)=0,"",VLOOKUP(C2037,' Disaggregation - Section E '!A$618:N2446,13,0)),"")</f>
        <v/>
      </c>
      <c r="K2037" s="487" t="str">
        <f ca="1">IFERROR(VLOOKUP(C2037,' Disaggregation - Section E '!A$618:N1249,3,0),"")</f>
        <v>HTS-3f⁽ᴹ⁾ Pourcentage de personnes en détention ou se trouvant dans d’autres lieux fermés chez lesquels un dépistage du VIH a été réalisé durant la période de communication de l’information et qui connaissent leur résultat</v>
      </c>
      <c r="L2037" s="487"/>
      <c r="M2037" s="487" t="str">
        <f ca="1">IFERROR(IF(VLOOKUP(C2037,' Disaggregation - Section E '!A$618:T1249,20,0)=0,"",VLOOKUP(C2037,' Disaggregation - Section E '!A$618:T1249,20,0)),"")</f>
        <v/>
      </c>
      <c r="N2037" s="493" t="str">
        <f ca="1">IFERROR(IF(VLOOKUP(C2037,' Disaggregation - Section E '!A$618:N1249,14,0)=0,"",VLOOKUP(C2037,' Disaggregation - Section E '!A$618:N1249,14,0)),"")</f>
        <v/>
      </c>
      <c r="O2037" s="493" t="str">
        <f ca="1">IFERROR(IF(VLOOKUP(C2037,' Disaggregation - Section E '!A$618:N1249,9,0)=0,"",VLOOKUP(C2037,' Disaggregation - Section E '!A$618:N1249,9,0)),"")</f>
        <v/>
      </c>
      <c r="P2037" s="493" t="str">
        <f ca="1">IFERROR(IF(VLOOKUP(C2037,' Disaggregation - Section E '!A$618:N1249,10,0)=0,"",VLOOKUP(C2037,' Disaggregation - Section E '!A$618:N1249,10,0)),"")</f>
        <v/>
      </c>
    </row>
    <row r="2038" spans="1:16" x14ac:dyDescent="0.3">
      <c r="A2038" s="487" t="b">
        <f t="shared" ca="1" si="147"/>
        <v>0</v>
      </c>
      <c r="B2038" s="487"/>
      <c r="C2038" s="500" t="str">
        <f ca="1">IF(COUNTA(D$1410:D2038)=1,"",OFFSET(B2036,-COUNTA(D$1410:D2038)+3,1))</f>
        <v>a163p000002zQZnAAM</v>
      </c>
      <c r="D2038" s="502"/>
      <c r="E2038" s="490" t="str">
        <f ca="1">IFERROR(IF(VLOOKUP(C2038,' Disaggregation - Section E '!A$618:N1250,7,0)=0,"",VLOOKUP(C2038,' Disaggregation - Section E '!A$618:N1250,7,0)*100),"")</f>
        <v/>
      </c>
      <c r="F2038" s="493" t="str">
        <f ca="1">IFERROR(VLOOKUP(C2038,' Disaggregation - Section E '!A$618:N1250,5,0),"")</f>
        <v/>
      </c>
      <c r="G2038" s="492" t="str">
        <f ca="1">IFERROR(IF(VLOOKUP(C2038,' Disaggregation - Section E '!A$618:N1250,6,0)=0,"",VLOOKUP(C2038,' Disaggregation - Section E '!A$618:N1250,6,0)),"")</f>
        <v/>
      </c>
      <c r="H2038" s="502" t="str">
        <f ca="1">IFERROR(IF(INDEX(' Disaggregation - Section E '!F$618:F2447,MATCH(C2038,' Disaggregation - Section E '!A$618:A2447,0)+1,1)&lt;&gt;0,INDEX(' Disaggregation - Section E '!F$618:F$1820,MATCH(C2038,' Disaggregation - Section E '!A$618:A2447,0)+1,1),""),"")</f>
        <v/>
      </c>
      <c r="I2038" s="493" t="str">
        <f ca="1">IFERROR(IF(VLOOKUP(C2038,' Disaggregation - Section E '!A$618:N1250,8,0)=0,"",VLOOKUP(C2038,' Disaggregation - Section E '!A$618:N1250,8,0)),"")</f>
        <v/>
      </c>
      <c r="J2038" s="493" t="str">
        <f ca="1">IFERROR(IF(VLOOKUP(C2038,' Disaggregation - Section E '!A$618:N2447,13,0)=0,"",VLOOKUP(C2038,' Disaggregation - Section E '!A$618:N2447,13,0)),"")</f>
        <v/>
      </c>
      <c r="K2038" s="487" t="str">
        <f ca="1">IFERROR(VLOOKUP(C2038,' Disaggregation - Section E '!A$618:N1250,3,0),"")</f>
        <v>HTS-3f⁽ᴹ⁾ Pourcentage de personnes en détention ou se trouvant dans d’autres lieux fermés chez lesquels un dépistage du VIH a été réalisé durant la période de communication de l’information et qui connaissent leur résultat</v>
      </c>
      <c r="L2038" s="487"/>
      <c r="M2038" s="487" t="str">
        <f ca="1">IFERROR(IF(VLOOKUP(C2038,' Disaggregation - Section E '!A$618:T1250,20,0)=0,"",VLOOKUP(C2038,' Disaggregation - Section E '!A$618:T1250,20,0)),"")</f>
        <v/>
      </c>
      <c r="N2038" s="493" t="str">
        <f ca="1">IFERROR(IF(VLOOKUP(C2038,' Disaggregation - Section E '!A$618:N1250,14,0)=0,"",VLOOKUP(C2038,' Disaggregation - Section E '!A$618:N1250,14,0)),"")</f>
        <v/>
      </c>
      <c r="O2038" s="493" t="str">
        <f ca="1">IFERROR(IF(VLOOKUP(C2038,' Disaggregation - Section E '!A$618:N1250,9,0)=0,"",VLOOKUP(C2038,' Disaggregation - Section E '!A$618:N1250,9,0)),"")</f>
        <v/>
      </c>
      <c r="P2038" s="493" t="str">
        <f ca="1">IFERROR(IF(VLOOKUP(C2038,' Disaggregation - Section E '!A$618:N1250,10,0)=0,"",VLOOKUP(C2038,' Disaggregation - Section E '!A$618:N1250,10,0)),"")</f>
        <v/>
      </c>
    </row>
    <row r="2039" spans="1:16" x14ac:dyDescent="0.3">
      <c r="A2039" s="487" t="b">
        <f t="shared" ca="1" si="147"/>
        <v>0</v>
      </c>
      <c r="B2039" s="487"/>
      <c r="C2039" s="500" t="str">
        <f ca="1">IF(COUNTA(D$1410:D2039)=1,"",OFFSET(B2037,-COUNTA(D$1410:D2039)+3,1))</f>
        <v>a163p000002zQZoAAM</v>
      </c>
      <c r="D2039" s="502"/>
      <c r="E2039" s="490" t="str">
        <f ca="1">IFERROR(IF(VLOOKUP(C2039,' Disaggregation - Section E '!A$618:N1251,7,0)=0,"",VLOOKUP(C2039,' Disaggregation - Section E '!A$618:N1251,7,0)*100),"")</f>
        <v/>
      </c>
      <c r="F2039" s="493" t="str">
        <f ca="1">IFERROR(VLOOKUP(C2039,' Disaggregation - Section E '!A$618:N1251,5,0),"")</f>
        <v/>
      </c>
      <c r="G2039" s="492" t="str">
        <f ca="1">IFERROR(IF(VLOOKUP(C2039,' Disaggregation - Section E '!A$618:N1251,6,0)=0,"",VLOOKUP(C2039,' Disaggregation - Section E '!A$618:N1251,6,0)),"")</f>
        <v/>
      </c>
      <c r="H2039" s="502" t="str">
        <f ca="1">IFERROR(IF(INDEX(' Disaggregation - Section E '!F$618:F2448,MATCH(C2039,' Disaggregation - Section E '!A$618:A2448,0)+1,1)&lt;&gt;0,INDEX(' Disaggregation - Section E '!F$618:F$1820,MATCH(C2039,' Disaggregation - Section E '!A$618:A2448,0)+1,1),""),"")</f>
        <v/>
      </c>
      <c r="I2039" s="493" t="str">
        <f ca="1">IFERROR(IF(VLOOKUP(C2039,' Disaggregation - Section E '!A$618:N1251,8,0)=0,"",VLOOKUP(C2039,' Disaggregation - Section E '!A$618:N1251,8,0)),"")</f>
        <v/>
      </c>
      <c r="J2039" s="493" t="str">
        <f ca="1">IFERROR(IF(VLOOKUP(C2039,' Disaggregation - Section E '!A$618:N2448,13,0)=0,"",VLOOKUP(C2039,' Disaggregation - Section E '!A$618:N2448,13,0)),"")</f>
        <v/>
      </c>
      <c r="K2039" s="487" t="str">
        <f ca="1">IFERROR(VLOOKUP(C2039,' Disaggregation - Section E '!A$618:N1251,3,0),"")</f>
        <v>HTS-3f⁽ᴹ⁾ Pourcentage de personnes en détention ou se trouvant dans d’autres lieux fermés chez lesquels un dépistage du VIH a été réalisé durant la période de communication de l’information et qui connaissent leur résultat</v>
      </c>
      <c r="L2039" s="487"/>
      <c r="M2039" s="487" t="str">
        <f ca="1">IFERROR(IF(VLOOKUP(C2039,' Disaggregation - Section E '!A$618:T1251,20,0)=0,"",VLOOKUP(C2039,' Disaggregation - Section E '!A$618:T1251,20,0)),"")</f>
        <v/>
      </c>
      <c r="N2039" s="493" t="str">
        <f ca="1">IFERROR(IF(VLOOKUP(C2039,' Disaggregation - Section E '!A$618:N1251,14,0)=0,"",VLOOKUP(C2039,' Disaggregation - Section E '!A$618:N1251,14,0)),"")</f>
        <v/>
      </c>
      <c r="O2039" s="493" t="str">
        <f ca="1">IFERROR(IF(VLOOKUP(C2039,' Disaggregation - Section E '!A$618:N1251,9,0)=0,"",VLOOKUP(C2039,' Disaggregation - Section E '!A$618:N1251,9,0)),"")</f>
        <v/>
      </c>
      <c r="P2039" s="493" t="str">
        <f ca="1">IFERROR(IF(VLOOKUP(C2039,' Disaggregation - Section E '!A$618:N1251,10,0)=0,"",VLOOKUP(C2039,' Disaggregation - Section E '!A$618:N1251,10,0)),"")</f>
        <v/>
      </c>
    </row>
    <row r="2040" spans="1:16" x14ac:dyDescent="0.3">
      <c r="A2040" s="487" t="b">
        <f t="shared" ca="1" si="147"/>
        <v>0</v>
      </c>
      <c r="B2040" s="487"/>
      <c r="C2040" s="500" t="str">
        <f ca="1">IF(COUNTA(D$1410:D2040)=1,"",OFFSET(B2038,-COUNTA(D$1410:D2040)+3,1))</f>
        <v>a163p000002zQZpAAM</v>
      </c>
      <c r="D2040" s="502"/>
      <c r="E2040" s="490" t="str">
        <f ca="1">IFERROR(IF(VLOOKUP(C2040,' Disaggregation - Section E '!A$618:N1252,7,0)=0,"",VLOOKUP(C2040,' Disaggregation - Section E '!A$618:N1252,7,0)*100),"")</f>
        <v/>
      </c>
      <c r="F2040" s="493" t="str">
        <f ca="1">IFERROR(VLOOKUP(C2040,' Disaggregation - Section E '!A$618:N1252,5,0),"")</f>
        <v/>
      </c>
      <c r="G2040" s="492" t="str">
        <f ca="1">IFERROR(IF(VLOOKUP(C2040,' Disaggregation - Section E '!A$618:N1252,6,0)=0,"",VLOOKUP(C2040,' Disaggregation - Section E '!A$618:N1252,6,0)),"")</f>
        <v/>
      </c>
      <c r="H2040" s="502" t="str">
        <f ca="1">IFERROR(IF(INDEX(' Disaggregation - Section E '!F$618:F2449,MATCH(C2040,' Disaggregation - Section E '!A$618:A2449,0)+1,1)&lt;&gt;0,INDEX(' Disaggregation - Section E '!F$618:F$1820,MATCH(C2040,' Disaggregation - Section E '!A$618:A2449,0)+1,1),""),"")</f>
        <v/>
      </c>
      <c r="I2040" s="493" t="str">
        <f ca="1">IFERROR(IF(VLOOKUP(C2040,' Disaggregation - Section E '!A$618:N1252,8,0)=0,"",VLOOKUP(C2040,' Disaggregation - Section E '!A$618:N1252,8,0)),"")</f>
        <v/>
      </c>
      <c r="J2040" s="493" t="str">
        <f ca="1">IFERROR(IF(VLOOKUP(C2040,' Disaggregation - Section E '!A$618:N2449,13,0)=0,"",VLOOKUP(C2040,' Disaggregation - Section E '!A$618:N2449,13,0)),"")</f>
        <v/>
      </c>
      <c r="K2040" s="487" t="str">
        <f ca="1">IFERROR(VLOOKUP(C2040,' Disaggregation - Section E '!A$618:N1252,3,0),"")</f>
        <v>HTS-3f⁽ᴹ⁾ Pourcentage de personnes en détention ou se trouvant dans d’autres lieux fermés chez lesquels un dépistage du VIH a été réalisé durant la période de communication de l’information et qui connaissent leur résultat</v>
      </c>
      <c r="L2040" s="487"/>
      <c r="M2040" s="487" t="str">
        <f ca="1">IFERROR(IF(VLOOKUP(C2040,' Disaggregation - Section E '!A$618:T1252,20,0)=0,"",VLOOKUP(C2040,' Disaggregation - Section E '!A$618:T1252,20,0)),"")</f>
        <v/>
      </c>
      <c r="N2040" s="493" t="str">
        <f ca="1">IFERROR(IF(VLOOKUP(C2040,' Disaggregation - Section E '!A$618:N1252,14,0)=0,"",VLOOKUP(C2040,' Disaggregation - Section E '!A$618:N1252,14,0)),"")</f>
        <v/>
      </c>
      <c r="O2040" s="493" t="str">
        <f ca="1">IFERROR(IF(VLOOKUP(C2040,' Disaggregation - Section E '!A$618:N1252,9,0)=0,"",VLOOKUP(C2040,' Disaggregation - Section E '!A$618:N1252,9,0)),"")</f>
        <v/>
      </c>
      <c r="P2040" s="493" t="str">
        <f ca="1">IFERROR(IF(VLOOKUP(C2040,' Disaggregation - Section E '!A$618:N1252,10,0)=0,"",VLOOKUP(C2040,' Disaggregation - Section E '!A$618:N1252,10,0)),"")</f>
        <v/>
      </c>
    </row>
    <row r="2041" spans="1:16" x14ac:dyDescent="0.3">
      <c r="A2041" s="487" t="b">
        <f t="shared" ca="1" si="147"/>
        <v>0</v>
      </c>
      <c r="B2041" s="487"/>
      <c r="C2041" s="500" t="str">
        <f ca="1">IF(COUNTA(D$1410:D2041)=1,"",OFFSET(B2039,-COUNTA(D$1410:D2041)+3,1))</f>
        <v>a163p000002zQZqAAM</v>
      </c>
      <c r="D2041" s="502"/>
      <c r="E2041" s="490" t="str">
        <f ca="1">IFERROR(IF(VLOOKUP(C2041,' Disaggregation - Section E '!A$618:N1253,7,0)=0,"",VLOOKUP(C2041,' Disaggregation - Section E '!A$618:N1253,7,0)*100),"")</f>
        <v/>
      </c>
      <c r="F2041" s="493" t="str">
        <f ca="1">IFERROR(VLOOKUP(C2041,' Disaggregation - Section E '!A$618:N1253,5,0),"")</f>
        <v/>
      </c>
      <c r="G2041" s="492" t="str">
        <f ca="1">IFERROR(IF(VLOOKUP(C2041,' Disaggregation - Section E '!A$618:N1253,6,0)=0,"",VLOOKUP(C2041,' Disaggregation - Section E '!A$618:N1253,6,0)),"")</f>
        <v/>
      </c>
      <c r="H2041" s="502" t="str">
        <f ca="1">IFERROR(IF(INDEX(' Disaggregation - Section E '!F$618:F2450,MATCH(C2041,' Disaggregation - Section E '!A$618:A2450,0)+1,1)&lt;&gt;0,INDEX(' Disaggregation - Section E '!F$618:F$1820,MATCH(C2041,' Disaggregation - Section E '!A$618:A2450,0)+1,1),""),"")</f>
        <v/>
      </c>
      <c r="I2041" s="493" t="str">
        <f ca="1">IFERROR(IF(VLOOKUP(C2041,' Disaggregation - Section E '!A$618:N1253,8,0)=0,"",VLOOKUP(C2041,' Disaggregation - Section E '!A$618:N1253,8,0)),"")</f>
        <v/>
      </c>
      <c r="J2041" s="493" t="str">
        <f ca="1">IFERROR(IF(VLOOKUP(C2041,' Disaggregation - Section E '!A$618:N2450,13,0)=0,"",VLOOKUP(C2041,' Disaggregation - Section E '!A$618:N2450,13,0)),"")</f>
        <v/>
      </c>
      <c r="K2041" s="487" t="str">
        <f ca="1">IFERROR(VLOOKUP(C2041,' Disaggregation - Section E '!A$618:N1253,3,0),"")</f>
        <v>HTS-3f⁽ᴹ⁾ Pourcentage de personnes en détention ou se trouvant dans d’autres lieux fermés chez lesquels un dépistage du VIH a été réalisé durant la période de communication de l’information et qui connaissent leur résultat</v>
      </c>
      <c r="L2041" s="487"/>
      <c r="M2041" s="487" t="str">
        <f ca="1">IFERROR(IF(VLOOKUP(C2041,' Disaggregation - Section E '!A$618:T1253,20,0)=0,"",VLOOKUP(C2041,' Disaggregation - Section E '!A$618:T1253,20,0)),"")</f>
        <v/>
      </c>
      <c r="N2041" s="493" t="str">
        <f ca="1">IFERROR(IF(VLOOKUP(C2041,' Disaggregation - Section E '!A$618:N1253,14,0)=0,"",VLOOKUP(C2041,' Disaggregation - Section E '!A$618:N1253,14,0)),"")</f>
        <v/>
      </c>
      <c r="O2041" s="493" t="str">
        <f ca="1">IFERROR(IF(VLOOKUP(C2041,' Disaggregation - Section E '!A$618:N1253,9,0)=0,"",VLOOKUP(C2041,' Disaggregation - Section E '!A$618:N1253,9,0)),"")</f>
        <v/>
      </c>
      <c r="P2041" s="493" t="str">
        <f ca="1">IFERROR(IF(VLOOKUP(C2041,' Disaggregation - Section E '!A$618:N1253,10,0)=0,"",VLOOKUP(C2041,' Disaggregation - Section E '!A$618:N1253,10,0)),"")</f>
        <v/>
      </c>
    </row>
    <row r="2042" spans="1:16" x14ac:dyDescent="0.3">
      <c r="A2042" s="487" t="b">
        <f t="shared" ca="1" si="147"/>
        <v>0</v>
      </c>
      <c r="B2042" s="487"/>
      <c r="C2042" s="500" t="str">
        <f ca="1">IF(COUNTA(D$1410:D2042)=1,"",OFFSET(B2040,-COUNTA(D$1410:D2042)+3,1))</f>
        <v>a163p000002zQZrAAM</v>
      </c>
      <c r="D2042" s="502"/>
      <c r="E2042" s="490" t="str">
        <f ca="1">IFERROR(IF(VLOOKUP(C2042,' Disaggregation - Section E '!A$618:N1254,7,0)=0,"",VLOOKUP(C2042,' Disaggregation - Section E '!A$618:N1254,7,0)*100),"")</f>
        <v/>
      </c>
      <c r="F2042" s="493" t="str">
        <f ca="1">IFERROR(VLOOKUP(C2042,' Disaggregation - Section E '!A$618:N1254,5,0),"")</f>
        <v/>
      </c>
      <c r="G2042" s="492" t="str">
        <f ca="1">IFERROR(IF(VLOOKUP(C2042,' Disaggregation - Section E '!A$618:N1254,6,0)=0,"",VLOOKUP(C2042,' Disaggregation - Section E '!A$618:N1254,6,0)),"")</f>
        <v/>
      </c>
      <c r="H2042" s="502" t="str">
        <f ca="1">IFERROR(IF(INDEX(' Disaggregation - Section E '!F$618:F2451,MATCH(C2042,' Disaggregation - Section E '!A$618:A2451,0)+1,1)&lt;&gt;0,INDEX(' Disaggregation - Section E '!F$618:F$1820,MATCH(C2042,' Disaggregation - Section E '!A$618:A2451,0)+1,1),""),"")</f>
        <v/>
      </c>
      <c r="I2042" s="493" t="str">
        <f ca="1">IFERROR(IF(VLOOKUP(C2042,' Disaggregation - Section E '!A$618:N1254,8,0)=0,"",VLOOKUP(C2042,' Disaggregation - Section E '!A$618:N1254,8,0)),"")</f>
        <v/>
      </c>
      <c r="J2042" s="493" t="str">
        <f ca="1">IFERROR(IF(VLOOKUP(C2042,' Disaggregation - Section E '!A$618:N2451,13,0)=0,"",VLOOKUP(C2042,' Disaggregation - Section E '!A$618:N2451,13,0)),"")</f>
        <v/>
      </c>
      <c r="K2042" s="487" t="str">
        <f ca="1">IFERROR(VLOOKUP(C2042,' Disaggregation - Section E '!A$618:N1254,3,0),"")</f>
        <v>HTS-3f⁽ᴹ⁾ Pourcentage de personnes en détention ou se trouvant dans d’autres lieux fermés chez lesquels un dépistage du VIH a été réalisé durant la période de communication de l’information et qui connaissent leur résultat</v>
      </c>
      <c r="L2042" s="487"/>
      <c r="M2042" s="487" t="str">
        <f ca="1">IFERROR(IF(VLOOKUP(C2042,' Disaggregation - Section E '!A$618:T1254,20,0)=0,"",VLOOKUP(C2042,' Disaggregation - Section E '!A$618:T1254,20,0)),"")</f>
        <v/>
      </c>
      <c r="N2042" s="493" t="str">
        <f ca="1">IFERROR(IF(VLOOKUP(C2042,' Disaggregation - Section E '!A$618:N1254,14,0)=0,"",VLOOKUP(C2042,' Disaggregation - Section E '!A$618:N1254,14,0)),"")</f>
        <v/>
      </c>
      <c r="O2042" s="493" t="str">
        <f ca="1">IFERROR(IF(VLOOKUP(C2042,' Disaggregation - Section E '!A$618:N1254,9,0)=0,"",VLOOKUP(C2042,' Disaggregation - Section E '!A$618:N1254,9,0)),"")</f>
        <v/>
      </c>
      <c r="P2042" s="493" t="str">
        <f ca="1">IFERROR(IF(VLOOKUP(C2042,' Disaggregation - Section E '!A$618:N1254,10,0)=0,"",VLOOKUP(C2042,' Disaggregation - Section E '!A$618:N1254,10,0)),"")</f>
        <v/>
      </c>
    </row>
    <row r="2043" spans="1:16" x14ac:dyDescent="0.3">
      <c r="A2043" s="487" t="b">
        <f t="shared" ca="1" si="147"/>
        <v>0</v>
      </c>
      <c r="B2043" s="487"/>
      <c r="C2043" s="500" t="str">
        <f ca="1">IF(COUNTA(D$1410:D2043)=1,"",OFFSET(B2041,-COUNTA(D$1410:D2043)+3,1))</f>
        <v>a163p000002zQZsAAM</v>
      </c>
      <c r="D2043" s="502"/>
      <c r="E2043" s="490" t="str">
        <f ca="1">IFERROR(IF(VLOOKUP(C2043,' Disaggregation - Section E '!A$618:N1255,7,0)=0,"",VLOOKUP(C2043,' Disaggregation - Section E '!A$618:N1255,7,0)*100),"")</f>
        <v/>
      </c>
      <c r="F2043" s="493" t="str">
        <f ca="1">IFERROR(VLOOKUP(C2043,' Disaggregation - Section E '!A$618:N1255,5,0),"")</f>
        <v/>
      </c>
      <c r="G2043" s="492" t="str">
        <f ca="1">IFERROR(IF(VLOOKUP(C2043,' Disaggregation - Section E '!A$618:N1255,6,0)=0,"",VLOOKUP(C2043,' Disaggregation - Section E '!A$618:N1255,6,0)),"")</f>
        <v/>
      </c>
      <c r="H2043" s="502" t="str">
        <f ca="1">IFERROR(IF(INDEX(' Disaggregation - Section E '!F$618:F2452,MATCH(C2043,' Disaggregation - Section E '!A$618:A2452,0)+1,1)&lt;&gt;0,INDEX(' Disaggregation - Section E '!F$618:F$1820,MATCH(C2043,' Disaggregation - Section E '!A$618:A2452,0)+1,1),""),"")</f>
        <v/>
      </c>
      <c r="I2043" s="493" t="str">
        <f ca="1">IFERROR(IF(VLOOKUP(C2043,' Disaggregation - Section E '!A$618:N1255,8,0)=0,"",VLOOKUP(C2043,' Disaggregation - Section E '!A$618:N1255,8,0)),"")</f>
        <v/>
      </c>
      <c r="J2043" s="493" t="str">
        <f ca="1">IFERROR(IF(VLOOKUP(C2043,' Disaggregation - Section E '!A$618:N2452,13,0)=0,"",VLOOKUP(C2043,' Disaggregation - Section E '!A$618:N2452,13,0)),"")</f>
        <v/>
      </c>
      <c r="K2043" s="487" t="str">
        <f ca="1">IFERROR(VLOOKUP(C2043,' Disaggregation - Section E '!A$618:N1255,3,0),"")</f>
        <v>HTS-3f⁽ᴹ⁾ Pourcentage de personnes en détention ou se trouvant dans d’autres lieux fermés chez lesquels un dépistage du VIH a été réalisé durant la période de communication de l’information et qui connaissent leur résultat</v>
      </c>
      <c r="L2043" s="487"/>
      <c r="M2043" s="487" t="str">
        <f ca="1">IFERROR(IF(VLOOKUP(C2043,' Disaggregation - Section E '!A$618:T1255,20,0)=0,"",VLOOKUP(C2043,' Disaggregation - Section E '!A$618:T1255,20,0)),"")</f>
        <v/>
      </c>
      <c r="N2043" s="493" t="str">
        <f ca="1">IFERROR(IF(VLOOKUP(C2043,' Disaggregation - Section E '!A$618:N1255,14,0)=0,"",VLOOKUP(C2043,' Disaggregation - Section E '!A$618:N1255,14,0)),"")</f>
        <v/>
      </c>
      <c r="O2043" s="493" t="str">
        <f ca="1">IFERROR(IF(VLOOKUP(C2043,' Disaggregation - Section E '!A$618:N1255,9,0)=0,"",VLOOKUP(C2043,' Disaggregation - Section E '!A$618:N1255,9,0)),"")</f>
        <v/>
      </c>
      <c r="P2043" s="493" t="str">
        <f ca="1">IFERROR(IF(VLOOKUP(C2043,' Disaggregation - Section E '!A$618:N1255,10,0)=0,"",VLOOKUP(C2043,' Disaggregation - Section E '!A$618:N1255,10,0)),"")</f>
        <v/>
      </c>
    </row>
    <row r="2044" spans="1:16" x14ac:dyDescent="0.3">
      <c r="A2044" s="487" t="b">
        <f t="shared" ca="1" si="147"/>
        <v>0</v>
      </c>
      <c r="B2044" s="487"/>
      <c r="C2044" s="500" t="str">
        <f ca="1">IF(COUNTA(D$1410:D2044)=1,"",OFFSET(B2042,-COUNTA(D$1410:D2044)+3,1))</f>
        <v>a163p000002zQZtAAM</v>
      </c>
      <c r="D2044" s="502"/>
      <c r="E2044" s="490" t="str">
        <f ca="1">IFERROR(IF(VLOOKUP(C2044,' Disaggregation - Section E '!A$618:N1256,7,0)=0,"",VLOOKUP(C2044,' Disaggregation - Section E '!A$618:N1256,7,0)*100),"")</f>
        <v/>
      </c>
      <c r="F2044" s="493" t="str">
        <f ca="1">IFERROR(VLOOKUP(C2044,' Disaggregation - Section E '!A$618:N1256,5,0),"")</f>
        <v/>
      </c>
      <c r="G2044" s="492" t="str">
        <f ca="1">IFERROR(IF(VLOOKUP(C2044,' Disaggregation - Section E '!A$618:N1256,6,0)=0,"",VLOOKUP(C2044,' Disaggregation - Section E '!A$618:N1256,6,0)),"")</f>
        <v/>
      </c>
      <c r="H2044" s="502" t="str">
        <f ca="1">IFERROR(IF(INDEX(' Disaggregation - Section E '!F$618:F2453,MATCH(C2044,' Disaggregation - Section E '!A$618:A2453,0)+1,1)&lt;&gt;0,INDEX(' Disaggregation - Section E '!F$618:F$1820,MATCH(C2044,' Disaggregation - Section E '!A$618:A2453,0)+1,1),""),"")</f>
        <v/>
      </c>
      <c r="I2044" s="493" t="str">
        <f ca="1">IFERROR(IF(VLOOKUP(C2044,' Disaggregation - Section E '!A$618:N1256,8,0)=0,"",VLOOKUP(C2044,' Disaggregation - Section E '!A$618:N1256,8,0)),"")</f>
        <v/>
      </c>
      <c r="J2044" s="493" t="str">
        <f ca="1">IFERROR(IF(VLOOKUP(C2044,' Disaggregation - Section E '!A$618:N2453,13,0)=0,"",VLOOKUP(C2044,' Disaggregation - Section E '!A$618:N2453,13,0)),"")</f>
        <v/>
      </c>
      <c r="K2044" s="487" t="str">
        <f ca="1">IFERROR(VLOOKUP(C2044,' Disaggregation - Section E '!A$618:N1256,3,0),"")</f>
        <v>HTS-3f⁽ᴹ⁾ Pourcentage de personnes en détention ou se trouvant dans d’autres lieux fermés chez lesquels un dépistage du VIH a été réalisé durant la période de communication de l’information et qui connaissent leur résultat</v>
      </c>
      <c r="L2044" s="487"/>
      <c r="M2044" s="487" t="str">
        <f ca="1">IFERROR(IF(VLOOKUP(C2044,' Disaggregation - Section E '!A$618:T1256,20,0)=0,"",VLOOKUP(C2044,' Disaggregation - Section E '!A$618:T1256,20,0)),"")</f>
        <v/>
      </c>
      <c r="N2044" s="493" t="str">
        <f ca="1">IFERROR(IF(VLOOKUP(C2044,' Disaggregation - Section E '!A$618:N1256,14,0)=0,"",VLOOKUP(C2044,' Disaggregation - Section E '!A$618:N1256,14,0)),"")</f>
        <v/>
      </c>
      <c r="O2044" s="493" t="str">
        <f ca="1">IFERROR(IF(VLOOKUP(C2044,' Disaggregation - Section E '!A$618:N1256,9,0)=0,"",VLOOKUP(C2044,' Disaggregation - Section E '!A$618:N1256,9,0)),"")</f>
        <v/>
      </c>
      <c r="P2044" s="493" t="str">
        <f ca="1">IFERROR(IF(VLOOKUP(C2044,' Disaggregation - Section E '!A$618:N1256,10,0)=0,"",VLOOKUP(C2044,' Disaggregation - Section E '!A$618:N1256,10,0)),"")</f>
        <v/>
      </c>
    </row>
    <row r="2045" spans="1:16" x14ac:dyDescent="0.3">
      <c r="A2045" s="487" t="b">
        <f t="shared" ca="1" si="147"/>
        <v>0</v>
      </c>
      <c r="B2045" s="487"/>
      <c r="C2045" s="500" t="str">
        <f ca="1">IF(COUNTA(D$1410:D2045)=1,"",OFFSET(B2043,-COUNTA(D$1410:D2045)+3,1))</f>
        <v>a163p000002zQZuAAM</v>
      </c>
      <c r="D2045" s="502"/>
      <c r="E2045" s="490" t="str">
        <f ca="1">IFERROR(IF(VLOOKUP(C2045,' Disaggregation - Section E '!A$618:N1257,7,0)=0,"",VLOOKUP(C2045,' Disaggregation - Section E '!A$618:N1257,7,0)*100),"")</f>
        <v/>
      </c>
      <c r="F2045" s="493" t="str">
        <f ca="1">IFERROR(VLOOKUP(C2045,' Disaggregation - Section E '!A$618:N1257,5,0),"")</f>
        <v/>
      </c>
      <c r="G2045" s="492" t="str">
        <f ca="1">IFERROR(IF(VLOOKUP(C2045,' Disaggregation - Section E '!A$618:N1257,6,0)=0,"",VLOOKUP(C2045,' Disaggregation - Section E '!A$618:N1257,6,0)),"")</f>
        <v/>
      </c>
      <c r="H2045" s="502" t="str">
        <f ca="1">IFERROR(IF(INDEX(' Disaggregation - Section E '!F$618:F2454,MATCH(C2045,' Disaggregation - Section E '!A$618:A2454,0)+1,1)&lt;&gt;0,INDEX(' Disaggregation - Section E '!F$618:F$1820,MATCH(C2045,' Disaggregation - Section E '!A$618:A2454,0)+1,1),""),"")</f>
        <v/>
      </c>
      <c r="I2045" s="493" t="str">
        <f ca="1">IFERROR(IF(VLOOKUP(C2045,' Disaggregation - Section E '!A$618:N1257,8,0)=0,"",VLOOKUP(C2045,' Disaggregation - Section E '!A$618:N1257,8,0)),"")</f>
        <v/>
      </c>
      <c r="J2045" s="493" t="str">
        <f ca="1">IFERROR(IF(VLOOKUP(C2045,' Disaggregation - Section E '!A$618:N2454,13,0)=0,"",VLOOKUP(C2045,' Disaggregation - Section E '!A$618:N2454,13,0)),"")</f>
        <v/>
      </c>
      <c r="K2045" s="487" t="str">
        <f ca="1">IFERROR(VLOOKUP(C2045,' Disaggregation - Section E '!A$618:N1257,3,0),"")</f>
        <v>HTS-3f⁽ᴹ⁾ Pourcentage de personnes en détention ou se trouvant dans d’autres lieux fermés chez lesquels un dépistage du VIH a été réalisé durant la période de communication de l’information et qui connaissent leur résultat</v>
      </c>
      <c r="L2045" s="487"/>
      <c r="M2045" s="487" t="str">
        <f ca="1">IFERROR(IF(VLOOKUP(C2045,' Disaggregation - Section E '!A$618:T1257,20,0)=0,"",VLOOKUP(C2045,' Disaggregation - Section E '!A$618:T1257,20,0)),"")</f>
        <v/>
      </c>
      <c r="N2045" s="493" t="str">
        <f ca="1">IFERROR(IF(VLOOKUP(C2045,' Disaggregation - Section E '!A$618:N1257,14,0)=0,"",VLOOKUP(C2045,' Disaggregation - Section E '!A$618:N1257,14,0)),"")</f>
        <v/>
      </c>
      <c r="O2045" s="493" t="str">
        <f ca="1">IFERROR(IF(VLOOKUP(C2045,' Disaggregation - Section E '!A$618:N1257,9,0)=0,"",VLOOKUP(C2045,' Disaggregation - Section E '!A$618:N1257,9,0)),"")</f>
        <v/>
      </c>
      <c r="P2045" s="493" t="str">
        <f ca="1">IFERROR(IF(VLOOKUP(C2045,' Disaggregation - Section E '!A$618:N1257,10,0)=0,"",VLOOKUP(C2045,' Disaggregation - Section E '!A$618:N1257,10,0)),"")</f>
        <v/>
      </c>
    </row>
    <row r="2046" spans="1:16" x14ac:dyDescent="0.3">
      <c r="A2046" s="487" t="b">
        <f t="shared" ca="1" si="147"/>
        <v>0</v>
      </c>
      <c r="B2046" s="487"/>
      <c r="C2046" s="500" t="str">
        <f ca="1">IF(COUNTA(D$1410:D2046)=1,"",OFFSET(B2044,-COUNTA(D$1410:D2046)+3,1))</f>
        <v>a163p000002zQZvAAM</v>
      </c>
      <c r="D2046" s="502"/>
      <c r="E2046" s="490" t="str">
        <f ca="1">IFERROR(IF(VLOOKUP(C2046,' Disaggregation - Section E '!A$618:N1258,7,0)=0,"",VLOOKUP(C2046,' Disaggregation - Section E '!A$618:N1258,7,0)*100),"")</f>
        <v/>
      </c>
      <c r="F2046" s="493" t="str">
        <f ca="1">IFERROR(VLOOKUP(C2046,' Disaggregation - Section E '!A$618:N1258,5,0),"")</f>
        <v/>
      </c>
      <c r="G2046" s="492" t="str">
        <f ca="1">IFERROR(IF(VLOOKUP(C2046,' Disaggregation - Section E '!A$618:N1258,6,0)=0,"",VLOOKUP(C2046,' Disaggregation - Section E '!A$618:N1258,6,0)),"")</f>
        <v/>
      </c>
      <c r="H2046" s="502" t="str">
        <f ca="1">IFERROR(IF(INDEX(' Disaggregation - Section E '!F$618:F2455,MATCH(C2046,' Disaggregation - Section E '!A$618:A2455,0)+1,1)&lt;&gt;0,INDEX(' Disaggregation - Section E '!F$618:F$1820,MATCH(C2046,' Disaggregation - Section E '!A$618:A2455,0)+1,1),""),"")</f>
        <v/>
      </c>
      <c r="I2046" s="493" t="str">
        <f ca="1">IFERROR(IF(VLOOKUP(C2046,' Disaggregation - Section E '!A$618:N1258,8,0)=0,"",VLOOKUP(C2046,' Disaggregation - Section E '!A$618:N1258,8,0)),"")</f>
        <v/>
      </c>
      <c r="J2046" s="493" t="str">
        <f ca="1">IFERROR(IF(VLOOKUP(C2046,' Disaggregation - Section E '!A$618:N2455,13,0)=0,"",VLOOKUP(C2046,' Disaggregation - Section E '!A$618:N2455,13,0)),"")</f>
        <v/>
      </c>
      <c r="K2046" s="487" t="str">
        <f ca="1">IFERROR(VLOOKUP(C2046,' Disaggregation - Section E '!A$618:N1258,3,0),"")</f>
        <v>HTS-3f⁽ᴹ⁾ Pourcentage de personnes en détention ou se trouvant dans d’autres lieux fermés chez lesquels un dépistage du VIH a été réalisé durant la période de communication de l’information et qui connaissent leur résultat</v>
      </c>
      <c r="L2046" s="487"/>
      <c r="M2046" s="487" t="str">
        <f ca="1">IFERROR(IF(VLOOKUP(C2046,' Disaggregation - Section E '!A$618:T1258,20,0)=0,"",VLOOKUP(C2046,' Disaggregation - Section E '!A$618:T1258,20,0)),"")</f>
        <v/>
      </c>
      <c r="N2046" s="493" t="str">
        <f ca="1">IFERROR(IF(VLOOKUP(C2046,' Disaggregation - Section E '!A$618:N1258,14,0)=0,"",VLOOKUP(C2046,' Disaggregation - Section E '!A$618:N1258,14,0)),"")</f>
        <v/>
      </c>
      <c r="O2046" s="493" t="str">
        <f ca="1">IFERROR(IF(VLOOKUP(C2046,' Disaggregation - Section E '!A$618:N1258,9,0)=0,"",VLOOKUP(C2046,' Disaggregation - Section E '!A$618:N1258,9,0)),"")</f>
        <v/>
      </c>
      <c r="P2046" s="493" t="str">
        <f ca="1">IFERROR(IF(VLOOKUP(C2046,' Disaggregation - Section E '!A$618:N1258,10,0)=0,"",VLOOKUP(C2046,' Disaggregation - Section E '!A$618:N1258,10,0)),"")</f>
        <v/>
      </c>
    </row>
    <row r="2047" spans="1:16" x14ac:dyDescent="0.3">
      <c r="A2047" s="487" t="b">
        <f t="shared" ca="1" si="147"/>
        <v>0</v>
      </c>
      <c r="B2047" s="487"/>
      <c r="C2047" s="500" t="str">
        <f ca="1">IF(COUNTA(D$1410:D2047)=1,"",OFFSET(B2045,-COUNTA(D$1410:D2047)+3,1))</f>
        <v>a163p000002zQZwAAM</v>
      </c>
      <c r="D2047" s="502"/>
      <c r="E2047" s="490" t="str">
        <f ca="1">IFERROR(IF(VLOOKUP(C2047,' Disaggregation - Section E '!A$618:N1259,7,0)=0,"",VLOOKUP(C2047,' Disaggregation - Section E '!A$618:N1259,7,0)*100),"")</f>
        <v/>
      </c>
      <c r="F2047" s="493" t="str">
        <f ca="1">IFERROR(VLOOKUP(C2047,' Disaggregation - Section E '!A$618:N1259,5,0),"")</f>
        <v/>
      </c>
      <c r="G2047" s="492" t="str">
        <f ca="1">IFERROR(IF(VLOOKUP(C2047,' Disaggregation - Section E '!A$618:N1259,6,0)=0,"",VLOOKUP(C2047,' Disaggregation - Section E '!A$618:N1259,6,0)),"")</f>
        <v/>
      </c>
      <c r="H2047" s="502" t="str">
        <f ca="1">IFERROR(IF(INDEX(' Disaggregation - Section E '!F$618:F2456,MATCH(C2047,' Disaggregation - Section E '!A$618:A2456,0)+1,1)&lt;&gt;0,INDEX(' Disaggregation - Section E '!F$618:F$1820,MATCH(C2047,' Disaggregation - Section E '!A$618:A2456,0)+1,1),""),"")</f>
        <v/>
      </c>
      <c r="I2047" s="493" t="str">
        <f ca="1">IFERROR(IF(VLOOKUP(C2047,' Disaggregation - Section E '!A$618:N1259,8,0)=0,"",VLOOKUP(C2047,' Disaggregation - Section E '!A$618:N1259,8,0)),"")</f>
        <v/>
      </c>
      <c r="J2047" s="493" t="str">
        <f ca="1">IFERROR(IF(VLOOKUP(C2047,' Disaggregation - Section E '!A$618:N2456,13,0)=0,"",VLOOKUP(C2047,' Disaggregation - Section E '!A$618:N2456,13,0)),"")</f>
        <v/>
      </c>
      <c r="K2047" s="487" t="str">
        <f ca="1">IFERROR(VLOOKUP(C2047,' Disaggregation - Section E '!A$618:N1259,3,0),"")</f>
        <v>HTS-3f⁽ᴹ⁾ Pourcentage de personnes en détention ou se trouvant dans d’autres lieux fermés chez lesquels un dépistage du VIH a été réalisé durant la période de communication de l’information et qui connaissent leur résultat</v>
      </c>
      <c r="L2047" s="487"/>
      <c r="M2047" s="487" t="str">
        <f ca="1">IFERROR(IF(VLOOKUP(C2047,' Disaggregation - Section E '!A$618:T1259,20,0)=0,"",VLOOKUP(C2047,' Disaggregation - Section E '!A$618:T1259,20,0)),"")</f>
        <v/>
      </c>
      <c r="N2047" s="493" t="str">
        <f ca="1">IFERROR(IF(VLOOKUP(C2047,' Disaggregation - Section E '!A$618:N1259,14,0)=0,"",VLOOKUP(C2047,' Disaggregation - Section E '!A$618:N1259,14,0)),"")</f>
        <v/>
      </c>
      <c r="O2047" s="493" t="str">
        <f ca="1">IFERROR(IF(VLOOKUP(C2047,' Disaggregation - Section E '!A$618:N1259,9,0)=0,"",VLOOKUP(C2047,' Disaggregation - Section E '!A$618:N1259,9,0)),"")</f>
        <v/>
      </c>
      <c r="P2047" s="493" t="str">
        <f ca="1">IFERROR(IF(VLOOKUP(C2047,' Disaggregation - Section E '!A$618:N1259,10,0)=0,"",VLOOKUP(C2047,' Disaggregation - Section E '!A$618:N1259,10,0)),"")</f>
        <v/>
      </c>
    </row>
    <row r="2048" spans="1:16" x14ac:dyDescent="0.3">
      <c r="A2048" s="487" t="b">
        <f t="shared" ca="1" si="147"/>
        <v>0</v>
      </c>
      <c r="B2048" s="487"/>
      <c r="C2048" s="500" t="str">
        <f ca="1">IF(COUNTA(D$1410:D2048)=1,"",OFFSET(B2046,-COUNTA(D$1410:D2048)+3,1))</f>
        <v>a163p000002zQZxAAM</v>
      </c>
      <c r="D2048" s="502"/>
      <c r="E2048" s="490" t="str">
        <f ca="1">IFERROR(IF(VLOOKUP(C2048,' Disaggregation - Section E '!A$618:N1260,7,0)=0,"",VLOOKUP(C2048,' Disaggregation - Section E '!A$618:N1260,7,0)*100),"")</f>
        <v/>
      </c>
      <c r="F2048" s="493" t="str">
        <f ca="1">IFERROR(VLOOKUP(C2048,' Disaggregation - Section E '!A$618:N1260,5,0),"")</f>
        <v/>
      </c>
      <c r="G2048" s="492" t="str">
        <f ca="1">IFERROR(IF(VLOOKUP(C2048,' Disaggregation - Section E '!A$618:N1260,6,0)=0,"",VLOOKUP(C2048,' Disaggregation - Section E '!A$618:N1260,6,0)),"")</f>
        <v/>
      </c>
      <c r="H2048" s="502" t="str">
        <f ca="1">IFERROR(IF(INDEX(' Disaggregation - Section E '!F$618:F2457,MATCH(C2048,' Disaggregation - Section E '!A$618:A2457,0)+1,1)&lt;&gt;0,INDEX(' Disaggregation - Section E '!F$618:F$1820,MATCH(C2048,' Disaggregation - Section E '!A$618:A2457,0)+1,1),""),"")</f>
        <v/>
      </c>
      <c r="I2048" s="493" t="str">
        <f ca="1">IFERROR(IF(VLOOKUP(C2048,' Disaggregation - Section E '!A$618:N1260,8,0)=0,"",VLOOKUP(C2048,' Disaggregation - Section E '!A$618:N1260,8,0)),"")</f>
        <v/>
      </c>
      <c r="J2048" s="493" t="str">
        <f ca="1">IFERROR(IF(VLOOKUP(C2048,' Disaggregation - Section E '!A$618:N2457,13,0)=0,"",VLOOKUP(C2048,' Disaggregation - Section E '!A$618:N2457,13,0)),"")</f>
        <v/>
      </c>
      <c r="K2048" s="487" t="str">
        <f ca="1">IFERROR(VLOOKUP(C2048,' Disaggregation - Section E '!A$618:N1260,3,0),"")</f>
        <v>HTS-3f⁽ᴹ⁾ Pourcentage de personnes en détention ou se trouvant dans d’autres lieux fermés chez lesquels un dépistage du VIH a été réalisé durant la période de communication de l’information et qui connaissent leur résultat</v>
      </c>
      <c r="L2048" s="487"/>
      <c r="M2048" s="487" t="str">
        <f ca="1">IFERROR(IF(VLOOKUP(C2048,' Disaggregation - Section E '!A$618:T1260,20,0)=0,"",VLOOKUP(C2048,' Disaggregation - Section E '!A$618:T1260,20,0)),"")</f>
        <v/>
      </c>
      <c r="N2048" s="493" t="str">
        <f ca="1">IFERROR(IF(VLOOKUP(C2048,' Disaggregation - Section E '!A$618:N1260,14,0)=0,"",VLOOKUP(C2048,' Disaggregation - Section E '!A$618:N1260,14,0)),"")</f>
        <v/>
      </c>
      <c r="O2048" s="493" t="str">
        <f ca="1">IFERROR(IF(VLOOKUP(C2048,' Disaggregation - Section E '!A$618:N1260,9,0)=0,"",VLOOKUP(C2048,' Disaggregation - Section E '!A$618:N1260,9,0)),"")</f>
        <v/>
      </c>
      <c r="P2048" s="493" t="str">
        <f ca="1">IFERROR(IF(VLOOKUP(C2048,' Disaggregation - Section E '!A$618:N1260,10,0)=0,"",VLOOKUP(C2048,' Disaggregation - Section E '!A$618:N1260,10,0)),"")</f>
        <v/>
      </c>
    </row>
    <row r="2049" spans="1:16" x14ac:dyDescent="0.3">
      <c r="A2049" s="487" t="b">
        <f t="shared" ca="1" si="147"/>
        <v>0</v>
      </c>
      <c r="B2049" s="487"/>
      <c r="C2049" s="500" t="str">
        <f ca="1">IF(COUNTA(D$1410:D2049)=1,"",OFFSET(B2047,-COUNTA(D$1410:D2049)+3,1))</f>
        <v>a163p000002zQZyAAM</v>
      </c>
      <c r="D2049" s="502"/>
      <c r="E2049" s="490" t="str">
        <f ca="1">IFERROR(IF(VLOOKUP(C2049,' Disaggregation - Section E '!A$618:N1261,7,0)=0,"",VLOOKUP(C2049,' Disaggregation - Section E '!A$618:N1261,7,0)*100),"")</f>
        <v/>
      </c>
      <c r="F2049" s="493" t="str">
        <f ca="1">IFERROR(VLOOKUP(C2049,' Disaggregation - Section E '!A$618:N1261,5,0),"")</f>
        <v/>
      </c>
      <c r="G2049" s="492" t="str">
        <f ca="1">IFERROR(IF(VLOOKUP(C2049,' Disaggregation - Section E '!A$618:N1261,6,0)=0,"",VLOOKUP(C2049,' Disaggregation - Section E '!A$618:N1261,6,0)),"")</f>
        <v/>
      </c>
      <c r="H2049" s="502" t="str">
        <f ca="1">IFERROR(IF(INDEX(' Disaggregation - Section E '!F$618:F2458,MATCH(C2049,' Disaggregation - Section E '!A$618:A2458,0)+1,1)&lt;&gt;0,INDEX(' Disaggregation - Section E '!F$618:F$1820,MATCH(C2049,' Disaggregation - Section E '!A$618:A2458,0)+1,1),""),"")</f>
        <v/>
      </c>
      <c r="I2049" s="493" t="str">
        <f ca="1">IFERROR(IF(VLOOKUP(C2049,' Disaggregation - Section E '!A$618:N1261,8,0)=0,"",VLOOKUP(C2049,' Disaggregation - Section E '!A$618:N1261,8,0)),"")</f>
        <v/>
      </c>
      <c r="J2049" s="493" t="str">
        <f ca="1">IFERROR(IF(VLOOKUP(C2049,' Disaggregation - Section E '!A$618:N2458,13,0)=0,"",VLOOKUP(C2049,' Disaggregation - Section E '!A$618:N2458,13,0)),"")</f>
        <v/>
      </c>
      <c r="K2049" s="487" t="str">
        <f ca="1">IFERROR(VLOOKUP(C2049,' Disaggregation - Section E '!A$618:N1261,3,0),"")</f>
        <v>HTS-3f⁽ᴹ⁾ Pourcentage de personnes en détention ou se trouvant dans d’autres lieux fermés chez lesquels un dépistage du VIH a été réalisé durant la période de communication de l’information et qui connaissent leur résultat</v>
      </c>
      <c r="L2049" s="487"/>
      <c r="M2049" s="487" t="str">
        <f ca="1">IFERROR(IF(VLOOKUP(C2049,' Disaggregation - Section E '!A$618:T1261,20,0)=0,"",VLOOKUP(C2049,' Disaggregation - Section E '!A$618:T1261,20,0)),"")</f>
        <v/>
      </c>
      <c r="N2049" s="493" t="str">
        <f ca="1">IFERROR(IF(VLOOKUP(C2049,' Disaggregation - Section E '!A$618:N1261,14,0)=0,"",VLOOKUP(C2049,' Disaggregation - Section E '!A$618:N1261,14,0)),"")</f>
        <v/>
      </c>
      <c r="O2049" s="493" t="str">
        <f ca="1">IFERROR(IF(VLOOKUP(C2049,' Disaggregation - Section E '!A$618:N1261,9,0)=0,"",VLOOKUP(C2049,' Disaggregation - Section E '!A$618:N1261,9,0)),"")</f>
        <v/>
      </c>
      <c r="P2049" s="493" t="str">
        <f ca="1">IFERROR(IF(VLOOKUP(C2049,' Disaggregation - Section E '!A$618:N1261,10,0)=0,"",VLOOKUP(C2049,' Disaggregation - Section E '!A$618:N1261,10,0)),"")</f>
        <v/>
      </c>
    </row>
    <row r="2050" spans="1:16" x14ac:dyDescent="0.3">
      <c r="A2050" s="487" t="b">
        <f t="shared" ca="1" si="147"/>
        <v>0</v>
      </c>
      <c r="B2050" s="487"/>
      <c r="C2050" s="500" t="str">
        <f ca="1">IF(COUNTA(D$1410:D2050)=1,"",OFFSET(B2048,-COUNTA(D$1410:D2050)+3,1))</f>
        <v>a163p000002zQZzAAM</v>
      </c>
      <c r="D2050" s="502"/>
      <c r="E2050" s="490" t="str">
        <f ca="1">IFERROR(IF(VLOOKUP(C2050,' Disaggregation - Section E '!A$618:N1262,7,0)=0,"",VLOOKUP(C2050,' Disaggregation - Section E '!A$618:N1262,7,0)*100),"")</f>
        <v/>
      </c>
      <c r="F2050" s="493" t="str">
        <f ca="1">IFERROR(VLOOKUP(C2050,' Disaggregation - Section E '!A$618:N1262,5,0),"")</f>
        <v/>
      </c>
      <c r="G2050" s="492" t="str">
        <f ca="1">IFERROR(IF(VLOOKUP(C2050,' Disaggregation - Section E '!A$618:N1262,6,0)=0,"",VLOOKUP(C2050,' Disaggregation - Section E '!A$618:N1262,6,0)),"")</f>
        <v/>
      </c>
      <c r="H2050" s="502" t="str">
        <f ca="1">IFERROR(IF(INDEX(' Disaggregation - Section E '!F$618:F2459,MATCH(C2050,' Disaggregation - Section E '!A$618:A2459,0)+1,1)&lt;&gt;0,INDEX(' Disaggregation - Section E '!F$618:F$1820,MATCH(C2050,' Disaggregation - Section E '!A$618:A2459,0)+1,1),""),"")</f>
        <v/>
      </c>
      <c r="I2050" s="493" t="str">
        <f ca="1">IFERROR(IF(VLOOKUP(C2050,' Disaggregation - Section E '!A$618:N1262,8,0)=0,"",VLOOKUP(C2050,' Disaggregation - Section E '!A$618:N1262,8,0)),"")</f>
        <v/>
      </c>
      <c r="J2050" s="493" t="str">
        <f ca="1">IFERROR(IF(VLOOKUP(C2050,' Disaggregation - Section E '!A$618:N2459,13,0)=0,"",VLOOKUP(C2050,' Disaggregation - Section E '!A$618:N2459,13,0)),"")</f>
        <v/>
      </c>
      <c r="K2050" s="487" t="str">
        <f ca="1">IFERROR(VLOOKUP(C2050,' Disaggregation - Section E '!A$618:N1262,3,0),"")</f>
        <v>HTS-3f⁽ᴹ⁾ Pourcentage de personnes en détention ou se trouvant dans d’autres lieux fermés chez lesquels un dépistage du VIH a été réalisé durant la période de communication de l’information et qui connaissent leur résultat</v>
      </c>
      <c r="L2050" s="487"/>
      <c r="M2050" s="487" t="str">
        <f ca="1">IFERROR(IF(VLOOKUP(C2050,' Disaggregation - Section E '!A$618:T1262,20,0)=0,"",VLOOKUP(C2050,' Disaggregation - Section E '!A$618:T1262,20,0)),"")</f>
        <v/>
      </c>
      <c r="N2050" s="493" t="str">
        <f ca="1">IFERROR(IF(VLOOKUP(C2050,' Disaggregation - Section E '!A$618:N1262,14,0)=0,"",VLOOKUP(C2050,' Disaggregation - Section E '!A$618:N1262,14,0)),"")</f>
        <v/>
      </c>
      <c r="O2050" s="493" t="str">
        <f ca="1">IFERROR(IF(VLOOKUP(C2050,' Disaggregation - Section E '!A$618:N1262,9,0)=0,"",VLOOKUP(C2050,' Disaggregation - Section E '!A$618:N1262,9,0)),"")</f>
        <v/>
      </c>
      <c r="P2050" s="493" t="str">
        <f ca="1">IFERROR(IF(VLOOKUP(C2050,' Disaggregation - Section E '!A$618:N1262,10,0)=0,"",VLOOKUP(C2050,' Disaggregation - Section E '!A$618:N1262,10,0)),"")</f>
        <v/>
      </c>
    </row>
    <row r="2051" spans="1:16" x14ac:dyDescent="0.3">
      <c r="A2051" s="487" t="b">
        <f t="shared" ca="1" si="147"/>
        <v>0</v>
      </c>
      <c r="B2051" s="487"/>
      <c r="C2051" s="500" t="str">
        <f ca="1">IF(COUNTA(D$1410:D2051)=1,"",OFFSET(B2049,-COUNTA(D$1410:D2051)+3,1))</f>
        <v>a163p000002zQa0AAE</v>
      </c>
      <c r="D2051" s="502"/>
      <c r="E2051" s="490" t="str">
        <f ca="1">IFERROR(IF(VLOOKUP(C2051,' Disaggregation - Section E '!A$618:N1263,7,0)=0,"",VLOOKUP(C2051,' Disaggregation - Section E '!A$618:N1263,7,0)*100),"")</f>
        <v/>
      </c>
      <c r="F2051" s="493" t="str">
        <f ca="1">IFERROR(VLOOKUP(C2051,' Disaggregation - Section E '!A$618:N1263,5,0),"")</f>
        <v/>
      </c>
      <c r="G2051" s="492" t="str">
        <f ca="1">IFERROR(IF(VLOOKUP(C2051,' Disaggregation - Section E '!A$618:N1263,6,0)=0,"",VLOOKUP(C2051,' Disaggregation - Section E '!A$618:N1263,6,0)),"")</f>
        <v/>
      </c>
      <c r="H2051" s="502" t="str">
        <f ca="1">IFERROR(IF(INDEX(' Disaggregation - Section E '!F$618:F2460,MATCH(C2051,' Disaggregation - Section E '!A$618:A2460,0)+1,1)&lt;&gt;0,INDEX(' Disaggregation - Section E '!F$618:F$1820,MATCH(C2051,' Disaggregation - Section E '!A$618:A2460,0)+1,1),""),"")</f>
        <v/>
      </c>
      <c r="I2051" s="493" t="str">
        <f ca="1">IFERROR(IF(VLOOKUP(C2051,' Disaggregation - Section E '!A$618:N1263,8,0)=0,"",VLOOKUP(C2051,' Disaggregation - Section E '!A$618:N1263,8,0)),"")</f>
        <v/>
      </c>
      <c r="J2051" s="493" t="str">
        <f ca="1">IFERROR(IF(VLOOKUP(C2051,' Disaggregation - Section E '!A$618:N2460,13,0)=0,"",VLOOKUP(C2051,' Disaggregation - Section E '!A$618:N2460,13,0)),"")</f>
        <v/>
      </c>
      <c r="K2051" s="487" t="str">
        <f ca="1">IFERROR(VLOOKUP(C2051,' Disaggregation - Section E '!A$618:N1263,3,0),"")</f>
        <v>HTS-3f⁽ᴹ⁾ Pourcentage de personnes en détention ou se trouvant dans d’autres lieux fermés chez lesquels un dépistage du VIH a été réalisé durant la période de communication de l’information et qui connaissent leur résultat</v>
      </c>
      <c r="L2051" s="487"/>
      <c r="M2051" s="487" t="str">
        <f ca="1">IFERROR(IF(VLOOKUP(C2051,' Disaggregation - Section E '!A$618:T1263,20,0)=0,"",VLOOKUP(C2051,' Disaggregation - Section E '!A$618:T1263,20,0)),"")</f>
        <v/>
      </c>
      <c r="N2051" s="493" t="str">
        <f ca="1">IFERROR(IF(VLOOKUP(C2051,' Disaggregation - Section E '!A$618:N1263,14,0)=0,"",VLOOKUP(C2051,' Disaggregation - Section E '!A$618:N1263,14,0)),"")</f>
        <v/>
      </c>
      <c r="O2051" s="493" t="str">
        <f ca="1">IFERROR(IF(VLOOKUP(C2051,' Disaggregation - Section E '!A$618:N1263,9,0)=0,"",VLOOKUP(C2051,' Disaggregation - Section E '!A$618:N1263,9,0)),"")</f>
        <v/>
      </c>
      <c r="P2051" s="493" t="str">
        <f ca="1">IFERROR(IF(VLOOKUP(C2051,' Disaggregation - Section E '!A$618:N1263,10,0)=0,"",VLOOKUP(C2051,' Disaggregation - Section E '!A$618:N1263,10,0)),"")</f>
        <v/>
      </c>
    </row>
    <row r="2052" spans="1:16" x14ac:dyDescent="0.3">
      <c r="A2052" s="487" t="b">
        <f t="shared" ca="1" si="147"/>
        <v>0</v>
      </c>
      <c r="B2052" s="487"/>
      <c r="C2052" s="500" t="str">
        <f ca="1">IF(COUNTA(D$1410:D2052)=1,"",OFFSET(B2050,-COUNTA(D$1410:D2052)+3,1))</f>
        <v>a163p000002zQa1AAE</v>
      </c>
      <c r="D2052" s="502"/>
      <c r="E2052" s="490" t="str">
        <f ca="1">IFERROR(IF(VLOOKUP(C2052,' Disaggregation - Section E '!A$618:N1264,7,0)=0,"",VLOOKUP(C2052,' Disaggregation - Section E '!A$618:N1264,7,0)*100),"")</f>
        <v/>
      </c>
      <c r="F2052" s="493" t="str">
        <f ca="1">IFERROR(VLOOKUP(C2052,' Disaggregation - Section E '!A$618:N1264,5,0),"")</f>
        <v>Positif</v>
      </c>
      <c r="G2052" s="492" t="str">
        <f ca="1">IFERROR(IF(VLOOKUP(C2052,' Disaggregation - Section E '!A$618:N1264,6,0)=0,"",VLOOKUP(C2052,' Disaggregation - Section E '!A$618:N1264,6,0)),"")</f>
        <v/>
      </c>
      <c r="H2052" s="502" t="str">
        <f ca="1">IFERROR(IF(INDEX(' Disaggregation - Section E '!F$618:F2461,MATCH(C2052,' Disaggregation - Section E '!A$618:A2461,0)+1,1)&lt;&gt;0,INDEX(' Disaggregation - Section E '!F$618:F$1820,MATCH(C2052,' Disaggregation - Section E '!A$618:A2461,0)+1,1),""),"")</f>
        <v/>
      </c>
      <c r="I2052" s="493" t="str">
        <f ca="1">IFERROR(IF(VLOOKUP(C2052,' Disaggregation - Section E '!A$618:N1264,8,0)=0,"",VLOOKUP(C2052,' Disaggregation - Section E '!A$618:N1264,8,0)),"")</f>
        <v/>
      </c>
      <c r="J2052" s="493" t="str">
        <f ca="1">IFERROR(IF(VLOOKUP(C2052,' Disaggregation - Section E '!A$618:N2461,13,0)=0,"",VLOOKUP(C2052,' Disaggregation - Section E '!A$618:N2461,13,0)),"")</f>
        <v/>
      </c>
      <c r="K2052" s="487" t="str">
        <f ca="1">IFERROR(VLOOKUP(C2052,' Disaggregation - Section E '!A$618:N1264,3,0),"")</f>
        <v>PMTCT-1 Pourcentage de femmes enceintes qui connaissent leur statut sérologique pour le VIH</v>
      </c>
      <c r="L2052" s="487"/>
      <c r="M2052" s="487" t="str">
        <f ca="1">IFERROR(IF(VLOOKUP(C2052,' Disaggregation - Section E '!A$618:T1264,20,0)=0,"",VLOOKUP(C2052,' Disaggregation - Section E '!A$618:T1264,20,0)),"")</f>
        <v>IDR-00912</v>
      </c>
      <c r="N2052" s="493" t="str">
        <f ca="1">IFERROR(IF(VLOOKUP(C2052,' Disaggregation - Section E '!A$618:N1264,14,0)=0,"",VLOOKUP(C2052,' Disaggregation - Section E '!A$618:N1264,14,0)),"")</f>
        <v/>
      </c>
      <c r="O2052" s="493" t="str">
        <f ca="1">IFERROR(IF(VLOOKUP(C2052,' Disaggregation - Section E '!A$618:N1264,9,0)=0,"",VLOOKUP(C2052,' Disaggregation - Section E '!A$618:N1264,9,0)),"")</f>
        <v/>
      </c>
      <c r="P2052" s="493" t="str">
        <f ca="1">IFERROR(IF(VLOOKUP(C2052,' Disaggregation - Section E '!A$618:N1264,10,0)=0,"",VLOOKUP(C2052,' Disaggregation - Section E '!A$618:N1264,10,0)),"")</f>
        <v/>
      </c>
    </row>
    <row r="2053" spans="1:16" x14ac:dyDescent="0.3">
      <c r="A2053" s="487" t="b">
        <f t="shared" ca="1" si="147"/>
        <v>0</v>
      </c>
      <c r="B2053" s="487"/>
      <c r="C2053" s="500" t="str">
        <f ca="1">IF(COUNTA(D$1410:D2053)=1,"",OFFSET(B2051,-COUNTA(D$1410:D2053)+3,1))</f>
        <v>a163p000002zQa2AAE</v>
      </c>
      <c r="D2053" s="502"/>
      <c r="E2053" s="490" t="str">
        <f ca="1">IFERROR(IF(VLOOKUP(C2053,' Disaggregation - Section E '!A$618:N1265,7,0)=0,"",VLOOKUP(C2053,' Disaggregation - Section E '!A$618:N1265,7,0)*100),"")</f>
        <v/>
      </c>
      <c r="F2053" s="493" t="str">
        <f ca="1">IFERROR(VLOOKUP(C2053,' Disaggregation - Section E '!A$618:N1265,5,0),"")</f>
        <v>Négatif</v>
      </c>
      <c r="G2053" s="492" t="str">
        <f ca="1">IFERROR(IF(VLOOKUP(C2053,' Disaggregation - Section E '!A$618:N1265,6,0)=0,"",VLOOKUP(C2053,' Disaggregation - Section E '!A$618:N1265,6,0)),"")</f>
        <v/>
      </c>
      <c r="H2053" s="502" t="str">
        <f ca="1">IFERROR(IF(INDEX(' Disaggregation - Section E '!F$618:F2462,MATCH(C2053,' Disaggregation - Section E '!A$618:A2462,0)+1,1)&lt;&gt;0,INDEX(' Disaggregation - Section E '!F$618:F$1820,MATCH(C2053,' Disaggregation - Section E '!A$618:A2462,0)+1,1),""),"")</f>
        <v/>
      </c>
      <c r="I2053" s="493" t="str">
        <f ca="1">IFERROR(IF(VLOOKUP(C2053,' Disaggregation - Section E '!A$618:N1265,8,0)=0,"",VLOOKUP(C2053,' Disaggregation - Section E '!A$618:N1265,8,0)),"")</f>
        <v/>
      </c>
      <c r="J2053" s="493" t="str">
        <f ca="1">IFERROR(IF(VLOOKUP(C2053,' Disaggregation - Section E '!A$618:N2462,13,0)=0,"",VLOOKUP(C2053,' Disaggregation - Section E '!A$618:N2462,13,0)),"")</f>
        <v/>
      </c>
      <c r="K2053" s="487" t="str">
        <f ca="1">IFERROR(VLOOKUP(C2053,' Disaggregation - Section E '!A$618:N1265,3,0),"")</f>
        <v>PMTCT-1 Pourcentage de femmes enceintes qui connaissent leur statut sérologique pour le VIH</v>
      </c>
      <c r="L2053" s="487"/>
      <c r="M2053" s="487" t="str">
        <f ca="1">IFERROR(IF(VLOOKUP(C2053,' Disaggregation - Section E '!A$618:T1265,20,0)=0,"",VLOOKUP(C2053,' Disaggregation - Section E '!A$618:T1265,20,0)),"")</f>
        <v>IDR-00913</v>
      </c>
      <c r="N2053" s="493" t="str">
        <f ca="1">IFERROR(IF(VLOOKUP(C2053,' Disaggregation - Section E '!A$618:N1265,14,0)=0,"",VLOOKUP(C2053,' Disaggregation - Section E '!A$618:N1265,14,0)),"")</f>
        <v/>
      </c>
      <c r="O2053" s="493" t="str">
        <f ca="1">IFERROR(IF(VLOOKUP(C2053,' Disaggregation - Section E '!A$618:N1265,9,0)=0,"",VLOOKUP(C2053,' Disaggregation - Section E '!A$618:N1265,9,0)),"")</f>
        <v/>
      </c>
      <c r="P2053" s="493" t="str">
        <f ca="1">IFERROR(IF(VLOOKUP(C2053,' Disaggregation - Section E '!A$618:N1265,10,0)=0,"",VLOOKUP(C2053,' Disaggregation - Section E '!A$618:N1265,10,0)),"")</f>
        <v/>
      </c>
    </row>
    <row r="2054" spans="1:16" x14ac:dyDescent="0.3">
      <c r="A2054" s="487" t="b">
        <f t="shared" ca="1" si="147"/>
        <v>0</v>
      </c>
      <c r="B2054" s="487"/>
      <c r="C2054" s="500" t="str">
        <f ca="1">IF(COUNTA(D$1410:D2054)=1,"",OFFSET(B2052,-COUNTA(D$1410:D2054)+3,1))</f>
        <v>a163p000002zQa3AAE</v>
      </c>
      <c r="D2054" s="502"/>
      <c r="E2054" s="490" t="str">
        <f ca="1">IFERROR(IF(VLOOKUP(C2054,' Disaggregation - Section E '!A$618:N1266,7,0)=0,"",VLOOKUP(C2054,' Disaggregation - Section E '!A$618:N1266,7,0)*100),"")</f>
        <v/>
      </c>
      <c r="F2054" s="493" t="str">
        <f ca="1">IFERROR(VLOOKUP(C2054,' Disaggregation - Section E '!A$618:N1266,5,0),"")</f>
        <v/>
      </c>
      <c r="G2054" s="492" t="str">
        <f ca="1">IFERROR(IF(VLOOKUP(C2054,' Disaggregation - Section E '!A$618:N1266,6,0)=0,"",VLOOKUP(C2054,' Disaggregation - Section E '!A$618:N1266,6,0)),"")</f>
        <v/>
      </c>
      <c r="H2054" s="502" t="str">
        <f ca="1">IFERROR(IF(INDEX(' Disaggregation - Section E '!F$618:F2463,MATCH(C2054,' Disaggregation - Section E '!A$618:A2463,0)+1,1)&lt;&gt;0,INDEX(' Disaggregation - Section E '!F$618:F$1820,MATCH(C2054,' Disaggregation - Section E '!A$618:A2463,0)+1,1),""),"")</f>
        <v/>
      </c>
      <c r="I2054" s="493" t="str">
        <f ca="1">IFERROR(IF(VLOOKUP(C2054,' Disaggregation - Section E '!A$618:N1266,8,0)=0,"",VLOOKUP(C2054,' Disaggregation - Section E '!A$618:N1266,8,0)),"")</f>
        <v/>
      </c>
      <c r="J2054" s="493" t="str">
        <f ca="1">IFERROR(IF(VLOOKUP(C2054,' Disaggregation - Section E '!A$618:N2463,13,0)=0,"",VLOOKUP(C2054,' Disaggregation - Section E '!A$618:N2463,13,0)),"")</f>
        <v/>
      </c>
      <c r="K2054" s="487" t="str">
        <f ca="1">IFERROR(VLOOKUP(C2054,' Disaggregation - Section E '!A$618:N1266,3,0),"")</f>
        <v>PMTCT-1 Pourcentage de femmes enceintes qui connaissent leur statut sérologique pour le VIH</v>
      </c>
      <c r="L2054" s="487"/>
      <c r="M2054" s="487" t="str">
        <f ca="1">IFERROR(IF(VLOOKUP(C2054,' Disaggregation - Section E '!A$618:T1266,20,0)=0,"",VLOOKUP(C2054,' Disaggregation - Section E '!A$618:T1266,20,0)),"")</f>
        <v/>
      </c>
      <c r="N2054" s="493" t="str">
        <f ca="1">IFERROR(IF(VLOOKUP(C2054,' Disaggregation - Section E '!A$618:N1266,14,0)=0,"",VLOOKUP(C2054,' Disaggregation - Section E '!A$618:N1266,14,0)),"")</f>
        <v/>
      </c>
      <c r="O2054" s="493" t="str">
        <f ca="1">IFERROR(IF(VLOOKUP(C2054,' Disaggregation - Section E '!A$618:N1266,9,0)=0,"",VLOOKUP(C2054,' Disaggregation - Section E '!A$618:N1266,9,0)),"")</f>
        <v/>
      </c>
      <c r="P2054" s="493" t="str">
        <f ca="1">IFERROR(IF(VLOOKUP(C2054,' Disaggregation - Section E '!A$618:N1266,10,0)=0,"",VLOOKUP(C2054,' Disaggregation - Section E '!A$618:N1266,10,0)),"")</f>
        <v/>
      </c>
    </row>
    <row r="2055" spans="1:16" x14ac:dyDescent="0.3">
      <c r="A2055" s="487" t="b">
        <f t="shared" ca="1" si="147"/>
        <v>0</v>
      </c>
      <c r="B2055" s="487"/>
      <c r="C2055" s="500" t="str">
        <f ca="1">IF(COUNTA(D$1410:D2055)=1,"",OFFSET(B2053,-COUNTA(D$1410:D2055)+3,1))</f>
        <v>a163p000002zQa4AAE</v>
      </c>
      <c r="D2055" s="502"/>
      <c r="E2055" s="490" t="str">
        <f ca="1">IFERROR(IF(VLOOKUP(C2055,' Disaggregation - Section E '!A$618:N1267,7,0)=0,"",VLOOKUP(C2055,' Disaggregation - Section E '!A$618:N1267,7,0)*100),"")</f>
        <v/>
      </c>
      <c r="F2055" s="493" t="str">
        <f ca="1">IFERROR(VLOOKUP(C2055,' Disaggregation - Section E '!A$618:N1267,5,0),"")</f>
        <v/>
      </c>
      <c r="G2055" s="492" t="str">
        <f ca="1">IFERROR(IF(VLOOKUP(C2055,' Disaggregation - Section E '!A$618:N1267,6,0)=0,"",VLOOKUP(C2055,' Disaggregation - Section E '!A$618:N1267,6,0)),"")</f>
        <v/>
      </c>
      <c r="H2055" s="502" t="str">
        <f ca="1">IFERROR(IF(INDEX(' Disaggregation - Section E '!F$618:F2464,MATCH(C2055,' Disaggregation - Section E '!A$618:A2464,0)+1,1)&lt;&gt;0,INDEX(' Disaggregation - Section E '!F$618:F$1820,MATCH(C2055,' Disaggregation - Section E '!A$618:A2464,0)+1,1),""),"")</f>
        <v/>
      </c>
      <c r="I2055" s="493" t="str">
        <f ca="1">IFERROR(IF(VLOOKUP(C2055,' Disaggregation - Section E '!A$618:N1267,8,0)=0,"",VLOOKUP(C2055,' Disaggregation - Section E '!A$618:N1267,8,0)),"")</f>
        <v/>
      </c>
      <c r="J2055" s="493" t="str">
        <f ca="1">IFERROR(IF(VLOOKUP(C2055,' Disaggregation - Section E '!A$618:N2464,13,0)=0,"",VLOOKUP(C2055,' Disaggregation - Section E '!A$618:N2464,13,0)),"")</f>
        <v/>
      </c>
      <c r="K2055" s="487" t="str">
        <f ca="1">IFERROR(VLOOKUP(C2055,' Disaggregation - Section E '!A$618:N1267,3,0),"")</f>
        <v>PMTCT-1 Pourcentage de femmes enceintes qui connaissent leur statut sérologique pour le VIH</v>
      </c>
      <c r="L2055" s="487"/>
      <c r="M2055" s="487" t="str">
        <f ca="1">IFERROR(IF(VLOOKUP(C2055,' Disaggregation - Section E '!A$618:T1267,20,0)=0,"",VLOOKUP(C2055,' Disaggregation - Section E '!A$618:T1267,20,0)),"")</f>
        <v/>
      </c>
      <c r="N2055" s="493" t="str">
        <f ca="1">IFERROR(IF(VLOOKUP(C2055,' Disaggregation - Section E '!A$618:N1267,14,0)=0,"",VLOOKUP(C2055,' Disaggregation - Section E '!A$618:N1267,14,0)),"")</f>
        <v/>
      </c>
      <c r="O2055" s="493" t="str">
        <f ca="1">IFERROR(IF(VLOOKUP(C2055,' Disaggregation - Section E '!A$618:N1267,9,0)=0,"",VLOOKUP(C2055,' Disaggregation - Section E '!A$618:N1267,9,0)),"")</f>
        <v/>
      </c>
      <c r="P2055" s="493" t="str">
        <f ca="1">IFERROR(IF(VLOOKUP(C2055,' Disaggregation - Section E '!A$618:N1267,10,0)=0,"",VLOOKUP(C2055,' Disaggregation - Section E '!A$618:N1267,10,0)),"")</f>
        <v/>
      </c>
    </row>
    <row r="2056" spans="1:16" x14ac:dyDescent="0.3">
      <c r="A2056" s="487" t="b">
        <f t="shared" ca="1" si="147"/>
        <v>0</v>
      </c>
      <c r="B2056" s="487"/>
      <c r="C2056" s="500" t="str">
        <f ca="1">IF(COUNTA(D$1410:D2056)=1,"",OFFSET(B2054,-COUNTA(D$1410:D2056)+3,1))</f>
        <v>a163p000002zQa5AAE</v>
      </c>
      <c r="D2056" s="502"/>
      <c r="E2056" s="490" t="str">
        <f ca="1">IFERROR(IF(VLOOKUP(C2056,' Disaggregation - Section E '!A$618:N1268,7,0)=0,"",VLOOKUP(C2056,' Disaggregation - Section E '!A$618:N1268,7,0)*100),"")</f>
        <v/>
      </c>
      <c r="F2056" s="493" t="str">
        <f ca="1">IFERROR(VLOOKUP(C2056,' Disaggregation - Section E '!A$618:N1268,5,0),"")</f>
        <v/>
      </c>
      <c r="G2056" s="492" t="str">
        <f ca="1">IFERROR(IF(VLOOKUP(C2056,' Disaggregation - Section E '!A$618:N1268,6,0)=0,"",VLOOKUP(C2056,' Disaggregation - Section E '!A$618:N1268,6,0)),"")</f>
        <v/>
      </c>
      <c r="H2056" s="502" t="str">
        <f ca="1">IFERROR(IF(INDEX(' Disaggregation - Section E '!F$618:F2465,MATCH(C2056,' Disaggregation - Section E '!A$618:A2465,0)+1,1)&lt;&gt;0,INDEX(' Disaggregation - Section E '!F$618:F$1820,MATCH(C2056,' Disaggregation - Section E '!A$618:A2465,0)+1,1),""),"")</f>
        <v/>
      </c>
      <c r="I2056" s="493" t="str">
        <f ca="1">IFERROR(IF(VLOOKUP(C2056,' Disaggregation - Section E '!A$618:N1268,8,0)=0,"",VLOOKUP(C2056,' Disaggregation - Section E '!A$618:N1268,8,0)),"")</f>
        <v/>
      </c>
      <c r="J2056" s="493" t="str">
        <f ca="1">IFERROR(IF(VLOOKUP(C2056,' Disaggregation - Section E '!A$618:N2465,13,0)=0,"",VLOOKUP(C2056,' Disaggregation - Section E '!A$618:N2465,13,0)),"")</f>
        <v/>
      </c>
      <c r="K2056" s="487" t="str">
        <f ca="1">IFERROR(VLOOKUP(C2056,' Disaggregation - Section E '!A$618:N1268,3,0),"")</f>
        <v>PMTCT-1 Pourcentage de femmes enceintes qui connaissent leur statut sérologique pour le VIH</v>
      </c>
      <c r="L2056" s="487"/>
      <c r="M2056" s="487" t="str">
        <f ca="1">IFERROR(IF(VLOOKUP(C2056,' Disaggregation - Section E '!A$618:T1268,20,0)=0,"",VLOOKUP(C2056,' Disaggregation - Section E '!A$618:T1268,20,0)),"")</f>
        <v/>
      </c>
      <c r="N2056" s="493" t="str">
        <f ca="1">IFERROR(IF(VLOOKUP(C2056,' Disaggregation - Section E '!A$618:N1268,14,0)=0,"",VLOOKUP(C2056,' Disaggregation - Section E '!A$618:N1268,14,0)),"")</f>
        <v/>
      </c>
      <c r="O2056" s="493" t="str">
        <f ca="1">IFERROR(IF(VLOOKUP(C2056,' Disaggregation - Section E '!A$618:N1268,9,0)=0,"",VLOOKUP(C2056,' Disaggregation - Section E '!A$618:N1268,9,0)),"")</f>
        <v/>
      </c>
      <c r="P2056" s="493" t="str">
        <f ca="1">IFERROR(IF(VLOOKUP(C2056,' Disaggregation - Section E '!A$618:N1268,10,0)=0,"",VLOOKUP(C2056,' Disaggregation - Section E '!A$618:N1268,10,0)),"")</f>
        <v/>
      </c>
    </row>
    <row r="2057" spans="1:16" x14ac:dyDescent="0.3">
      <c r="A2057" s="487" t="b">
        <f t="shared" ca="1" si="147"/>
        <v>0</v>
      </c>
      <c r="B2057" s="487"/>
      <c r="C2057" s="500" t="str">
        <f ca="1">IF(COUNTA(D$1410:D2057)=1,"",OFFSET(B2055,-COUNTA(D$1410:D2057)+3,1))</f>
        <v>a163p000002zQa6AAE</v>
      </c>
      <c r="D2057" s="502"/>
      <c r="E2057" s="490" t="str">
        <f ca="1">IFERROR(IF(VLOOKUP(C2057,' Disaggregation - Section E '!A$618:N1269,7,0)=0,"",VLOOKUP(C2057,' Disaggregation - Section E '!A$618:N1269,7,0)*100),"")</f>
        <v/>
      </c>
      <c r="F2057" s="493" t="str">
        <f ca="1">IFERROR(VLOOKUP(C2057,' Disaggregation - Section E '!A$618:N1269,5,0),"")</f>
        <v/>
      </c>
      <c r="G2057" s="492" t="str">
        <f ca="1">IFERROR(IF(VLOOKUP(C2057,' Disaggregation - Section E '!A$618:N1269,6,0)=0,"",VLOOKUP(C2057,' Disaggregation - Section E '!A$618:N1269,6,0)),"")</f>
        <v/>
      </c>
      <c r="H2057" s="502" t="str">
        <f ca="1">IFERROR(IF(INDEX(' Disaggregation - Section E '!F$618:F2466,MATCH(C2057,' Disaggregation - Section E '!A$618:A2466,0)+1,1)&lt;&gt;0,INDEX(' Disaggregation - Section E '!F$618:F$1820,MATCH(C2057,' Disaggregation - Section E '!A$618:A2466,0)+1,1),""),"")</f>
        <v/>
      </c>
      <c r="I2057" s="493" t="str">
        <f ca="1">IFERROR(IF(VLOOKUP(C2057,' Disaggregation - Section E '!A$618:N1269,8,0)=0,"",VLOOKUP(C2057,' Disaggregation - Section E '!A$618:N1269,8,0)),"")</f>
        <v/>
      </c>
      <c r="J2057" s="493" t="str">
        <f ca="1">IFERROR(IF(VLOOKUP(C2057,' Disaggregation - Section E '!A$618:N2466,13,0)=0,"",VLOOKUP(C2057,' Disaggregation - Section E '!A$618:N2466,13,0)),"")</f>
        <v/>
      </c>
      <c r="K2057" s="487" t="str">
        <f ca="1">IFERROR(VLOOKUP(C2057,' Disaggregation - Section E '!A$618:N1269,3,0),"")</f>
        <v>PMTCT-1 Pourcentage de femmes enceintes qui connaissent leur statut sérologique pour le VIH</v>
      </c>
      <c r="L2057" s="487"/>
      <c r="M2057" s="487" t="str">
        <f ca="1">IFERROR(IF(VLOOKUP(C2057,' Disaggregation - Section E '!A$618:T1269,20,0)=0,"",VLOOKUP(C2057,' Disaggregation - Section E '!A$618:T1269,20,0)),"")</f>
        <v/>
      </c>
      <c r="N2057" s="493" t="str">
        <f ca="1">IFERROR(IF(VLOOKUP(C2057,' Disaggregation - Section E '!A$618:N1269,14,0)=0,"",VLOOKUP(C2057,' Disaggregation - Section E '!A$618:N1269,14,0)),"")</f>
        <v/>
      </c>
      <c r="O2057" s="493" t="str">
        <f ca="1">IFERROR(IF(VLOOKUP(C2057,' Disaggregation - Section E '!A$618:N1269,9,0)=0,"",VLOOKUP(C2057,' Disaggregation - Section E '!A$618:N1269,9,0)),"")</f>
        <v/>
      </c>
      <c r="P2057" s="493" t="str">
        <f ca="1">IFERROR(IF(VLOOKUP(C2057,' Disaggregation - Section E '!A$618:N1269,10,0)=0,"",VLOOKUP(C2057,' Disaggregation - Section E '!A$618:N1269,10,0)),"")</f>
        <v/>
      </c>
    </row>
    <row r="2058" spans="1:16" x14ac:dyDescent="0.3">
      <c r="A2058" s="487" t="b">
        <f t="shared" ca="1" si="147"/>
        <v>0</v>
      </c>
      <c r="B2058" s="487"/>
      <c r="C2058" s="500" t="str">
        <f ca="1">IF(COUNTA(D$1410:D2058)=1,"",OFFSET(B2056,-COUNTA(D$1410:D2058)+3,1))</f>
        <v>a163p000002zQa7AAE</v>
      </c>
      <c r="D2058" s="502"/>
      <c r="E2058" s="490" t="str">
        <f ca="1">IFERROR(IF(VLOOKUP(C2058,' Disaggregation - Section E '!A$618:N1270,7,0)=0,"",VLOOKUP(C2058,' Disaggregation - Section E '!A$618:N1270,7,0)*100),"")</f>
        <v/>
      </c>
      <c r="F2058" s="493" t="str">
        <f ca="1">IFERROR(VLOOKUP(C2058,' Disaggregation - Section E '!A$618:N1270,5,0),"")</f>
        <v/>
      </c>
      <c r="G2058" s="492" t="str">
        <f ca="1">IFERROR(IF(VLOOKUP(C2058,' Disaggregation - Section E '!A$618:N1270,6,0)=0,"",VLOOKUP(C2058,' Disaggregation - Section E '!A$618:N1270,6,0)),"")</f>
        <v/>
      </c>
      <c r="H2058" s="502" t="str">
        <f ca="1">IFERROR(IF(INDEX(' Disaggregation - Section E '!F$618:F2467,MATCH(C2058,' Disaggregation - Section E '!A$618:A2467,0)+1,1)&lt;&gt;0,INDEX(' Disaggregation - Section E '!F$618:F$1820,MATCH(C2058,' Disaggregation - Section E '!A$618:A2467,0)+1,1),""),"")</f>
        <v/>
      </c>
      <c r="I2058" s="493" t="str">
        <f ca="1">IFERROR(IF(VLOOKUP(C2058,' Disaggregation - Section E '!A$618:N1270,8,0)=0,"",VLOOKUP(C2058,' Disaggregation - Section E '!A$618:N1270,8,0)),"")</f>
        <v/>
      </c>
      <c r="J2058" s="493" t="str">
        <f ca="1">IFERROR(IF(VLOOKUP(C2058,' Disaggregation - Section E '!A$618:N2467,13,0)=0,"",VLOOKUP(C2058,' Disaggregation - Section E '!A$618:N2467,13,0)),"")</f>
        <v/>
      </c>
      <c r="K2058" s="487" t="str">
        <f ca="1">IFERROR(VLOOKUP(C2058,' Disaggregation - Section E '!A$618:N1270,3,0),"")</f>
        <v>PMTCT-1 Pourcentage de femmes enceintes qui connaissent leur statut sérologique pour le VIH</v>
      </c>
      <c r="L2058" s="487"/>
      <c r="M2058" s="487" t="str">
        <f ca="1">IFERROR(IF(VLOOKUP(C2058,' Disaggregation - Section E '!A$618:T1270,20,0)=0,"",VLOOKUP(C2058,' Disaggregation - Section E '!A$618:T1270,20,0)),"")</f>
        <v/>
      </c>
      <c r="N2058" s="493" t="str">
        <f ca="1">IFERROR(IF(VLOOKUP(C2058,' Disaggregation - Section E '!A$618:N1270,14,0)=0,"",VLOOKUP(C2058,' Disaggregation - Section E '!A$618:N1270,14,0)),"")</f>
        <v/>
      </c>
      <c r="O2058" s="493" t="str">
        <f ca="1">IFERROR(IF(VLOOKUP(C2058,' Disaggregation - Section E '!A$618:N1270,9,0)=0,"",VLOOKUP(C2058,' Disaggregation - Section E '!A$618:N1270,9,0)),"")</f>
        <v/>
      </c>
      <c r="P2058" s="493" t="str">
        <f ca="1">IFERROR(IF(VLOOKUP(C2058,' Disaggregation - Section E '!A$618:N1270,10,0)=0,"",VLOOKUP(C2058,' Disaggregation - Section E '!A$618:N1270,10,0)),"")</f>
        <v/>
      </c>
    </row>
    <row r="2059" spans="1:16" x14ac:dyDescent="0.3">
      <c r="A2059" s="487" t="b">
        <f t="shared" ca="1" si="147"/>
        <v>0</v>
      </c>
      <c r="B2059" s="487"/>
      <c r="C2059" s="500" t="str">
        <f ca="1">IF(COUNTA(D$1410:D2059)=1,"",OFFSET(B2057,-COUNTA(D$1410:D2059)+3,1))</f>
        <v>a163p000002zQa8AAE</v>
      </c>
      <c r="D2059" s="502"/>
      <c r="E2059" s="490" t="str">
        <f ca="1">IFERROR(IF(VLOOKUP(C2059,' Disaggregation - Section E '!A$618:N1271,7,0)=0,"",VLOOKUP(C2059,' Disaggregation - Section E '!A$618:N1271,7,0)*100),"")</f>
        <v/>
      </c>
      <c r="F2059" s="493" t="str">
        <f ca="1">IFERROR(VLOOKUP(C2059,' Disaggregation - Section E '!A$618:N1271,5,0),"")</f>
        <v/>
      </c>
      <c r="G2059" s="492" t="str">
        <f ca="1">IFERROR(IF(VLOOKUP(C2059,' Disaggregation - Section E '!A$618:N1271,6,0)=0,"",VLOOKUP(C2059,' Disaggregation - Section E '!A$618:N1271,6,0)),"")</f>
        <v/>
      </c>
      <c r="H2059" s="502" t="str">
        <f ca="1">IFERROR(IF(INDEX(' Disaggregation - Section E '!F$618:F2468,MATCH(C2059,' Disaggregation - Section E '!A$618:A2468,0)+1,1)&lt;&gt;0,INDEX(' Disaggregation - Section E '!F$618:F$1820,MATCH(C2059,' Disaggregation - Section E '!A$618:A2468,0)+1,1),""),"")</f>
        <v/>
      </c>
      <c r="I2059" s="493" t="str">
        <f ca="1">IFERROR(IF(VLOOKUP(C2059,' Disaggregation - Section E '!A$618:N1271,8,0)=0,"",VLOOKUP(C2059,' Disaggregation - Section E '!A$618:N1271,8,0)),"")</f>
        <v/>
      </c>
      <c r="J2059" s="493" t="str">
        <f ca="1">IFERROR(IF(VLOOKUP(C2059,' Disaggregation - Section E '!A$618:N2468,13,0)=0,"",VLOOKUP(C2059,' Disaggregation - Section E '!A$618:N2468,13,0)),"")</f>
        <v/>
      </c>
      <c r="K2059" s="487" t="str">
        <f ca="1">IFERROR(VLOOKUP(C2059,' Disaggregation - Section E '!A$618:N1271,3,0),"")</f>
        <v>PMTCT-1 Pourcentage de femmes enceintes qui connaissent leur statut sérologique pour le VIH</v>
      </c>
      <c r="L2059" s="487"/>
      <c r="M2059" s="487" t="str">
        <f ca="1">IFERROR(IF(VLOOKUP(C2059,' Disaggregation - Section E '!A$618:T1271,20,0)=0,"",VLOOKUP(C2059,' Disaggregation - Section E '!A$618:T1271,20,0)),"")</f>
        <v/>
      </c>
      <c r="N2059" s="493" t="str">
        <f ca="1">IFERROR(IF(VLOOKUP(C2059,' Disaggregation - Section E '!A$618:N1271,14,0)=0,"",VLOOKUP(C2059,' Disaggregation - Section E '!A$618:N1271,14,0)),"")</f>
        <v/>
      </c>
      <c r="O2059" s="493" t="str">
        <f ca="1">IFERROR(IF(VLOOKUP(C2059,' Disaggregation - Section E '!A$618:N1271,9,0)=0,"",VLOOKUP(C2059,' Disaggregation - Section E '!A$618:N1271,9,0)),"")</f>
        <v/>
      </c>
      <c r="P2059" s="493" t="str">
        <f ca="1">IFERROR(IF(VLOOKUP(C2059,' Disaggregation - Section E '!A$618:N1271,10,0)=0,"",VLOOKUP(C2059,' Disaggregation - Section E '!A$618:N1271,10,0)),"")</f>
        <v/>
      </c>
    </row>
    <row r="2060" spans="1:16" x14ac:dyDescent="0.3">
      <c r="A2060" s="487" t="b">
        <f t="shared" ca="1" si="147"/>
        <v>0</v>
      </c>
      <c r="B2060" s="487"/>
      <c r="C2060" s="500" t="str">
        <f ca="1">IF(COUNTA(D$1410:D2060)=1,"",OFFSET(B2058,-COUNTA(D$1410:D2060)+3,1))</f>
        <v>a163p000002zQa9AAE</v>
      </c>
      <c r="D2060" s="502"/>
      <c r="E2060" s="490" t="str">
        <f ca="1">IFERROR(IF(VLOOKUP(C2060,' Disaggregation - Section E '!A$618:N1272,7,0)=0,"",VLOOKUP(C2060,' Disaggregation - Section E '!A$618:N1272,7,0)*100),"")</f>
        <v/>
      </c>
      <c r="F2060" s="493" t="str">
        <f ca="1">IFERROR(VLOOKUP(C2060,' Disaggregation - Section E '!A$618:N1272,5,0),"")</f>
        <v/>
      </c>
      <c r="G2060" s="492" t="str">
        <f ca="1">IFERROR(IF(VLOOKUP(C2060,' Disaggregation - Section E '!A$618:N1272,6,0)=0,"",VLOOKUP(C2060,' Disaggregation - Section E '!A$618:N1272,6,0)),"")</f>
        <v/>
      </c>
      <c r="H2060" s="502" t="str">
        <f ca="1">IFERROR(IF(INDEX(' Disaggregation - Section E '!F$618:F2469,MATCH(C2060,' Disaggregation - Section E '!A$618:A2469,0)+1,1)&lt;&gt;0,INDEX(' Disaggregation - Section E '!F$618:F$1820,MATCH(C2060,' Disaggregation - Section E '!A$618:A2469,0)+1,1),""),"")</f>
        <v/>
      </c>
      <c r="I2060" s="493" t="str">
        <f ca="1">IFERROR(IF(VLOOKUP(C2060,' Disaggregation - Section E '!A$618:N1272,8,0)=0,"",VLOOKUP(C2060,' Disaggregation - Section E '!A$618:N1272,8,0)),"")</f>
        <v/>
      </c>
      <c r="J2060" s="493" t="str">
        <f ca="1">IFERROR(IF(VLOOKUP(C2060,' Disaggregation - Section E '!A$618:N2469,13,0)=0,"",VLOOKUP(C2060,' Disaggregation - Section E '!A$618:N2469,13,0)),"")</f>
        <v/>
      </c>
      <c r="K2060" s="487" t="str">
        <f ca="1">IFERROR(VLOOKUP(C2060,' Disaggregation - Section E '!A$618:N1272,3,0),"")</f>
        <v>PMTCT-1 Pourcentage de femmes enceintes qui connaissent leur statut sérologique pour le VIH</v>
      </c>
      <c r="L2060" s="487"/>
      <c r="M2060" s="487" t="str">
        <f ca="1">IFERROR(IF(VLOOKUP(C2060,' Disaggregation - Section E '!A$618:T1272,20,0)=0,"",VLOOKUP(C2060,' Disaggregation - Section E '!A$618:T1272,20,0)),"")</f>
        <v/>
      </c>
      <c r="N2060" s="493" t="str">
        <f ca="1">IFERROR(IF(VLOOKUP(C2060,' Disaggregation - Section E '!A$618:N1272,14,0)=0,"",VLOOKUP(C2060,' Disaggregation - Section E '!A$618:N1272,14,0)),"")</f>
        <v/>
      </c>
      <c r="O2060" s="493" t="str">
        <f ca="1">IFERROR(IF(VLOOKUP(C2060,' Disaggregation - Section E '!A$618:N1272,9,0)=0,"",VLOOKUP(C2060,' Disaggregation - Section E '!A$618:N1272,9,0)),"")</f>
        <v/>
      </c>
      <c r="P2060" s="493" t="str">
        <f ca="1">IFERROR(IF(VLOOKUP(C2060,' Disaggregation - Section E '!A$618:N1272,10,0)=0,"",VLOOKUP(C2060,' Disaggregation - Section E '!A$618:N1272,10,0)),"")</f>
        <v/>
      </c>
    </row>
    <row r="2061" spans="1:16" x14ac:dyDescent="0.3">
      <c r="A2061" s="487" t="b">
        <f t="shared" ca="1" si="147"/>
        <v>0</v>
      </c>
      <c r="B2061" s="487"/>
      <c r="C2061" s="500" t="str">
        <f ca="1">IF(COUNTA(D$1410:D2061)=1,"",OFFSET(B2059,-COUNTA(D$1410:D2061)+3,1))</f>
        <v>a163p000002zQaAAAU</v>
      </c>
      <c r="D2061" s="502"/>
      <c r="E2061" s="490" t="str">
        <f ca="1">IFERROR(IF(VLOOKUP(C2061,' Disaggregation - Section E '!A$618:N1273,7,0)=0,"",VLOOKUP(C2061,' Disaggregation - Section E '!A$618:N1273,7,0)*100),"")</f>
        <v/>
      </c>
      <c r="F2061" s="493" t="str">
        <f ca="1">IFERROR(VLOOKUP(C2061,' Disaggregation - Section E '!A$618:N1273,5,0),"")</f>
        <v/>
      </c>
      <c r="G2061" s="492" t="str">
        <f ca="1">IFERROR(IF(VLOOKUP(C2061,' Disaggregation - Section E '!A$618:N1273,6,0)=0,"",VLOOKUP(C2061,' Disaggregation - Section E '!A$618:N1273,6,0)),"")</f>
        <v/>
      </c>
      <c r="H2061" s="502" t="str">
        <f ca="1">IFERROR(IF(INDEX(' Disaggregation - Section E '!F$618:F2470,MATCH(C2061,' Disaggregation - Section E '!A$618:A2470,0)+1,1)&lt;&gt;0,INDEX(' Disaggregation - Section E '!F$618:F$1820,MATCH(C2061,' Disaggregation - Section E '!A$618:A2470,0)+1,1),""),"")</f>
        <v/>
      </c>
      <c r="I2061" s="493" t="str">
        <f ca="1">IFERROR(IF(VLOOKUP(C2061,' Disaggregation - Section E '!A$618:N1273,8,0)=0,"",VLOOKUP(C2061,' Disaggregation - Section E '!A$618:N1273,8,0)),"")</f>
        <v/>
      </c>
      <c r="J2061" s="493" t="str">
        <f ca="1">IFERROR(IF(VLOOKUP(C2061,' Disaggregation - Section E '!A$618:N2470,13,0)=0,"",VLOOKUP(C2061,' Disaggregation - Section E '!A$618:N2470,13,0)),"")</f>
        <v/>
      </c>
      <c r="K2061" s="487" t="str">
        <f ca="1">IFERROR(VLOOKUP(C2061,' Disaggregation - Section E '!A$618:N1273,3,0),"")</f>
        <v>PMTCT-1 Pourcentage de femmes enceintes qui connaissent leur statut sérologique pour le VIH</v>
      </c>
      <c r="L2061" s="487"/>
      <c r="M2061" s="487" t="str">
        <f ca="1">IFERROR(IF(VLOOKUP(C2061,' Disaggregation - Section E '!A$618:T1273,20,0)=0,"",VLOOKUP(C2061,' Disaggregation - Section E '!A$618:T1273,20,0)),"")</f>
        <v/>
      </c>
      <c r="N2061" s="493" t="str">
        <f ca="1">IFERROR(IF(VLOOKUP(C2061,' Disaggregation - Section E '!A$618:N1273,14,0)=0,"",VLOOKUP(C2061,' Disaggregation - Section E '!A$618:N1273,14,0)),"")</f>
        <v/>
      </c>
      <c r="O2061" s="493" t="str">
        <f ca="1">IFERROR(IF(VLOOKUP(C2061,' Disaggregation - Section E '!A$618:N1273,9,0)=0,"",VLOOKUP(C2061,' Disaggregation - Section E '!A$618:N1273,9,0)),"")</f>
        <v/>
      </c>
      <c r="P2061" s="493" t="str">
        <f ca="1">IFERROR(IF(VLOOKUP(C2061,' Disaggregation - Section E '!A$618:N1273,10,0)=0,"",VLOOKUP(C2061,' Disaggregation - Section E '!A$618:N1273,10,0)),"")</f>
        <v/>
      </c>
    </row>
    <row r="2062" spans="1:16" x14ac:dyDescent="0.3">
      <c r="A2062" s="487" t="b">
        <f t="shared" ca="1" si="147"/>
        <v>0</v>
      </c>
      <c r="B2062" s="487"/>
      <c r="C2062" s="500" t="str">
        <f ca="1">IF(COUNTA(D$1410:D2062)=1,"",OFFSET(B2060,-COUNTA(D$1410:D2062)+3,1))</f>
        <v>a163p000002zQaBAAU</v>
      </c>
      <c r="D2062" s="502"/>
      <c r="E2062" s="490" t="str">
        <f ca="1">IFERROR(IF(VLOOKUP(C2062,' Disaggregation - Section E '!A$618:N1274,7,0)=0,"",VLOOKUP(C2062,' Disaggregation - Section E '!A$618:N1274,7,0)*100),"")</f>
        <v/>
      </c>
      <c r="F2062" s="493" t="str">
        <f ca="1">IFERROR(VLOOKUP(C2062,' Disaggregation - Section E '!A$618:N1274,5,0),"")</f>
        <v/>
      </c>
      <c r="G2062" s="492" t="str">
        <f ca="1">IFERROR(IF(VLOOKUP(C2062,' Disaggregation - Section E '!A$618:N1274,6,0)=0,"",VLOOKUP(C2062,' Disaggregation - Section E '!A$618:N1274,6,0)),"")</f>
        <v/>
      </c>
      <c r="H2062" s="502" t="str">
        <f ca="1">IFERROR(IF(INDEX(' Disaggregation - Section E '!F$618:F2471,MATCH(C2062,' Disaggregation - Section E '!A$618:A2471,0)+1,1)&lt;&gt;0,INDEX(' Disaggregation - Section E '!F$618:F$1820,MATCH(C2062,' Disaggregation - Section E '!A$618:A2471,0)+1,1),""),"")</f>
        <v/>
      </c>
      <c r="I2062" s="493" t="str">
        <f ca="1">IFERROR(IF(VLOOKUP(C2062,' Disaggregation - Section E '!A$618:N1274,8,0)=0,"",VLOOKUP(C2062,' Disaggregation - Section E '!A$618:N1274,8,0)),"")</f>
        <v/>
      </c>
      <c r="J2062" s="493" t="str">
        <f ca="1">IFERROR(IF(VLOOKUP(C2062,' Disaggregation - Section E '!A$618:N2471,13,0)=0,"",VLOOKUP(C2062,' Disaggregation - Section E '!A$618:N2471,13,0)),"")</f>
        <v/>
      </c>
      <c r="K2062" s="487" t="str">
        <f ca="1">IFERROR(VLOOKUP(C2062,' Disaggregation - Section E '!A$618:N1274,3,0),"")</f>
        <v>PMTCT-1 Pourcentage de femmes enceintes qui connaissent leur statut sérologique pour le VIH</v>
      </c>
      <c r="L2062" s="487"/>
      <c r="M2062" s="487" t="str">
        <f ca="1">IFERROR(IF(VLOOKUP(C2062,' Disaggregation - Section E '!A$618:T1274,20,0)=0,"",VLOOKUP(C2062,' Disaggregation - Section E '!A$618:T1274,20,0)),"")</f>
        <v/>
      </c>
      <c r="N2062" s="493" t="str">
        <f ca="1">IFERROR(IF(VLOOKUP(C2062,' Disaggregation - Section E '!A$618:N1274,14,0)=0,"",VLOOKUP(C2062,' Disaggregation - Section E '!A$618:N1274,14,0)),"")</f>
        <v/>
      </c>
      <c r="O2062" s="493" t="str">
        <f ca="1">IFERROR(IF(VLOOKUP(C2062,' Disaggregation - Section E '!A$618:N1274,9,0)=0,"",VLOOKUP(C2062,' Disaggregation - Section E '!A$618:N1274,9,0)),"")</f>
        <v/>
      </c>
      <c r="P2062" s="493" t="str">
        <f ca="1">IFERROR(IF(VLOOKUP(C2062,' Disaggregation - Section E '!A$618:N1274,10,0)=0,"",VLOOKUP(C2062,' Disaggregation - Section E '!A$618:N1274,10,0)),"")</f>
        <v/>
      </c>
    </row>
    <row r="2063" spans="1:16" x14ac:dyDescent="0.3">
      <c r="A2063" s="487" t="b">
        <f t="shared" ca="1" si="147"/>
        <v>0</v>
      </c>
      <c r="B2063" s="487"/>
      <c r="C2063" s="500" t="str">
        <f ca="1">IF(COUNTA(D$1410:D2063)=1,"",OFFSET(B2061,-COUNTA(D$1410:D2063)+3,1))</f>
        <v>a163p000002zQaCAAU</v>
      </c>
      <c r="D2063" s="502"/>
      <c r="E2063" s="490" t="str">
        <f ca="1">IFERROR(IF(VLOOKUP(C2063,' Disaggregation - Section E '!A$618:N1275,7,0)=0,"",VLOOKUP(C2063,' Disaggregation - Section E '!A$618:N1275,7,0)*100),"")</f>
        <v/>
      </c>
      <c r="F2063" s="493" t="str">
        <f ca="1">IFERROR(VLOOKUP(C2063,' Disaggregation - Section E '!A$618:N1275,5,0),"")</f>
        <v/>
      </c>
      <c r="G2063" s="492" t="str">
        <f ca="1">IFERROR(IF(VLOOKUP(C2063,' Disaggregation - Section E '!A$618:N1275,6,0)=0,"",VLOOKUP(C2063,' Disaggregation - Section E '!A$618:N1275,6,0)),"")</f>
        <v/>
      </c>
      <c r="H2063" s="502" t="str">
        <f ca="1">IFERROR(IF(INDEX(' Disaggregation - Section E '!F$618:F2472,MATCH(C2063,' Disaggregation - Section E '!A$618:A2472,0)+1,1)&lt;&gt;0,INDEX(' Disaggregation - Section E '!F$618:F$1820,MATCH(C2063,' Disaggregation - Section E '!A$618:A2472,0)+1,1),""),"")</f>
        <v/>
      </c>
      <c r="I2063" s="493" t="str">
        <f ca="1">IFERROR(IF(VLOOKUP(C2063,' Disaggregation - Section E '!A$618:N1275,8,0)=0,"",VLOOKUP(C2063,' Disaggregation - Section E '!A$618:N1275,8,0)),"")</f>
        <v/>
      </c>
      <c r="J2063" s="493" t="str">
        <f ca="1">IFERROR(IF(VLOOKUP(C2063,' Disaggregation - Section E '!A$618:N2472,13,0)=0,"",VLOOKUP(C2063,' Disaggregation - Section E '!A$618:N2472,13,0)),"")</f>
        <v/>
      </c>
      <c r="K2063" s="487" t="str">
        <f ca="1">IFERROR(VLOOKUP(C2063,' Disaggregation - Section E '!A$618:N1275,3,0),"")</f>
        <v>PMTCT-1 Pourcentage de femmes enceintes qui connaissent leur statut sérologique pour le VIH</v>
      </c>
      <c r="L2063" s="487"/>
      <c r="M2063" s="487" t="str">
        <f ca="1">IFERROR(IF(VLOOKUP(C2063,' Disaggregation - Section E '!A$618:T1275,20,0)=0,"",VLOOKUP(C2063,' Disaggregation - Section E '!A$618:T1275,20,0)),"")</f>
        <v/>
      </c>
      <c r="N2063" s="493" t="str">
        <f ca="1">IFERROR(IF(VLOOKUP(C2063,' Disaggregation - Section E '!A$618:N1275,14,0)=0,"",VLOOKUP(C2063,' Disaggregation - Section E '!A$618:N1275,14,0)),"")</f>
        <v/>
      </c>
      <c r="O2063" s="493" t="str">
        <f ca="1">IFERROR(IF(VLOOKUP(C2063,' Disaggregation - Section E '!A$618:N1275,9,0)=0,"",VLOOKUP(C2063,' Disaggregation - Section E '!A$618:N1275,9,0)),"")</f>
        <v/>
      </c>
      <c r="P2063" s="493" t="str">
        <f ca="1">IFERROR(IF(VLOOKUP(C2063,' Disaggregation - Section E '!A$618:N1275,10,0)=0,"",VLOOKUP(C2063,' Disaggregation - Section E '!A$618:N1275,10,0)),"")</f>
        <v/>
      </c>
    </row>
    <row r="2064" spans="1:16" x14ac:dyDescent="0.3">
      <c r="A2064" s="487" t="b">
        <f t="shared" ca="1" si="147"/>
        <v>0</v>
      </c>
      <c r="B2064" s="487"/>
      <c r="C2064" s="500" t="str">
        <f ca="1">IF(COUNTA(D$1410:D2064)=1,"",OFFSET(B2062,-COUNTA(D$1410:D2064)+3,1))</f>
        <v>a163p000002zQaDAAU</v>
      </c>
      <c r="D2064" s="502"/>
      <c r="E2064" s="490" t="str">
        <f ca="1">IFERROR(IF(VLOOKUP(C2064,' Disaggregation - Section E '!A$618:N1276,7,0)=0,"",VLOOKUP(C2064,' Disaggregation - Section E '!A$618:N1276,7,0)*100),"")</f>
        <v/>
      </c>
      <c r="F2064" s="493" t="str">
        <f ca="1">IFERROR(VLOOKUP(C2064,' Disaggregation - Section E '!A$618:N1276,5,0),"")</f>
        <v/>
      </c>
      <c r="G2064" s="492" t="str">
        <f ca="1">IFERROR(IF(VLOOKUP(C2064,' Disaggregation - Section E '!A$618:N1276,6,0)=0,"",VLOOKUP(C2064,' Disaggregation - Section E '!A$618:N1276,6,0)),"")</f>
        <v/>
      </c>
      <c r="H2064" s="502" t="str">
        <f ca="1">IFERROR(IF(INDEX(' Disaggregation - Section E '!F$618:F2473,MATCH(C2064,' Disaggregation - Section E '!A$618:A2473,0)+1,1)&lt;&gt;0,INDEX(' Disaggregation - Section E '!F$618:F$1820,MATCH(C2064,' Disaggregation - Section E '!A$618:A2473,0)+1,1),""),"")</f>
        <v/>
      </c>
      <c r="I2064" s="493" t="str">
        <f ca="1">IFERROR(IF(VLOOKUP(C2064,' Disaggregation - Section E '!A$618:N1276,8,0)=0,"",VLOOKUP(C2064,' Disaggregation - Section E '!A$618:N1276,8,0)),"")</f>
        <v/>
      </c>
      <c r="J2064" s="493" t="str">
        <f ca="1">IFERROR(IF(VLOOKUP(C2064,' Disaggregation - Section E '!A$618:N2473,13,0)=0,"",VLOOKUP(C2064,' Disaggregation - Section E '!A$618:N2473,13,0)),"")</f>
        <v/>
      </c>
      <c r="K2064" s="487" t="str">
        <f ca="1">IFERROR(VLOOKUP(C2064,' Disaggregation - Section E '!A$618:N1276,3,0),"")</f>
        <v>PMTCT-1 Pourcentage de femmes enceintes qui connaissent leur statut sérologique pour le VIH</v>
      </c>
      <c r="L2064" s="487"/>
      <c r="M2064" s="487" t="str">
        <f ca="1">IFERROR(IF(VLOOKUP(C2064,' Disaggregation - Section E '!A$618:T1276,20,0)=0,"",VLOOKUP(C2064,' Disaggregation - Section E '!A$618:T1276,20,0)),"")</f>
        <v/>
      </c>
      <c r="N2064" s="493" t="str">
        <f ca="1">IFERROR(IF(VLOOKUP(C2064,' Disaggregation - Section E '!A$618:N1276,14,0)=0,"",VLOOKUP(C2064,' Disaggregation - Section E '!A$618:N1276,14,0)),"")</f>
        <v/>
      </c>
      <c r="O2064" s="493" t="str">
        <f ca="1">IFERROR(IF(VLOOKUP(C2064,' Disaggregation - Section E '!A$618:N1276,9,0)=0,"",VLOOKUP(C2064,' Disaggregation - Section E '!A$618:N1276,9,0)),"")</f>
        <v/>
      </c>
      <c r="P2064" s="493" t="str">
        <f ca="1">IFERROR(IF(VLOOKUP(C2064,' Disaggregation - Section E '!A$618:N1276,10,0)=0,"",VLOOKUP(C2064,' Disaggregation - Section E '!A$618:N1276,10,0)),"")</f>
        <v/>
      </c>
    </row>
    <row r="2065" spans="1:16" x14ac:dyDescent="0.3">
      <c r="A2065" s="487" t="b">
        <f t="shared" ca="1" si="147"/>
        <v>0</v>
      </c>
      <c r="B2065" s="487"/>
      <c r="C2065" s="500" t="str">
        <f ca="1">IF(COUNTA(D$1410:D2065)=1,"",OFFSET(B2063,-COUNTA(D$1410:D2065)+3,1))</f>
        <v>a163p000002zQaEAAU</v>
      </c>
      <c r="D2065" s="502"/>
      <c r="E2065" s="490" t="str">
        <f ca="1">IFERROR(IF(VLOOKUP(C2065,' Disaggregation - Section E '!A$618:N1277,7,0)=0,"",VLOOKUP(C2065,' Disaggregation - Section E '!A$618:N1277,7,0)*100),"")</f>
        <v/>
      </c>
      <c r="F2065" s="493" t="str">
        <f ca="1">IFERROR(VLOOKUP(C2065,' Disaggregation - Section E '!A$618:N1277,5,0),"")</f>
        <v/>
      </c>
      <c r="G2065" s="492" t="str">
        <f ca="1">IFERROR(IF(VLOOKUP(C2065,' Disaggregation - Section E '!A$618:N1277,6,0)=0,"",VLOOKUP(C2065,' Disaggregation - Section E '!A$618:N1277,6,0)),"")</f>
        <v/>
      </c>
      <c r="H2065" s="502" t="str">
        <f ca="1">IFERROR(IF(INDEX(' Disaggregation - Section E '!F$618:F2474,MATCH(C2065,' Disaggregation - Section E '!A$618:A2474,0)+1,1)&lt;&gt;0,INDEX(' Disaggregation - Section E '!F$618:F$1820,MATCH(C2065,' Disaggregation - Section E '!A$618:A2474,0)+1,1),""),"")</f>
        <v/>
      </c>
      <c r="I2065" s="493" t="str">
        <f ca="1">IFERROR(IF(VLOOKUP(C2065,' Disaggregation - Section E '!A$618:N1277,8,0)=0,"",VLOOKUP(C2065,' Disaggregation - Section E '!A$618:N1277,8,0)),"")</f>
        <v/>
      </c>
      <c r="J2065" s="493" t="str">
        <f ca="1">IFERROR(IF(VLOOKUP(C2065,' Disaggregation - Section E '!A$618:N2474,13,0)=0,"",VLOOKUP(C2065,' Disaggregation - Section E '!A$618:N2474,13,0)),"")</f>
        <v/>
      </c>
      <c r="K2065" s="487" t="str">
        <f ca="1">IFERROR(VLOOKUP(C2065,' Disaggregation - Section E '!A$618:N1277,3,0),"")</f>
        <v>PMTCT-1 Pourcentage de femmes enceintes qui connaissent leur statut sérologique pour le VIH</v>
      </c>
      <c r="L2065" s="487"/>
      <c r="M2065" s="487" t="str">
        <f ca="1">IFERROR(IF(VLOOKUP(C2065,' Disaggregation - Section E '!A$618:T1277,20,0)=0,"",VLOOKUP(C2065,' Disaggregation - Section E '!A$618:T1277,20,0)),"")</f>
        <v/>
      </c>
      <c r="N2065" s="493" t="str">
        <f ca="1">IFERROR(IF(VLOOKUP(C2065,' Disaggregation - Section E '!A$618:N1277,14,0)=0,"",VLOOKUP(C2065,' Disaggregation - Section E '!A$618:N1277,14,0)),"")</f>
        <v/>
      </c>
      <c r="O2065" s="493" t="str">
        <f ca="1">IFERROR(IF(VLOOKUP(C2065,' Disaggregation - Section E '!A$618:N1277,9,0)=0,"",VLOOKUP(C2065,' Disaggregation - Section E '!A$618:N1277,9,0)),"")</f>
        <v/>
      </c>
      <c r="P2065" s="493" t="str">
        <f ca="1">IFERROR(IF(VLOOKUP(C2065,' Disaggregation - Section E '!A$618:N1277,10,0)=0,"",VLOOKUP(C2065,' Disaggregation - Section E '!A$618:N1277,10,0)),"")</f>
        <v/>
      </c>
    </row>
    <row r="2066" spans="1:16" x14ac:dyDescent="0.3">
      <c r="A2066" s="487" t="b">
        <f t="shared" ca="1" si="147"/>
        <v>0</v>
      </c>
      <c r="B2066" s="487"/>
      <c r="C2066" s="500" t="str">
        <f ca="1">IF(COUNTA(D$1410:D2066)=1,"",OFFSET(B2064,-COUNTA(D$1410:D2066)+3,1))</f>
        <v>a163p000002zQaFAAU</v>
      </c>
      <c r="D2066" s="502"/>
      <c r="E2066" s="490" t="str">
        <f ca="1">IFERROR(IF(VLOOKUP(C2066,' Disaggregation - Section E '!A$618:N1278,7,0)=0,"",VLOOKUP(C2066,' Disaggregation - Section E '!A$618:N1278,7,0)*100),"")</f>
        <v/>
      </c>
      <c r="F2066" s="493" t="str">
        <f ca="1">IFERROR(VLOOKUP(C2066,' Disaggregation - Section E '!A$618:N1278,5,0),"")</f>
        <v/>
      </c>
      <c r="G2066" s="492" t="str">
        <f ca="1">IFERROR(IF(VLOOKUP(C2066,' Disaggregation - Section E '!A$618:N1278,6,0)=0,"",VLOOKUP(C2066,' Disaggregation - Section E '!A$618:N1278,6,0)),"")</f>
        <v/>
      </c>
      <c r="H2066" s="502" t="str">
        <f ca="1">IFERROR(IF(INDEX(' Disaggregation - Section E '!F$618:F2475,MATCH(C2066,' Disaggregation - Section E '!A$618:A2475,0)+1,1)&lt;&gt;0,INDEX(' Disaggregation - Section E '!F$618:F$1820,MATCH(C2066,' Disaggregation - Section E '!A$618:A2475,0)+1,1),""),"")</f>
        <v/>
      </c>
      <c r="I2066" s="493" t="str">
        <f ca="1">IFERROR(IF(VLOOKUP(C2066,' Disaggregation - Section E '!A$618:N1278,8,0)=0,"",VLOOKUP(C2066,' Disaggregation - Section E '!A$618:N1278,8,0)),"")</f>
        <v/>
      </c>
      <c r="J2066" s="493" t="str">
        <f ca="1">IFERROR(IF(VLOOKUP(C2066,' Disaggregation - Section E '!A$618:N2475,13,0)=0,"",VLOOKUP(C2066,' Disaggregation - Section E '!A$618:N2475,13,0)),"")</f>
        <v/>
      </c>
      <c r="K2066" s="487" t="str">
        <f ca="1">IFERROR(VLOOKUP(C2066,' Disaggregation - Section E '!A$618:N1278,3,0),"")</f>
        <v>PMTCT-1 Pourcentage de femmes enceintes qui connaissent leur statut sérologique pour le VIH</v>
      </c>
      <c r="L2066" s="487"/>
      <c r="M2066" s="487" t="str">
        <f ca="1">IFERROR(IF(VLOOKUP(C2066,' Disaggregation - Section E '!A$618:T1278,20,0)=0,"",VLOOKUP(C2066,' Disaggregation - Section E '!A$618:T1278,20,0)),"")</f>
        <v/>
      </c>
      <c r="N2066" s="493" t="str">
        <f ca="1">IFERROR(IF(VLOOKUP(C2066,' Disaggregation - Section E '!A$618:N1278,14,0)=0,"",VLOOKUP(C2066,' Disaggregation - Section E '!A$618:N1278,14,0)),"")</f>
        <v/>
      </c>
      <c r="O2066" s="493" t="str">
        <f ca="1">IFERROR(IF(VLOOKUP(C2066,' Disaggregation - Section E '!A$618:N1278,9,0)=0,"",VLOOKUP(C2066,' Disaggregation - Section E '!A$618:N1278,9,0)),"")</f>
        <v/>
      </c>
      <c r="P2066" s="493" t="str">
        <f ca="1">IFERROR(IF(VLOOKUP(C2066,' Disaggregation - Section E '!A$618:N1278,10,0)=0,"",VLOOKUP(C2066,' Disaggregation - Section E '!A$618:N1278,10,0)),"")</f>
        <v/>
      </c>
    </row>
    <row r="2067" spans="1:16" x14ac:dyDescent="0.3">
      <c r="A2067" s="487" t="b">
        <f t="shared" ca="1" si="147"/>
        <v>0</v>
      </c>
      <c r="B2067" s="487"/>
      <c r="C2067" s="500" t="str">
        <f ca="1">IF(COUNTA(D$1410:D2067)=1,"",OFFSET(B2065,-COUNTA(D$1410:D2067)+3,1))</f>
        <v>a163p000002zQaGAAU</v>
      </c>
      <c r="D2067" s="502"/>
      <c r="E2067" s="490" t="str">
        <f ca="1">IFERROR(IF(VLOOKUP(C2067,' Disaggregation - Section E '!A$618:N1279,7,0)=0,"",VLOOKUP(C2067,' Disaggregation - Section E '!A$618:N1279,7,0)*100),"")</f>
        <v/>
      </c>
      <c r="F2067" s="493" t="str">
        <f ca="1">IFERROR(VLOOKUP(C2067,' Disaggregation - Section E '!A$618:N1279,5,0),"")</f>
        <v/>
      </c>
      <c r="G2067" s="492" t="str">
        <f ca="1">IFERROR(IF(VLOOKUP(C2067,' Disaggregation - Section E '!A$618:N1279,6,0)=0,"",VLOOKUP(C2067,' Disaggregation - Section E '!A$618:N1279,6,0)),"")</f>
        <v/>
      </c>
      <c r="H2067" s="502" t="str">
        <f ca="1">IFERROR(IF(INDEX(' Disaggregation - Section E '!F$618:F2476,MATCH(C2067,' Disaggregation - Section E '!A$618:A2476,0)+1,1)&lt;&gt;0,INDEX(' Disaggregation - Section E '!F$618:F$1820,MATCH(C2067,' Disaggregation - Section E '!A$618:A2476,0)+1,1),""),"")</f>
        <v/>
      </c>
      <c r="I2067" s="493" t="str">
        <f ca="1">IFERROR(IF(VLOOKUP(C2067,' Disaggregation - Section E '!A$618:N1279,8,0)=0,"",VLOOKUP(C2067,' Disaggregation - Section E '!A$618:N1279,8,0)),"")</f>
        <v/>
      </c>
      <c r="J2067" s="493" t="str">
        <f ca="1">IFERROR(IF(VLOOKUP(C2067,' Disaggregation - Section E '!A$618:N2476,13,0)=0,"",VLOOKUP(C2067,' Disaggregation - Section E '!A$618:N2476,13,0)),"")</f>
        <v/>
      </c>
      <c r="K2067" s="487" t="str">
        <f ca="1">IFERROR(VLOOKUP(C2067,' Disaggregation - Section E '!A$618:N1279,3,0),"")</f>
        <v>PMTCT-1 Pourcentage de femmes enceintes qui connaissent leur statut sérologique pour le VIH</v>
      </c>
      <c r="L2067" s="487"/>
      <c r="M2067" s="487" t="str">
        <f ca="1">IFERROR(IF(VLOOKUP(C2067,' Disaggregation - Section E '!A$618:T1279,20,0)=0,"",VLOOKUP(C2067,' Disaggregation - Section E '!A$618:T1279,20,0)),"")</f>
        <v/>
      </c>
      <c r="N2067" s="493" t="str">
        <f ca="1">IFERROR(IF(VLOOKUP(C2067,' Disaggregation - Section E '!A$618:N1279,14,0)=0,"",VLOOKUP(C2067,' Disaggregation - Section E '!A$618:N1279,14,0)),"")</f>
        <v/>
      </c>
      <c r="O2067" s="493" t="str">
        <f ca="1">IFERROR(IF(VLOOKUP(C2067,' Disaggregation - Section E '!A$618:N1279,9,0)=0,"",VLOOKUP(C2067,' Disaggregation - Section E '!A$618:N1279,9,0)),"")</f>
        <v/>
      </c>
      <c r="P2067" s="493" t="str">
        <f ca="1">IFERROR(IF(VLOOKUP(C2067,' Disaggregation - Section E '!A$618:N1279,10,0)=0,"",VLOOKUP(C2067,' Disaggregation - Section E '!A$618:N1279,10,0)),"")</f>
        <v/>
      </c>
    </row>
    <row r="2068" spans="1:16" x14ac:dyDescent="0.3">
      <c r="A2068" s="487" t="b">
        <f t="shared" ca="1" si="147"/>
        <v>0</v>
      </c>
      <c r="B2068" s="487"/>
      <c r="C2068" s="500" t="str">
        <f ca="1">IF(COUNTA(D$1410:D2068)=1,"",OFFSET(B2066,-COUNTA(D$1410:D2068)+3,1))</f>
        <v>a163p000002zQaHAAU</v>
      </c>
      <c r="D2068" s="502"/>
      <c r="E2068" s="490" t="str">
        <f ca="1">IFERROR(IF(VLOOKUP(C2068,' Disaggregation - Section E '!A$618:N1280,7,0)=0,"",VLOOKUP(C2068,' Disaggregation - Section E '!A$618:N1280,7,0)*100),"")</f>
        <v/>
      </c>
      <c r="F2068" s="493" t="str">
        <f ca="1">IFERROR(VLOOKUP(C2068,' Disaggregation - Section E '!A$618:N1280,5,0),"")</f>
        <v/>
      </c>
      <c r="G2068" s="492" t="str">
        <f ca="1">IFERROR(IF(VLOOKUP(C2068,' Disaggregation - Section E '!A$618:N1280,6,0)=0,"",VLOOKUP(C2068,' Disaggregation - Section E '!A$618:N1280,6,0)),"")</f>
        <v/>
      </c>
      <c r="H2068" s="502" t="str">
        <f ca="1">IFERROR(IF(INDEX(' Disaggregation - Section E '!F$618:F2477,MATCH(C2068,' Disaggregation - Section E '!A$618:A2477,0)+1,1)&lt;&gt;0,INDEX(' Disaggregation - Section E '!F$618:F$1820,MATCH(C2068,' Disaggregation - Section E '!A$618:A2477,0)+1,1),""),"")</f>
        <v/>
      </c>
      <c r="I2068" s="493" t="str">
        <f ca="1">IFERROR(IF(VLOOKUP(C2068,' Disaggregation - Section E '!A$618:N1280,8,0)=0,"",VLOOKUP(C2068,' Disaggregation - Section E '!A$618:N1280,8,0)),"")</f>
        <v/>
      </c>
      <c r="J2068" s="493" t="str">
        <f ca="1">IFERROR(IF(VLOOKUP(C2068,' Disaggregation - Section E '!A$618:N2477,13,0)=0,"",VLOOKUP(C2068,' Disaggregation - Section E '!A$618:N2477,13,0)),"")</f>
        <v/>
      </c>
      <c r="K2068" s="487" t="str">
        <f ca="1">IFERROR(VLOOKUP(C2068,' Disaggregation - Section E '!A$618:N1280,3,0),"")</f>
        <v>PMTCT-1 Pourcentage de femmes enceintes qui connaissent leur statut sérologique pour le VIH</v>
      </c>
      <c r="L2068" s="487"/>
      <c r="M2068" s="487" t="str">
        <f ca="1">IFERROR(IF(VLOOKUP(C2068,' Disaggregation - Section E '!A$618:T1280,20,0)=0,"",VLOOKUP(C2068,' Disaggregation - Section E '!A$618:T1280,20,0)),"")</f>
        <v/>
      </c>
      <c r="N2068" s="493" t="str">
        <f ca="1">IFERROR(IF(VLOOKUP(C2068,' Disaggregation - Section E '!A$618:N1280,14,0)=0,"",VLOOKUP(C2068,' Disaggregation - Section E '!A$618:N1280,14,0)),"")</f>
        <v/>
      </c>
      <c r="O2068" s="493" t="str">
        <f ca="1">IFERROR(IF(VLOOKUP(C2068,' Disaggregation - Section E '!A$618:N1280,9,0)=0,"",VLOOKUP(C2068,' Disaggregation - Section E '!A$618:N1280,9,0)),"")</f>
        <v/>
      </c>
      <c r="P2068" s="493" t="str">
        <f ca="1">IFERROR(IF(VLOOKUP(C2068,' Disaggregation - Section E '!A$618:N1280,10,0)=0,"",VLOOKUP(C2068,' Disaggregation - Section E '!A$618:N1280,10,0)),"")</f>
        <v/>
      </c>
    </row>
    <row r="2069" spans="1:16" x14ac:dyDescent="0.3">
      <c r="A2069" s="487" t="b">
        <f t="shared" ca="1" si="147"/>
        <v>0</v>
      </c>
      <c r="B2069" s="487"/>
      <c r="C2069" s="500" t="str">
        <f ca="1">IF(COUNTA(D$1410:D2069)=1,"",OFFSET(B2067,-COUNTA(D$1410:D2069)+3,1))</f>
        <v>a163p000002zQaIAAU</v>
      </c>
      <c r="D2069" s="502"/>
      <c r="E2069" s="490" t="str">
        <f ca="1">IFERROR(IF(VLOOKUP(C2069,' Disaggregation - Section E '!A$618:N1281,7,0)=0,"",VLOOKUP(C2069,' Disaggregation - Section E '!A$618:N1281,7,0)*100),"")</f>
        <v/>
      </c>
      <c r="F2069" s="493" t="str">
        <f ca="1">IFERROR(VLOOKUP(C2069,' Disaggregation - Section E '!A$618:N1281,5,0),"")</f>
        <v/>
      </c>
      <c r="G2069" s="492" t="str">
        <f ca="1">IFERROR(IF(VLOOKUP(C2069,' Disaggregation - Section E '!A$618:N1281,6,0)=0,"",VLOOKUP(C2069,' Disaggregation - Section E '!A$618:N1281,6,0)),"")</f>
        <v/>
      </c>
      <c r="H2069" s="502" t="str">
        <f ca="1">IFERROR(IF(INDEX(' Disaggregation - Section E '!F$618:F2478,MATCH(C2069,' Disaggregation - Section E '!A$618:A2478,0)+1,1)&lt;&gt;0,INDEX(' Disaggregation - Section E '!F$618:F$1820,MATCH(C2069,' Disaggregation - Section E '!A$618:A2478,0)+1,1),""),"")</f>
        <v/>
      </c>
      <c r="I2069" s="493" t="str">
        <f ca="1">IFERROR(IF(VLOOKUP(C2069,' Disaggregation - Section E '!A$618:N1281,8,0)=0,"",VLOOKUP(C2069,' Disaggregation - Section E '!A$618:N1281,8,0)),"")</f>
        <v/>
      </c>
      <c r="J2069" s="493" t="str">
        <f ca="1">IFERROR(IF(VLOOKUP(C2069,' Disaggregation - Section E '!A$618:N2478,13,0)=0,"",VLOOKUP(C2069,' Disaggregation - Section E '!A$618:N2478,13,0)),"")</f>
        <v/>
      </c>
      <c r="K2069" s="487" t="str">
        <f ca="1">IFERROR(VLOOKUP(C2069,' Disaggregation - Section E '!A$618:N1281,3,0),"")</f>
        <v>PMTCT-1 Pourcentage de femmes enceintes qui connaissent leur statut sérologique pour le VIH</v>
      </c>
      <c r="L2069" s="487"/>
      <c r="M2069" s="487" t="str">
        <f ca="1">IFERROR(IF(VLOOKUP(C2069,' Disaggregation - Section E '!A$618:T1281,20,0)=0,"",VLOOKUP(C2069,' Disaggregation - Section E '!A$618:T1281,20,0)),"")</f>
        <v/>
      </c>
      <c r="N2069" s="493" t="str">
        <f ca="1">IFERROR(IF(VLOOKUP(C2069,' Disaggregation - Section E '!A$618:N1281,14,0)=0,"",VLOOKUP(C2069,' Disaggregation - Section E '!A$618:N1281,14,0)),"")</f>
        <v/>
      </c>
      <c r="O2069" s="493" t="str">
        <f ca="1">IFERROR(IF(VLOOKUP(C2069,' Disaggregation - Section E '!A$618:N1281,9,0)=0,"",VLOOKUP(C2069,' Disaggregation - Section E '!A$618:N1281,9,0)),"")</f>
        <v/>
      </c>
      <c r="P2069" s="493" t="str">
        <f ca="1">IFERROR(IF(VLOOKUP(C2069,' Disaggregation - Section E '!A$618:N1281,10,0)=0,"",VLOOKUP(C2069,' Disaggregation - Section E '!A$618:N1281,10,0)),"")</f>
        <v/>
      </c>
    </row>
    <row r="2070" spans="1:16" x14ac:dyDescent="0.3">
      <c r="A2070" s="487" t="b">
        <f t="shared" ca="1" si="147"/>
        <v>0</v>
      </c>
      <c r="B2070" s="487"/>
      <c r="C2070" s="500" t="str">
        <f ca="1">IF(COUNTA(D$1410:D2070)=1,"",OFFSET(B2068,-COUNTA(D$1410:D2070)+3,1))</f>
        <v>a163p000002zQaJAAU</v>
      </c>
      <c r="D2070" s="502"/>
      <c r="E2070" s="490" t="str">
        <f ca="1">IFERROR(IF(VLOOKUP(C2070,' Disaggregation - Section E '!A$618:N1282,7,0)=0,"",VLOOKUP(C2070,' Disaggregation - Section E '!A$618:N1282,7,0)*100),"")</f>
        <v/>
      </c>
      <c r="F2070" s="493" t="str">
        <f ca="1">IFERROR(VLOOKUP(C2070,' Disaggregation - Section E '!A$618:N1282,5,0),"")</f>
        <v/>
      </c>
      <c r="G2070" s="492" t="str">
        <f ca="1">IFERROR(IF(VLOOKUP(C2070,' Disaggregation - Section E '!A$618:N1282,6,0)=0,"",VLOOKUP(C2070,' Disaggregation - Section E '!A$618:N1282,6,0)),"")</f>
        <v/>
      </c>
      <c r="H2070" s="502" t="str">
        <f ca="1">IFERROR(IF(INDEX(' Disaggregation - Section E '!F$618:F2479,MATCH(C2070,' Disaggregation - Section E '!A$618:A2479,0)+1,1)&lt;&gt;0,INDEX(' Disaggregation - Section E '!F$618:F$1820,MATCH(C2070,' Disaggregation - Section E '!A$618:A2479,0)+1,1),""),"")</f>
        <v/>
      </c>
      <c r="I2070" s="493" t="str">
        <f ca="1">IFERROR(IF(VLOOKUP(C2070,' Disaggregation - Section E '!A$618:N1282,8,0)=0,"",VLOOKUP(C2070,' Disaggregation - Section E '!A$618:N1282,8,0)),"")</f>
        <v/>
      </c>
      <c r="J2070" s="493" t="str">
        <f ca="1">IFERROR(IF(VLOOKUP(C2070,' Disaggregation - Section E '!A$618:N2479,13,0)=0,"",VLOOKUP(C2070,' Disaggregation - Section E '!A$618:N2479,13,0)),"")</f>
        <v/>
      </c>
      <c r="K2070" s="487" t="str">
        <f ca="1">IFERROR(VLOOKUP(C2070,' Disaggregation - Section E '!A$618:N1282,3,0),"")</f>
        <v>PMTCT-1 Pourcentage de femmes enceintes qui connaissent leur statut sérologique pour le VIH</v>
      </c>
      <c r="L2070" s="487"/>
      <c r="M2070" s="487" t="str">
        <f ca="1">IFERROR(IF(VLOOKUP(C2070,' Disaggregation - Section E '!A$618:T1282,20,0)=0,"",VLOOKUP(C2070,' Disaggregation - Section E '!A$618:T1282,20,0)),"")</f>
        <v/>
      </c>
      <c r="N2070" s="493" t="str">
        <f ca="1">IFERROR(IF(VLOOKUP(C2070,' Disaggregation - Section E '!A$618:N1282,14,0)=0,"",VLOOKUP(C2070,' Disaggregation - Section E '!A$618:N1282,14,0)),"")</f>
        <v/>
      </c>
      <c r="O2070" s="493" t="str">
        <f ca="1">IFERROR(IF(VLOOKUP(C2070,' Disaggregation - Section E '!A$618:N1282,9,0)=0,"",VLOOKUP(C2070,' Disaggregation - Section E '!A$618:N1282,9,0)),"")</f>
        <v/>
      </c>
      <c r="P2070" s="493" t="str">
        <f ca="1">IFERROR(IF(VLOOKUP(C2070,' Disaggregation - Section E '!A$618:N1282,10,0)=0,"",VLOOKUP(C2070,' Disaggregation - Section E '!A$618:N1282,10,0)),"")</f>
        <v/>
      </c>
    </row>
    <row r="2071" spans="1:16" x14ac:dyDescent="0.3">
      <c r="A2071" s="487" t="b">
        <f t="shared" ca="1" si="147"/>
        <v>0</v>
      </c>
      <c r="B2071" s="487"/>
      <c r="C2071" s="500" t="str">
        <f ca="1">IF(COUNTA(D$1410:D2071)=1,"",OFFSET(B2069,-COUNTA(D$1410:D2071)+3,1))</f>
        <v>a163p000002zQaKAAU</v>
      </c>
      <c r="D2071" s="502"/>
      <c r="E2071" s="490" t="str">
        <f ca="1">IFERROR(IF(VLOOKUP(C2071,' Disaggregation - Section E '!A$618:N1283,7,0)=0,"",VLOOKUP(C2071,' Disaggregation - Section E '!A$618:N1283,7,0)*100),"")</f>
        <v/>
      </c>
      <c r="F2071" s="493" t="str">
        <f ca="1">IFERROR(VLOOKUP(C2071,' Disaggregation - Section E '!A$618:N1283,5,0),"")</f>
        <v/>
      </c>
      <c r="G2071" s="492" t="str">
        <f ca="1">IFERROR(IF(VLOOKUP(C2071,' Disaggregation - Section E '!A$618:N1283,6,0)=0,"",VLOOKUP(C2071,' Disaggregation - Section E '!A$618:N1283,6,0)),"")</f>
        <v/>
      </c>
      <c r="H2071" s="502" t="str">
        <f ca="1">IFERROR(IF(INDEX(' Disaggregation - Section E '!F$618:F2480,MATCH(C2071,' Disaggregation - Section E '!A$618:A2480,0)+1,1)&lt;&gt;0,INDEX(' Disaggregation - Section E '!F$618:F$1820,MATCH(C2071,' Disaggregation - Section E '!A$618:A2480,0)+1,1),""),"")</f>
        <v/>
      </c>
      <c r="I2071" s="493" t="str">
        <f ca="1">IFERROR(IF(VLOOKUP(C2071,' Disaggregation - Section E '!A$618:N1283,8,0)=0,"",VLOOKUP(C2071,' Disaggregation - Section E '!A$618:N1283,8,0)),"")</f>
        <v/>
      </c>
      <c r="J2071" s="493" t="str">
        <f ca="1">IFERROR(IF(VLOOKUP(C2071,' Disaggregation - Section E '!A$618:N2480,13,0)=0,"",VLOOKUP(C2071,' Disaggregation - Section E '!A$618:N2480,13,0)),"")</f>
        <v/>
      </c>
      <c r="K2071" s="487" t="str">
        <f ca="1">IFERROR(VLOOKUP(C2071,' Disaggregation - Section E '!A$618:N1283,3,0),"")</f>
        <v>PMTCT-1 Pourcentage de femmes enceintes qui connaissent leur statut sérologique pour le VIH</v>
      </c>
      <c r="L2071" s="487"/>
      <c r="M2071" s="487" t="str">
        <f ca="1">IFERROR(IF(VLOOKUP(C2071,' Disaggregation - Section E '!A$618:T1283,20,0)=0,"",VLOOKUP(C2071,' Disaggregation - Section E '!A$618:T1283,20,0)),"")</f>
        <v/>
      </c>
      <c r="N2071" s="493" t="str">
        <f ca="1">IFERROR(IF(VLOOKUP(C2071,' Disaggregation - Section E '!A$618:N1283,14,0)=0,"",VLOOKUP(C2071,' Disaggregation - Section E '!A$618:N1283,14,0)),"")</f>
        <v/>
      </c>
      <c r="O2071" s="493" t="str">
        <f ca="1">IFERROR(IF(VLOOKUP(C2071,' Disaggregation - Section E '!A$618:N1283,9,0)=0,"",VLOOKUP(C2071,' Disaggregation - Section E '!A$618:N1283,9,0)),"")</f>
        <v/>
      </c>
      <c r="P2071" s="493" t="str">
        <f ca="1">IFERROR(IF(VLOOKUP(C2071,' Disaggregation - Section E '!A$618:N1283,10,0)=0,"",VLOOKUP(C2071,' Disaggregation - Section E '!A$618:N1283,10,0)),"")</f>
        <v/>
      </c>
    </row>
    <row r="2072" spans="1:16" x14ac:dyDescent="0.3">
      <c r="A2072" s="487" t="b">
        <f t="shared" ca="1" si="147"/>
        <v>0</v>
      </c>
      <c r="B2072" s="487"/>
      <c r="C2072" s="500" t="str">
        <f ca="1">IF(COUNTA(D$1410:D2072)=1,"",OFFSET(B2070,-COUNTA(D$1410:D2072)+3,1))</f>
        <v>a163p000002zQaLAAU</v>
      </c>
      <c r="D2072" s="502"/>
      <c r="E2072" s="490" t="str">
        <f ca="1">IFERROR(IF(VLOOKUP(C2072,' Disaggregation - Section E '!A$618:N1284,7,0)=0,"",VLOOKUP(C2072,' Disaggregation - Section E '!A$618:N1284,7,0)*100),"")</f>
        <v/>
      </c>
      <c r="F2072" s="493" t="str">
        <f ca="1">IFERROR(VLOOKUP(C2072,' Disaggregation - Section E '!A$618:N1284,5,0),"")</f>
        <v/>
      </c>
      <c r="G2072" s="492" t="str">
        <f ca="1">IFERROR(IF(VLOOKUP(C2072,' Disaggregation - Section E '!A$618:N1284,6,0)=0,"",VLOOKUP(C2072,' Disaggregation - Section E '!A$618:N1284,6,0)),"")</f>
        <v/>
      </c>
      <c r="H2072" s="502" t="str">
        <f ca="1">IFERROR(IF(INDEX(' Disaggregation - Section E '!F$618:F2481,MATCH(C2072,' Disaggregation - Section E '!A$618:A2481,0)+1,1)&lt;&gt;0,INDEX(' Disaggregation - Section E '!F$618:F$1820,MATCH(C2072,' Disaggregation - Section E '!A$618:A2481,0)+1,1),""),"")</f>
        <v/>
      </c>
      <c r="I2072" s="493" t="str">
        <f ca="1">IFERROR(IF(VLOOKUP(C2072,' Disaggregation - Section E '!A$618:N1284,8,0)=0,"",VLOOKUP(C2072,' Disaggregation - Section E '!A$618:N1284,8,0)),"")</f>
        <v/>
      </c>
      <c r="J2072" s="493" t="str">
        <f ca="1">IFERROR(IF(VLOOKUP(C2072,' Disaggregation - Section E '!A$618:N2481,13,0)=0,"",VLOOKUP(C2072,' Disaggregation - Section E '!A$618:N2481,13,0)),"")</f>
        <v/>
      </c>
      <c r="K2072" s="487" t="str">
        <f ca="1">IFERROR(VLOOKUP(C2072,' Disaggregation - Section E '!A$618:N1284,3,0),"")</f>
        <v>PMTCT-2.1 Pourcentage de femmes enceintes séropositives pour le VIH ayant reçu une TARV durant leur grossesse et/ou le travail et l'accouchement</v>
      </c>
      <c r="L2072" s="487"/>
      <c r="M2072" s="487" t="str">
        <f ca="1">IFERROR(IF(VLOOKUP(C2072,' Disaggregation - Section E '!A$618:T1284,20,0)=0,"",VLOOKUP(C2072,' Disaggregation - Section E '!A$618:T1284,20,0)),"")</f>
        <v/>
      </c>
      <c r="N2072" s="493" t="str">
        <f ca="1">IFERROR(IF(VLOOKUP(C2072,' Disaggregation - Section E '!A$618:N1284,14,0)=0,"",VLOOKUP(C2072,' Disaggregation - Section E '!A$618:N1284,14,0)),"")</f>
        <v/>
      </c>
      <c r="O2072" s="493" t="str">
        <f ca="1">IFERROR(IF(VLOOKUP(C2072,' Disaggregation - Section E '!A$618:N1284,9,0)=0,"",VLOOKUP(C2072,' Disaggregation - Section E '!A$618:N1284,9,0)),"")</f>
        <v/>
      </c>
      <c r="P2072" s="493" t="str">
        <f ca="1">IFERROR(IF(VLOOKUP(C2072,' Disaggregation - Section E '!A$618:N1284,10,0)=0,"",VLOOKUP(C2072,' Disaggregation - Section E '!A$618:N1284,10,0)),"")</f>
        <v/>
      </c>
    </row>
    <row r="2073" spans="1:16" x14ac:dyDescent="0.3">
      <c r="A2073" s="487" t="b">
        <f t="shared" ca="1" si="147"/>
        <v>0</v>
      </c>
      <c r="B2073" s="487"/>
      <c r="C2073" s="500" t="str">
        <f ca="1">IF(COUNTA(D$1410:D2073)=1,"",OFFSET(B2071,-COUNTA(D$1410:D2073)+3,1))</f>
        <v>a163p000002zQaMAAU</v>
      </c>
      <c r="D2073" s="502"/>
      <c r="E2073" s="490" t="str">
        <f ca="1">IFERROR(IF(VLOOKUP(C2073,' Disaggregation - Section E '!A$618:N1285,7,0)=0,"",VLOOKUP(C2073,' Disaggregation - Section E '!A$618:N1285,7,0)*100),"")</f>
        <v/>
      </c>
      <c r="F2073" s="493" t="str">
        <f ca="1">IFERROR(VLOOKUP(C2073,' Disaggregation - Section E '!A$618:N1285,5,0),"")</f>
        <v/>
      </c>
      <c r="G2073" s="492" t="str">
        <f ca="1">IFERROR(IF(VLOOKUP(C2073,' Disaggregation - Section E '!A$618:N1285,6,0)=0,"",VLOOKUP(C2073,' Disaggregation - Section E '!A$618:N1285,6,0)),"")</f>
        <v/>
      </c>
      <c r="H2073" s="502" t="str">
        <f ca="1">IFERROR(IF(INDEX(' Disaggregation - Section E '!F$618:F2482,MATCH(C2073,' Disaggregation - Section E '!A$618:A2482,0)+1,1)&lt;&gt;0,INDEX(' Disaggregation - Section E '!F$618:F$1820,MATCH(C2073,' Disaggregation - Section E '!A$618:A2482,0)+1,1),""),"")</f>
        <v/>
      </c>
      <c r="I2073" s="493" t="str">
        <f ca="1">IFERROR(IF(VLOOKUP(C2073,' Disaggregation - Section E '!A$618:N1285,8,0)=0,"",VLOOKUP(C2073,' Disaggregation - Section E '!A$618:N1285,8,0)),"")</f>
        <v/>
      </c>
      <c r="J2073" s="493" t="str">
        <f ca="1">IFERROR(IF(VLOOKUP(C2073,' Disaggregation - Section E '!A$618:N2482,13,0)=0,"",VLOOKUP(C2073,' Disaggregation - Section E '!A$618:N2482,13,0)),"")</f>
        <v/>
      </c>
      <c r="K2073" s="487" t="str">
        <f ca="1">IFERROR(VLOOKUP(C2073,' Disaggregation - Section E '!A$618:N1285,3,0),"")</f>
        <v>PMTCT-2.1 Pourcentage de femmes enceintes séropositives pour le VIH ayant reçu une TARV durant leur grossesse et/ou le travail et l'accouchement</v>
      </c>
      <c r="L2073" s="487"/>
      <c r="M2073" s="487" t="str">
        <f ca="1">IFERROR(IF(VLOOKUP(C2073,' Disaggregation - Section E '!A$618:T1285,20,0)=0,"",VLOOKUP(C2073,' Disaggregation - Section E '!A$618:T1285,20,0)),"")</f>
        <v/>
      </c>
      <c r="N2073" s="493" t="str">
        <f ca="1">IFERROR(IF(VLOOKUP(C2073,' Disaggregation - Section E '!A$618:N1285,14,0)=0,"",VLOOKUP(C2073,' Disaggregation - Section E '!A$618:N1285,14,0)),"")</f>
        <v/>
      </c>
      <c r="O2073" s="493" t="str">
        <f ca="1">IFERROR(IF(VLOOKUP(C2073,' Disaggregation - Section E '!A$618:N1285,9,0)=0,"",VLOOKUP(C2073,' Disaggregation - Section E '!A$618:N1285,9,0)),"")</f>
        <v/>
      </c>
      <c r="P2073" s="493" t="str">
        <f ca="1">IFERROR(IF(VLOOKUP(C2073,' Disaggregation - Section E '!A$618:N1285,10,0)=0,"",VLOOKUP(C2073,' Disaggregation - Section E '!A$618:N1285,10,0)),"")</f>
        <v/>
      </c>
    </row>
    <row r="2074" spans="1:16" x14ac:dyDescent="0.3">
      <c r="A2074" s="487" t="b">
        <f t="shared" ca="1" si="147"/>
        <v>0</v>
      </c>
      <c r="B2074" s="487"/>
      <c r="C2074" s="500" t="str">
        <f ca="1">IF(COUNTA(D$1410:D2074)=1,"",OFFSET(B2072,-COUNTA(D$1410:D2074)+3,1))</f>
        <v>a163p000002zQaNAAU</v>
      </c>
      <c r="D2074" s="502"/>
      <c r="E2074" s="490" t="str">
        <f ca="1">IFERROR(IF(VLOOKUP(C2074,' Disaggregation - Section E '!A$618:N1286,7,0)=0,"",VLOOKUP(C2074,' Disaggregation - Section E '!A$618:N1286,7,0)*100),"")</f>
        <v/>
      </c>
      <c r="F2074" s="493" t="str">
        <f ca="1">IFERROR(VLOOKUP(C2074,' Disaggregation - Section E '!A$618:N1286,5,0),"")</f>
        <v/>
      </c>
      <c r="G2074" s="492" t="str">
        <f ca="1">IFERROR(IF(VLOOKUP(C2074,' Disaggregation - Section E '!A$618:N1286,6,0)=0,"",VLOOKUP(C2074,' Disaggregation - Section E '!A$618:N1286,6,0)),"")</f>
        <v/>
      </c>
      <c r="H2074" s="502" t="str">
        <f ca="1">IFERROR(IF(INDEX(' Disaggregation - Section E '!F$618:F2483,MATCH(C2074,' Disaggregation - Section E '!A$618:A2483,0)+1,1)&lt;&gt;0,INDEX(' Disaggregation - Section E '!F$618:F$1820,MATCH(C2074,' Disaggregation - Section E '!A$618:A2483,0)+1,1),""),"")</f>
        <v/>
      </c>
      <c r="I2074" s="493" t="str">
        <f ca="1">IFERROR(IF(VLOOKUP(C2074,' Disaggregation - Section E '!A$618:N1286,8,0)=0,"",VLOOKUP(C2074,' Disaggregation - Section E '!A$618:N1286,8,0)),"")</f>
        <v/>
      </c>
      <c r="J2074" s="493" t="str">
        <f ca="1">IFERROR(IF(VLOOKUP(C2074,' Disaggregation - Section E '!A$618:N2483,13,0)=0,"",VLOOKUP(C2074,' Disaggregation - Section E '!A$618:N2483,13,0)),"")</f>
        <v/>
      </c>
      <c r="K2074" s="487" t="str">
        <f ca="1">IFERROR(VLOOKUP(C2074,' Disaggregation - Section E '!A$618:N1286,3,0),"")</f>
        <v>PMTCT-2.1 Pourcentage de femmes enceintes séropositives pour le VIH ayant reçu une TARV durant leur grossesse et/ou le travail et l'accouchement</v>
      </c>
      <c r="L2074" s="487"/>
      <c r="M2074" s="487" t="str">
        <f ca="1">IFERROR(IF(VLOOKUP(C2074,' Disaggregation - Section E '!A$618:T1286,20,0)=0,"",VLOOKUP(C2074,' Disaggregation - Section E '!A$618:T1286,20,0)),"")</f>
        <v/>
      </c>
      <c r="N2074" s="493" t="str">
        <f ca="1">IFERROR(IF(VLOOKUP(C2074,' Disaggregation - Section E '!A$618:N1286,14,0)=0,"",VLOOKUP(C2074,' Disaggregation - Section E '!A$618:N1286,14,0)),"")</f>
        <v/>
      </c>
      <c r="O2074" s="493" t="str">
        <f ca="1">IFERROR(IF(VLOOKUP(C2074,' Disaggregation - Section E '!A$618:N1286,9,0)=0,"",VLOOKUP(C2074,' Disaggregation - Section E '!A$618:N1286,9,0)),"")</f>
        <v/>
      </c>
      <c r="P2074" s="493" t="str">
        <f ca="1">IFERROR(IF(VLOOKUP(C2074,' Disaggregation - Section E '!A$618:N1286,10,0)=0,"",VLOOKUP(C2074,' Disaggregation - Section E '!A$618:N1286,10,0)),"")</f>
        <v/>
      </c>
    </row>
    <row r="2075" spans="1:16" x14ac:dyDescent="0.3">
      <c r="A2075" s="487" t="b">
        <f t="shared" ca="1" si="147"/>
        <v>0</v>
      </c>
      <c r="B2075" s="487"/>
      <c r="C2075" s="500" t="str">
        <f ca="1">IF(COUNTA(D$1410:D2075)=1,"",OFFSET(B2073,-COUNTA(D$1410:D2075)+3,1))</f>
        <v>a163p000002zQaOAAU</v>
      </c>
      <c r="D2075" s="502"/>
      <c r="E2075" s="490" t="str">
        <f ca="1">IFERROR(IF(VLOOKUP(C2075,' Disaggregation - Section E '!A$618:N1287,7,0)=0,"",VLOOKUP(C2075,' Disaggregation - Section E '!A$618:N1287,7,0)*100),"")</f>
        <v/>
      </c>
      <c r="F2075" s="493" t="str">
        <f ca="1">IFERROR(VLOOKUP(C2075,' Disaggregation - Section E '!A$618:N1287,5,0),"")</f>
        <v/>
      </c>
      <c r="G2075" s="492" t="str">
        <f ca="1">IFERROR(IF(VLOOKUP(C2075,' Disaggregation - Section E '!A$618:N1287,6,0)=0,"",VLOOKUP(C2075,' Disaggregation - Section E '!A$618:N1287,6,0)),"")</f>
        <v/>
      </c>
      <c r="H2075" s="502" t="str">
        <f ca="1">IFERROR(IF(INDEX(' Disaggregation - Section E '!F$618:F2484,MATCH(C2075,' Disaggregation - Section E '!A$618:A2484,0)+1,1)&lt;&gt;0,INDEX(' Disaggregation - Section E '!F$618:F$1820,MATCH(C2075,' Disaggregation - Section E '!A$618:A2484,0)+1,1),""),"")</f>
        <v/>
      </c>
      <c r="I2075" s="493" t="str">
        <f ca="1">IFERROR(IF(VLOOKUP(C2075,' Disaggregation - Section E '!A$618:N1287,8,0)=0,"",VLOOKUP(C2075,' Disaggregation - Section E '!A$618:N1287,8,0)),"")</f>
        <v/>
      </c>
      <c r="J2075" s="493" t="str">
        <f ca="1">IFERROR(IF(VLOOKUP(C2075,' Disaggregation - Section E '!A$618:N2484,13,0)=0,"",VLOOKUP(C2075,' Disaggregation - Section E '!A$618:N2484,13,0)),"")</f>
        <v/>
      </c>
      <c r="K2075" s="487" t="str">
        <f ca="1">IFERROR(VLOOKUP(C2075,' Disaggregation - Section E '!A$618:N1287,3,0),"")</f>
        <v>PMTCT-2.1 Pourcentage de femmes enceintes séropositives pour le VIH ayant reçu une TARV durant leur grossesse et/ou le travail et l'accouchement</v>
      </c>
      <c r="L2075" s="487"/>
      <c r="M2075" s="487" t="str">
        <f ca="1">IFERROR(IF(VLOOKUP(C2075,' Disaggregation - Section E '!A$618:T1287,20,0)=0,"",VLOOKUP(C2075,' Disaggregation - Section E '!A$618:T1287,20,0)),"")</f>
        <v/>
      </c>
      <c r="N2075" s="493" t="str">
        <f ca="1">IFERROR(IF(VLOOKUP(C2075,' Disaggregation - Section E '!A$618:N1287,14,0)=0,"",VLOOKUP(C2075,' Disaggregation - Section E '!A$618:N1287,14,0)),"")</f>
        <v/>
      </c>
      <c r="O2075" s="493" t="str">
        <f ca="1">IFERROR(IF(VLOOKUP(C2075,' Disaggregation - Section E '!A$618:N1287,9,0)=0,"",VLOOKUP(C2075,' Disaggregation - Section E '!A$618:N1287,9,0)),"")</f>
        <v/>
      </c>
      <c r="P2075" s="493" t="str">
        <f ca="1">IFERROR(IF(VLOOKUP(C2075,' Disaggregation - Section E '!A$618:N1287,10,0)=0,"",VLOOKUP(C2075,' Disaggregation - Section E '!A$618:N1287,10,0)),"")</f>
        <v/>
      </c>
    </row>
    <row r="2076" spans="1:16" x14ac:dyDescent="0.3">
      <c r="A2076" s="487" t="b">
        <f t="shared" ref="A2076:A2139" ca="1" si="148">IF(AND(OR(E2076&lt;&gt;"",G2076&lt;&gt;"",H2076&lt;&gt;""),M2076&lt;&gt;""),TRUE,FALSE)</f>
        <v>0</v>
      </c>
      <c r="B2076" s="487"/>
      <c r="C2076" s="500" t="str">
        <f ca="1">IF(COUNTA(D$1410:D2076)=1,"",OFFSET(B2074,-COUNTA(D$1410:D2076)+3,1))</f>
        <v>a163p000002zQaPAAU</v>
      </c>
      <c r="D2076" s="502"/>
      <c r="E2076" s="490" t="str">
        <f ca="1">IFERROR(IF(VLOOKUP(C2076,' Disaggregation - Section E '!A$618:N1288,7,0)=0,"",VLOOKUP(C2076,' Disaggregation - Section E '!A$618:N1288,7,0)*100),"")</f>
        <v/>
      </c>
      <c r="F2076" s="493" t="str">
        <f ca="1">IFERROR(VLOOKUP(C2076,' Disaggregation - Section E '!A$618:N1288,5,0),"")</f>
        <v/>
      </c>
      <c r="G2076" s="492" t="str">
        <f ca="1">IFERROR(IF(VLOOKUP(C2076,' Disaggregation - Section E '!A$618:N1288,6,0)=0,"",VLOOKUP(C2076,' Disaggregation - Section E '!A$618:N1288,6,0)),"")</f>
        <v/>
      </c>
      <c r="H2076" s="502" t="str">
        <f ca="1">IFERROR(IF(INDEX(' Disaggregation - Section E '!F$618:F2485,MATCH(C2076,' Disaggregation - Section E '!A$618:A2485,0)+1,1)&lt;&gt;0,INDEX(' Disaggregation - Section E '!F$618:F$1820,MATCH(C2076,' Disaggregation - Section E '!A$618:A2485,0)+1,1),""),"")</f>
        <v/>
      </c>
      <c r="I2076" s="493" t="str">
        <f ca="1">IFERROR(IF(VLOOKUP(C2076,' Disaggregation - Section E '!A$618:N1288,8,0)=0,"",VLOOKUP(C2076,' Disaggregation - Section E '!A$618:N1288,8,0)),"")</f>
        <v/>
      </c>
      <c r="J2076" s="493" t="str">
        <f ca="1">IFERROR(IF(VLOOKUP(C2076,' Disaggregation - Section E '!A$618:N2485,13,0)=0,"",VLOOKUP(C2076,' Disaggregation - Section E '!A$618:N2485,13,0)),"")</f>
        <v/>
      </c>
      <c r="K2076" s="487" t="str">
        <f ca="1">IFERROR(VLOOKUP(C2076,' Disaggregation - Section E '!A$618:N1288,3,0),"")</f>
        <v>PMTCT-2.1 Pourcentage de femmes enceintes séropositives pour le VIH ayant reçu une TARV durant leur grossesse et/ou le travail et l'accouchement</v>
      </c>
      <c r="L2076" s="487"/>
      <c r="M2076" s="487" t="str">
        <f ca="1">IFERROR(IF(VLOOKUP(C2076,' Disaggregation - Section E '!A$618:T1288,20,0)=0,"",VLOOKUP(C2076,' Disaggregation - Section E '!A$618:T1288,20,0)),"")</f>
        <v/>
      </c>
      <c r="N2076" s="493" t="str">
        <f ca="1">IFERROR(IF(VLOOKUP(C2076,' Disaggregation - Section E '!A$618:N1288,14,0)=0,"",VLOOKUP(C2076,' Disaggregation - Section E '!A$618:N1288,14,0)),"")</f>
        <v/>
      </c>
      <c r="O2076" s="493" t="str">
        <f ca="1">IFERROR(IF(VLOOKUP(C2076,' Disaggregation - Section E '!A$618:N1288,9,0)=0,"",VLOOKUP(C2076,' Disaggregation - Section E '!A$618:N1288,9,0)),"")</f>
        <v/>
      </c>
      <c r="P2076" s="493" t="str">
        <f ca="1">IFERROR(IF(VLOOKUP(C2076,' Disaggregation - Section E '!A$618:N1288,10,0)=0,"",VLOOKUP(C2076,' Disaggregation - Section E '!A$618:N1288,10,0)),"")</f>
        <v/>
      </c>
    </row>
    <row r="2077" spans="1:16" x14ac:dyDescent="0.3">
      <c r="A2077" s="487" t="b">
        <f t="shared" ca="1" si="148"/>
        <v>0</v>
      </c>
      <c r="B2077" s="487"/>
      <c r="C2077" s="500" t="str">
        <f ca="1">IF(COUNTA(D$1410:D2077)=1,"",OFFSET(B2075,-COUNTA(D$1410:D2077)+3,1))</f>
        <v>a163p000002zQaQAAU</v>
      </c>
      <c r="D2077" s="502"/>
      <c r="E2077" s="490" t="str">
        <f ca="1">IFERROR(IF(VLOOKUP(C2077,' Disaggregation - Section E '!A$618:N1289,7,0)=0,"",VLOOKUP(C2077,' Disaggregation - Section E '!A$618:N1289,7,0)*100),"")</f>
        <v/>
      </c>
      <c r="F2077" s="493" t="str">
        <f ca="1">IFERROR(VLOOKUP(C2077,' Disaggregation - Section E '!A$618:N1289,5,0),"")</f>
        <v/>
      </c>
      <c r="G2077" s="492" t="str">
        <f ca="1">IFERROR(IF(VLOOKUP(C2077,' Disaggregation - Section E '!A$618:N1289,6,0)=0,"",VLOOKUP(C2077,' Disaggregation - Section E '!A$618:N1289,6,0)),"")</f>
        <v/>
      </c>
      <c r="H2077" s="502" t="str">
        <f ca="1">IFERROR(IF(INDEX(' Disaggregation - Section E '!F$618:F2486,MATCH(C2077,' Disaggregation - Section E '!A$618:A2486,0)+1,1)&lt;&gt;0,INDEX(' Disaggregation - Section E '!F$618:F$1820,MATCH(C2077,' Disaggregation - Section E '!A$618:A2486,0)+1,1),""),"")</f>
        <v/>
      </c>
      <c r="I2077" s="493" t="str">
        <f ca="1">IFERROR(IF(VLOOKUP(C2077,' Disaggregation - Section E '!A$618:N1289,8,0)=0,"",VLOOKUP(C2077,' Disaggregation - Section E '!A$618:N1289,8,0)),"")</f>
        <v/>
      </c>
      <c r="J2077" s="493" t="str">
        <f ca="1">IFERROR(IF(VLOOKUP(C2077,' Disaggregation - Section E '!A$618:N2486,13,0)=0,"",VLOOKUP(C2077,' Disaggregation - Section E '!A$618:N2486,13,0)),"")</f>
        <v/>
      </c>
      <c r="K2077" s="487" t="str">
        <f ca="1">IFERROR(VLOOKUP(C2077,' Disaggregation - Section E '!A$618:N1289,3,0),"")</f>
        <v>PMTCT-2.1 Pourcentage de femmes enceintes séropositives pour le VIH ayant reçu une TARV durant leur grossesse et/ou le travail et l'accouchement</v>
      </c>
      <c r="L2077" s="487"/>
      <c r="M2077" s="487" t="str">
        <f ca="1">IFERROR(IF(VLOOKUP(C2077,' Disaggregation - Section E '!A$618:T1289,20,0)=0,"",VLOOKUP(C2077,' Disaggregation - Section E '!A$618:T1289,20,0)),"")</f>
        <v/>
      </c>
      <c r="N2077" s="493" t="str">
        <f ca="1">IFERROR(IF(VLOOKUP(C2077,' Disaggregation - Section E '!A$618:N1289,14,0)=0,"",VLOOKUP(C2077,' Disaggregation - Section E '!A$618:N1289,14,0)),"")</f>
        <v/>
      </c>
      <c r="O2077" s="493" t="str">
        <f ca="1">IFERROR(IF(VLOOKUP(C2077,' Disaggregation - Section E '!A$618:N1289,9,0)=0,"",VLOOKUP(C2077,' Disaggregation - Section E '!A$618:N1289,9,0)),"")</f>
        <v/>
      </c>
      <c r="P2077" s="493" t="str">
        <f ca="1">IFERROR(IF(VLOOKUP(C2077,' Disaggregation - Section E '!A$618:N1289,10,0)=0,"",VLOOKUP(C2077,' Disaggregation - Section E '!A$618:N1289,10,0)),"")</f>
        <v/>
      </c>
    </row>
    <row r="2078" spans="1:16" x14ac:dyDescent="0.3">
      <c r="A2078" s="487" t="b">
        <f t="shared" ca="1" si="148"/>
        <v>0</v>
      </c>
      <c r="B2078" s="487"/>
      <c r="C2078" s="500" t="str">
        <f ca="1">IF(COUNTA(D$1410:D2078)=1,"",OFFSET(B2076,-COUNTA(D$1410:D2078)+3,1))</f>
        <v>a163p000002zQaRAAU</v>
      </c>
      <c r="D2078" s="502"/>
      <c r="E2078" s="490" t="str">
        <f ca="1">IFERROR(IF(VLOOKUP(C2078,' Disaggregation - Section E '!A$618:N1290,7,0)=0,"",VLOOKUP(C2078,' Disaggregation - Section E '!A$618:N1290,7,0)*100),"")</f>
        <v/>
      </c>
      <c r="F2078" s="493" t="str">
        <f ca="1">IFERROR(VLOOKUP(C2078,' Disaggregation - Section E '!A$618:N1290,5,0),"")</f>
        <v/>
      </c>
      <c r="G2078" s="492" t="str">
        <f ca="1">IFERROR(IF(VLOOKUP(C2078,' Disaggregation - Section E '!A$618:N1290,6,0)=0,"",VLOOKUP(C2078,' Disaggregation - Section E '!A$618:N1290,6,0)),"")</f>
        <v/>
      </c>
      <c r="H2078" s="502" t="str">
        <f ca="1">IFERROR(IF(INDEX(' Disaggregation - Section E '!F$618:F2487,MATCH(C2078,' Disaggregation - Section E '!A$618:A2487,0)+1,1)&lt;&gt;0,INDEX(' Disaggregation - Section E '!F$618:F$1820,MATCH(C2078,' Disaggregation - Section E '!A$618:A2487,0)+1,1),""),"")</f>
        <v/>
      </c>
      <c r="I2078" s="493" t="str">
        <f ca="1">IFERROR(IF(VLOOKUP(C2078,' Disaggregation - Section E '!A$618:N1290,8,0)=0,"",VLOOKUP(C2078,' Disaggregation - Section E '!A$618:N1290,8,0)),"")</f>
        <v/>
      </c>
      <c r="J2078" s="493" t="str">
        <f ca="1">IFERROR(IF(VLOOKUP(C2078,' Disaggregation - Section E '!A$618:N2487,13,0)=0,"",VLOOKUP(C2078,' Disaggregation - Section E '!A$618:N2487,13,0)),"")</f>
        <v/>
      </c>
      <c r="K2078" s="487" t="str">
        <f ca="1">IFERROR(VLOOKUP(C2078,' Disaggregation - Section E '!A$618:N1290,3,0),"")</f>
        <v>PMTCT-2.1 Pourcentage de femmes enceintes séropositives pour le VIH ayant reçu une TARV durant leur grossesse et/ou le travail et l'accouchement</v>
      </c>
      <c r="L2078" s="487"/>
      <c r="M2078" s="487" t="str">
        <f ca="1">IFERROR(IF(VLOOKUP(C2078,' Disaggregation - Section E '!A$618:T1290,20,0)=0,"",VLOOKUP(C2078,' Disaggregation - Section E '!A$618:T1290,20,0)),"")</f>
        <v/>
      </c>
      <c r="N2078" s="493" t="str">
        <f ca="1">IFERROR(IF(VLOOKUP(C2078,' Disaggregation - Section E '!A$618:N1290,14,0)=0,"",VLOOKUP(C2078,' Disaggregation - Section E '!A$618:N1290,14,0)),"")</f>
        <v/>
      </c>
      <c r="O2078" s="493" t="str">
        <f ca="1">IFERROR(IF(VLOOKUP(C2078,' Disaggregation - Section E '!A$618:N1290,9,0)=0,"",VLOOKUP(C2078,' Disaggregation - Section E '!A$618:N1290,9,0)),"")</f>
        <v/>
      </c>
      <c r="P2078" s="493" t="str">
        <f ca="1">IFERROR(IF(VLOOKUP(C2078,' Disaggregation - Section E '!A$618:N1290,10,0)=0,"",VLOOKUP(C2078,' Disaggregation - Section E '!A$618:N1290,10,0)),"")</f>
        <v/>
      </c>
    </row>
    <row r="2079" spans="1:16" x14ac:dyDescent="0.3">
      <c r="A2079" s="487" t="b">
        <f t="shared" ca="1" si="148"/>
        <v>0</v>
      </c>
      <c r="B2079" s="487"/>
      <c r="C2079" s="500" t="str">
        <f ca="1">IF(COUNTA(D$1410:D2079)=1,"",OFFSET(B2077,-COUNTA(D$1410:D2079)+3,1))</f>
        <v>a163p000002zQaSAAU</v>
      </c>
      <c r="D2079" s="502"/>
      <c r="E2079" s="490" t="str">
        <f ca="1">IFERROR(IF(VLOOKUP(C2079,' Disaggregation - Section E '!A$618:N1291,7,0)=0,"",VLOOKUP(C2079,' Disaggregation - Section E '!A$618:N1291,7,0)*100),"")</f>
        <v/>
      </c>
      <c r="F2079" s="493" t="str">
        <f ca="1">IFERROR(VLOOKUP(C2079,' Disaggregation - Section E '!A$618:N1291,5,0),"")</f>
        <v/>
      </c>
      <c r="G2079" s="492" t="str">
        <f ca="1">IFERROR(IF(VLOOKUP(C2079,' Disaggregation - Section E '!A$618:N1291,6,0)=0,"",VLOOKUP(C2079,' Disaggregation - Section E '!A$618:N1291,6,0)),"")</f>
        <v/>
      </c>
      <c r="H2079" s="502" t="str">
        <f ca="1">IFERROR(IF(INDEX(' Disaggregation - Section E '!F$618:F2488,MATCH(C2079,' Disaggregation - Section E '!A$618:A2488,0)+1,1)&lt;&gt;0,INDEX(' Disaggregation - Section E '!F$618:F$1820,MATCH(C2079,' Disaggregation - Section E '!A$618:A2488,0)+1,1),""),"")</f>
        <v/>
      </c>
      <c r="I2079" s="493" t="str">
        <f ca="1">IFERROR(IF(VLOOKUP(C2079,' Disaggregation - Section E '!A$618:N1291,8,0)=0,"",VLOOKUP(C2079,' Disaggregation - Section E '!A$618:N1291,8,0)),"")</f>
        <v/>
      </c>
      <c r="J2079" s="493" t="str">
        <f ca="1">IFERROR(IF(VLOOKUP(C2079,' Disaggregation - Section E '!A$618:N2488,13,0)=0,"",VLOOKUP(C2079,' Disaggregation - Section E '!A$618:N2488,13,0)),"")</f>
        <v/>
      </c>
      <c r="K2079" s="487" t="str">
        <f ca="1">IFERROR(VLOOKUP(C2079,' Disaggregation - Section E '!A$618:N1291,3,0),"")</f>
        <v>PMTCT-2.1 Pourcentage de femmes enceintes séropositives pour le VIH ayant reçu une TARV durant leur grossesse et/ou le travail et l'accouchement</v>
      </c>
      <c r="L2079" s="487"/>
      <c r="M2079" s="487" t="str">
        <f ca="1">IFERROR(IF(VLOOKUP(C2079,' Disaggregation - Section E '!A$618:T1291,20,0)=0,"",VLOOKUP(C2079,' Disaggregation - Section E '!A$618:T1291,20,0)),"")</f>
        <v/>
      </c>
      <c r="N2079" s="493" t="str">
        <f ca="1">IFERROR(IF(VLOOKUP(C2079,' Disaggregation - Section E '!A$618:N1291,14,0)=0,"",VLOOKUP(C2079,' Disaggregation - Section E '!A$618:N1291,14,0)),"")</f>
        <v/>
      </c>
      <c r="O2079" s="493" t="str">
        <f ca="1">IFERROR(IF(VLOOKUP(C2079,' Disaggregation - Section E '!A$618:N1291,9,0)=0,"",VLOOKUP(C2079,' Disaggregation - Section E '!A$618:N1291,9,0)),"")</f>
        <v/>
      </c>
      <c r="P2079" s="493" t="str">
        <f ca="1">IFERROR(IF(VLOOKUP(C2079,' Disaggregation - Section E '!A$618:N1291,10,0)=0,"",VLOOKUP(C2079,' Disaggregation - Section E '!A$618:N1291,10,0)),"")</f>
        <v/>
      </c>
    </row>
    <row r="2080" spans="1:16" x14ac:dyDescent="0.3">
      <c r="A2080" s="487" t="b">
        <f t="shared" ca="1" si="148"/>
        <v>0</v>
      </c>
      <c r="B2080" s="487"/>
      <c r="C2080" s="500" t="str">
        <f ca="1">IF(COUNTA(D$1410:D2080)=1,"",OFFSET(B2078,-COUNTA(D$1410:D2080)+3,1))</f>
        <v>a163p000002zQaTAAU</v>
      </c>
      <c r="D2080" s="502"/>
      <c r="E2080" s="490" t="str">
        <f ca="1">IFERROR(IF(VLOOKUP(C2080,' Disaggregation - Section E '!A$618:N1292,7,0)=0,"",VLOOKUP(C2080,' Disaggregation - Section E '!A$618:N1292,7,0)*100),"")</f>
        <v/>
      </c>
      <c r="F2080" s="493" t="str">
        <f ca="1">IFERROR(VLOOKUP(C2080,' Disaggregation - Section E '!A$618:N1292,5,0),"")</f>
        <v/>
      </c>
      <c r="G2080" s="492" t="str">
        <f ca="1">IFERROR(IF(VLOOKUP(C2080,' Disaggregation - Section E '!A$618:N1292,6,0)=0,"",VLOOKUP(C2080,' Disaggregation - Section E '!A$618:N1292,6,0)),"")</f>
        <v/>
      </c>
      <c r="H2080" s="502" t="str">
        <f ca="1">IFERROR(IF(INDEX(' Disaggregation - Section E '!F$618:F2489,MATCH(C2080,' Disaggregation - Section E '!A$618:A2489,0)+1,1)&lt;&gt;0,INDEX(' Disaggregation - Section E '!F$618:F$1820,MATCH(C2080,' Disaggregation - Section E '!A$618:A2489,0)+1,1),""),"")</f>
        <v/>
      </c>
      <c r="I2080" s="493" t="str">
        <f ca="1">IFERROR(IF(VLOOKUP(C2080,' Disaggregation - Section E '!A$618:N1292,8,0)=0,"",VLOOKUP(C2080,' Disaggregation - Section E '!A$618:N1292,8,0)),"")</f>
        <v/>
      </c>
      <c r="J2080" s="493" t="str">
        <f ca="1">IFERROR(IF(VLOOKUP(C2080,' Disaggregation - Section E '!A$618:N2489,13,0)=0,"",VLOOKUP(C2080,' Disaggregation - Section E '!A$618:N2489,13,0)),"")</f>
        <v/>
      </c>
      <c r="K2080" s="487" t="str">
        <f ca="1">IFERROR(VLOOKUP(C2080,' Disaggregation - Section E '!A$618:N1292,3,0),"")</f>
        <v>PMTCT-2.1 Pourcentage de femmes enceintes séropositives pour le VIH ayant reçu une TARV durant leur grossesse et/ou le travail et l'accouchement</v>
      </c>
      <c r="L2080" s="487"/>
      <c r="M2080" s="487" t="str">
        <f ca="1">IFERROR(IF(VLOOKUP(C2080,' Disaggregation - Section E '!A$618:T1292,20,0)=0,"",VLOOKUP(C2080,' Disaggregation - Section E '!A$618:T1292,20,0)),"")</f>
        <v/>
      </c>
      <c r="N2080" s="493" t="str">
        <f ca="1">IFERROR(IF(VLOOKUP(C2080,' Disaggregation - Section E '!A$618:N1292,14,0)=0,"",VLOOKUP(C2080,' Disaggregation - Section E '!A$618:N1292,14,0)),"")</f>
        <v/>
      </c>
      <c r="O2080" s="493" t="str">
        <f ca="1">IFERROR(IF(VLOOKUP(C2080,' Disaggregation - Section E '!A$618:N1292,9,0)=0,"",VLOOKUP(C2080,' Disaggregation - Section E '!A$618:N1292,9,0)),"")</f>
        <v/>
      </c>
      <c r="P2080" s="493" t="str">
        <f ca="1">IFERROR(IF(VLOOKUP(C2080,' Disaggregation - Section E '!A$618:N1292,10,0)=0,"",VLOOKUP(C2080,' Disaggregation - Section E '!A$618:N1292,10,0)),"")</f>
        <v/>
      </c>
    </row>
    <row r="2081" spans="1:16" x14ac:dyDescent="0.3">
      <c r="A2081" s="487" t="b">
        <f t="shared" ca="1" si="148"/>
        <v>0</v>
      </c>
      <c r="B2081" s="487"/>
      <c r="C2081" s="500" t="str">
        <f ca="1">IF(COUNTA(D$1410:D2081)=1,"",OFFSET(B2079,-COUNTA(D$1410:D2081)+3,1))</f>
        <v>a163p000002zQaUAAU</v>
      </c>
      <c r="D2081" s="502"/>
      <c r="E2081" s="490" t="str">
        <f ca="1">IFERROR(IF(VLOOKUP(C2081,' Disaggregation - Section E '!A$618:N1293,7,0)=0,"",VLOOKUP(C2081,' Disaggregation - Section E '!A$618:N1293,7,0)*100),"")</f>
        <v/>
      </c>
      <c r="F2081" s="493" t="str">
        <f ca="1">IFERROR(VLOOKUP(C2081,' Disaggregation - Section E '!A$618:N1293,5,0),"")</f>
        <v/>
      </c>
      <c r="G2081" s="492" t="str">
        <f ca="1">IFERROR(IF(VLOOKUP(C2081,' Disaggregation - Section E '!A$618:N1293,6,0)=0,"",VLOOKUP(C2081,' Disaggregation - Section E '!A$618:N1293,6,0)),"")</f>
        <v/>
      </c>
      <c r="H2081" s="502" t="str">
        <f ca="1">IFERROR(IF(INDEX(' Disaggregation - Section E '!F$618:F2490,MATCH(C2081,' Disaggregation - Section E '!A$618:A2490,0)+1,1)&lt;&gt;0,INDEX(' Disaggregation - Section E '!F$618:F$1820,MATCH(C2081,' Disaggregation - Section E '!A$618:A2490,0)+1,1),""),"")</f>
        <v/>
      </c>
      <c r="I2081" s="493" t="str">
        <f ca="1">IFERROR(IF(VLOOKUP(C2081,' Disaggregation - Section E '!A$618:N1293,8,0)=0,"",VLOOKUP(C2081,' Disaggregation - Section E '!A$618:N1293,8,0)),"")</f>
        <v/>
      </c>
      <c r="J2081" s="493" t="str">
        <f ca="1">IFERROR(IF(VLOOKUP(C2081,' Disaggregation - Section E '!A$618:N2490,13,0)=0,"",VLOOKUP(C2081,' Disaggregation - Section E '!A$618:N2490,13,0)),"")</f>
        <v/>
      </c>
      <c r="K2081" s="487" t="str">
        <f ca="1">IFERROR(VLOOKUP(C2081,' Disaggregation - Section E '!A$618:N1293,3,0),"")</f>
        <v>PMTCT-2.1 Pourcentage de femmes enceintes séropositives pour le VIH ayant reçu une TARV durant leur grossesse et/ou le travail et l'accouchement</v>
      </c>
      <c r="L2081" s="487"/>
      <c r="M2081" s="487" t="str">
        <f ca="1">IFERROR(IF(VLOOKUP(C2081,' Disaggregation - Section E '!A$618:T1293,20,0)=0,"",VLOOKUP(C2081,' Disaggregation - Section E '!A$618:T1293,20,0)),"")</f>
        <v/>
      </c>
      <c r="N2081" s="493" t="str">
        <f ca="1">IFERROR(IF(VLOOKUP(C2081,' Disaggregation - Section E '!A$618:N1293,14,0)=0,"",VLOOKUP(C2081,' Disaggregation - Section E '!A$618:N1293,14,0)),"")</f>
        <v/>
      </c>
      <c r="O2081" s="493" t="str">
        <f ca="1">IFERROR(IF(VLOOKUP(C2081,' Disaggregation - Section E '!A$618:N1293,9,0)=0,"",VLOOKUP(C2081,' Disaggregation - Section E '!A$618:N1293,9,0)),"")</f>
        <v/>
      </c>
      <c r="P2081" s="493" t="str">
        <f ca="1">IFERROR(IF(VLOOKUP(C2081,' Disaggregation - Section E '!A$618:N1293,10,0)=0,"",VLOOKUP(C2081,' Disaggregation - Section E '!A$618:N1293,10,0)),"")</f>
        <v/>
      </c>
    </row>
    <row r="2082" spans="1:16" x14ac:dyDescent="0.3">
      <c r="A2082" s="487" t="b">
        <f t="shared" ca="1" si="148"/>
        <v>0</v>
      </c>
      <c r="B2082" s="487"/>
      <c r="C2082" s="500" t="str">
        <f ca="1">IF(COUNTA(D$1410:D2082)=1,"",OFFSET(B2080,-COUNTA(D$1410:D2082)+3,1))</f>
        <v>a163p000002zQaVAAU</v>
      </c>
      <c r="D2082" s="502"/>
      <c r="E2082" s="490" t="str">
        <f ca="1">IFERROR(IF(VLOOKUP(C2082,' Disaggregation - Section E '!A$618:N1294,7,0)=0,"",VLOOKUP(C2082,' Disaggregation - Section E '!A$618:N1294,7,0)*100),"")</f>
        <v/>
      </c>
      <c r="F2082" s="493" t="str">
        <f ca="1">IFERROR(VLOOKUP(C2082,' Disaggregation - Section E '!A$618:N1294,5,0),"")</f>
        <v/>
      </c>
      <c r="G2082" s="492" t="str">
        <f ca="1">IFERROR(IF(VLOOKUP(C2082,' Disaggregation - Section E '!A$618:N1294,6,0)=0,"",VLOOKUP(C2082,' Disaggregation - Section E '!A$618:N1294,6,0)),"")</f>
        <v/>
      </c>
      <c r="H2082" s="502" t="str">
        <f ca="1">IFERROR(IF(INDEX(' Disaggregation - Section E '!F$618:F2491,MATCH(C2082,' Disaggregation - Section E '!A$618:A2491,0)+1,1)&lt;&gt;0,INDEX(' Disaggregation - Section E '!F$618:F$1820,MATCH(C2082,' Disaggregation - Section E '!A$618:A2491,0)+1,1),""),"")</f>
        <v/>
      </c>
      <c r="I2082" s="493" t="str">
        <f ca="1">IFERROR(IF(VLOOKUP(C2082,' Disaggregation - Section E '!A$618:N1294,8,0)=0,"",VLOOKUP(C2082,' Disaggregation - Section E '!A$618:N1294,8,0)),"")</f>
        <v/>
      </c>
      <c r="J2082" s="493" t="str">
        <f ca="1">IFERROR(IF(VLOOKUP(C2082,' Disaggregation - Section E '!A$618:N2491,13,0)=0,"",VLOOKUP(C2082,' Disaggregation - Section E '!A$618:N2491,13,0)),"")</f>
        <v/>
      </c>
      <c r="K2082" s="487" t="str">
        <f ca="1">IFERROR(VLOOKUP(C2082,' Disaggregation - Section E '!A$618:N1294,3,0),"")</f>
        <v>PMTCT-2.1 Pourcentage de femmes enceintes séropositives pour le VIH ayant reçu une TARV durant leur grossesse et/ou le travail et l'accouchement</v>
      </c>
      <c r="L2082" s="487"/>
      <c r="M2082" s="487" t="str">
        <f ca="1">IFERROR(IF(VLOOKUP(C2082,' Disaggregation - Section E '!A$618:T1294,20,0)=0,"",VLOOKUP(C2082,' Disaggregation - Section E '!A$618:T1294,20,0)),"")</f>
        <v/>
      </c>
      <c r="N2082" s="493" t="str">
        <f ca="1">IFERROR(IF(VLOOKUP(C2082,' Disaggregation - Section E '!A$618:N1294,14,0)=0,"",VLOOKUP(C2082,' Disaggregation - Section E '!A$618:N1294,14,0)),"")</f>
        <v/>
      </c>
      <c r="O2082" s="493" t="str">
        <f ca="1">IFERROR(IF(VLOOKUP(C2082,' Disaggregation - Section E '!A$618:N1294,9,0)=0,"",VLOOKUP(C2082,' Disaggregation - Section E '!A$618:N1294,9,0)),"")</f>
        <v/>
      </c>
      <c r="P2082" s="493" t="str">
        <f ca="1">IFERROR(IF(VLOOKUP(C2082,' Disaggregation - Section E '!A$618:N1294,10,0)=0,"",VLOOKUP(C2082,' Disaggregation - Section E '!A$618:N1294,10,0)),"")</f>
        <v/>
      </c>
    </row>
    <row r="2083" spans="1:16" x14ac:dyDescent="0.3">
      <c r="A2083" s="487" t="b">
        <f t="shared" ca="1" si="148"/>
        <v>0</v>
      </c>
      <c r="B2083" s="487"/>
      <c r="C2083" s="500" t="str">
        <f ca="1">IF(COUNTA(D$1410:D2083)=1,"",OFFSET(B2081,-COUNTA(D$1410:D2083)+3,1))</f>
        <v>a163p000002zQaWAAU</v>
      </c>
      <c r="D2083" s="502"/>
      <c r="E2083" s="490" t="str">
        <f ca="1">IFERROR(IF(VLOOKUP(C2083,' Disaggregation - Section E '!A$618:N1295,7,0)=0,"",VLOOKUP(C2083,' Disaggregation - Section E '!A$618:N1295,7,0)*100),"")</f>
        <v/>
      </c>
      <c r="F2083" s="493" t="str">
        <f ca="1">IFERROR(VLOOKUP(C2083,' Disaggregation - Section E '!A$618:N1295,5,0),"")</f>
        <v/>
      </c>
      <c r="G2083" s="492" t="str">
        <f ca="1">IFERROR(IF(VLOOKUP(C2083,' Disaggregation - Section E '!A$618:N1295,6,0)=0,"",VLOOKUP(C2083,' Disaggregation - Section E '!A$618:N1295,6,0)),"")</f>
        <v/>
      </c>
      <c r="H2083" s="502" t="str">
        <f ca="1">IFERROR(IF(INDEX(' Disaggregation - Section E '!F$618:F2492,MATCH(C2083,' Disaggregation - Section E '!A$618:A2492,0)+1,1)&lt;&gt;0,INDEX(' Disaggregation - Section E '!F$618:F$1820,MATCH(C2083,' Disaggregation - Section E '!A$618:A2492,0)+1,1),""),"")</f>
        <v/>
      </c>
      <c r="I2083" s="493" t="str">
        <f ca="1">IFERROR(IF(VLOOKUP(C2083,' Disaggregation - Section E '!A$618:N1295,8,0)=0,"",VLOOKUP(C2083,' Disaggregation - Section E '!A$618:N1295,8,0)),"")</f>
        <v/>
      </c>
      <c r="J2083" s="493" t="str">
        <f ca="1">IFERROR(IF(VLOOKUP(C2083,' Disaggregation - Section E '!A$618:N2492,13,0)=0,"",VLOOKUP(C2083,' Disaggregation - Section E '!A$618:N2492,13,0)),"")</f>
        <v/>
      </c>
      <c r="K2083" s="487" t="str">
        <f ca="1">IFERROR(VLOOKUP(C2083,' Disaggregation - Section E '!A$618:N1295,3,0),"")</f>
        <v>PMTCT-2.1 Pourcentage de femmes enceintes séropositives pour le VIH ayant reçu une TARV durant leur grossesse et/ou le travail et l'accouchement</v>
      </c>
      <c r="L2083" s="487"/>
      <c r="M2083" s="487" t="str">
        <f ca="1">IFERROR(IF(VLOOKUP(C2083,' Disaggregation - Section E '!A$618:T1295,20,0)=0,"",VLOOKUP(C2083,' Disaggregation - Section E '!A$618:T1295,20,0)),"")</f>
        <v/>
      </c>
      <c r="N2083" s="493" t="str">
        <f ca="1">IFERROR(IF(VLOOKUP(C2083,' Disaggregation - Section E '!A$618:N1295,14,0)=0,"",VLOOKUP(C2083,' Disaggregation - Section E '!A$618:N1295,14,0)),"")</f>
        <v/>
      </c>
      <c r="O2083" s="493" t="str">
        <f ca="1">IFERROR(IF(VLOOKUP(C2083,' Disaggregation - Section E '!A$618:N1295,9,0)=0,"",VLOOKUP(C2083,' Disaggregation - Section E '!A$618:N1295,9,0)),"")</f>
        <v/>
      </c>
      <c r="P2083" s="493" t="str">
        <f ca="1">IFERROR(IF(VLOOKUP(C2083,' Disaggregation - Section E '!A$618:N1295,10,0)=0,"",VLOOKUP(C2083,' Disaggregation - Section E '!A$618:N1295,10,0)),"")</f>
        <v/>
      </c>
    </row>
    <row r="2084" spans="1:16" x14ac:dyDescent="0.3">
      <c r="A2084" s="487" t="b">
        <f t="shared" ca="1" si="148"/>
        <v>0</v>
      </c>
      <c r="B2084" s="487"/>
      <c r="C2084" s="500" t="str">
        <f ca="1">IF(COUNTA(D$1410:D2084)=1,"",OFFSET(B2082,-COUNTA(D$1410:D2084)+3,1))</f>
        <v>a163p000002zQaXAAU</v>
      </c>
      <c r="D2084" s="502"/>
      <c r="E2084" s="490" t="str">
        <f ca="1">IFERROR(IF(VLOOKUP(C2084,' Disaggregation - Section E '!A$618:N1296,7,0)=0,"",VLOOKUP(C2084,' Disaggregation - Section E '!A$618:N1296,7,0)*100),"")</f>
        <v/>
      </c>
      <c r="F2084" s="493" t="str">
        <f ca="1">IFERROR(VLOOKUP(C2084,' Disaggregation - Section E '!A$618:N1296,5,0),"")</f>
        <v/>
      </c>
      <c r="G2084" s="492" t="str">
        <f ca="1">IFERROR(IF(VLOOKUP(C2084,' Disaggregation - Section E '!A$618:N1296,6,0)=0,"",VLOOKUP(C2084,' Disaggregation - Section E '!A$618:N1296,6,0)),"")</f>
        <v/>
      </c>
      <c r="H2084" s="502" t="str">
        <f ca="1">IFERROR(IF(INDEX(' Disaggregation - Section E '!F$618:F2493,MATCH(C2084,' Disaggregation - Section E '!A$618:A2493,0)+1,1)&lt;&gt;0,INDEX(' Disaggregation - Section E '!F$618:F$1820,MATCH(C2084,' Disaggregation - Section E '!A$618:A2493,0)+1,1),""),"")</f>
        <v/>
      </c>
      <c r="I2084" s="493" t="str">
        <f ca="1">IFERROR(IF(VLOOKUP(C2084,' Disaggregation - Section E '!A$618:N1296,8,0)=0,"",VLOOKUP(C2084,' Disaggregation - Section E '!A$618:N1296,8,0)),"")</f>
        <v/>
      </c>
      <c r="J2084" s="493" t="str">
        <f ca="1">IFERROR(IF(VLOOKUP(C2084,' Disaggregation - Section E '!A$618:N2493,13,0)=0,"",VLOOKUP(C2084,' Disaggregation - Section E '!A$618:N2493,13,0)),"")</f>
        <v/>
      </c>
      <c r="K2084" s="487" t="str">
        <f ca="1">IFERROR(VLOOKUP(C2084,' Disaggregation - Section E '!A$618:N1296,3,0),"")</f>
        <v>PMTCT-2.1 Pourcentage de femmes enceintes séropositives pour le VIH ayant reçu une TARV durant leur grossesse et/ou le travail et l'accouchement</v>
      </c>
      <c r="L2084" s="487"/>
      <c r="M2084" s="487" t="str">
        <f ca="1">IFERROR(IF(VLOOKUP(C2084,' Disaggregation - Section E '!A$618:T1296,20,0)=0,"",VLOOKUP(C2084,' Disaggregation - Section E '!A$618:T1296,20,0)),"")</f>
        <v/>
      </c>
      <c r="N2084" s="493" t="str">
        <f ca="1">IFERROR(IF(VLOOKUP(C2084,' Disaggregation - Section E '!A$618:N1296,14,0)=0,"",VLOOKUP(C2084,' Disaggregation - Section E '!A$618:N1296,14,0)),"")</f>
        <v/>
      </c>
      <c r="O2084" s="493" t="str">
        <f ca="1">IFERROR(IF(VLOOKUP(C2084,' Disaggregation - Section E '!A$618:N1296,9,0)=0,"",VLOOKUP(C2084,' Disaggregation - Section E '!A$618:N1296,9,0)),"")</f>
        <v/>
      </c>
      <c r="P2084" s="493" t="str">
        <f ca="1">IFERROR(IF(VLOOKUP(C2084,' Disaggregation - Section E '!A$618:N1296,10,0)=0,"",VLOOKUP(C2084,' Disaggregation - Section E '!A$618:N1296,10,0)),"")</f>
        <v/>
      </c>
    </row>
    <row r="2085" spans="1:16" x14ac:dyDescent="0.3">
      <c r="A2085" s="487" t="b">
        <f t="shared" ca="1" si="148"/>
        <v>0</v>
      </c>
      <c r="B2085" s="487"/>
      <c r="C2085" s="500" t="str">
        <f ca="1">IF(COUNTA(D$1410:D2085)=1,"",OFFSET(B2083,-COUNTA(D$1410:D2085)+3,1))</f>
        <v>a163p000002zQaYAAU</v>
      </c>
      <c r="D2085" s="502"/>
      <c r="E2085" s="490" t="str">
        <f ca="1">IFERROR(IF(VLOOKUP(C2085,' Disaggregation - Section E '!A$618:N1297,7,0)=0,"",VLOOKUP(C2085,' Disaggregation - Section E '!A$618:N1297,7,0)*100),"")</f>
        <v/>
      </c>
      <c r="F2085" s="493" t="str">
        <f ca="1">IFERROR(VLOOKUP(C2085,' Disaggregation - Section E '!A$618:N1297,5,0),"")</f>
        <v/>
      </c>
      <c r="G2085" s="492" t="str">
        <f ca="1">IFERROR(IF(VLOOKUP(C2085,' Disaggregation - Section E '!A$618:N1297,6,0)=0,"",VLOOKUP(C2085,' Disaggregation - Section E '!A$618:N1297,6,0)),"")</f>
        <v/>
      </c>
      <c r="H2085" s="502" t="str">
        <f ca="1">IFERROR(IF(INDEX(' Disaggregation - Section E '!F$618:F2494,MATCH(C2085,' Disaggregation - Section E '!A$618:A2494,0)+1,1)&lt;&gt;0,INDEX(' Disaggregation - Section E '!F$618:F$1820,MATCH(C2085,' Disaggregation - Section E '!A$618:A2494,0)+1,1),""),"")</f>
        <v/>
      </c>
      <c r="I2085" s="493" t="str">
        <f ca="1">IFERROR(IF(VLOOKUP(C2085,' Disaggregation - Section E '!A$618:N1297,8,0)=0,"",VLOOKUP(C2085,' Disaggregation - Section E '!A$618:N1297,8,0)),"")</f>
        <v/>
      </c>
      <c r="J2085" s="493" t="str">
        <f ca="1">IFERROR(IF(VLOOKUP(C2085,' Disaggregation - Section E '!A$618:N2494,13,0)=0,"",VLOOKUP(C2085,' Disaggregation - Section E '!A$618:N2494,13,0)),"")</f>
        <v/>
      </c>
      <c r="K2085" s="487" t="str">
        <f ca="1">IFERROR(VLOOKUP(C2085,' Disaggregation - Section E '!A$618:N1297,3,0),"")</f>
        <v>PMTCT-2.1 Pourcentage de femmes enceintes séropositives pour le VIH ayant reçu une TARV durant leur grossesse et/ou le travail et l'accouchement</v>
      </c>
      <c r="L2085" s="487"/>
      <c r="M2085" s="487" t="str">
        <f ca="1">IFERROR(IF(VLOOKUP(C2085,' Disaggregation - Section E '!A$618:T1297,20,0)=0,"",VLOOKUP(C2085,' Disaggregation - Section E '!A$618:T1297,20,0)),"")</f>
        <v/>
      </c>
      <c r="N2085" s="493" t="str">
        <f ca="1">IFERROR(IF(VLOOKUP(C2085,' Disaggregation - Section E '!A$618:N1297,14,0)=0,"",VLOOKUP(C2085,' Disaggregation - Section E '!A$618:N1297,14,0)),"")</f>
        <v/>
      </c>
      <c r="O2085" s="493" t="str">
        <f ca="1">IFERROR(IF(VLOOKUP(C2085,' Disaggregation - Section E '!A$618:N1297,9,0)=0,"",VLOOKUP(C2085,' Disaggregation - Section E '!A$618:N1297,9,0)),"")</f>
        <v/>
      </c>
      <c r="P2085" s="493" t="str">
        <f ca="1">IFERROR(IF(VLOOKUP(C2085,' Disaggregation - Section E '!A$618:N1297,10,0)=0,"",VLOOKUP(C2085,' Disaggregation - Section E '!A$618:N1297,10,0)),"")</f>
        <v/>
      </c>
    </row>
    <row r="2086" spans="1:16" x14ac:dyDescent="0.3">
      <c r="A2086" s="487" t="b">
        <f t="shared" ca="1" si="148"/>
        <v>0</v>
      </c>
      <c r="B2086" s="487"/>
      <c r="C2086" s="500" t="str">
        <f ca="1">IF(COUNTA(D$1410:D2086)=1,"",OFFSET(B2084,-COUNTA(D$1410:D2086)+3,1))</f>
        <v>a163p000002zQaZAAU</v>
      </c>
      <c r="D2086" s="502"/>
      <c r="E2086" s="490" t="str">
        <f ca="1">IFERROR(IF(VLOOKUP(C2086,' Disaggregation - Section E '!A$618:N1298,7,0)=0,"",VLOOKUP(C2086,' Disaggregation - Section E '!A$618:N1298,7,0)*100),"")</f>
        <v/>
      </c>
      <c r="F2086" s="493" t="str">
        <f ca="1">IFERROR(VLOOKUP(C2086,' Disaggregation - Section E '!A$618:N1298,5,0),"")</f>
        <v/>
      </c>
      <c r="G2086" s="492" t="str">
        <f ca="1">IFERROR(IF(VLOOKUP(C2086,' Disaggregation - Section E '!A$618:N1298,6,0)=0,"",VLOOKUP(C2086,' Disaggregation - Section E '!A$618:N1298,6,0)),"")</f>
        <v/>
      </c>
      <c r="H2086" s="502" t="str">
        <f ca="1">IFERROR(IF(INDEX(' Disaggregation - Section E '!F$618:F2495,MATCH(C2086,' Disaggregation - Section E '!A$618:A2495,0)+1,1)&lt;&gt;0,INDEX(' Disaggregation - Section E '!F$618:F$1820,MATCH(C2086,' Disaggregation - Section E '!A$618:A2495,0)+1,1),""),"")</f>
        <v/>
      </c>
      <c r="I2086" s="493" t="str">
        <f ca="1">IFERROR(IF(VLOOKUP(C2086,' Disaggregation - Section E '!A$618:N1298,8,0)=0,"",VLOOKUP(C2086,' Disaggregation - Section E '!A$618:N1298,8,0)),"")</f>
        <v/>
      </c>
      <c r="J2086" s="493" t="str">
        <f ca="1">IFERROR(IF(VLOOKUP(C2086,' Disaggregation - Section E '!A$618:N2495,13,0)=0,"",VLOOKUP(C2086,' Disaggregation - Section E '!A$618:N2495,13,0)),"")</f>
        <v/>
      </c>
      <c r="K2086" s="487" t="str">
        <f ca="1">IFERROR(VLOOKUP(C2086,' Disaggregation - Section E '!A$618:N1298,3,0),"")</f>
        <v>PMTCT-2.1 Pourcentage de femmes enceintes séropositives pour le VIH ayant reçu une TARV durant leur grossesse et/ou le travail et l'accouchement</v>
      </c>
      <c r="L2086" s="487"/>
      <c r="M2086" s="487" t="str">
        <f ca="1">IFERROR(IF(VLOOKUP(C2086,' Disaggregation - Section E '!A$618:T1298,20,0)=0,"",VLOOKUP(C2086,' Disaggregation - Section E '!A$618:T1298,20,0)),"")</f>
        <v/>
      </c>
      <c r="N2086" s="493" t="str">
        <f ca="1">IFERROR(IF(VLOOKUP(C2086,' Disaggregation - Section E '!A$618:N1298,14,0)=0,"",VLOOKUP(C2086,' Disaggregation - Section E '!A$618:N1298,14,0)),"")</f>
        <v/>
      </c>
      <c r="O2086" s="493" t="str">
        <f ca="1">IFERROR(IF(VLOOKUP(C2086,' Disaggregation - Section E '!A$618:N1298,9,0)=0,"",VLOOKUP(C2086,' Disaggregation - Section E '!A$618:N1298,9,0)),"")</f>
        <v/>
      </c>
      <c r="P2086" s="493" t="str">
        <f ca="1">IFERROR(IF(VLOOKUP(C2086,' Disaggregation - Section E '!A$618:N1298,10,0)=0,"",VLOOKUP(C2086,' Disaggregation - Section E '!A$618:N1298,10,0)),"")</f>
        <v/>
      </c>
    </row>
    <row r="2087" spans="1:16" x14ac:dyDescent="0.3">
      <c r="A2087" s="487" t="b">
        <f t="shared" ca="1" si="148"/>
        <v>0</v>
      </c>
      <c r="B2087" s="487"/>
      <c r="C2087" s="500" t="str">
        <f ca="1">IF(COUNTA(D$1410:D2087)=1,"",OFFSET(B2085,-COUNTA(D$1410:D2087)+3,1))</f>
        <v>a163p000002zQaaAAE</v>
      </c>
      <c r="D2087" s="502"/>
      <c r="E2087" s="490" t="str">
        <f ca="1">IFERROR(IF(VLOOKUP(C2087,' Disaggregation - Section E '!A$618:N1299,7,0)=0,"",VLOOKUP(C2087,' Disaggregation - Section E '!A$618:N1299,7,0)*100),"")</f>
        <v/>
      </c>
      <c r="F2087" s="493" t="str">
        <f ca="1">IFERROR(VLOOKUP(C2087,' Disaggregation - Section E '!A$618:N1299,5,0),"")</f>
        <v/>
      </c>
      <c r="G2087" s="492" t="str">
        <f ca="1">IFERROR(IF(VLOOKUP(C2087,' Disaggregation - Section E '!A$618:N1299,6,0)=0,"",VLOOKUP(C2087,' Disaggregation - Section E '!A$618:N1299,6,0)),"")</f>
        <v/>
      </c>
      <c r="H2087" s="502" t="str">
        <f ca="1">IFERROR(IF(INDEX(' Disaggregation - Section E '!F$618:F2496,MATCH(C2087,' Disaggregation - Section E '!A$618:A2496,0)+1,1)&lt;&gt;0,INDEX(' Disaggregation - Section E '!F$618:F$1820,MATCH(C2087,' Disaggregation - Section E '!A$618:A2496,0)+1,1),""),"")</f>
        <v/>
      </c>
      <c r="I2087" s="493" t="str">
        <f ca="1">IFERROR(IF(VLOOKUP(C2087,' Disaggregation - Section E '!A$618:N1299,8,0)=0,"",VLOOKUP(C2087,' Disaggregation - Section E '!A$618:N1299,8,0)),"")</f>
        <v/>
      </c>
      <c r="J2087" s="493" t="str">
        <f ca="1">IFERROR(IF(VLOOKUP(C2087,' Disaggregation - Section E '!A$618:N2496,13,0)=0,"",VLOOKUP(C2087,' Disaggregation - Section E '!A$618:N2496,13,0)),"")</f>
        <v/>
      </c>
      <c r="K2087" s="487" t="str">
        <f ca="1">IFERROR(VLOOKUP(C2087,' Disaggregation - Section E '!A$618:N1299,3,0),"")</f>
        <v>PMTCT-2.1 Pourcentage de femmes enceintes séropositives pour le VIH ayant reçu une TARV durant leur grossesse et/ou le travail et l'accouchement</v>
      </c>
      <c r="L2087" s="487"/>
      <c r="M2087" s="487" t="str">
        <f ca="1">IFERROR(IF(VLOOKUP(C2087,' Disaggregation - Section E '!A$618:T1299,20,0)=0,"",VLOOKUP(C2087,' Disaggregation - Section E '!A$618:T1299,20,0)),"")</f>
        <v/>
      </c>
      <c r="N2087" s="493" t="str">
        <f ca="1">IFERROR(IF(VLOOKUP(C2087,' Disaggregation - Section E '!A$618:N1299,14,0)=0,"",VLOOKUP(C2087,' Disaggregation - Section E '!A$618:N1299,14,0)),"")</f>
        <v/>
      </c>
      <c r="O2087" s="493" t="str">
        <f ca="1">IFERROR(IF(VLOOKUP(C2087,' Disaggregation - Section E '!A$618:N1299,9,0)=0,"",VLOOKUP(C2087,' Disaggregation - Section E '!A$618:N1299,9,0)),"")</f>
        <v/>
      </c>
      <c r="P2087" s="493" t="str">
        <f ca="1">IFERROR(IF(VLOOKUP(C2087,' Disaggregation - Section E '!A$618:N1299,10,0)=0,"",VLOOKUP(C2087,' Disaggregation - Section E '!A$618:N1299,10,0)),"")</f>
        <v/>
      </c>
    </row>
    <row r="2088" spans="1:16" x14ac:dyDescent="0.3">
      <c r="A2088" s="487" t="b">
        <f t="shared" ca="1" si="148"/>
        <v>0</v>
      </c>
      <c r="B2088" s="487"/>
      <c r="C2088" s="500" t="str">
        <f ca="1">IF(COUNTA(D$1410:D2088)=1,"",OFFSET(B2086,-COUNTA(D$1410:D2088)+3,1))</f>
        <v>a163p000002zQabAAE</v>
      </c>
      <c r="D2088" s="502"/>
      <c r="E2088" s="490" t="str">
        <f ca="1">IFERROR(IF(VLOOKUP(C2088,' Disaggregation - Section E '!A$618:N1300,7,0)=0,"",VLOOKUP(C2088,' Disaggregation - Section E '!A$618:N1300,7,0)*100),"")</f>
        <v/>
      </c>
      <c r="F2088" s="493" t="str">
        <f ca="1">IFERROR(VLOOKUP(C2088,' Disaggregation - Section E '!A$618:N1300,5,0),"")</f>
        <v/>
      </c>
      <c r="G2088" s="492" t="str">
        <f ca="1">IFERROR(IF(VLOOKUP(C2088,' Disaggregation - Section E '!A$618:N1300,6,0)=0,"",VLOOKUP(C2088,' Disaggregation - Section E '!A$618:N1300,6,0)),"")</f>
        <v/>
      </c>
      <c r="H2088" s="502" t="str">
        <f ca="1">IFERROR(IF(INDEX(' Disaggregation - Section E '!F$618:F2497,MATCH(C2088,' Disaggregation - Section E '!A$618:A2497,0)+1,1)&lt;&gt;0,INDEX(' Disaggregation - Section E '!F$618:F$1820,MATCH(C2088,' Disaggregation - Section E '!A$618:A2497,0)+1,1),""),"")</f>
        <v/>
      </c>
      <c r="I2088" s="493" t="str">
        <f ca="1">IFERROR(IF(VLOOKUP(C2088,' Disaggregation - Section E '!A$618:N1300,8,0)=0,"",VLOOKUP(C2088,' Disaggregation - Section E '!A$618:N1300,8,0)),"")</f>
        <v/>
      </c>
      <c r="J2088" s="493" t="str">
        <f ca="1">IFERROR(IF(VLOOKUP(C2088,' Disaggregation - Section E '!A$618:N2497,13,0)=0,"",VLOOKUP(C2088,' Disaggregation - Section E '!A$618:N2497,13,0)),"")</f>
        <v/>
      </c>
      <c r="K2088" s="487" t="str">
        <f ca="1">IFERROR(VLOOKUP(C2088,' Disaggregation - Section E '!A$618:N1300,3,0),"")</f>
        <v>PMTCT-2.1 Pourcentage de femmes enceintes séropositives pour le VIH ayant reçu une TARV durant leur grossesse et/ou le travail et l'accouchement</v>
      </c>
      <c r="L2088" s="487"/>
      <c r="M2088" s="487" t="str">
        <f ca="1">IFERROR(IF(VLOOKUP(C2088,' Disaggregation - Section E '!A$618:T1300,20,0)=0,"",VLOOKUP(C2088,' Disaggregation - Section E '!A$618:T1300,20,0)),"")</f>
        <v/>
      </c>
      <c r="N2088" s="493" t="str">
        <f ca="1">IFERROR(IF(VLOOKUP(C2088,' Disaggregation - Section E '!A$618:N1300,14,0)=0,"",VLOOKUP(C2088,' Disaggregation - Section E '!A$618:N1300,14,0)),"")</f>
        <v/>
      </c>
      <c r="O2088" s="493" t="str">
        <f ca="1">IFERROR(IF(VLOOKUP(C2088,' Disaggregation - Section E '!A$618:N1300,9,0)=0,"",VLOOKUP(C2088,' Disaggregation - Section E '!A$618:N1300,9,0)),"")</f>
        <v/>
      </c>
      <c r="P2088" s="493" t="str">
        <f ca="1">IFERROR(IF(VLOOKUP(C2088,' Disaggregation - Section E '!A$618:N1300,10,0)=0,"",VLOOKUP(C2088,' Disaggregation - Section E '!A$618:N1300,10,0)),"")</f>
        <v/>
      </c>
    </row>
    <row r="2089" spans="1:16" x14ac:dyDescent="0.3">
      <c r="A2089" s="487" t="b">
        <f t="shared" ca="1" si="148"/>
        <v>0</v>
      </c>
      <c r="B2089" s="487"/>
      <c r="C2089" s="500" t="str">
        <f ca="1">IF(COUNTA(D$1410:D2089)=1,"",OFFSET(B2087,-COUNTA(D$1410:D2089)+3,1))</f>
        <v>a163p000002zQacAAE</v>
      </c>
      <c r="D2089" s="502"/>
      <c r="E2089" s="490" t="str">
        <f ca="1">IFERROR(IF(VLOOKUP(C2089,' Disaggregation - Section E '!A$618:N1301,7,0)=0,"",VLOOKUP(C2089,' Disaggregation - Section E '!A$618:N1301,7,0)*100),"")</f>
        <v/>
      </c>
      <c r="F2089" s="493" t="str">
        <f ca="1">IFERROR(VLOOKUP(C2089,' Disaggregation - Section E '!A$618:N1301,5,0),"")</f>
        <v/>
      </c>
      <c r="G2089" s="492" t="str">
        <f ca="1">IFERROR(IF(VLOOKUP(C2089,' Disaggregation - Section E '!A$618:N1301,6,0)=0,"",VLOOKUP(C2089,' Disaggregation - Section E '!A$618:N1301,6,0)),"")</f>
        <v/>
      </c>
      <c r="H2089" s="502" t="str">
        <f ca="1">IFERROR(IF(INDEX(' Disaggregation - Section E '!F$618:F2498,MATCH(C2089,' Disaggregation - Section E '!A$618:A2498,0)+1,1)&lt;&gt;0,INDEX(' Disaggregation - Section E '!F$618:F$1820,MATCH(C2089,' Disaggregation - Section E '!A$618:A2498,0)+1,1),""),"")</f>
        <v/>
      </c>
      <c r="I2089" s="493" t="str">
        <f ca="1">IFERROR(IF(VLOOKUP(C2089,' Disaggregation - Section E '!A$618:N1301,8,0)=0,"",VLOOKUP(C2089,' Disaggregation - Section E '!A$618:N1301,8,0)),"")</f>
        <v/>
      </c>
      <c r="J2089" s="493" t="str">
        <f ca="1">IFERROR(IF(VLOOKUP(C2089,' Disaggregation - Section E '!A$618:N2498,13,0)=0,"",VLOOKUP(C2089,' Disaggregation - Section E '!A$618:N2498,13,0)),"")</f>
        <v/>
      </c>
      <c r="K2089" s="487" t="str">
        <f ca="1">IFERROR(VLOOKUP(C2089,' Disaggregation - Section E '!A$618:N1301,3,0),"")</f>
        <v>PMTCT-2.1 Pourcentage de femmes enceintes séropositives pour le VIH ayant reçu une TARV durant leur grossesse et/ou le travail et l'accouchement</v>
      </c>
      <c r="L2089" s="487"/>
      <c r="M2089" s="487" t="str">
        <f ca="1">IFERROR(IF(VLOOKUP(C2089,' Disaggregation - Section E '!A$618:T1301,20,0)=0,"",VLOOKUP(C2089,' Disaggregation - Section E '!A$618:T1301,20,0)),"")</f>
        <v/>
      </c>
      <c r="N2089" s="493" t="str">
        <f ca="1">IFERROR(IF(VLOOKUP(C2089,' Disaggregation - Section E '!A$618:N1301,14,0)=0,"",VLOOKUP(C2089,' Disaggregation - Section E '!A$618:N1301,14,0)),"")</f>
        <v/>
      </c>
      <c r="O2089" s="493" t="str">
        <f ca="1">IFERROR(IF(VLOOKUP(C2089,' Disaggregation - Section E '!A$618:N1301,9,0)=0,"",VLOOKUP(C2089,' Disaggregation - Section E '!A$618:N1301,9,0)),"")</f>
        <v/>
      </c>
      <c r="P2089" s="493" t="str">
        <f ca="1">IFERROR(IF(VLOOKUP(C2089,' Disaggregation - Section E '!A$618:N1301,10,0)=0,"",VLOOKUP(C2089,' Disaggregation - Section E '!A$618:N1301,10,0)),"")</f>
        <v/>
      </c>
    </row>
    <row r="2090" spans="1:16" x14ac:dyDescent="0.3">
      <c r="A2090" s="487" t="b">
        <f t="shared" ca="1" si="148"/>
        <v>0</v>
      </c>
      <c r="B2090" s="487"/>
      <c r="C2090" s="500" t="str">
        <f ca="1">IF(COUNTA(D$1410:D2090)=1,"",OFFSET(B2088,-COUNTA(D$1410:D2090)+3,1))</f>
        <v>a163p000002zQadAAE</v>
      </c>
      <c r="D2090" s="502"/>
      <c r="E2090" s="490" t="str">
        <f ca="1">IFERROR(IF(VLOOKUP(C2090,' Disaggregation - Section E '!A$618:N1302,7,0)=0,"",VLOOKUP(C2090,' Disaggregation - Section E '!A$618:N1302,7,0)*100),"")</f>
        <v/>
      </c>
      <c r="F2090" s="493" t="str">
        <f ca="1">IFERROR(VLOOKUP(C2090,' Disaggregation - Section E '!A$618:N1302,5,0),"")</f>
        <v/>
      </c>
      <c r="G2090" s="492" t="str">
        <f ca="1">IFERROR(IF(VLOOKUP(C2090,' Disaggregation - Section E '!A$618:N1302,6,0)=0,"",VLOOKUP(C2090,' Disaggregation - Section E '!A$618:N1302,6,0)),"")</f>
        <v/>
      </c>
      <c r="H2090" s="502" t="str">
        <f ca="1">IFERROR(IF(INDEX(' Disaggregation - Section E '!F$618:F2499,MATCH(C2090,' Disaggregation - Section E '!A$618:A2499,0)+1,1)&lt;&gt;0,INDEX(' Disaggregation - Section E '!F$618:F$1820,MATCH(C2090,' Disaggregation - Section E '!A$618:A2499,0)+1,1),""),"")</f>
        <v/>
      </c>
      <c r="I2090" s="493" t="str">
        <f ca="1">IFERROR(IF(VLOOKUP(C2090,' Disaggregation - Section E '!A$618:N1302,8,0)=0,"",VLOOKUP(C2090,' Disaggregation - Section E '!A$618:N1302,8,0)),"")</f>
        <v/>
      </c>
      <c r="J2090" s="493" t="str">
        <f ca="1">IFERROR(IF(VLOOKUP(C2090,' Disaggregation - Section E '!A$618:N2499,13,0)=0,"",VLOOKUP(C2090,' Disaggregation - Section E '!A$618:N2499,13,0)),"")</f>
        <v/>
      </c>
      <c r="K2090" s="487" t="str">
        <f ca="1">IFERROR(VLOOKUP(C2090,' Disaggregation - Section E '!A$618:N1302,3,0),"")</f>
        <v>PMTCT-2.1 Pourcentage de femmes enceintes séropositives pour le VIH ayant reçu une TARV durant leur grossesse et/ou le travail et l'accouchement</v>
      </c>
      <c r="L2090" s="487"/>
      <c r="M2090" s="487" t="str">
        <f ca="1">IFERROR(IF(VLOOKUP(C2090,' Disaggregation - Section E '!A$618:T1302,20,0)=0,"",VLOOKUP(C2090,' Disaggregation - Section E '!A$618:T1302,20,0)),"")</f>
        <v/>
      </c>
      <c r="N2090" s="493" t="str">
        <f ca="1">IFERROR(IF(VLOOKUP(C2090,' Disaggregation - Section E '!A$618:N1302,14,0)=0,"",VLOOKUP(C2090,' Disaggregation - Section E '!A$618:N1302,14,0)),"")</f>
        <v/>
      </c>
      <c r="O2090" s="493" t="str">
        <f ca="1">IFERROR(IF(VLOOKUP(C2090,' Disaggregation - Section E '!A$618:N1302,9,0)=0,"",VLOOKUP(C2090,' Disaggregation - Section E '!A$618:N1302,9,0)),"")</f>
        <v/>
      </c>
      <c r="P2090" s="493" t="str">
        <f ca="1">IFERROR(IF(VLOOKUP(C2090,' Disaggregation - Section E '!A$618:N1302,10,0)=0,"",VLOOKUP(C2090,' Disaggregation - Section E '!A$618:N1302,10,0)),"")</f>
        <v/>
      </c>
    </row>
    <row r="2091" spans="1:16" x14ac:dyDescent="0.3">
      <c r="A2091" s="487" t="b">
        <f t="shared" ca="1" si="148"/>
        <v>0</v>
      </c>
      <c r="B2091" s="487"/>
      <c r="C2091" s="500" t="str">
        <f ca="1">IF(COUNTA(D$1410:D2091)=1,"",OFFSET(B2089,-COUNTA(D$1410:D2091)+3,1))</f>
        <v>a163p000002zQaeAAE</v>
      </c>
      <c r="D2091" s="502"/>
      <c r="E2091" s="490" t="str">
        <f ca="1">IFERROR(IF(VLOOKUP(C2091,' Disaggregation - Section E '!A$618:N1303,7,0)=0,"",VLOOKUP(C2091,' Disaggregation - Section E '!A$618:N1303,7,0)*100),"")</f>
        <v/>
      </c>
      <c r="F2091" s="493" t="str">
        <f ca="1">IFERROR(VLOOKUP(C2091,' Disaggregation - Section E '!A$618:N1303,5,0),"")</f>
        <v/>
      </c>
      <c r="G2091" s="492" t="str">
        <f ca="1">IFERROR(IF(VLOOKUP(C2091,' Disaggregation - Section E '!A$618:N1303,6,0)=0,"",VLOOKUP(C2091,' Disaggregation - Section E '!A$618:N1303,6,0)),"")</f>
        <v/>
      </c>
      <c r="H2091" s="502" t="str">
        <f ca="1">IFERROR(IF(INDEX(' Disaggregation - Section E '!F$618:F2500,MATCH(C2091,' Disaggregation - Section E '!A$618:A2500,0)+1,1)&lt;&gt;0,INDEX(' Disaggregation - Section E '!F$618:F$1820,MATCH(C2091,' Disaggregation - Section E '!A$618:A2500,0)+1,1),""),"")</f>
        <v/>
      </c>
      <c r="I2091" s="493" t="str">
        <f ca="1">IFERROR(IF(VLOOKUP(C2091,' Disaggregation - Section E '!A$618:N1303,8,0)=0,"",VLOOKUP(C2091,' Disaggregation - Section E '!A$618:N1303,8,0)),"")</f>
        <v/>
      </c>
      <c r="J2091" s="493" t="str">
        <f ca="1">IFERROR(IF(VLOOKUP(C2091,' Disaggregation - Section E '!A$618:N2500,13,0)=0,"",VLOOKUP(C2091,' Disaggregation - Section E '!A$618:N2500,13,0)),"")</f>
        <v/>
      </c>
      <c r="K2091" s="487" t="str">
        <f ca="1">IFERROR(VLOOKUP(C2091,' Disaggregation - Section E '!A$618:N1303,3,0),"")</f>
        <v>PMTCT-2.1 Pourcentage de femmes enceintes séropositives pour le VIH ayant reçu une TARV durant leur grossesse et/ou le travail et l'accouchement</v>
      </c>
      <c r="L2091" s="487"/>
      <c r="M2091" s="487" t="str">
        <f ca="1">IFERROR(IF(VLOOKUP(C2091,' Disaggregation - Section E '!A$618:T1303,20,0)=0,"",VLOOKUP(C2091,' Disaggregation - Section E '!A$618:T1303,20,0)),"")</f>
        <v/>
      </c>
      <c r="N2091" s="493" t="str">
        <f ca="1">IFERROR(IF(VLOOKUP(C2091,' Disaggregation - Section E '!A$618:N1303,14,0)=0,"",VLOOKUP(C2091,' Disaggregation - Section E '!A$618:N1303,14,0)),"")</f>
        <v/>
      </c>
      <c r="O2091" s="493" t="str">
        <f ca="1">IFERROR(IF(VLOOKUP(C2091,' Disaggregation - Section E '!A$618:N1303,9,0)=0,"",VLOOKUP(C2091,' Disaggregation - Section E '!A$618:N1303,9,0)),"")</f>
        <v/>
      </c>
      <c r="P2091" s="493" t="str">
        <f ca="1">IFERROR(IF(VLOOKUP(C2091,' Disaggregation - Section E '!A$618:N1303,10,0)=0,"",VLOOKUP(C2091,' Disaggregation - Section E '!A$618:N1303,10,0)),"")</f>
        <v/>
      </c>
    </row>
    <row r="2092" spans="1:16" x14ac:dyDescent="0.3">
      <c r="A2092" s="487" t="b">
        <f t="shared" ca="1" si="148"/>
        <v>0</v>
      </c>
      <c r="B2092" s="487"/>
      <c r="C2092" s="500" t="str">
        <f ca="1">IF(COUNTA(D$1410:D2092)=1,"",OFFSET(B2090,-COUNTA(D$1410:D2092)+3,1))</f>
        <v>a163p000002zQafAAE</v>
      </c>
      <c r="D2092" s="502"/>
      <c r="E2092" s="490" t="str">
        <f ca="1">IFERROR(IF(VLOOKUP(C2092,' Disaggregation - Section E '!A$618:N1304,7,0)=0,"",VLOOKUP(C2092,' Disaggregation - Section E '!A$618:N1304,7,0)*100),"")</f>
        <v/>
      </c>
      <c r="F2092" s="493" t="str">
        <f ca="1">IFERROR(VLOOKUP(C2092,' Disaggregation - Section E '!A$618:N1304,5,0),"")</f>
        <v>Positif</v>
      </c>
      <c r="G2092" s="492" t="str">
        <f ca="1">IFERROR(IF(VLOOKUP(C2092,' Disaggregation - Section E '!A$618:N1304,6,0)=0,"",VLOOKUP(C2092,' Disaggregation - Section E '!A$618:N1304,6,0)),"")</f>
        <v/>
      </c>
      <c r="H2092" s="502" t="str">
        <f ca="1">IFERROR(IF(INDEX(' Disaggregation - Section E '!F$618:F2501,MATCH(C2092,' Disaggregation - Section E '!A$618:A2501,0)+1,1)&lt;&gt;0,INDEX(' Disaggregation - Section E '!F$618:F$1820,MATCH(C2092,' Disaggregation - Section E '!A$618:A2501,0)+1,1),""),"")</f>
        <v/>
      </c>
      <c r="I2092" s="493" t="str">
        <f ca="1">IFERROR(IF(VLOOKUP(C2092,' Disaggregation - Section E '!A$618:N1304,8,0)=0,"",VLOOKUP(C2092,' Disaggregation - Section E '!A$618:N1304,8,0)),"")</f>
        <v/>
      </c>
      <c r="J2092" s="493" t="str">
        <f ca="1">IFERROR(IF(VLOOKUP(C2092,' Disaggregation - Section E '!A$618:N2501,13,0)=0,"",VLOOKUP(C2092,' Disaggregation - Section E '!A$618:N2501,13,0)),"")</f>
        <v/>
      </c>
      <c r="K2092" s="487" t="str">
        <f ca="1">IFERROR(VLOOKUP(C2092,' Disaggregation - Section E '!A$618:N1304,3,0),"")</f>
        <v>PMTCT-3.1 Pourcentage de nourrissons exposés au VIH ayant bénéficié d’un dépistage du VIH dans les 2 mois qui ont suivi leur naissance</v>
      </c>
      <c r="L2092" s="487"/>
      <c r="M2092" s="487" t="str">
        <f ca="1">IFERROR(IF(VLOOKUP(C2092,' Disaggregation - Section E '!A$618:T1304,20,0)=0,"",VLOOKUP(C2092,' Disaggregation - Section E '!A$618:T1304,20,0)),"")</f>
        <v>IDR-00914</v>
      </c>
      <c r="N2092" s="493" t="str">
        <f ca="1">IFERROR(IF(VLOOKUP(C2092,' Disaggregation - Section E '!A$618:N1304,14,0)=0,"",VLOOKUP(C2092,' Disaggregation - Section E '!A$618:N1304,14,0)),"")</f>
        <v/>
      </c>
      <c r="O2092" s="493" t="str">
        <f ca="1">IFERROR(IF(VLOOKUP(C2092,' Disaggregation - Section E '!A$618:N1304,9,0)=0,"",VLOOKUP(C2092,' Disaggregation - Section E '!A$618:N1304,9,0)),"")</f>
        <v/>
      </c>
      <c r="P2092" s="493" t="str">
        <f ca="1">IFERROR(IF(VLOOKUP(C2092,' Disaggregation - Section E '!A$618:N1304,10,0)=0,"",VLOOKUP(C2092,' Disaggregation - Section E '!A$618:N1304,10,0)),"")</f>
        <v/>
      </c>
    </row>
    <row r="2093" spans="1:16" x14ac:dyDescent="0.3">
      <c r="A2093" s="487" t="b">
        <f t="shared" ca="1" si="148"/>
        <v>0</v>
      </c>
      <c r="B2093" s="487"/>
      <c r="C2093" s="500" t="str">
        <f ca="1">IF(COUNTA(D$1410:D2093)=1,"",OFFSET(B2091,-COUNTA(D$1410:D2093)+3,1))</f>
        <v>a163p000002zQagAAE</v>
      </c>
      <c r="D2093" s="502"/>
      <c r="E2093" s="490" t="str">
        <f ca="1">IFERROR(IF(VLOOKUP(C2093,' Disaggregation - Section E '!A$618:N1305,7,0)=0,"",VLOOKUP(C2093,' Disaggregation - Section E '!A$618:N1305,7,0)*100),"")</f>
        <v/>
      </c>
      <c r="F2093" s="493" t="str">
        <f ca="1">IFERROR(VLOOKUP(C2093,' Disaggregation - Section E '!A$618:N1305,5,0),"")</f>
        <v>Négatif</v>
      </c>
      <c r="G2093" s="492" t="str">
        <f ca="1">IFERROR(IF(VLOOKUP(C2093,' Disaggregation - Section E '!A$618:N1305,6,0)=0,"",VLOOKUP(C2093,' Disaggregation - Section E '!A$618:N1305,6,0)),"")</f>
        <v/>
      </c>
      <c r="H2093" s="502" t="str">
        <f ca="1">IFERROR(IF(INDEX(' Disaggregation - Section E '!F$618:F2502,MATCH(C2093,' Disaggregation - Section E '!A$618:A2502,0)+1,1)&lt;&gt;0,INDEX(' Disaggregation - Section E '!F$618:F$1820,MATCH(C2093,' Disaggregation - Section E '!A$618:A2502,0)+1,1),""),"")</f>
        <v/>
      </c>
      <c r="I2093" s="493" t="str">
        <f ca="1">IFERROR(IF(VLOOKUP(C2093,' Disaggregation - Section E '!A$618:N1305,8,0)=0,"",VLOOKUP(C2093,' Disaggregation - Section E '!A$618:N1305,8,0)),"")</f>
        <v/>
      </c>
      <c r="J2093" s="493" t="str">
        <f ca="1">IFERROR(IF(VLOOKUP(C2093,' Disaggregation - Section E '!A$618:N2502,13,0)=0,"",VLOOKUP(C2093,' Disaggregation - Section E '!A$618:N2502,13,0)),"")</f>
        <v/>
      </c>
      <c r="K2093" s="487" t="str">
        <f ca="1">IFERROR(VLOOKUP(C2093,' Disaggregation - Section E '!A$618:N1305,3,0),"")</f>
        <v>PMTCT-3.1 Pourcentage de nourrissons exposés au VIH ayant bénéficié d’un dépistage du VIH dans les 2 mois qui ont suivi leur naissance</v>
      </c>
      <c r="L2093" s="487"/>
      <c r="M2093" s="487" t="str">
        <f ca="1">IFERROR(IF(VLOOKUP(C2093,' Disaggregation - Section E '!A$618:T1305,20,0)=0,"",VLOOKUP(C2093,' Disaggregation - Section E '!A$618:T1305,20,0)),"")</f>
        <v>IDR-00915</v>
      </c>
      <c r="N2093" s="493" t="str">
        <f ca="1">IFERROR(IF(VLOOKUP(C2093,' Disaggregation - Section E '!A$618:N1305,14,0)=0,"",VLOOKUP(C2093,' Disaggregation - Section E '!A$618:N1305,14,0)),"")</f>
        <v/>
      </c>
      <c r="O2093" s="493" t="str">
        <f ca="1">IFERROR(IF(VLOOKUP(C2093,' Disaggregation - Section E '!A$618:N1305,9,0)=0,"",VLOOKUP(C2093,' Disaggregation - Section E '!A$618:N1305,9,0)),"")</f>
        <v/>
      </c>
      <c r="P2093" s="493" t="str">
        <f ca="1">IFERROR(IF(VLOOKUP(C2093,' Disaggregation - Section E '!A$618:N1305,10,0)=0,"",VLOOKUP(C2093,' Disaggregation - Section E '!A$618:N1305,10,0)),"")</f>
        <v/>
      </c>
    </row>
    <row r="2094" spans="1:16" x14ac:dyDescent="0.3">
      <c r="A2094" s="487" t="b">
        <f t="shared" ca="1" si="148"/>
        <v>0</v>
      </c>
      <c r="B2094" s="487"/>
      <c r="C2094" s="500" t="str">
        <f ca="1">IF(COUNTA(D$1410:D2094)=1,"",OFFSET(B2092,-COUNTA(D$1410:D2094)+3,1))</f>
        <v>a163p000002zQahAAE</v>
      </c>
      <c r="D2094" s="502"/>
      <c r="E2094" s="490" t="str">
        <f ca="1">IFERROR(IF(VLOOKUP(C2094,' Disaggregation - Section E '!A$618:N1306,7,0)=0,"",VLOOKUP(C2094,' Disaggregation - Section E '!A$618:N1306,7,0)*100),"")</f>
        <v/>
      </c>
      <c r="F2094" s="493" t="str">
        <f ca="1">IFERROR(VLOOKUP(C2094,' Disaggregation - Section E '!A$618:N1306,5,0),"")</f>
        <v>Indéterminé</v>
      </c>
      <c r="G2094" s="492" t="str">
        <f ca="1">IFERROR(IF(VLOOKUP(C2094,' Disaggregation - Section E '!A$618:N1306,6,0)=0,"",VLOOKUP(C2094,' Disaggregation - Section E '!A$618:N1306,6,0)),"")</f>
        <v/>
      </c>
      <c r="H2094" s="502" t="str">
        <f ca="1">IFERROR(IF(INDEX(' Disaggregation - Section E '!F$618:F2503,MATCH(C2094,' Disaggregation - Section E '!A$618:A2503,0)+1,1)&lt;&gt;0,INDEX(' Disaggregation - Section E '!F$618:F$1820,MATCH(C2094,' Disaggregation - Section E '!A$618:A2503,0)+1,1),""),"")</f>
        <v/>
      </c>
      <c r="I2094" s="493" t="str">
        <f ca="1">IFERROR(IF(VLOOKUP(C2094,' Disaggregation - Section E '!A$618:N1306,8,0)=0,"",VLOOKUP(C2094,' Disaggregation - Section E '!A$618:N1306,8,0)),"")</f>
        <v/>
      </c>
      <c r="J2094" s="493" t="str">
        <f ca="1">IFERROR(IF(VLOOKUP(C2094,' Disaggregation - Section E '!A$618:N2503,13,0)=0,"",VLOOKUP(C2094,' Disaggregation - Section E '!A$618:N2503,13,0)),"")</f>
        <v/>
      </c>
      <c r="K2094" s="487" t="str">
        <f ca="1">IFERROR(VLOOKUP(C2094,' Disaggregation - Section E '!A$618:N1306,3,0),"")</f>
        <v>PMTCT-3.1 Pourcentage de nourrissons exposés au VIH ayant bénéficié d’un dépistage du VIH dans les 2 mois qui ont suivi leur naissance</v>
      </c>
      <c r="L2094" s="487"/>
      <c r="M2094" s="487" t="str">
        <f ca="1">IFERROR(IF(VLOOKUP(C2094,' Disaggregation - Section E '!A$618:T1306,20,0)=0,"",VLOOKUP(C2094,' Disaggregation - Section E '!A$618:T1306,20,0)),"")</f>
        <v>IDR-00916</v>
      </c>
      <c r="N2094" s="493" t="str">
        <f ca="1">IFERROR(IF(VLOOKUP(C2094,' Disaggregation - Section E '!A$618:N1306,14,0)=0,"",VLOOKUP(C2094,' Disaggregation - Section E '!A$618:N1306,14,0)),"")</f>
        <v/>
      </c>
      <c r="O2094" s="493" t="str">
        <f ca="1">IFERROR(IF(VLOOKUP(C2094,' Disaggregation - Section E '!A$618:N1306,9,0)=0,"",VLOOKUP(C2094,' Disaggregation - Section E '!A$618:N1306,9,0)),"")</f>
        <v/>
      </c>
      <c r="P2094" s="493" t="str">
        <f ca="1">IFERROR(IF(VLOOKUP(C2094,' Disaggregation - Section E '!A$618:N1306,10,0)=0,"",VLOOKUP(C2094,' Disaggregation - Section E '!A$618:N1306,10,0)),"")</f>
        <v/>
      </c>
    </row>
    <row r="2095" spans="1:16" x14ac:dyDescent="0.3">
      <c r="A2095" s="487" t="b">
        <f t="shared" ca="1" si="148"/>
        <v>0</v>
      </c>
      <c r="B2095" s="487"/>
      <c r="C2095" s="500" t="str">
        <f ca="1">IF(COUNTA(D$1410:D2095)=1,"",OFFSET(B2093,-COUNTA(D$1410:D2095)+3,1))</f>
        <v>a163p000002zQaiAAE</v>
      </c>
      <c r="D2095" s="502"/>
      <c r="E2095" s="490" t="str">
        <f ca="1">IFERROR(IF(VLOOKUP(C2095,' Disaggregation - Section E '!A$618:N1307,7,0)=0,"",VLOOKUP(C2095,' Disaggregation - Section E '!A$618:N1307,7,0)*100),"")</f>
        <v/>
      </c>
      <c r="F2095" s="493" t="str">
        <f ca="1">IFERROR(VLOOKUP(C2095,' Disaggregation - Section E '!A$618:N1307,5,0),"")</f>
        <v/>
      </c>
      <c r="G2095" s="492" t="str">
        <f ca="1">IFERROR(IF(VLOOKUP(C2095,' Disaggregation - Section E '!A$618:N1307,6,0)=0,"",VLOOKUP(C2095,' Disaggregation - Section E '!A$618:N1307,6,0)),"")</f>
        <v/>
      </c>
      <c r="H2095" s="502" t="str">
        <f ca="1">IFERROR(IF(INDEX(' Disaggregation - Section E '!F$618:F2504,MATCH(C2095,' Disaggregation - Section E '!A$618:A2504,0)+1,1)&lt;&gt;0,INDEX(' Disaggregation - Section E '!F$618:F$1820,MATCH(C2095,' Disaggregation - Section E '!A$618:A2504,0)+1,1),""),"")</f>
        <v/>
      </c>
      <c r="I2095" s="493" t="str">
        <f ca="1">IFERROR(IF(VLOOKUP(C2095,' Disaggregation - Section E '!A$618:N1307,8,0)=0,"",VLOOKUP(C2095,' Disaggregation - Section E '!A$618:N1307,8,0)),"")</f>
        <v/>
      </c>
      <c r="J2095" s="493" t="str">
        <f ca="1">IFERROR(IF(VLOOKUP(C2095,' Disaggregation - Section E '!A$618:N2504,13,0)=0,"",VLOOKUP(C2095,' Disaggregation - Section E '!A$618:N2504,13,0)),"")</f>
        <v/>
      </c>
      <c r="K2095" s="487" t="str">
        <f ca="1">IFERROR(VLOOKUP(C2095,' Disaggregation - Section E '!A$618:N1307,3,0),"")</f>
        <v>PMTCT-3.1 Pourcentage de nourrissons exposés au VIH ayant bénéficié d’un dépistage du VIH dans les 2 mois qui ont suivi leur naissance</v>
      </c>
      <c r="L2095" s="487"/>
      <c r="M2095" s="487" t="str">
        <f ca="1">IFERROR(IF(VLOOKUP(C2095,' Disaggregation - Section E '!A$618:T1307,20,0)=0,"",VLOOKUP(C2095,' Disaggregation - Section E '!A$618:T1307,20,0)),"")</f>
        <v/>
      </c>
      <c r="N2095" s="493" t="str">
        <f ca="1">IFERROR(IF(VLOOKUP(C2095,' Disaggregation - Section E '!A$618:N1307,14,0)=0,"",VLOOKUP(C2095,' Disaggregation - Section E '!A$618:N1307,14,0)),"")</f>
        <v/>
      </c>
      <c r="O2095" s="493" t="str">
        <f ca="1">IFERROR(IF(VLOOKUP(C2095,' Disaggregation - Section E '!A$618:N1307,9,0)=0,"",VLOOKUP(C2095,' Disaggregation - Section E '!A$618:N1307,9,0)),"")</f>
        <v/>
      </c>
      <c r="P2095" s="493" t="str">
        <f ca="1">IFERROR(IF(VLOOKUP(C2095,' Disaggregation - Section E '!A$618:N1307,10,0)=0,"",VLOOKUP(C2095,' Disaggregation - Section E '!A$618:N1307,10,0)),"")</f>
        <v/>
      </c>
    </row>
    <row r="2096" spans="1:16" x14ac:dyDescent="0.3">
      <c r="A2096" s="487" t="b">
        <f t="shared" ca="1" si="148"/>
        <v>0</v>
      </c>
      <c r="B2096" s="487"/>
      <c r="C2096" s="500" t="str">
        <f ca="1">IF(COUNTA(D$1410:D2096)=1,"",OFFSET(B2094,-COUNTA(D$1410:D2096)+3,1))</f>
        <v>a163p000002zQajAAE</v>
      </c>
      <c r="D2096" s="502"/>
      <c r="E2096" s="490" t="str">
        <f ca="1">IFERROR(IF(VLOOKUP(C2096,' Disaggregation - Section E '!A$618:N1308,7,0)=0,"",VLOOKUP(C2096,' Disaggregation - Section E '!A$618:N1308,7,0)*100),"")</f>
        <v/>
      </c>
      <c r="F2096" s="493" t="str">
        <f ca="1">IFERROR(VLOOKUP(C2096,' Disaggregation - Section E '!A$618:N1308,5,0),"")</f>
        <v/>
      </c>
      <c r="G2096" s="492" t="str">
        <f ca="1">IFERROR(IF(VLOOKUP(C2096,' Disaggregation - Section E '!A$618:N1308,6,0)=0,"",VLOOKUP(C2096,' Disaggregation - Section E '!A$618:N1308,6,0)),"")</f>
        <v/>
      </c>
      <c r="H2096" s="502" t="str">
        <f ca="1">IFERROR(IF(INDEX(' Disaggregation - Section E '!F$618:F2505,MATCH(C2096,' Disaggregation - Section E '!A$618:A2505,0)+1,1)&lt;&gt;0,INDEX(' Disaggregation - Section E '!F$618:F$1820,MATCH(C2096,' Disaggregation - Section E '!A$618:A2505,0)+1,1),""),"")</f>
        <v/>
      </c>
      <c r="I2096" s="493" t="str">
        <f ca="1">IFERROR(IF(VLOOKUP(C2096,' Disaggregation - Section E '!A$618:N1308,8,0)=0,"",VLOOKUP(C2096,' Disaggregation - Section E '!A$618:N1308,8,0)),"")</f>
        <v/>
      </c>
      <c r="J2096" s="493" t="str">
        <f ca="1">IFERROR(IF(VLOOKUP(C2096,' Disaggregation - Section E '!A$618:N2505,13,0)=0,"",VLOOKUP(C2096,' Disaggregation - Section E '!A$618:N2505,13,0)),"")</f>
        <v/>
      </c>
      <c r="K2096" s="487" t="str">
        <f ca="1">IFERROR(VLOOKUP(C2096,' Disaggregation - Section E '!A$618:N1308,3,0),"")</f>
        <v>PMTCT-3.1 Pourcentage de nourrissons exposés au VIH ayant bénéficié d’un dépistage du VIH dans les 2 mois qui ont suivi leur naissance</v>
      </c>
      <c r="L2096" s="487"/>
      <c r="M2096" s="487" t="str">
        <f ca="1">IFERROR(IF(VLOOKUP(C2096,' Disaggregation - Section E '!A$618:T1308,20,0)=0,"",VLOOKUP(C2096,' Disaggregation - Section E '!A$618:T1308,20,0)),"")</f>
        <v/>
      </c>
      <c r="N2096" s="493" t="str">
        <f ca="1">IFERROR(IF(VLOOKUP(C2096,' Disaggregation - Section E '!A$618:N1308,14,0)=0,"",VLOOKUP(C2096,' Disaggregation - Section E '!A$618:N1308,14,0)),"")</f>
        <v/>
      </c>
      <c r="O2096" s="493" t="str">
        <f ca="1">IFERROR(IF(VLOOKUP(C2096,' Disaggregation - Section E '!A$618:N1308,9,0)=0,"",VLOOKUP(C2096,' Disaggregation - Section E '!A$618:N1308,9,0)),"")</f>
        <v/>
      </c>
      <c r="P2096" s="493" t="str">
        <f ca="1">IFERROR(IF(VLOOKUP(C2096,' Disaggregation - Section E '!A$618:N1308,10,0)=0,"",VLOOKUP(C2096,' Disaggregation - Section E '!A$618:N1308,10,0)),"")</f>
        <v/>
      </c>
    </row>
    <row r="2097" spans="1:16" x14ac:dyDescent="0.3">
      <c r="A2097" s="487" t="b">
        <f t="shared" ca="1" si="148"/>
        <v>0</v>
      </c>
      <c r="B2097" s="487"/>
      <c r="C2097" s="500" t="str">
        <f ca="1">IF(COUNTA(D$1410:D2097)=1,"",OFFSET(B2095,-COUNTA(D$1410:D2097)+3,1))</f>
        <v>a163p000002zQakAAE</v>
      </c>
      <c r="D2097" s="502"/>
      <c r="E2097" s="490" t="str">
        <f ca="1">IFERROR(IF(VLOOKUP(C2097,' Disaggregation - Section E '!A$618:N1309,7,0)=0,"",VLOOKUP(C2097,' Disaggregation - Section E '!A$618:N1309,7,0)*100),"")</f>
        <v/>
      </c>
      <c r="F2097" s="493" t="str">
        <f ca="1">IFERROR(VLOOKUP(C2097,' Disaggregation - Section E '!A$618:N1309,5,0),"")</f>
        <v/>
      </c>
      <c r="G2097" s="492" t="str">
        <f ca="1">IFERROR(IF(VLOOKUP(C2097,' Disaggregation - Section E '!A$618:N1309,6,0)=0,"",VLOOKUP(C2097,' Disaggregation - Section E '!A$618:N1309,6,0)),"")</f>
        <v/>
      </c>
      <c r="H2097" s="502" t="str">
        <f ca="1">IFERROR(IF(INDEX(' Disaggregation - Section E '!F$618:F2506,MATCH(C2097,' Disaggregation - Section E '!A$618:A2506,0)+1,1)&lt;&gt;0,INDEX(' Disaggregation - Section E '!F$618:F$1820,MATCH(C2097,' Disaggregation - Section E '!A$618:A2506,0)+1,1),""),"")</f>
        <v/>
      </c>
      <c r="I2097" s="493" t="str">
        <f ca="1">IFERROR(IF(VLOOKUP(C2097,' Disaggregation - Section E '!A$618:N1309,8,0)=0,"",VLOOKUP(C2097,' Disaggregation - Section E '!A$618:N1309,8,0)),"")</f>
        <v/>
      </c>
      <c r="J2097" s="493" t="str">
        <f ca="1">IFERROR(IF(VLOOKUP(C2097,' Disaggregation - Section E '!A$618:N2506,13,0)=0,"",VLOOKUP(C2097,' Disaggregation - Section E '!A$618:N2506,13,0)),"")</f>
        <v/>
      </c>
      <c r="K2097" s="487" t="str">
        <f ca="1">IFERROR(VLOOKUP(C2097,' Disaggregation - Section E '!A$618:N1309,3,0),"")</f>
        <v>PMTCT-3.1 Pourcentage de nourrissons exposés au VIH ayant bénéficié d’un dépistage du VIH dans les 2 mois qui ont suivi leur naissance</v>
      </c>
      <c r="L2097" s="487"/>
      <c r="M2097" s="487" t="str">
        <f ca="1">IFERROR(IF(VLOOKUP(C2097,' Disaggregation - Section E '!A$618:T1309,20,0)=0,"",VLOOKUP(C2097,' Disaggregation - Section E '!A$618:T1309,20,0)),"")</f>
        <v/>
      </c>
      <c r="N2097" s="493" t="str">
        <f ca="1">IFERROR(IF(VLOOKUP(C2097,' Disaggregation - Section E '!A$618:N1309,14,0)=0,"",VLOOKUP(C2097,' Disaggregation - Section E '!A$618:N1309,14,0)),"")</f>
        <v/>
      </c>
      <c r="O2097" s="493" t="str">
        <f ca="1">IFERROR(IF(VLOOKUP(C2097,' Disaggregation - Section E '!A$618:N1309,9,0)=0,"",VLOOKUP(C2097,' Disaggregation - Section E '!A$618:N1309,9,0)),"")</f>
        <v/>
      </c>
      <c r="P2097" s="493" t="str">
        <f ca="1">IFERROR(IF(VLOOKUP(C2097,' Disaggregation - Section E '!A$618:N1309,10,0)=0,"",VLOOKUP(C2097,' Disaggregation - Section E '!A$618:N1309,10,0)),"")</f>
        <v/>
      </c>
    </row>
    <row r="2098" spans="1:16" x14ac:dyDescent="0.3">
      <c r="A2098" s="487" t="b">
        <f t="shared" ca="1" si="148"/>
        <v>0</v>
      </c>
      <c r="B2098" s="487"/>
      <c r="C2098" s="500" t="str">
        <f ca="1">IF(COUNTA(D$1410:D2098)=1,"",OFFSET(B2096,-COUNTA(D$1410:D2098)+3,1))</f>
        <v>a163p000002zQalAAE</v>
      </c>
      <c r="D2098" s="502"/>
      <c r="E2098" s="490" t="str">
        <f ca="1">IFERROR(IF(VLOOKUP(C2098,' Disaggregation - Section E '!A$618:N1310,7,0)=0,"",VLOOKUP(C2098,' Disaggregation - Section E '!A$618:N1310,7,0)*100),"")</f>
        <v/>
      </c>
      <c r="F2098" s="493" t="str">
        <f ca="1">IFERROR(VLOOKUP(C2098,' Disaggregation - Section E '!A$618:N1310,5,0),"")</f>
        <v/>
      </c>
      <c r="G2098" s="492" t="str">
        <f ca="1">IFERROR(IF(VLOOKUP(C2098,' Disaggregation - Section E '!A$618:N1310,6,0)=0,"",VLOOKUP(C2098,' Disaggregation - Section E '!A$618:N1310,6,0)),"")</f>
        <v/>
      </c>
      <c r="H2098" s="502" t="str">
        <f ca="1">IFERROR(IF(INDEX(' Disaggregation - Section E '!F$618:F2507,MATCH(C2098,' Disaggregation - Section E '!A$618:A2507,0)+1,1)&lt;&gt;0,INDEX(' Disaggregation - Section E '!F$618:F$1820,MATCH(C2098,' Disaggregation - Section E '!A$618:A2507,0)+1,1),""),"")</f>
        <v/>
      </c>
      <c r="I2098" s="493" t="str">
        <f ca="1">IFERROR(IF(VLOOKUP(C2098,' Disaggregation - Section E '!A$618:N1310,8,0)=0,"",VLOOKUP(C2098,' Disaggregation - Section E '!A$618:N1310,8,0)),"")</f>
        <v/>
      </c>
      <c r="J2098" s="493" t="str">
        <f ca="1">IFERROR(IF(VLOOKUP(C2098,' Disaggregation - Section E '!A$618:N2507,13,0)=0,"",VLOOKUP(C2098,' Disaggregation - Section E '!A$618:N2507,13,0)),"")</f>
        <v/>
      </c>
      <c r="K2098" s="487" t="str">
        <f ca="1">IFERROR(VLOOKUP(C2098,' Disaggregation - Section E '!A$618:N1310,3,0),"")</f>
        <v>PMTCT-3.1 Pourcentage de nourrissons exposés au VIH ayant bénéficié d’un dépistage du VIH dans les 2 mois qui ont suivi leur naissance</v>
      </c>
      <c r="L2098" s="487"/>
      <c r="M2098" s="487" t="str">
        <f ca="1">IFERROR(IF(VLOOKUP(C2098,' Disaggregation - Section E '!A$618:T1310,20,0)=0,"",VLOOKUP(C2098,' Disaggregation - Section E '!A$618:T1310,20,0)),"")</f>
        <v/>
      </c>
      <c r="N2098" s="493" t="str">
        <f ca="1">IFERROR(IF(VLOOKUP(C2098,' Disaggregation - Section E '!A$618:N1310,14,0)=0,"",VLOOKUP(C2098,' Disaggregation - Section E '!A$618:N1310,14,0)),"")</f>
        <v/>
      </c>
      <c r="O2098" s="493" t="str">
        <f ca="1">IFERROR(IF(VLOOKUP(C2098,' Disaggregation - Section E '!A$618:N1310,9,0)=0,"",VLOOKUP(C2098,' Disaggregation - Section E '!A$618:N1310,9,0)),"")</f>
        <v/>
      </c>
      <c r="P2098" s="493" t="str">
        <f ca="1">IFERROR(IF(VLOOKUP(C2098,' Disaggregation - Section E '!A$618:N1310,10,0)=0,"",VLOOKUP(C2098,' Disaggregation - Section E '!A$618:N1310,10,0)),"")</f>
        <v/>
      </c>
    </row>
    <row r="2099" spans="1:16" x14ac:dyDescent="0.3">
      <c r="A2099" s="487" t="b">
        <f t="shared" ca="1" si="148"/>
        <v>0</v>
      </c>
      <c r="B2099" s="487"/>
      <c r="C2099" s="500" t="str">
        <f ca="1">IF(COUNTA(D$1410:D2099)=1,"",OFFSET(B2097,-COUNTA(D$1410:D2099)+3,1))</f>
        <v>a163p000002zQamAAE</v>
      </c>
      <c r="D2099" s="502"/>
      <c r="E2099" s="490" t="str">
        <f ca="1">IFERROR(IF(VLOOKUP(C2099,' Disaggregation - Section E '!A$618:N1311,7,0)=0,"",VLOOKUP(C2099,' Disaggregation - Section E '!A$618:N1311,7,0)*100),"")</f>
        <v/>
      </c>
      <c r="F2099" s="493" t="str">
        <f ca="1">IFERROR(VLOOKUP(C2099,' Disaggregation - Section E '!A$618:N1311,5,0),"")</f>
        <v/>
      </c>
      <c r="G2099" s="492" t="str">
        <f ca="1">IFERROR(IF(VLOOKUP(C2099,' Disaggregation - Section E '!A$618:N1311,6,0)=0,"",VLOOKUP(C2099,' Disaggregation - Section E '!A$618:N1311,6,0)),"")</f>
        <v/>
      </c>
      <c r="H2099" s="502" t="str">
        <f ca="1">IFERROR(IF(INDEX(' Disaggregation - Section E '!F$618:F2508,MATCH(C2099,' Disaggregation - Section E '!A$618:A2508,0)+1,1)&lt;&gt;0,INDEX(' Disaggregation - Section E '!F$618:F$1820,MATCH(C2099,' Disaggregation - Section E '!A$618:A2508,0)+1,1),""),"")</f>
        <v/>
      </c>
      <c r="I2099" s="493" t="str">
        <f ca="1">IFERROR(IF(VLOOKUP(C2099,' Disaggregation - Section E '!A$618:N1311,8,0)=0,"",VLOOKUP(C2099,' Disaggregation - Section E '!A$618:N1311,8,0)),"")</f>
        <v/>
      </c>
      <c r="J2099" s="493" t="str">
        <f ca="1">IFERROR(IF(VLOOKUP(C2099,' Disaggregation - Section E '!A$618:N2508,13,0)=0,"",VLOOKUP(C2099,' Disaggregation - Section E '!A$618:N2508,13,0)),"")</f>
        <v/>
      </c>
      <c r="K2099" s="487" t="str">
        <f ca="1">IFERROR(VLOOKUP(C2099,' Disaggregation - Section E '!A$618:N1311,3,0),"")</f>
        <v>PMTCT-3.1 Pourcentage de nourrissons exposés au VIH ayant bénéficié d’un dépistage du VIH dans les 2 mois qui ont suivi leur naissance</v>
      </c>
      <c r="L2099" s="487"/>
      <c r="M2099" s="487" t="str">
        <f ca="1">IFERROR(IF(VLOOKUP(C2099,' Disaggregation - Section E '!A$618:T1311,20,0)=0,"",VLOOKUP(C2099,' Disaggregation - Section E '!A$618:T1311,20,0)),"")</f>
        <v/>
      </c>
      <c r="N2099" s="493" t="str">
        <f ca="1">IFERROR(IF(VLOOKUP(C2099,' Disaggregation - Section E '!A$618:N1311,14,0)=0,"",VLOOKUP(C2099,' Disaggregation - Section E '!A$618:N1311,14,0)),"")</f>
        <v/>
      </c>
      <c r="O2099" s="493" t="str">
        <f ca="1">IFERROR(IF(VLOOKUP(C2099,' Disaggregation - Section E '!A$618:N1311,9,0)=0,"",VLOOKUP(C2099,' Disaggregation - Section E '!A$618:N1311,9,0)),"")</f>
        <v/>
      </c>
      <c r="P2099" s="493" t="str">
        <f ca="1">IFERROR(IF(VLOOKUP(C2099,' Disaggregation - Section E '!A$618:N1311,10,0)=0,"",VLOOKUP(C2099,' Disaggregation - Section E '!A$618:N1311,10,0)),"")</f>
        <v/>
      </c>
    </row>
    <row r="2100" spans="1:16" x14ac:dyDescent="0.3">
      <c r="A2100" s="487" t="b">
        <f t="shared" ca="1" si="148"/>
        <v>0</v>
      </c>
      <c r="B2100" s="487"/>
      <c r="C2100" s="500" t="str">
        <f ca="1">IF(COUNTA(D$1410:D2100)=1,"",OFFSET(B2098,-COUNTA(D$1410:D2100)+3,1))</f>
        <v>a163p000002zQanAAE</v>
      </c>
      <c r="D2100" s="502"/>
      <c r="E2100" s="490" t="str">
        <f ca="1">IFERROR(IF(VLOOKUP(C2100,' Disaggregation - Section E '!A$618:N1312,7,0)=0,"",VLOOKUP(C2100,' Disaggregation - Section E '!A$618:N1312,7,0)*100),"")</f>
        <v/>
      </c>
      <c r="F2100" s="493" t="str">
        <f ca="1">IFERROR(VLOOKUP(C2100,' Disaggregation - Section E '!A$618:N1312,5,0),"")</f>
        <v/>
      </c>
      <c r="G2100" s="492" t="str">
        <f ca="1">IFERROR(IF(VLOOKUP(C2100,' Disaggregation - Section E '!A$618:N1312,6,0)=0,"",VLOOKUP(C2100,' Disaggregation - Section E '!A$618:N1312,6,0)),"")</f>
        <v/>
      </c>
      <c r="H2100" s="502" t="str">
        <f ca="1">IFERROR(IF(INDEX(' Disaggregation - Section E '!F$618:F2509,MATCH(C2100,' Disaggregation - Section E '!A$618:A2509,0)+1,1)&lt;&gt;0,INDEX(' Disaggregation - Section E '!F$618:F$1820,MATCH(C2100,' Disaggregation - Section E '!A$618:A2509,0)+1,1),""),"")</f>
        <v/>
      </c>
      <c r="I2100" s="493" t="str">
        <f ca="1">IFERROR(IF(VLOOKUP(C2100,' Disaggregation - Section E '!A$618:N1312,8,0)=0,"",VLOOKUP(C2100,' Disaggregation - Section E '!A$618:N1312,8,0)),"")</f>
        <v/>
      </c>
      <c r="J2100" s="493" t="str">
        <f ca="1">IFERROR(IF(VLOOKUP(C2100,' Disaggregation - Section E '!A$618:N2509,13,0)=0,"",VLOOKUP(C2100,' Disaggregation - Section E '!A$618:N2509,13,0)),"")</f>
        <v/>
      </c>
      <c r="K2100" s="487" t="str">
        <f ca="1">IFERROR(VLOOKUP(C2100,' Disaggregation - Section E '!A$618:N1312,3,0),"")</f>
        <v>PMTCT-3.1 Pourcentage de nourrissons exposés au VIH ayant bénéficié d’un dépistage du VIH dans les 2 mois qui ont suivi leur naissance</v>
      </c>
      <c r="L2100" s="487"/>
      <c r="M2100" s="487" t="str">
        <f ca="1">IFERROR(IF(VLOOKUP(C2100,' Disaggregation - Section E '!A$618:T1312,20,0)=0,"",VLOOKUP(C2100,' Disaggregation - Section E '!A$618:T1312,20,0)),"")</f>
        <v/>
      </c>
      <c r="N2100" s="493" t="str">
        <f ca="1">IFERROR(IF(VLOOKUP(C2100,' Disaggregation - Section E '!A$618:N1312,14,0)=0,"",VLOOKUP(C2100,' Disaggregation - Section E '!A$618:N1312,14,0)),"")</f>
        <v/>
      </c>
      <c r="O2100" s="493" t="str">
        <f ca="1">IFERROR(IF(VLOOKUP(C2100,' Disaggregation - Section E '!A$618:N1312,9,0)=0,"",VLOOKUP(C2100,' Disaggregation - Section E '!A$618:N1312,9,0)),"")</f>
        <v/>
      </c>
      <c r="P2100" s="493" t="str">
        <f ca="1">IFERROR(IF(VLOOKUP(C2100,' Disaggregation - Section E '!A$618:N1312,10,0)=0,"",VLOOKUP(C2100,' Disaggregation - Section E '!A$618:N1312,10,0)),"")</f>
        <v/>
      </c>
    </row>
    <row r="2101" spans="1:16" x14ac:dyDescent="0.3">
      <c r="A2101" s="487" t="b">
        <f t="shared" ca="1" si="148"/>
        <v>0</v>
      </c>
      <c r="B2101" s="487"/>
      <c r="C2101" s="500" t="str">
        <f ca="1">IF(COUNTA(D$1410:D2101)=1,"",OFFSET(B2099,-COUNTA(D$1410:D2101)+3,1))</f>
        <v>a163p000002zQaoAAE</v>
      </c>
      <c r="D2101" s="502"/>
      <c r="E2101" s="490" t="str">
        <f ca="1">IFERROR(IF(VLOOKUP(C2101,' Disaggregation - Section E '!A$618:N1313,7,0)=0,"",VLOOKUP(C2101,' Disaggregation - Section E '!A$618:N1313,7,0)*100),"")</f>
        <v/>
      </c>
      <c r="F2101" s="493" t="str">
        <f ca="1">IFERROR(VLOOKUP(C2101,' Disaggregation - Section E '!A$618:N1313,5,0),"")</f>
        <v/>
      </c>
      <c r="G2101" s="492" t="str">
        <f ca="1">IFERROR(IF(VLOOKUP(C2101,' Disaggregation - Section E '!A$618:N1313,6,0)=0,"",VLOOKUP(C2101,' Disaggregation - Section E '!A$618:N1313,6,0)),"")</f>
        <v/>
      </c>
      <c r="H2101" s="502" t="str">
        <f ca="1">IFERROR(IF(INDEX(' Disaggregation - Section E '!F$618:F2510,MATCH(C2101,' Disaggregation - Section E '!A$618:A2510,0)+1,1)&lt;&gt;0,INDEX(' Disaggregation - Section E '!F$618:F$1820,MATCH(C2101,' Disaggregation - Section E '!A$618:A2510,0)+1,1),""),"")</f>
        <v/>
      </c>
      <c r="I2101" s="493" t="str">
        <f ca="1">IFERROR(IF(VLOOKUP(C2101,' Disaggregation - Section E '!A$618:N1313,8,0)=0,"",VLOOKUP(C2101,' Disaggregation - Section E '!A$618:N1313,8,0)),"")</f>
        <v/>
      </c>
      <c r="J2101" s="493" t="str">
        <f ca="1">IFERROR(IF(VLOOKUP(C2101,' Disaggregation - Section E '!A$618:N2510,13,0)=0,"",VLOOKUP(C2101,' Disaggregation - Section E '!A$618:N2510,13,0)),"")</f>
        <v/>
      </c>
      <c r="K2101" s="487" t="str">
        <f ca="1">IFERROR(VLOOKUP(C2101,' Disaggregation - Section E '!A$618:N1313,3,0),"")</f>
        <v>PMTCT-3.1 Pourcentage de nourrissons exposés au VIH ayant bénéficié d’un dépistage du VIH dans les 2 mois qui ont suivi leur naissance</v>
      </c>
      <c r="L2101" s="487"/>
      <c r="M2101" s="487" t="str">
        <f ca="1">IFERROR(IF(VLOOKUP(C2101,' Disaggregation - Section E '!A$618:T1313,20,0)=0,"",VLOOKUP(C2101,' Disaggregation - Section E '!A$618:T1313,20,0)),"")</f>
        <v/>
      </c>
      <c r="N2101" s="493" t="str">
        <f ca="1">IFERROR(IF(VLOOKUP(C2101,' Disaggregation - Section E '!A$618:N1313,14,0)=0,"",VLOOKUP(C2101,' Disaggregation - Section E '!A$618:N1313,14,0)),"")</f>
        <v/>
      </c>
      <c r="O2101" s="493" t="str">
        <f ca="1">IFERROR(IF(VLOOKUP(C2101,' Disaggregation - Section E '!A$618:N1313,9,0)=0,"",VLOOKUP(C2101,' Disaggregation - Section E '!A$618:N1313,9,0)),"")</f>
        <v/>
      </c>
      <c r="P2101" s="493" t="str">
        <f ca="1">IFERROR(IF(VLOOKUP(C2101,' Disaggregation - Section E '!A$618:N1313,10,0)=0,"",VLOOKUP(C2101,' Disaggregation - Section E '!A$618:N1313,10,0)),"")</f>
        <v/>
      </c>
    </row>
    <row r="2102" spans="1:16" x14ac:dyDescent="0.3">
      <c r="A2102" s="487" t="b">
        <f t="shared" ca="1" si="148"/>
        <v>0</v>
      </c>
      <c r="B2102" s="487"/>
      <c r="C2102" s="500" t="str">
        <f ca="1">IF(COUNTA(D$1410:D2102)=1,"",OFFSET(B2100,-COUNTA(D$1410:D2102)+3,1))</f>
        <v>a163p000002zQapAAE</v>
      </c>
      <c r="D2102" s="502"/>
      <c r="E2102" s="490" t="str">
        <f ca="1">IFERROR(IF(VLOOKUP(C2102,' Disaggregation - Section E '!A$618:N1314,7,0)=0,"",VLOOKUP(C2102,' Disaggregation - Section E '!A$618:N1314,7,0)*100),"")</f>
        <v/>
      </c>
      <c r="F2102" s="493" t="str">
        <f ca="1">IFERROR(VLOOKUP(C2102,' Disaggregation - Section E '!A$618:N1314,5,0),"")</f>
        <v/>
      </c>
      <c r="G2102" s="492" t="str">
        <f ca="1">IFERROR(IF(VLOOKUP(C2102,' Disaggregation - Section E '!A$618:N1314,6,0)=0,"",VLOOKUP(C2102,' Disaggregation - Section E '!A$618:N1314,6,0)),"")</f>
        <v/>
      </c>
      <c r="H2102" s="502" t="str">
        <f ca="1">IFERROR(IF(INDEX(' Disaggregation - Section E '!F$618:F2511,MATCH(C2102,' Disaggregation - Section E '!A$618:A2511,0)+1,1)&lt;&gt;0,INDEX(' Disaggregation - Section E '!F$618:F$1820,MATCH(C2102,' Disaggregation - Section E '!A$618:A2511,0)+1,1),""),"")</f>
        <v/>
      </c>
      <c r="I2102" s="493" t="str">
        <f ca="1">IFERROR(IF(VLOOKUP(C2102,' Disaggregation - Section E '!A$618:N1314,8,0)=0,"",VLOOKUP(C2102,' Disaggregation - Section E '!A$618:N1314,8,0)),"")</f>
        <v/>
      </c>
      <c r="J2102" s="493" t="str">
        <f ca="1">IFERROR(IF(VLOOKUP(C2102,' Disaggregation - Section E '!A$618:N2511,13,0)=0,"",VLOOKUP(C2102,' Disaggregation - Section E '!A$618:N2511,13,0)),"")</f>
        <v/>
      </c>
      <c r="K2102" s="487" t="str">
        <f ca="1">IFERROR(VLOOKUP(C2102,' Disaggregation - Section E '!A$618:N1314,3,0),"")</f>
        <v>PMTCT-3.1 Pourcentage de nourrissons exposés au VIH ayant bénéficié d’un dépistage du VIH dans les 2 mois qui ont suivi leur naissance</v>
      </c>
      <c r="L2102" s="487"/>
      <c r="M2102" s="487" t="str">
        <f ca="1">IFERROR(IF(VLOOKUP(C2102,' Disaggregation - Section E '!A$618:T1314,20,0)=0,"",VLOOKUP(C2102,' Disaggregation - Section E '!A$618:T1314,20,0)),"")</f>
        <v/>
      </c>
      <c r="N2102" s="493" t="str">
        <f ca="1">IFERROR(IF(VLOOKUP(C2102,' Disaggregation - Section E '!A$618:N1314,14,0)=0,"",VLOOKUP(C2102,' Disaggregation - Section E '!A$618:N1314,14,0)),"")</f>
        <v/>
      </c>
      <c r="O2102" s="493" t="str">
        <f ca="1">IFERROR(IF(VLOOKUP(C2102,' Disaggregation - Section E '!A$618:N1314,9,0)=0,"",VLOOKUP(C2102,' Disaggregation - Section E '!A$618:N1314,9,0)),"")</f>
        <v/>
      </c>
      <c r="P2102" s="493" t="str">
        <f ca="1">IFERROR(IF(VLOOKUP(C2102,' Disaggregation - Section E '!A$618:N1314,10,0)=0,"",VLOOKUP(C2102,' Disaggregation - Section E '!A$618:N1314,10,0)),"")</f>
        <v/>
      </c>
    </row>
    <row r="2103" spans="1:16" x14ac:dyDescent="0.3">
      <c r="A2103" s="487" t="b">
        <f t="shared" ca="1" si="148"/>
        <v>0</v>
      </c>
      <c r="B2103" s="487"/>
      <c r="C2103" s="500" t="str">
        <f ca="1">IF(COUNTA(D$1410:D2103)=1,"",OFFSET(B2101,-COUNTA(D$1410:D2103)+3,1))</f>
        <v>a163p000002zQaqAAE</v>
      </c>
      <c r="D2103" s="502"/>
      <c r="E2103" s="490" t="str">
        <f ca="1">IFERROR(IF(VLOOKUP(C2103,' Disaggregation - Section E '!A$618:N1315,7,0)=0,"",VLOOKUP(C2103,' Disaggregation - Section E '!A$618:N1315,7,0)*100),"")</f>
        <v/>
      </c>
      <c r="F2103" s="493" t="str">
        <f ca="1">IFERROR(VLOOKUP(C2103,' Disaggregation - Section E '!A$618:N1315,5,0),"")</f>
        <v/>
      </c>
      <c r="G2103" s="492" t="str">
        <f ca="1">IFERROR(IF(VLOOKUP(C2103,' Disaggregation - Section E '!A$618:N1315,6,0)=0,"",VLOOKUP(C2103,' Disaggregation - Section E '!A$618:N1315,6,0)),"")</f>
        <v/>
      </c>
      <c r="H2103" s="502" t="str">
        <f ca="1">IFERROR(IF(INDEX(' Disaggregation - Section E '!F$618:F2512,MATCH(C2103,' Disaggregation - Section E '!A$618:A2512,0)+1,1)&lt;&gt;0,INDEX(' Disaggregation - Section E '!F$618:F$1820,MATCH(C2103,' Disaggregation - Section E '!A$618:A2512,0)+1,1),""),"")</f>
        <v/>
      </c>
      <c r="I2103" s="493" t="str">
        <f ca="1">IFERROR(IF(VLOOKUP(C2103,' Disaggregation - Section E '!A$618:N1315,8,0)=0,"",VLOOKUP(C2103,' Disaggregation - Section E '!A$618:N1315,8,0)),"")</f>
        <v/>
      </c>
      <c r="J2103" s="493" t="str">
        <f ca="1">IFERROR(IF(VLOOKUP(C2103,' Disaggregation - Section E '!A$618:N2512,13,0)=0,"",VLOOKUP(C2103,' Disaggregation - Section E '!A$618:N2512,13,0)),"")</f>
        <v/>
      </c>
      <c r="K2103" s="487" t="str">
        <f ca="1">IFERROR(VLOOKUP(C2103,' Disaggregation - Section E '!A$618:N1315,3,0),"")</f>
        <v>PMTCT-3.1 Pourcentage de nourrissons exposés au VIH ayant bénéficié d’un dépistage du VIH dans les 2 mois qui ont suivi leur naissance</v>
      </c>
      <c r="L2103" s="487"/>
      <c r="M2103" s="487" t="str">
        <f ca="1">IFERROR(IF(VLOOKUP(C2103,' Disaggregation - Section E '!A$618:T1315,20,0)=0,"",VLOOKUP(C2103,' Disaggregation - Section E '!A$618:T1315,20,0)),"")</f>
        <v/>
      </c>
      <c r="N2103" s="493" t="str">
        <f ca="1">IFERROR(IF(VLOOKUP(C2103,' Disaggregation - Section E '!A$618:N1315,14,0)=0,"",VLOOKUP(C2103,' Disaggregation - Section E '!A$618:N1315,14,0)),"")</f>
        <v/>
      </c>
      <c r="O2103" s="493" t="str">
        <f ca="1">IFERROR(IF(VLOOKUP(C2103,' Disaggregation - Section E '!A$618:N1315,9,0)=0,"",VLOOKUP(C2103,' Disaggregation - Section E '!A$618:N1315,9,0)),"")</f>
        <v/>
      </c>
      <c r="P2103" s="493" t="str">
        <f ca="1">IFERROR(IF(VLOOKUP(C2103,' Disaggregation - Section E '!A$618:N1315,10,0)=0,"",VLOOKUP(C2103,' Disaggregation - Section E '!A$618:N1315,10,0)),"")</f>
        <v/>
      </c>
    </row>
    <row r="2104" spans="1:16" x14ac:dyDescent="0.3">
      <c r="A2104" s="487" t="b">
        <f t="shared" ca="1" si="148"/>
        <v>0</v>
      </c>
      <c r="B2104" s="487"/>
      <c r="C2104" s="500" t="str">
        <f ca="1">IF(COUNTA(D$1410:D2104)=1,"",OFFSET(B2102,-COUNTA(D$1410:D2104)+3,1))</f>
        <v>a163p000002zQarAAE</v>
      </c>
      <c r="D2104" s="502"/>
      <c r="E2104" s="490" t="str">
        <f ca="1">IFERROR(IF(VLOOKUP(C2104,' Disaggregation - Section E '!A$618:N1316,7,0)=0,"",VLOOKUP(C2104,' Disaggregation - Section E '!A$618:N1316,7,0)*100),"")</f>
        <v/>
      </c>
      <c r="F2104" s="493" t="str">
        <f ca="1">IFERROR(VLOOKUP(C2104,' Disaggregation - Section E '!A$618:N1316,5,0),"")</f>
        <v/>
      </c>
      <c r="G2104" s="492" t="str">
        <f ca="1">IFERROR(IF(VLOOKUP(C2104,' Disaggregation - Section E '!A$618:N1316,6,0)=0,"",VLOOKUP(C2104,' Disaggregation - Section E '!A$618:N1316,6,0)),"")</f>
        <v/>
      </c>
      <c r="H2104" s="502" t="str">
        <f ca="1">IFERROR(IF(INDEX(' Disaggregation - Section E '!F$618:F2513,MATCH(C2104,' Disaggregation - Section E '!A$618:A2513,0)+1,1)&lt;&gt;0,INDEX(' Disaggregation - Section E '!F$618:F$1820,MATCH(C2104,' Disaggregation - Section E '!A$618:A2513,0)+1,1),""),"")</f>
        <v/>
      </c>
      <c r="I2104" s="493" t="str">
        <f ca="1">IFERROR(IF(VLOOKUP(C2104,' Disaggregation - Section E '!A$618:N1316,8,0)=0,"",VLOOKUP(C2104,' Disaggregation - Section E '!A$618:N1316,8,0)),"")</f>
        <v/>
      </c>
      <c r="J2104" s="493" t="str">
        <f ca="1">IFERROR(IF(VLOOKUP(C2104,' Disaggregation - Section E '!A$618:N2513,13,0)=0,"",VLOOKUP(C2104,' Disaggregation - Section E '!A$618:N2513,13,0)),"")</f>
        <v/>
      </c>
      <c r="K2104" s="487" t="str">
        <f ca="1">IFERROR(VLOOKUP(C2104,' Disaggregation - Section E '!A$618:N1316,3,0),"")</f>
        <v>PMTCT-3.1 Pourcentage de nourrissons exposés au VIH ayant bénéficié d’un dépistage du VIH dans les 2 mois qui ont suivi leur naissance</v>
      </c>
      <c r="L2104" s="487"/>
      <c r="M2104" s="487" t="str">
        <f ca="1">IFERROR(IF(VLOOKUP(C2104,' Disaggregation - Section E '!A$618:T1316,20,0)=0,"",VLOOKUP(C2104,' Disaggregation - Section E '!A$618:T1316,20,0)),"")</f>
        <v/>
      </c>
      <c r="N2104" s="493" t="str">
        <f ca="1">IFERROR(IF(VLOOKUP(C2104,' Disaggregation - Section E '!A$618:N1316,14,0)=0,"",VLOOKUP(C2104,' Disaggregation - Section E '!A$618:N1316,14,0)),"")</f>
        <v/>
      </c>
      <c r="O2104" s="493" t="str">
        <f ca="1">IFERROR(IF(VLOOKUP(C2104,' Disaggregation - Section E '!A$618:N1316,9,0)=0,"",VLOOKUP(C2104,' Disaggregation - Section E '!A$618:N1316,9,0)),"")</f>
        <v/>
      </c>
      <c r="P2104" s="493" t="str">
        <f ca="1">IFERROR(IF(VLOOKUP(C2104,' Disaggregation - Section E '!A$618:N1316,10,0)=0,"",VLOOKUP(C2104,' Disaggregation - Section E '!A$618:N1316,10,0)),"")</f>
        <v/>
      </c>
    </row>
    <row r="2105" spans="1:16" x14ac:dyDescent="0.3">
      <c r="A2105" s="487" t="b">
        <f t="shared" ca="1" si="148"/>
        <v>0</v>
      </c>
      <c r="B2105" s="487"/>
      <c r="C2105" s="500" t="str">
        <f ca="1">IF(COUNTA(D$1410:D2105)=1,"",OFFSET(B2103,-COUNTA(D$1410:D2105)+3,1))</f>
        <v>a163p000002zQasAAE</v>
      </c>
      <c r="D2105" s="502"/>
      <c r="E2105" s="490" t="str">
        <f ca="1">IFERROR(IF(VLOOKUP(C2105,' Disaggregation - Section E '!A$618:N1317,7,0)=0,"",VLOOKUP(C2105,' Disaggregation - Section E '!A$618:N1317,7,0)*100),"")</f>
        <v/>
      </c>
      <c r="F2105" s="493" t="str">
        <f ca="1">IFERROR(VLOOKUP(C2105,' Disaggregation - Section E '!A$618:N1317,5,0),"")</f>
        <v/>
      </c>
      <c r="G2105" s="492" t="str">
        <f ca="1">IFERROR(IF(VLOOKUP(C2105,' Disaggregation - Section E '!A$618:N1317,6,0)=0,"",VLOOKUP(C2105,' Disaggregation - Section E '!A$618:N1317,6,0)),"")</f>
        <v/>
      </c>
      <c r="H2105" s="502" t="str">
        <f ca="1">IFERROR(IF(INDEX(' Disaggregation - Section E '!F$618:F2514,MATCH(C2105,' Disaggregation - Section E '!A$618:A2514,0)+1,1)&lt;&gt;0,INDEX(' Disaggregation - Section E '!F$618:F$1820,MATCH(C2105,' Disaggregation - Section E '!A$618:A2514,0)+1,1),""),"")</f>
        <v/>
      </c>
      <c r="I2105" s="493" t="str">
        <f ca="1">IFERROR(IF(VLOOKUP(C2105,' Disaggregation - Section E '!A$618:N1317,8,0)=0,"",VLOOKUP(C2105,' Disaggregation - Section E '!A$618:N1317,8,0)),"")</f>
        <v/>
      </c>
      <c r="J2105" s="493" t="str">
        <f ca="1">IFERROR(IF(VLOOKUP(C2105,' Disaggregation - Section E '!A$618:N2514,13,0)=0,"",VLOOKUP(C2105,' Disaggregation - Section E '!A$618:N2514,13,0)),"")</f>
        <v/>
      </c>
      <c r="K2105" s="487" t="str">
        <f ca="1">IFERROR(VLOOKUP(C2105,' Disaggregation - Section E '!A$618:N1317,3,0),"")</f>
        <v>PMTCT-3.1 Pourcentage de nourrissons exposés au VIH ayant bénéficié d’un dépistage du VIH dans les 2 mois qui ont suivi leur naissance</v>
      </c>
      <c r="L2105" s="487"/>
      <c r="M2105" s="487" t="str">
        <f ca="1">IFERROR(IF(VLOOKUP(C2105,' Disaggregation - Section E '!A$618:T1317,20,0)=0,"",VLOOKUP(C2105,' Disaggregation - Section E '!A$618:T1317,20,0)),"")</f>
        <v/>
      </c>
      <c r="N2105" s="493" t="str">
        <f ca="1">IFERROR(IF(VLOOKUP(C2105,' Disaggregation - Section E '!A$618:N1317,14,0)=0,"",VLOOKUP(C2105,' Disaggregation - Section E '!A$618:N1317,14,0)),"")</f>
        <v/>
      </c>
      <c r="O2105" s="493" t="str">
        <f ca="1">IFERROR(IF(VLOOKUP(C2105,' Disaggregation - Section E '!A$618:N1317,9,0)=0,"",VLOOKUP(C2105,' Disaggregation - Section E '!A$618:N1317,9,0)),"")</f>
        <v/>
      </c>
      <c r="P2105" s="493" t="str">
        <f ca="1">IFERROR(IF(VLOOKUP(C2105,' Disaggregation - Section E '!A$618:N1317,10,0)=0,"",VLOOKUP(C2105,' Disaggregation - Section E '!A$618:N1317,10,0)),"")</f>
        <v/>
      </c>
    </row>
    <row r="2106" spans="1:16" x14ac:dyDescent="0.3">
      <c r="A2106" s="487" t="b">
        <f t="shared" ca="1" si="148"/>
        <v>0</v>
      </c>
      <c r="B2106" s="487"/>
      <c r="C2106" s="500" t="str">
        <f ca="1">IF(COUNTA(D$1410:D2106)=1,"",OFFSET(B2104,-COUNTA(D$1410:D2106)+3,1))</f>
        <v>a163p000002zQatAAE</v>
      </c>
      <c r="D2106" s="502"/>
      <c r="E2106" s="490" t="str">
        <f ca="1">IFERROR(IF(VLOOKUP(C2106,' Disaggregation - Section E '!A$618:N1318,7,0)=0,"",VLOOKUP(C2106,' Disaggregation - Section E '!A$618:N1318,7,0)*100),"")</f>
        <v/>
      </c>
      <c r="F2106" s="493" t="str">
        <f ca="1">IFERROR(VLOOKUP(C2106,' Disaggregation - Section E '!A$618:N1318,5,0),"")</f>
        <v/>
      </c>
      <c r="G2106" s="492" t="str">
        <f ca="1">IFERROR(IF(VLOOKUP(C2106,' Disaggregation - Section E '!A$618:N1318,6,0)=0,"",VLOOKUP(C2106,' Disaggregation - Section E '!A$618:N1318,6,0)),"")</f>
        <v/>
      </c>
      <c r="H2106" s="502" t="str">
        <f ca="1">IFERROR(IF(INDEX(' Disaggregation - Section E '!F$618:F2515,MATCH(C2106,' Disaggregation - Section E '!A$618:A2515,0)+1,1)&lt;&gt;0,INDEX(' Disaggregation - Section E '!F$618:F$1820,MATCH(C2106,' Disaggregation - Section E '!A$618:A2515,0)+1,1),""),"")</f>
        <v/>
      </c>
      <c r="I2106" s="493" t="str">
        <f ca="1">IFERROR(IF(VLOOKUP(C2106,' Disaggregation - Section E '!A$618:N1318,8,0)=0,"",VLOOKUP(C2106,' Disaggregation - Section E '!A$618:N1318,8,0)),"")</f>
        <v/>
      </c>
      <c r="J2106" s="493" t="str">
        <f ca="1">IFERROR(IF(VLOOKUP(C2106,' Disaggregation - Section E '!A$618:N2515,13,0)=0,"",VLOOKUP(C2106,' Disaggregation - Section E '!A$618:N2515,13,0)),"")</f>
        <v/>
      </c>
      <c r="K2106" s="487" t="str">
        <f ca="1">IFERROR(VLOOKUP(C2106,' Disaggregation - Section E '!A$618:N1318,3,0),"")</f>
        <v>PMTCT-3.1 Pourcentage de nourrissons exposés au VIH ayant bénéficié d’un dépistage du VIH dans les 2 mois qui ont suivi leur naissance</v>
      </c>
      <c r="L2106" s="487"/>
      <c r="M2106" s="487" t="str">
        <f ca="1">IFERROR(IF(VLOOKUP(C2106,' Disaggregation - Section E '!A$618:T1318,20,0)=0,"",VLOOKUP(C2106,' Disaggregation - Section E '!A$618:T1318,20,0)),"")</f>
        <v/>
      </c>
      <c r="N2106" s="493" t="str">
        <f ca="1">IFERROR(IF(VLOOKUP(C2106,' Disaggregation - Section E '!A$618:N1318,14,0)=0,"",VLOOKUP(C2106,' Disaggregation - Section E '!A$618:N1318,14,0)),"")</f>
        <v/>
      </c>
      <c r="O2106" s="493" t="str">
        <f ca="1">IFERROR(IF(VLOOKUP(C2106,' Disaggregation - Section E '!A$618:N1318,9,0)=0,"",VLOOKUP(C2106,' Disaggregation - Section E '!A$618:N1318,9,0)),"")</f>
        <v/>
      </c>
      <c r="P2106" s="493" t="str">
        <f ca="1">IFERROR(IF(VLOOKUP(C2106,' Disaggregation - Section E '!A$618:N1318,10,0)=0,"",VLOOKUP(C2106,' Disaggregation - Section E '!A$618:N1318,10,0)),"")</f>
        <v/>
      </c>
    </row>
    <row r="2107" spans="1:16" x14ac:dyDescent="0.3">
      <c r="A2107" s="487" t="b">
        <f t="shared" ca="1" si="148"/>
        <v>0</v>
      </c>
      <c r="B2107" s="487"/>
      <c r="C2107" s="500" t="str">
        <f ca="1">IF(COUNTA(D$1410:D2107)=1,"",OFFSET(B2105,-COUNTA(D$1410:D2107)+3,1))</f>
        <v>a163p000002zQauAAE</v>
      </c>
      <c r="D2107" s="502"/>
      <c r="E2107" s="490" t="str">
        <f ca="1">IFERROR(IF(VLOOKUP(C2107,' Disaggregation - Section E '!A$618:N1319,7,0)=0,"",VLOOKUP(C2107,' Disaggregation - Section E '!A$618:N1319,7,0)*100),"")</f>
        <v/>
      </c>
      <c r="F2107" s="493" t="str">
        <f ca="1">IFERROR(VLOOKUP(C2107,' Disaggregation - Section E '!A$618:N1319,5,0),"")</f>
        <v/>
      </c>
      <c r="G2107" s="492" t="str">
        <f ca="1">IFERROR(IF(VLOOKUP(C2107,' Disaggregation - Section E '!A$618:N1319,6,0)=0,"",VLOOKUP(C2107,' Disaggregation - Section E '!A$618:N1319,6,0)),"")</f>
        <v/>
      </c>
      <c r="H2107" s="502" t="str">
        <f ca="1">IFERROR(IF(INDEX(' Disaggregation - Section E '!F$618:F2516,MATCH(C2107,' Disaggregation - Section E '!A$618:A2516,0)+1,1)&lt;&gt;0,INDEX(' Disaggregation - Section E '!F$618:F$1820,MATCH(C2107,' Disaggregation - Section E '!A$618:A2516,0)+1,1),""),"")</f>
        <v/>
      </c>
      <c r="I2107" s="493" t="str">
        <f ca="1">IFERROR(IF(VLOOKUP(C2107,' Disaggregation - Section E '!A$618:N1319,8,0)=0,"",VLOOKUP(C2107,' Disaggregation - Section E '!A$618:N1319,8,0)),"")</f>
        <v/>
      </c>
      <c r="J2107" s="493" t="str">
        <f ca="1">IFERROR(IF(VLOOKUP(C2107,' Disaggregation - Section E '!A$618:N2516,13,0)=0,"",VLOOKUP(C2107,' Disaggregation - Section E '!A$618:N2516,13,0)),"")</f>
        <v/>
      </c>
      <c r="K2107" s="487" t="str">
        <f ca="1">IFERROR(VLOOKUP(C2107,' Disaggregation - Section E '!A$618:N1319,3,0),"")</f>
        <v>PMTCT-3.1 Pourcentage de nourrissons exposés au VIH ayant bénéficié d’un dépistage du VIH dans les 2 mois qui ont suivi leur naissance</v>
      </c>
      <c r="L2107" s="487"/>
      <c r="M2107" s="487" t="str">
        <f ca="1">IFERROR(IF(VLOOKUP(C2107,' Disaggregation - Section E '!A$618:T1319,20,0)=0,"",VLOOKUP(C2107,' Disaggregation - Section E '!A$618:T1319,20,0)),"")</f>
        <v/>
      </c>
      <c r="N2107" s="493" t="str">
        <f ca="1">IFERROR(IF(VLOOKUP(C2107,' Disaggregation - Section E '!A$618:N1319,14,0)=0,"",VLOOKUP(C2107,' Disaggregation - Section E '!A$618:N1319,14,0)),"")</f>
        <v/>
      </c>
      <c r="O2107" s="493" t="str">
        <f ca="1">IFERROR(IF(VLOOKUP(C2107,' Disaggregation - Section E '!A$618:N1319,9,0)=0,"",VLOOKUP(C2107,' Disaggregation - Section E '!A$618:N1319,9,0)),"")</f>
        <v/>
      </c>
      <c r="P2107" s="493" t="str">
        <f ca="1">IFERROR(IF(VLOOKUP(C2107,' Disaggregation - Section E '!A$618:N1319,10,0)=0,"",VLOOKUP(C2107,' Disaggregation - Section E '!A$618:N1319,10,0)),"")</f>
        <v/>
      </c>
    </row>
    <row r="2108" spans="1:16" x14ac:dyDescent="0.3">
      <c r="A2108" s="487" t="b">
        <f t="shared" ca="1" si="148"/>
        <v>0</v>
      </c>
      <c r="B2108" s="487"/>
      <c r="C2108" s="500" t="str">
        <f ca="1">IF(COUNTA(D$1410:D2108)=1,"",OFFSET(B2106,-COUNTA(D$1410:D2108)+3,1))</f>
        <v>a163p000002zQavAAE</v>
      </c>
      <c r="D2108" s="502"/>
      <c r="E2108" s="490" t="str">
        <f ca="1">IFERROR(IF(VLOOKUP(C2108,' Disaggregation - Section E '!A$618:N1320,7,0)=0,"",VLOOKUP(C2108,' Disaggregation - Section E '!A$618:N1320,7,0)*100),"")</f>
        <v/>
      </c>
      <c r="F2108" s="493" t="str">
        <f ca="1">IFERROR(VLOOKUP(C2108,' Disaggregation - Section E '!A$618:N1320,5,0),"")</f>
        <v/>
      </c>
      <c r="G2108" s="492" t="str">
        <f ca="1">IFERROR(IF(VLOOKUP(C2108,' Disaggregation - Section E '!A$618:N1320,6,0)=0,"",VLOOKUP(C2108,' Disaggregation - Section E '!A$618:N1320,6,0)),"")</f>
        <v/>
      </c>
      <c r="H2108" s="502" t="str">
        <f ca="1">IFERROR(IF(INDEX(' Disaggregation - Section E '!F$618:F2517,MATCH(C2108,' Disaggregation - Section E '!A$618:A2517,0)+1,1)&lt;&gt;0,INDEX(' Disaggregation - Section E '!F$618:F$1820,MATCH(C2108,' Disaggregation - Section E '!A$618:A2517,0)+1,1),""),"")</f>
        <v/>
      </c>
      <c r="I2108" s="493" t="str">
        <f ca="1">IFERROR(IF(VLOOKUP(C2108,' Disaggregation - Section E '!A$618:N1320,8,0)=0,"",VLOOKUP(C2108,' Disaggregation - Section E '!A$618:N1320,8,0)),"")</f>
        <v/>
      </c>
      <c r="J2108" s="493" t="str">
        <f ca="1">IFERROR(IF(VLOOKUP(C2108,' Disaggregation - Section E '!A$618:N2517,13,0)=0,"",VLOOKUP(C2108,' Disaggregation - Section E '!A$618:N2517,13,0)),"")</f>
        <v/>
      </c>
      <c r="K2108" s="487" t="str">
        <f ca="1">IFERROR(VLOOKUP(C2108,' Disaggregation - Section E '!A$618:N1320,3,0),"")</f>
        <v>PMTCT-3.1 Pourcentage de nourrissons exposés au VIH ayant bénéficié d’un dépistage du VIH dans les 2 mois qui ont suivi leur naissance</v>
      </c>
      <c r="L2108" s="487"/>
      <c r="M2108" s="487" t="str">
        <f ca="1">IFERROR(IF(VLOOKUP(C2108,' Disaggregation - Section E '!A$618:T1320,20,0)=0,"",VLOOKUP(C2108,' Disaggregation - Section E '!A$618:T1320,20,0)),"")</f>
        <v/>
      </c>
      <c r="N2108" s="493" t="str">
        <f ca="1">IFERROR(IF(VLOOKUP(C2108,' Disaggregation - Section E '!A$618:N1320,14,0)=0,"",VLOOKUP(C2108,' Disaggregation - Section E '!A$618:N1320,14,0)),"")</f>
        <v/>
      </c>
      <c r="O2108" s="493" t="str">
        <f ca="1">IFERROR(IF(VLOOKUP(C2108,' Disaggregation - Section E '!A$618:N1320,9,0)=0,"",VLOOKUP(C2108,' Disaggregation - Section E '!A$618:N1320,9,0)),"")</f>
        <v/>
      </c>
      <c r="P2108" s="493" t="str">
        <f ca="1">IFERROR(IF(VLOOKUP(C2108,' Disaggregation - Section E '!A$618:N1320,10,0)=0,"",VLOOKUP(C2108,' Disaggregation - Section E '!A$618:N1320,10,0)),"")</f>
        <v/>
      </c>
    </row>
    <row r="2109" spans="1:16" x14ac:dyDescent="0.3">
      <c r="A2109" s="487" t="b">
        <f t="shared" ca="1" si="148"/>
        <v>0</v>
      </c>
      <c r="B2109" s="487"/>
      <c r="C2109" s="500" t="str">
        <f ca="1">IF(COUNTA(D$1410:D2109)=1,"",OFFSET(B2107,-COUNTA(D$1410:D2109)+3,1))</f>
        <v>a163p000002zQawAAE</v>
      </c>
      <c r="D2109" s="502"/>
      <c r="E2109" s="490" t="str">
        <f ca="1">IFERROR(IF(VLOOKUP(C2109,' Disaggregation - Section E '!A$618:N1321,7,0)=0,"",VLOOKUP(C2109,' Disaggregation - Section E '!A$618:N1321,7,0)*100),"")</f>
        <v/>
      </c>
      <c r="F2109" s="493" t="str">
        <f ca="1">IFERROR(VLOOKUP(C2109,' Disaggregation - Section E '!A$618:N1321,5,0),"")</f>
        <v/>
      </c>
      <c r="G2109" s="492" t="str">
        <f ca="1">IFERROR(IF(VLOOKUP(C2109,' Disaggregation - Section E '!A$618:N1321,6,0)=0,"",VLOOKUP(C2109,' Disaggregation - Section E '!A$618:N1321,6,0)),"")</f>
        <v/>
      </c>
      <c r="H2109" s="502" t="str">
        <f ca="1">IFERROR(IF(INDEX(' Disaggregation - Section E '!F$618:F2518,MATCH(C2109,' Disaggregation - Section E '!A$618:A2518,0)+1,1)&lt;&gt;0,INDEX(' Disaggregation - Section E '!F$618:F$1820,MATCH(C2109,' Disaggregation - Section E '!A$618:A2518,0)+1,1),""),"")</f>
        <v/>
      </c>
      <c r="I2109" s="493" t="str">
        <f ca="1">IFERROR(IF(VLOOKUP(C2109,' Disaggregation - Section E '!A$618:N1321,8,0)=0,"",VLOOKUP(C2109,' Disaggregation - Section E '!A$618:N1321,8,0)),"")</f>
        <v/>
      </c>
      <c r="J2109" s="493" t="str">
        <f ca="1">IFERROR(IF(VLOOKUP(C2109,' Disaggregation - Section E '!A$618:N2518,13,0)=0,"",VLOOKUP(C2109,' Disaggregation - Section E '!A$618:N2518,13,0)),"")</f>
        <v/>
      </c>
      <c r="K2109" s="487" t="str">
        <f ca="1">IFERROR(VLOOKUP(C2109,' Disaggregation - Section E '!A$618:N1321,3,0),"")</f>
        <v>PMTCT-3.1 Pourcentage de nourrissons exposés au VIH ayant bénéficié d’un dépistage du VIH dans les 2 mois qui ont suivi leur naissance</v>
      </c>
      <c r="L2109" s="487"/>
      <c r="M2109" s="487" t="str">
        <f ca="1">IFERROR(IF(VLOOKUP(C2109,' Disaggregation - Section E '!A$618:T1321,20,0)=0,"",VLOOKUP(C2109,' Disaggregation - Section E '!A$618:T1321,20,0)),"")</f>
        <v/>
      </c>
      <c r="N2109" s="493" t="str">
        <f ca="1">IFERROR(IF(VLOOKUP(C2109,' Disaggregation - Section E '!A$618:N1321,14,0)=0,"",VLOOKUP(C2109,' Disaggregation - Section E '!A$618:N1321,14,0)),"")</f>
        <v/>
      </c>
      <c r="O2109" s="493" t="str">
        <f ca="1">IFERROR(IF(VLOOKUP(C2109,' Disaggregation - Section E '!A$618:N1321,9,0)=0,"",VLOOKUP(C2109,' Disaggregation - Section E '!A$618:N1321,9,0)),"")</f>
        <v/>
      </c>
      <c r="P2109" s="493" t="str">
        <f ca="1">IFERROR(IF(VLOOKUP(C2109,' Disaggregation - Section E '!A$618:N1321,10,0)=0,"",VLOOKUP(C2109,' Disaggregation - Section E '!A$618:N1321,10,0)),"")</f>
        <v/>
      </c>
    </row>
    <row r="2110" spans="1:16" x14ac:dyDescent="0.3">
      <c r="A2110" s="487" t="b">
        <f t="shared" ca="1" si="148"/>
        <v>0</v>
      </c>
      <c r="B2110" s="487"/>
      <c r="C2110" s="500" t="str">
        <f ca="1">IF(COUNTA(D$1410:D2110)=1,"",OFFSET(B2108,-COUNTA(D$1410:D2110)+3,1))</f>
        <v>a163p000002zQaxAAE</v>
      </c>
      <c r="D2110" s="502"/>
      <c r="E2110" s="490" t="str">
        <f ca="1">IFERROR(IF(VLOOKUP(C2110,' Disaggregation - Section E '!A$618:N1322,7,0)=0,"",VLOOKUP(C2110,' Disaggregation - Section E '!A$618:N1322,7,0)*100),"")</f>
        <v/>
      </c>
      <c r="F2110" s="493" t="str">
        <f ca="1">IFERROR(VLOOKUP(C2110,' Disaggregation - Section E '!A$618:N1322,5,0),"")</f>
        <v/>
      </c>
      <c r="G2110" s="492" t="str">
        <f ca="1">IFERROR(IF(VLOOKUP(C2110,' Disaggregation - Section E '!A$618:N1322,6,0)=0,"",VLOOKUP(C2110,' Disaggregation - Section E '!A$618:N1322,6,0)),"")</f>
        <v/>
      </c>
      <c r="H2110" s="502" t="str">
        <f ca="1">IFERROR(IF(INDEX(' Disaggregation - Section E '!F$618:F2519,MATCH(C2110,' Disaggregation - Section E '!A$618:A2519,0)+1,1)&lt;&gt;0,INDEX(' Disaggregation - Section E '!F$618:F$1820,MATCH(C2110,' Disaggregation - Section E '!A$618:A2519,0)+1,1),""),"")</f>
        <v/>
      </c>
      <c r="I2110" s="493" t="str">
        <f ca="1">IFERROR(IF(VLOOKUP(C2110,' Disaggregation - Section E '!A$618:N1322,8,0)=0,"",VLOOKUP(C2110,' Disaggregation - Section E '!A$618:N1322,8,0)),"")</f>
        <v/>
      </c>
      <c r="J2110" s="493" t="str">
        <f ca="1">IFERROR(IF(VLOOKUP(C2110,' Disaggregation - Section E '!A$618:N2519,13,0)=0,"",VLOOKUP(C2110,' Disaggregation - Section E '!A$618:N2519,13,0)),"")</f>
        <v/>
      </c>
      <c r="K2110" s="487" t="str">
        <f ca="1">IFERROR(VLOOKUP(C2110,' Disaggregation - Section E '!A$618:N1322,3,0),"")</f>
        <v>PMTCT-3.1 Pourcentage de nourrissons exposés au VIH ayant bénéficié d’un dépistage du VIH dans les 2 mois qui ont suivi leur naissance</v>
      </c>
      <c r="L2110" s="487"/>
      <c r="M2110" s="487" t="str">
        <f ca="1">IFERROR(IF(VLOOKUP(C2110,' Disaggregation - Section E '!A$618:T1322,20,0)=0,"",VLOOKUP(C2110,' Disaggregation - Section E '!A$618:T1322,20,0)),"")</f>
        <v/>
      </c>
      <c r="N2110" s="493" t="str">
        <f ca="1">IFERROR(IF(VLOOKUP(C2110,' Disaggregation - Section E '!A$618:N1322,14,0)=0,"",VLOOKUP(C2110,' Disaggregation - Section E '!A$618:N1322,14,0)),"")</f>
        <v/>
      </c>
      <c r="O2110" s="493" t="str">
        <f ca="1">IFERROR(IF(VLOOKUP(C2110,' Disaggregation - Section E '!A$618:N1322,9,0)=0,"",VLOOKUP(C2110,' Disaggregation - Section E '!A$618:N1322,9,0)),"")</f>
        <v/>
      </c>
      <c r="P2110" s="493" t="str">
        <f ca="1">IFERROR(IF(VLOOKUP(C2110,' Disaggregation - Section E '!A$618:N1322,10,0)=0,"",VLOOKUP(C2110,' Disaggregation - Section E '!A$618:N1322,10,0)),"")</f>
        <v/>
      </c>
    </row>
    <row r="2111" spans="1:16" x14ac:dyDescent="0.3">
      <c r="A2111" s="487" t="b">
        <f t="shared" ca="1" si="148"/>
        <v>0</v>
      </c>
      <c r="B2111" s="487"/>
      <c r="C2111" s="500" t="str">
        <f ca="1">IF(COUNTA(D$1410:D2111)=1,"",OFFSET(B2109,-COUNTA(D$1410:D2111)+3,1))</f>
        <v>a163p000002zQayAAE</v>
      </c>
      <c r="D2111" s="502"/>
      <c r="E2111" s="490" t="str">
        <f ca="1">IFERROR(IF(VLOOKUP(C2111,' Disaggregation - Section E '!A$618:N1323,7,0)=0,"",VLOOKUP(C2111,' Disaggregation - Section E '!A$618:N1323,7,0)*100),"")</f>
        <v/>
      </c>
      <c r="F2111" s="493" t="str">
        <f ca="1">IFERROR(VLOOKUP(C2111,' Disaggregation - Section E '!A$618:N1323,5,0),"")</f>
        <v/>
      </c>
      <c r="G2111" s="492" t="str">
        <f ca="1">IFERROR(IF(VLOOKUP(C2111,' Disaggregation - Section E '!A$618:N1323,6,0)=0,"",VLOOKUP(C2111,' Disaggregation - Section E '!A$618:N1323,6,0)),"")</f>
        <v/>
      </c>
      <c r="H2111" s="502" t="str">
        <f ca="1">IFERROR(IF(INDEX(' Disaggregation - Section E '!F$618:F2520,MATCH(C2111,' Disaggregation - Section E '!A$618:A2520,0)+1,1)&lt;&gt;0,INDEX(' Disaggregation - Section E '!F$618:F$1820,MATCH(C2111,' Disaggregation - Section E '!A$618:A2520,0)+1,1),""),"")</f>
        <v/>
      </c>
      <c r="I2111" s="493" t="str">
        <f ca="1">IFERROR(IF(VLOOKUP(C2111,' Disaggregation - Section E '!A$618:N1323,8,0)=0,"",VLOOKUP(C2111,' Disaggregation - Section E '!A$618:N1323,8,0)),"")</f>
        <v/>
      </c>
      <c r="J2111" s="493" t="str">
        <f ca="1">IFERROR(IF(VLOOKUP(C2111,' Disaggregation - Section E '!A$618:N2520,13,0)=0,"",VLOOKUP(C2111,' Disaggregation - Section E '!A$618:N2520,13,0)),"")</f>
        <v/>
      </c>
      <c r="K2111" s="487" t="str">
        <f ca="1">IFERROR(VLOOKUP(C2111,' Disaggregation - Section E '!A$618:N1323,3,0),"")</f>
        <v>PMTCT-3.1 Pourcentage de nourrissons exposés au VIH ayant bénéficié d’un dépistage du VIH dans les 2 mois qui ont suivi leur naissance</v>
      </c>
      <c r="L2111" s="487"/>
      <c r="M2111" s="487" t="str">
        <f ca="1">IFERROR(IF(VLOOKUP(C2111,' Disaggregation - Section E '!A$618:T1323,20,0)=0,"",VLOOKUP(C2111,' Disaggregation - Section E '!A$618:T1323,20,0)),"")</f>
        <v/>
      </c>
      <c r="N2111" s="493" t="str">
        <f ca="1">IFERROR(IF(VLOOKUP(C2111,' Disaggregation - Section E '!A$618:N1323,14,0)=0,"",VLOOKUP(C2111,' Disaggregation - Section E '!A$618:N1323,14,0)),"")</f>
        <v/>
      </c>
      <c r="O2111" s="493" t="str">
        <f ca="1">IFERROR(IF(VLOOKUP(C2111,' Disaggregation - Section E '!A$618:N1323,9,0)=0,"",VLOOKUP(C2111,' Disaggregation - Section E '!A$618:N1323,9,0)),"")</f>
        <v/>
      </c>
      <c r="P2111" s="493" t="str">
        <f ca="1">IFERROR(IF(VLOOKUP(C2111,' Disaggregation - Section E '!A$618:N1323,10,0)=0,"",VLOOKUP(C2111,' Disaggregation - Section E '!A$618:N1323,10,0)),"")</f>
        <v/>
      </c>
    </row>
    <row r="2112" spans="1:16" x14ac:dyDescent="0.3">
      <c r="A2112" s="487" t="b">
        <f t="shared" ca="1" si="148"/>
        <v>0</v>
      </c>
      <c r="B2112" s="487"/>
      <c r="C2112" s="500" t="str">
        <f ca="1">IF(COUNTA(D$1410:D2112)=1,"",OFFSET(B2110,-COUNTA(D$1410:D2112)+3,1))</f>
        <v>a163p000002zQazAAE</v>
      </c>
      <c r="D2112" s="502"/>
      <c r="E2112" s="490" t="str">
        <f ca="1">IFERROR(IF(VLOOKUP(C2112,' Disaggregation - Section E '!A$618:N1324,7,0)=0,"",VLOOKUP(C2112,' Disaggregation - Section E '!A$618:N1324,7,0)*100),"")</f>
        <v/>
      </c>
      <c r="F2112" s="493" t="str">
        <f ca="1">IFERROR(VLOOKUP(C2112,' Disaggregation - Section E '!A$618:N1324,5,0),"")</f>
        <v>&lt;15</v>
      </c>
      <c r="G2112" s="492" t="str">
        <f ca="1">IFERROR(IF(VLOOKUP(C2112,' Disaggregation - Section E '!A$618:N1324,6,0)=0,"",VLOOKUP(C2112,' Disaggregation - Section E '!A$618:N1324,6,0)),"")</f>
        <v/>
      </c>
      <c r="H2112" s="502" t="str">
        <f ca="1">IFERROR(IF(INDEX(' Disaggregation - Section E '!F$618:F2521,MATCH(C2112,' Disaggregation - Section E '!A$618:A2521,0)+1,1)&lt;&gt;0,INDEX(' Disaggregation - Section E '!F$618:F$1820,MATCH(C2112,' Disaggregation - Section E '!A$618:A2521,0)+1,1),""),"")</f>
        <v/>
      </c>
      <c r="I2112" s="493" t="str">
        <f ca="1">IFERROR(IF(VLOOKUP(C2112,' Disaggregation - Section E '!A$618:N1324,8,0)=0,"",VLOOKUP(C2112,' Disaggregation - Section E '!A$618:N1324,8,0)),"")</f>
        <v/>
      </c>
      <c r="J2112" s="493" t="str">
        <f ca="1">IFERROR(IF(VLOOKUP(C2112,' Disaggregation - Section E '!A$618:N2521,13,0)=0,"",VLOOKUP(C2112,' Disaggregation - Section E '!A$618:N2521,13,0)),"")</f>
        <v/>
      </c>
      <c r="K2112" s="487" t="str">
        <f ca="1">IFERROR(VLOOKUP(C2112,' Disaggregation - Section E '!A$618:N1324,3,0),"")</f>
        <v>TCS-1.1⁽ᴹ⁾ Pourcentage de personnes sous TARV parmi toutes les personnes vivant avec le VIH à la fin de la période de rapportage</v>
      </c>
      <c r="L2112" s="487"/>
      <c r="M2112" s="487" t="str">
        <f ca="1">IFERROR(IF(VLOOKUP(C2112,' Disaggregation - Section E '!A$618:T1324,20,0)=0,"",VLOOKUP(C2112,' Disaggregation - Section E '!A$618:T1324,20,0)),"")</f>
        <v>IDR-00723</v>
      </c>
      <c r="N2112" s="493" t="str">
        <f ca="1">IFERROR(IF(VLOOKUP(C2112,' Disaggregation - Section E '!A$618:N1324,14,0)=0,"",VLOOKUP(C2112,' Disaggregation - Section E '!A$618:N1324,14,0)),"")</f>
        <v/>
      </c>
      <c r="O2112" s="493" t="str">
        <f ca="1">IFERROR(IF(VLOOKUP(C2112,' Disaggregation - Section E '!A$618:N1324,9,0)=0,"",VLOOKUP(C2112,' Disaggregation - Section E '!A$618:N1324,9,0)),"")</f>
        <v/>
      </c>
      <c r="P2112" s="493" t="str">
        <f ca="1">IFERROR(IF(VLOOKUP(C2112,' Disaggregation - Section E '!A$618:N1324,10,0)=0,"",VLOOKUP(C2112,' Disaggregation - Section E '!A$618:N1324,10,0)),"")</f>
        <v/>
      </c>
    </row>
    <row r="2113" spans="1:16" x14ac:dyDescent="0.3">
      <c r="A2113" s="487" t="b">
        <f t="shared" ca="1" si="148"/>
        <v>0</v>
      </c>
      <c r="B2113" s="487"/>
      <c r="C2113" s="500" t="str">
        <f ca="1">IF(COUNTA(D$1410:D2113)=1,"",OFFSET(B2111,-COUNTA(D$1410:D2113)+3,1))</f>
        <v>a163p000002zQb0AAE</v>
      </c>
      <c r="D2113" s="502"/>
      <c r="E2113" s="490" t="str">
        <f ca="1">IFERROR(IF(VLOOKUP(C2113,' Disaggregation - Section E '!A$618:N1325,7,0)=0,"",VLOOKUP(C2113,' Disaggregation - Section E '!A$618:N1325,7,0)*100),"")</f>
        <v/>
      </c>
      <c r="F2113" s="493" t="str">
        <f ca="1">IFERROR(VLOOKUP(C2113,' Disaggregation - Section E '!A$618:N1325,5,0),"")</f>
        <v>15+</v>
      </c>
      <c r="G2113" s="492" t="str">
        <f ca="1">IFERROR(IF(VLOOKUP(C2113,' Disaggregation - Section E '!A$618:N1325,6,0)=0,"",VLOOKUP(C2113,' Disaggregation - Section E '!A$618:N1325,6,0)),"")</f>
        <v/>
      </c>
      <c r="H2113" s="502" t="str">
        <f ca="1">IFERROR(IF(INDEX(' Disaggregation - Section E '!F$618:F2522,MATCH(C2113,' Disaggregation - Section E '!A$618:A2522,0)+1,1)&lt;&gt;0,INDEX(' Disaggregation - Section E '!F$618:F$1820,MATCH(C2113,' Disaggregation - Section E '!A$618:A2522,0)+1,1),""),"")</f>
        <v/>
      </c>
      <c r="I2113" s="493" t="str">
        <f ca="1">IFERROR(IF(VLOOKUP(C2113,' Disaggregation - Section E '!A$618:N1325,8,0)=0,"",VLOOKUP(C2113,' Disaggregation - Section E '!A$618:N1325,8,0)),"")</f>
        <v/>
      </c>
      <c r="J2113" s="493" t="str">
        <f ca="1">IFERROR(IF(VLOOKUP(C2113,' Disaggregation - Section E '!A$618:N2522,13,0)=0,"",VLOOKUP(C2113,' Disaggregation - Section E '!A$618:N2522,13,0)),"")</f>
        <v/>
      </c>
      <c r="K2113" s="487" t="str">
        <f ca="1">IFERROR(VLOOKUP(C2113,' Disaggregation - Section E '!A$618:N1325,3,0),"")</f>
        <v>TCS-1.1⁽ᴹ⁾ Pourcentage de personnes sous TARV parmi toutes les personnes vivant avec le VIH à la fin de la période de rapportage</v>
      </c>
      <c r="L2113" s="487"/>
      <c r="M2113" s="487" t="str">
        <f ca="1">IFERROR(IF(VLOOKUP(C2113,' Disaggregation - Section E '!A$618:T1325,20,0)=0,"",VLOOKUP(C2113,' Disaggregation - Section E '!A$618:T1325,20,0)),"")</f>
        <v>IDR-00724</v>
      </c>
      <c r="N2113" s="493" t="str">
        <f ca="1">IFERROR(IF(VLOOKUP(C2113,' Disaggregation - Section E '!A$618:N1325,14,0)=0,"",VLOOKUP(C2113,' Disaggregation - Section E '!A$618:N1325,14,0)),"")</f>
        <v/>
      </c>
      <c r="O2113" s="493" t="str">
        <f ca="1">IFERROR(IF(VLOOKUP(C2113,' Disaggregation - Section E '!A$618:N1325,9,0)=0,"",VLOOKUP(C2113,' Disaggregation - Section E '!A$618:N1325,9,0)),"")</f>
        <v/>
      </c>
      <c r="P2113" s="493" t="str">
        <f ca="1">IFERROR(IF(VLOOKUP(C2113,' Disaggregation - Section E '!A$618:N1325,10,0)=0,"",VLOOKUP(C2113,' Disaggregation - Section E '!A$618:N1325,10,0)),"")</f>
        <v/>
      </c>
    </row>
    <row r="2114" spans="1:16" x14ac:dyDescent="0.3">
      <c r="A2114" s="487" t="b">
        <f t="shared" ca="1" si="148"/>
        <v>0</v>
      </c>
      <c r="B2114" s="487"/>
      <c r="C2114" s="500" t="str">
        <f ca="1">IF(COUNTA(D$1410:D2114)=1,"",OFFSET(B2112,-COUNTA(D$1410:D2114)+3,1))</f>
        <v>a163p000002zQb1AAE</v>
      </c>
      <c r="D2114" s="502"/>
      <c r="E2114" s="490" t="str">
        <f ca="1">IFERROR(IF(VLOOKUP(C2114,' Disaggregation - Section E '!A$618:N1326,7,0)=0,"",VLOOKUP(C2114,' Disaggregation - Section E '!A$618:N1326,7,0)*100),"")</f>
        <v/>
      </c>
      <c r="F2114" s="493" t="str">
        <f ca="1">IFERROR(VLOOKUP(C2114,' Disaggregation - Section E '!A$618:N1326,5,0),"")</f>
        <v>Ayant récemment commencé un traitement antirétroviral</v>
      </c>
      <c r="G2114" s="492" t="str">
        <f ca="1">IFERROR(IF(VLOOKUP(C2114,' Disaggregation - Section E '!A$618:N1326,6,0)=0,"",VLOOKUP(C2114,' Disaggregation - Section E '!A$618:N1326,6,0)),"")</f>
        <v/>
      </c>
      <c r="H2114" s="502" t="str">
        <f ca="1">IFERROR(IF(INDEX(' Disaggregation - Section E '!F$618:F2523,MATCH(C2114,' Disaggregation - Section E '!A$618:A2523,0)+1,1)&lt;&gt;0,INDEX(' Disaggregation - Section E '!F$618:F$1820,MATCH(C2114,' Disaggregation - Section E '!A$618:A2523,0)+1,1),""),"")</f>
        <v/>
      </c>
      <c r="I2114" s="493" t="str">
        <f ca="1">IFERROR(IF(VLOOKUP(C2114,' Disaggregation - Section E '!A$618:N1326,8,0)=0,"",VLOOKUP(C2114,' Disaggregation - Section E '!A$618:N1326,8,0)),"")</f>
        <v/>
      </c>
      <c r="J2114" s="493" t="str">
        <f ca="1">IFERROR(IF(VLOOKUP(C2114,' Disaggregation - Section E '!A$618:N2523,13,0)=0,"",VLOOKUP(C2114,' Disaggregation - Section E '!A$618:N2523,13,0)),"")</f>
        <v/>
      </c>
      <c r="K2114" s="487" t="str">
        <f ca="1">IFERROR(VLOOKUP(C2114,' Disaggregation - Section E '!A$618:N1326,3,0),"")</f>
        <v>TCS-1.1⁽ᴹ⁾ Pourcentage de personnes sous TARV parmi toutes les personnes vivant avec le VIH à la fin de la période de rapportage</v>
      </c>
      <c r="L2114" s="487"/>
      <c r="M2114" s="487" t="str">
        <f ca="1">IFERROR(IF(VLOOKUP(C2114,' Disaggregation - Section E '!A$618:T1326,20,0)=0,"",VLOOKUP(C2114,' Disaggregation - Section E '!A$618:T1326,20,0)),"")</f>
        <v>IDR-00904</v>
      </c>
      <c r="N2114" s="493" t="str">
        <f ca="1">IFERROR(IF(VLOOKUP(C2114,' Disaggregation - Section E '!A$618:N1326,14,0)=0,"",VLOOKUP(C2114,' Disaggregation - Section E '!A$618:N1326,14,0)),"")</f>
        <v/>
      </c>
      <c r="O2114" s="493" t="str">
        <f ca="1">IFERROR(IF(VLOOKUP(C2114,' Disaggregation - Section E '!A$618:N1326,9,0)=0,"",VLOOKUP(C2114,' Disaggregation - Section E '!A$618:N1326,9,0)),"")</f>
        <v/>
      </c>
      <c r="P2114" s="493" t="str">
        <f ca="1">IFERROR(IF(VLOOKUP(C2114,' Disaggregation - Section E '!A$618:N1326,10,0)=0,"",VLOOKUP(C2114,' Disaggregation - Section E '!A$618:N1326,10,0)),"")</f>
        <v/>
      </c>
    </row>
    <row r="2115" spans="1:16" x14ac:dyDescent="0.3">
      <c r="A2115" s="487" t="b">
        <f t="shared" ca="1" si="148"/>
        <v>0</v>
      </c>
      <c r="B2115" s="487"/>
      <c r="C2115" s="500" t="str">
        <f ca="1">IF(COUNTA(D$1410:D2115)=1,"",OFFSET(B2113,-COUNTA(D$1410:D2115)+3,1))</f>
        <v>a163p000002zQb2AAE</v>
      </c>
      <c r="D2115" s="502"/>
      <c r="E2115" s="490" t="str">
        <f ca="1">IFERROR(IF(VLOOKUP(C2115,' Disaggregation - Section E '!A$618:N1327,7,0)=0,"",VLOOKUP(C2115,' Disaggregation - Section E '!A$618:N1327,7,0)*100),"")</f>
        <v/>
      </c>
      <c r="F2115" s="493" t="str">
        <f ca="1">IFERROR(VLOOKUP(C2115,' Disaggregation - Section E '!A$618:N1327,5,0),"")</f>
        <v>Homme</v>
      </c>
      <c r="G2115" s="492" t="str">
        <f ca="1">IFERROR(IF(VLOOKUP(C2115,' Disaggregation - Section E '!A$618:N1327,6,0)=0,"",VLOOKUP(C2115,' Disaggregation - Section E '!A$618:N1327,6,0)),"")</f>
        <v/>
      </c>
      <c r="H2115" s="502" t="str">
        <f ca="1">IFERROR(IF(INDEX(' Disaggregation - Section E '!F$618:F2524,MATCH(C2115,' Disaggregation - Section E '!A$618:A2524,0)+1,1)&lt;&gt;0,INDEX(' Disaggregation - Section E '!F$618:F$1820,MATCH(C2115,' Disaggregation - Section E '!A$618:A2524,0)+1,1),""),"")</f>
        <v/>
      </c>
      <c r="I2115" s="493" t="str">
        <f ca="1">IFERROR(IF(VLOOKUP(C2115,' Disaggregation - Section E '!A$618:N1327,8,0)=0,"",VLOOKUP(C2115,' Disaggregation - Section E '!A$618:N1327,8,0)),"")</f>
        <v/>
      </c>
      <c r="J2115" s="493" t="str">
        <f ca="1">IFERROR(IF(VLOOKUP(C2115,' Disaggregation - Section E '!A$618:N2524,13,0)=0,"",VLOOKUP(C2115,' Disaggregation - Section E '!A$618:N2524,13,0)),"")</f>
        <v/>
      </c>
      <c r="K2115" s="487" t="str">
        <f ca="1">IFERROR(VLOOKUP(C2115,' Disaggregation - Section E '!A$618:N1327,3,0),"")</f>
        <v>TCS-1.1⁽ᴹ⁾ Pourcentage de personnes sous TARV parmi toutes les personnes vivant avec le VIH à la fin de la période de rapportage</v>
      </c>
      <c r="L2115" s="487"/>
      <c r="M2115" s="487" t="str">
        <f ca="1">IFERROR(IF(VLOOKUP(C2115,' Disaggregation - Section E '!A$618:T1327,20,0)=0,"",VLOOKUP(C2115,' Disaggregation - Section E '!A$618:T1327,20,0)),"")</f>
        <v>IDR-00844</v>
      </c>
      <c r="N2115" s="493" t="str">
        <f ca="1">IFERROR(IF(VLOOKUP(C2115,' Disaggregation - Section E '!A$618:N1327,14,0)=0,"",VLOOKUP(C2115,' Disaggregation - Section E '!A$618:N1327,14,0)),"")</f>
        <v/>
      </c>
      <c r="O2115" s="493" t="str">
        <f ca="1">IFERROR(IF(VLOOKUP(C2115,' Disaggregation - Section E '!A$618:N1327,9,0)=0,"",VLOOKUP(C2115,' Disaggregation - Section E '!A$618:N1327,9,0)),"")</f>
        <v/>
      </c>
      <c r="P2115" s="493" t="str">
        <f ca="1">IFERROR(IF(VLOOKUP(C2115,' Disaggregation - Section E '!A$618:N1327,10,0)=0,"",VLOOKUP(C2115,' Disaggregation - Section E '!A$618:N1327,10,0)),"")</f>
        <v/>
      </c>
    </row>
    <row r="2116" spans="1:16" x14ac:dyDescent="0.3">
      <c r="A2116" s="487" t="b">
        <f t="shared" ca="1" si="148"/>
        <v>0</v>
      </c>
      <c r="B2116" s="487"/>
      <c r="C2116" s="500" t="str">
        <f ca="1">IF(COUNTA(D$1410:D2116)=1,"",OFFSET(B2114,-COUNTA(D$1410:D2116)+3,1))</f>
        <v>a163p000002zQb3AAE</v>
      </c>
      <c r="D2116" s="502"/>
      <c r="E2116" s="490" t="str">
        <f ca="1">IFERROR(IF(VLOOKUP(C2116,' Disaggregation - Section E '!A$618:N1328,7,0)=0,"",VLOOKUP(C2116,' Disaggregation - Section E '!A$618:N1328,7,0)*100),"")</f>
        <v/>
      </c>
      <c r="F2116" s="493" t="str">
        <f ca="1">IFERROR(VLOOKUP(C2116,' Disaggregation - Section E '!A$618:N1328,5,0),"")</f>
        <v>Femme</v>
      </c>
      <c r="G2116" s="492" t="str">
        <f ca="1">IFERROR(IF(VLOOKUP(C2116,' Disaggregation - Section E '!A$618:N1328,6,0)=0,"",VLOOKUP(C2116,' Disaggregation - Section E '!A$618:N1328,6,0)),"")</f>
        <v/>
      </c>
      <c r="H2116" s="502" t="str">
        <f ca="1">IFERROR(IF(INDEX(' Disaggregation - Section E '!F$618:F2525,MATCH(C2116,' Disaggregation - Section E '!A$618:A2525,0)+1,1)&lt;&gt;0,INDEX(' Disaggregation - Section E '!F$618:F$1820,MATCH(C2116,' Disaggregation - Section E '!A$618:A2525,0)+1,1),""),"")</f>
        <v/>
      </c>
      <c r="I2116" s="493" t="str">
        <f ca="1">IFERROR(IF(VLOOKUP(C2116,' Disaggregation - Section E '!A$618:N1328,8,0)=0,"",VLOOKUP(C2116,' Disaggregation - Section E '!A$618:N1328,8,0)),"")</f>
        <v/>
      </c>
      <c r="J2116" s="493" t="str">
        <f ca="1">IFERROR(IF(VLOOKUP(C2116,' Disaggregation - Section E '!A$618:N2525,13,0)=0,"",VLOOKUP(C2116,' Disaggregation - Section E '!A$618:N2525,13,0)),"")</f>
        <v/>
      </c>
      <c r="K2116" s="487" t="str">
        <f ca="1">IFERROR(VLOOKUP(C2116,' Disaggregation - Section E '!A$618:N1328,3,0),"")</f>
        <v>TCS-1.1⁽ᴹ⁾ Pourcentage de personnes sous TARV parmi toutes les personnes vivant avec le VIH à la fin de la période de rapportage</v>
      </c>
      <c r="L2116" s="487"/>
      <c r="M2116" s="487" t="str">
        <f ca="1">IFERROR(IF(VLOOKUP(C2116,' Disaggregation - Section E '!A$618:T1328,20,0)=0,"",VLOOKUP(C2116,' Disaggregation - Section E '!A$618:T1328,20,0)),"")</f>
        <v>IDR-00845</v>
      </c>
      <c r="N2116" s="493" t="str">
        <f ca="1">IFERROR(IF(VLOOKUP(C2116,' Disaggregation - Section E '!A$618:N1328,14,0)=0,"",VLOOKUP(C2116,' Disaggregation - Section E '!A$618:N1328,14,0)),"")</f>
        <v/>
      </c>
      <c r="O2116" s="493" t="str">
        <f ca="1">IFERROR(IF(VLOOKUP(C2116,' Disaggregation - Section E '!A$618:N1328,9,0)=0,"",VLOOKUP(C2116,' Disaggregation - Section E '!A$618:N1328,9,0)),"")</f>
        <v/>
      </c>
      <c r="P2116" s="493" t="str">
        <f ca="1">IFERROR(IF(VLOOKUP(C2116,' Disaggregation - Section E '!A$618:N1328,10,0)=0,"",VLOOKUP(C2116,' Disaggregation - Section E '!A$618:N1328,10,0)),"")</f>
        <v/>
      </c>
    </row>
    <row r="2117" spans="1:16" x14ac:dyDescent="0.3">
      <c r="A2117" s="487" t="b">
        <f t="shared" ca="1" si="148"/>
        <v>0</v>
      </c>
      <c r="B2117" s="487"/>
      <c r="C2117" s="500" t="str">
        <f ca="1">IF(COUNTA(D$1410:D2117)=1,"",OFFSET(B2115,-COUNTA(D$1410:D2117)+3,1))</f>
        <v>a163p000002zQb4AAE</v>
      </c>
      <c r="D2117" s="502"/>
      <c r="E2117" s="490" t="str">
        <f ca="1">IFERROR(IF(VLOOKUP(C2117,' Disaggregation - Section E '!A$618:N1329,7,0)=0,"",VLOOKUP(C2117,' Disaggregation - Section E '!A$618:N1329,7,0)*100),"")</f>
        <v/>
      </c>
      <c r="F2117" s="493" t="str">
        <f ca="1">IFERROR(VLOOKUP(C2117,' Disaggregation - Section E '!A$618:N1329,5,0),"")</f>
        <v>Transgenre</v>
      </c>
      <c r="G2117" s="492" t="str">
        <f ca="1">IFERROR(IF(VLOOKUP(C2117,' Disaggregation - Section E '!A$618:N1329,6,0)=0,"",VLOOKUP(C2117,' Disaggregation - Section E '!A$618:N1329,6,0)),"")</f>
        <v/>
      </c>
      <c r="H2117" s="502" t="str">
        <f ca="1">IFERROR(IF(INDEX(' Disaggregation - Section E '!F$618:F2526,MATCH(C2117,' Disaggregation - Section E '!A$618:A2526,0)+1,1)&lt;&gt;0,INDEX(' Disaggregation - Section E '!F$618:F$1820,MATCH(C2117,' Disaggregation - Section E '!A$618:A2526,0)+1,1),""),"")</f>
        <v/>
      </c>
      <c r="I2117" s="493" t="str">
        <f ca="1">IFERROR(IF(VLOOKUP(C2117,' Disaggregation - Section E '!A$618:N1329,8,0)=0,"",VLOOKUP(C2117,' Disaggregation - Section E '!A$618:N1329,8,0)),"")</f>
        <v/>
      </c>
      <c r="J2117" s="493" t="str">
        <f ca="1">IFERROR(IF(VLOOKUP(C2117,' Disaggregation - Section E '!A$618:N2526,13,0)=0,"",VLOOKUP(C2117,' Disaggregation - Section E '!A$618:N2526,13,0)),"")</f>
        <v/>
      </c>
      <c r="K2117" s="487" t="str">
        <f ca="1">IFERROR(VLOOKUP(C2117,' Disaggregation - Section E '!A$618:N1329,3,0),"")</f>
        <v>TCS-1.1⁽ᴹ⁾ Pourcentage de personnes sous TARV parmi toutes les personnes vivant avec le VIH à la fin de la période de rapportage</v>
      </c>
      <c r="L2117" s="487"/>
      <c r="M2117" s="487" t="str">
        <f ca="1">IFERROR(IF(VLOOKUP(C2117,' Disaggregation - Section E '!A$618:T1329,20,0)=0,"",VLOOKUP(C2117,' Disaggregation - Section E '!A$618:T1329,20,0)),"")</f>
        <v>IDR-00846</v>
      </c>
      <c r="N2117" s="493" t="str">
        <f ca="1">IFERROR(IF(VLOOKUP(C2117,' Disaggregation - Section E '!A$618:N1329,14,0)=0,"",VLOOKUP(C2117,' Disaggregation - Section E '!A$618:N1329,14,0)),"")</f>
        <v/>
      </c>
      <c r="O2117" s="493" t="str">
        <f ca="1">IFERROR(IF(VLOOKUP(C2117,' Disaggregation - Section E '!A$618:N1329,9,0)=0,"",VLOOKUP(C2117,' Disaggregation - Section E '!A$618:N1329,9,0)),"")</f>
        <v/>
      </c>
      <c r="P2117" s="493" t="str">
        <f ca="1">IFERROR(IF(VLOOKUP(C2117,' Disaggregation - Section E '!A$618:N1329,10,0)=0,"",VLOOKUP(C2117,' Disaggregation - Section E '!A$618:N1329,10,0)),"")</f>
        <v/>
      </c>
    </row>
    <row r="2118" spans="1:16" x14ac:dyDescent="0.3">
      <c r="A2118" s="487" t="b">
        <f t="shared" ca="1" si="148"/>
        <v>0</v>
      </c>
      <c r="B2118" s="487"/>
      <c r="C2118" s="500" t="str">
        <f ca="1">IF(COUNTA(D$1410:D2118)=1,"",OFFSET(B2116,-COUNTA(D$1410:D2118)+3,1))</f>
        <v>a163p000002zQb5AAE</v>
      </c>
      <c r="D2118" s="502"/>
      <c r="E2118" s="490" t="str">
        <f ca="1">IFERROR(IF(VLOOKUP(C2118,' Disaggregation - Section E '!A$618:N1330,7,0)=0,"",VLOOKUP(C2118,' Disaggregation - Section E '!A$618:N1330,7,0)*100),"")</f>
        <v/>
      </c>
      <c r="F2118" s="493" t="str">
        <f ca="1">IFERROR(VLOOKUP(C2118,' Disaggregation - Section E '!A$618:N1330,5,0),"")</f>
        <v>Homme 15+</v>
      </c>
      <c r="G2118" s="492" t="str">
        <f ca="1">IFERROR(IF(VLOOKUP(C2118,' Disaggregation - Section E '!A$618:N1330,6,0)=0,"",VLOOKUP(C2118,' Disaggregation - Section E '!A$618:N1330,6,0)),"")</f>
        <v/>
      </c>
      <c r="H2118" s="502" t="str">
        <f ca="1">IFERROR(IF(INDEX(' Disaggregation - Section E '!F$618:F2527,MATCH(C2118,' Disaggregation - Section E '!A$618:A2527,0)+1,1)&lt;&gt;0,INDEX(' Disaggregation - Section E '!F$618:F$1820,MATCH(C2118,' Disaggregation - Section E '!A$618:A2527,0)+1,1),""),"")</f>
        <v/>
      </c>
      <c r="I2118" s="493" t="str">
        <f ca="1">IFERROR(IF(VLOOKUP(C2118,' Disaggregation - Section E '!A$618:N1330,8,0)=0,"",VLOOKUP(C2118,' Disaggregation - Section E '!A$618:N1330,8,0)),"")</f>
        <v/>
      </c>
      <c r="J2118" s="493" t="str">
        <f ca="1">IFERROR(IF(VLOOKUP(C2118,' Disaggregation - Section E '!A$618:N2527,13,0)=0,"",VLOOKUP(C2118,' Disaggregation - Section E '!A$618:N2527,13,0)),"")</f>
        <v/>
      </c>
      <c r="K2118" s="487" t="str">
        <f ca="1">IFERROR(VLOOKUP(C2118,' Disaggregation - Section E '!A$618:N1330,3,0),"")</f>
        <v>TCS-1.1⁽ᴹ⁾ Pourcentage de personnes sous TARV parmi toutes les personnes vivant avec le VIH à la fin de la période de rapportage</v>
      </c>
      <c r="L2118" s="487"/>
      <c r="M2118" s="487" t="str">
        <f ca="1">IFERROR(IF(VLOOKUP(C2118,' Disaggregation - Section E '!A$618:T1330,20,0)=0,"",VLOOKUP(C2118,' Disaggregation - Section E '!A$618:T1330,20,0)),"")</f>
        <v>IDR-00884</v>
      </c>
      <c r="N2118" s="493" t="str">
        <f ca="1">IFERROR(IF(VLOOKUP(C2118,' Disaggregation - Section E '!A$618:N1330,14,0)=0,"",VLOOKUP(C2118,' Disaggregation - Section E '!A$618:N1330,14,0)),"")</f>
        <v/>
      </c>
      <c r="O2118" s="493" t="str">
        <f ca="1">IFERROR(IF(VLOOKUP(C2118,' Disaggregation - Section E '!A$618:N1330,9,0)=0,"",VLOOKUP(C2118,' Disaggregation - Section E '!A$618:N1330,9,0)),"")</f>
        <v/>
      </c>
      <c r="P2118" s="493" t="str">
        <f ca="1">IFERROR(IF(VLOOKUP(C2118,' Disaggregation - Section E '!A$618:N1330,10,0)=0,"",VLOOKUP(C2118,' Disaggregation - Section E '!A$618:N1330,10,0)),"")</f>
        <v/>
      </c>
    </row>
    <row r="2119" spans="1:16" x14ac:dyDescent="0.3">
      <c r="A2119" s="487" t="b">
        <f t="shared" ca="1" si="148"/>
        <v>0</v>
      </c>
      <c r="B2119" s="487"/>
      <c r="C2119" s="500" t="str">
        <f ca="1">IF(COUNTA(D$1410:D2119)=1,"",OFFSET(B2117,-COUNTA(D$1410:D2119)+3,1))</f>
        <v>a163p000002zQb6AAE</v>
      </c>
      <c r="D2119" s="502"/>
      <c r="E2119" s="490" t="str">
        <f ca="1">IFERROR(IF(VLOOKUP(C2119,' Disaggregation - Section E '!A$618:N1331,7,0)=0,"",VLOOKUP(C2119,' Disaggregation - Section E '!A$618:N1331,7,0)*100),"")</f>
        <v/>
      </c>
      <c r="F2119" s="493" t="str">
        <f ca="1">IFERROR(VLOOKUP(C2119,' Disaggregation - Section E '!A$618:N1331,5,0),"")</f>
        <v>Femme 15+</v>
      </c>
      <c r="G2119" s="492" t="str">
        <f ca="1">IFERROR(IF(VLOOKUP(C2119,' Disaggregation - Section E '!A$618:N1331,6,0)=0,"",VLOOKUP(C2119,' Disaggregation - Section E '!A$618:N1331,6,0)),"")</f>
        <v/>
      </c>
      <c r="H2119" s="502" t="str">
        <f ca="1">IFERROR(IF(INDEX(' Disaggregation - Section E '!F$618:F2528,MATCH(C2119,' Disaggregation - Section E '!A$618:A2528,0)+1,1)&lt;&gt;0,INDEX(' Disaggregation - Section E '!F$618:F$1820,MATCH(C2119,' Disaggregation - Section E '!A$618:A2528,0)+1,1),""),"")</f>
        <v/>
      </c>
      <c r="I2119" s="493" t="str">
        <f ca="1">IFERROR(IF(VLOOKUP(C2119,' Disaggregation - Section E '!A$618:N1331,8,0)=0,"",VLOOKUP(C2119,' Disaggregation - Section E '!A$618:N1331,8,0)),"")</f>
        <v/>
      </c>
      <c r="J2119" s="493" t="str">
        <f ca="1">IFERROR(IF(VLOOKUP(C2119,' Disaggregation - Section E '!A$618:N2528,13,0)=0,"",VLOOKUP(C2119,' Disaggregation - Section E '!A$618:N2528,13,0)),"")</f>
        <v/>
      </c>
      <c r="K2119" s="487" t="str">
        <f ca="1">IFERROR(VLOOKUP(C2119,' Disaggregation - Section E '!A$618:N1331,3,0),"")</f>
        <v>TCS-1.1⁽ᴹ⁾ Pourcentage de personnes sous TARV parmi toutes les personnes vivant avec le VIH à la fin de la période de rapportage</v>
      </c>
      <c r="L2119" s="487"/>
      <c r="M2119" s="487" t="str">
        <f ca="1">IFERROR(IF(VLOOKUP(C2119,' Disaggregation - Section E '!A$618:T1331,20,0)=0,"",VLOOKUP(C2119,' Disaggregation - Section E '!A$618:T1331,20,0)),"")</f>
        <v>IDR-00885</v>
      </c>
      <c r="N2119" s="493" t="str">
        <f ca="1">IFERROR(IF(VLOOKUP(C2119,' Disaggregation - Section E '!A$618:N1331,14,0)=0,"",VLOOKUP(C2119,' Disaggregation - Section E '!A$618:N1331,14,0)),"")</f>
        <v/>
      </c>
      <c r="O2119" s="493" t="str">
        <f ca="1">IFERROR(IF(VLOOKUP(C2119,' Disaggregation - Section E '!A$618:N1331,9,0)=0,"",VLOOKUP(C2119,' Disaggregation - Section E '!A$618:N1331,9,0)),"")</f>
        <v/>
      </c>
      <c r="P2119" s="493" t="str">
        <f ca="1">IFERROR(IF(VLOOKUP(C2119,' Disaggregation - Section E '!A$618:N1331,10,0)=0,"",VLOOKUP(C2119,' Disaggregation - Section E '!A$618:N1331,10,0)),"")</f>
        <v/>
      </c>
    </row>
    <row r="2120" spans="1:16" x14ac:dyDescent="0.3">
      <c r="A2120" s="487" t="b">
        <f t="shared" ca="1" si="148"/>
        <v>0</v>
      </c>
      <c r="B2120" s="487"/>
      <c r="C2120" s="500" t="str">
        <f ca="1">IF(COUNTA(D$1410:D2120)=1,"",OFFSET(B2118,-COUNTA(D$1410:D2120)+3,1))</f>
        <v>a163p000002zQb7AAE</v>
      </c>
      <c r="D2120" s="502"/>
      <c r="E2120" s="490" t="str">
        <f ca="1">IFERROR(IF(VLOOKUP(C2120,' Disaggregation - Section E '!A$618:N1332,7,0)=0,"",VLOOKUP(C2120,' Disaggregation - Section E '!A$618:N1332,7,0)*100),"")</f>
        <v/>
      </c>
      <c r="F2120" s="493" t="str">
        <f ca="1">IFERROR(VLOOKUP(C2120,' Disaggregation - Section E '!A$618:N1332,5,0),"")</f>
        <v>Homme 15-19</v>
      </c>
      <c r="G2120" s="492" t="str">
        <f ca="1">IFERROR(IF(VLOOKUP(C2120,' Disaggregation - Section E '!A$618:N1332,6,0)=0,"",VLOOKUP(C2120,' Disaggregation - Section E '!A$618:N1332,6,0)),"")</f>
        <v/>
      </c>
      <c r="H2120" s="502" t="str">
        <f ca="1">IFERROR(IF(INDEX(' Disaggregation - Section E '!F$618:F2529,MATCH(C2120,' Disaggregation - Section E '!A$618:A2529,0)+1,1)&lt;&gt;0,INDEX(' Disaggregation - Section E '!F$618:F$1820,MATCH(C2120,' Disaggregation - Section E '!A$618:A2529,0)+1,1),""),"")</f>
        <v/>
      </c>
      <c r="I2120" s="493" t="str">
        <f ca="1">IFERROR(IF(VLOOKUP(C2120,' Disaggregation - Section E '!A$618:N1332,8,0)=0,"",VLOOKUP(C2120,' Disaggregation - Section E '!A$618:N1332,8,0)),"")</f>
        <v/>
      </c>
      <c r="J2120" s="493" t="str">
        <f ca="1">IFERROR(IF(VLOOKUP(C2120,' Disaggregation - Section E '!A$618:N2529,13,0)=0,"",VLOOKUP(C2120,' Disaggregation - Section E '!A$618:N2529,13,0)),"")</f>
        <v/>
      </c>
      <c r="K2120" s="487" t="str">
        <f ca="1">IFERROR(VLOOKUP(C2120,' Disaggregation - Section E '!A$618:N1332,3,0),"")</f>
        <v>TCS-1.1⁽ᴹ⁾ Pourcentage de personnes sous TARV parmi toutes les personnes vivant avec le VIH à la fin de la période de rapportage</v>
      </c>
      <c r="L2120" s="487"/>
      <c r="M2120" s="487" t="str">
        <f ca="1">IFERROR(IF(VLOOKUP(C2120,' Disaggregation - Section E '!A$618:T1332,20,0)=0,"",VLOOKUP(C2120,' Disaggregation - Section E '!A$618:T1332,20,0)),"")</f>
        <v>IDR-00886</v>
      </c>
      <c r="N2120" s="493" t="str">
        <f ca="1">IFERROR(IF(VLOOKUP(C2120,' Disaggregation - Section E '!A$618:N1332,14,0)=0,"",VLOOKUP(C2120,' Disaggregation - Section E '!A$618:N1332,14,0)),"")</f>
        <v/>
      </c>
      <c r="O2120" s="493" t="str">
        <f ca="1">IFERROR(IF(VLOOKUP(C2120,' Disaggregation - Section E '!A$618:N1332,9,0)=0,"",VLOOKUP(C2120,' Disaggregation - Section E '!A$618:N1332,9,0)),"")</f>
        <v/>
      </c>
      <c r="P2120" s="493" t="str">
        <f ca="1">IFERROR(IF(VLOOKUP(C2120,' Disaggregation - Section E '!A$618:N1332,10,0)=0,"",VLOOKUP(C2120,' Disaggregation - Section E '!A$618:N1332,10,0)),"")</f>
        <v/>
      </c>
    </row>
    <row r="2121" spans="1:16" x14ac:dyDescent="0.3">
      <c r="A2121" s="487" t="b">
        <f t="shared" ca="1" si="148"/>
        <v>0</v>
      </c>
      <c r="B2121" s="487"/>
      <c r="C2121" s="500" t="str">
        <f ca="1">IF(COUNTA(D$1410:D2121)=1,"",OFFSET(B2119,-COUNTA(D$1410:D2121)+3,1))</f>
        <v>a163p000002zQb8AAE</v>
      </c>
      <c r="D2121" s="502"/>
      <c r="E2121" s="490" t="str">
        <f ca="1">IFERROR(IF(VLOOKUP(C2121,' Disaggregation - Section E '!A$618:N1333,7,0)=0,"",VLOOKUP(C2121,' Disaggregation - Section E '!A$618:N1333,7,0)*100),"")</f>
        <v/>
      </c>
      <c r="F2121" s="493" t="str">
        <f ca="1">IFERROR(VLOOKUP(C2121,' Disaggregation - Section E '!A$618:N1333,5,0),"")</f>
        <v>Femme 15-19</v>
      </c>
      <c r="G2121" s="492" t="str">
        <f ca="1">IFERROR(IF(VLOOKUP(C2121,' Disaggregation - Section E '!A$618:N1333,6,0)=0,"",VLOOKUP(C2121,' Disaggregation - Section E '!A$618:N1333,6,0)),"")</f>
        <v/>
      </c>
      <c r="H2121" s="502" t="str">
        <f ca="1">IFERROR(IF(INDEX(' Disaggregation - Section E '!F$618:F2530,MATCH(C2121,' Disaggregation - Section E '!A$618:A2530,0)+1,1)&lt;&gt;0,INDEX(' Disaggregation - Section E '!F$618:F$1820,MATCH(C2121,' Disaggregation - Section E '!A$618:A2530,0)+1,1),""),"")</f>
        <v/>
      </c>
      <c r="I2121" s="493" t="str">
        <f ca="1">IFERROR(IF(VLOOKUP(C2121,' Disaggregation - Section E '!A$618:N1333,8,0)=0,"",VLOOKUP(C2121,' Disaggregation - Section E '!A$618:N1333,8,0)),"")</f>
        <v/>
      </c>
      <c r="J2121" s="493" t="str">
        <f ca="1">IFERROR(IF(VLOOKUP(C2121,' Disaggregation - Section E '!A$618:N2530,13,0)=0,"",VLOOKUP(C2121,' Disaggregation - Section E '!A$618:N2530,13,0)),"")</f>
        <v/>
      </c>
      <c r="K2121" s="487" t="str">
        <f ca="1">IFERROR(VLOOKUP(C2121,' Disaggregation - Section E '!A$618:N1333,3,0),"")</f>
        <v>TCS-1.1⁽ᴹ⁾ Pourcentage de personnes sous TARV parmi toutes les personnes vivant avec le VIH à la fin de la période de rapportage</v>
      </c>
      <c r="L2121" s="487"/>
      <c r="M2121" s="487" t="str">
        <f ca="1">IFERROR(IF(VLOOKUP(C2121,' Disaggregation - Section E '!A$618:T1333,20,0)=0,"",VLOOKUP(C2121,' Disaggregation - Section E '!A$618:T1333,20,0)),"")</f>
        <v>IDR-00887</v>
      </c>
      <c r="N2121" s="493" t="str">
        <f ca="1">IFERROR(IF(VLOOKUP(C2121,' Disaggregation - Section E '!A$618:N1333,14,0)=0,"",VLOOKUP(C2121,' Disaggregation - Section E '!A$618:N1333,14,0)),"")</f>
        <v/>
      </c>
      <c r="O2121" s="493" t="str">
        <f ca="1">IFERROR(IF(VLOOKUP(C2121,' Disaggregation - Section E '!A$618:N1333,9,0)=0,"",VLOOKUP(C2121,' Disaggregation - Section E '!A$618:N1333,9,0)),"")</f>
        <v/>
      </c>
      <c r="P2121" s="493" t="str">
        <f ca="1">IFERROR(IF(VLOOKUP(C2121,' Disaggregation - Section E '!A$618:N1333,10,0)=0,"",VLOOKUP(C2121,' Disaggregation - Section E '!A$618:N1333,10,0)),"")</f>
        <v/>
      </c>
    </row>
    <row r="2122" spans="1:16" x14ac:dyDescent="0.3">
      <c r="A2122" s="487" t="b">
        <f t="shared" ca="1" si="148"/>
        <v>0</v>
      </c>
      <c r="B2122" s="487"/>
      <c r="C2122" s="500" t="str">
        <f ca="1">IF(COUNTA(D$1410:D2122)=1,"",OFFSET(B2120,-COUNTA(D$1410:D2122)+3,1))</f>
        <v>a163p000002zQb9AAE</v>
      </c>
      <c r="D2122" s="502"/>
      <c r="E2122" s="490" t="str">
        <f ca="1">IFERROR(IF(VLOOKUP(C2122,' Disaggregation - Section E '!A$618:N1334,7,0)=0,"",VLOOKUP(C2122,' Disaggregation - Section E '!A$618:N1334,7,0)*100),"")</f>
        <v/>
      </c>
      <c r="F2122" s="493" t="str">
        <f ca="1">IFERROR(VLOOKUP(C2122,' Disaggregation - Section E '!A$618:N1334,5,0),"")</f>
        <v>Homme 20-24</v>
      </c>
      <c r="G2122" s="492" t="str">
        <f ca="1">IFERROR(IF(VLOOKUP(C2122,' Disaggregation - Section E '!A$618:N1334,6,0)=0,"",VLOOKUP(C2122,' Disaggregation - Section E '!A$618:N1334,6,0)),"")</f>
        <v/>
      </c>
      <c r="H2122" s="502" t="str">
        <f ca="1">IFERROR(IF(INDEX(' Disaggregation - Section E '!F$618:F2531,MATCH(C2122,' Disaggregation - Section E '!A$618:A2531,0)+1,1)&lt;&gt;0,INDEX(' Disaggregation - Section E '!F$618:F$1820,MATCH(C2122,' Disaggregation - Section E '!A$618:A2531,0)+1,1),""),"")</f>
        <v/>
      </c>
      <c r="I2122" s="493" t="str">
        <f ca="1">IFERROR(IF(VLOOKUP(C2122,' Disaggregation - Section E '!A$618:N1334,8,0)=0,"",VLOOKUP(C2122,' Disaggregation - Section E '!A$618:N1334,8,0)),"")</f>
        <v/>
      </c>
      <c r="J2122" s="493" t="str">
        <f ca="1">IFERROR(IF(VLOOKUP(C2122,' Disaggregation - Section E '!A$618:N2531,13,0)=0,"",VLOOKUP(C2122,' Disaggregation - Section E '!A$618:N2531,13,0)),"")</f>
        <v/>
      </c>
      <c r="K2122" s="487" t="str">
        <f ca="1">IFERROR(VLOOKUP(C2122,' Disaggregation - Section E '!A$618:N1334,3,0),"")</f>
        <v>TCS-1.1⁽ᴹ⁾ Pourcentage de personnes sous TARV parmi toutes les personnes vivant avec le VIH à la fin de la période de rapportage</v>
      </c>
      <c r="L2122" s="487"/>
      <c r="M2122" s="487" t="str">
        <f ca="1">IFERROR(IF(VLOOKUP(C2122,' Disaggregation - Section E '!A$618:T1334,20,0)=0,"",VLOOKUP(C2122,' Disaggregation - Section E '!A$618:T1334,20,0)),"")</f>
        <v>IDR-00888</v>
      </c>
      <c r="N2122" s="493" t="str">
        <f ca="1">IFERROR(IF(VLOOKUP(C2122,' Disaggregation - Section E '!A$618:N1334,14,0)=0,"",VLOOKUP(C2122,' Disaggregation - Section E '!A$618:N1334,14,0)),"")</f>
        <v/>
      </c>
      <c r="O2122" s="493" t="str">
        <f ca="1">IFERROR(IF(VLOOKUP(C2122,' Disaggregation - Section E '!A$618:N1334,9,0)=0,"",VLOOKUP(C2122,' Disaggregation - Section E '!A$618:N1334,9,0)),"")</f>
        <v/>
      </c>
      <c r="P2122" s="493" t="str">
        <f ca="1">IFERROR(IF(VLOOKUP(C2122,' Disaggregation - Section E '!A$618:N1334,10,0)=0,"",VLOOKUP(C2122,' Disaggregation - Section E '!A$618:N1334,10,0)),"")</f>
        <v/>
      </c>
    </row>
    <row r="2123" spans="1:16" x14ac:dyDescent="0.3">
      <c r="A2123" s="487" t="b">
        <f t="shared" ca="1" si="148"/>
        <v>0</v>
      </c>
      <c r="B2123" s="487"/>
      <c r="C2123" s="500" t="str">
        <f ca="1">IF(COUNTA(D$1410:D2123)=1,"",OFFSET(B2121,-COUNTA(D$1410:D2123)+3,1))</f>
        <v>a163p000002zQbAAAU</v>
      </c>
      <c r="D2123" s="502"/>
      <c r="E2123" s="490" t="str">
        <f ca="1">IFERROR(IF(VLOOKUP(C2123,' Disaggregation - Section E '!A$618:N1335,7,0)=0,"",VLOOKUP(C2123,' Disaggregation - Section E '!A$618:N1335,7,0)*100),"")</f>
        <v/>
      </c>
      <c r="F2123" s="493" t="str">
        <f ca="1">IFERROR(VLOOKUP(C2123,' Disaggregation - Section E '!A$618:N1335,5,0),"")</f>
        <v>Femme 20-24</v>
      </c>
      <c r="G2123" s="492" t="str">
        <f ca="1">IFERROR(IF(VLOOKUP(C2123,' Disaggregation - Section E '!A$618:N1335,6,0)=0,"",VLOOKUP(C2123,' Disaggregation - Section E '!A$618:N1335,6,0)),"")</f>
        <v/>
      </c>
      <c r="H2123" s="502" t="str">
        <f ca="1">IFERROR(IF(INDEX(' Disaggregation - Section E '!F$618:F2532,MATCH(C2123,' Disaggregation - Section E '!A$618:A2532,0)+1,1)&lt;&gt;0,INDEX(' Disaggregation - Section E '!F$618:F$1820,MATCH(C2123,' Disaggregation - Section E '!A$618:A2532,0)+1,1),""),"")</f>
        <v/>
      </c>
      <c r="I2123" s="493" t="str">
        <f ca="1">IFERROR(IF(VLOOKUP(C2123,' Disaggregation - Section E '!A$618:N1335,8,0)=0,"",VLOOKUP(C2123,' Disaggregation - Section E '!A$618:N1335,8,0)),"")</f>
        <v/>
      </c>
      <c r="J2123" s="493" t="str">
        <f ca="1">IFERROR(IF(VLOOKUP(C2123,' Disaggregation - Section E '!A$618:N2532,13,0)=0,"",VLOOKUP(C2123,' Disaggregation - Section E '!A$618:N2532,13,0)),"")</f>
        <v/>
      </c>
      <c r="K2123" s="487" t="str">
        <f ca="1">IFERROR(VLOOKUP(C2123,' Disaggregation - Section E '!A$618:N1335,3,0),"")</f>
        <v>TCS-1.1⁽ᴹ⁾ Pourcentage de personnes sous TARV parmi toutes les personnes vivant avec le VIH à la fin de la période de rapportage</v>
      </c>
      <c r="L2123" s="487"/>
      <c r="M2123" s="487" t="str">
        <f ca="1">IFERROR(IF(VLOOKUP(C2123,' Disaggregation - Section E '!A$618:T1335,20,0)=0,"",VLOOKUP(C2123,' Disaggregation - Section E '!A$618:T1335,20,0)),"")</f>
        <v>IDR-00889</v>
      </c>
      <c r="N2123" s="493" t="str">
        <f ca="1">IFERROR(IF(VLOOKUP(C2123,' Disaggregation - Section E '!A$618:N1335,14,0)=0,"",VLOOKUP(C2123,' Disaggregation - Section E '!A$618:N1335,14,0)),"")</f>
        <v/>
      </c>
      <c r="O2123" s="493" t="str">
        <f ca="1">IFERROR(IF(VLOOKUP(C2123,' Disaggregation - Section E '!A$618:N1335,9,0)=0,"",VLOOKUP(C2123,' Disaggregation - Section E '!A$618:N1335,9,0)),"")</f>
        <v/>
      </c>
      <c r="P2123" s="493" t="str">
        <f ca="1">IFERROR(IF(VLOOKUP(C2123,' Disaggregation - Section E '!A$618:N1335,10,0)=0,"",VLOOKUP(C2123,' Disaggregation - Section E '!A$618:N1335,10,0)),"")</f>
        <v/>
      </c>
    </row>
    <row r="2124" spans="1:16" x14ac:dyDescent="0.3">
      <c r="A2124" s="487" t="b">
        <f t="shared" ca="1" si="148"/>
        <v>0</v>
      </c>
      <c r="B2124" s="487"/>
      <c r="C2124" s="500" t="str">
        <f ca="1">IF(COUNTA(D$1410:D2124)=1,"",OFFSET(B2122,-COUNTA(D$1410:D2124)+3,1))</f>
        <v>a163p000002zQbBAAU</v>
      </c>
      <c r="D2124" s="502"/>
      <c r="E2124" s="490" t="str">
        <f ca="1">IFERROR(IF(VLOOKUP(C2124,' Disaggregation - Section E '!A$618:N1336,7,0)=0,"",VLOOKUP(C2124,' Disaggregation - Section E '!A$618:N1336,7,0)*100),"")</f>
        <v/>
      </c>
      <c r="F2124" s="493" t="str">
        <f ca="1">IFERROR(VLOOKUP(C2124,' Disaggregation - Section E '!A$618:N1336,5,0),"")</f>
        <v>Homme 15-24</v>
      </c>
      <c r="G2124" s="492" t="str">
        <f ca="1">IFERROR(IF(VLOOKUP(C2124,' Disaggregation - Section E '!A$618:N1336,6,0)=0,"",VLOOKUP(C2124,' Disaggregation - Section E '!A$618:N1336,6,0)),"")</f>
        <v/>
      </c>
      <c r="H2124" s="502" t="str">
        <f ca="1">IFERROR(IF(INDEX(' Disaggregation - Section E '!F$618:F2533,MATCH(C2124,' Disaggregation - Section E '!A$618:A2533,0)+1,1)&lt;&gt;0,INDEX(' Disaggregation - Section E '!F$618:F$1820,MATCH(C2124,' Disaggregation - Section E '!A$618:A2533,0)+1,1),""),"")</f>
        <v/>
      </c>
      <c r="I2124" s="493" t="str">
        <f ca="1">IFERROR(IF(VLOOKUP(C2124,' Disaggregation - Section E '!A$618:N1336,8,0)=0,"",VLOOKUP(C2124,' Disaggregation - Section E '!A$618:N1336,8,0)),"")</f>
        <v/>
      </c>
      <c r="J2124" s="493" t="str">
        <f ca="1">IFERROR(IF(VLOOKUP(C2124,' Disaggregation - Section E '!A$618:N2533,13,0)=0,"",VLOOKUP(C2124,' Disaggregation - Section E '!A$618:N2533,13,0)),"")</f>
        <v/>
      </c>
      <c r="K2124" s="487" t="str">
        <f ca="1">IFERROR(VLOOKUP(C2124,' Disaggregation - Section E '!A$618:N1336,3,0),"")</f>
        <v>TCS-1.1⁽ᴹ⁾ Pourcentage de personnes sous TARV parmi toutes les personnes vivant avec le VIH à la fin de la période de rapportage</v>
      </c>
      <c r="L2124" s="487"/>
      <c r="M2124" s="487" t="str">
        <f ca="1">IFERROR(IF(VLOOKUP(C2124,' Disaggregation - Section E '!A$618:T1336,20,0)=0,"",VLOOKUP(C2124,' Disaggregation - Section E '!A$618:T1336,20,0)),"")</f>
        <v>IDR-00890</v>
      </c>
      <c r="N2124" s="493" t="str">
        <f ca="1">IFERROR(IF(VLOOKUP(C2124,' Disaggregation - Section E '!A$618:N1336,14,0)=0,"",VLOOKUP(C2124,' Disaggregation - Section E '!A$618:N1336,14,0)),"")</f>
        <v/>
      </c>
      <c r="O2124" s="493" t="str">
        <f ca="1">IFERROR(IF(VLOOKUP(C2124,' Disaggregation - Section E '!A$618:N1336,9,0)=0,"",VLOOKUP(C2124,' Disaggregation - Section E '!A$618:N1336,9,0)),"")</f>
        <v/>
      </c>
      <c r="P2124" s="493" t="str">
        <f ca="1">IFERROR(IF(VLOOKUP(C2124,' Disaggregation - Section E '!A$618:N1336,10,0)=0,"",VLOOKUP(C2124,' Disaggregation - Section E '!A$618:N1336,10,0)),"")</f>
        <v/>
      </c>
    </row>
    <row r="2125" spans="1:16" x14ac:dyDescent="0.3">
      <c r="A2125" s="487" t="b">
        <f t="shared" ca="1" si="148"/>
        <v>0</v>
      </c>
      <c r="B2125" s="487"/>
      <c r="C2125" s="500" t="str">
        <f ca="1">IF(COUNTA(D$1410:D2125)=1,"",OFFSET(B2123,-COUNTA(D$1410:D2125)+3,1))</f>
        <v>a163p000002zQbCAAU</v>
      </c>
      <c r="D2125" s="502"/>
      <c r="E2125" s="490" t="str">
        <f ca="1">IFERROR(IF(VLOOKUP(C2125,' Disaggregation - Section E '!A$618:N1337,7,0)=0,"",VLOOKUP(C2125,' Disaggregation - Section E '!A$618:N1337,7,0)*100),"")</f>
        <v/>
      </c>
      <c r="F2125" s="493" t="str">
        <f ca="1">IFERROR(VLOOKUP(C2125,' Disaggregation - Section E '!A$618:N1337,5,0),"")</f>
        <v>Femme 15-24</v>
      </c>
      <c r="G2125" s="492" t="str">
        <f ca="1">IFERROR(IF(VLOOKUP(C2125,' Disaggregation - Section E '!A$618:N1337,6,0)=0,"",VLOOKUP(C2125,' Disaggregation - Section E '!A$618:N1337,6,0)),"")</f>
        <v/>
      </c>
      <c r="H2125" s="502" t="str">
        <f ca="1">IFERROR(IF(INDEX(' Disaggregation - Section E '!F$618:F2534,MATCH(C2125,' Disaggregation - Section E '!A$618:A2534,0)+1,1)&lt;&gt;0,INDEX(' Disaggregation - Section E '!F$618:F$1820,MATCH(C2125,' Disaggregation - Section E '!A$618:A2534,0)+1,1),""),"")</f>
        <v/>
      </c>
      <c r="I2125" s="493" t="str">
        <f ca="1">IFERROR(IF(VLOOKUP(C2125,' Disaggregation - Section E '!A$618:N1337,8,0)=0,"",VLOOKUP(C2125,' Disaggregation - Section E '!A$618:N1337,8,0)),"")</f>
        <v/>
      </c>
      <c r="J2125" s="493" t="str">
        <f ca="1">IFERROR(IF(VLOOKUP(C2125,' Disaggregation - Section E '!A$618:N2534,13,0)=0,"",VLOOKUP(C2125,' Disaggregation - Section E '!A$618:N2534,13,0)),"")</f>
        <v/>
      </c>
      <c r="K2125" s="487" t="str">
        <f ca="1">IFERROR(VLOOKUP(C2125,' Disaggregation - Section E '!A$618:N1337,3,0),"")</f>
        <v>TCS-1.1⁽ᴹ⁾ Pourcentage de personnes sous TARV parmi toutes les personnes vivant avec le VIH à la fin de la période de rapportage</v>
      </c>
      <c r="L2125" s="487"/>
      <c r="M2125" s="487" t="str">
        <f ca="1">IFERROR(IF(VLOOKUP(C2125,' Disaggregation - Section E '!A$618:T1337,20,0)=0,"",VLOOKUP(C2125,' Disaggregation - Section E '!A$618:T1337,20,0)),"")</f>
        <v>IDR-00891</v>
      </c>
      <c r="N2125" s="493" t="str">
        <f ca="1">IFERROR(IF(VLOOKUP(C2125,' Disaggregation - Section E '!A$618:N1337,14,0)=0,"",VLOOKUP(C2125,' Disaggregation - Section E '!A$618:N1337,14,0)),"")</f>
        <v/>
      </c>
      <c r="O2125" s="493" t="str">
        <f ca="1">IFERROR(IF(VLOOKUP(C2125,' Disaggregation - Section E '!A$618:N1337,9,0)=0,"",VLOOKUP(C2125,' Disaggregation - Section E '!A$618:N1337,9,0)),"")</f>
        <v/>
      </c>
      <c r="P2125" s="493" t="str">
        <f ca="1">IFERROR(IF(VLOOKUP(C2125,' Disaggregation - Section E '!A$618:N1337,10,0)=0,"",VLOOKUP(C2125,' Disaggregation - Section E '!A$618:N1337,10,0)),"")</f>
        <v/>
      </c>
    </row>
    <row r="2126" spans="1:16" x14ac:dyDescent="0.3">
      <c r="A2126" s="487" t="b">
        <f t="shared" ca="1" si="148"/>
        <v>0</v>
      </c>
      <c r="B2126" s="487"/>
      <c r="C2126" s="500" t="str">
        <f ca="1">IF(COUNTA(D$1410:D2126)=1,"",OFFSET(B2124,-COUNTA(D$1410:D2126)+3,1))</f>
        <v>a163p000002zQbDAAU</v>
      </c>
      <c r="D2126" s="502"/>
      <c r="E2126" s="490" t="str">
        <f ca="1">IFERROR(IF(VLOOKUP(C2126,' Disaggregation - Section E '!A$618:N1338,7,0)=0,"",VLOOKUP(C2126,' Disaggregation - Section E '!A$618:N1338,7,0)*100),"")</f>
        <v/>
      </c>
      <c r="F2126" s="493" t="str">
        <f ca="1">IFERROR(VLOOKUP(C2126,' Disaggregation - Section E '!A$618:N1338,5,0),"")</f>
        <v>HSH</v>
      </c>
      <c r="G2126" s="492" t="str">
        <f ca="1">IFERROR(IF(VLOOKUP(C2126,' Disaggregation - Section E '!A$618:N1338,6,0)=0,"",VLOOKUP(C2126,' Disaggregation - Section E '!A$618:N1338,6,0)),"")</f>
        <v/>
      </c>
      <c r="H2126" s="502" t="str">
        <f ca="1">IFERROR(IF(INDEX(' Disaggregation - Section E '!F$618:F2535,MATCH(C2126,' Disaggregation - Section E '!A$618:A2535,0)+1,1)&lt;&gt;0,INDEX(' Disaggregation - Section E '!F$618:F$1820,MATCH(C2126,' Disaggregation - Section E '!A$618:A2535,0)+1,1),""),"")</f>
        <v/>
      </c>
      <c r="I2126" s="493" t="str">
        <f ca="1">IFERROR(IF(VLOOKUP(C2126,' Disaggregation - Section E '!A$618:N1338,8,0)=0,"",VLOOKUP(C2126,' Disaggregation - Section E '!A$618:N1338,8,0)),"")</f>
        <v/>
      </c>
      <c r="J2126" s="493" t="str">
        <f ca="1">IFERROR(IF(VLOOKUP(C2126,' Disaggregation - Section E '!A$618:N2535,13,0)=0,"",VLOOKUP(C2126,' Disaggregation - Section E '!A$618:N2535,13,0)),"")</f>
        <v/>
      </c>
      <c r="K2126" s="487" t="str">
        <f ca="1">IFERROR(VLOOKUP(C2126,' Disaggregation - Section E '!A$618:N1338,3,0),"")</f>
        <v>TCS-1.1⁽ᴹ⁾ Pourcentage de personnes sous TARV parmi toutes les personnes vivant avec le VIH à la fin de la période de rapportage</v>
      </c>
      <c r="L2126" s="487"/>
      <c r="M2126" s="487" t="str">
        <f ca="1">IFERROR(IF(VLOOKUP(C2126,' Disaggregation - Section E '!A$618:T1338,20,0)=0,"",VLOOKUP(C2126,' Disaggregation - Section E '!A$618:T1338,20,0)),"")</f>
        <v>IDR-00977</v>
      </c>
      <c r="N2126" s="493" t="str">
        <f ca="1">IFERROR(IF(VLOOKUP(C2126,' Disaggregation - Section E '!A$618:N1338,14,0)=0,"",VLOOKUP(C2126,' Disaggregation - Section E '!A$618:N1338,14,0)),"")</f>
        <v/>
      </c>
      <c r="O2126" s="493" t="str">
        <f ca="1">IFERROR(IF(VLOOKUP(C2126,' Disaggregation - Section E '!A$618:N1338,9,0)=0,"",VLOOKUP(C2126,' Disaggregation - Section E '!A$618:N1338,9,0)),"")</f>
        <v/>
      </c>
      <c r="P2126" s="493" t="str">
        <f ca="1">IFERROR(IF(VLOOKUP(C2126,' Disaggregation - Section E '!A$618:N1338,10,0)=0,"",VLOOKUP(C2126,' Disaggregation - Section E '!A$618:N1338,10,0)),"")</f>
        <v/>
      </c>
    </row>
    <row r="2127" spans="1:16" x14ac:dyDescent="0.3">
      <c r="A2127" s="487" t="b">
        <f t="shared" ca="1" si="148"/>
        <v>0</v>
      </c>
      <c r="B2127" s="487"/>
      <c r="C2127" s="500" t="str">
        <f ca="1">IF(COUNTA(D$1410:D2127)=1,"",OFFSET(B2125,-COUNTA(D$1410:D2127)+3,1))</f>
        <v>a163p000002zQbEAAU</v>
      </c>
      <c r="D2127" s="502"/>
      <c r="E2127" s="490" t="str">
        <f ca="1">IFERROR(IF(VLOOKUP(C2127,' Disaggregation - Section E '!A$618:N1339,7,0)=0,"",VLOOKUP(C2127,' Disaggregation - Section E '!A$618:N1339,7,0)*100),"")</f>
        <v/>
      </c>
      <c r="F2127" s="493" t="str">
        <f ca="1">IFERROR(VLOOKUP(C2127,' Disaggregation - Section E '!A$618:N1339,5,0),"")</f>
        <v>Professionnels du sexe</v>
      </c>
      <c r="G2127" s="492" t="str">
        <f ca="1">IFERROR(IF(VLOOKUP(C2127,' Disaggregation - Section E '!A$618:N1339,6,0)=0,"",VLOOKUP(C2127,' Disaggregation - Section E '!A$618:N1339,6,0)),"")</f>
        <v/>
      </c>
      <c r="H2127" s="502" t="str">
        <f ca="1">IFERROR(IF(INDEX(' Disaggregation - Section E '!F$618:F2536,MATCH(C2127,' Disaggregation - Section E '!A$618:A2536,0)+1,1)&lt;&gt;0,INDEX(' Disaggregation - Section E '!F$618:F$1820,MATCH(C2127,' Disaggregation - Section E '!A$618:A2536,0)+1,1),""),"")</f>
        <v/>
      </c>
      <c r="I2127" s="493" t="str">
        <f ca="1">IFERROR(IF(VLOOKUP(C2127,' Disaggregation - Section E '!A$618:N1339,8,0)=0,"",VLOOKUP(C2127,' Disaggregation - Section E '!A$618:N1339,8,0)),"")</f>
        <v/>
      </c>
      <c r="J2127" s="493" t="str">
        <f ca="1">IFERROR(IF(VLOOKUP(C2127,' Disaggregation - Section E '!A$618:N2536,13,0)=0,"",VLOOKUP(C2127,' Disaggregation - Section E '!A$618:N2536,13,0)),"")</f>
        <v/>
      </c>
      <c r="K2127" s="487" t="str">
        <f ca="1">IFERROR(VLOOKUP(C2127,' Disaggregation - Section E '!A$618:N1339,3,0),"")</f>
        <v>TCS-1.1⁽ᴹ⁾ Pourcentage de personnes sous TARV parmi toutes les personnes vivant avec le VIH à la fin de la période de rapportage</v>
      </c>
      <c r="L2127" s="487"/>
      <c r="M2127" s="487" t="str">
        <f ca="1">IFERROR(IF(VLOOKUP(C2127,' Disaggregation - Section E '!A$618:T1339,20,0)=0,"",VLOOKUP(C2127,' Disaggregation - Section E '!A$618:T1339,20,0)),"")</f>
        <v>IDR-00978</v>
      </c>
      <c r="N2127" s="493" t="str">
        <f ca="1">IFERROR(IF(VLOOKUP(C2127,' Disaggregation - Section E '!A$618:N1339,14,0)=0,"",VLOOKUP(C2127,' Disaggregation - Section E '!A$618:N1339,14,0)),"")</f>
        <v/>
      </c>
      <c r="O2127" s="493" t="str">
        <f ca="1">IFERROR(IF(VLOOKUP(C2127,' Disaggregation - Section E '!A$618:N1339,9,0)=0,"",VLOOKUP(C2127,' Disaggregation - Section E '!A$618:N1339,9,0)),"")</f>
        <v/>
      </c>
      <c r="P2127" s="493" t="str">
        <f ca="1">IFERROR(IF(VLOOKUP(C2127,' Disaggregation - Section E '!A$618:N1339,10,0)=0,"",VLOOKUP(C2127,' Disaggregation - Section E '!A$618:N1339,10,0)),"")</f>
        <v/>
      </c>
    </row>
    <row r="2128" spans="1:16" x14ac:dyDescent="0.3">
      <c r="A2128" s="487" t="b">
        <f t="shared" ca="1" si="148"/>
        <v>0</v>
      </c>
      <c r="B2128" s="487"/>
      <c r="C2128" s="500" t="str">
        <f ca="1">IF(COUNTA(D$1410:D2128)=1,"",OFFSET(B2126,-COUNTA(D$1410:D2128)+3,1))</f>
        <v>a163p000002zQbFAAU</v>
      </c>
      <c r="D2128" s="502"/>
      <c r="E2128" s="490" t="str">
        <f ca="1">IFERROR(IF(VLOOKUP(C2128,' Disaggregation - Section E '!A$618:N1340,7,0)=0,"",VLOOKUP(C2128,' Disaggregation - Section E '!A$618:N1340,7,0)*100),"")</f>
        <v/>
      </c>
      <c r="F2128" s="493" t="str">
        <f ca="1">IFERROR(VLOOKUP(C2128,' Disaggregation - Section E '!A$618:N1340,5,0),"")</f>
        <v>Usagers de drogues injectables</v>
      </c>
      <c r="G2128" s="492" t="str">
        <f ca="1">IFERROR(IF(VLOOKUP(C2128,' Disaggregation - Section E '!A$618:N1340,6,0)=0,"",VLOOKUP(C2128,' Disaggregation - Section E '!A$618:N1340,6,0)),"")</f>
        <v/>
      </c>
      <c r="H2128" s="502" t="str">
        <f ca="1">IFERROR(IF(INDEX(' Disaggregation - Section E '!F$618:F2537,MATCH(C2128,' Disaggregation - Section E '!A$618:A2537,0)+1,1)&lt;&gt;0,INDEX(' Disaggregation - Section E '!F$618:F$1820,MATCH(C2128,' Disaggregation - Section E '!A$618:A2537,0)+1,1),""),"")</f>
        <v/>
      </c>
      <c r="I2128" s="493" t="str">
        <f ca="1">IFERROR(IF(VLOOKUP(C2128,' Disaggregation - Section E '!A$618:N1340,8,0)=0,"",VLOOKUP(C2128,' Disaggregation - Section E '!A$618:N1340,8,0)),"")</f>
        <v/>
      </c>
      <c r="J2128" s="493" t="str">
        <f ca="1">IFERROR(IF(VLOOKUP(C2128,' Disaggregation - Section E '!A$618:N2537,13,0)=0,"",VLOOKUP(C2128,' Disaggregation - Section E '!A$618:N2537,13,0)),"")</f>
        <v/>
      </c>
      <c r="K2128" s="487" t="str">
        <f ca="1">IFERROR(VLOOKUP(C2128,' Disaggregation - Section E '!A$618:N1340,3,0),"")</f>
        <v>TCS-1.1⁽ᴹ⁾ Pourcentage de personnes sous TARV parmi toutes les personnes vivant avec le VIH à la fin de la période de rapportage</v>
      </c>
      <c r="L2128" s="487"/>
      <c r="M2128" s="487" t="str">
        <f ca="1">IFERROR(IF(VLOOKUP(C2128,' Disaggregation - Section E '!A$618:T1340,20,0)=0,"",VLOOKUP(C2128,' Disaggregation - Section E '!A$618:T1340,20,0)),"")</f>
        <v>IDR-00979</v>
      </c>
      <c r="N2128" s="493" t="str">
        <f ca="1">IFERROR(IF(VLOOKUP(C2128,' Disaggregation - Section E '!A$618:N1340,14,0)=0,"",VLOOKUP(C2128,' Disaggregation - Section E '!A$618:N1340,14,0)),"")</f>
        <v/>
      </c>
      <c r="O2128" s="493" t="str">
        <f ca="1">IFERROR(IF(VLOOKUP(C2128,' Disaggregation - Section E '!A$618:N1340,9,0)=0,"",VLOOKUP(C2128,' Disaggregation - Section E '!A$618:N1340,9,0)),"")</f>
        <v/>
      </c>
      <c r="P2128" s="493" t="str">
        <f ca="1">IFERROR(IF(VLOOKUP(C2128,' Disaggregation - Section E '!A$618:N1340,10,0)=0,"",VLOOKUP(C2128,' Disaggregation - Section E '!A$618:N1340,10,0)),"")</f>
        <v/>
      </c>
    </row>
    <row r="2129" spans="1:16" x14ac:dyDescent="0.3">
      <c r="A2129" s="487" t="b">
        <f t="shared" ca="1" si="148"/>
        <v>0</v>
      </c>
      <c r="B2129" s="487"/>
      <c r="C2129" s="500" t="str">
        <f ca="1">IF(COUNTA(D$1410:D2129)=1,"",OFFSET(B2127,-COUNTA(D$1410:D2129)+3,1))</f>
        <v>a163p000002zQbGAAU</v>
      </c>
      <c r="D2129" s="502"/>
      <c r="E2129" s="490" t="str">
        <f ca="1">IFERROR(IF(VLOOKUP(C2129,' Disaggregation - Section E '!A$618:N1341,7,0)=0,"",VLOOKUP(C2129,' Disaggregation - Section E '!A$618:N1341,7,0)*100),"")</f>
        <v/>
      </c>
      <c r="F2129" s="493" t="str">
        <f ca="1">IFERROR(VLOOKUP(C2129,' Disaggregation - Section E '!A$618:N1341,5,0),"")</f>
        <v>Prisonniers</v>
      </c>
      <c r="G2129" s="492" t="str">
        <f ca="1">IFERROR(IF(VLOOKUP(C2129,' Disaggregation - Section E '!A$618:N1341,6,0)=0,"",VLOOKUP(C2129,' Disaggregation - Section E '!A$618:N1341,6,0)),"")</f>
        <v/>
      </c>
      <c r="H2129" s="502" t="str">
        <f ca="1">IFERROR(IF(INDEX(' Disaggregation - Section E '!F$618:F2538,MATCH(C2129,' Disaggregation - Section E '!A$618:A2538,0)+1,1)&lt;&gt;0,INDEX(' Disaggregation - Section E '!F$618:F$1820,MATCH(C2129,' Disaggregation - Section E '!A$618:A2538,0)+1,1),""),"")</f>
        <v/>
      </c>
      <c r="I2129" s="493" t="str">
        <f ca="1">IFERROR(IF(VLOOKUP(C2129,' Disaggregation - Section E '!A$618:N1341,8,0)=0,"",VLOOKUP(C2129,' Disaggregation - Section E '!A$618:N1341,8,0)),"")</f>
        <v/>
      </c>
      <c r="J2129" s="493" t="str">
        <f ca="1">IFERROR(IF(VLOOKUP(C2129,' Disaggregation - Section E '!A$618:N2538,13,0)=0,"",VLOOKUP(C2129,' Disaggregation - Section E '!A$618:N2538,13,0)),"")</f>
        <v/>
      </c>
      <c r="K2129" s="487" t="str">
        <f ca="1">IFERROR(VLOOKUP(C2129,' Disaggregation - Section E '!A$618:N1341,3,0),"")</f>
        <v>TCS-1.1⁽ᴹ⁾ Pourcentage de personnes sous TARV parmi toutes les personnes vivant avec le VIH à la fin de la période de rapportage</v>
      </c>
      <c r="L2129" s="487"/>
      <c r="M2129" s="487" t="str">
        <f ca="1">IFERROR(IF(VLOOKUP(C2129,' Disaggregation - Section E '!A$618:T1341,20,0)=0,"",VLOOKUP(C2129,' Disaggregation - Section E '!A$618:T1341,20,0)),"")</f>
        <v>IDR-00980</v>
      </c>
      <c r="N2129" s="493" t="str">
        <f ca="1">IFERROR(IF(VLOOKUP(C2129,' Disaggregation - Section E '!A$618:N1341,14,0)=0,"",VLOOKUP(C2129,' Disaggregation - Section E '!A$618:N1341,14,0)),"")</f>
        <v/>
      </c>
      <c r="O2129" s="493" t="str">
        <f ca="1">IFERROR(IF(VLOOKUP(C2129,' Disaggregation - Section E '!A$618:N1341,9,0)=0,"",VLOOKUP(C2129,' Disaggregation - Section E '!A$618:N1341,9,0)),"")</f>
        <v/>
      </c>
      <c r="P2129" s="493" t="str">
        <f ca="1">IFERROR(IF(VLOOKUP(C2129,' Disaggregation - Section E '!A$618:N1341,10,0)=0,"",VLOOKUP(C2129,' Disaggregation - Section E '!A$618:N1341,10,0)),"")</f>
        <v/>
      </c>
    </row>
    <row r="2130" spans="1:16" x14ac:dyDescent="0.3">
      <c r="A2130" s="487" t="b">
        <f t="shared" ca="1" si="148"/>
        <v>0</v>
      </c>
      <c r="B2130" s="487"/>
      <c r="C2130" s="500" t="str">
        <f ca="1">IF(COUNTA(D$1410:D2130)=1,"",OFFSET(B2128,-COUNTA(D$1410:D2130)+3,1))</f>
        <v>a163p000002zQbHAAU</v>
      </c>
      <c r="D2130" s="502"/>
      <c r="E2130" s="490" t="str">
        <f ca="1">IFERROR(IF(VLOOKUP(C2130,' Disaggregation - Section E '!A$618:N1342,7,0)=0,"",VLOOKUP(C2130,' Disaggregation - Section E '!A$618:N1342,7,0)*100),"")</f>
        <v/>
      </c>
      <c r="F2130" s="493" t="str">
        <f ca="1">IFERROR(VLOOKUP(C2130,' Disaggregation - Section E '!A$618:N1342,5,0),"")</f>
        <v/>
      </c>
      <c r="G2130" s="492" t="str">
        <f ca="1">IFERROR(IF(VLOOKUP(C2130,' Disaggregation - Section E '!A$618:N1342,6,0)=0,"",VLOOKUP(C2130,' Disaggregation - Section E '!A$618:N1342,6,0)),"")</f>
        <v/>
      </c>
      <c r="H2130" s="502" t="str">
        <f ca="1">IFERROR(IF(INDEX(' Disaggregation - Section E '!F$618:F2539,MATCH(C2130,' Disaggregation - Section E '!A$618:A2539,0)+1,1)&lt;&gt;0,INDEX(' Disaggregation - Section E '!F$618:F$1820,MATCH(C2130,' Disaggregation - Section E '!A$618:A2539,0)+1,1),""),"")</f>
        <v/>
      </c>
      <c r="I2130" s="493" t="str">
        <f ca="1">IFERROR(IF(VLOOKUP(C2130,' Disaggregation - Section E '!A$618:N1342,8,0)=0,"",VLOOKUP(C2130,' Disaggregation - Section E '!A$618:N1342,8,0)),"")</f>
        <v/>
      </c>
      <c r="J2130" s="493" t="str">
        <f ca="1">IFERROR(IF(VLOOKUP(C2130,' Disaggregation - Section E '!A$618:N2539,13,0)=0,"",VLOOKUP(C2130,' Disaggregation - Section E '!A$618:N2539,13,0)),"")</f>
        <v/>
      </c>
      <c r="K2130" s="487" t="str">
        <f ca="1">IFERROR(VLOOKUP(C2130,' Disaggregation - Section E '!A$618:N1342,3,0),"")</f>
        <v>TCS-1.1⁽ᴹ⁾ Pourcentage de personnes sous TARV parmi toutes les personnes vivant avec le VIH à la fin de la période de rapportage</v>
      </c>
      <c r="L2130" s="487"/>
      <c r="M2130" s="487" t="str">
        <f ca="1">IFERROR(IF(VLOOKUP(C2130,' Disaggregation - Section E '!A$618:T1342,20,0)=0,"",VLOOKUP(C2130,' Disaggregation - Section E '!A$618:T1342,20,0)),"")</f>
        <v/>
      </c>
      <c r="N2130" s="493" t="str">
        <f ca="1">IFERROR(IF(VLOOKUP(C2130,' Disaggregation - Section E '!A$618:N1342,14,0)=0,"",VLOOKUP(C2130,' Disaggregation - Section E '!A$618:N1342,14,0)),"")</f>
        <v/>
      </c>
      <c r="O2130" s="493" t="str">
        <f ca="1">IFERROR(IF(VLOOKUP(C2130,' Disaggregation - Section E '!A$618:N1342,9,0)=0,"",VLOOKUP(C2130,' Disaggregation - Section E '!A$618:N1342,9,0)),"")</f>
        <v/>
      </c>
      <c r="P2130" s="493" t="str">
        <f ca="1">IFERROR(IF(VLOOKUP(C2130,' Disaggregation - Section E '!A$618:N1342,10,0)=0,"",VLOOKUP(C2130,' Disaggregation - Section E '!A$618:N1342,10,0)),"")</f>
        <v/>
      </c>
    </row>
    <row r="2131" spans="1:16" x14ac:dyDescent="0.3">
      <c r="A2131" s="487" t="b">
        <f t="shared" ca="1" si="148"/>
        <v>0</v>
      </c>
      <c r="B2131" s="487"/>
      <c r="C2131" s="500" t="str">
        <f ca="1">IF(COUNTA(D$1410:D2131)=1,"",OFFSET(B2129,-COUNTA(D$1410:D2131)+3,1))</f>
        <v>a163p000002zQbIAAU</v>
      </c>
      <c r="D2131" s="502"/>
      <c r="E2131" s="490" t="str">
        <f ca="1">IFERROR(IF(VLOOKUP(C2131,' Disaggregation - Section E '!A$618:N1343,7,0)=0,"",VLOOKUP(C2131,' Disaggregation - Section E '!A$618:N1343,7,0)*100),"")</f>
        <v/>
      </c>
      <c r="F2131" s="493" t="str">
        <f ca="1">IFERROR(VLOOKUP(C2131,' Disaggregation - Section E '!A$618:N1343,5,0),"")</f>
        <v/>
      </c>
      <c r="G2131" s="492" t="str">
        <f ca="1">IFERROR(IF(VLOOKUP(C2131,' Disaggregation - Section E '!A$618:N1343,6,0)=0,"",VLOOKUP(C2131,' Disaggregation - Section E '!A$618:N1343,6,0)),"")</f>
        <v/>
      </c>
      <c r="H2131" s="502" t="str">
        <f ca="1">IFERROR(IF(INDEX(' Disaggregation - Section E '!F$618:F2540,MATCH(C2131,' Disaggregation - Section E '!A$618:A2540,0)+1,1)&lt;&gt;0,INDEX(' Disaggregation - Section E '!F$618:F$1820,MATCH(C2131,' Disaggregation - Section E '!A$618:A2540,0)+1,1),""),"")</f>
        <v/>
      </c>
      <c r="I2131" s="493" t="str">
        <f ca="1">IFERROR(IF(VLOOKUP(C2131,' Disaggregation - Section E '!A$618:N1343,8,0)=0,"",VLOOKUP(C2131,' Disaggregation - Section E '!A$618:N1343,8,0)),"")</f>
        <v/>
      </c>
      <c r="J2131" s="493" t="str">
        <f ca="1">IFERROR(IF(VLOOKUP(C2131,' Disaggregation - Section E '!A$618:N2540,13,0)=0,"",VLOOKUP(C2131,' Disaggregation - Section E '!A$618:N2540,13,0)),"")</f>
        <v/>
      </c>
      <c r="K2131" s="487" t="str">
        <f ca="1">IFERROR(VLOOKUP(C2131,' Disaggregation - Section E '!A$618:N1343,3,0),"")</f>
        <v>TCS-1.1⁽ᴹ⁾ Pourcentage de personnes sous TARV parmi toutes les personnes vivant avec le VIH à la fin de la période de rapportage</v>
      </c>
      <c r="L2131" s="487"/>
      <c r="M2131" s="487" t="str">
        <f ca="1">IFERROR(IF(VLOOKUP(C2131,' Disaggregation - Section E '!A$618:T1343,20,0)=0,"",VLOOKUP(C2131,' Disaggregation - Section E '!A$618:T1343,20,0)),"")</f>
        <v/>
      </c>
      <c r="N2131" s="493" t="str">
        <f ca="1">IFERROR(IF(VLOOKUP(C2131,' Disaggregation - Section E '!A$618:N1343,14,0)=0,"",VLOOKUP(C2131,' Disaggregation - Section E '!A$618:N1343,14,0)),"")</f>
        <v/>
      </c>
      <c r="O2131" s="493" t="str">
        <f ca="1">IFERROR(IF(VLOOKUP(C2131,' Disaggregation - Section E '!A$618:N1343,9,0)=0,"",VLOOKUP(C2131,' Disaggregation - Section E '!A$618:N1343,9,0)),"")</f>
        <v/>
      </c>
      <c r="P2131" s="493" t="str">
        <f ca="1">IFERROR(IF(VLOOKUP(C2131,' Disaggregation - Section E '!A$618:N1343,10,0)=0,"",VLOOKUP(C2131,' Disaggregation - Section E '!A$618:N1343,10,0)),"")</f>
        <v/>
      </c>
    </row>
    <row r="2132" spans="1:16" x14ac:dyDescent="0.3">
      <c r="A2132" s="487" t="b">
        <f t="shared" ca="1" si="148"/>
        <v>0</v>
      </c>
      <c r="B2132" s="487"/>
      <c r="C2132" s="500" t="str">
        <f ca="1">IF(COUNTA(D$1410:D2132)=1,"",OFFSET(B2130,-COUNTA(D$1410:D2132)+3,1))</f>
        <v>a163p000002zQbJAAU</v>
      </c>
      <c r="D2132" s="502"/>
      <c r="E2132" s="490" t="str">
        <f ca="1">IFERROR(IF(VLOOKUP(C2132,' Disaggregation - Section E '!A$618:N1344,7,0)=0,"",VLOOKUP(C2132,' Disaggregation - Section E '!A$618:N1344,7,0)*100),"")</f>
        <v/>
      </c>
      <c r="F2132" s="493" t="str">
        <f ca="1">IFERROR(VLOOKUP(C2132,' Disaggregation - Section E '!A$618:N1344,5,0),"")</f>
        <v>Ayant récemment commencé un traitement antirétroviral</v>
      </c>
      <c r="G2132" s="492" t="str">
        <f ca="1">IFERROR(IF(VLOOKUP(C2132,' Disaggregation - Section E '!A$618:N1344,6,0)=0,"",VLOOKUP(C2132,' Disaggregation - Section E '!A$618:N1344,6,0)),"")</f>
        <v/>
      </c>
      <c r="H2132" s="502" t="str">
        <f ca="1">IFERROR(IF(INDEX(' Disaggregation - Section E '!F$618:F2541,MATCH(C2132,' Disaggregation - Section E '!A$618:A2541,0)+1,1)&lt;&gt;0,INDEX(' Disaggregation - Section E '!F$618:F$1820,MATCH(C2132,' Disaggregation - Section E '!A$618:A2541,0)+1,1),""),"")</f>
        <v/>
      </c>
      <c r="I2132" s="493" t="str">
        <f ca="1">IFERROR(IF(VLOOKUP(C2132,' Disaggregation - Section E '!A$618:N1344,8,0)=0,"",VLOOKUP(C2132,' Disaggregation - Section E '!A$618:N1344,8,0)),"")</f>
        <v/>
      </c>
      <c r="J2132" s="493" t="str">
        <f ca="1">IFERROR(IF(VLOOKUP(C2132,' Disaggregation - Section E '!A$618:N2541,13,0)=0,"",VLOOKUP(C2132,' Disaggregation - Section E '!A$618:N2541,13,0)),"")</f>
        <v/>
      </c>
      <c r="K2132" s="487" t="str">
        <f ca="1">IFERROR(VLOOKUP(C2132,' Disaggregation - Section E '!A$618:N1344,3,0),"")</f>
        <v>TCS-1b⁽ᴹ⁾ Pourcentage d'adultes (15 ans et plus) sous TARV parmi tous les adultes vivant avec le VIH à la fin de la période de rapportage</v>
      </c>
      <c r="L2132" s="487"/>
      <c r="M2132" s="487" t="str">
        <f ca="1">IFERROR(IF(VLOOKUP(C2132,' Disaggregation - Section E '!A$618:T1344,20,0)=0,"",VLOOKUP(C2132,' Disaggregation - Section E '!A$618:T1344,20,0)),"")</f>
        <v>IDR-00905</v>
      </c>
      <c r="N2132" s="493" t="str">
        <f ca="1">IFERROR(IF(VLOOKUP(C2132,' Disaggregation - Section E '!A$618:N1344,14,0)=0,"",VLOOKUP(C2132,' Disaggregation - Section E '!A$618:N1344,14,0)),"")</f>
        <v/>
      </c>
      <c r="O2132" s="493" t="str">
        <f ca="1">IFERROR(IF(VLOOKUP(C2132,' Disaggregation - Section E '!A$618:N1344,9,0)=0,"",VLOOKUP(C2132,' Disaggregation - Section E '!A$618:N1344,9,0)),"")</f>
        <v/>
      </c>
      <c r="P2132" s="493" t="str">
        <f ca="1">IFERROR(IF(VLOOKUP(C2132,' Disaggregation - Section E '!A$618:N1344,10,0)=0,"",VLOOKUP(C2132,' Disaggregation - Section E '!A$618:N1344,10,0)),"")</f>
        <v/>
      </c>
    </row>
    <row r="2133" spans="1:16" x14ac:dyDescent="0.3">
      <c r="A2133" s="487" t="b">
        <f t="shared" ca="1" si="148"/>
        <v>0</v>
      </c>
      <c r="B2133" s="487"/>
      <c r="C2133" s="500" t="str">
        <f ca="1">IF(COUNTA(D$1410:D2133)=1,"",OFFSET(B2131,-COUNTA(D$1410:D2133)+3,1))</f>
        <v>a163p000002zQbKAAU</v>
      </c>
      <c r="D2133" s="502"/>
      <c r="E2133" s="490" t="str">
        <f ca="1">IFERROR(IF(VLOOKUP(C2133,' Disaggregation - Section E '!A$618:N1345,7,0)=0,"",VLOOKUP(C2133,' Disaggregation - Section E '!A$618:N1345,7,0)*100),"")</f>
        <v/>
      </c>
      <c r="F2133" s="493" t="str">
        <f ca="1">IFERROR(VLOOKUP(C2133,' Disaggregation - Section E '!A$618:N1345,5,0),"")</f>
        <v>Homme</v>
      </c>
      <c r="G2133" s="492" t="str">
        <f ca="1">IFERROR(IF(VLOOKUP(C2133,' Disaggregation - Section E '!A$618:N1345,6,0)=0,"",VLOOKUP(C2133,' Disaggregation - Section E '!A$618:N1345,6,0)),"")</f>
        <v/>
      </c>
      <c r="H2133" s="502" t="str">
        <f ca="1">IFERROR(IF(INDEX(' Disaggregation - Section E '!F$618:F2542,MATCH(C2133,' Disaggregation - Section E '!A$618:A2542,0)+1,1)&lt;&gt;0,INDEX(' Disaggregation - Section E '!F$618:F$1820,MATCH(C2133,' Disaggregation - Section E '!A$618:A2542,0)+1,1),""),"")</f>
        <v/>
      </c>
      <c r="I2133" s="493" t="str">
        <f ca="1">IFERROR(IF(VLOOKUP(C2133,' Disaggregation - Section E '!A$618:N1345,8,0)=0,"",VLOOKUP(C2133,' Disaggregation - Section E '!A$618:N1345,8,0)),"")</f>
        <v/>
      </c>
      <c r="J2133" s="493" t="str">
        <f ca="1">IFERROR(IF(VLOOKUP(C2133,' Disaggregation - Section E '!A$618:N2542,13,0)=0,"",VLOOKUP(C2133,' Disaggregation - Section E '!A$618:N2542,13,0)),"")</f>
        <v/>
      </c>
      <c r="K2133" s="487" t="str">
        <f ca="1">IFERROR(VLOOKUP(C2133,' Disaggregation - Section E '!A$618:N1345,3,0),"")</f>
        <v>TCS-1b⁽ᴹ⁾ Pourcentage d'adultes (15 ans et plus) sous TARV parmi tous les adultes vivant avec le VIH à la fin de la période de rapportage</v>
      </c>
      <c r="L2133" s="487"/>
      <c r="M2133" s="487" t="str">
        <f ca="1">IFERROR(IF(VLOOKUP(C2133,' Disaggregation - Section E '!A$618:T1345,20,0)=0,"",VLOOKUP(C2133,' Disaggregation - Section E '!A$618:T1345,20,0)),"")</f>
        <v>IDR-00847</v>
      </c>
      <c r="N2133" s="493" t="str">
        <f ca="1">IFERROR(IF(VLOOKUP(C2133,' Disaggregation - Section E '!A$618:N1345,14,0)=0,"",VLOOKUP(C2133,' Disaggregation - Section E '!A$618:N1345,14,0)),"")</f>
        <v/>
      </c>
      <c r="O2133" s="493" t="str">
        <f ca="1">IFERROR(IF(VLOOKUP(C2133,' Disaggregation - Section E '!A$618:N1345,9,0)=0,"",VLOOKUP(C2133,' Disaggregation - Section E '!A$618:N1345,9,0)),"")</f>
        <v/>
      </c>
      <c r="P2133" s="493" t="str">
        <f ca="1">IFERROR(IF(VLOOKUP(C2133,' Disaggregation - Section E '!A$618:N1345,10,0)=0,"",VLOOKUP(C2133,' Disaggregation - Section E '!A$618:N1345,10,0)),"")</f>
        <v/>
      </c>
    </row>
    <row r="2134" spans="1:16" x14ac:dyDescent="0.3">
      <c r="A2134" s="487" t="b">
        <f t="shared" ca="1" si="148"/>
        <v>0</v>
      </c>
      <c r="B2134" s="487"/>
      <c r="C2134" s="500" t="str">
        <f ca="1">IF(COUNTA(D$1410:D2134)=1,"",OFFSET(B2132,-COUNTA(D$1410:D2134)+3,1))</f>
        <v>a163p000002zQbLAAU</v>
      </c>
      <c r="D2134" s="502"/>
      <c r="E2134" s="490" t="str">
        <f ca="1">IFERROR(IF(VLOOKUP(C2134,' Disaggregation - Section E '!A$618:N1346,7,0)=0,"",VLOOKUP(C2134,' Disaggregation - Section E '!A$618:N1346,7,0)*100),"")</f>
        <v/>
      </c>
      <c r="F2134" s="493" t="str">
        <f ca="1">IFERROR(VLOOKUP(C2134,' Disaggregation - Section E '!A$618:N1346,5,0),"")</f>
        <v>Femme</v>
      </c>
      <c r="G2134" s="492" t="str">
        <f ca="1">IFERROR(IF(VLOOKUP(C2134,' Disaggregation - Section E '!A$618:N1346,6,0)=0,"",VLOOKUP(C2134,' Disaggregation - Section E '!A$618:N1346,6,0)),"")</f>
        <v/>
      </c>
      <c r="H2134" s="502" t="str">
        <f ca="1">IFERROR(IF(INDEX(' Disaggregation - Section E '!F$618:F2543,MATCH(C2134,' Disaggregation - Section E '!A$618:A2543,0)+1,1)&lt;&gt;0,INDEX(' Disaggregation - Section E '!F$618:F$1820,MATCH(C2134,' Disaggregation - Section E '!A$618:A2543,0)+1,1),""),"")</f>
        <v/>
      </c>
      <c r="I2134" s="493" t="str">
        <f ca="1">IFERROR(IF(VLOOKUP(C2134,' Disaggregation - Section E '!A$618:N1346,8,0)=0,"",VLOOKUP(C2134,' Disaggregation - Section E '!A$618:N1346,8,0)),"")</f>
        <v/>
      </c>
      <c r="J2134" s="493" t="str">
        <f ca="1">IFERROR(IF(VLOOKUP(C2134,' Disaggregation - Section E '!A$618:N2543,13,0)=0,"",VLOOKUP(C2134,' Disaggregation - Section E '!A$618:N2543,13,0)),"")</f>
        <v/>
      </c>
      <c r="K2134" s="487" t="str">
        <f ca="1">IFERROR(VLOOKUP(C2134,' Disaggregation - Section E '!A$618:N1346,3,0),"")</f>
        <v>TCS-1b⁽ᴹ⁾ Pourcentage d'adultes (15 ans et plus) sous TARV parmi tous les adultes vivant avec le VIH à la fin de la période de rapportage</v>
      </c>
      <c r="L2134" s="487"/>
      <c r="M2134" s="487" t="str">
        <f ca="1">IFERROR(IF(VLOOKUP(C2134,' Disaggregation - Section E '!A$618:T1346,20,0)=0,"",VLOOKUP(C2134,' Disaggregation - Section E '!A$618:T1346,20,0)),"")</f>
        <v>IDR-00848</v>
      </c>
      <c r="N2134" s="493" t="str">
        <f ca="1">IFERROR(IF(VLOOKUP(C2134,' Disaggregation - Section E '!A$618:N1346,14,0)=0,"",VLOOKUP(C2134,' Disaggregation - Section E '!A$618:N1346,14,0)),"")</f>
        <v/>
      </c>
      <c r="O2134" s="493" t="str">
        <f ca="1">IFERROR(IF(VLOOKUP(C2134,' Disaggregation - Section E '!A$618:N1346,9,0)=0,"",VLOOKUP(C2134,' Disaggregation - Section E '!A$618:N1346,9,0)),"")</f>
        <v/>
      </c>
      <c r="P2134" s="493" t="str">
        <f ca="1">IFERROR(IF(VLOOKUP(C2134,' Disaggregation - Section E '!A$618:N1346,10,0)=0,"",VLOOKUP(C2134,' Disaggregation - Section E '!A$618:N1346,10,0)),"")</f>
        <v/>
      </c>
    </row>
    <row r="2135" spans="1:16" x14ac:dyDescent="0.3">
      <c r="A2135" s="487" t="b">
        <f t="shared" ca="1" si="148"/>
        <v>0</v>
      </c>
      <c r="B2135" s="487"/>
      <c r="C2135" s="500" t="str">
        <f ca="1">IF(COUNTA(D$1410:D2135)=1,"",OFFSET(B2133,-COUNTA(D$1410:D2135)+3,1))</f>
        <v>a163p000002zQbMAAU</v>
      </c>
      <c r="D2135" s="502"/>
      <c r="E2135" s="490" t="str">
        <f ca="1">IFERROR(IF(VLOOKUP(C2135,' Disaggregation - Section E '!A$618:N1347,7,0)=0,"",VLOOKUP(C2135,' Disaggregation - Section E '!A$618:N1347,7,0)*100),"")</f>
        <v/>
      </c>
      <c r="F2135" s="493" t="str">
        <f ca="1">IFERROR(VLOOKUP(C2135,' Disaggregation - Section E '!A$618:N1347,5,0),"")</f>
        <v>Transgenre</v>
      </c>
      <c r="G2135" s="492" t="str">
        <f ca="1">IFERROR(IF(VLOOKUP(C2135,' Disaggregation - Section E '!A$618:N1347,6,0)=0,"",VLOOKUP(C2135,' Disaggregation - Section E '!A$618:N1347,6,0)),"")</f>
        <v/>
      </c>
      <c r="H2135" s="502" t="str">
        <f ca="1">IFERROR(IF(INDEX(' Disaggregation - Section E '!F$618:F2544,MATCH(C2135,' Disaggregation - Section E '!A$618:A2544,0)+1,1)&lt;&gt;0,INDEX(' Disaggregation - Section E '!F$618:F$1820,MATCH(C2135,' Disaggregation - Section E '!A$618:A2544,0)+1,1),""),"")</f>
        <v/>
      </c>
      <c r="I2135" s="493" t="str">
        <f ca="1">IFERROR(IF(VLOOKUP(C2135,' Disaggregation - Section E '!A$618:N1347,8,0)=0,"",VLOOKUP(C2135,' Disaggregation - Section E '!A$618:N1347,8,0)),"")</f>
        <v/>
      </c>
      <c r="J2135" s="493" t="str">
        <f ca="1">IFERROR(IF(VLOOKUP(C2135,' Disaggregation - Section E '!A$618:N2544,13,0)=0,"",VLOOKUP(C2135,' Disaggregation - Section E '!A$618:N2544,13,0)),"")</f>
        <v/>
      </c>
      <c r="K2135" s="487" t="str">
        <f ca="1">IFERROR(VLOOKUP(C2135,' Disaggregation - Section E '!A$618:N1347,3,0),"")</f>
        <v>TCS-1b⁽ᴹ⁾ Pourcentage d'adultes (15 ans et plus) sous TARV parmi tous les adultes vivant avec le VIH à la fin de la période de rapportage</v>
      </c>
      <c r="L2135" s="487"/>
      <c r="M2135" s="487" t="str">
        <f ca="1">IFERROR(IF(VLOOKUP(C2135,' Disaggregation - Section E '!A$618:T1347,20,0)=0,"",VLOOKUP(C2135,' Disaggregation - Section E '!A$618:T1347,20,0)),"")</f>
        <v>IDR-00849</v>
      </c>
      <c r="N2135" s="493" t="str">
        <f ca="1">IFERROR(IF(VLOOKUP(C2135,' Disaggregation - Section E '!A$618:N1347,14,0)=0,"",VLOOKUP(C2135,' Disaggregation - Section E '!A$618:N1347,14,0)),"")</f>
        <v/>
      </c>
      <c r="O2135" s="493" t="str">
        <f ca="1">IFERROR(IF(VLOOKUP(C2135,' Disaggregation - Section E '!A$618:N1347,9,0)=0,"",VLOOKUP(C2135,' Disaggregation - Section E '!A$618:N1347,9,0)),"")</f>
        <v/>
      </c>
      <c r="P2135" s="493" t="str">
        <f ca="1">IFERROR(IF(VLOOKUP(C2135,' Disaggregation - Section E '!A$618:N1347,10,0)=0,"",VLOOKUP(C2135,' Disaggregation - Section E '!A$618:N1347,10,0)),"")</f>
        <v/>
      </c>
    </row>
    <row r="2136" spans="1:16" x14ac:dyDescent="0.3">
      <c r="A2136" s="487" t="b">
        <f t="shared" ca="1" si="148"/>
        <v>0</v>
      </c>
      <c r="B2136" s="487"/>
      <c r="C2136" s="500" t="str">
        <f ca="1">IF(COUNTA(D$1410:D2136)=1,"",OFFSET(B2134,-COUNTA(D$1410:D2136)+3,1))</f>
        <v>a163p000002zQbNAAU</v>
      </c>
      <c r="D2136" s="502"/>
      <c r="E2136" s="490" t="str">
        <f ca="1">IFERROR(IF(VLOOKUP(C2136,' Disaggregation - Section E '!A$618:N1348,7,0)=0,"",VLOOKUP(C2136,' Disaggregation - Section E '!A$618:N1348,7,0)*100),"")</f>
        <v/>
      </c>
      <c r="F2136" s="493" t="str">
        <f ca="1">IFERROR(VLOOKUP(C2136,' Disaggregation - Section E '!A$618:N1348,5,0),"")</f>
        <v>Homme 15+</v>
      </c>
      <c r="G2136" s="492" t="str">
        <f ca="1">IFERROR(IF(VLOOKUP(C2136,' Disaggregation - Section E '!A$618:N1348,6,0)=0,"",VLOOKUP(C2136,' Disaggregation - Section E '!A$618:N1348,6,0)),"")</f>
        <v/>
      </c>
      <c r="H2136" s="502" t="str">
        <f ca="1">IFERROR(IF(INDEX(' Disaggregation - Section E '!F$618:F2545,MATCH(C2136,' Disaggregation - Section E '!A$618:A2545,0)+1,1)&lt;&gt;0,INDEX(' Disaggregation - Section E '!F$618:F$1820,MATCH(C2136,' Disaggregation - Section E '!A$618:A2545,0)+1,1),""),"")</f>
        <v/>
      </c>
      <c r="I2136" s="493" t="str">
        <f ca="1">IFERROR(IF(VLOOKUP(C2136,' Disaggregation - Section E '!A$618:N1348,8,0)=0,"",VLOOKUP(C2136,' Disaggregation - Section E '!A$618:N1348,8,0)),"")</f>
        <v/>
      </c>
      <c r="J2136" s="493" t="str">
        <f ca="1">IFERROR(IF(VLOOKUP(C2136,' Disaggregation - Section E '!A$618:N2545,13,0)=0,"",VLOOKUP(C2136,' Disaggregation - Section E '!A$618:N2545,13,0)),"")</f>
        <v/>
      </c>
      <c r="K2136" s="487" t="str">
        <f ca="1">IFERROR(VLOOKUP(C2136,' Disaggregation - Section E '!A$618:N1348,3,0),"")</f>
        <v>TCS-1b⁽ᴹ⁾ Pourcentage d'adultes (15 ans et plus) sous TARV parmi tous les adultes vivant avec le VIH à la fin de la période de rapportage</v>
      </c>
      <c r="L2136" s="487"/>
      <c r="M2136" s="487" t="str">
        <f ca="1">IFERROR(IF(VLOOKUP(C2136,' Disaggregation - Section E '!A$618:T1348,20,0)=0,"",VLOOKUP(C2136,' Disaggregation - Section E '!A$618:T1348,20,0)),"")</f>
        <v>IDR-00892</v>
      </c>
      <c r="N2136" s="493" t="str">
        <f ca="1">IFERROR(IF(VLOOKUP(C2136,' Disaggregation - Section E '!A$618:N1348,14,0)=0,"",VLOOKUP(C2136,' Disaggregation - Section E '!A$618:N1348,14,0)),"")</f>
        <v/>
      </c>
      <c r="O2136" s="493" t="str">
        <f ca="1">IFERROR(IF(VLOOKUP(C2136,' Disaggregation - Section E '!A$618:N1348,9,0)=0,"",VLOOKUP(C2136,' Disaggregation - Section E '!A$618:N1348,9,0)),"")</f>
        <v/>
      </c>
      <c r="P2136" s="493" t="str">
        <f ca="1">IFERROR(IF(VLOOKUP(C2136,' Disaggregation - Section E '!A$618:N1348,10,0)=0,"",VLOOKUP(C2136,' Disaggregation - Section E '!A$618:N1348,10,0)),"")</f>
        <v/>
      </c>
    </row>
    <row r="2137" spans="1:16" x14ac:dyDescent="0.3">
      <c r="A2137" s="487" t="b">
        <f t="shared" ca="1" si="148"/>
        <v>0</v>
      </c>
      <c r="B2137" s="487"/>
      <c r="C2137" s="500" t="str">
        <f ca="1">IF(COUNTA(D$1410:D2137)=1,"",OFFSET(B2135,-COUNTA(D$1410:D2137)+3,1))</f>
        <v>a163p000002zQbOAAU</v>
      </c>
      <c r="D2137" s="502"/>
      <c r="E2137" s="490" t="str">
        <f ca="1">IFERROR(IF(VLOOKUP(C2137,' Disaggregation - Section E '!A$618:N1349,7,0)=0,"",VLOOKUP(C2137,' Disaggregation - Section E '!A$618:N1349,7,0)*100),"")</f>
        <v/>
      </c>
      <c r="F2137" s="493" t="str">
        <f ca="1">IFERROR(VLOOKUP(C2137,' Disaggregation - Section E '!A$618:N1349,5,0),"")</f>
        <v>Femme 15+</v>
      </c>
      <c r="G2137" s="492" t="str">
        <f ca="1">IFERROR(IF(VLOOKUP(C2137,' Disaggregation - Section E '!A$618:N1349,6,0)=0,"",VLOOKUP(C2137,' Disaggregation - Section E '!A$618:N1349,6,0)),"")</f>
        <v/>
      </c>
      <c r="H2137" s="502" t="str">
        <f ca="1">IFERROR(IF(INDEX(' Disaggregation - Section E '!F$618:F2546,MATCH(C2137,' Disaggregation - Section E '!A$618:A2546,0)+1,1)&lt;&gt;0,INDEX(' Disaggregation - Section E '!F$618:F$1820,MATCH(C2137,' Disaggregation - Section E '!A$618:A2546,0)+1,1),""),"")</f>
        <v/>
      </c>
      <c r="I2137" s="493" t="str">
        <f ca="1">IFERROR(IF(VLOOKUP(C2137,' Disaggregation - Section E '!A$618:N1349,8,0)=0,"",VLOOKUP(C2137,' Disaggregation - Section E '!A$618:N1349,8,0)),"")</f>
        <v/>
      </c>
      <c r="J2137" s="493" t="str">
        <f ca="1">IFERROR(IF(VLOOKUP(C2137,' Disaggregation - Section E '!A$618:N2546,13,0)=0,"",VLOOKUP(C2137,' Disaggregation - Section E '!A$618:N2546,13,0)),"")</f>
        <v/>
      </c>
      <c r="K2137" s="487" t="str">
        <f ca="1">IFERROR(VLOOKUP(C2137,' Disaggregation - Section E '!A$618:N1349,3,0),"")</f>
        <v>TCS-1b⁽ᴹ⁾ Pourcentage d'adultes (15 ans et plus) sous TARV parmi tous les adultes vivant avec le VIH à la fin de la période de rapportage</v>
      </c>
      <c r="L2137" s="487"/>
      <c r="M2137" s="487" t="str">
        <f ca="1">IFERROR(IF(VLOOKUP(C2137,' Disaggregation - Section E '!A$618:T1349,20,0)=0,"",VLOOKUP(C2137,' Disaggregation - Section E '!A$618:T1349,20,0)),"")</f>
        <v>IDR-00893</v>
      </c>
      <c r="N2137" s="493" t="str">
        <f ca="1">IFERROR(IF(VLOOKUP(C2137,' Disaggregation - Section E '!A$618:N1349,14,0)=0,"",VLOOKUP(C2137,' Disaggregation - Section E '!A$618:N1349,14,0)),"")</f>
        <v/>
      </c>
      <c r="O2137" s="493" t="str">
        <f ca="1">IFERROR(IF(VLOOKUP(C2137,' Disaggregation - Section E '!A$618:N1349,9,0)=0,"",VLOOKUP(C2137,' Disaggregation - Section E '!A$618:N1349,9,0)),"")</f>
        <v/>
      </c>
      <c r="P2137" s="493" t="str">
        <f ca="1">IFERROR(IF(VLOOKUP(C2137,' Disaggregation - Section E '!A$618:N1349,10,0)=0,"",VLOOKUP(C2137,' Disaggregation - Section E '!A$618:N1349,10,0)),"")</f>
        <v/>
      </c>
    </row>
    <row r="2138" spans="1:16" x14ac:dyDescent="0.3">
      <c r="A2138" s="487" t="b">
        <f t="shared" ca="1" si="148"/>
        <v>0</v>
      </c>
      <c r="B2138" s="487"/>
      <c r="C2138" s="500" t="str">
        <f ca="1">IF(COUNTA(D$1410:D2138)=1,"",OFFSET(B2136,-COUNTA(D$1410:D2138)+3,1))</f>
        <v>a163p000002zQbPAAU</v>
      </c>
      <c r="D2138" s="502"/>
      <c r="E2138" s="490" t="str">
        <f ca="1">IFERROR(IF(VLOOKUP(C2138,' Disaggregation - Section E '!A$618:N1350,7,0)=0,"",VLOOKUP(C2138,' Disaggregation - Section E '!A$618:N1350,7,0)*100),"")</f>
        <v/>
      </c>
      <c r="F2138" s="493" t="str">
        <f ca="1">IFERROR(VLOOKUP(C2138,' Disaggregation - Section E '!A$618:N1350,5,0),"")</f>
        <v>Homme 15-19</v>
      </c>
      <c r="G2138" s="492" t="str">
        <f ca="1">IFERROR(IF(VLOOKUP(C2138,' Disaggregation - Section E '!A$618:N1350,6,0)=0,"",VLOOKUP(C2138,' Disaggregation - Section E '!A$618:N1350,6,0)),"")</f>
        <v/>
      </c>
      <c r="H2138" s="502" t="str">
        <f ca="1">IFERROR(IF(INDEX(' Disaggregation - Section E '!F$618:F2547,MATCH(C2138,' Disaggregation - Section E '!A$618:A2547,0)+1,1)&lt;&gt;0,INDEX(' Disaggregation - Section E '!F$618:F$1820,MATCH(C2138,' Disaggregation - Section E '!A$618:A2547,0)+1,1),""),"")</f>
        <v/>
      </c>
      <c r="I2138" s="493" t="str">
        <f ca="1">IFERROR(IF(VLOOKUP(C2138,' Disaggregation - Section E '!A$618:N1350,8,0)=0,"",VLOOKUP(C2138,' Disaggregation - Section E '!A$618:N1350,8,0)),"")</f>
        <v/>
      </c>
      <c r="J2138" s="493" t="str">
        <f ca="1">IFERROR(IF(VLOOKUP(C2138,' Disaggregation - Section E '!A$618:N2547,13,0)=0,"",VLOOKUP(C2138,' Disaggregation - Section E '!A$618:N2547,13,0)),"")</f>
        <v/>
      </c>
      <c r="K2138" s="487" t="str">
        <f ca="1">IFERROR(VLOOKUP(C2138,' Disaggregation - Section E '!A$618:N1350,3,0),"")</f>
        <v>TCS-1b⁽ᴹ⁾ Pourcentage d'adultes (15 ans et plus) sous TARV parmi tous les adultes vivant avec le VIH à la fin de la période de rapportage</v>
      </c>
      <c r="L2138" s="487"/>
      <c r="M2138" s="487" t="str">
        <f ca="1">IFERROR(IF(VLOOKUP(C2138,' Disaggregation - Section E '!A$618:T1350,20,0)=0,"",VLOOKUP(C2138,' Disaggregation - Section E '!A$618:T1350,20,0)),"")</f>
        <v>IDR-00894</v>
      </c>
      <c r="N2138" s="493" t="str">
        <f ca="1">IFERROR(IF(VLOOKUP(C2138,' Disaggregation - Section E '!A$618:N1350,14,0)=0,"",VLOOKUP(C2138,' Disaggregation - Section E '!A$618:N1350,14,0)),"")</f>
        <v/>
      </c>
      <c r="O2138" s="493" t="str">
        <f ca="1">IFERROR(IF(VLOOKUP(C2138,' Disaggregation - Section E '!A$618:N1350,9,0)=0,"",VLOOKUP(C2138,' Disaggregation - Section E '!A$618:N1350,9,0)),"")</f>
        <v/>
      </c>
      <c r="P2138" s="493" t="str">
        <f ca="1">IFERROR(IF(VLOOKUP(C2138,' Disaggregation - Section E '!A$618:N1350,10,0)=0,"",VLOOKUP(C2138,' Disaggregation - Section E '!A$618:N1350,10,0)),"")</f>
        <v/>
      </c>
    </row>
    <row r="2139" spans="1:16" x14ac:dyDescent="0.3">
      <c r="A2139" s="487" t="b">
        <f t="shared" ca="1" si="148"/>
        <v>0</v>
      </c>
      <c r="B2139" s="487"/>
      <c r="C2139" s="500" t="str">
        <f ca="1">IF(COUNTA(D$1410:D2139)=1,"",OFFSET(B2137,-COUNTA(D$1410:D2139)+3,1))</f>
        <v>a163p000002zQbQAAU</v>
      </c>
      <c r="D2139" s="502"/>
      <c r="E2139" s="490" t="str">
        <f ca="1">IFERROR(IF(VLOOKUP(C2139,' Disaggregation - Section E '!A$618:N1351,7,0)=0,"",VLOOKUP(C2139,' Disaggregation - Section E '!A$618:N1351,7,0)*100),"")</f>
        <v/>
      </c>
      <c r="F2139" s="493" t="str">
        <f ca="1">IFERROR(VLOOKUP(C2139,' Disaggregation - Section E '!A$618:N1351,5,0),"")</f>
        <v>Femme 15-19</v>
      </c>
      <c r="G2139" s="492" t="str">
        <f ca="1">IFERROR(IF(VLOOKUP(C2139,' Disaggregation - Section E '!A$618:N1351,6,0)=0,"",VLOOKUP(C2139,' Disaggregation - Section E '!A$618:N1351,6,0)),"")</f>
        <v/>
      </c>
      <c r="H2139" s="502" t="str">
        <f ca="1">IFERROR(IF(INDEX(' Disaggregation - Section E '!F$618:F2548,MATCH(C2139,' Disaggregation - Section E '!A$618:A2548,0)+1,1)&lt;&gt;0,INDEX(' Disaggregation - Section E '!F$618:F$1820,MATCH(C2139,' Disaggregation - Section E '!A$618:A2548,0)+1,1),""),"")</f>
        <v/>
      </c>
      <c r="I2139" s="493" t="str">
        <f ca="1">IFERROR(IF(VLOOKUP(C2139,' Disaggregation - Section E '!A$618:N1351,8,0)=0,"",VLOOKUP(C2139,' Disaggregation - Section E '!A$618:N1351,8,0)),"")</f>
        <v/>
      </c>
      <c r="J2139" s="493" t="str">
        <f ca="1">IFERROR(IF(VLOOKUP(C2139,' Disaggregation - Section E '!A$618:N2548,13,0)=0,"",VLOOKUP(C2139,' Disaggregation - Section E '!A$618:N2548,13,0)),"")</f>
        <v/>
      </c>
      <c r="K2139" s="487" t="str">
        <f ca="1">IFERROR(VLOOKUP(C2139,' Disaggregation - Section E '!A$618:N1351,3,0),"")</f>
        <v>TCS-1b⁽ᴹ⁾ Pourcentage d'adultes (15 ans et plus) sous TARV parmi tous les adultes vivant avec le VIH à la fin de la période de rapportage</v>
      </c>
      <c r="L2139" s="487"/>
      <c r="M2139" s="487" t="str">
        <f ca="1">IFERROR(IF(VLOOKUP(C2139,' Disaggregation - Section E '!A$618:T1351,20,0)=0,"",VLOOKUP(C2139,' Disaggregation - Section E '!A$618:T1351,20,0)),"")</f>
        <v>IDR-00895</v>
      </c>
      <c r="N2139" s="493" t="str">
        <f ca="1">IFERROR(IF(VLOOKUP(C2139,' Disaggregation - Section E '!A$618:N1351,14,0)=0,"",VLOOKUP(C2139,' Disaggregation - Section E '!A$618:N1351,14,0)),"")</f>
        <v/>
      </c>
      <c r="O2139" s="493" t="str">
        <f ca="1">IFERROR(IF(VLOOKUP(C2139,' Disaggregation - Section E '!A$618:N1351,9,0)=0,"",VLOOKUP(C2139,' Disaggregation - Section E '!A$618:N1351,9,0)),"")</f>
        <v/>
      </c>
      <c r="P2139" s="493" t="str">
        <f ca="1">IFERROR(IF(VLOOKUP(C2139,' Disaggregation - Section E '!A$618:N1351,10,0)=0,"",VLOOKUP(C2139,' Disaggregation - Section E '!A$618:N1351,10,0)),"")</f>
        <v/>
      </c>
    </row>
    <row r="2140" spans="1:16" x14ac:dyDescent="0.3">
      <c r="A2140" s="487" t="b">
        <f t="shared" ref="A2140:A2191" ca="1" si="149">IF(AND(OR(E2140&lt;&gt;"",G2140&lt;&gt;"",H2140&lt;&gt;""),M2140&lt;&gt;""),TRUE,FALSE)</f>
        <v>0</v>
      </c>
      <c r="B2140" s="487"/>
      <c r="C2140" s="500" t="str">
        <f ca="1">IF(COUNTA(D$1410:D2140)=1,"",OFFSET(B2138,-COUNTA(D$1410:D2140)+3,1))</f>
        <v>a163p000002zQbRAAU</v>
      </c>
      <c r="D2140" s="502"/>
      <c r="E2140" s="490" t="str">
        <f ca="1">IFERROR(IF(VLOOKUP(C2140,' Disaggregation - Section E '!A$618:N1352,7,0)=0,"",VLOOKUP(C2140,' Disaggregation - Section E '!A$618:N1352,7,0)*100),"")</f>
        <v/>
      </c>
      <c r="F2140" s="493" t="str">
        <f ca="1">IFERROR(VLOOKUP(C2140,' Disaggregation - Section E '!A$618:N1352,5,0),"")</f>
        <v>Homme 20-24</v>
      </c>
      <c r="G2140" s="492" t="str">
        <f ca="1">IFERROR(IF(VLOOKUP(C2140,' Disaggregation - Section E '!A$618:N1352,6,0)=0,"",VLOOKUP(C2140,' Disaggregation - Section E '!A$618:N1352,6,0)),"")</f>
        <v/>
      </c>
      <c r="H2140" s="502" t="str">
        <f ca="1">IFERROR(IF(INDEX(' Disaggregation - Section E '!F$618:F2549,MATCH(C2140,' Disaggregation - Section E '!A$618:A2549,0)+1,1)&lt;&gt;0,INDEX(' Disaggregation - Section E '!F$618:F$1820,MATCH(C2140,' Disaggregation - Section E '!A$618:A2549,0)+1,1),""),"")</f>
        <v/>
      </c>
      <c r="I2140" s="493" t="str">
        <f ca="1">IFERROR(IF(VLOOKUP(C2140,' Disaggregation - Section E '!A$618:N1352,8,0)=0,"",VLOOKUP(C2140,' Disaggregation - Section E '!A$618:N1352,8,0)),"")</f>
        <v/>
      </c>
      <c r="J2140" s="493" t="str">
        <f ca="1">IFERROR(IF(VLOOKUP(C2140,' Disaggregation - Section E '!A$618:N2549,13,0)=0,"",VLOOKUP(C2140,' Disaggregation - Section E '!A$618:N2549,13,0)),"")</f>
        <v/>
      </c>
      <c r="K2140" s="487" t="str">
        <f ca="1">IFERROR(VLOOKUP(C2140,' Disaggregation - Section E '!A$618:N1352,3,0),"")</f>
        <v>TCS-1b⁽ᴹ⁾ Pourcentage d'adultes (15 ans et plus) sous TARV parmi tous les adultes vivant avec le VIH à la fin de la période de rapportage</v>
      </c>
      <c r="L2140" s="487"/>
      <c r="M2140" s="487" t="str">
        <f ca="1">IFERROR(IF(VLOOKUP(C2140,' Disaggregation - Section E '!A$618:T1352,20,0)=0,"",VLOOKUP(C2140,' Disaggregation - Section E '!A$618:T1352,20,0)),"")</f>
        <v>IDR-00896</v>
      </c>
      <c r="N2140" s="493" t="str">
        <f ca="1">IFERROR(IF(VLOOKUP(C2140,' Disaggregation - Section E '!A$618:N1352,14,0)=0,"",VLOOKUP(C2140,' Disaggregation - Section E '!A$618:N1352,14,0)),"")</f>
        <v/>
      </c>
      <c r="O2140" s="493" t="str">
        <f ca="1">IFERROR(IF(VLOOKUP(C2140,' Disaggregation - Section E '!A$618:N1352,9,0)=0,"",VLOOKUP(C2140,' Disaggregation - Section E '!A$618:N1352,9,0)),"")</f>
        <v/>
      </c>
      <c r="P2140" s="493" t="str">
        <f ca="1">IFERROR(IF(VLOOKUP(C2140,' Disaggregation - Section E '!A$618:N1352,10,0)=0,"",VLOOKUP(C2140,' Disaggregation - Section E '!A$618:N1352,10,0)),"")</f>
        <v/>
      </c>
    </row>
    <row r="2141" spans="1:16" x14ac:dyDescent="0.3">
      <c r="A2141" s="487" t="b">
        <f t="shared" ca="1" si="149"/>
        <v>0</v>
      </c>
      <c r="B2141" s="487"/>
      <c r="C2141" s="500" t="str">
        <f ca="1">IF(COUNTA(D$1410:D2141)=1,"",OFFSET(B2139,-COUNTA(D$1410:D2141)+3,1))</f>
        <v>a163p000002zQbSAAU</v>
      </c>
      <c r="D2141" s="502"/>
      <c r="E2141" s="490" t="str">
        <f ca="1">IFERROR(IF(VLOOKUP(C2141,' Disaggregation - Section E '!A$618:N1353,7,0)=0,"",VLOOKUP(C2141,' Disaggregation - Section E '!A$618:N1353,7,0)*100),"")</f>
        <v/>
      </c>
      <c r="F2141" s="493" t="str">
        <f ca="1">IFERROR(VLOOKUP(C2141,' Disaggregation - Section E '!A$618:N1353,5,0),"")</f>
        <v>Femme 20-24</v>
      </c>
      <c r="G2141" s="492" t="str">
        <f ca="1">IFERROR(IF(VLOOKUP(C2141,' Disaggregation - Section E '!A$618:N1353,6,0)=0,"",VLOOKUP(C2141,' Disaggregation - Section E '!A$618:N1353,6,0)),"")</f>
        <v/>
      </c>
      <c r="H2141" s="502" t="str">
        <f ca="1">IFERROR(IF(INDEX(' Disaggregation - Section E '!F$618:F2550,MATCH(C2141,' Disaggregation - Section E '!A$618:A2550,0)+1,1)&lt;&gt;0,INDEX(' Disaggregation - Section E '!F$618:F$1820,MATCH(C2141,' Disaggregation - Section E '!A$618:A2550,0)+1,1),""),"")</f>
        <v/>
      </c>
      <c r="I2141" s="493" t="str">
        <f ca="1">IFERROR(IF(VLOOKUP(C2141,' Disaggregation - Section E '!A$618:N1353,8,0)=0,"",VLOOKUP(C2141,' Disaggregation - Section E '!A$618:N1353,8,0)),"")</f>
        <v/>
      </c>
      <c r="J2141" s="493" t="str">
        <f ca="1">IFERROR(IF(VLOOKUP(C2141,' Disaggregation - Section E '!A$618:N2550,13,0)=0,"",VLOOKUP(C2141,' Disaggregation - Section E '!A$618:N2550,13,0)),"")</f>
        <v/>
      </c>
      <c r="K2141" s="487" t="str">
        <f ca="1">IFERROR(VLOOKUP(C2141,' Disaggregation - Section E '!A$618:N1353,3,0),"")</f>
        <v>TCS-1b⁽ᴹ⁾ Pourcentage d'adultes (15 ans et plus) sous TARV parmi tous les adultes vivant avec le VIH à la fin de la période de rapportage</v>
      </c>
      <c r="L2141" s="487"/>
      <c r="M2141" s="487" t="str">
        <f ca="1">IFERROR(IF(VLOOKUP(C2141,' Disaggregation - Section E '!A$618:T1353,20,0)=0,"",VLOOKUP(C2141,' Disaggregation - Section E '!A$618:T1353,20,0)),"")</f>
        <v>IDR-00897</v>
      </c>
      <c r="N2141" s="493" t="str">
        <f ca="1">IFERROR(IF(VLOOKUP(C2141,' Disaggregation - Section E '!A$618:N1353,14,0)=0,"",VLOOKUP(C2141,' Disaggregation - Section E '!A$618:N1353,14,0)),"")</f>
        <v/>
      </c>
      <c r="O2141" s="493" t="str">
        <f ca="1">IFERROR(IF(VLOOKUP(C2141,' Disaggregation - Section E '!A$618:N1353,9,0)=0,"",VLOOKUP(C2141,' Disaggregation - Section E '!A$618:N1353,9,0)),"")</f>
        <v/>
      </c>
      <c r="P2141" s="493" t="str">
        <f ca="1">IFERROR(IF(VLOOKUP(C2141,' Disaggregation - Section E '!A$618:N1353,10,0)=0,"",VLOOKUP(C2141,' Disaggregation - Section E '!A$618:N1353,10,0)),"")</f>
        <v/>
      </c>
    </row>
    <row r="2142" spans="1:16" x14ac:dyDescent="0.3">
      <c r="A2142" s="487" t="b">
        <f t="shared" ca="1" si="149"/>
        <v>0</v>
      </c>
      <c r="B2142" s="487"/>
      <c r="C2142" s="500" t="str">
        <f ca="1">IF(COUNTA(D$1410:D2142)=1,"",OFFSET(B2140,-COUNTA(D$1410:D2142)+3,1))</f>
        <v>a163p000002zQbTAAU</v>
      </c>
      <c r="D2142" s="502"/>
      <c r="E2142" s="490" t="str">
        <f ca="1">IFERROR(IF(VLOOKUP(C2142,' Disaggregation - Section E '!A$618:N1354,7,0)=0,"",VLOOKUP(C2142,' Disaggregation - Section E '!A$618:N1354,7,0)*100),"")</f>
        <v/>
      </c>
      <c r="F2142" s="493" t="str">
        <f ca="1">IFERROR(VLOOKUP(C2142,' Disaggregation - Section E '!A$618:N1354,5,0),"")</f>
        <v>Homme 15-24</v>
      </c>
      <c r="G2142" s="492" t="str">
        <f ca="1">IFERROR(IF(VLOOKUP(C2142,' Disaggregation - Section E '!A$618:N1354,6,0)=0,"",VLOOKUP(C2142,' Disaggregation - Section E '!A$618:N1354,6,0)),"")</f>
        <v/>
      </c>
      <c r="H2142" s="502" t="str">
        <f ca="1">IFERROR(IF(INDEX(' Disaggregation - Section E '!F$618:F2551,MATCH(C2142,' Disaggregation - Section E '!A$618:A2551,0)+1,1)&lt;&gt;0,INDEX(' Disaggregation - Section E '!F$618:F$1820,MATCH(C2142,' Disaggregation - Section E '!A$618:A2551,0)+1,1),""),"")</f>
        <v/>
      </c>
      <c r="I2142" s="493" t="str">
        <f ca="1">IFERROR(IF(VLOOKUP(C2142,' Disaggregation - Section E '!A$618:N1354,8,0)=0,"",VLOOKUP(C2142,' Disaggregation - Section E '!A$618:N1354,8,0)),"")</f>
        <v/>
      </c>
      <c r="J2142" s="493" t="str">
        <f ca="1">IFERROR(IF(VLOOKUP(C2142,' Disaggregation - Section E '!A$618:N2551,13,0)=0,"",VLOOKUP(C2142,' Disaggregation - Section E '!A$618:N2551,13,0)),"")</f>
        <v/>
      </c>
      <c r="K2142" s="487" t="str">
        <f ca="1">IFERROR(VLOOKUP(C2142,' Disaggregation - Section E '!A$618:N1354,3,0),"")</f>
        <v>TCS-1b⁽ᴹ⁾ Pourcentage d'adultes (15 ans et plus) sous TARV parmi tous les adultes vivant avec le VIH à la fin de la période de rapportage</v>
      </c>
      <c r="L2142" s="487"/>
      <c r="M2142" s="487" t="str">
        <f ca="1">IFERROR(IF(VLOOKUP(C2142,' Disaggregation - Section E '!A$618:T1354,20,0)=0,"",VLOOKUP(C2142,' Disaggregation - Section E '!A$618:T1354,20,0)),"")</f>
        <v>IDR-00898</v>
      </c>
      <c r="N2142" s="493" t="str">
        <f ca="1">IFERROR(IF(VLOOKUP(C2142,' Disaggregation - Section E '!A$618:N1354,14,0)=0,"",VLOOKUP(C2142,' Disaggregation - Section E '!A$618:N1354,14,0)),"")</f>
        <v/>
      </c>
      <c r="O2142" s="493" t="str">
        <f ca="1">IFERROR(IF(VLOOKUP(C2142,' Disaggregation - Section E '!A$618:N1354,9,0)=0,"",VLOOKUP(C2142,' Disaggregation - Section E '!A$618:N1354,9,0)),"")</f>
        <v/>
      </c>
      <c r="P2142" s="493" t="str">
        <f ca="1">IFERROR(IF(VLOOKUP(C2142,' Disaggregation - Section E '!A$618:N1354,10,0)=0,"",VLOOKUP(C2142,' Disaggregation - Section E '!A$618:N1354,10,0)),"")</f>
        <v/>
      </c>
    </row>
    <row r="2143" spans="1:16" x14ac:dyDescent="0.3">
      <c r="A2143" s="487" t="b">
        <f t="shared" ca="1" si="149"/>
        <v>0</v>
      </c>
      <c r="B2143" s="487"/>
      <c r="C2143" s="500" t="str">
        <f ca="1">IF(COUNTA(D$1410:D2143)=1,"",OFFSET(B2141,-COUNTA(D$1410:D2143)+3,1))</f>
        <v>a163p000002zQbUAAU</v>
      </c>
      <c r="D2143" s="502"/>
      <c r="E2143" s="490" t="str">
        <f ca="1">IFERROR(IF(VLOOKUP(C2143,' Disaggregation - Section E '!A$618:N1355,7,0)=0,"",VLOOKUP(C2143,' Disaggregation - Section E '!A$618:N1355,7,0)*100),"")</f>
        <v/>
      </c>
      <c r="F2143" s="493" t="str">
        <f ca="1">IFERROR(VLOOKUP(C2143,' Disaggregation - Section E '!A$618:N1355,5,0),"")</f>
        <v>Femme 15-24</v>
      </c>
      <c r="G2143" s="492" t="str">
        <f ca="1">IFERROR(IF(VLOOKUP(C2143,' Disaggregation - Section E '!A$618:N1355,6,0)=0,"",VLOOKUP(C2143,' Disaggregation - Section E '!A$618:N1355,6,0)),"")</f>
        <v/>
      </c>
      <c r="H2143" s="502" t="str">
        <f ca="1">IFERROR(IF(INDEX(' Disaggregation - Section E '!F$618:F2552,MATCH(C2143,' Disaggregation - Section E '!A$618:A2552,0)+1,1)&lt;&gt;0,INDEX(' Disaggregation - Section E '!F$618:F$1820,MATCH(C2143,' Disaggregation - Section E '!A$618:A2552,0)+1,1),""),"")</f>
        <v/>
      </c>
      <c r="I2143" s="493" t="str">
        <f ca="1">IFERROR(IF(VLOOKUP(C2143,' Disaggregation - Section E '!A$618:N1355,8,0)=0,"",VLOOKUP(C2143,' Disaggregation - Section E '!A$618:N1355,8,0)),"")</f>
        <v/>
      </c>
      <c r="J2143" s="493" t="str">
        <f ca="1">IFERROR(IF(VLOOKUP(C2143,' Disaggregation - Section E '!A$618:N2552,13,0)=0,"",VLOOKUP(C2143,' Disaggregation - Section E '!A$618:N2552,13,0)),"")</f>
        <v/>
      </c>
      <c r="K2143" s="487" t="str">
        <f ca="1">IFERROR(VLOOKUP(C2143,' Disaggregation - Section E '!A$618:N1355,3,0),"")</f>
        <v>TCS-1b⁽ᴹ⁾ Pourcentage d'adultes (15 ans et plus) sous TARV parmi tous les adultes vivant avec le VIH à la fin de la période de rapportage</v>
      </c>
      <c r="L2143" s="487"/>
      <c r="M2143" s="487" t="str">
        <f ca="1">IFERROR(IF(VLOOKUP(C2143,' Disaggregation - Section E '!A$618:T1355,20,0)=0,"",VLOOKUP(C2143,' Disaggregation - Section E '!A$618:T1355,20,0)),"")</f>
        <v>IDR-00899</v>
      </c>
      <c r="N2143" s="493" t="str">
        <f ca="1">IFERROR(IF(VLOOKUP(C2143,' Disaggregation - Section E '!A$618:N1355,14,0)=0,"",VLOOKUP(C2143,' Disaggregation - Section E '!A$618:N1355,14,0)),"")</f>
        <v/>
      </c>
      <c r="O2143" s="493" t="str">
        <f ca="1">IFERROR(IF(VLOOKUP(C2143,' Disaggregation - Section E '!A$618:N1355,9,0)=0,"",VLOOKUP(C2143,' Disaggregation - Section E '!A$618:N1355,9,0)),"")</f>
        <v/>
      </c>
      <c r="P2143" s="493" t="str">
        <f ca="1">IFERROR(IF(VLOOKUP(C2143,' Disaggregation - Section E '!A$618:N1355,10,0)=0,"",VLOOKUP(C2143,' Disaggregation - Section E '!A$618:N1355,10,0)),"")</f>
        <v/>
      </c>
    </row>
    <row r="2144" spans="1:16" x14ac:dyDescent="0.3">
      <c r="A2144" s="487" t="b">
        <f t="shared" ca="1" si="149"/>
        <v>0</v>
      </c>
      <c r="B2144" s="487"/>
      <c r="C2144" s="500" t="str">
        <f ca="1">IF(COUNTA(D$1410:D2144)=1,"",OFFSET(B2142,-COUNTA(D$1410:D2144)+3,1))</f>
        <v>a163p000002zQbVAAU</v>
      </c>
      <c r="D2144" s="502"/>
      <c r="E2144" s="490" t="str">
        <f ca="1">IFERROR(IF(VLOOKUP(C2144,' Disaggregation - Section E '!A$618:N1356,7,0)=0,"",VLOOKUP(C2144,' Disaggregation - Section E '!A$618:N1356,7,0)*100),"")</f>
        <v/>
      </c>
      <c r="F2144" s="493" t="str">
        <f ca="1">IFERROR(VLOOKUP(C2144,' Disaggregation - Section E '!A$618:N1356,5,0),"")</f>
        <v>HSH</v>
      </c>
      <c r="G2144" s="492" t="str">
        <f ca="1">IFERROR(IF(VLOOKUP(C2144,' Disaggregation - Section E '!A$618:N1356,6,0)=0,"",VLOOKUP(C2144,' Disaggregation - Section E '!A$618:N1356,6,0)),"")</f>
        <v/>
      </c>
      <c r="H2144" s="502" t="str">
        <f ca="1">IFERROR(IF(INDEX(' Disaggregation - Section E '!F$618:F2553,MATCH(C2144,' Disaggregation - Section E '!A$618:A2553,0)+1,1)&lt;&gt;0,INDEX(' Disaggregation - Section E '!F$618:F$1820,MATCH(C2144,' Disaggregation - Section E '!A$618:A2553,0)+1,1),""),"")</f>
        <v/>
      </c>
      <c r="I2144" s="493" t="str">
        <f ca="1">IFERROR(IF(VLOOKUP(C2144,' Disaggregation - Section E '!A$618:N1356,8,0)=0,"",VLOOKUP(C2144,' Disaggregation - Section E '!A$618:N1356,8,0)),"")</f>
        <v/>
      </c>
      <c r="J2144" s="493" t="str">
        <f ca="1">IFERROR(IF(VLOOKUP(C2144,' Disaggregation - Section E '!A$618:N2553,13,0)=0,"",VLOOKUP(C2144,' Disaggregation - Section E '!A$618:N2553,13,0)),"")</f>
        <v/>
      </c>
      <c r="K2144" s="487" t="str">
        <f ca="1">IFERROR(VLOOKUP(C2144,' Disaggregation - Section E '!A$618:N1356,3,0),"")</f>
        <v>TCS-1b⁽ᴹ⁾ Pourcentage d'adultes (15 ans et plus) sous TARV parmi tous les adultes vivant avec le VIH à la fin de la période de rapportage</v>
      </c>
      <c r="L2144" s="487"/>
      <c r="M2144" s="487" t="str">
        <f ca="1">IFERROR(IF(VLOOKUP(C2144,' Disaggregation - Section E '!A$618:T1356,20,0)=0,"",VLOOKUP(C2144,' Disaggregation - Section E '!A$618:T1356,20,0)),"")</f>
        <v>IDR-00981</v>
      </c>
      <c r="N2144" s="493" t="str">
        <f ca="1">IFERROR(IF(VLOOKUP(C2144,' Disaggregation - Section E '!A$618:N1356,14,0)=0,"",VLOOKUP(C2144,' Disaggregation - Section E '!A$618:N1356,14,0)),"")</f>
        <v/>
      </c>
      <c r="O2144" s="493" t="str">
        <f ca="1">IFERROR(IF(VLOOKUP(C2144,' Disaggregation - Section E '!A$618:N1356,9,0)=0,"",VLOOKUP(C2144,' Disaggregation - Section E '!A$618:N1356,9,0)),"")</f>
        <v/>
      </c>
      <c r="P2144" s="493" t="str">
        <f ca="1">IFERROR(IF(VLOOKUP(C2144,' Disaggregation - Section E '!A$618:N1356,10,0)=0,"",VLOOKUP(C2144,' Disaggregation - Section E '!A$618:N1356,10,0)),"")</f>
        <v/>
      </c>
    </row>
    <row r="2145" spans="1:16" x14ac:dyDescent="0.3">
      <c r="A2145" s="487" t="b">
        <f t="shared" ca="1" si="149"/>
        <v>0</v>
      </c>
      <c r="B2145" s="487"/>
      <c r="C2145" s="500" t="str">
        <f ca="1">IF(COUNTA(D$1410:D2145)=1,"",OFFSET(B2143,-COUNTA(D$1410:D2145)+3,1))</f>
        <v>a163p000002zQbWAAU</v>
      </c>
      <c r="D2145" s="502"/>
      <c r="E2145" s="490" t="str">
        <f ca="1">IFERROR(IF(VLOOKUP(C2145,' Disaggregation - Section E '!A$618:N1357,7,0)=0,"",VLOOKUP(C2145,' Disaggregation - Section E '!A$618:N1357,7,0)*100),"")</f>
        <v/>
      </c>
      <c r="F2145" s="493" t="str">
        <f ca="1">IFERROR(VLOOKUP(C2145,' Disaggregation - Section E '!A$618:N1357,5,0),"")</f>
        <v>Professionnels du sexe</v>
      </c>
      <c r="G2145" s="492" t="str">
        <f ca="1">IFERROR(IF(VLOOKUP(C2145,' Disaggregation - Section E '!A$618:N1357,6,0)=0,"",VLOOKUP(C2145,' Disaggregation - Section E '!A$618:N1357,6,0)),"")</f>
        <v/>
      </c>
      <c r="H2145" s="502" t="str">
        <f ca="1">IFERROR(IF(INDEX(' Disaggregation - Section E '!F$618:F2554,MATCH(C2145,' Disaggregation - Section E '!A$618:A2554,0)+1,1)&lt;&gt;0,INDEX(' Disaggregation - Section E '!F$618:F$1820,MATCH(C2145,' Disaggregation - Section E '!A$618:A2554,0)+1,1),""),"")</f>
        <v/>
      </c>
      <c r="I2145" s="493" t="str">
        <f ca="1">IFERROR(IF(VLOOKUP(C2145,' Disaggregation - Section E '!A$618:N1357,8,0)=0,"",VLOOKUP(C2145,' Disaggregation - Section E '!A$618:N1357,8,0)),"")</f>
        <v/>
      </c>
      <c r="J2145" s="493" t="str">
        <f ca="1">IFERROR(IF(VLOOKUP(C2145,' Disaggregation - Section E '!A$618:N2554,13,0)=0,"",VLOOKUP(C2145,' Disaggregation - Section E '!A$618:N2554,13,0)),"")</f>
        <v/>
      </c>
      <c r="K2145" s="487" t="str">
        <f ca="1">IFERROR(VLOOKUP(C2145,' Disaggregation - Section E '!A$618:N1357,3,0),"")</f>
        <v>TCS-1b⁽ᴹ⁾ Pourcentage d'adultes (15 ans et plus) sous TARV parmi tous les adultes vivant avec le VIH à la fin de la période de rapportage</v>
      </c>
      <c r="L2145" s="487"/>
      <c r="M2145" s="487" t="str">
        <f ca="1">IFERROR(IF(VLOOKUP(C2145,' Disaggregation - Section E '!A$618:T1357,20,0)=0,"",VLOOKUP(C2145,' Disaggregation - Section E '!A$618:T1357,20,0)),"")</f>
        <v>IDR-00982</v>
      </c>
      <c r="N2145" s="493" t="str">
        <f ca="1">IFERROR(IF(VLOOKUP(C2145,' Disaggregation - Section E '!A$618:N1357,14,0)=0,"",VLOOKUP(C2145,' Disaggregation - Section E '!A$618:N1357,14,0)),"")</f>
        <v/>
      </c>
      <c r="O2145" s="493" t="str">
        <f ca="1">IFERROR(IF(VLOOKUP(C2145,' Disaggregation - Section E '!A$618:N1357,9,0)=0,"",VLOOKUP(C2145,' Disaggregation - Section E '!A$618:N1357,9,0)),"")</f>
        <v/>
      </c>
      <c r="P2145" s="493" t="str">
        <f ca="1">IFERROR(IF(VLOOKUP(C2145,' Disaggregation - Section E '!A$618:N1357,10,0)=0,"",VLOOKUP(C2145,' Disaggregation - Section E '!A$618:N1357,10,0)),"")</f>
        <v/>
      </c>
    </row>
    <row r="2146" spans="1:16" x14ac:dyDescent="0.3">
      <c r="A2146" s="487" t="b">
        <f t="shared" ca="1" si="149"/>
        <v>0</v>
      </c>
      <c r="B2146" s="487"/>
      <c r="C2146" s="500" t="str">
        <f ca="1">IF(COUNTA(D$1410:D2146)=1,"",OFFSET(B2144,-COUNTA(D$1410:D2146)+3,1))</f>
        <v>a163p000002zQbXAAU</v>
      </c>
      <c r="D2146" s="502"/>
      <c r="E2146" s="490" t="str">
        <f ca="1">IFERROR(IF(VLOOKUP(C2146,' Disaggregation - Section E '!A$618:N1358,7,0)=0,"",VLOOKUP(C2146,' Disaggregation - Section E '!A$618:N1358,7,0)*100),"")</f>
        <v/>
      </c>
      <c r="F2146" s="493" t="str">
        <f ca="1">IFERROR(VLOOKUP(C2146,' Disaggregation - Section E '!A$618:N1358,5,0),"")</f>
        <v>Usagers de drogues injectables</v>
      </c>
      <c r="G2146" s="492" t="str">
        <f ca="1">IFERROR(IF(VLOOKUP(C2146,' Disaggregation - Section E '!A$618:N1358,6,0)=0,"",VLOOKUP(C2146,' Disaggregation - Section E '!A$618:N1358,6,0)),"")</f>
        <v/>
      </c>
      <c r="H2146" s="502" t="str">
        <f ca="1">IFERROR(IF(INDEX(' Disaggregation - Section E '!F$618:F2555,MATCH(C2146,' Disaggregation - Section E '!A$618:A2555,0)+1,1)&lt;&gt;0,INDEX(' Disaggregation - Section E '!F$618:F$1820,MATCH(C2146,' Disaggregation - Section E '!A$618:A2555,0)+1,1),""),"")</f>
        <v/>
      </c>
      <c r="I2146" s="493" t="str">
        <f ca="1">IFERROR(IF(VLOOKUP(C2146,' Disaggregation - Section E '!A$618:N1358,8,0)=0,"",VLOOKUP(C2146,' Disaggregation - Section E '!A$618:N1358,8,0)),"")</f>
        <v/>
      </c>
      <c r="J2146" s="493" t="str">
        <f ca="1">IFERROR(IF(VLOOKUP(C2146,' Disaggregation - Section E '!A$618:N2555,13,0)=0,"",VLOOKUP(C2146,' Disaggregation - Section E '!A$618:N2555,13,0)),"")</f>
        <v/>
      </c>
      <c r="K2146" s="487" t="str">
        <f ca="1">IFERROR(VLOOKUP(C2146,' Disaggregation - Section E '!A$618:N1358,3,0),"")</f>
        <v>TCS-1b⁽ᴹ⁾ Pourcentage d'adultes (15 ans et plus) sous TARV parmi tous les adultes vivant avec le VIH à la fin de la période de rapportage</v>
      </c>
      <c r="L2146" s="487"/>
      <c r="M2146" s="487" t="str">
        <f ca="1">IFERROR(IF(VLOOKUP(C2146,' Disaggregation - Section E '!A$618:T1358,20,0)=0,"",VLOOKUP(C2146,' Disaggregation - Section E '!A$618:T1358,20,0)),"")</f>
        <v>IDR-00983</v>
      </c>
      <c r="N2146" s="493" t="str">
        <f ca="1">IFERROR(IF(VLOOKUP(C2146,' Disaggregation - Section E '!A$618:N1358,14,0)=0,"",VLOOKUP(C2146,' Disaggregation - Section E '!A$618:N1358,14,0)),"")</f>
        <v/>
      </c>
      <c r="O2146" s="493" t="str">
        <f ca="1">IFERROR(IF(VLOOKUP(C2146,' Disaggregation - Section E '!A$618:N1358,9,0)=0,"",VLOOKUP(C2146,' Disaggregation - Section E '!A$618:N1358,9,0)),"")</f>
        <v/>
      </c>
      <c r="P2146" s="493" t="str">
        <f ca="1">IFERROR(IF(VLOOKUP(C2146,' Disaggregation - Section E '!A$618:N1358,10,0)=0,"",VLOOKUP(C2146,' Disaggregation - Section E '!A$618:N1358,10,0)),"")</f>
        <v/>
      </c>
    </row>
    <row r="2147" spans="1:16" x14ac:dyDescent="0.3">
      <c r="A2147" s="487" t="b">
        <f t="shared" ca="1" si="149"/>
        <v>0</v>
      </c>
      <c r="B2147" s="487"/>
      <c r="C2147" s="500" t="str">
        <f ca="1">IF(COUNTA(D$1410:D2147)=1,"",OFFSET(B2145,-COUNTA(D$1410:D2147)+3,1))</f>
        <v>a163p000002zQbYAAU</v>
      </c>
      <c r="D2147" s="502"/>
      <c r="E2147" s="490" t="str">
        <f ca="1">IFERROR(IF(VLOOKUP(C2147,' Disaggregation - Section E '!A$618:N1359,7,0)=0,"",VLOOKUP(C2147,' Disaggregation - Section E '!A$618:N1359,7,0)*100),"")</f>
        <v/>
      </c>
      <c r="F2147" s="493" t="str">
        <f ca="1">IFERROR(VLOOKUP(C2147,' Disaggregation - Section E '!A$618:N1359,5,0),"")</f>
        <v>Prisonniers</v>
      </c>
      <c r="G2147" s="492" t="str">
        <f ca="1">IFERROR(IF(VLOOKUP(C2147,' Disaggregation - Section E '!A$618:N1359,6,0)=0,"",VLOOKUP(C2147,' Disaggregation - Section E '!A$618:N1359,6,0)),"")</f>
        <v/>
      </c>
      <c r="H2147" s="502" t="str">
        <f ca="1">IFERROR(IF(INDEX(' Disaggregation - Section E '!F$618:F2556,MATCH(C2147,' Disaggregation - Section E '!A$618:A2556,0)+1,1)&lt;&gt;0,INDEX(' Disaggregation - Section E '!F$618:F$1820,MATCH(C2147,' Disaggregation - Section E '!A$618:A2556,0)+1,1),""),"")</f>
        <v/>
      </c>
      <c r="I2147" s="493" t="str">
        <f ca="1">IFERROR(IF(VLOOKUP(C2147,' Disaggregation - Section E '!A$618:N1359,8,0)=0,"",VLOOKUP(C2147,' Disaggregation - Section E '!A$618:N1359,8,0)),"")</f>
        <v/>
      </c>
      <c r="J2147" s="493" t="str">
        <f ca="1">IFERROR(IF(VLOOKUP(C2147,' Disaggregation - Section E '!A$618:N2556,13,0)=0,"",VLOOKUP(C2147,' Disaggregation - Section E '!A$618:N2556,13,0)),"")</f>
        <v/>
      </c>
      <c r="K2147" s="487" t="str">
        <f ca="1">IFERROR(VLOOKUP(C2147,' Disaggregation - Section E '!A$618:N1359,3,0),"")</f>
        <v>TCS-1b⁽ᴹ⁾ Pourcentage d'adultes (15 ans et plus) sous TARV parmi tous les adultes vivant avec le VIH à la fin de la période de rapportage</v>
      </c>
      <c r="L2147" s="487"/>
      <c r="M2147" s="487" t="str">
        <f ca="1">IFERROR(IF(VLOOKUP(C2147,' Disaggregation - Section E '!A$618:T1359,20,0)=0,"",VLOOKUP(C2147,' Disaggregation - Section E '!A$618:T1359,20,0)),"")</f>
        <v>IDR-00984</v>
      </c>
      <c r="N2147" s="493" t="str">
        <f ca="1">IFERROR(IF(VLOOKUP(C2147,' Disaggregation - Section E '!A$618:N1359,14,0)=0,"",VLOOKUP(C2147,' Disaggregation - Section E '!A$618:N1359,14,0)),"")</f>
        <v/>
      </c>
      <c r="O2147" s="493" t="str">
        <f ca="1">IFERROR(IF(VLOOKUP(C2147,' Disaggregation - Section E '!A$618:N1359,9,0)=0,"",VLOOKUP(C2147,' Disaggregation - Section E '!A$618:N1359,9,0)),"")</f>
        <v/>
      </c>
      <c r="P2147" s="493" t="str">
        <f ca="1">IFERROR(IF(VLOOKUP(C2147,' Disaggregation - Section E '!A$618:N1359,10,0)=0,"",VLOOKUP(C2147,' Disaggregation - Section E '!A$618:N1359,10,0)),"")</f>
        <v/>
      </c>
    </row>
    <row r="2148" spans="1:16" x14ac:dyDescent="0.3">
      <c r="A2148" s="487" t="b">
        <f t="shared" ca="1" si="149"/>
        <v>0</v>
      </c>
      <c r="B2148" s="487"/>
      <c r="C2148" s="500" t="str">
        <f ca="1">IF(COUNTA(D$1410:D2148)=1,"",OFFSET(B2146,-COUNTA(D$1410:D2148)+3,1))</f>
        <v>a163p000002zQbZAAU</v>
      </c>
      <c r="D2148" s="502"/>
      <c r="E2148" s="490" t="str">
        <f ca="1">IFERROR(IF(VLOOKUP(C2148,' Disaggregation - Section E '!A$618:N1360,7,0)=0,"",VLOOKUP(C2148,' Disaggregation - Section E '!A$618:N1360,7,0)*100),"")</f>
        <v/>
      </c>
      <c r="F2148" s="493" t="str">
        <f ca="1">IFERROR(VLOOKUP(C2148,' Disaggregation - Section E '!A$618:N1360,5,0),"")</f>
        <v/>
      </c>
      <c r="G2148" s="492" t="str">
        <f ca="1">IFERROR(IF(VLOOKUP(C2148,' Disaggregation - Section E '!A$618:N1360,6,0)=0,"",VLOOKUP(C2148,' Disaggregation - Section E '!A$618:N1360,6,0)),"")</f>
        <v/>
      </c>
      <c r="H2148" s="502" t="str">
        <f ca="1">IFERROR(IF(INDEX(' Disaggregation - Section E '!F$618:F2557,MATCH(C2148,' Disaggregation - Section E '!A$618:A2557,0)+1,1)&lt;&gt;0,INDEX(' Disaggregation - Section E '!F$618:F$1820,MATCH(C2148,' Disaggregation - Section E '!A$618:A2557,0)+1,1),""),"")</f>
        <v/>
      </c>
      <c r="I2148" s="493" t="str">
        <f ca="1">IFERROR(IF(VLOOKUP(C2148,' Disaggregation - Section E '!A$618:N1360,8,0)=0,"",VLOOKUP(C2148,' Disaggregation - Section E '!A$618:N1360,8,0)),"")</f>
        <v/>
      </c>
      <c r="J2148" s="493" t="str">
        <f ca="1">IFERROR(IF(VLOOKUP(C2148,' Disaggregation - Section E '!A$618:N2557,13,0)=0,"",VLOOKUP(C2148,' Disaggregation - Section E '!A$618:N2557,13,0)),"")</f>
        <v/>
      </c>
      <c r="K2148" s="487" t="str">
        <f ca="1">IFERROR(VLOOKUP(C2148,' Disaggregation - Section E '!A$618:N1360,3,0),"")</f>
        <v>TCS-1b⁽ᴹ⁾ Pourcentage d'adultes (15 ans et plus) sous TARV parmi tous les adultes vivant avec le VIH à la fin de la période de rapportage</v>
      </c>
      <c r="L2148" s="487"/>
      <c r="M2148" s="487" t="str">
        <f ca="1">IFERROR(IF(VLOOKUP(C2148,' Disaggregation - Section E '!A$618:T1360,20,0)=0,"",VLOOKUP(C2148,' Disaggregation - Section E '!A$618:T1360,20,0)),"")</f>
        <v/>
      </c>
      <c r="N2148" s="493" t="str">
        <f ca="1">IFERROR(IF(VLOOKUP(C2148,' Disaggregation - Section E '!A$618:N1360,14,0)=0,"",VLOOKUP(C2148,' Disaggregation - Section E '!A$618:N1360,14,0)),"")</f>
        <v/>
      </c>
      <c r="O2148" s="493" t="str">
        <f ca="1">IFERROR(IF(VLOOKUP(C2148,' Disaggregation - Section E '!A$618:N1360,9,0)=0,"",VLOOKUP(C2148,' Disaggregation - Section E '!A$618:N1360,9,0)),"")</f>
        <v/>
      </c>
      <c r="P2148" s="493" t="str">
        <f ca="1">IFERROR(IF(VLOOKUP(C2148,' Disaggregation - Section E '!A$618:N1360,10,0)=0,"",VLOOKUP(C2148,' Disaggregation - Section E '!A$618:N1360,10,0)),"")</f>
        <v/>
      </c>
    </row>
    <row r="2149" spans="1:16" x14ac:dyDescent="0.3">
      <c r="A2149" s="487" t="b">
        <f t="shared" ca="1" si="149"/>
        <v>0</v>
      </c>
      <c r="B2149" s="487"/>
      <c r="C2149" s="500" t="str">
        <f ca="1">IF(COUNTA(D$1410:D2149)=1,"",OFFSET(B2147,-COUNTA(D$1410:D2149)+3,1))</f>
        <v>a163p000002zQbaAAE</v>
      </c>
      <c r="D2149" s="502"/>
      <c r="E2149" s="490" t="str">
        <f ca="1">IFERROR(IF(VLOOKUP(C2149,' Disaggregation - Section E '!A$618:N1361,7,0)=0,"",VLOOKUP(C2149,' Disaggregation - Section E '!A$618:N1361,7,0)*100),"")</f>
        <v/>
      </c>
      <c r="F2149" s="493" t="str">
        <f ca="1">IFERROR(VLOOKUP(C2149,' Disaggregation - Section E '!A$618:N1361,5,0),"")</f>
        <v/>
      </c>
      <c r="G2149" s="492" t="str">
        <f ca="1">IFERROR(IF(VLOOKUP(C2149,' Disaggregation - Section E '!A$618:N1361,6,0)=0,"",VLOOKUP(C2149,' Disaggregation - Section E '!A$618:N1361,6,0)),"")</f>
        <v/>
      </c>
      <c r="H2149" s="502" t="str">
        <f ca="1">IFERROR(IF(INDEX(' Disaggregation - Section E '!F$618:F2558,MATCH(C2149,' Disaggregation - Section E '!A$618:A2558,0)+1,1)&lt;&gt;0,INDEX(' Disaggregation - Section E '!F$618:F$1820,MATCH(C2149,' Disaggregation - Section E '!A$618:A2558,0)+1,1),""),"")</f>
        <v/>
      </c>
      <c r="I2149" s="493" t="str">
        <f ca="1">IFERROR(IF(VLOOKUP(C2149,' Disaggregation - Section E '!A$618:N1361,8,0)=0,"",VLOOKUP(C2149,' Disaggregation - Section E '!A$618:N1361,8,0)),"")</f>
        <v/>
      </c>
      <c r="J2149" s="493" t="str">
        <f ca="1">IFERROR(IF(VLOOKUP(C2149,' Disaggregation - Section E '!A$618:N2558,13,0)=0,"",VLOOKUP(C2149,' Disaggregation - Section E '!A$618:N2558,13,0)),"")</f>
        <v/>
      </c>
      <c r="K2149" s="487" t="str">
        <f ca="1">IFERROR(VLOOKUP(C2149,' Disaggregation - Section E '!A$618:N1361,3,0),"")</f>
        <v>TCS-1b⁽ᴹ⁾ Pourcentage d'adultes (15 ans et plus) sous TARV parmi tous les adultes vivant avec le VIH à la fin de la période de rapportage</v>
      </c>
      <c r="L2149" s="487"/>
      <c r="M2149" s="487" t="str">
        <f ca="1">IFERROR(IF(VLOOKUP(C2149,' Disaggregation - Section E '!A$618:T1361,20,0)=0,"",VLOOKUP(C2149,' Disaggregation - Section E '!A$618:T1361,20,0)),"")</f>
        <v/>
      </c>
      <c r="N2149" s="493" t="str">
        <f ca="1">IFERROR(IF(VLOOKUP(C2149,' Disaggregation - Section E '!A$618:N1361,14,0)=0,"",VLOOKUP(C2149,' Disaggregation - Section E '!A$618:N1361,14,0)),"")</f>
        <v/>
      </c>
      <c r="O2149" s="493" t="str">
        <f ca="1">IFERROR(IF(VLOOKUP(C2149,' Disaggregation - Section E '!A$618:N1361,9,0)=0,"",VLOOKUP(C2149,' Disaggregation - Section E '!A$618:N1361,9,0)),"")</f>
        <v/>
      </c>
      <c r="P2149" s="493" t="str">
        <f ca="1">IFERROR(IF(VLOOKUP(C2149,' Disaggregation - Section E '!A$618:N1361,10,0)=0,"",VLOOKUP(C2149,' Disaggregation - Section E '!A$618:N1361,10,0)),"")</f>
        <v/>
      </c>
    </row>
    <row r="2150" spans="1:16" x14ac:dyDescent="0.3">
      <c r="A2150" s="487" t="b">
        <f t="shared" ca="1" si="149"/>
        <v>0</v>
      </c>
      <c r="B2150" s="487"/>
      <c r="C2150" s="500" t="str">
        <f ca="1">IF(COUNTA(D$1410:D2150)=1,"",OFFSET(B2148,-COUNTA(D$1410:D2150)+3,1))</f>
        <v>a163p000002zQbbAAE</v>
      </c>
      <c r="D2150" s="502"/>
      <c r="E2150" s="490" t="str">
        <f ca="1">IFERROR(IF(VLOOKUP(C2150,' Disaggregation - Section E '!A$618:N1362,7,0)=0,"",VLOOKUP(C2150,' Disaggregation - Section E '!A$618:N1362,7,0)*100),"")</f>
        <v/>
      </c>
      <c r="F2150" s="493" t="str">
        <f ca="1">IFERROR(VLOOKUP(C2150,' Disaggregation - Section E '!A$618:N1362,5,0),"")</f>
        <v/>
      </c>
      <c r="G2150" s="492" t="str">
        <f ca="1">IFERROR(IF(VLOOKUP(C2150,' Disaggregation - Section E '!A$618:N1362,6,0)=0,"",VLOOKUP(C2150,' Disaggregation - Section E '!A$618:N1362,6,0)),"")</f>
        <v/>
      </c>
      <c r="H2150" s="502" t="str">
        <f ca="1">IFERROR(IF(INDEX(' Disaggregation - Section E '!F$618:F2559,MATCH(C2150,' Disaggregation - Section E '!A$618:A2559,0)+1,1)&lt;&gt;0,INDEX(' Disaggregation - Section E '!F$618:F$1820,MATCH(C2150,' Disaggregation - Section E '!A$618:A2559,0)+1,1),""),"")</f>
        <v/>
      </c>
      <c r="I2150" s="493" t="str">
        <f ca="1">IFERROR(IF(VLOOKUP(C2150,' Disaggregation - Section E '!A$618:N1362,8,0)=0,"",VLOOKUP(C2150,' Disaggregation - Section E '!A$618:N1362,8,0)),"")</f>
        <v/>
      </c>
      <c r="J2150" s="493" t="str">
        <f ca="1">IFERROR(IF(VLOOKUP(C2150,' Disaggregation - Section E '!A$618:N2559,13,0)=0,"",VLOOKUP(C2150,' Disaggregation - Section E '!A$618:N2559,13,0)),"")</f>
        <v/>
      </c>
      <c r="K2150" s="487" t="str">
        <f ca="1">IFERROR(VLOOKUP(C2150,' Disaggregation - Section E '!A$618:N1362,3,0),"")</f>
        <v>TCS-1b⁽ᴹ⁾ Pourcentage d'adultes (15 ans et plus) sous TARV parmi tous les adultes vivant avec le VIH à la fin de la période de rapportage</v>
      </c>
      <c r="L2150" s="487"/>
      <c r="M2150" s="487" t="str">
        <f ca="1">IFERROR(IF(VLOOKUP(C2150,' Disaggregation - Section E '!A$618:T1362,20,0)=0,"",VLOOKUP(C2150,' Disaggregation - Section E '!A$618:T1362,20,0)),"")</f>
        <v/>
      </c>
      <c r="N2150" s="493" t="str">
        <f ca="1">IFERROR(IF(VLOOKUP(C2150,' Disaggregation - Section E '!A$618:N1362,14,0)=0,"",VLOOKUP(C2150,' Disaggregation - Section E '!A$618:N1362,14,0)),"")</f>
        <v/>
      </c>
      <c r="O2150" s="493" t="str">
        <f ca="1">IFERROR(IF(VLOOKUP(C2150,' Disaggregation - Section E '!A$618:N1362,9,0)=0,"",VLOOKUP(C2150,' Disaggregation - Section E '!A$618:N1362,9,0)),"")</f>
        <v/>
      </c>
      <c r="P2150" s="493" t="str">
        <f ca="1">IFERROR(IF(VLOOKUP(C2150,' Disaggregation - Section E '!A$618:N1362,10,0)=0,"",VLOOKUP(C2150,' Disaggregation - Section E '!A$618:N1362,10,0)),"")</f>
        <v/>
      </c>
    </row>
    <row r="2151" spans="1:16" x14ac:dyDescent="0.3">
      <c r="A2151" s="487" t="b">
        <f t="shared" ca="1" si="149"/>
        <v>0</v>
      </c>
      <c r="B2151" s="487"/>
      <c r="C2151" s="500" t="str">
        <f ca="1">IF(COUNTA(D$1410:D2151)=1,"",OFFSET(B2149,-COUNTA(D$1410:D2151)+3,1))</f>
        <v>a163p000002zQbcAAE</v>
      </c>
      <c r="D2151" s="502"/>
      <c r="E2151" s="490" t="str">
        <f ca="1">IFERROR(IF(VLOOKUP(C2151,' Disaggregation - Section E '!A$618:N1363,7,0)=0,"",VLOOKUP(C2151,' Disaggregation - Section E '!A$618:N1363,7,0)*100),"")</f>
        <v/>
      </c>
      <c r="F2151" s="493" t="str">
        <f ca="1">IFERROR(VLOOKUP(C2151,' Disaggregation - Section E '!A$618:N1363,5,0),"")</f>
        <v/>
      </c>
      <c r="G2151" s="492" t="str">
        <f ca="1">IFERROR(IF(VLOOKUP(C2151,' Disaggregation - Section E '!A$618:N1363,6,0)=0,"",VLOOKUP(C2151,' Disaggregation - Section E '!A$618:N1363,6,0)),"")</f>
        <v/>
      </c>
      <c r="H2151" s="502" t="str">
        <f ca="1">IFERROR(IF(INDEX(' Disaggregation - Section E '!F$618:F2560,MATCH(C2151,' Disaggregation - Section E '!A$618:A2560,0)+1,1)&lt;&gt;0,INDEX(' Disaggregation - Section E '!F$618:F$1820,MATCH(C2151,' Disaggregation - Section E '!A$618:A2560,0)+1,1),""),"")</f>
        <v/>
      </c>
      <c r="I2151" s="493" t="str">
        <f ca="1">IFERROR(IF(VLOOKUP(C2151,' Disaggregation - Section E '!A$618:N1363,8,0)=0,"",VLOOKUP(C2151,' Disaggregation - Section E '!A$618:N1363,8,0)),"")</f>
        <v/>
      </c>
      <c r="J2151" s="493" t="str">
        <f ca="1">IFERROR(IF(VLOOKUP(C2151,' Disaggregation - Section E '!A$618:N2560,13,0)=0,"",VLOOKUP(C2151,' Disaggregation - Section E '!A$618:N2560,13,0)),"")</f>
        <v/>
      </c>
      <c r="K2151" s="487" t="str">
        <f ca="1">IFERROR(VLOOKUP(C2151,' Disaggregation - Section E '!A$618:N1363,3,0),"")</f>
        <v>TCS-1b⁽ᴹ⁾ Pourcentage d'adultes (15 ans et plus) sous TARV parmi tous les adultes vivant avec le VIH à la fin de la période de rapportage</v>
      </c>
      <c r="L2151" s="487"/>
      <c r="M2151" s="487" t="str">
        <f ca="1">IFERROR(IF(VLOOKUP(C2151,' Disaggregation - Section E '!A$618:T1363,20,0)=0,"",VLOOKUP(C2151,' Disaggregation - Section E '!A$618:T1363,20,0)),"")</f>
        <v/>
      </c>
      <c r="N2151" s="493" t="str">
        <f ca="1">IFERROR(IF(VLOOKUP(C2151,' Disaggregation - Section E '!A$618:N1363,14,0)=0,"",VLOOKUP(C2151,' Disaggregation - Section E '!A$618:N1363,14,0)),"")</f>
        <v/>
      </c>
      <c r="O2151" s="493" t="str">
        <f ca="1">IFERROR(IF(VLOOKUP(C2151,' Disaggregation - Section E '!A$618:N1363,9,0)=0,"",VLOOKUP(C2151,' Disaggregation - Section E '!A$618:N1363,9,0)),"")</f>
        <v/>
      </c>
      <c r="P2151" s="493" t="str">
        <f ca="1">IFERROR(IF(VLOOKUP(C2151,' Disaggregation - Section E '!A$618:N1363,10,0)=0,"",VLOOKUP(C2151,' Disaggregation - Section E '!A$618:N1363,10,0)),"")</f>
        <v/>
      </c>
    </row>
    <row r="2152" spans="1:16" x14ac:dyDescent="0.3">
      <c r="A2152" s="487" t="b">
        <f t="shared" ca="1" si="149"/>
        <v>0</v>
      </c>
      <c r="B2152" s="487"/>
      <c r="C2152" s="500" t="str">
        <f ca="1">IF(COUNTA(D$1410:D2152)=1,"",OFFSET(B2150,-COUNTA(D$1410:D2152)+3,1))</f>
        <v>a163p000002zQbdAAE</v>
      </c>
      <c r="D2152" s="502"/>
      <c r="E2152" s="490" t="str">
        <f ca="1">IFERROR(IF(VLOOKUP(C2152,' Disaggregation - Section E '!A$618:N1364,7,0)=0,"",VLOOKUP(C2152,' Disaggregation - Section E '!A$618:N1364,7,0)*100),"")</f>
        <v/>
      </c>
      <c r="F2152" s="493" t="str">
        <f ca="1">IFERROR(VLOOKUP(C2152,' Disaggregation - Section E '!A$618:N1364,5,0),"")</f>
        <v>Ayant récemment commencé un traitement antirétroviral</v>
      </c>
      <c r="G2152" s="492" t="str">
        <f ca="1">IFERROR(IF(VLOOKUP(C2152,' Disaggregation - Section E '!A$618:N1364,6,0)=0,"",VLOOKUP(C2152,' Disaggregation - Section E '!A$618:N1364,6,0)),"")</f>
        <v/>
      </c>
      <c r="H2152" s="502" t="str">
        <f ca="1">IFERROR(IF(INDEX(' Disaggregation - Section E '!F$618:F2561,MATCH(C2152,' Disaggregation - Section E '!A$618:A2561,0)+1,1)&lt;&gt;0,INDEX(' Disaggregation - Section E '!F$618:F$1820,MATCH(C2152,' Disaggregation - Section E '!A$618:A2561,0)+1,1),""),"")</f>
        <v/>
      </c>
      <c r="I2152" s="493" t="str">
        <f ca="1">IFERROR(IF(VLOOKUP(C2152,' Disaggregation - Section E '!A$618:N1364,8,0)=0,"",VLOOKUP(C2152,' Disaggregation - Section E '!A$618:N1364,8,0)),"")</f>
        <v/>
      </c>
      <c r="J2152" s="493" t="str">
        <f ca="1">IFERROR(IF(VLOOKUP(C2152,' Disaggregation - Section E '!A$618:N2561,13,0)=0,"",VLOOKUP(C2152,' Disaggregation - Section E '!A$618:N2561,13,0)),"")</f>
        <v/>
      </c>
      <c r="K2152" s="487" t="str">
        <f ca="1">IFERROR(VLOOKUP(C2152,' Disaggregation - Section E '!A$618:N1364,3,0),"")</f>
        <v>TCS-1c⁽ᴹ⁾ Pourcentage d'enfants (de moins de 15 ans) sous TARV parmi tous les enfants vivant avec le VIH à la fin de la période de rapportage</v>
      </c>
      <c r="L2152" s="487"/>
      <c r="M2152" s="487" t="str">
        <f ca="1">IFERROR(IF(VLOOKUP(C2152,' Disaggregation - Section E '!A$618:T1364,20,0)=0,"",VLOOKUP(C2152,' Disaggregation - Section E '!A$618:T1364,20,0)),"")</f>
        <v>IDR-00906</v>
      </c>
      <c r="N2152" s="493" t="str">
        <f ca="1">IFERROR(IF(VLOOKUP(C2152,' Disaggregation - Section E '!A$618:N1364,14,0)=0,"",VLOOKUP(C2152,' Disaggregation - Section E '!A$618:N1364,14,0)),"")</f>
        <v/>
      </c>
      <c r="O2152" s="493" t="str">
        <f ca="1">IFERROR(IF(VLOOKUP(C2152,' Disaggregation - Section E '!A$618:N1364,9,0)=0,"",VLOOKUP(C2152,' Disaggregation - Section E '!A$618:N1364,9,0)),"")</f>
        <v/>
      </c>
      <c r="P2152" s="493" t="str">
        <f ca="1">IFERROR(IF(VLOOKUP(C2152,' Disaggregation - Section E '!A$618:N1364,10,0)=0,"",VLOOKUP(C2152,' Disaggregation - Section E '!A$618:N1364,10,0)),"")</f>
        <v/>
      </c>
    </row>
    <row r="2153" spans="1:16" x14ac:dyDescent="0.3">
      <c r="A2153" s="487" t="b">
        <f t="shared" ca="1" si="149"/>
        <v>0</v>
      </c>
      <c r="B2153" s="487"/>
      <c r="C2153" s="500" t="str">
        <f ca="1">IF(COUNTA(D$1410:D2153)=1,"",OFFSET(B2151,-COUNTA(D$1410:D2153)+3,1))</f>
        <v>a163p000002zQbeAAE</v>
      </c>
      <c r="D2153" s="502"/>
      <c r="E2153" s="490" t="str">
        <f ca="1">IFERROR(IF(VLOOKUP(C2153,' Disaggregation - Section E '!A$618:N1365,7,0)=0,"",VLOOKUP(C2153,' Disaggregation - Section E '!A$618:N1365,7,0)*100),"")</f>
        <v/>
      </c>
      <c r="F2153" s="493" t="str">
        <f ca="1">IFERROR(VLOOKUP(C2153,' Disaggregation - Section E '!A$618:N1365,5,0),"")</f>
        <v>Homme</v>
      </c>
      <c r="G2153" s="492" t="str">
        <f ca="1">IFERROR(IF(VLOOKUP(C2153,' Disaggregation - Section E '!A$618:N1365,6,0)=0,"",VLOOKUP(C2153,' Disaggregation - Section E '!A$618:N1365,6,0)),"")</f>
        <v/>
      </c>
      <c r="H2153" s="502" t="str">
        <f ca="1">IFERROR(IF(INDEX(' Disaggregation - Section E '!F$618:F2562,MATCH(C2153,' Disaggregation - Section E '!A$618:A2562,0)+1,1)&lt;&gt;0,INDEX(' Disaggregation - Section E '!F$618:F$1820,MATCH(C2153,' Disaggregation - Section E '!A$618:A2562,0)+1,1),""),"")</f>
        <v/>
      </c>
      <c r="I2153" s="493" t="str">
        <f ca="1">IFERROR(IF(VLOOKUP(C2153,' Disaggregation - Section E '!A$618:N1365,8,0)=0,"",VLOOKUP(C2153,' Disaggregation - Section E '!A$618:N1365,8,0)),"")</f>
        <v/>
      </c>
      <c r="J2153" s="493" t="str">
        <f ca="1">IFERROR(IF(VLOOKUP(C2153,' Disaggregation - Section E '!A$618:N2562,13,0)=0,"",VLOOKUP(C2153,' Disaggregation - Section E '!A$618:N2562,13,0)),"")</f>
        <v/>
      </c>
      <c r="K2153" s="487" t="str">
        <f ca="1">IFERROR(VLOOKUP(C2153,' Disaggregation - Section E '!A$618:N1365,3,0),"")</f>
        <v>TCS-1c⁽ᴹ⁾ Pourcentage d'enfants (de moins de 15 ans) sous TARV parmi tous les enfants vivant avec le VIH à la fin de la période de rapportage</v>
      </c>
      <c r="L2153" s="487"/>
      <c r="M2153" s="487" t="str">
        <f ca="1">IFERROR(IF(VLOOKUP(C2153,' Disaggregation - Section E '!A$618:T1365,20,0)=0,"",VLOOKUP(C2153,' Disaggregation - Section E '!A$618:T1365,20,0)),"")</f>
        <v>IDR-00850</v>
      </c>
      <c r="N2153" s="493" t="str">
        <f ca="1">IFERROR(IF(VLOOKUP(C2153,' Disaggregation - Section E '!A$618:N1365,14,0)=0,"",VLOOKUP(C2153,' Disaggregation - Section E '!A$618:N1365,14,0)),"")</f>
        <v/>
      </c>
      <c r="O2153" s="493" t="str">
        <f ca="1">IFERROR(IF(VLOOKUP(C2153,' Disaggregation - Section E '!A$618:N1365,9,0)=0,"",VLOOKUP(C2153,' Disaggregation - Section E '!A$618:N1365,9,0)),"")</f>
        <v/>
      </c>
      <c r="P2153" s="493" t="str">
        <f ca="1">IFERROR(IF(VLOOKUP(C2153,' Disaggregation - Section E '!A$618:N1365,10,0)=0,"",VLOOKUP(C2153,' Disaggregation - Section E '!A$618:N1365,10,0)),"")</f>
        <v/>
      </c>
    </row>
    <row r="2154" spans="1:16" x14ac:dyDescent="0.3">
      <c r="A2154" s="487" t="b">
        <f t="shared" ca="1" si="149"/>
        <v>0</v>
      </c>
      <c r="B2154" s="487"/>
      <c r="C2154" s="500" t="str">
        <f ca="1">IF(COUNTA(D$1410:D2154)=1,"",OFFSET(B2152,-COUNTA(D$1410:D2154)+3,1))</f>
        <v>a163p000002zQbfAAE</v>
      </c>
      <c r="D2154" s="502"/>
      <c r="E2154" s="490" t="str">
        <f ca="1">IFERROR(IF(VLOOKUP(C2154,' Disaggregation - Section E '!A$618:N1366,7,0)=0,"",VLOOKUP(C2154,' Disaggregation - Section E '!A$618:N1366,7,0)*100),"")</f>
        <v/>
      </c>
      <c r="F2154" s="493" t="str">
        <f ca="1">IFERROR(VLOOKUP(C2154,' Disaggregation - Section E '!A$618:N1366,5,0),"")</f>
        <v>Femme</v>
      </c>
      <c r="G2154" s="492" t="str">
        <f ca="1">IFERROR(IF(VLOOKUP(C2154,' Disaggregation - Section E '!A$618:N1366,6,0)=0,"",VLOOKUP(C2154,' Disaggregation - Section E '!A$618:N1366,6,0)),"")</f>
        <v/>
      </c>
      <c r="H2154" s="502" t="str">
        <f ca="1">IFERROR(IF(INDEX(' Disaggregation - Section E '!F$618:F2563,MATCH(C2154,' Disaggregation - Section E '!A$618:A2563,0)+1,1)&lt;&gt;0,INDEX(' Disaggregation - Section E '!F$618:F$1820,MATCH(C2154,' Disaggregation - Section E '!A$618:A2563,0)+1,1),""),"")</f>
        <v/>
      </c>
      <c r="I2154" s="493" t="str">
        <f ca="1">IFERROR(IF(VLOOKUP(C2154,' Disaggregation - Section E '!A$618:N1366,8,0)=0,"",VLOOKUP(C2154,' Disaggregation - Section E '!A$618:N1366,8,0)),"")</f>
        <v/>
      </c>
      <c r="J2154" s="493" t="str">
        <f ca="1">IFERROR(IF(VLOOKUP(C2154,' Disaggregation - Section E '!A$618:N2563,13,0)=0,"",VLOOKUP(C2154,' Disaggregation - Section E '!A$618:N2563,13,0)),"")</f>
        <v/>
      </c>
      <c r="K2154" s="487" t="str">
        <f ca="1">IFERROR(VLOOKUP(C2154,' Disaggregation - Section E '!A$618:N1366,3,0),"")</f>
        <v>TCS-1c⁽ᴹ⁾ Pourcentage d'enfants (de moins de 15 ans) sous TARV parmi tous les enfants vivant avec le VIH à la fin de la période de rapportage</v>
      </c>
      <c r="L2154" s="487"/>
      <c r="M2154" s="487" t="str">
        <f ca="1">IFERROR(IF(VLOOKUP(C2154,' Disaggregation - Section E '!A$618:T1366,20,0)=0,"",VLOOKUP(C2154,' Disaggregation - Section E '!A$618:T1366,20,0)),"")</f>
        <v>IDR-00851</v>
      </c>
      <c r="N2154" s="493" t="str">
        <f ca="1">IFERROR(IF(VLOOKUP(C2154,' Disaggregation - Section E '!A$618:N1366,14,0)=0,"",VLOOKUP(C2154,' Disaggregation - Section E '!A$618:N1366,14,0)),"")</f>
        <v/>
      </c>
      <c r="O2154" s="493" t="str">
        <f ca="1">IFERROR(IF(VLOOKUP(C2154,' Disaggregation - Section E '!A$618:N1366,9,0)=0,"",VLOOKUP(C2154,' Disaggregation - Section E '!A$618:N1366,9,0)),"")</f>
        <v/>
      </c>
      <c r="P2154" s="493" t="str">
        <f ca="1">IFERROR(IF(VLOOKUP(C2154,' Disaggregation - Section E '!A$618:N1366,10,0)=0,"",VLOOKUP(C2154,' Disaggregation - Section E '!A$618:N1366,10,0)),"")</f>
        <v/>
      </c>
    </row>
    <row r="2155" spans="1:16" x14ac:dyDescent="0.3">
      <c r="A2155" s="487" t="b">
        <f t="shared" ca="1" si="149"/>
        <v>0</v>
      </c>
      <c r="B2155" s="487"/>
      <c r="C2155" s="500" t="str">
        <f ca="1">IF(COUNTA(D$1410:D2155)=1,"",OFFSET(B2153,-COUNTA(D$1410:D2155)+3,1))</f>
        <v>a163p000002zQbgAAE</v>
      </c>
      <c r="D2155" s="502"/>
      <c r="E2155" s="490" t="str">
        <f ca="1">IFERROR(IF(VLOOKUP(C2155,' Disaggregation - Section E '!A$618:N1367,7,0)=0,"",VLOOKUP(C2155,' Disaggregation - Section E '!A$618:N1367,7,0)*100),"")</f>
        <v/>
      </c>
      <c r="F2155" s="493" t="str">
        <f ca="1">IFERROR(VLOOKUP(C2155,' Disaggregation - Section E '!A$618:N1367,5,0),"")</f>
        <v/>
      </c>
      <c r="G2155" s="492" t="str">
        <f ca="1">IFERROR(IF(VLOOKUP(C2155,' Disaggregation - Section E '!A$618:N1367,6,0)=0,"",VLOOKUP(C2155,' Disaggregation - Section E '!A$618:N1367,6,0)),"")</f>
        <v/>
      </c>
      <c r="H2155" s="502" t="str">
        <f ca="1">IFERROR(IF(INDEX(' Disaggregation - Section E '!F$618:F2564,MATCH(C2155,' Disaggregation - Section E '!A$618:A2564,0)+1,1)&lt;&gt;0,INDEX(' Disaggregation - Section E '!F$618:F$1820,MATCH(C2155,' Disaggregation - Section E '!A$618:A2564,0)+1,1),""),"")</f>
        <v/>
      </c>
      <c r="I2155" s="493" t="str">
        <f ca="1">IFERROR(IF(VLOOKUP(C2155,' Disaggregation - Section E '!A$618:N1367,8,0)=0,"",VLOOKUP(C2155,' Disaggregation - Section E '!A$618:N1367,8,0)),"")</f>
        <v/>
      </c>
      <c r="J2155" s="493" t="str">
        <f ca="1">IFERROR(IF(VLOOKUP(C2155,' Disaggregation - Section E '!A$618:N2564,13,0)=0,"",VLOOKUP(C2155,' Disaggregation - Section E '!A$618:N2564,13,0)),"")</f>
        <v/>
      </c>
      <c r="K2155" s="487" t="str">
        <f ca="1">IFERROR(VLOOKUP(C2155,' Disaggregation - Section E '!A$618:N1367,3,0),"")</f>
        <v>TCS-1c⁽ᴹ⁾ Pourcentage d'enfants (de moins de 15 ans) sous TARV parmi tous les enfants vivant avec le VIH à la fin de la période de rapportage</v>
      </c>
      <c r="L2155" s="487"/>
      <c r="M2155" s="487" t="str">
        <f ca="1">IFERROR(IF(VLOOKUP(C2155,' Disaggregation - Section E '!A$618:T1367,20,0)=0,"",VLOOKUP(C2155,' Disaggregation - Section E '!A$618:T1367,20,0)),"")</f>
        <v/>
      </c>
      <c r="N2155" s="493" t="str">
        <f ca="1">IFERROR(IF(VLOOKUP(C2155,' Disaggregation - Section E '!A$618:N1367,14,0)=0,"",VLOOKUP(C2155,' Disaggregation - Section E '!A$618:N1367,14,0)),"")</f>
        <v/>
      </c>
      <c r="O2155" s="493" t="str">
        <f ca="1">IFERROR(IF(VLOOKUP(C2155,' Disaggregation - Section E '!A$618:N1367,9,0)=0,"",VLOOKUP(C2155,' Disaggregation - Section E '!A$618:N1367,9,0)),"")</f>
        <v/>
      </c>
      <c r="P2155" s="493" t="str">
        <f ca="1">IFERROR(IF(VLOOKUP(C2155,' Disaggregation - Section E '!A$618:N1367,10,0)=0,"",VLOOKUP(C2155,' Disaggregation - Section E '!A$618:N1367,10,0)),"")</f>
        <v/>
      </c>
    </row>
    <row r="2156" spans="1:16" x14ac:dyDescent="0.3">
      <c r="A2156" s="487" t="b">
        <f t="shared" ca="1" si="149"/>
        <v>0</v>
      </c>
      <c r="B2156" s="487"/>
      <c r="C2156" s="500" t="str">
        <f ca="1">IF(COUNTA(D$1410:D2156)=1,"",OFFSET(B2154,-COUNTA(D$1410:D2156)+3,1))</f>
        <v>a163p000002zQbhAAE</v>
      </c>
      <c r="D2156" s="502"/>
      <c r="E2156" s="490" t="str">
        <f ca="1">IFERROR(IF(VLOOKUP(C2156,' Disaggregation - Section E '!A$618:N1368,7,0)=0,"",VLOOKUP(C2156,' Disaggregation - Section E '!A$618:N1368,7,0)*100),"")</f>
        <v/>
      </c>
      <c r="F2156" s="493" t="str">
        <f ca="1">IFERROR(VLOOKUP(C2156,' Disaggregation - Section E '!A$618:N1368,5,0),"")</f>
        <v/>
      </c>
      <c r="G2156" s="492" t="str">
        <f ca="1">IFERROR(IF(VLOOKUP(C2156,' Disaggregation - Section E '!A$618:N1368,6,0)=0,"",VLOOKUP(C2156,' Disaggregation - Section E '!A$618:N1368,6,0)),"")</f>
        <v/>
      </c>
      <c r="H2156" s="502" t="str">
        <f ca="1">IFERROR(IF(INDEX(' Disaggregation - Section E '!F$618:F2565,MATCH(C2156,' Disaggregation - Section E '!A$618:A2565,0)+1,1)&lt;&gt;0,INDEX(' Disaggregation - Section E '!F$618:F$1820,MATCH(C2156,' Disaggregation - Section E '!A$618:A2565,0)+1,1),""),"")</f>
        <v/>
      </c>
      <c r="I2156" s="493" t="str">
        <f ca="1">IFERROR(IF(VLOOKUP(C2156,' Disaggregation - Section E '!A$618:N1368,8,0)=0,"",VLOOKUP(C2156,' Disaggregation - Section E '!A$618:N1368,8,0)),"")</f>
        <v/>
      </c>
      <c r="J2156" s="493" t="str">
        <f ca="1">IFERROR(IF(VLOOKUP(C2156,' Disaggregation - Section E '!A$618:N2565,13,0)=0,"",VLOOKUP(C2156,' Disaggregation - Section E '!A$618:N2565,13,0)),"")</f>
        <v/>
      </c>
      <c r="K2156" s="487" t="str">
        <f ca="1">IFERROR(VLOOKUP(C2156,' Disaggregation - Section E '!A$618:N1368,3,0),"")</f>
        <v>TCS-1c⁽ᴹ⁾ Pourcentage d'enfants (de moins de 15 ans) sous TARV parmi tous les enfants vivant avec le VIH à la fin de la période de rapportage</v>
      </c>
      <c r="L2156" s="487"/>
      <c r="M2156" s="487" t="str">
        <f ca="1">IFERROR(IF(VLOOKUP(C2156,' Disaggregation - Section E '!A$618:T1368,20,0)=0,"",VLOOKUP(C2156,' Disaggregation - Section E '!A$618:T1368,20,0)),"")</f>
        <v/>
      </c>
      <c r="N2156" s="493" t="str">
        <f ca="1">IFERROR(IF(VLOOKUP(C2156,' Disaggregation - Section E '!A$618:N1368,14,0)=0,"",VLOOKUP(C2156,' Disaggregation - Section E '!A$618:N1368,14,0)),"")</f>
        <v/>
      </c>
      <c r="O2156" s="493" t="str">
        <f ca="1">IFERROR(IF(VLOOKUP(C2156,' Disaggregation - Section E '!A$618:N1368,9,0)=0,"",VLOOKUP(C2156,' Disaggregation - Section E '!A$618:N1368,9,0)),"")</f>
        <v/>
      </c>
      <c r="P2156" s="493" t="str">
        <f ca="1">IFERROR(IF(VLOOKUP(C2156,' Disaggregation - Section E '!A$618:N1368,10,0)=0,"",VLOOKUP(C2156,' Disaggregation - Section E '!A$618:N1368,10,0)),"")</f>
        <v/>
      </c>
    </row>
    <row r="2157" spans="1:16" x14ac:dyDescent="0.3">
      <c r="A2157" s="487" t="b">
        <f t="shared" ca="1" si="149"/>
        <v>0</v>
      </c>
      <c r="B2157" s="487"/>
      <c r="C2157" s="500" t="str">
        <f ca="1">IF(COUNTA(D$1410:D2157)=1,"",OFFSET(B2155,-COUNTA(D$1410:D2157)+3,1))</f>
        <v>a163p000002zQbiAAE</v>
      </c>
      <c r="D2157" s="502"/>
      <c r="E2157" s="490" t="str">
        <f ca="1">IFERROR(IF(VLOOKUP(C2157,' Disaggregation - Section E '!A$618:N1369,7,0)=0,"",VLOOKUP(C2157,' Disaggregation - Section E '!A$618:N1369,7,0)*100),"")</f>
        <v/>
      </c>
      <c r="F2157" s="493" t="str">
        <f ca="1">IFERROR(VLOOKUP(C2157,' Disaggregation - Section E '!A$618:N1369,5,0),"")</f>
        <v/>
      </c>
      <c r="G2157" s="492" t="str">
        <f ca="1">IFERROR(IF(VLOOKUP(C2157,' Disaggregation - Section E '!A$618:N1369,6,0)=0,"",VLOOKUP(C2157,' Disaggregation - Section E '!A$618:N1369,6,0)),"")</f>
        <v/>
      </c>
      <c r="H2157" s="502" t="str">
        <f ca="1">IFERROR(IF(INDEX(' Disaggregation - Section E '!F$618:F2566,MATCH(C2157,' Disaggregation - Section E '!A$618:A2566,0)+1,1)&lt;&gt;0,INDEX(' Disaggregation - Section E '!F$618:F$1820,MATCH(C2157,' Disaggregation - Section E '!A$618:A2566,0)+1,1),""),"")</f>
        <v/>
      </c>
      <c r="I2157" s="493" t="str">
        <f ca="1">IFERROR(IF(VLOOKUP(C2157,' Disaggregation - Section E '!A$618:N1369,8,0)=0,"",VLOOKUP(C2157,' Disaggregation - Section E '!A$618:N1369,8,0)),"")</f>
        <v/>
      </c>
      <c r="J2157" s="493" t="str">
        <f ca="1">IFERROR(IF(VLOOKUP(C2157,' Disaggregation - Section E '!A$618:N2566,13,0)=0,"",VLOOKUP(C2157,' Disaggregation - Section E '!A$618:N2566,13,0)),"")</f>
        <v/>
      </c>
      <c r="K2157" s="487" t="str">
        <f ca="1">IFERROR(VLOOKUP(C2157,' Disaggregation - Section E '!A$618:N1369,3,0),"")</f>
        <v>TCS-1c⁽ᴹ⁾ Pourcentage d'enfants (de moins de 15 ans) sous TARV parmi tous les enfants vivant avec le VIH à la fin de la période de rapportage</v>
      </c>
      <c r="L2157" s="487"/>
      <c r="M2157" s="487" t="str">
        <f ca="1">IFERROR(IF(VLOOKUP(C2157,' Disaggregation - Section E '!A$618:T1369,20,0)=0,"",VLOOKUP(C2157,' Disaggregation - Section E '!A$618:T1369,20,0)),"")</f>
        <v/>
      </c>
      <c r="N2157" s="493" t="str">
        <f ca="1">IFERROR(IF(VLOOKUP(C2157,' Disaggregation - Section E '!A$618:N1369,14,0)=0,"",VLOOKUP(C2157,' Disaggregation - Section E '!A$618:N1369,14,0)),"")</f>
        <v/>
      </c>
      <c r="O2157" s="493" t="str">
        <f ca="1">IFERROR(IF(VLOOKUP(C2157,' Disaggregation - Section E '!A$618:N1369,9,0)=0,"",VLOOKUP(C2157,' Disaggregation - Section E '!A$618:N1369,9,0)),"")</f>
        <v/>
      </c>
      <c r="P2157" s="493" t="str">
        <f ca="1">IFERROR(IF(VLOOKUP(C2157,' Disaggregation - Section E '!A$618:N1369,10,0)=0,"",VLOOKUP(C2157,' Disaggregation - Section E '!A$618:N1369,10,0)),"")</f>
        <v/>
      </c>
    </row>
    <row r="2158" spans="1:16" x14ac:dyDescent="0.3">
      <c r="A2158" s="487" t="b">
        <f t="shared" ca="1" si="149"/>
        <v>0</v>
      </c>
      <c r="B2158" s="487"/>
      <c r="C2158" s="500" t="str">
        <f ca="1">IF(COUNTA(D$1410:D2158)=1,"",OFFSET(B2156,-COUNTA(D$1410:D2158)+3,1))</f>
        <v>a163p000002zQbjAAE</v>
      </c>
      <c r="D2158" s="502"/>
      <c r="E2158" s="490" t="str">
        <f ca="1">IFERROR(IF(VLOOKUP(C2158,' Disaggregation - Section E '!A$618:N1370,7,0)=0,"",VLOOKUP(C2158,' Disaggregation - Section E '!A$618:N1370,7,0)*100),"")</f>
        <v/>
      </c>
      <c r="F2158" s="493" t="str">
        <f ca="1">IFERROR(VLOOKUP(C2158,' Disaggregation - Section E '!A$618:N1370,5,0),"")</f>
        <v/>
      </c>
      <c r="G2158" s="492" t="str">
        <f ca="1">IFERROR(IF(VLOOKUP(C2158,' Disaggregation - Section E '!A$618:N1370,6,0)=0,"",VLOOKUP(C2158,' Disaggregation - Section E '!A$618:N1370,6,0)),"")</f>
        <v/>
      </c>
      <c r="H2158" s="502" t="str">
        <f ca="1">IFERROR(IF(INDEX(' Disaggregation - Section E '!F$618:F2567,MATCH(C2158,' Disaggregation - Section E '!A$618:A2567,0)+1,1)&lt;&gt;0,INDEX(' Disaggregation - Section E '!F$618:F$1820,MATCH(C2158,' Disaggregation - Section E '!A$618:A2567,0)+1,1),""),"")</f>
        <v/>
      </c>
      <c r="I2158" s="493" t="str">
        <f ca="1">IFERROR(IF(VLOOKUP(C2158,' Disaggregation - Section E '!A$618:N1370,8,0)=0,"",VLOOKUP(C2158,' Disaggregation - Section E '!A$618:N1370,8,0)),"")</f>
        <v/>
      </c>
      <c r="J2158" s="493" t="str">
        <f ca="1">IFERROR(IF(VLOOKUP(C2158,' Disaggregation - Section E '!A$618:N2567,13,0)=0,"",VLOOKUP(C2158,' Disaggregation - Section E '!A$618:N2567,13,0)),"")</f>
        <v/>
      </c>
      <c r="K2158" s="487" t="str">
        <f ca="1">IFERROR(VLOOKUP(C2158,' Disaggregation - Section E '!A$618:N1370,3,0),"")</f>
        <v>TCS-1c⁽ᴹ⁾ Pourcentage d'enfants (de moins de 15 ans) sous TARV parmi tous les enfants vivant avec le VIH à la fin de la période de rapportage</v>
      </c>
      <c r="L2158" s="487"/>
      <c r="M2158" s="487" t="str">
        <f ca="1">IFERROR(IF(VLOOKUP(C2158,' Disaggregation - Section E '!A$618:T1370,20,0)=0,"",VLOOKUP(C2158,' Disaggregation - Section E '!A$618:T1370,20,0)),"")</f>
        <v/>
      </c>
      <c r="N2158" s="493" t="str">
        <f ca="1">IFERROR(IF(VLOOKUP(C2158,' Disaggregation - Section E '!A$618:N1370,14,0)=0,"",VLOOKUP(C2158,' Disaggregation - Section E '!A$618:N1370,14,0)),"")</f>
        <v/>
      </c>
      <c r="O2158" s="493" t="str">
        <f ca="1">IFERROR(IF(VLOOKUP(C2158,' Disaggregation - Section E '!A$618:N1370,9,0)=0,"",VLOOKUP(C2158,' Disaggregation - Section E '!A$618:N1370,9,0)),"")</f>
        <v/>
      </c>
      <c r="P2158" s="493" t="str">
        <f ca="1">IFERROR(IF(VLOOKUP(C2158,' Disaggregation - Section E '!A$618:N1370,10,0)=0,"",VLOOKUP(C2158,' Disaggregation - Section E '!A$618:N1370,10,0)),"")</f>
        <v/>
      </c>
    </row>
    <row r="2159" spans="1:16" x14ac:dyDescent="0.3">
      <c r="A2159" s="487" t="b">
        <f t="shared" ca="1" si="149"/>
        <v>0</v>
      </c>
      <c r="B2159" s="487"/>
      <c r="C2159" s="500" t="str">
        <f ca="1">IF(COUNTA(D$1410:D2159)=1,"",OFFSET(B2157,-COUNTA(D$1410:D2159)+3,1))</f>
        <v>a163p000002zQbkAAE</v>
      </c>
      <c r="D2159" s="502"/>
      <c r="E2159" s="490" t="str">
        <f ca="1">IFERROR(IF(VLOOKUP(C2159,' Disaggregation - Section E '!A$618:N1371,7,0)=0,"",VLOOKUP(C2159,' Disaggregation - Section E '!A$618:N1371,7,0)*100),"")</f>
        <v/>
      </c>
      <c r="F2159" s="493" t="str">
        <f ca="1">IFERROR(VLOOKUP(C2159,' Disaggregation - Section E '!A$618:N1371,5,0),"")</f>
        <v/>
      </c>
      <c r="G2159" s="492" t="str">
        <f ca="1">IFERROR(IF(VLOOKUP(C2159,' Disaggregation - Section E '!A$618:N1371,6,0)=0,"",VLOOKUP(C2159,' Disaggregation - Section E '!A$618:N1371,6,0)),"")</f>
        <v/>
      </c>
      <c r="H2159" s="502" t="str">
        <f ca="1">IFERROR(IF(INDEX(' Disaggregation - Section E '!F$618:F2568,MATCH(C2159,' Disaggregation - Section E '!A$618:A2568,0)+1,1)&lt;&gt;0,INDEX(' Disaggregation - Section E '!F$618:F$1820,MATCH(C2159,' Disaggregation - Section E '!A$618:A2568,0)+1,1),""),"")</f>
        <v/>
      </c>
      <c r="I2159" s="493" t="str">
        <f ca="1">IFERROR(IF(VLOOKUP(C2159,' Disaggregation - Section E '!A$618:N1371,8,0)=0,"",VLOOKUP(C2159,' Disaggregation - Section E '!A$618:N1371,8,0)),"")</f>
        <v/>
      </c>
      <c r="J2159" s="493" t="str">
        <f ca="1">IFERROR(IF(VLOOKUP(C2159,' Disaggregation - Section E '!A$618:N2568,13,0)=0,"",VLOOKUP(C2159,' Disaggregation - Section E '!A$618:N2568,13,0)),"")</f>
        <v/>
      </c>
      <c r="K2159" s="487" t="str">
        <f ca="1">IFERROR(VLOOKUP(C2159,' Disaggregation - Section E '!A$618:N1371,3,0),"")</f>
        <v>TCS-1c⁽ᴹ⁾ Pourcentage d'enfants (de moins de 15 ans) sous TARV parmi tous les enfants vivant avec le VIH à la fin de la période de rapportage</v>
      </c>
      <c r="L2159" s="487"/>
      <c r="M2159" s="487" t="str">
        <f ca="1">IFERROR(IF(VLOOKUP(C2159,' Disaggregation - Section E '!A$618:T1371,20,0)=0,"",VLOOKUP(C2159,' Disaggregation - Section E '!A$618:T1371,20,0)),"")</f>
        <v/>
      </c>
      <c r="N2159" s="493" t="str">
        <f ca="1">IFERROR(IF(VLOOKUP(C2159,' Disaggregation - Section E '!A$618:N1371,14,0)=0,"",VLOOKUP(C2159,' Disaggregation - Section E '!A$618:N1371,14,0)),"")</f>
        <v/>
      </c>
      <c r="O2159" s="493" t="str">
        <f ca="1">IFERROR(IF(VLOOKUP(C2159,' Disaggregation - Section E '!A$618:N1371,9,0)=0,"",VLOOKUP(C2159,' Disaggregation - Section E '!A$618:N1371,9,0)),"")</f>
        <v/>
      </c>
      <c r="P2159" s="493" t="str">
        <f ca="1">IFERROR(IF(VLOOKUP(C2159,' Disaggregation - Section E '!A$618:N1371,10,0)=0,"",VLOOKUP(C2159,' Disaggregation - Section E '!A$618:N1371,10,0)),"")</f>
        <v/>
      </c>
    </row>
    <row r="2160" spans="1:16" x14ac:dyDescent="0.3">
      <c r="A2160" s="487" t="b">
        <f t="shared" ca="1" si="149"/>
        <v>0</v>
      </c>
      <c r="B2160" s="487"/>
      <c r="C2160" s="500" t="str">
        <f ca="1">IF(COUNTA(D$1410:D2160)=1,"",OFFSET(B2158,-COUNTA(D$1410:D2160)+3,1))</f>
        <v>a163p000002zQblAAE</v>
      </c>
      <c r="D2160" s="502"/>
      <c r="E2160" s="490" t="str">
        <f ca="1">IFERROR(IF(VLOOKUP(C2160,' Disaggregation - Section E '!A$618:N1372,7,0)=0,"",VLOOKUP(C2160,' Disaggregation - Section E '!A$618:N1372,7,0)*100),"")</f>
        <v/>
      </c>
      <c r="F2160" s="493" t="str">
        <f ca="1">IFERROR(VLOOKUP(C2160,' Disaggregation - Section E '!A$618:N1372,5,0),"")</f>
        <v/>
      </c>
      <c r="G2160" s="492" t="str">
        <f ca="1">IFERROR(IF(VLOOKUP(C2160,' Disaggregation - Section E '!A$618:N1372,6,0)=0,"",VLOOKUP(C2160,' Disaggregation - Section E '!A$618:N1372,6,0)),"")</f>
        <v/>
      </c>
      <c r="H2160" s="502" t="str">
        <f ca="1">IFERROR(IF(INDEX(' Disaggregation - Section E '!F$618:F2569,MATCH(C2160,' Disaggregation - Section E '!A$618:A2569,0)+1,1)&lt;&gt;0,INDEX(' Disaggregation - Section E '!F$618:F$1820,MATCH(C2160,' Disaggregation - Section E '!A$618:A2569,0)+1,1),""),"")</f>
        <v/>
      </c>
      <c r="I2160" s="493" t="str">
        <f ca="1">IFERROR(IF(VLOOKUP(C2160,' Disaggregation - Section E '!A$618:N1372,8,0)=0,"",VLOOKUP(C2160,' Disaggregation - Section E '!A$618:N1372,8,0)),"")</f>
        <v/>
      </c>
      <c r="J2160" s="493" t="str">
        <f ca="1">IFERROR(IF(VLOOKUP(C2160,' Disaggregation - Section E '!A$618:N2569,13,0)=0,"",VLOOKUP(C2160,' Disaggregation - Section E '!A$618:N2569,13,0)),"")</f>
        <v/>
      </c>
      <c r="K2160" s="487" t="str">
        <f ca="1">IFERROR(VLOOKUP(C2160,' Disaggregation - Section E '!A$618:N1372,3,0),"")</f>
        <v>TCS-1c⁽ᴹ⁾ Pourcentage d'enfants (de moins de 15 ans) sous TARV parmi tous les enfants vivant avec le VIH à la fin de la période de rapportage</v>
      </c>
      <c r="L2160" s="487"/>
      <c r="M2160" s="487" t="str">
        <f ca="1">IFERROR(IF(VLOOKUP(C2160,' Disaggregation - Section E '!A$618:T1372,20,0)=0,"",VLOOKUP(C2160,' Disaggregation - Section E '!A$618:T1372,20,0)),"")</f>
        <v/>
      </c>
      <c r="N2160" s="493" t="str">
        <f ca="1">IFERROR(IF(VLOOKUP(C2160,' Disaggregation - Section E '!A$618:N1372,14,0)=0,"",VLOOKUP(C2160,' Disaggregation - Section E '!A$618:N1372,14,0)),"")</f>
        <v/>
      </c>
      <c r="O2160" s="493" t="str">
        <f ca="1">IFERROR(IF(VLOOKUP(C2160,' Disaggregation - Section E '!A$618:N1372,9,0)=0,"",VLOOKUP(C2160,' Disaggregation - Section E '!A$618:N1372,9,0)),"")</f>
        <v/>
      </c>
      <c r="P2160" s="493" t="str">
        <f ca="1">IFERROR(IF(VLOOKUP(C2160,' Disaggregation - Section E '!A$618:N1372,10,0)=0,"",VLOOKUP(C2160,' Disaggregation - Section E '!A$618:N1372,10,0)),"")</f>
        <v/>
      </c>
    </row>
    <row r="2161" spans="1:16" x14ac:dyDescent="0.3">
      <c r="A2161" s="487" t="b">
        <f t="shared" ca="1" si="149"/>
        <v>0</v>
      </c>
      <c r="B2161" s="487"/>
      <c r="C2161" s="500" t="str">
        <f ca="1">IF(COUNTA(D$1410:D2161)=1,"",OFFSET(B2159,-COUNTA(D$1410:D2161)+3,1))</f>
        <v>a163p000002zQbmAAE</v>
      </c>
      <c r="D2161" s="502"/>
      <c r="E2161" s="490" t="str">
        <f ca="1">IFERROR(IF(VLOOKUP(C2161,' Disaggregation - Section E '!A$618:N1373,7,0)=0,"",VLOOKUP(C2161,' Disaggregation - Section E '!A$618:N1373,7,0)*100),"")</f>
        <v/>
      </c>
      <c r="F2161" s="493" t="str">
        <f ca="1">IFERROR(VLOOKUP(C2161,' Disaggregation - Section E '!A$618:N1373,5,0),"")</f>
        <v/>
      </c>
      <c r="G2161" s="492" t="str">
        <f ca="1">IFERROR(IF(VLOOKUP(C2161,' Disaggregation - Section E '!A$618:N1373,6,0)=0,"",VLOOKUP(C2161,' Disaggregation - Section E '!A$618:N1373,6,0)),"")</f>
        <v/>
      </c>
      <c r="H2161" s="502" t="str">
        <f ca="1">IFERROR(IF(INDEX(' Disaggregation - Section E '!F$618:F2570,MATCH(C2161,' Disaggregation - Section E '!A$618:A2570,0)+1,1)&lt;&gt;0,INDEX(' Disaggregation - Section E '!F$618:F$1820,MATCH(C2161,' Disaggregation - Section E '!A$618:A2570,0)+1,1),""),"")</f>
        <v/>
      </c>
      <c r="I2161" s="493" t="str">
        <f ca="1">IFERROR(IF(VLOOKUP(C2161,' Disaggregation - Section E '!A$618:N1373,8,0)=0,"",VLOOKUP(C2161,' Disaggregation - Section E '!A$618:N1373,8,0)),"")</f>
        <v/>
      </c>
      <c r="J2161" s="493" t="str">
        <f ca="1">IFERROR(IF(VLOOKUP(C2161,' Disaggregation - Section E '!A$618:N2570,13,0)=0,"",VLOOKUP(C2161,' Disaggregation - Section E '!A$618:N2570,13,0)),"")</f>
        <v/>
      </c>
      <c r="K2161" s="487" t="str">
        <f ca="1">IFERROR(VLOOKUP(C2161,' Disaggregation - Section E '!A$618:N1373,3,0),"")</f>
        <v>TCS-1c⁽ᴹ⁾ Pourcentage d'enfants (de moins de 15 ans) sous TARV parmi tous les enfants vivant avec le VIH à la fin de la période de rapportage</v>
      </c>
      <c r="L2161" s="487"/>
      <c r="M2161" s="487" t="str">
        <f ca="1">IFERROR(IF(VLOOKUP(C2161,' Disaggregation - Section E '!A$618:T1373,20,0)=0,"",VLOOKUP(C2161,' Disaggregation - Section E '!A$618:T1373,20,0)),"")</f>
        <v/>
      </c>
      <c r="N2161" s="493" t="str">
        <f ca="1">IFERROR(IF(VLOOKUP(C2161,' Disaggregation - Section E '!A$618:N1373,14,0)=0,"",VLOOKUP(C2161,' Disaggregation - Section E '!A$618:N1373,14,0)),"")</f>
        <v/>
      </c>
      <c r="O2161" s="493" t="str">
        <f ca="1">IFERROR(IF(VLOOKUP(C2161,' Disaggregation - Section E '!A$618:N1373,9,0)=0,"",VLOOKUP(C2161,' Disaggregation - Section E '!A$618:N1373,9,0)),"")</f>
        <v/>
      </c>
      <c r="P2161" s="493" t="str">
        <f ca="1">IFERROR(IF(VLOOKUP(C2161,' Disaggregation - Section E '!A$618:N1373,10,0)=0,"",VLOOKUP(C2161,' Disaggregation - Section E '!A$618:N1373,10,0)),"")</f>
        <v/>
      </c>
    </row>
    <row r="2162" spans="1:16" x14ac:dyDescent="0.3">
      <c r="A2162" s="487" t="b">
        <f t="shared" ca="1" si="149"/>
        <v>0</v>
      </c>
      <c r="B2162" s="487"/>
      <c r="C2162" s="500" t="str">
        <f ca="1">IF(COUNTA(D$1410:D2162)=1,"",OFFSET(B2160,-COUNTA(D$1410:D2162)+3,1))</f>
        <v>a163p000002zQbnAAE</v>
      </c>
      <c r="D2162" s="502"/>
      <c r="E2162" s="490" t="str">
        <f ca="1">IFERROR(IF(VLOOKUP(C2162,' Disaggregation - Section E '!A$618:N1374,7,0)=0,"",VLOOKUP(C2162,' Disaggregation - Section E '!A$618:N1374,7,0)*100),"")</f>
        <v/>
      </c>
      <c r="F2162" s="493" t="str">
        <f ca="1">IFERROR(VLOOKUP(C2162,' Disaggregation - Section E '!A$618:N1374,5,0),"")</f>
        <v/>
      </c>
      <c r="G2162" s="492" t="str">
        <f ca="1">IFERROR(IF(VLOOKUP(C2162,' Disaggregation - Section E '!A$618:N1374,6,0)=0,"",VLOOKUP(C2162,' Disaggregation - Section E '!A$618:N1374,6,0)),"")</f>
        <v/>
      </c>
      <c r="H2162" s="502" t="str">
        <f ca="1">IFERROR(IF(INDEX(' Disaggregation - Section E '!F$618:F2571,MATCH(C2162,' Disaggregation - Section E '!A$618:A2571,0)+1,1)&lt;&gt;0,INDEX(' Disaggregation - Section E '!F$618:F$1820,MATCH(C2162,' Disaggregation - Section E '!A$618:A2571,0)+1,1),""),"")</f>
        <v/>
      </c>
      <c r="I2162" s="493" t="str">
        <f ca="1">IFERROR(IF(VLOOKUP(C2162,' Disaggregation - Section E '!A$618:N1374,8,0)=0,"",VLOOKUP(C2162,' Disaggregation - Section E '!A$618:N1374,8,0)),"")</f>
        <v/>
      </c>
      <c r="J2162" s="493" t="str">
        <f ca="1">IFERROR(IF(VLOOKUP(C2162,' Disaggregation - Section E '!A$618:N2571,13,0)=0,"",VLOOKUP(C2162,' Disaggregation - Section E '!A$618:N2571,13,0)),"")</f>
        <v/>
      </c>
      <c r="K2162" s="487" t="str">
        <f ca="1">IFERROR(VLOOKUP(C2162,' Disaggregation - Section E '!A$618:N1374,3,0),"")</f>
        <v>TCS-1c⁽ᴹ⁾ Pourcentage d'enfants (de moins de 15 ans) sous TARV parmi tous les enfants vivant avec le VIH à la fin de la période de rapportage</v>
      </c>
      <c r="L2162" s="487"/>
      <c r="M2162" s="487" t="str">
        <f ca="1">IFERROR(IF(VLOOKUP(C2162,' Disaggregation - Section E '!A$618:T1374,20,0)=0,"",VLOOKUP(C2162,' Disaggregation - Section E '!A$618:T1374,20,0)),"")</f>
        <v/>
      </c>
      <c r="N2162" s="493" t="str">
        <f ca="1">IFERROR(IF(VLOOKUP(C2162,' Disaggregation - Section E '!A$618:N1374,14,0)=0,"",VLOOKUP(C2162,' Disaggregation - Section E '!A$618:N1374,14,0)),"")</f>
        <v/>
      </c>
      <c r="O2162" s="493" t="str">
        <f ca="1">IFERROR(IF(VLOOKUP(C2162,' Disaggregation - Section E '!A$618:N1374,9,0)=0,"",VLOOKUP(C2162,' Disaggregation - Section E '!A$618:N1374,9,0)),"")</f>
        <v/>
      </c>
      <c r="P2162" s="493" t="str">
        <f ca="1">IFERROR(IF(VLOOKUP(C2162,' Disaggregation - Section E '!A$618:N1374,10,0)=0,"",VLOOKUP(C2162,' Disaggregation - Section E '!A$618:N1374,10,0)),"")</f>
        <v/>
      </c>
    </row>
    <row r="2163" spans="1:16" x14ac:dyDescent="0.3">
      <c r="A2163" s="487" t="b">
        <f t="shared" ca="1" si="149"/>
        <v>0</v>
      </c>
      <c r="B2163" s="487"/>
      <c r="C2163" s="500" t="str">
        <f ca="1">IF(COUNTA(D$1410:D2163)=1,"",OFFSET(B2161,-COUNTA(D$1410:D2163)+3,1))</f>
        <v>a163p000002zQboAAE</v>
      </c>
      <c r="D2163" s="502"/>
      <c r="E2163" s="490" t="str">
        <f ca="1">IFERROR(IF(VLOOKUP(C2163,' Disaggregation - Section E '!A$618:N1375,7,0)=0,"",VLOOKUP(C2163,' Disaggregation - Section E '!A$618:N1375,7,0)*100),"")</f>
        <v/>
      </c>
      <c r="F2163" s="493" t="str">
        <f ca="1">IFERROR(VLOOKUP(C2163,' Disaggregation - Section E '!A$618:N1375,5,0),"")</f>
        <v/>
      </c>
      <c r="G2163" s="492" t="str">
        <f ca="1">IFERROR(IF(VLOOKUP(C2163,' Disaggregation - Section E '!A$618:N1375,6,0)=0,"",VLOOKUP(C2163,' Disaggregation - Section E '!A$618:N1375,6,0)),"")</f>
        <v/>
      </c>
      <c r="H2163" s="502" t="str">
        <f ca="1">IFERROR(IF(INDEX(' Disaggregation - Section E '!F$618:F2572,MATCH(C2163,' Disaggregation - Section E '!A$618:A2572,0)+1,1)&lt;&gt;0,INDEX(' Disaggregation - Section E '!F$618:F$1820,MATCH(C2163,' Disaggregation - Section E '!A$618:A2572,0)+1,1),""),"")</f>
        <v/>
      </c>
      <c r="I2163" s="493" t="str">
        <f ca="1">IFERROR(IF(VLOOKUP(C2163,' Disaggregation - Section E '!A$618:N1375,8,0)=0,"",VLOOKUP(C2163,' Disaggregation - Section E '!A$618:N1375,8,0)),"")</f>
        <v/>
      </c>
      <c r="J2163" s="493" t="str">
        <f ca="1">IFERROR(IF(VLOOKUP(C2163,' Disaggregation - Section E '!A$618:N2572,13,0)=0,"",VLOOKUP(C2163,' Disaggregation - Section E '!A$618:N2572,13,0)),"")</f>
        <v/>
      </c>
      <c r="K2163" s="487" t="str">
        <f ca="1">IFERROR(VLOOKUP(C2163,' Disaggregation - Section E '!A$618:N1375,3,0),"")</f>
        <v>TCS-1c⁽ᴹ⁾ Pourcentage d'enfants (de moins de 15 ans) sous TARV parmi tous les enfants vivant avec le VIH à la fin de la période de rapportage</v>
      </c>
      <c r="L2163" s="487"/>
      <c r="M2163" s="487" t="str">
        <f ca="1">IFERROR(IF(VLOOKUP(C2163,' Disaggregation - Section E '!A$618:T1375,20,0)=0,"",VLOOKUP(C2163,' Disaggregation - Section E '!A$618:T1375,20,0)),"")</f>
        <v/>
      </c>
      <c r="N2163" s="493" t="str">
        <f ca="1">IFERROR(IF(VLOOKUP(C2163,' Disaggregation - Section E '!A$618:N1375,14,0)=0,"",VLOOKUP(C2163,' Disaggregation - Section E '!A$618:N1375,14,0)),"")</f>
        <v/>
      </c>
      <c r="O2163" s="493" t="str">
        <f ca="1">IFERROR(IF(VLOOKUP(C2163,' Disaggregation - Section E '!A$618:N1375,9,0)=0,"",VLOOKUP(C2163,' Disaggregation - Section E '!A$618:N1375,9,0)),"")</f>
        <v/>
      </c>
      <c r="P2163" s="493" t="str">
        <f ca="1">IFERROR(IF(VLOOKUP(C2163,' Disaggregation - Section E '!A$618:N1375,10,0)=0,"",VLOOKUP(C2163,' Disaggregation - Section E '!A$618:N1375,10,0)),"")</f>
        <v/>
      </c>
    </row>
    <row r="2164" spans="1:16" x14ac:dyDescent="0.3">
      <c r="A2164" s="487" t="b">
        <f t="shared" ca="1" si="149"/>
        <v>0</v>
      </c>
      <c r="B2164" s="487"/>
      <c r="C2164" s="500" t="str">
        <f ca="1">IF(COUNTA(D$1410:D2164)=1,"",OFFSET(B2162,-COUNTA(D$1410:D2164)+3,1))</f>
        <v>a163p000002zQbpAAE</v>
      </c>
      <c r="D2164" s="502"/>
      <c r="E2164" s="490" t="str">
        <f ca="1">IFERROR(IF(VLOOKUP(C2164,' Disaggregation - Section E '!A$618:N1376,7,0)=0,"",VLOOKUP(C2164,' Disaggregation - Section E '!A$618:N1376,7,0)*100),"")</f>
        <v/>
      </c>
      <c r="F2164" s="493" t="str">
        <f ca="1">IFERROR(VLOOKUP(C2164,' Disaggregation - Section E '!A$618:N1376,5,0),"")</f>
        <v/>
      </c>
      <c r="G2164" s="492" t="str">
        <f ca="1">IFERROR(IF(VLOOKUP(C2164,' Disaggregation - Section E '!A$618:N1376,6,0)=0,"",VLOOKUP(C2164,' Disaggregation - Section E '!A$618:N1376,6,0)),"")</f>
        <v/>
      </c>
      <c r="H2164" s="502" t="str">
        <f ca="1">IFERROR(IF(INDEX(' Disaggregation - Section E '!F$618:F2573,MATCH(C2164,' Disaggregation - Section E '!A$618:A2573,0)+1,1)&lt;&gt;0,INDEX(' Disaggregation - Section E '!F$618:F$1820,MATCH(C2164,' Disaggregation - Section E '!A$618:A2573,0)+1,1),""),"")</f>
        <v/>
      </c>
      <c r="I2164" s="493" t="str">
        <f ca="1">IFERROR(IF(VLOOKUP(C2164,' Disaggregation - Section E '!A$618:N1376,8,0)=0,"",VLOOKUP(C2164,' Disaggregation - Section E '!A$618:N1376,8,0)),"")</f>
        <v/>
      </c>
      <c r="J2164" s="493" t="str">
        <f ca="1">IFERROR(IF(VLOOKUP(C2164,' Disaggregation - Section E '!A$618:N2573,13,0)=0,"",VLOOKUP(C2164,' Disaggregation - Section E '!A$618:N2573,13,0)),"")</f>
        <v/>
      </c>
      <c r="K2164" s="487" t="str">
        <f ca="1">IFERROR(VLOOKUP(C2164,' Disaggregation - Section E '!A$618:N1376,3,0),"")</f>
        <v>TCS-1c⁽ᴹ⁾ Pourcentage d'enfants (de moins de 15 ans) sous TARV parmi tous les enfants vivant avec le VIH à la fin de la période de rapportage</v>
      </c>
      <c r="L2164" s="487"/>
      <c r="M2164" s="487" t="str">
        <f ca="1">IFERROR(IF(VLOOKUP(C2164,' Disaggregation - Section E '!A$618:T1376,20,0)=0,"",VLOOKUP(C2164,' Disaggregation - Section E '!A$618:T1376,20,0)),"")</f>
        <v/>
      </c>
      <c r="N2164" s="493" t="str">
        <f ca="1">IFERROR(IF(VLOOKUP(C2164,' Disaggregation - Section E '!A$618:N1376,14,0)=0,"",VLOOKUP(C2164,' Disaggregation - Section E '!A$618:N1376,14,0)),"")</f>
        <v/>
      </c>
      <c r="O2164" s="493" t="str">
        <f ca="1">IFERROR(IF(VLOOKUP(C2164,' Disaggregation - Section E '!A$618:N1376,9,0)=0,"",VLOOKUP(C2164,' Disaggregation - Section E '!A$618:N1376,9,0)),"")</f>
        <v/>
      </c>
      <c r="P2164" s="493" t="str">
        <f ca="1">IFERROR(IF(VLOOKUP(C2164,' Disaggregation - Section E '!A$618:N1376,10,0)=0,"",VLOOKUP(C2164,' Disaggregation - Section E '!A$618:N1376,10,0)),"")</f>
        <v/>
      </c>
    </row>
    <row r="2165" spans="1:16" x14ac:dyDescent="0.3">
      <c r="A2165" s="487" t="b">
        <f t="shared" ca="1" si="149"/>
        <v>0</v>
      </c>
      <c r="B2165" s="487"/>
      <c r="C2165" s="500" t="str">
        <f ca="1">IF(COUNTA(D$1410:D2165)=1,"",OFFSET(B2163,-COUNTA(D$1410:D2165)+3,1))</f>
        <v>a163p000002zQbqAAE</v>
      </c>
      <c r="D2165" s="502"/>
      <c r="E2165" s="490" t="str">
        <f ca="1">IFERROR(IF(VLOOKUP(C2165,' Disaggregation - Section E '!A$618:N1377,7,0)=0,"",VLOOKUP(C2165,' Disaggregation - Section E '!A$618:N1377,7,0)*100),"")</f>
        <v/>
      </c>
      <c r="F2165" s="493" t="str">
        <f ca="1">IFERROR(VLOOKUP(C2165,' Disaggregation - Section E '!A$618:N1377,5,0),"")</f>
        <v/>
      </c>
      <c r="G2165" s="492" t="str">
        <f ca="1">IFERROR(IF(VLOOKUP(C2165,' Disaggregation - Section E '!A$618:N1377,6,0)=0,"",VLOOKUP(C2165,' Disaggregation - Section E '!A$618:N1377,6,0)),"")</f>
        <v/>
      </c>
      <c r="H2165" s="502" t="str">
        <f ca="1">IFERROR(IF(INDEX(' Disaggregation - Section E '!F$618:F2574,MATCH(C2165,' Disaggregation - Section E '!A$618:A2574,0)+1,1)&lt;&gt;0,INDEX(' Disaggregation - Section E '!F$618:F$1820,MATCH(C2165,' Disaggregation - Section E '!A$618:A2574,0)+1,1),""),"")</f>
        <v/>
      </c>
      <c r="I2165" s="493" t="str">
        <f ca="1">IFERROR(IF(VLOOKUP(C2165,' Disaggregation - Section E '!A$618:N1377,8,0)=0,"",VLOOKUP(C2165,' Disaggregation - Section E '!A$618:N1377,8,0)),"")</f>
        <v/>
      </c>
      <c r="J2165" s="493" t="str">
        <f ca="1">IFERROR(IF(VLOOKUP(C2165,' Disaggregation - Section E '!A$618:N2574,13,0)=0,"",VLOOKUP(C2165,' Disaggregation - Section E '!A$618:N2574,13,0)),"")</f>
        <v/>
      </c>
      <c r="K2165" s="487" t="str">
        <f ca="1">IFERROR(VLOOKUP(C2165,' Disaggregation - Section E '!A$618:N1377,3,0),"")</f>
        <v>TCS-1c⁽ᴹ⁾ Pourcentage d'enfants (de moins de 15 ans) sous TARV parmi tous les enfants vivant avec le VIH à la fin de la période de rapportage</v>
      </c>
      <c r="L2165" s="487"/>
      <c r="M2165" s="487" t="str">
        <f ca="1">IFERROR(IF(VLOOKUP(C2165,' Disaggregation - Section E '!A$618:T1377,20,0)=0,"",VLOOKUP(C2165,' Disaggregation - Section E '!A$618:T1377,20,0)),"")</f>
        <v/>
      </c>
      <c r="N2165" s="493" t="str">
        <f ca="1">IFERROR(IF(VLOOKUP(C2165,' Disaggregation - Section E '!A$618:N1377,14,0)=0,"",VLOOKUP(C2165,' Disaggregation - Section E '!A$618:N1377,14,0)),"")</f>
        <v/>
      </c>
      <c r="O2165" s="493" t="str">
        <f ca="1">IFERROR(IF(VLOOKUP(C2165,' Disaggregation - Section E '!A$618:N1377,9,0)=0,"",VLOOKUP(C2165,' Disaggregation - Section E '!A$618:N1377,9,0)),"")</f>
        <v/>
      </c>
      <c r="P2165" s="493" t="str">
        <f ca="1">IFERROR(IF(VLOOKUP(C2165,' Disaggregation - Section E '!A$618:N1377,10,0)=0,"",VLOOKUP(C2165,' Disaggregation - Section E '!A$618:N1377,10,0)),"")</f>
        <v/>
      </c>
    </row>
    <row r="2166" spans="1:16" x14ac:dyDescent="0.3">
      <c r="A2166" s="487" t="b">
        <f t="shared" ca="1" si="149"/>
        <v>0</v>
      </c>
      <c r="B2166" s="487"/>
      <c r="C2166" s="500" t="str">
        <f ca="1">IF(COUNTA(D$1410:D2166)=1,"",OFFSET(B2164,-COUNTA(D$1410:D2166)+3,1))</f>
        <v>a163p000002zQbrAAE</v>
      </c>
      <c r="D2166" s="502"/>
      <c r="E2166" s="490" t="str">
        <f ca="1">IFERROR(IF(VLOOKUP(C2166,' Disaggregation - Section E '!A$618:N1378,7,0)=0,"",VLOOKUP(C2166,' Disaggregation - Section E '!A$618:N1378,7,0)*100),"")</f>
        <v/>
      </c>
      <c r="F2166" s="493" t="str">
        <f ca="1">IFERROR(VLOOKUP(C2166,' Disaggregation - Section E '!A$618:N1378,5,0),"")</f>
        <v/>
      </c>
      <c r="G2166" s="492" t="str">
        <f ca="1">IFERROR(IF(VLOOKUP(C2166,' Disaggregation - Section E '!A$618:N1378,6,0)=0,"",VLOOKUP(C2166,' Disaggregation - Section E '!A$618:N1378,6,0)),"")</f>
        <v/>
      </c>
      <c r="H2166" s="502" t="str">
        <f ca="1">IFERROR(IF(INDEX(' Disaggregation - Section E '!F$618:F2575,MATCH(C2166,' Disaggregation - Section E '!A$618:A2575,0)+1,1)&lt;&gt;0,INDEX(' Disaggregation - Section E '!F$618:F$1820,MATCH(C2166,' Disaggregation - Section E '!A$618:A2575,0)+1,1),""),"")</f>
        <v/>
      </c>
      <c r="I2166" s="493" t="str">
        <f ca="1">IFERROR(IF(VLOOKUP(C2166,' Disaggregation - Section E '!A$618:N1378,8,0)=0,"",VLOOKUP(C2166,' Disaggregation - Section E '!A$618:N1378,8,0)),"")</f>
        <v/>
      </c>
      <c r="J2166" s="493" t="str">
        <f ca="1">IFERROR(IF(VLOOKUP(C2166,' Disaggregation - Section E '!A$618:N2575,13,0)=0,"",VLOOKUP(C2166,' Disaggregation - Section E '!A$618:N2575,13,0)),"")</f>
        <v/>
      </c>
      <c r="K2166" s="487" t="str">
        <f ca="1">IFERROR(VLOOKUP(C2166,' Disaggregation - Section E '!A$618:N1378,3,0),"")</f>
        <v>TCS-1c⁽ᴹ⁾ Pourcentage d'enfants (de moins de 15 ans) sous TARV parmi tous les enfants vivant avec le VIH à la fin de la période de rapportage</v>
      </c>
      <c r="L2166" s="487"/>
      <c r="M2166" s="487" t="str">
        <f ca="1">IFERROR(IF(VLOOKUP(C2166,' Disaggregation - Section E '!A$618:T1378,20,0)=0,"",VLOOKUP(C2166,' Disaggregation - Section E '!A$618:T1378,20,0)),"")</f>
        <v/>
      </c>
      <c r="N2166" s="493" t="str">
        <f ca="1">IFERROR(IF(VLOOKUP(C2166,' Disaggregation - Section E '!A$618:N1378,14,0)=0,"",VLOOKUP(C2166,' Disaggregation - Section E '!A$618:N1378,14,0)),"")</f>
        <v/>
      </c>
      <c r="O2166" s="493" t="str">
        <f ca="1">IFERROR(IF(VLOOKUP(C2166,' Disaggregation - Section E '!A$618:N1378,9,0)=0,"",VLOOKUP(C2166,' Disaggregation - Section E '!A$618:N1378,9,0)),"")</f>
        <v/>
      </c>
      <c r="P2166" s="493" t="str">
        <f ca="1">IFERROR(IF(VLOOKUP(C2166,' Disaggregation - Section E '!A$618:N1378,10,0)=0,"",VLOOKUP(C2166,' Disaggregation - Section E '!A$618:N1378,10,0)),"")</f>
        <v/>
      </c>
    </row>
    <row r="2167" spans="1:16" x14ac:dyDescent="0.3">
      <c r="A2167" s="487" t="b">
        <f t="shared" ca="1" si="149"/>
        <v>0</v>
      </c>
      <c r="B2167" s="487"/>
      <c r="C2167" s="500" t="str">
        <f ca="1">IF(COUNTA(D$1410:D2167)=1,"",OFFSET(B2165,-COUNTA(D$1410:D2167)+3,1))</f>
        <v>a163p000002zQbsAAE</v>
      </c>
      <c r="D2167" s="502"/>
      <c r="E2167" s="490" t="str">
        <f ca="1">IFERROR(IF(VLOOKUP(C2167,' Disaggregation - Section E '!A$618:N1379,7,0)=0,"",VLOOKUP(C2167,' Disaggregation - Section E '!A$618:N1379,7,0)*100),"")</f>
        <v/>
      </c>
      <c r="F2167" s="493" t="str">
        <f ca="1">IFERROR(VLOOKUP(C2167,' Disaggregation - Section E '!A$618:N1379,5,0),"")</f>
        <v/>
      </c>
      <c r="G2167" s="492" t="str">
        <f ca="1">IFERROR(IF(VLOOKUP(C2167,' Disaggregation - Section E '!A$618:N1379,6,0)=0,"",VLOOKUP(C2167,' Disaggregation - Section E '!A$618:N1379,6,0)),"")</f>
        <v/>
      </c>
      <c r="H2167" s="502" t="str">
        <f ca="1">IFERROR(IF(INDEX(' Disaggregation - Section E '!F$618:F2576,MATCH(C2167,' Disaggregation - Section E '!A$618:A2576,0)+1,1)&lt;&gt;0,INDEX(' Disaggregation - Section E '!F$618:F$1820,MATCH(C2167,' Disaggregation - Section E '!A$618:A2576,0)+1,1),""),"")</f>
        <v/>
      </c>
      <c r="I2167" s="493" t="str">
        <f ca="1">IFERROR(IF(VLOOKUP(C2167,' Disaggregation - Section E '!A$618:N1379,8,0)=0,"",VLOOKUP(C2167,' Disaggregation - Section E '!A$618:N1379,8,0)),"")</f>
        <v/>
      </c>
      <c r="J2167" s="493" t="str">
        <f ca="1">IFERROR(IF(VLOOKUP(C2167,' Disaggregation - Section E '!A$618:N2576,13,0)=0,"",VLOOKUP(C2167,' Disaggregation - Section E '!A$618:N2576,13,0)),"")</f>
        <v/>
      </c>
      <c r="K2167" s="487" t="str">
        <f ca="1">IFERROR(VLOOKUP(C2167,' Disaggregation - Section E '!A$618:N1379,3,0),"")</f>
        <v>TCS-1c⁽ᴹ⁾ Pourcentage d'enfants (de moins de 15 ans) sous TARV parmi tous les enfants vivant avec le VIH à la fin de la période de rapportage</v>
      </c>
      <c r="L2167" s="487"/>
      <c r="M2167" s="487" t="str">
        <f ca="1">IFERROR(IF(VLOOKUP(C2167,' Disaggregation - Section E '!A$618:T1379,20,0)=0,"",VLOOKUP(C2167,' Disaggregation - Section E '!A$618:T1379,20,0)),"")</f>
        <v/>
      </c>
      <c r="N2167" s="493" t="str">
        <f ca="1">IFERROR(IF(VLOOKUP(C2167,' Disaggregation - Section E '!A$618:N1379,14,0)=0,"",VLOOKUP(C2167,' Disaggregation - Section E '!A$618:N1379,14,0)),"")</f>
        <v/>
      </c>
      <c r="O2167" s="493" t="str">
        <f ca="1">IFERROR(IF(VLOOKUP(C2167,' Disaggregation - Section E '!A$618:N1379,9,0)=0,"",VLOOKUP(C2167,' Disaggregation - Section E '!A$618:N1379,9,0)),"")</f>
        <v/>
      </c>
      <c r="P2167" s="493" t="str">
        <f ca="1">IFERROR(IF(VLOOKUP(C2167,' Disaggregation - Section E '!A$618:N1379,10,0)=0,"",VLOOKUP(C2167,' Disaggregation - Section E '!A$618:N1379,10,0)),"")</f>
        <v/>
      </c>
    </row>
    <row r="2168" spans="1:16" x14ac:dyDescent="0.3">
      <c r="A2168" s="487" t="b">
        <f t="shared" ca="1" si="149"/>
        <v>0</v>
      </c>
      <c r="B2168" s="487"/>
      <c r="C2168" s="500" t="str">
        <f ca="1">IF(COUNTA(D$1410:D2168)=1,"",OFFSET(B2166,-COUNTA(D$1410:D2168)+3,1))</f>
        <v>a163p000002zQbtAAE</v>
      </c>
      <c r="D2168" s="502"/>
      <c r="E2168" s="490" t="str">
        <f ca="1">IFERROR(IF(VLOOKUP(C2168,' Disaggregation - Section E '!A$618:N1380,7,0)=0,"",VLOOKUP(C2168,' Disaggregation - Section E '!A$618:N1380,7,0)*100),"")</f>
        <v/>
      </c>
      <c r="F2168" s="493" t="str">
        <f ca="1">IFERROR(VLOOKUP(C2168,' Disaggregation - Section E '!A$618:N1380,5,0),"")</f>
        <v/>
      </c>
      <c r="G2168" s="492" t="str">
        <f ca="1">IFERROR(IF(VLOOKUP(C2168,' Disaggregation - Section E '!A$618:N1380,6,0)=0,"",VLOOKUP(C2168,' Disaggregation - Section E '!A$618:N1380,6,0)),"")</f>
        <v/>
      </c>
      <c r="H2168" s="502" t="str">
        <f ca="1">IFERROR(IF(INDEX(' Disaggregation - Section E '!F$618:F2577,MATCH(C2168,' Disaggregation - Section E '!A$618:A2577,0)+1,1)&lt;&gt;0,INDEX(' Disaggregation - Section E '!F$618:F$1820,MATCH(C2168,' Disaggregation - Section E '!A$618:A2577,0)+1,1),""),"")</f>
        <v/>
      </c>
      <c r="I2168" s="493" t="str">
        <f ca="1">IFERROR(IF(VLOOKUP(C2168,' Disaggregation - Section E '!A$618:N1380,8,0)=0,"",VLOOKUP(C2168,' Disaggregation - Section E '!A$618:N1380,8,0)),"")</f>
        <v/>
      </c>
      <c r="J2168" s="493" t="str">
        <f ca="1">IFERROR(IF(VLOOKUP(C2168,' Disaggregation - Section E '!A$618:N2577,13,0)=0,"",VLOOKUP(C2168,' Disaggregation - Section E '!A$618:N2577,13,0)),"")</f>
        <v/>
      </c>
      <c r="K2168" s="487" t="str">
        <f ca="1">IFERROR(VLOOKUP(C2168,' Disaggregation - Section E '!A$618:N1380,3,0),"")</f>
        <v>TCS-1c⁽ᴹ⁾ Pourcentage d'enfants (de moins de 15 ans) sous TARV parmi tous les enfants vivant avec le VIH à la fin de la période de rapportage</v>
      </c>
      <c r="L2168" s="487"/>
      <c r="M2168" s="487" t="str">
        <f ca="1">IFERROR(IF(VLOOKUP(C2168,' Disaggregation - Section E '!A$618:T1380,20,0)=0,"",VLOOKUP(C2168,' Disaggregation - Section E '!A$618:T1380,20,0)),"")</f>
        <v/>
      </c>
      <c r="N2168" s="493" t="str">
        <f ca="1">IFERROR(IF(VLOOKUP(C2168,' Disaggregation - Section E '!A$618:N1380,14,0)=0,"",VLOOKUP(C2168,' Disaggregation - Section E '!A$618:N1380,14,0)),"")</f>
        <v/>
      </c>
      <c r="O2168" s="493" t="str">
        <f ca="1">IFERROR(IF(VLOOKUP(C2168,' Disaggregation - Section E '!A$618:N1380,9,0)=0,"",VLOOKUP(C2168,' Disaggregation - Section E '!A$618:N1380,9,0)),"")</f>
        <v/>
      </c>
      <c r="P2168" s="493" t="str">
        <f ca="1">IFERROR(IF(VLOOKUP(C2168,' Disaggregation - Section E '!A$618:N1380,10,0)=0,"",VLOOKUP(C2168,' Disaggregation - Section E '!A$618:N1380,10,0)),"")</f>
        <v/>
      </c>
    </row>
    <row r="2169" spans="1:16" x14ac:dyDescent="0.3">
      <c r="A2169" s="487" t="b">
        <f t="shared" ca="1" si="149"/>
        <v>0</v>
      </c>
      <c r="B2169" s="487"/>
      <c r="C2169" s="500" t="str">
        <f ca="1">IF(COUNTA(D$1410:D2169)=1,"",OFFSET(B2167,-COUNTA(D$1410:D2169)+3,1))</f>
        <v>a163p000002zQbuAAE</v>
      </c>
      <c r="D2169" s="502"/>
      <c r="E2169" s="490" t="str">
        <f ca="1">IFERROR(IF(VLOOKUP(C2169,' Disaggregation - Section E '!A$618:N1381,7,0)=0,"",VLOOKUP(C2169,' Disaggregation - Section E '!A$618:N1381,7,0)*100),"")</f>
        <v/>
      </c>
      <c r="F2169" s="493" t="str">
        <f ca="1">IFERROR(VLOOKUP(C2169,' Disaggregation - Section E '!A$618:N1381,5,0),"")</f>
        <v/>
      </c>
      <c r="G2169" s="492" t="str">
        <f ca="1">IFERROR(IF(VLOOKUP(C2169,' Disaggregation - Section E '!A$618:N1381,6,0)=0,"",VLOOKUP(C2169,' Disaggregation - Section E '!A$618:N1381,6,0)),"")</f>
        <v/>
      </c>
      <c r="H2169" s="502" t="str">
        <f ca="1">IFERROR(IF(INDEX(' Disaggregation - Section E '!F$618:F2578,MATCH(C2169,' Disaggregation - Section E '!A$618:A2578,0)+1,1)&lt;&gt;0,INDEX(' Disaggregation - Section E '!F$618:F$1820,MATCH(C2169,' Disaggregation - Section E '!A$618:A2578,0)+1,1),""),"")</f>
        <v/>
      </c>
      <c r="I2169" s="493" t="str">
        <f ca="1">IFERROR(IF(VLOOKUP(C2169,' Disaggregation - Section E '!A$618:N1381,8,0)=0,"",VLOOKUP(C2169,' Disaggregation - Section E '!A$618:N1381,8,0)),"")</f>
        <v/>
      </c>
      <c r="J2169" s="493" t="str">
        <f ca="1">IFERROR(IF(VLOOKUP(C2169,' Disaggregation - Section E '!A$618:N2578,13,0)=0,"",VLOOKUP(C2169,' Disaggregation - Section E '!A$618:N2578,13,0)),"")</f>
        <v/>
      </c>
      <c r="K2169" s="487" t="str">
        <f ca="1">IFERROR(VLOOKUP(C2169,' Disaggregation - Section E '!A$618:N1381,3,0),"")</f>
        <v>TCS-1c⁽ᴹ⁾ Pourcentage d'enfants (de moins de 15 ans) sous TARV parmi tous les enfants vivant avec le VIH à la fin de la période de rapportage</v>
      </c>
      <c r="L2169" s="487"/>
      <c r="M2169" s="487" t="str">
        <f ca="1">IFERROR(IF(VLOOKUP(C2169,' Disaggregation - Section E '!A$618:T1381,20,0)=0,"",VLOOKUP(C2169,' Disaggregation - Section E '!A$618:T1381,20,0)),"")</f>
        <v/>
      </c>
      <c r="N2169" s="493" t="str">
        <f ca="1">IFERROR(IF(VLOOKUP(C2169,' Disaggregation - Section E '!A$618:N1381,14,0)=0,"",VLOOKUP(C2169,' Disaggregation - Section E '!A$618:N1381,14,0)),"")</f>
        <v/>
      </c>
      <c r="O2169" s="493" t="str">
        <f ca="1">IFERROR(IF(VLOOKUP(C2169,' Disaggregation - Section E '!A$618:N1381,9,0)=0,"",VLOOKUP(C2169,' Disaggregation - Section E '!A$618:N1381,9,0)),"")</f>
        <v/>
      </c>
      <c r="P2169" s="493" t="str">
        <f ca="1">IFERROR(IF(VLOOKUP(C2169,' Disaggregation - Section E '!A$618:N1381,10,0)=0,"",VLOOKUP(C2169,' Disaggregation - Section E '!A$618:N1381,10,0)),"")</f>
        <v/>
      </c>
    </row>
    <row r="2170" spans="1:16" x14ac:dyDescent="0.3">
      <c r="A2170" s="487" t="b">
        <f t="shared" ca="1" si="149"/>
        <v>0</v>
      </c>
      <c r="B2170" s="487"/>
      <c r="C2170" s="500" t="str">
        <f ca="1">IF(COUNTA(D$1410:D2170)=1,"",OFFSET(B2168,-COUNTA(D$1410:D2170)+3,1))</f>
        <v>a163p000002zQbvAAE</v>
      </c>
      <c r="D2170" s="502"/>
      <c r="E2170" s="490" t="str">
        <f ca="1">IFERROR(IF(VLOOKUP(C2170,' Disaggregation - Section E '!A$618:N1382,7,0)=0,"",VLOOKUP(C2170,' Disaggregation - Section E '!A$618:N1382,7,0)*100),"")</f>
        <v/>
      </c>
      <c r="F2170" s="493" t="str">
        <f ca="1">IFERROR(VLOOKUP(C2170,' Disaggregation - Section E '!A$618:N1382,5,0),"")</f>
        <v/>
      </c>
      <c r="G2170" s="492" t="str">
        <f ca="1">IFERROR(IF(VLOOKUP(C2170,' Disaggregation - Section E '!A$618:N1382,6,0)=0,"",VLOOKUP(C2170,' Disaggregation - Section E '!A$618:N1382,6,0)),"")</f>
        <v/>
      </c>
      <c r="H2170" s="502" t="str">
        <f ca="1">IFERROR(IF(INDEX(' Disaggregation - Section E '!F$618:F2579,MATCH(C2170,' Disaggregation - Section E '!A$618:A2579,0)+1,1)&lt;&gt;0,INDEX(' Disaggregation - Section E '!F$618:F$1820,MATCH(C2170,' Disaggregation - Section E '!A$618:A2579,0)+1,1),""),"")</f>
        <v/>
      </c>
      <c r="I2170" s="493" t="str">
        <f ca="1">IFERROR(IF(VLOOKUP(C2170,' Disaggregation - Section E '!A$618:N1382,8,0)=0,"",VLOOKUP(C2170,' Disaggregation - Section E '!A$618:N1382,8,0)),"")</f>
        <v/>
      </c>
      <c r="J2170" s="493" t="str">
        <f ca="1">IFERROR(IF(VLOOKUP(C2170,' Disaggregation - Section E '!A$618:N2579,13,0)=0,"",VLOOKUP(C2170,' Disaggregation - Section E '!A$618:N2579,13,0)),"")</f>
        <v/>
      </c>
      <c r="K2170" s="487" t="str">
        <f ca="1">IFERROR(VLOOKUP(C2170,' Disaggregation - Section E '!A$618:N1382,3,0),"")</f>
        <v>TCS-1c⁽ᴹ⁾ Pourcentage d'enfants (de moins de 15 ans) sous TARV parmi tous les enfants vivant avec le VIH à la fin de la période de rapportage</v>
      </c>
      <c r="L2170" s="487"/>
      <c r="M2170" s="487" t="str">
        <f ca="1">IFERROR(IF(VLOOKUP(C2170,' Disaggregation - Section E '!A$618:T1382,20,0)=0,"",VLOOKUP(C2170,' Disaggregation - Section E '!A$618:T1382,20,0)),"")</f>
        <v/>
      </c>
      <c r="N2170" s="493" t="str">
        <f ca="1">IFERROR(IF(VLOOKUP(C2170,' Disaggregation - Section E '!A$618:N1382,14,0)=0,"",VLOOKUP(C2170,' Disaggregation - Section E '!A$618:N1382,14,0)),"")</f>
        <v/>
      </c>
      <c r="O2170" s="493" t="str">
        <f ca="1">IFERROR(IF(VLOOKUP(C2170,' Disaggregation - Section E '!A$618:N1382,9,0)=0,"",VLOOKUP(C2170,' Disaggregation - Section E '!A$618:N1382,9,0)),"")</f>
        <v/>
      </c>
      <c r="P2170" s="493" t="str">
        <f ca="1">IFERROR(IF(VLOOKUP(C2170,' Disaggregation - Section E '!A$618:N1382,10,0)=0,"",VLOOKUP(C2170,' Disaggregation - Section E '!A$618:N1382,10,0)),"")</f>
        <v/>
      </c>
    </row>
    <row r="2171" spans="1:16" x14ac:dyDescent="0.3">
      <c r="A2171" s="487" t="b">
        <f t="shared" ca="1" si="149"/>
        <v>0</v>
      </c>
      <c r="B2171" s="487"/>
      <c r="C2171" s="500" t="str">
        <f ca="1">IF(COUNTA(D$1410:D2171)=1,"",OFFSET(B2169,-COUNTA(D$1410:D2171)+3,1))</f>
        <v>a163p000002zQbwAAE</v>
      </c>
      <c r="D2171" s="502"/>
      <c r="E2171" s="490" t="str">
        <f ca="1">IFERROR(IF(VLOOKUP(C2171,' Disaggregation - Section E '!A$618:N1383,7,0)=0,"",VLOOKUP(C2171,' Disaggregation - Section E '!A$618:N1383,7,0)*100),"")</f>
        <v/>
      </c>
      <c r="F2171" s="493" t="str">
        <f ca="1">IFERROR(VLOOKUP(C2171,' Disaggregation - Section E '!A$618:N1383,5,0),"")</f>
        <v/>
      </c>
      <c r="G2171" s="492" t="str">
        <f ca="1">IFERROR(IF(VLOOKUP(C2171,' Disaggregation - Section E '!A$618:N1383,6,0)=0,"",VLOOKUP(C2171,' Disaggregation - Section E '!A$618:N1383,6,0)),"")</f>
        <v/>
      </c>
      <c r="H2171" s="502" t="str">
        <f ca="1">IFERROR(IF(INDEX(' Disaggregation - Section E '!F$618:F2580,MATCH(C2171,' Disaggregation - Section E '!A$618:A2580,0)+1,1)&lt;&gt;0,INDEX(' Disaggregation - Section E '!F$618:F$1820,MATCH(C2171,' Disaggregation - Section E '!A$618:A2580,0)+1,1),""),"")</f>
        <v/>
      </c>
      <c r="I2171" s="493" t="str">
        <f ca="1">IFERROR(IF(VLOOKUP(C2171,' Disaggregation - Section E '!A$618:N1383,8,0)=0,"",VLOOKUP(C2171,' Disaggregation - Section E '!A$618:N1383,8,0)),"")</f>
        <v/>
      </c>
      <c r="J2171" s="493" t="str">
        <f ca="1">IFERROR(IF(VLOOKUP(C2171,' Disaggregation - Section E '!A$618:N2580,13,0)=0,"",VLOOKUP(C2171,' Disaggregation - Section E '!A$618:N2580,13,0)),"")</f>
        <v/>
      </c>
      <c r="K2171" s="487" t="str">
        <f ca="1">IFERROR(VLOOKUP(C2171,' Disaggregation - Section E '!A$618:N1383,3,0),"")</f>
        <v>TCS-1c⁽ᴹ⁾ Pourcentage d'enfants (de moins de 15 ans) sous TARV parmi tous les enfants vivant avec le VIH à la fin de la période de rapportage</v>
      </c>
      <c r="L2171" s="487"/>
      <c r="M2171" s="487" t="str">
        <f ca="1">IFERROR(IF(VLOOKUP(C2171,' Disaggregation - Section E '!A$618:T1383,20,0)=0,"",VLOOKUP(C2171,' Disaggregation - Section E '!A$618:T1383,20,0)),"")</f>
        <v/>
      </c>
      <c r="N2171" s="493" t="str">
        <f ca="1">IFERROR(IF(VLOOKUP(C2171,' Disaggregation - Section E '!A$618:N1383,14,0)=0,"",VLOOKUP(C2171,' Disaggregation - Section E '!A$618:N1383,14,0)),"")</f>
        <v/>
      </c>
      <c r="O2171" s="493" t="str">
        <f ca="1">IFERROR(IF(VLOOKUP(C2171,' Disaggregation - Section E '!A$618:N1383,9,0)=0,"",VLOOKUP(C2171,' Disaggregation - Section E '!A$618:N1383,9,0)),"")</f>
        <v/>
      </c>
      <c r="P2171" s="493" t="str">
        <f ca="1">IFERROR(IF(VLOOKUP(C2171,' Disaggregation - Section E '!A$618:N1383,10,0)=0,"",VLOOKUP(C2171,' Disaggregation - Section E '!A$618:N1383,10,0)),"")</f>
        <v/>
      </c>
    </row>
    <row r="2172" spans="1:16" x14ac:dyDescent="0.3">
      <c r="A2172" s="487" t="b">
        <f t="shared" ca="1" si="149"/>
        <v>0</v>
      </c>
      <c r="B2172" s="487"/>
      <c r="C2172" s="500" t="str">
        <f ca="1">IF(COUNTA(D$1410:D2172)=1,"",OFFSET(B2170,-COUNTA(D$1410:D2172)+3,1))</f>
        <v>a163p000002zQbxAAE</v>
      </c>
      <c r="D2172" s="502"/>
      <c r="E2172" s="490" t="str">
        <f ca="1">IFERROR(IF(VLOOKUP(C2172,' Disaggregation - Section E '!A$618:N1384,7,0)=0,"",VLOOKUP(C2172,' Disaggregation - Section E '!A$618:N1384,7,0)*100),"")</f>
        <v/>
      </c>
      <c r="F2172" s="493" t="str">
        <f ca="1">IFERROR(VLOOKUP(C2172,' Disaggregation - Section E '!A$618:N1384,5,0),"")</f>
        <v>&lt;5</v>
      </c>
      <c r="G2172" s="492" t="str">
        <f ca="1">IFERROR(IF(VLOOKUP(C2172,' Disaggregation - Section E '!A$618:N1384,6,0)=0,"",VLOOKUP(C2172,' Disaggregation - Section E '!A$618:N1384,6,0)),"")</f>
        <v/>
      </c>
      <c r="H2172" s="502" t="str">
        <f ca="1">IFERROR(IF(INDEX(' Disaggregation - Section E '!F$618:F2581,MATCH(C2172,' Disaggregation - Section E '!A$618:A2581,0)+1,1)&lt;&gt;0,INDEX(' Disaggregation - Section E '!F$618:F$1820,MATCH(C2172,' Disaggregation - Section E '!A$618:A2581,0)+1,1),""),"")</f>
        <v/>
      </c>
      <c r="I2172" s="493" t="str">
        <f ca="1">IFERROR(IF(VLOOKUP(C2172,' Disaggregation - Section E '!A$618:N1384,8,0)=0,"",VLOOKUP(C2172,' Disaggregation - Section E '!A$618:N1384,8,0)),"")</f>
        <v/>
      </c>
      <c r="J2172" s="493" t="str">
        <f ca="1">IFERROR(IF(VLOOKUP(C2172,' Disaggregation - Section E '!A$618:N2581,13,0)=0,"",VLOOKUP(C2172,' Disaggregation - Section E '!A$618:N2581,13,0)),"")</f>
        <v/>
      </c>
      <c r="K2172" s="487" t="str">
        <f ca="1">IFERROR(VLOOKUP(C2172,' Disaggregation - Section E '!A$618:N1384,3,0),"")</f>
        <v>TB/HIV-3.1a Pourcentage de personnes vivant avec le VIH ayant nouvellement initié la TARV chez qui les signes de la tuberculose ont été recherchés</v>
      </c>
      <c r="L2172" s="487"/>
      <c r="M2172" s="487" t="str">
        <f ca="1">IFERROR(IF(VLOOKUP(C2172,' Disaggregation - Section E '!A$618:T1384,20,0)=0,"",VLOOKUP(C2172,' Disaggregation - Section E '!A$618:T1384,20,0)),"")</f>
        <v>IDR-00732</v>
      </c>
      <c r="N2172" s="493" t="str">
        <f ca="1">IFERROR(IF(VLOOKUP(C2172,' Disaggregation - Section E '!A$618:N1384,14,0)=0,"",VLOOKUP(C2172,' Disaggregation - Section E '!A$618:N1384,14,0)),"")</f>
        <v/>
      </c>
      <c r="O2172" s="493" t="str">
        <f ca="1">IFERROR(IF(VLOOKUP(C2172,' Disaggregation - Section E '!A$618:N1384,9,0)=0,"",VLOOKUP(C2172,' Disaggregation - Section E '!A$618:N1384,9,0)),"")</f>
        <v/>
      </c>
      <c r="P2172" s="493" t="str">
        <f ca="1">IFERROR(IF(VLOOKUP(C2172,' Disaggregation - Section E '!A$618:N1384,10,0)=0,"",VLOOKUP(C2172,' Disaggregation - Section E '!A$618:N1384,10,0)),"")</f>
        <v/>
      </c>
    </row>
    <row r="2173" spans="1:16" x14ac:dyDescent="0.3">
      <c r="A2173" s="487" t="b">
        <f t="shared" ca="1" si="149"/>
        <v>0</v>
      </c>
      <c r="B2173" s="487"/>
      <c r="C2173" s="500" t="str">
        <f ca="1">IF(COUNTA(D$1410:D2173)=1,"",OFFSET(B2171,-COUNTA(D$1410:D2173)+3,1))</f>
        <v>a163p000002zQbyAAE</v>
      </c>
      <c r="D2173" s="502"/>
      <c r="E2173" s="490" t="str">
        <f ca="1">IFERROR(IF(VLOOKUP(C2173,' Disaggregation - Section E '!A$618:N1385,7,0)=0,"",VLOOKUP(C2173,' Disaggregation - Section E '!A$618:N1385,7,0)*100),"")</f>
        <v/>
      </c>
      <c r="F2173" s="493" t="str">
        <f ca="1">IFERROR(VLOOKUP(C2173,' Disaggregation - Section E '!A$618:N1385,5,0),"")</f>
        <v>5-14</v>
      </c>
      <c r="G2173" s="492" t="str">
        <f ca="1">IFERROR(IF(VLOOKUP(C2173,' Disaggregation - Section E '!A$618:N1385,6,0)=0,"",VLOOKUP(C2173,' Disaggregation - Section E '!A$618:N1385,6,0)),"")</f>
        <v/>
      </c>
      <c r="H2173" s="502" t="str">
        <f ca="1">IFERROR(IF(INDEX(' Disaggregation - Section E '!F$618:F2582,MATCH(C2173,' Disaggregation - Section E '!A$618:A2582,0)+1,1)&lt;&gt;0,INDEX(' Disaggregation - Section E '!F$618:F$1820,MATCH(C2173,' Disaggregation - Section E '!A$618:A2582,0)+1,1),""),"")</f>
        <v/>
      </c>
      <c r="I2173" s="493" t="str">
        <f ca="1">IFERROR(IF(VLOOKUP(C2173,' Disaggregation - Section E '!A$618:N1385,8,0)=0,"",VLOOKUP(C2173,' Disaggregation - Section E '!A$618:N1385,8,0)),"")</f>
        <v/>
      </c>
      <c r="J2173" s="493" t="str">
        <f ca="1">IFERROR(IF(VLOOKUP(C2173,' Disaggregation - Section E '!A$618:N2582,13,0)=0,"",VLOOKUP(C2173,' Disaggregation - Section E '!A$618:N2582,13,0)),"")</f>
        <v/>
      </c>
      <c r="K2173" s="487" t="str">
        <f ca="1">IFERROR(VLOOKUP(C2173,' Disaggregation - Section E '!A$618:N1385,3,0),"")</f>
        <v>TB/HIV-3.1a Pourcentage de personnes vivant avec le VIH ayant nouvellement initié la TARV chez qui les signes de la tuberculose ont été recherchés</v>
      </c>
      <c r="L2173" s="487"/>
      <c r="M2173" s="487" t="str">
        <f ca="1">IFERROR(IF(VLOOKUP(C2173,' Disaggregation - Section E '!A$618:T1385,20,0)=0,"",VLOOKUP(C2173,' Disaggregation - Section E '!A$618:T1385,20,0)),"")</f>
        <v>IDR-00733</v>
      </c>
      <c r="N2173" s="493" t="str">
        <f ca="1">IFERROR(IF(VLOOKUP(C2173,' Disaggregation - Section E '!A$618:N1385,14,0)=0,"",VLOOKUP(C2173,' Disaggregation - Section E '!A$618:N1385,14,0)),"")</f>
        <v/>
      </c>
      <c r="O2173" s="493" t="str">
        <f ca="1">IFERROR(IF(VLOOKUP(C2173,' Disaggregation - Section E '!A$618:N1385,9,0)=0,"",VLOOKUP(C2173,' Disaggregation - Section E '!A$618:N1385,9,0)),"")</f>
        <v/>
      </c>
      <c r="P2173" s="493" t="str">
        <f ca="1">IFERROR(IF(VLOOKUP(C2173,' Disaggregation - Section E '!A$618:N1385,10,0)=0,"",VLOOKUP(C2173,' Disaggregation - Section E '!A$618:N1385,10,0)),"")</f>
        <v/>
      </c>
    </row>
    <row r="2174" spans="1:16" x14ac:dyDescent="0.3">
      <c r="A2174" s="487" t="b">
        <f t="shared" ca="1" si="149"/>
        <v>0</v>
      </c>
      <c r="B2174" s="487"/>
      <c r="C2174" s="500" t="str">
        <f ca="1">IF(COUNTA(D$1410:D2174)=1,"",OFFSET(B2172,-COUNTA(D$1410:D2174)+3,1))</f>
        <v>a163p000002zQbzAAE</v>
      </c>
      <c r="D2174" s="502"/>
      <c r="E2174" s="490" t="str">
        <f ca="1">IFERROR(IF(VLOOKUP(C2174,' Disaggregation - Section E '!A$618:N1386,7,0)=0,"",VLOOKUP(C2174,' Disaggregation - Section E '!A$618:N1386,7,0)*100),"")</f>
        <v/>
      </c>
      <c r="F2174" s="493" t="str">
        <f ca="1">IFERROR(VLOOKUP(C2174,' Disaggregation - Section E '!A$618:N1386,5,0),"")</f>
        <v>15+</v>
      </c>
      <c r="G2174" s="492" t="str">
        <f ca="1">IFERROR(IF(VLOOKUP(C2174,' Disaggregation - Section E '!A$618:N1386,6,0)=0,"",VLOOKUP(C2174,' Disaggregation - Section E '!A$618:N1386,6,0)),"")</f>
        <v/>
      </c>
      <c r="H2174" s="502" t="str">
        <f ca="1">IFERROR(IF(INDEX(' Disaggregation - Section E '!F$618:F2583,MATCH(C2174,' Disaggregation - Section E '!A$618:A2583,0)+1,1)&lt;&gt;0,INDEX(' Disaggregation - Section E '!F$618:F$1820,MATCH(C2174,' Disaggregation - Section E '!A$618:A2583,0)+1,1),""),"")</f>
        <v/>
      </c>
      <c r="I2174" s="493" t="str">
        <f ca="1">IFERROR(IF(VLOOKUP(C2174,' Disaggregation - Section E '!A$618:N1386,8,0)=0,"",VLOOKUP(C2174,' Disaggregation - Section E '!A$618:N1386,8,0)),"")</f>
        <v/>
      </c>
      <c r="J2174" s="493" t="str">
        <f ca="1">IFERROR(IF(VLOOKUP(C2174,' Disaggregation - Section E '!A$618:N2583,13,0)=0,"",VLOOKUP(C2174,' Disaggregation - Section E '!A$618:N2583,13,0)),"")</f>
        <v/>
      </c>
      <c r="K2174" s="487" t="str">
        <f ca="1">IFERROR(VLOOKUP(C2174,' Disaggregation - Section E '!A$618:N1386,3,0),"")</f>
        <v>TB/HIV-3.1a Pourcentage de personnes vivant avec le VIH ayant nouvellement initié la TARV chez qui les signes de la tuberculose ont été recherchés</v>
      </c>
      <c r="L2174" s="487"/>
      <c r="M2174" s="487" t="str">
        <f ca="1">IFERROR(IF(VLOOKUP(C2174,' Disaggregation - Section E '!A$618:T1386,20,0)=0,"",VLOOKUP(C2174,' Disaggregation - Section E '!A$618:T1386,20,0)),"")</f>
        <v>IDR-00734</v>
      </c>
      <c r="N2174" s="493" t="str">
        <f ca="1">IFERROR(IF(VLOOKUP(C2174,' Disaggregation - Section E '!A$618:N1386,14,0)=0,"",VLOOKUP(C2174,' Disaggregation - Section E '!A$618:N1386,14,0)),"")</f>
        <v/>
      </c>
      <c r="O2174" s="493" t="str">
        <f ca="1">IFERROR(IF(VLOOKUP(C2174,' Disaggregation - Section E '!A$618:N1386,9,0)=0,"",VLOOKUP(C2174,' Disaggregation - Section E '!A$618:N1386,9,0)),"")</f>
        <v/>
      </c>
      <c r="P2174" s="493" t="str">
        <f ca="1">IFERROR(IF(VLOOKUP(C2174,' Disaggregation - Section E '!A$618:N1386,10,0)=0,"",VLOOKUP(C2174,' Disaggregation - Section E '!A$618:N1386,10,0)),"")</f>
        <v/>
      </c>
    </row>
    <row r="2175" spans="1:16" x14ac:dyDescent="0.3">
      <c r="A2175" s="487" t="b">
        <f t="shared" ca="1" si="149"/>
        <v>0</v>
      </c>
      <c r="B2175" s="487"/>
      <c r="C2175" s="500" t="str">
        <f ca="1">IF(COUNTA(D$1410:D2175)=1,"",OFFSET(B2173,-COUNTA(D$1410:D2175)+3,1))</f>
        <v>a163p000002zQc0AAE</v>
      </c>
      <c r="D2175" s="502"/>
      <c r="E2175" s="490" t="str">
        <f ca="1">IFERROR(IF(VLOOKUP(C2175,' Disaggregation - Section E '!A$618:N1387,7,0)=0,"",VLOOKUP(C2175,' Disaggregation - Section E '!A$618:N1387,7,0)*100),"")</f>
        <v/>
      </c>
      <c r="F2175" s="493" t="str">
        <f ca="1">IFERROR(VLOOKUP(C2175,' Disaggregation - Section E '!A$618:N1387,5,0),"")</f>
        <v>Homme</v>
      </c>
      <c r="G2175" s="492" t="str">
        <f ca="1">IFERROR(IF(VLOOKUP(C2175,' Disaggregation - Section E '!A$618:N1387,6,0)=0,"",VLOOKUP(C2175,' Disaggregation - Section E '!A$618:N1387,6,0)),"")</f>
        <v/>
      </c>
      <c r="H2175" s="502" t="str">
        <f ca="1">IFERROR(IF(INDEX(' Disaggregation - Section E '!F$618:F2584,MATCH(C2175,' Disaggregation - Section E '!A$618:A2584,0)+1,1)&lt;&gt;0,INDEX(' Disaggregation - Section E '!F$618:F$1820,MATCH(C2175,' Disaggregation - Section E '!A$618:A2584,0)+1,1),""),"")</f>
        <v/>
      </c>
      <c r="I2175" s="493" t="str">
        <f ca="1">IFERROR(IF(VLOOKUP(C2175,' Disaggregation - Section E '!A$618:N1387,8,0)=0,"",VLOOKUP(C2175,' Disaggregation - Section E '!A$618:N1387,8,0)),"")</f>
        <v/>
      </c>
      <c r="J2175" s="493" t="str">
        <f ca="1">IFERROR(IF(VLOOKUP(C2175,' Disaggregation - Section E '!A$618:N2584,13,0)=0,"",VLOOKUP(C2175,' Disaggregation - Section E '!A$618:N2584,13,0)),"")</f>
        <v/>
      </c>
      <c r="K2175" s="487" t="str">
        <f ca="1">IFERROR(VLOOKUP(C2175,' Disaggregation - Section E '!A$618:N1387,3,0),"")</f>
        <v>TB/HIV-3.1a Pourcentage de personnes vivant avec le VIH ayant nouvellement initié la TARV chez qui les signes de la tuberculose ont été recherchés</v>
      </c>
      <c r="L2175" s="487"/>
      <c r="M2175" s="487" t="str">
        <f ca="1">IFERROR(IF(VLOOKUP(C2175,' Disaggregation - Section E '!A$618:T1387,20,0)=0,"",VLOOKUP(C2175,' Disaggregation - Section E '!A$618:T1387,20,0)),"")</f>
        <v>IDR-00856</v>
      </c>
      <c r="N2175" s="493" t="str">
        <f ca="1">IFERROR(IF(VLOOKUP(C2175,' Disaggregation - Section E '!A$618:N1387,14,0)=0,"",VLOOKUP(C2175,' Disaggregation - Section E '!A$618:N1387,14,0)),"")</f>
        <v/>
      </c>
      <c r="O2175" s="493" t="str">
        <f ca="1">IFERROR(IF(VLOOKUP(C2175,' Disaggregation - Section E '!A$618:N1387,9,0)=0,"",VLOOKUP(C2175,' Disaggregation - Section E '!A$618:N1387,9,0)),"")</f>
        <v/>
      </c>
      <c r="P2175" s="493" t="str">
        <f ca="1">IFERROR(IF(VLOOKUP(C2175,' Disaggregation - Section E '!A$618:N1387,10,0)=0,"",VLOOKUP(C2175,' Disaggregation - Section E '!A$618:N1387,10,0)),"")</f>
        <v/>
      </c>
    </row>
    <row r="2176" spans="1:16" x14ac:dyDescent="0.3">
      <c r="A2176" s="487" t="b">
        <f t="shared" ca="1" si="149"/>
        <v>0</v>
      </c>
      <c r="B2176" s="487"/>
      <c r="C2176" s="500" t="str">
        <f ca="1">IF(COUNTA(D$1410:D2176)=1,"",OFFSET(B2174,-COUNTA(D$1410:D2176)+3,1))</f>
        <v>a163p000002zQc1AAE</v>
      </c>
      <c r="D2176" s="502"/>
      <c r="E2176" s="490" t="str">
        <f ca="1">IFERROR(IF(VLOOKUP(C2176,' Disaggregation - Section E '!A$618:N1388,7,0)=0,"",VLOOKUP(C2176,' Disaggregation - Section E '!A$618:N1388,7,0)*100),"")</f>
        <v/>
      </c>
      <c r="F2176" s="493" t="str">
        <f ca="1">IFERROR(VLOOKUP(C2176,' Disaggregation - Section E '!A$618:N1388,5,0),"")</f>
        <v>Femme</v>
      </c>
      <c r="G2176" s="492" t="str">
        <f ca="1">IFERROR(IF(VLOOKUP(C2176,' Disaggregation - Section E '!A$618:N1388,6,0)=0,"",VLOOKUP(C2176,' Disaggregation - Section E '!A$618:N1388,6,0)),"")</f>
        <v/>
      </c>
      <c r="H2176" s="502" t="str">
        <f ca="1">IFERROR(IF(INDEX(' Disaggregation - Section E '!F$618:F2585,MATCH(C2176,' Disaggregation - Section E '!A$618:A2585,0)+1,1)&lt;&gt;0,INDEX(' Disaggregation - Section E '!F$618:F$1820,MATCH(C2176,' Disaggregation - Section E '!A$618:A2585,0)+1,1),""),"")</f>
        <v/>
      </c>
      <c r="I2176" s="493" t="str">
        <f ca="1">IFERROR(IF(VLOOKUP(C2176,' Disaggregation - Section E '!A$618:N1388,8,0)=0,"",VLOOKUP(C2176,' Disaggregation - Section E '!A$618:N1388,8,0)),"")</f>
        <v/>
      </c>
      <c r="J2176" s="493" t="str">
        <f ca="1">IFERROR(IF(VLOOKUP(C2176,' Disaggregation - Section E '!A$618:N2585,13,0)=0,"",VLOOKUP(C2176,' Disaggregation - Section E '!A$618:N2585,13,0)),"")</f>
        <v/>
      </c>
      <c r="K2176" s="487" t="str">
        <f ca="1">IFERROR(VLOOKUP(C2176,' Disaggregation - Section E '!A$618:N1388,3,0),"")</f>
        <v>TB/HIV-3.1a Pourcentage de personnes vivant avec le VIH ayant nouvellement initié la TARV chez qui les signes de la tuberculose ont été recherchés</v>
      </c>
      <c r="L2176" s="487"/>
      <c r="M2176" s="487" t="str">
        <f ca="1">IFERROR(IF(VLOOKUP(C2176,' Disaggregation - Section E '!A$618:T1388,20,0)=0,"",VLOOKUP(C2176,' Disaggregation - Section E '!A$618:T1388,20,0)),"")</f>
        <v>IDR-00857</v>
      </c>
      <c r="N2176" s="493" t="str">
        <f ca="1">IFERROR(IF(VLOOKUP(C2176,' Disaggregation - Section E '!A$618:N1388,14,0)=0,"",VLOOKUP(C2176,' Disaggregation - Section E '!A$618:N1388,14,0)),"")</f>
        <v/>
      </c>
      <c r="O2176" s="493" t="str">
        <f ca="1">IFERROR(IF(VLOOKUP(C2176,' Disaggregation - Section E '!A$618:N1388,9,0)=0,"",VLOOKUP(C2176,' Disaggregation - Section E '!A$618:N1388,9,0)),"")</f>
        <v/>
      </c>
      <c r="P2176" s="493" t="str">
        <f ca="1">IFERROR(IF(VLOOKUP(C2176,' Disaggregation - Section E '!A$618:N1388,10,0)=0,"",VLOOKUP(C2176,' Disaggregation - Section E '!A$618:N1388,10,0)),"")</f>
        <v/>
      </c>
    </row>
    <row r="2177" spans="1:16" x14ac:dyDescent="0.3">
      <c r="A2177" s="487" t="b">
        <f t="shared" ca="1" si="149"/>
        <v>0</v>
      </c>
      <c r="B2177" s="487"/>
      <c r="C2177" s="500" t="str">
        <f ca="1">IF(COUNTA(D$1410:D2177)=1,"",OFFSET(B2175,-COUNTA(D$1410:D2177)+3,1))</f>
        <v>a163p000002zQc2AAE</v>
      </c>
      <c r="D2177" s="502"/>
      <c r="E2177" s="490" t="str">
        <f ca="1">IFERROR(IF(VLOOKUP(C2177,' Disaggregation - Section E '!A$618:N1389,7,0)=0,"",VLOOKUP(C2177,' Disaggregation - Section E '!A$618:N1389,7,0)*100),"")</f>
        <v/>
      </c>
      <c r="F2177" s="493" t="str">
        <f ca="1">IFERROR(VLOOKUP(C2177,' Disaggregation - Section E '!A$618:N1389,5,0),"")</f>
        <v/>
      </c>
      <c r="G2177" s="492" t="str">
        <f ca="1">IFERROR(IF(VLOOKUP(C2177,' Disaggregation - Section E '!A$618:N1389,6,0)=0,"",VLOOKUP(C2177,' Disaggregation - Section E '!A$618:N1389,6,0)),"")</f>
        <v/>
      </c>
      <c r="H2177" s="502" t="str">
        <f ca="1">IFERROR(IF(INDEX(' Disaggregation - Section E '!F$618:F2586,MATCH(C2177,' Disaggregation - Section E '!A$618:A2586,0)+1,1)&lt;&gt;0,INDEX(' Disaggregation - Section E '!F$618:F$1820,MATCH(C2177,' Disaggregation - Section E '!A$618:A2586,0)+1,1),""),"")</f>
        <v/>
      </c>
      <c r="I2177" s="493" t="str">
        <f ca="1">IFERROR(IF(VLOOKUP(C2177,' Disaggregation - Section E '!A$618:N1389,8,0)=0,"",VLOOKUP(C2177,' Disaggregation - Section E '!A$618:N1389,8,0)),"")</f>
        <v/>
      </c>
      <c r="J2177" s="493" t="str">
        <f ca="1">IFERROR(IF(VLOOKUP(C2177,' Disaggregation - Section E '!A$618:N2586,13,0)=0,"",VLOOKUP(C2177,' Disaggregation - Section E '!A$618:N2586,13,0)),"")</f>
        <v/>
      </c>
      <c r="K2177" s="487" t="str">
        <f ca="1">IFERROR(VLOOKUP(C2177,' Disaggregation - Section E '!A$618:N1389,3,0),"")</f>
        <v>TB/HIV-3.1a Pourcentage de personnes vivant avec le VIH ayant nouvellement initié la TARV chez qui les signes de la tuberculose ont été recherchés</v>
      </c>
      <c r="L2177" s="487"/>
      <c r="M2177" s="487" t="str">
        <f ca="1">IFERROR(IF(VLOOKUP(C2177,' Disaggregation - Section E '!A$618:T1389,20,0)=0,"",VLOOKUP(C2177,' Disaggregation - Section E '!A$618:T1389,20,0)),"")</f>
        <v/>
      </c>
      <c r="N2177" s="493" t="str">
        <f ca="1">IFERROR(IF(VLOOKUP(C2177,' Disaggregation - Section E '!A$618:N1389,14,0)=0,"",VLOOKUP(C2177,' Disaggregation - Section E '!A$618:N1389,14,0)),"")</f>
        <v/>
      </c>
      <c r="O2177" s="493" t="str">
        <f ca="1">IFERROR(IF(VLOOKUP(C2177,' Disaggregation - Section E '!A$618:N1389,9,0)=0,"",VLOOKUP(C2177,' Disaggregation - Section E '!A$618:N1389,9,0)),"")</f>
        <v/>
      </c>
      <c r="P2177" s="493" t="str">
        <f ca="1">IFERROR(IF(VLOOKUP(C2177,' Disaggregation - Section E '!A$618:N1389,10,0)=0,"",VLOOKUP(C2177,' Disaggregation - Section E '!A$618:N1389,10,0)),"")</f>
        <v/>
      </c>
    </row>
    <row r="2178" spans="1:16" x14ac:dyDescent="0.3">
      <c r="A2178" s="487" t="b">
        <f t="shared" ca="1" si="149"/>
        <v>0</v>
      </c>
      <c r="B2178" s="487"/>
      <c r="C2178" s="500" t="str">
        <f ca="1">IF(COUNTA(D$1410:D2178)=1,"",OFFSET(B2176,-COUNTA(D$1410:D2178)+3,1))</f>
        <v>a163p000002zQc3AAE</v>
      </c>
      <c r="D2178" s="502"/>
      <c r="E2178" s="490" t="str">
        <f ca="1">IFERROR(IF(VLOOKUP(C2178,' Disaggregation - Section E '!A$618:N1390,7,0)=0,"",VLOOKUP(C2178,' Disaggregation - Section E '!A$618:N1390,7,0)*100),"")</f>
        <v/>
      </c>
      <c r="F2178" s="493" t="str">
        <f ca="1">IFERROR(VLOOKUP(C2178,' Disaggregation - Section E '!A$618:N1390,5,0),"")</f>
        <v/>
      </c>
      <c r="G2178" s="492" t="str">
        <f ca="1">IFERROR(IF(VLOOKUP(C2178,' Disaggregation - Section E '!A$618:N1390,6,0)=0,"",VLOOKUP(C2178,' Disaggregation - Section E '!A$618:N1390,6,0)),"")</f>
        <v/>
      </c>
      <c r="H2178" s="502" t="str">
        <f ca="1">IFERROR(IF(INDEX(' Disaggregation - Section E '!F$618:F2587,MATCH(C2178,' Disaggregation - Section E '!A$618:A2587,0)+1,1)&lt;&gt;0,INDEX(' Disaggregation - Section E '!F$618:F$1820,MATCH(C2178,' Disaggregation - Section E '!A$618:A2587,0)+1,1),""),"")</f>
        <v/>
      </c>
      <c r="I2178" s="493" t="str">
        <f ca="1">IFERROR(IF(VLOOKUP(C2178,' Disaggregation - Section E '!A$618:N1390,8,0)=0,"",VLOOKUP(C2178,' Disaggregation - Section E '!A$618:N1390,8,0)),"")</f>
        <v/>
      </c>
      <c r="J2178" s="493" t="str">
        <f ca="1">IFERROR(IF(VLOOKUP(C2178,' Disaggregation - Section E '!A$618:N2587,13,0)=0,"",VLOOKUP(C2178,' Disaggregation - Section E '!A$618:N2587,13,0)),"")</f>
        <v/>
      </c>
      <c r="K2178" s="487" t="str">
        <f ca="1">IFERROR(VLOOKUP(C2178,' Disaggregation - Section E '!A$618:N1390,3,0),"")</f>
        <v>TB/HIV-3.1a Pourcentage de personnes vivant avec le VIH ayant nouvellement initié la TARV chez qui les signes de la tuberculose ont été recherchés</v>
      </c>
      <c r="L2178" s="487"/>
      <c r="M2178" s="487" t="str">
        <f ca="1">IFERROR(IF(VLOOKUP(C2178,' Disaggregation - Section E '!A$618:T1390,20,0)=0,"",VLOOKUP(C2178,' Disaggregation - Section E '!A$618:T1390,20,0)),"")</f>
        <v/>
      </c>
      <c r="N2178" s="493" t="str">
        <f ca="1">IFERROR(IF(VLOOKUP(C2178,' Disaggregation - Section E '!A$618:N1390,14,0)=0,"",VLOOKUP(C2178,' Disaggregation - Section E '!A$618:N1390,14,0)),"")</f>
        <v/>
      </c>
      <c r="O2178" s="493" t="str">
        <f ca="1">IFERROR(IF(VLOOKUP(C2178,' Disaggregation - Section E '!A$618:N1390,9,0)=0,"",VLOOKUP(C2178,' Disaggregation - Section E '!A$618:N1390,9,0)),"")</f>
        <v/>
      </c>
      <c r="P2178" s="493" t="str">
        <f ca="1">IFERROR(IF(VLOOKUP(C2178,' Disaggregation - Section E '!A$618:N1390,10,0)=0,"",VLOOKUP(C2178,' Disaggregation - Section E '!A$618:N1390,10,0)),"")</f>
        <v/>
      </c>
    </row>
    <row r="2179" spans="1:16" x14ac:dyDescent="0.3">
      <c r="A2179" s="487" t="b">
        <f t="shared" ca="1" si="149"/>
        <v>0</v>
      </c>
      <c r="B2179" s="487"/>
      <c r="C2179" s="500" t="str">
        <f ca="1">IF(COUNTA(D$1410:D2179)=1,"",OFFSET(B2177,-COUNTA(D$1410:D2179)+3,1))</f>
        <v>a163p000002zQc4AAE</v>
      </c>
      <c r="D2179" s="502"/>
      <c r="E2179" s="490" t="str">
        <f ca="1">IFERROR(IF(VLOOKUP(C2179,' Disaggregation - Section E '!A$618:N1391,7,0)=0,"",VLOOKUP(C2179,' Disaggregation - Section E '!A$618:N1391,7,0)*100),"")</f>
        <v/>
      </c>
      <c r="F2179" s="493" t="str">
        <f ca="1">IFERROR(VLOOKUP(C2179,' Disaggregation - Section E '!A$618:N1391,5,0),"")</f>
        <v/>
      </c>
      <c r="G2179" s="492" t="str">
        <f ca="1">IFERROR(IF(VLOOKUP(C2179,' Disaggregation - Section E '!A$618:N1391,6,0)=0,"",VLOOKUP(C2179,' Disaggregation - Section E '!A$618:N1391,6,0)),"")</f>
        <v/>
      </c>
      <c r="H2179" s="502" t="str">
        <f ca="1">IFERROR(IF(INDEX(' Disaggregation - Section E '!F$618:F2588,MATCH(C2179,' Disaggregation - Section E '!A$618:A2588,0)+1,1)&lt;&gt;0,INDEX(' Disaggregation - Section E '!F$618:F$1820,MATCH(C2179,' Disaggregation - Section E '!A$618:A2588,0)+1,1),""),"")</f>
        <v/>
      </c>
      <c r="I2179" s="493" t="str">
        <f ca="1">IFERROR(IF(VLOOKUP(C2179,' Disaggregation - Section E '!A$618:N1391,8,0)=0,"",VLOOKUP(C2179,' Disaggregation - Section E '!A$618:N1391,8,0)),"")</f>
        <v/>
      </c>
      <c r="J2179" s="493" t="str">
        <f ca="1">IFERROR(IF(VLOOKUP(C2179,' Disaggregation - Section E '!A$618:N2588,13,0)=0,"",VLOOKUP(C2179,' Disaggregation - Section E '!A$618:N2588,13,0)),"")</f>
        <v/>
      </c>
      <c r="K2179" s="487" t="str">
        <f ca="1">IFERROR(VLOOKUP(C2179,' Disaggregation - Section E '!A$618:N1391,3,0),"")</f>
        <v>TB/HIV-3.1a Pourcentage de personnes vivant avec le VIH ayant nouvellement initié la TARV chez qui les signes de la tuberculose ont été recherchés</v>
      </c>
      <c r="L2179" s="487"/>
      <c r="M2179" s="487" t="str">
        <f ca="1">IFERROR(IF(VLOOKUP(C2179,' Disaggregation - Section E '!A$618:T1391,20,0)=0,"",VLOOKUP(C2179,' Disaggregation - Section E '!A$618:T1391,20,0)),"")</f>
        <v/>
      </c>
      <c r="N2179" s="493" t="str">
        <f ca="1">IFERROR(IF(VLOOKUP(C2179,' Disaggregation - Section E '!A$618:N1391,14,0)=0,"",VLOOKUP(C2179,' Disaggregation - Section E '!A$618:N1391,14,0)),"")</f>
        <v/>
      </c>
      <c r="O2179" s="493" t="str">
        <f ca="1">IFERROR(IF(VLOOKUP(C2179,' Disaggregation - Section E '!A$618:N1391,9,0)=0,"",VLOOKUP(C2179,' Disaggregation - Section E '!A$618:N1391,9,0)),"")</f>
        <v/>
      </c>
      <c r="P2179" s="493" t="str">
        <f ca="1">IFERROR(IF(VLOOKUP(C2179,' Disaggregation - Section E '!A$618:N1391,10,0)=0,"",VLOOKUP(C2179,' Disaggregation - Section E '!A$618:N1391,10,0)),"")</f>
        <v/>
      </c>
    </row>
    <row r="2180" spans="1:16" x14ac:dyDescent="0.3">
      <c r="A2180" s="487" t="b">
        <f t="shared" ca="1" si="149"/>
        <v>0</v>
      </c>
      <c r="B2180" s="487"/>
      <c r="C2180" s="500" t="str">
        <f ca="1">IF(COUNTA(D$1410:D2180)=1,"",OFFSET(B2178,-COUNTA(D$1410:D2180)+3,1))</f>
        <v>a163p000002zQc5AAE</v>
      </c>
      <c r="D2180" s="502"/>
      <c r="E2180" s="490" t="str">
        <f ca="1">IFERROR(IF(VLOOKUP(C2180,' Disaggregation - Section E '!A$618:N1392,7,0)=0,"",VLOOKUP(C2180,' Disaggregation - Section E '!A$618:N1392,7,0)*100),"")</f>
        <v/>
      </c>
      <c r="F2180" s="493" t="str">
        <f ca="1">IFERROR(VLOOKUP(C2180,' Disaggregation - Section E '!A$618:N1392,5,0),"")</f>
        <v/>
      </c>
      <c r="G2180" s="492" t="str">
        <f ca="1">IFERROR(IF(VLOOKUP(C2180,' Disaggregation - Section E '!A$618:N1392,6,0)=0,"",VLOOKUP(C2180,' Disaggregation - Section E '!A$618:N1392,6,0)),"")</f>
        <v/>
      </c>
      <c r="H2180" s="502" t="str">
        <f ca="1">IFERROR(IF(INDEX(' Disaggregation - Section E '!F$618:F2589,MATCH(C2180,' Disaggregation - Section E '!A$618:A2589,0)+1,1)&lt;&gt;0,INDEX(' Disaggregation - Section E '!F$618:F$1820,MATCH(C2180,' Disaggregation - Section E '!A$618:A2589,0)+1,1),""),"")</f>
        <v/>
      </c>
      <c r="I2180" s="493" t="str">
        <f ca="1">IFERROR(IF(VLOOKUP(C2180,' Disaggregation - Section E '!A$618:N1392,8,0)=0,"",VLOOKUP(C2180,' Disaggregation - Section E '!A$618:N1392,8,0)),"")</f>
        <v/>
      </c>
      <c r="J2180" s="493" t="str">
        <f ca="1">IFERROR(IF(VLOOKUP(C2180,' Disaggregation - Section E '!A$618:N2589,13,0)=0,"",VLOOKUP(C2180,' Disaggregation - Section E '!A$618:N2589,13,0)),"")</f>
        <v/>
      </c>
      <c r="K2180" s="487" t="str">
        <f ca="1">IFERROR(VLOOKUP(C2180,' Disaggregation - Section E '!A$618:N1392,3,0),"")</f>
        <v>TB/HIV-3.1a Pourcentage de personnes vivant avec le VIH ayant nouvellement initié la TARV chez qui les signes de la tuberculose ont été recherchés</v>
      </c>
      <c r="L2180" s="487"/>
      <c r="M2180" s="487" t="str">
        <f ca="1">IFERROR(IF(VLOOKUP(C2180,' Disaggregation - Section E '!A$618:T1392,20,0)=0,"",VLOOKUP(C2180,' Disaggregation - Section E '!A$618:T1392,20,0)),"")</f>
        <v/>
      </c>
      <c r="N2180" s="493" t="str">
        <f ca="1">IFERROR(IF(VLOOKUP(C2180,' Disaggregation - Section E '!A$618:N1392,14,0)=0,"",VLOOKUP(C2180,' Disaggregation - Section E '!A$618:N1392,14,0)),"")</f>
        <v/>
      </c>
      <c r="O2180" s="493" t="str">
        <f ca="1">IFERROR(IF(VLOOKUP(C2180,' Disaggregation - Section E '!A$618:N1392,9,0)=0,"",VLOOKUP(C2180,' Disaggregation - Section E '!A$618:N1392,9,0)),"")</f>
        <v/>
      </c>
      <c r="P2180" s="493" t="str">
        <f ca="1">IFERROR(IF(VLOOKUP(C2180,' Disaggregation - Section E '!A$618:N1392,10,0)=0,"",VLOOKUP(C2180,' Disaggregation - Section E '!A$618:N1392,10,0)),"")</f>
        <v/>
      </c>
    </row>
    <row r="2181" spans="1:16" x14ac:dyDescent="0.3">
      <c r="A2181" s="487" t="b">
        <f t="shared" ca="1" si="149"/>
        <v>0</v>
      </c>
      <c r="B2181" s="487"/>
      <c r="C2181" s="500" t="str">
        <f ca="1">IF(COUNTA(D$1410:D2181)=1,"",OFFSET(B2179,-COUNTA(D$1410:D2181)+3,1))</f>
        <v>a163p000002zQc6AAE</v>
      </c>
      <c r="D2181" s="502"/>
      <c r="E2181" s="490" t="str">
        <f ca="1">IFERROR(IF(VLOOKUP(C2181,' Disaggregation - Section E '!A$618:N1393,7,0)=0,"",VLOOKUP(C2181,' Disaggregation - Section E '!A$618:N1393,7,0)*100),"")</f>
        <v/>
      </c>
      <c r="F2181" s="493" t="str">
        <f ca="1">IFERROR(VLOOKUP(C2181,' Disaggregation - Section E '!A$618:N1393,5,0),"")</f>
        <v/>
      </c>
      <c r="G2181" s="492" t="str">
        <f ca="1">IFERROR(IF(VLOOKUP(C2181,' Disaggregation - Section E '!A$618:N1393,6,0)=0,"",VLOOKUP(C2181,' Disaggregation - Section E '!A$618:N1393,6,0)),"")</f>
        <v/>
      </c>
      <c r="H2181" s="502" t="str">
        <f ca="1">IFERROR(IF(INDEX(' Disaggregation - Section E '!F$618:F2590,MATCH(C2181,' Disaggregation - Section E '!A$618:A2590,0)+1,1)&lt;&gt;0,INDEX(' Disaggregation - Section E '!F$618:F$1820,MATCH(C2181,' Disaggregation - Section E '!A$618:A2590,0)+1,1),""),"")</f>
        <v/>
      </c>
      <c r="I2181" s="493" t="str">
        <f ca="1">IFERROR(IF(VLOOKUP(C2181,' Disaggregation - Section E '!A$618:N1393,8,0)=0,"",VLOOKUP(C2181,' Disaggregation - Section E '!A$618:N1393,8,0)),"")</f>
        <v/>
      </c>
      <c r="J2181" s="493" t="str">
        <f ca="1">IFERROR(IF(VLOOKUP(C2181,' Disaggregation - Section E '!A$618:N2590,13,0)=0,"",VLOOKUP(C2181,' Disaggregation - Section E '!A$618:N2590,13,0)),"")</f>
        <v/>
      </c>
      <c r="K2181" s="487" t="str">
        <f ca="1">IFERROR(VLOOKUP(C2181,' Disaggregation - Section E '!A$618:N1393,3,0),"")</f>
        <v>TB/HIV-3.1a Pourcentage de personnes vivant avec le VIH ayant nouvellement initié la TARV chez qui les signes de la tuberculose ont été recherchés</v>
      </c>
      <c r="L2181" s="487"/>
      <c r="M2181" s="487" t="str">
        <f ca="1">IFERROR(IF(VLOOKUP(C2181,' Disaggregation - Section E '!A$618:T1393,20,0)=0,"",VLOOKUP(C2181,' Disaggregation - Section E '!A$618:T1393,20,0)),"")</f>
        <v/>
      </c>
      <c r="N2181" s="493" t="str">
        <f ca="1">IFERROR(IF(VLOOKUP(C2181,' Disaggregation - Section E '!A$618:N1393,14,0)=0,"",VLOOKUP(C2181,' Disaggregation - Section E '!A$618:N1393,14,0)),"")</f>
        <v/>
      </c>
      <c r="O2181" s="493" t="str">
        <f ca="1">IFERROR(IF(VLOOKUP(C2181,' Disaggregation - Section E '!A$618:N1393,9,0)=0,"",VLOOKUP(C2181,' Disaggregation - Section E '!A$618:N1393,9,0)),"")</f>
        <v/>
      </c>
      <c r="P2181" s="493" t="str">
        <f ca="1">IFERROR(IF(VLOOKUP(C2181,' Disaggregation - Section E '!A$618:N1393,10,0)=0,"",VLOOKUP(C2181,' Disaggregation - Section E '!A$618:N1393,10,0)),"")</f>
        <v/>
      </c>
    </row>
    <row r="2182" spans="1:16" x14ac:dyDescent="0.3">
      <c r="A2182" s="487" t="b">
        <f t="shared" ca="1" si="149"/>
        <v>0</v>
      </c>
      <c r="B2182" s="487"/>
      <c r="C2182" s="500" t="str">
        <f ca="1">IF(COUNTA(D$1410:D2182)=1,"",OFFSET(B2180,-COUNTA(D$1410:D2182)+3,1))</f>
        <v>a163p000002zQc7AAE</v>
      </c>
      <c r="D2182" s="502"/>
      <c r="E2182" s="490" t="str">
        <f ca="1">IFERROR(IF(VLOOKUP(C2182,' Disaggregation - Section E '!A$618:N1394,7,0)=0,"",VLOOKUP(C2182,' Disaggregation - Section E '!A$618:N1394,7,0)*100),"")</f>
        <v/>
      </c>
      <c r="F2182" s="493" t="str">
        <f ca="1">IFERROR(VLOOKUP(C2182,' Disaggregation - Section E '!A$618:N1394,5,0),"")</f>
        <v/>
      </c>
      <c r="G2182" s="492" t="str">
        <f ca="1">IFERROR(IF(VLOOKUP(C2182,' Disaggregation - Section E '!A$618:N1394,6,0)=0,"",VLOOKUP(C2182,' Disaggregation - Section E '!A$618:N1394,6,0)),"")</f>
        <v/>
      </c>
      <c r="H2182" s="502" t="str">
        <f ca="1">IFERROR(IF(INDEX(' Disaggregation - Section E '!F$618:F2591,MATCH(C2182,' Disaggregation - Section E '!A$618:A2591,0)+1,1)&lt;&gt;0,INDEX(' Disaggregation - Section E '!F$618:F$1820,MATCH(C2182,' Disaggregation - Section E '!A$618:A2591,0)+1,1),""),"")</f>
        <v/>
      </c>
      <c r="I2182" s="493" t="str">
        <f ca="1">IFERROR(IF(VLOOKUP(C2182,' Disaggregation - Section E '!A$618:N1394,8,0)=0,"",VLOOKUP(C2182,' Disaggregation - Section E '!A$618:N1394,8,0)),"")</f>
        <v/>
      </c>
      <c r="J2182" s="493" t="str">
        <f ca="1">IFERROR(IF(VLOOKUP(C2182,' Disaggregation - Section E '!A$618:N2591,13,0)=0,"",VLOOKUP(C2182,' Disaggregation - Section E '!A$618:N2591,13,0)),"")</f>
        <v/>
      </c>
      <c r="K2182" s="487" t="str">
        <f ca="1">IFERROR(VLOOKUP(C2182,' Disaggregation - Section E '!A$618:N1394,3,0),"")</f>
        <v>TB/HIV-3.1a Pourcentage de personnes vivant avec le VIH ayant nouvellement initié la TARV chez qui les signes de la tuberculose ont été recherchés</v>
      </c>
      <c r="L2182" s="487"/>
      <c r="M2182" s="487" t="str">
        <f ca="1">IFERROR(IF(VLOOKUP(C2182,' Disaggregation - Section E '!A$618:T1394,20,0)=0,"",VLOOKUP(C2182,' Disaggregation - Section E '!A$618:T1394,20,0)),"")</f>
        <v/>
      </c>
      <c r="N2182" s="493" t="str">
        <f ca="1">IFERROR(IF(VLOOKUP(C2182,' Disaggregation - Section E '!A$618:N1394,14,0)=0,"",VLOOKUP(C2182,' Disaggregation - Section E '!A$618:N1394,14,0)),"")</f>
        <v/>
      </c>
      <c r="O2182" s="493" t="str">
        <f ca="1">IFERROR(IF(VLOOKUP(C2182,' Disaggregation - Section E '!A$618:N1394,9,0)=0,"",VLOOKUP(C2182,' Disaggregation - Section E '!A$618:N1394,9,0)),"")</f>
        <v/>
      </c>
      <c r="P2182" s="493" t="str">
        <f ca="1">IFERROR(IF(VLOOKUP(C2182,' Disaggregation - Section E '!A$618:N1394,10,0)=0,"",VLOOKUP(C2182,' Disaggregation - Section E '!A$618:N1394,10,0)),"")</f>
        <v/>
      </c>
    </row>
    <row r="2183" spans="1:16" x14ac:dyDescent="0.3">
      <c r="A2183" s="487" t="b">
        <f t="shared" ca="1" si="149"/>
        <v>0</v>
      </c>
      <c r="B2183" s="487"/>
      <c r="C2183" s="500" t="str">
        <f ca="1">IF(COUNTA(D$1410:D2183)=1,"",OFFSET(B2181,-COUNTA(D$1410:D2183)+3,1))</f>
        <v>a163p000002zQc8AAE</v>
      </c>
      <c r="D2183" s="502"/>
      <c r="E2183" s="490" t="str">
        <f ca="1">IFERROR(IF(VLOOKUP(C2183,' Disaggregation - Section E '!A$618:N1395,7,0)=0,"",VLOOKUP(C2183,' Disaggregation - Section E '!A$618:N1395,7,0)*100),"")</f>
        <v/>
      </c>
      <c r="F2183" s="493" t="str">
        <f ca="1">IFERROR(VLOOKUP(C2183,' Disaggregation - Section E '!A$618:N1395,5,0),"")</f>
        <v/>
      </c>
      <c r="G2183" s="492" t="str">
        <f ca="1">IFERROR(IF(VLOOKUP(C2183,' Disaggregation - Section E '!A$618:N1395,6,0)=0,"",VLOOKUP(C2183,' Disaggregation - Section E '!A$618:N1395,6,0)),"")</f>
        <v/>
      </c>
      <c r="H2183" s="502" t="str">
        <f ca="1">IFERROR(IF(INDEX(' Disaggregation - Section E '!F$618:F2592,MATCH(C2183,' Disaggregation - Section E '!A$618:A2592,0)+1,1)&lt;&gt;0,INDEX(' Disaggregation - Section E '!F$618:F$1820,MATCH(C2183,' Disaggregation - Section E '!A$618:A2592,0)+1,1),""),"")</f>
        <v/>
      </c>
      <c r="I2183" s="493" t="str">
        <f ca="1">IFERROR(IF(VLOOKUP(C2183,' Disaggregation - Section E '!A$618:N1395,8,0)=0,"",VLOOKUP(C2183,' Disaggregation - Section E '!A$618:N1395,8,0)),"")</f>
        <v/>
      </c>
      <c r="J2183" s="493" t="str">
        <f ca="1">IFERROR(IF(VLOOKUP(C2183,' Disaggregation - Section E '!A$618:N2592,13,0)=0,"",VLOOKUP(C2183,' Disaggregation - Section E '!A$618:N2592,13,0)),"")</f>
        <v/>
      </c>
      <c r="K2183" s="487" t="str">
        <f ca="1">IFERROR(VLOOKUP(C2183,' Disaggregation - Section E '!A$618:N1395,3,0),"")</f>
        <v>TB/HIV-3.1a Pourcentage de personnes vivant avec le VIH ayant nouvellement initié la TARV chez qui les signes de la tuberculose ont été recherchés</v>
      </c>
      <c r="L2183" s="487"/>
      <c r="M2183" s="487" t="str">
        <f ca="1">IFERROR(IF(VLOOKUP(C2183,' Disaggregation - Section E '!A$618:T1395,20,0)=0,"",VLOOKUP(C2183,' Disaggregation - Section E '!A$618:T1395,20,0)),"")</f>
        <v/>
      </c>
      <c r="N2183" s="493" t="str">
        <f ca="1">IFERROR(IF(VLOOKUP(C2183,' Disaggregation - Section E '!A$618:N1395,14,0)=0,"",VLOOKUP(C2183,' Disaggregation - Section E '!A$618:N1395,14,0)),"")</f>
        <v/>
      </c>
      <c r="O2183" s="493" t="str">
        <f ca="1">IFERROR(IF(VLOOKUP(C2183,' Disaggregation - Section E '!A$618:N1395,9,0)=0,"",VLOOKUP(C2183,' Disaggregation - Section E '!A$618:N1395,9,0)),"")</f>
        <v/>
      </c>
      <c r="P2183" s="493" t="str">
        <f ca="1">IFERROR(IF(VLOOKUP(C2183,' Disaggregation - Section E '!A$618:N1395,10,0)=0,"",VLOOKUP(C2183,' Disaggregation - Section E '!A$618:N1395,10,0)),"")</f>
        <v/>
      </c>
    </row>
    <row r="2184" spans="1:16" x14ac:dyDescent="0.3">
      <c r="A2184" s="487" t="b">
        <f t="shared" ca="1" si="149"/>
        <v>0</v>
      </c>
      <c r="B2184" s="487"/>
      <c r="C2184" s="500" t="str">
        <f ca="1">IF(COUNTA(D$1410:D2184)=1,"",OFFSET(B2182,-COUNTA(D$1410:D2184)+3,1))</f>
        <v>a163p000002zQc9AAE</v>
      </c>
      <c r="D2184" s="502"/>
      <c r="E2184" s="490" t="str">
        <f ca="1">IFERROR(IF(VLOOKUP(C2184,' Disaggregation - Section E '!A$618:N1396,7,0)=0,"",VLOOKUP(C2184,' Disaggregation - Section E '!A$618:N1396,7,0)*100),"")</f>
        <v/>
      </c>
      <c r="F2184" s="493" t="str">
        <f ca="1">IFERROR(VLOOKUP(C2184,' Disaggregation - Section E '!A$618:N1396,5,0),"")</f>
        <v/>
      </c>
      <c r="G2184" s="492" t="str">
        <f ca="1">IFERROR(IF(VLOOKUP(C2184,' Disaggregation - Section E '!A$618:N1396,6,0)=0,"",VLOOKUP(C2184,' Disaggregation - Section E '!A$618:N1396,6,0)),"")</f>
        <v/>
      </c>
      <c r="H2184" s="502" t="str">
        <f ca="1">IFERROR(IF(INDEX(' Disaggregation - Section E '!F$618:F2593,MATCH(C2184,' Disaggregation - Section E '!A$618:A2593,0)+1,1)&lt;&gt;0,INDEX(' Disaggregation - Section E '!F$618:F$1820,MATCH(C2184,' Disaggregation - Section E '!A$618:A2593,0)+1,1),""),"")</f>
        <v/>
      </c>
      <c r="I2184" s="493" t="str">
        <f ca="1">IFERROR(IF(VLOOKUP(C2184,' Disaggregation - Section E '!A$618:N1396,8,0)=0,"",VLOOKUP(C2184,' Disaggregation - Section E '!A$618:N1396,8,0)),"")</f>
        <v/>
      </c>
      <c r="J2184" s="493" t="str">
        <f ca="1">IFERROR(IF(VLOOKUP(C2184,' Disaggregation - Section E '!A$618:N2593,13,0)=0,"",VLOOKUP(C2184,' Disaggregation - Section E '!A$618:N2593,13,0)),"")</f>
        <v/>
      </c>
      <c r="K2184" s="487" t="str">
        <f ca="1">IFERROR(VLOOKUP(C2184,' Disaggregation - Section E '!A$618:N1396,3,0),"")</f>
        <v>TB/HIV-3.1a Pourcentage de personnes vivant avec le VIH ayant nouvellement initié la TARV chez qui les signes de la tuberculose ont été recherchés</v>
      </c>
      <c r="L2184" s="487"/>
      <c r="M2184" s="487" t="str">
        <f ca="1">IFERROR(IF(VLOOKUP(C2184,' Disaggregation - Section E '!A$618:T1396,20,0)=0,"",VLOOKUP(C2184,' Disaggregation - Section E '!A$618:T1396,20,0)),"")</f>
        <v/>
      </c>
      <c r="N2184" s="493" t="str">
        <f ca="1">IFERROR(IF(VLOOKUP(C2184,' Disaggregation - Section E '!A$618:N1396,14,0)=0,"",VLOOKUP(C2184,' Disaggregation - Section E '!A$618:N1396,14,0)),"")</f>
        <v/>
      </c>
      <c r="O2184" s="493" t="str">
        <f ca="1">IFERROR(IF(VLOOKUP(C2184,' Disaggregation - Section E '!A$618:N1396,9,0)=0,"",VLOOKUP(C2184,' Disaggregation - Section E '!A$618:N1396,9,0)),"")</f>
        <v/>
      </c>
      <c r="P2184" s="493" t="str">
        <f ca="1">IFERROR(IF(VLOOKUP(C2184,' Disaggregation - Section E '!A$618:N1396,10,0)=0,"",VLOOKUP(C2184,' Disaggregation - Section E '!A$618:N1396,10,0)),"")</f>
        <v/>
      </c>
    </row>
    <row r="2185" spans="1:16" x14ac:dyDescent="0.3">
      <c r="A2185" s="487" t="b">
        <f t="shared" ca="1" si="149"/>
        <v>0</v>
      </c>
      <c r="B2185" s="487"/>
      <c r="C2185" s="500" t="str">
        <f ca="1">IF(COUNTA(D$1410:D2185)=1,"",OFFSET(B2183,-COUNTA(D$1410:D2185)+3,1))</f>
        <v>a163p000002zQcAAAU</v>
      </c>
      <c r="D2185" s="502"/>
      <c r="E2185" s="490" t="str">
        <f ca="1">IFERROR(IF(VLOOKUP(C2185,' Disaggregation - Section E '!A$618:N1397,7,0)=0,"",VLOOKUP(C2185,' Disaggregation - Section E '!A$618:N1397,7,0)*100),"")</f>
        <v/>
      </c>
      <c r="F2185" s="493" t="str">
        <f ca="1">IFERROR(VLOOKUP(C2185,' Disaggregation - Section E '!A$618:N1397,5,0),"")</f>
        <v/>
      </c>
      <c r="G2185" s="492" t="str">
        <f ca="1">IFERROR(IF(VLOOKUP(C2185,' Disaggregation - Section E '!A$618:N1397,6,0)=0,"",VLOOKUP(C2185,' Disaggregation - Section E '!A$618:N1397,6,0)),"")</f>
        <v/>
      </c>
      <c r="H2185" s="502" t="str">
        <f ca="1">IFERROR(IF(INDEX(' Disaggregation - Section E '!F$618:F2594,MATCH(C2185,' Disaggregation - Section E '!A$618:A2594,0)+1,1)&lt;&gt;0,INDEX(' Disaggregation - Section E '!F$618:F$1820,MATCH(C2185,' Disaggregation - Section E '!A$618:A2594,0)+1,1),""),"")</f>
        <v/>
      </c>
      <c r="I2185" s="493" t="str">
        <f ca="1">IFERROR(IF(VLOOKUP(C2185,' Disaggregation - Section E '!A$618:N1397,8,0)=0,"",VLOOKUP(C2185,' Disaggregation - Section E '!A$618:N1397,8,0)),"")</f>
        <v/>
      </c>
      <c r="J2185" s="493" t="str">
        <f ca="1">IFERROR(IF(VLOOKUP(C2185,' Disaggregation - Section E '!A$618:N2594,13,0)=0,"",VLOOKUP(C2185,' Disaggregation - Section E '!A$618:N2594,13,0)),"")</f>
        <v/>
      </c>
      <c r="K2185" s="487" t="str">
        <f ca="1">IFERROR(VLOOKUP(C2185,' Disaggregation - Section E '!A$618:N1397,3,0),"")</f>
        <v>TB/HIV-3.1a Pourcentage de personnes vivant avec le VIH ayant nouvellement initié la TARV chez qui les signes de la tuberculose ont été recherchés</v>
      </c>
      <c r="L2185" s="487"/>
      <c r="M2185" s="487" t="str">
        <f ca="1">IFERROR(IF(VLOOKUP(C2185,' Disaggregation - Section E '!A$618:T1397,20,0)=0,"",VLOOKUP(C2185,' Disaggregation - Section E '!A$618:T1397,20,0)),"")</f>
        <v/>
      </c>
      <c r="N2185" s="493" t="str">
        <f ca="1">IFERROR(IF(VLOOKUP(C2185,' Disaggregation - Section E '!A$618:N1397,14,0)=0,"",VLOOKUP(C2185,' Disaggregation - Section E '!A$618:N1397,14,0)),"")</f>
        <v/>
      </c>
      <c r="O2185" s="493" t="str">
        <f ca="1">IFERROR(IF(VLOOKUP(C2185,' Disaggregation - Section E '!A$618:N1397,9,0)=0,"",VLOOKUP(C2185,' Disaggregation - Section E '!A$618:N1397,9,0)),"")</f>
        <v/>
      </c>
      <c r="P2185" s="493" t="str">
        <f ca="1">IFERROR(IF(VLOOKUP(C2185,' Disaggregation - Section E '!A$618:N1397,10,0)=0,"",VLOOKUP(C2185,' Disaggregation - Section E '!A$618:N1397,10,0)),"")</f>
        <v/>
      </c>
    </row>
    <row r="2186" spans="1:16" x14ac:dyDescent="0.3">
      <c r="A2186" s="487" t="b">
        <f t="shared" ca="1" si="149"/>
        <v>0</v>
      </c>
      <c r="B2186" s="487"/>
      <c r="C2186" s="500" t="str">
        <f ca="1">IF(COUNTA(D$1410:D2186)=1,"",OFFSET(B2184,-COUNTA(D$1410:D2186)+3,1))</f>
        <v>a163p000002zQcBAAU</v>
      </c>
      <c r="D2186" s="502"/>
      <c r="E2186" s="490" t="str">
        <f ca="1">IFERROR(IF(VLOOKUP(C2186,' Disaggregation - Section E '!A$618:N1398,7,0)=0,"",VLOOKUP(C2186,' Disaggregation - Section E '!A$618:N1398,7,0)*100),"")</f>
        <v/>
      </c>
      <c r="F2186" s="493" t="str">
        <f ca="1">IFERROR(VLOOKUP(C2186,' Disaggregation - Section E '!A$618:N1398,5,0),"")</f>
        <v/>
      </c>
      <c r="G2186" s="492" t="str">
        <f ca="1">IFERROR(IF(VLOOKUP(C2186,' Disaggregation - Section E '!A$618:N1398,6,0)=0,"",VLOOKUP(C2186,' Disaggregation - Section E '!A$618:N1398,6,0)),"")</f>
        <v/>
      </c>
      <c r="H2186" s="502" t="str">
        <f ca="1">IFERROR(IF(INDEX(' Disaggregation - Section E '!F$618:F2595,MATCH(C2186,' Disaggregation - Section E '!A$618:A2595,0)+1,1)&lt;&gt;0,INDEX(' Disaggregation - Section E '!F$618:F$1820,MATCH(C2186,' Disaggregation - Section E '!A$618:A2595,0)+1,1),""),"")</f>
        <v/>
      </c>
      <c r="I2186" s="493" t="str">
        <f ca="1">IFERROR(IF(VLOOKUP(C2186,' Disaggregation - Section E '!A$618:N1398,8,0)=0,"",VLOOKUP(C2186,' Disaggregation - Section E '!A$618:N1398,8,0)),"")</f>
        <v/>
      </c>
      <c r="J2186" s="493" t="str">
        <f ca="1">IFERROR(IF(VLOOKUP(C2186,' Disaggregation - Section E '!A$618:N2595,13,0)=0,"",VLOOKUP(C2186,' Disaggregation - Section E '!A$618:N2595,13,0)),"")</f>
        <v/>
      </c>
      <c r="K2186" s="487" t="str">
        <f ca="1">IFERROR(VLOOKUP(C2186,' Disaggregation - Section E '!A$618:N1398,3,0),"")</f>
        <v>TB/HIV-3.1a Pourcentage de personnes vivant avec le VIH ayant nouvellement initié la TARV chez qui les signes de la tuberculose ont été recherchés</v>
      </c>
      <c r="L2186" s="487"/>
      <c r="M2186" s="487" t="str">
        <f ca="1">IFERROR(IF(VLOOKUP(C2186,' Disaggregation - Section E '!A$618:T1398,20,0)=0,"",VLOOKUP(C2186,' Disaggregation - Section E '!A$618:T1398,20,0)),"")</f>
        <v/>
      </c>
      <c r="N2186" s="493" t="str">
        <f ca="1">IFERROR(IF(VLOOKUP(C2186,' Disaggregation - Section E '!A$618:N1398,14,0)=0,"",VLOOKUP(C2186,' Disaggregation - Section E '!A$618:N1398,14,0)),"")</f>
        <v/>
      </c>
      <c r="O2186" s="493" t="str">
        <f ca="1">IFERROR(IF(VLOOKUP(C2186,' Disaggregation - Section E '!A$618:N1398,9,0)=0,"",VLOOKUP(C2186,' Disaggregation - Section E '!A$618:N1398,9,0)),"")</f>
        <v/>
      </c>
      <c r="P2186" s="493" t="str">
        <f ca="1">IFERROR(IF(VLOOKUP(C2186,' Disaggregation - Section E '!A$618:N1398,10,0)=0,"",VLOOKUP(C2186,' Disaggregation - Section E '!A$618:N1398,10,0)),"")</f>
        <v/>
      </c>
    </row>
    <row r="2187" spans="1:16" x14ac:dyDescent="0.3">
      <c r="A2187" s="487" t="b">
        <f t="shared" ca="1" si="149"/>
        <v>0</v>
      </c>
      <c r="B2187" s="487"/>
      <c r="C2187" s="500" t="str">
        <f ca="1">IF(COUNTA(D$1410:D2187)=1,"",OFFSET(B2185,-COUNTA(D$1410:D2187)+3,1))</f>
        <v>a163p000002zQcCAAU</v>
      </c>
      <c r="D2187" s="502"/>
      <c r="E2187" s="490" t="str">
        <f ca="1">IFERROR(IF(VLOOKUP(C2187,' Disaggregation - Section E '!A$618:N1399,7,0)=0,"",VLOOKUP(C2187,' Disaggregation - Section E '!A$618:N1399,7,0)*100),"")</f>
        <v/>
      </c>
      <c r="F2187" s="493" t="str">
        <f ca="1">IFERROR(VLOOKUP(C2187,' Disaggregation - Section E '!A$618:N1399,5,0),"")</f>
        <v/>
      </c>
      <c r="G2187" s="492" t="str">
        <f ca="1">IFERROR(IF(VLOOKUP(C2187,' Disaggregation - Section E '!A$618:N1399,6,0)=0,"",VLOOKUP(C2187,' Disaggregation - Section E '!A$618:N1399,6,0)),"")</f>
        <v/>
      </c>
      <c r="H2187" s="502" t="str">
        <f ca="1">IFERROR(IF(INDEX(' Disaggregation - Section E '!F$618:F2596,MATCH(C2187,' Disaggregation - Section E '!A$618:A2596,0)+1,1)&lt;&gt;0,INDEX(' Disaggregation - Section E '!F$618:F$1820,MATCH(C2187,' Disaggregation - Section E '!A$618:A2596,0)+1,1),""),"")</f>
        <v/>
      </c>
      <c r="I2187" s="493" t="str">
        <f ca="1">IFERROR(IF(VLOOKUP(C2187,' Disaggregation - Section E '!A$618:N1399,8,0)=0,"",VLOOKUP(C2187,' Disaggregation - Section E '!A$618:N1399,8,0)),"")</f>
        <v/>
      </c>
      <c r="J2187" s="493" t="str">
        <f ca="1">IFERROR(IF(VLOOKUP(C2187,' Disaggregation - Section E '!A$618:N2596,13,0)=0,"",VLOOKUP(C2187,' Disaggregation - Section E '!A$618:N2596,13,0)),"")</f>
        <v/>
      </c>
      <c r="K2187" s="487" t="str">
        <f ca="1">IFERROR(VLOOKUP(C2187,' Disaggregation - Section E '!A$618:N1399,3,0),"")</f>
        <v>TB/HIV-3.1a Pourcentage de personnes vivant avec le VIH ayant nouvellement initié la TARV chez qui les signes de la tuberculose ont été recherchés</v>
      </c>
      <c r="L2187" s="487"/>
      <c r="M2187" s="487" t="str">
        <f ca="1">IFERROR(IF(VLOOKUP(C2187,' Disaggregation - Section E '!A$618:T1399,20,0)=0,"",VLOOKUP(C2187,' Disaggregation - Section E '!A$618:T1399,20,0)),"")</f>
        <v/>
      </c>
      <c r="N2187" s="493" t="str">
        <f ca="1">IFERROR(IF(VLOOKUP(C2187,' Disaggregation - Section E '!A$618:N1399,14,0)=0,"",VLOOKUP(C2187,' Disaggregation - Section E '!A$618:N1399,14,0)),"")</f>
        <v/>
      </c>
      <c r="O2187" s="493" t="str">
        <f ca="1">IFERROR(IF(VLOOKUP(C2187,' Disaggregation - Section E '!A$618:N1399,9,0)=0,"",VLOOKUP(C2187,' Disaggregation - Section E '!A$618:N1399,9,0)),"")</f>
        <v/>
      </c>
      <c r="P2187" s="493" t="str">
        <f ca="1">IFERROR(IF(VLOOKUP(C2187,' Disaggregation - Section E '!A$618:N1399,10,0)=0,"",VLOOKUP(C2187,' Disaggregation - Section E '!A$618:N1399,10,0)),"")</f>
        <v/>
      </c>
    </row>
    <row r="2188" spans="1:16" x14ac:dyDescent="0.3">
      <c r="A2188" s="487" t="b">
        <f t="shared" ca="1" si="149"/>
        <v>0</v>
      </c>
      <c r="B2188" s="487"/>
      <c r="C2188" s="500" t="str">
        <f ca="1">IF(COUNTA(D$1410:D2188)=1,"",OFFSET(B2186,-COUNTA(D$1410:D2188)+3,1))</f>
        <v>a163p000002zQcDAAU</v>
      </c>
      <c r="D2188" s="502"/>
      <c r="E2188" s="490" t="str">
        <f ca="1">IFERROR(IF(VLOOKUP(C2188,' Disaggregation - Section E '!A$618:N1400,7,0)=0,"",VLOOKUP(C2188,' Disaggregation - Section E '!A$618:N1400,7,0)*100),"")</f>
        <v/>
      </c>
      <c r="F2188" s="493" t="str">
        <f ca="1">IFERROR(VLOOKUP(C2188,' Disaggregation - Section E '!A$618:N1400,5,0),"")</f>
        <v/>
      </c>
      <c r="G2188" s="492" t="str">
        <f ca="1">IFERROR(IF(VLOOKUP(C2188,' Disaggregation - Section E '!A$618:N1400,6,0)=0,"",VLOOKUP(C2188,' Disaggregation - Section E '!A$618:N1400,6,0)),"")</f>
        <v/>
      </c>
      <c r="H2188" s="502" t="str">
        <f ca="1">IFERROR(IF(INDEX(' Disaggregation - Section E '!F$618:F2597,MATCH(C2188,' Disaggregation - Section E '!A$618:A2597,0)+1,1)&lt;&gt;0,INDEX(' Disaggregation - Section E '!F$618:F$1820,MATCH(C2188,' Disaggregation - Section E '!A$618:A2597,0)+1,1),""),"")</f>
        <v/>
      </c>
      <c r="I2188" s="493" t="str">
        <f ca="1">IFERROR(IF(VLOOKUP(C2188,' Disaggregation - Section E '!A$618:N1400,8,0)=0,"",VLOOKUP(C2188,' Disaggregation - Section E '!A$618:N1400,8,0)),"")</f>
        <v/>
      </c>
      <c r="J2188" s="493" t="str">
        <f ca="1">IFERROR(IF(VLOOKUP(C2188,' Disaggregation - Section E '!A$618:N2597,13,0)=0,"",VLOOKUP(C2188,' Disaggregation - Section E '!A$618:N2597,13,0)),"")</f>
        <v/>
      </c>
      <c r="K2188" s="487" t="str">
        <f ca="1">IFERROR(VLOOKUP(C2188,' Disaggregation - Section E '!A$618:N1400,3,0),"")</f>
        <v>TB/HIV-3.1a Pourcentage de personnes vivant avec le VIH ayant nouvellement initié la TARV chez qui les signes de la tuberculose ont été recherchés</v>
      </c>
      <c r="L2188" s="487"/>
      <c r="M2188" s="487" t="str">
        <f ca="1">IFERROR(IF(VLOOKUP(C2188,' Disaggregation - Section E '!A$618:T1400,20,0)=0,"",VLOOKUP(C2188,' Disaggregation - Section E '!A$618:T1400,20,0)),"")</f>
        <v/>
      </c>
      <c r="N2188" s="493" t="str">
        <f ca="1">IFERROR(IF(VLOOKUP(C2188,' Disaggregation - Section E '!A$618:N1400,14,0)=0,"",VLOOKUP(C2188,' Disaggregation - Section E '!A$618:N1400,14,0)),"")</f>
        <v/>
      </c>
      <c r="O2188" s="493" t="str">
        <f ca="1">IFERROR(IF(VLOOKUP(C2188,' Disaggregation - Section E '!A$618:N1400,9,0)=0,"",VLOOKUP(C2188,' Disaggregation - Section E '!A$618:N1400,9,0)),"")</f>
        <v/>
      </c>
      <c r="P2188" s="493" t="str">
        <f ca="1">IFERROR(IF(VLOOKUP(C2188,' Disaggregation - Section E '!A$618:N1400,10,0)=0,"",VLOOKUP(C2188,' Disaggregation - Section E '!A$618:N1400,10,0)),"")</f>
        <v/>
      </c>
    </row>
    <row r="2189" spans="1:16" x14ac:dyDescent="0.3">
      <c r="A2189" s="487" t="b">
        <f t="shared" ca="1" si="149"/>
        <v>0</v>
      </c>
      <c r="B2189" s="487"/>
      <c r="C2189" s="500" t="str">
        <f ca="1">IF(COUNTA(D$1410:D2189)=1,"",OFFSET(B2187,-COUNTA(D$1410:D2189)+3,1))</f>
        <v>a163p000002zQcEAAU</v>
      </c>
      <c r="D2189" s="502"/>
      <c r="E2189" s="490" t="str">
        <f ca="1">IFERROR(IF(VLOOKUP(C2189,' Disaggregation - Section E '!A$618:N1401,7,0)=0,"",VLOOKUP(C2189,' Disaggregation - Section E '!A$618:N1401,7,0)*100),"")</f>
        <v/>
      </c>
      <c r="F2189" s="493" t="str">
        <f ca="1">IFERROR(VLOOKUP(C2189,' Disaggregation - Section E '!A$618:N1401,5,0),"")</f>
        <v/>
      </c>
      <c r="G2189" s="492" t="str">
        <f ca="1">IFERROR(IF(VLOOKUP(C2189,' Disaggregation - Section E '!A$618:N1401,6,0)=0,"",VLOOKUP(C2189,' Disaggregation - Section E '!A$618:N1401,6,0)),"")</f>
        <v/>
      </c>
      <c r="H2189" s="502" t="str">
        <f ca="1">IFERROR(IF(INDEX(' Disaggregation - Section E '!F$618:F2598,MATCH(C2189,' Disaggregation - Section E '!A$618:A2598,0)+1,1)&lt;&gt;0,INDEX(' Disaggregation - Section E '!F$618:F$1820,MATCH(C2189,' Disaggregation - Section E '!A$618:A2598,0)+1,1),""),"")</f>
        <v/>
      </c>
      <c r="I2189" s="493" t="str">
        <f ca="1">IFERROR(IF(VLOOKUP(C2189,' Disaggregation - Section E '!A$618:N1401,8,0)=0,"",VLOOKUP(C2189,' Disaggregation - Section E '!A$618:N1401,8,0)),"")</f>
        <v/>
      </c>
      <c r="J2189" s="493" t="str">
        <f ca="1">IFERROR(IF(VLOOKUP(C2189,' Disaggregation - Section E '!A$618:N2598,13,0)=0,"",VLOOKUP(C2189,' Disaggregation - Section E '!A$618:N2598,13,0)),"")</f>
        <v/>
      </c>
      <c r="K2189" s="487" t="str">
        <f ca="1">IFERROR(VLOOKUP(C2189,' Disaggregation - Section E '!A$618:N1401,3,0),"")</f>
        <v>TB/HIV-3.1a Pourcentage de personnes vivant avec le VIH ayant nouvellement initié la TARV chez qui les signes de la tuberculose ont été recherchés</v>
      </c>
      <c r="L2189" s="487"/>
      <c r="M2189" s="487" t="str">
        <f ca="1">IFERROR(IF(VLOOKUP(C2189,' Disaggregation - Section E '!A$618:T1401,20,0)=0,"",VLOOKUP(C2189,' Disaggregation - Section E '!A$618:T1401,20,0)),"")</f>
        <v/>
      </c>
      <c r="N2189" s="493" t="str">
        <f ca="1">IFERROR(IF(VLOOKUP(C2189,' Disaggregation - Section E '!A$618:N1401,14,0)=0,"",VLOOKUP(C2189,' Disaggregation - Section E '!A$618:N1401,14,0)),"")</f>
        <v/>
      </c>
      <c r="O2189" s="493" t="str">
        <f ca="1">IFERROR(IF(VLOOKUP(C2189,' Disaggregation - Section E '!A$618:N1401,9,0)=0,"",VLOOKUP(C2189,' Disaggregation - Section E '!A$618:N1401,9,0)),"")</f>
        <v/>
      </c>
      <c r="P2189" s="493" t="str">
        <f ca="1">IFERROR(IF(VLOOKUP(C2189,' Disaggregation - Section E '!A$618:N1401,10,0)=0,"",VLOOKUP(C2189,' Disaggregation - Section E '!A$618:N1401,10,0)),"")</f>
        <v/>
      </c>
    </row>
    <row r="2190" spans="1:16" x14ac:dyDescent="0.3">
      <c r="A2190" s="487" t="b">
        <f t="shared" ca="1" si="149"/>
        <v>0</v>
      </c>
      <c r="B2190" s="487"/>
      <c r="C2190" s="500" t="str">
        <f ca="1">IF(COUNTA(D$1410:D2190)=1,"",OFFSET(B2188,-COUNTA(D$1410:D2190)+3,1))</f>
        <v>a163p000002zQcFAAU</v>
      </c>
      <c r="D2190" s="502"/>
      <c r="E2190" s="490" t="str">
        <f ca="1">IFERROR(IF(VLOOKUP(C2190,' Disaggregation - Section E '!A$618:N1402,7,0)=0,"",VLOOKUP(C2190,' Disaggregation - Section E '!A$618:N1402,7,0)*100),"")</f>
        <v/>
      </c>
      <c r="F2190" s="493" t="str">
        <f ca="1">IFERROR(VLOOKUP(C2190,' Disaggregation - Section E '!A$618:N1402,5,0),"")</f>
        <v/>
      </c>
      <c r="G2190" s="492" t="str">
        <f ca="1">IFERROR(IF(VLOOKUP(C2190,' Disaggregation - Section E '!A$618:N1402,6,0)=0,"",VLOOKUP(C2190,' Disaggregation - Section E '!A$618:N1402,6,0)),"")</f>
        <v/>
      </c>
      <c r="H2190" s="502" t="str">
        <f ca="1">IFERROR(IF(INDEX(' Disaggregation - Section E '!F$618:F2599,MATCH(C2190,' Disaggregation - Section E '!A$618:A2599,0)+1,1)&lt;&gt;0,INDEX(' Disaggregation - Section E '!F$618:F$1820,MATCH(C2190,' Disaggregation - Section E '!A$618:A2599,0)+1,1),""),"")</f>
        <v/>
      </c>
      <c r="I2190" s="493" t="str">
        <f ca="1">IFERROR(IF(VLOOKUP(C2190,' Disaggregation - Section E '!A$618:N1402,8,0)=0,"",VLOOKUP(C2190,' Disaggregation - Section E '!A$618:N1402,8,0)),"")</f>
        <v/>
      </c>
      <c r="J2190" s="493" t="str">
        <f ca="1">IFERROR(IF(VLOOKUP(C2190,' Disaggregation - Section E '!A$618:N2599,13,0)=0,"",VLOOKUP(C2190,' Disaggregation - Section E '!A$618:N2599,13,0)),"")</f>
        <v/>
      </c>
      <c r="K2190" s="487" t="str">
        <f ca="1">IFERROR(VLOOKUP(C2190,' Disaggregation - Section E '!A$618:N1402,3,0),"")</f>
        <v>TB/HIV-3.1a Pourcentage de personnes vivant avec le VIH ayant nouvellement initié la TARV chez qui les signes de la tuberculose ont été recherchés</v>
      </c>
      <c r="L2190" s="487"/>
      <c r="M2190" s="487" t="str">
        <f ca="1">IFERROR(IF(VLOOKUP(C2190,' Disaggregation - Section E '!A$618:T1402,20,0)=0,"",VLOOKUP(C2190,' Disaggregation - Section E '!A$618:T1402,20,0)),"")</f>
        <v/>
      </c>
      <c r="N2190" s="493" t="str">
        <f ca="1">IFERROR(IF(VLOOKUP(C2190,' Disaggregation - Section E '!A$618:N1402,14,0)=0,"",VLOOKUP(C2190,' Disaggregation - Section E '!A$618:N1402,14,0)),"")</f>
        <v/>
      </c>
      <c r="O2190" s="493" t="str">
        <f ca="1">IFERROR(IF(VLOOKUP(C2190,' Disaggregation - Section E '!A$618:N1402,9,0)=0,"",VLOOKUP(C2190,' Disaggregation - Section E '!A$618:N1402,9,0)),"")</f>
        <v/>
      </c>
      <c r="P2190" s="493" t="str">
        <f ca="1">IFERROR(IF(VLOOKUP(C2190,' Disaggregation - Section E '!A$618:N1402,10,0)=0,"",VLOOKUP(C2190,' Disaggregation - Section E '!A$618:N1402,10,0)),"")</f>
        <v/>
      </c>
    </row>
    <row r="2191" spans="1:16" x14ac:dyDescent="0.3">
      <c r="A2191" s="487" t="b">
        <f t="shared" ca="1" si="149"/>
        <v>0</v>
      </c>
      <c r="B2191" s="487"/>
      <c r="C2191" s="500" t="str">
        <f ca="1">IF(COUNTA(D$1410:D2191)=1,"",OFFSET(B2189,-COUNTA(D$1410:D2191)+3,1))</f>
        <v>a163p000002zQcGAAU</v>
      </c>
      <c r="D2191" s="502"/>
      <c r="E2191" s="490" t="str">
        <f ca="1">IFERROR(IF(VLOOKUP(C2191,' Disaggregation - Section E '!A$618:N1403,7,0)=0,"",VLOOKUP(C2191,' Disaggregation - Section E '!A$618:N1403,7,0)*100),"")</f>
        <v/>
      </c>
      <c r="F2191" s="493" t="str">
        <f ca="1">IFERROR(VLOOKUP(C2191,' Disaggregation - Section E '!A$618:N1403,5,0),"")</f>
        <v/>
      </c>
      <c r="G2191" s="492" t="str">
        <f ca="1">IFERROR(IF(VLOOKUP(C2191,' Disaggregation - Section E '!A$618:N1403,6,0)=0,"",VLOOKUP(C2191,' Disaggregation - Section E '!A$618:N1403,6,0)),"")</f>
        <v/>
      </c>
      <c r="H2191" s="502" t="str">
        <f ca="1">IFERROR(IF(INDEX(' Disaggregation - Section E '!F$618:F2600,MATCH(C2191,' Disaggregation - Section E '!A$618:A2600,0)+1,1)&lt;&gt;0,INDEX(' Disaggregation - Section E '!F$618:F$1820,MATCH(C2191,' Disaggregation - Section E '!A$618:A2600,0)+1,1),""),"")</f>
        <v/>
      </c>
      <c r="I2191" s="493" t="str">
        <f ca="1">IFERROR(IF(VLOOKUP(C2191,' Disaggregation - Section E '!A$618:N1403,8,0)=0,"",VLOOKUP(C2191,' Disaggregation - Section E '!A$618:N1403,8,0)),"")</f>
        <v/>
      </c>
      <c r="J2191" s="493" t="str">
        <f ca="1">IFERROR(IF(VLOOKUP(C2191,' Disaggregation - Section E '!A$618:N2600,13,0)=0,"",VLOOKUP(C2191,' Disaggregation - Section E '!A$618:N2600,13,0)),"")</f>
        <v/>
      </c>
      <c r="K2191" s="487" t="str">
        <f ca="1">IFERROR(VLOOKUP(C2191,' Disaggregation - Section E '!A$618:N1403,3,0),"")</f>
        <v>TB/HIV-3.1a Pourcentage de personnes vivant avec le VIH ayant nouvellement initié la TARV chez qui les signes de la tuberculose ont été recherchés</v>
      </c>
      <c r="L2191" s="487"/>
      <c r="M2191" s="487" t="str">
        <f ca="1">IFERROR(IF(VLOOKUP(C2191,' Disaggregation - Section E '!A$618:T1403,20,0)=0,"",VLOOKUP(C2191,' Disaggregation - Section E '!A$618:T1403,20,0)),"")</f>
        <v/>
      </c>
      <c r="N2191" s="493" t="str">
        <f ca="1">IFERROR(IF(VLOOKUP(C2191,' Disaggregation - Section E '!A$618:N1403,14,0)=0,"",VLOOKUP(C2191,' Disaggregation - Section E '!A$618:N1403,14,0)),"")</f>
        <v/>
      </c>
      <c r="O2191" s="493" t="str">
        <f ca="1">IFERROR(IF(VLOOKUP(C2191,' Disaggregation - Section E '!A$618:N1403,9,0)=0,"",VLOOKUP(C2191,' Disaggregation - Section E '!A$618:N1403,9,0)),"")</f>
        <v/>
      </c>
      <c r="P2191" s="493" t="str">
        <f ca="1">IFERROR(IF(VLOOKUP(C2191,' Disaggregation - Section E '!A$618:N1403,10,0)=0,"",VLOOKUP(C2191,' Disaggregation - Section E '!A$618:N1403,10,0)),"")</f>
        <v/>
      </c>
    </row>
    <row r="2192" spans="1:16" x14ac:dyDescent="0.3">
      <c r="J2192" s="486" t="str">
        <f ca="1">IF(ROW()&gt;'Impact Indicator Target Update'!A19,"",INDIRECT("'Impact Indicators - Section B'!A"&amp;'Impact Indicator Target Update'!D19))</f>
        <v/>
      </c>
    </row>
    <row r="2193" spans="1:18" x14ac:dyDescent="0.3">
      <c r="J2193" s="486" t="str">
        <f ca="1">IF(ROW()&gt;'Impact Indicator Target Update'!A20,"",INDIRECT("'Impact Indicators - Section B'!A"&amp;'Impact Indicator Target Update'!D20))</f>
        <v/>
      </c>
    </row>
    <row r="2194" spans="1:18" x14ac:dyDescent="0.3">
      <c r="A2194" s="497" t="s">
        <v>368</v>
      </c>
      <c r="B2194" s="486" t="s">
        <v>357</v>
      </c>
      <c r="J2194" s="486" t="str">
        <f ca="1">IF(ROW()&gt;'Impact Indicator Target Update'!A21,"",INDIRECT("'Impact Indicators - Section B'!A"&amp;'Impact Indicator Target Update'!D21))</f>
        <v/>
      </c>
    </row>
    <row r="2195" spans="1:18" x14ac:dyDescent="0.3">
      <c r="A2195" s="487" t="s">
        <v>46</v>
      </c>
      <c r="B2195" s="487">
        <v>7</v>
      </c>
      <c r="C2195" s="487" t="s">
        <v>48</v>
      </c>
      <c r="D2195" s="487" t="s">
        <v>148</v>
      </c>
      <c r="E2195" s="487" t="s">
        <v>100</v>
      </c>
      <c r="F2195" s="487" t="s">
        <v>68</v>
      </c>
      <c r="G2195" s="487" t="s">
        <v>352</v>
      </c>
      <c r="H2195" s="487">
        <v>-81</v>
      </c>
      <c r="I2195" s="487" t="s">
        <v>354</v>
      </c>
      <c r="J2195" s="487" t="s">
        <v>39</v>
      </c>
      <c r="K2195" s="487" t="s">
        <v>279</v>
      </c>
      <c r="L2195" s="487" t="s">
        <v>350</v>
      </c>
      <c r="M2195" s="487" t="s">
        <v>479</v>
      </c>
      <c r="N2195" s="487" t="s">
        <v>9</v>
      </c>
      <c r="O2195" s="487" t="s">
        <v>478</v>
      </c>
      <c r="P2195" s="487" t="s">
        <v>67</v>
      </c>
      <c r="Q2195" s="487" t="s">
        <v>1</v>
      </c>
      <c r="R2195" s="487" t="s">
        <v>383</v>
      </c>
    </row>
    <row r="2196" spans="1:18" hidden="1" x14ac:dyDescent="0.3">
      <c r="A2196" s="487" t="b">
        <f ca="1">IF(AND(D2196&lt;&gt;"",M2196&lt;&gt;""),TRUE,FALSE)</f>
        <v>0</v>
      </c>
      <c r="B2196" s="487">
        <f>IF(_xlfn.ISFORMULA(J2196),B2195+1,B2195)</f>
        <v>8</v>
      </c>
      <c r="C2196" s="505" t="str">
        <f ca="1">IF(COUNTA($G$2194:G2195)=1,"",OFFSET(B2196,-COUNTA($G$2194:G2195)+1,1))</f>
        <v/>
      </c>
      <c r="D2196" s="487" t="str">
        <f ca="1">IFERROR(IF(INDIRECT("'WPTM - Section F'!AT"&amp;$B2196)=0,"",INDIRECT("'WPTM - Section F'!AT"&amp;$B2196)),"")</f>
        <v/>
      </c>
      <c r="E2196" s="493"/>
      <c r="F2196" s="493" t="str">
        <f ca="1">IFERROR(IF(INDIRECT("'WPTM - Section F'!AU"&amp;$B2196)=0,"",INDIRECT("'WPTM - Section F'!AU"&amp;$B2196)),"")</f>
        <v>Activité principale (EN)</v>
      </c>
      <c r="G2196" s="510"/>
      <c r="H2196" s="488">
        <f>H2195+1</f>
        <v>-80</v>
      </c>
      <c r="I2196" s="487" t="str">
        <f ca="1">IF(IFERROR(VLOOKUP(INDIRECT("'WPTM - Section F'!F"&amp;B2196),'Overview - Section A'!M$29:R40,6,0),IFERROR(VLOOKUP(INDIRECT("'WPTM - Section F'!F"&amp;B2196),'Overview - Section A'!E$26:J28,6,0),""))=0,"",IFERROR(VLOOKUP(INDIRECT("'WPTM - Section F'!F"&amp;B2196),'Overview - Section A'!M$29:R40,6,0),IFERROR(VLOOKUP(INDIRECT("'WPTM - Section F'!F"&amp;B2196),'Overview - Section A'!E$26:J28,6,0),"")))</f>
        <v/>
      </c>
      <c r="J2196" s="487" t="str">
        <f ca="1">IFERROR(IF(INDIRECT("'WPTM - Section F'!G"&amp;$B2196)=0,"",INDIRECT("'WPTM - Section F'!G"&amp;$B2196)),"")</f>
        <v>Pays</v>
      </c>
      <c r="K2196" s="493" t="str">
        <f ca="1">IFERROR(IF(INDIRECT("'WPTM - Section F'!BF"&amp;$B2196)=0,"",INDIRECT("'WPTM - Section F'!BF"&amp;$B2196)),"")</f>
        <v>population english</v>
      </c>
      <c r="L2196" s="487" t="str">
        <f ca="1">IFERROR(INDEX('Reference Records'!F$329:F507,MATCH(INDIRECT("'WPTM - Section F'!AP"&amp;B2196)&amp;"|"&amp;INDIRECT("'WPTM - Section F'!C"&amp;$B2196),'Reference Records'!G$329:G507,0)),"")</f>
        <v/>
      </c>
      <c r="M2196" s="493" t="str">
        <f ca="1">IFERROR(IF(INDIRECT("'WPTM - Section F'!E"&amp;$B2196)=0,"",INDIRECT("'WPTM - Section F'!E"&amp;$B2196)),"")</f>
        <v>Activité principale</v>
      </c>
      <c r="N2196" s="493" t="str">
        <f ca="1">IFERROR(IF(INDIRECT("'WPTM - Section F'!AV"&amp;$B2196)=0,"",INDIRECT("'WPTM - Section F'!AV"&amp;$B2196)),"")</f>
        <v>Commentaires (EN)</v>
      </c>
      <c r="O2196" s="493" t="str">
        <f ca="1">IFERROR(IF(INDIRECT("'WPTM - Section F'!AN"&amp;$B2196)=0,"",INDIRECT("'WPTM - Section F'!AN"&amp;$B2196)),"")</f>
        <v>Commentaires</v>
      </c>
      <c r="P2196" s="493" t="str">
        <f ca="1">IFERROR(IF(INDIRECT("'WPTM - Section F'!BE"&amp;$B2196)=0,"",INDIRECT("'WPTM - Section F'!BE"&amp;$B2196)),"")</f>
        <v>english interventions</v>
      </c>
      <c r="Q2196" s="493" t="s">
        <v>1273</v>
      </c>
      <c r="R2196" s="502" t="s">
        <v>1274</v>
      </c>
    </row>
    <row r="2197" spans="1:18" x14ac:dyDescent="0.3">
      <c r="A2197" s="487" t="b">
        <v>0</v>
      </c>
      <c r="B2197" s="487">
        <f t="shared" ref="B2197:B2260" si="150">IF(_xlfn.ISFORMULA(J2197),B2196+1,B2196)</f>
        <v>8</v>
      </c>
      <c r="C2197" s="505" t="s">
        <v>7370</v>
      </c>
      <c r="D2197" s="487" t="s">
        <v>1415</v>
      </c>
      <c r="E2197" s="493"/>
      <c r="F2197" s="493"/>
      <c r="G2197" s="510" t="s">
        <v>7371</v>
      </c>
      <c r="H2197" s="488">
        <f t="shared" ref="H2197:H2260" si="151">H2196+1</f>
        <v>-79</v>
      </c>
      <c r="I2197" s="487"/>
      <c r="J2197" s="487"/>
      <c r="K2197" s="493"/>
      <c r="L2197" s="487"/>
      <c r="M2197" s="493"/>
      <c r="N2197" s="493"/>
      <c r="O2197" s="493"/>
      <c r="P2197" s="493"/>
      <c r="Q2197" s="493"/>
      <c r="R2197" s="502">
        <v>1</v>
      </c>
    </row>
    <row r="2198" spans="1:18" x14ac:dyDescent="0.3">
      <c r="A2198" s="487" t="b">
        <v>0</v>
      </c>
      <c r="B2198" s="487">
        <f t="shared" si="150"/>
        <v>8</v>
      </c>
      <c r="C2198" s="505" t="s">
        <v>7372</v>
      </c>
      <c r="D2198" s="487" t="s">
        <v>1415</v>
      </c>
      <c r="E2198" s="493"/>
      <c r="F2198" s="493"/>
      <c r="G2198" s="510" t="s">
        <v>7373</v>
      </c>
      <c r="H2198" s="488">
        <f t="shared" si="151"/>
        <v>-78</v>
      </c>
      <c r="I2198" s="487"/>
      <c r="J2198" s="487"/>
      <c r="K2198" s="493"/>
      <c r="L2198" s="487"/>
      <c r="M2198" s="493"/>
      <c r="N2198" s="493"/>
      <c r="O2198" s="493"/>
      <c r="P2198" s="493"/>
      <c r="Q2198" s="493"/>
      <c r="R2198" s="502">
        <v>2</v>
      </c>
    </row>
    <row r="2199" spans="1:18" x14ac:dyDescent="0.3">
      <c r="A2199" s="487" t="b">
        <v>0</v>
      </c>
      <c r="B2199" s="487">
        <f t="shared" si="150"/>
        <v>8</v>
      </c>
      <c r="C2199" s="505" t="s">
        <v>7374</v>
      </c>
      <c r="D2199" s="487" t="s">
        <v>1415</v>
      </c>
      <c r="E2199" s="493"/>
      <c r="F2199" s="493"/>
      <c r="G2199" s="510" t="s">
        <v>7375</v>
      </c>
      <c r="H2199" s="488">
        <f t="shared" si="151"/>
        <v>-77</v>
      </c>
      <c r="I2199" s="487"/>
      <c r="J2199" s="487"/>
      <c r="K2199" s="493"/>
      <c r="L2199" s="487"/>
      <c r="M2199" s="493"/>
      <c r="N2199" s="493"/>
      <c r="O2199" s="493"/>
      <c r="P2199" s="493"/>
      <c r="Q2199" s="493"/>
      <c r="R2199" s="502">
        <v>3</v>
      </c>
    </row>
    <row r="2200" spans="1:18" x14ac:dyDescent="0.3">
      <c r="A2200" s="487" t="b">
        <v>0</v>
      </c>
      <c r="B2200" s="487">
        <f t="shared" si="150"/>
        <v>8</v>
      </c>
      <c r="C2200" s="505" t="s">
        <v>7376</v>
      </c>
      <c r="D2200" s="487" t="s">
        <v>1415</v>
      </c>
      <c r="E2200" s="493"/>
      <c r="F2200" s="493"/>
      <c r="G2200" s="510" t="s">
        <v>7377</v>
      </c>
      <c r="H2200" s="488">
        <f t="shared" si="151"/>
        <v>-76</v>
      </c>
      <c r="I2200" s="487"/>
      <c r="J2200" s="487"/>
      <c r="K2200" s="493"/>
      <c r="L2200" s="487"/>
      <c r="M2200" s="493"/>
      <c r="N2200" s="493"/>
      <c r="O2200" s="493"/>
      <c r="P2200" s="493"/>
      <c r="Q2200" s="493"/>
      <c r="R2200" s="502">
        <v>4</v>
      </c>
    </row>
    <row r="2201" spans="1:18" x14ac:dyDescent="0.3">
      <c r="A2201" s="487" t="b">
        <v>0</v>
      </c>
      <c r="B2201" s="487">
        <f t="shared" si="150"/>
        <v>8</v>
      </c>
      <c r="C2201" s="505" t="s">
        <v>7378</v>
      </c>
      <c r="D2201" s="487" t="s">
        <v>1415</v>
      </c>
      <c r="E2201" s="493"/>
      <c r="F2201" s="493"/>
      <c r="G2201" s="510" t="s">
        <v>7379</v>
      </c>
      <c r="H2201" s="488">
        <f t="shared" si="151"/>
        <v>-75</v>
      </c>
      <c r="I2201" s="487"/>
      <c r="J2201" s="487"/>
      <c r="K2201" s="493"/>
      <c r="L2201" s="487"/>
      <c r="M2201" s="493"/>
      <c r="N2201" s="493"/>
      <c r="O2201" s="493"/>
      <c r="P2201" s="493"/>
      <c r="Q2201" s="493"/>
      <c r="R2201" s="502">
        <v>5</v>
      </c>
    </row>
    <row r="2202" spans="1:18" x14ac:dyDescent="0.3">
      <c r="A2202" s="487" t="b">
        <v>0</v>
      </c>
      <c r="B2202" s="487">
        <f t="shared" si="150"/>
        <v>8</v>
      </c>
      <c r="C2202" s="505" t="s">
        <v>7380</v>
      </c>
      <c r="D2202" s="487" t="s">
        <v>1415</v>
      </c>
      <c r="E2202" s="493"/>
      <c r="F2202" s="493"/>
      <c r="G2202" s="510" t="s">
        <v>7381</v>
      </c>
      <c r="H2202" s="488">
        <f t="shared" si="151"/>
        <v>-74</v>
      </c>
      <c r="I2202" s="487"/>
      <c r="J2202" s="487"/>
      <c r="K2202" s="493"/>
      <c r="L2202" s="487"/>
      <c r="M2202" s="493"/>
      <c r="N2202" s="493"/>
      <c r="O2202" s="493"/>
      <c r="P2202" s="493"/>
      <c r="Q2202" s="493"/>
      <c r="R2202" s="502">
        <v>6</v>
      </c>
    </row>
    <row r="2203" spans="1:18" x14ac:dyDescent="0.3">
      <c r="A2203" s="487" t="b">
        <v>0</v>
      </c>
      <c r="B2203" s="487">
        <f t="shared" si="150"/>
        <v>8</v>
      </c>
      <c r="C2203" s="505" t="s">
        <v>7382</v>
      </c>
      <c r="D2203" s="487" t="s">
        <v>1415</v>
      </c>
      <c r="E2203" s="493"/>
      <c r="F2203" s="493"/>
      <c r="G2203" s="510" t="s">
        <v>7383</v>
      </c>
      <c r="H2203" s="488">
        <f t="shared" si="151"/>
        <v>-73</v>
      </c>
      <c r="I2203" s="487"/>
      <c r="J2203" s="487"/>
      <c r="K2203" s="493"/>
      <c r="L2203" s="487"/>
      <c r="M2203" s="493"/>
      <c r="N2203" s="493"/>
      <c r="O2203" s="493"/>
      <c r="P2203" s="493"/>
      <c r="Q2203" s="493"/>
      <c r="R2203" s="502">
        <v>7</v>
      </c>
    </row>
    <row r="2204" spans="1:18" x14ac:dyDescent="0.3">
      <c r="A2204" s="487" t="b">
        <v>0</v>
      </c>
      <c r="B2204" s="487">
        <f t="shared" si="150"/>
        <v>8</v>
      </c>
      <c r="C2204" s="505" t="s">
        <v>7384</v>
      </c>
      <c r="D2204" s="487" t="s">
        <v>1415</v>
      </c>
      <c r="E2204" s="493"/>
      <c r="F2204" s="493"/>
      <c r="G2204" s="510" t="s">
        <v>7385</v>
      </c>
      <c r="H2204" s="488">
        <f t="shared" si="151"/>
        <v>-72</v>
      </c>
      <c r="I2204" s="487"/>
      <c r="J2204" s="487"/>
      <c r="K2204" s="493"/>
      <c r="L2204" s="487"/>
      <c r="M2204" s="493"/>
      <c r="N2204" s="493"/>
      <c r="O2204" s="493"/>
      <c r="P2204" s="493"/>
      <c r="Q2204" s="493"/>
      <c r="R2204" s="502">
        <v>8</v>
      </c>
    </row>
    <row r="2205" spans="1:18" x14ac:dyDescent="0.3">
      <c r="A2205" s="487" t="b">
        <v>0</v>
      </c>
      <c r="B2205" s="487">
        <f t="shared" si="150"/>
        <v>8</v>
      </c>
      <c r="C2205" s="505" t="s">
        <v>7386</v>
      </c>
      <c r="D2205" s="487" t="s">
        <v>1415</v>
      </c>
      <c r="E2205" s="493"/>
      <c r="F2205" s="493"/>
      <c r="G2205" s="510" t="s">
        <v>7387</v>
      </c>
      <c r="H2205" s="488">
        <f t="shared" si="151"/>
        <v>-71</v>
      </c>
      <c r="I2205" s="487"/>
      <c r="J2205" s="487"/>
      <c r="K2205" s="493"/>
      <c r="L2205" s="487"/>
      <c r="M2205" s="493"/>
      <c r="N2205" s="493"/>
      <c r="O2205" s="493"/>
      <c r="P2205" s="493"/>
      <c r="Q2205" s="493"/>
      <c r="R2205" s="502">
        <v>9</v>
      </c>
    </row>
    <row r="2206" spans="1:18" x14ac:dyDescent="0.3">
      <c r="A2206" s="487" t="b">
        <v>0</v>
      </c>
      <c r="B2206" s="487">
        <f t="shared" si="150"/>
        <v>8</v>
      </c>
      <c r="C2206" s="505" t="s">
        <v>7388</v>
      </c>
      <c r="D2206" s="487" t="s">
        <v>1415</v>
      </c>
      <c r="E2206" s="493"/>
      <c r="F2206" s="493"/>
      <c r="G2206" s="510" t="s">
        <v>7389</v>
      </c>
      <c r="H2206" s="488">
        <f t="shared" si="151"/>
        <v>-70</v>
      </c>
      <c r="I2206" s="487"/>
      <c r="J2206" s="487"/>
      <c r="K2206" s="493"/>
      <c r="L2206" s="487"/>
      <c r="M2206" s="493"/>
      <c r="N2206" s="493"/>
      <c r="O2206" s="493"/>
      <c r="P2206" s="493"/>
      <c r="Q2206" s="493"/>
      <c r="R2206" s="502">
        <v>10</v>
      </c>
    </row>
    <row r="2207" spans="1:18" x14ac:dyDescent="0.3">
      <c r="A2207" s="487" t="b">
        <v>0</v>
      </c>
      <c r="B2207" s="487">
        <f t="shared" si="150"/>
        <v>8</v>
      </c>
      <c r="C2207" s="505" t="s">
        <v>7390</v>
      </c>
      <c r="D2207" s="487" t="s">
        <v>1415</v>
      </c>
      <c r="E2207" s="493"/>
      <c r="F2207" s="493"/>
      <c r="G2207" s="510" t="s">
        <v>7391</v>
      </c>
      <c r="H2207" s="488">
        <f t="shared" si="151"/>
        <v>-69</v>
      </c>
      <c r="I2207" s="487"/>
      <c r="J2207" s="487"/>
      <c r="K2207" s="493"/>
      <c r="L2207" s="487"/>
      <c r="M2207" s="493"/>
      <c r="N2207" s="493"/>
      <c r="O2207" s="493"/>
      <c r="P2207" s="493"/>
      <c r="Q2207" s="493"/>
      <c r="R2207" s="502">
        <v>11</v>
      </c>
    </row>
    <row r="2208" spans="1:18" x14ac:dyDescent="0.3">
      <c r="A2208" s="487" t="b">
        <v>0</v>
      </c>
      <c r="B2208" s="487">
        <f t="shared" si="150"/>
        <v>8</v>
      </c>
      <c r="C2208" s="505" t="s">
        <v>7392</v>
      </c>
      <c r="D2208" s="487" t="s">
        <v>1415</v>
      </c>
      <c r="E2208" s="493"/>
      <c r="F2208" s="493"/>
      <c r="G2208" s="510" t="s">
        <v>7393</v>
      </c>
      <c r="H2208" s="488">
        <f t="shared" si="151"/>
        <v>-68</v>
      </c>
      <c r="I2208" s="487"/>
      <c r="J2208" s="487"/>
      <c r="K2208" s="493"/>
      <c r="L2208" s="487"/>
      <c r="M2208" s="493"/>
      <c r="N2208" s="493"/>
      <c r="O2208" s="493"/>
      <c r="P2208" s="493"/>
      <c r="Q2208" s="493"/>
      <c r="R2208" s="502">
        <v>12</v>
      </c>
    </row>
    <row r="2209" spans="1:18" x14ac:dyDescent="0.3">
      <c r="A2209" s="487" t="b">
        <v>0</v>
      </c>
      <c r="B2209" s="487">
        <f t="shared" si="150"/>
        <v>8</v>
      </c>
      <c r="C2209" s="505" t="s">
        <v>7394</v>
      </c>
      <c r="D2209" s="487" t="s">
        <v>1415</v>
      </c>
      <c r="E2209" s="493"/>
      <c r="F2209" s="493"/>
      <c r="G2209" s="510" t="s">
        <v>7395</v>
      </c>
      <c r="H2209" s="488">
        <f t="shared" si="151"/>
        <v>-67</v>
      </c>
      <c r="I2209" s="487"/>
      <c r="J2209" s="487"/>
      <c r="K2209" s="493"/>
      <c r="L2209" s="487"/>
      <c r="M2209" s="493"/>
      <c r="N2209" s="493"/>
      <c r="O2209" s="493"/>
      <c r="P2209" s="493"/>
      <c r="Q2209" s="493"/>
      <c r="R2209" s="502">
        <v>13</v>
      </c>
    </row>
    <row r="2210" spans="1:18" x14ac:dyDescent="0.3">
      <c r="A2210" s="487" t="b">
        <v>0</v>
      </c>
      <c r="B2210" s="487">
        <f t="shared" si="150"/>
        <v>8</v>
      </c>
      <c r="C2210" s="505" t="s">
        <v>7396</v>
      </c>
      <c r="D2210" s="487" t="s">
        <v>1415</v>
      </c>
      <c r="E2210" s="493"/>
      <c r="F2210" s="493"/>
      <c r="G2210" s="510" t="s">
        <v>7397</v>
      </c>
      <c r="H2210" s="488">
        <f t="shared" si="151"/>
        <v>-66</v>
      </c>
      <c r="I2210" s="487"/>
      <c r="J2210" s="487"/>
      <c r="K2210" s="493"/>
      <c r="L2210" s="487"/>
      <c r="M2210" s="493"/>
      <c r="N2210" s="493"/>
      <c r="O2210" s="493"/>
      <c r="P2210" s="493"/>
      <c r="Q2210" s="493"/>
      <c r="R2210" s="502">
        <v>14</v>
      </c>
    </row>
    <row r="2211" spans="1:18" x14ac:dyDescent="0.3">
      <c r="A2211" s="487" t="b">
        <v>0</v>
      </c>
      <c r="B2211" s="487">
        <f t="shared" si="150"/>
        <v>8</v>
      </c>
      <c r="C2211" s="505" t="s">
        <v>7398</v>
      </c>
      <c r="D2211" s="487" t="s">
        <v>1415</v>
      </c>
      <c r="E2211" s="493"/>
      <c r="F2211" s="493"/>
      <c r="G2211" s="510" t="s">
        <v>7399</v>
      </c>
      <c r="H2211" s="488">
        <f t="shared" si="151"/>
        <v>-65</v>
      </c>
      <c r="I2211" s="487"/>
      <c r="J2211" s="487"/>
      <c r="K2211" s="493"/>
      <c r="L2211" s="487"/>
      <c r="M2211" s="493"/>
      <c r="N2211" s="493"/>
      <c r="O2211" s="493"/>
      <c r="P2211" s="493"/>
      <c r="Q2211" s="493"/>
      <c r="R2211" s="502">
        <v>15</v>
      </c>
    </row>
    <row r="2212" spans="1:18" x14ac:dyDescent="0.3">
      <c r="A2212" s="487" t="b">
        <v>0</v>
      </c>
      <c r="B2212" s="487">
        <f t="shared" si="150"/>
        <v>8</v>
      </c>
      <c r="C2212" s="505" t="s">
        <v>7400</v>
      </c>
      <c r="D2212" s="487" t="s">
        <v>1415</v>
      </c>
      <c r="E2212" s="493"/>
      <c r="F2212" s="493"/>
      <c r="G2212" s="510" t="s">
        <v>7401</v>
      </c>
      <c r="H2212" s="488">
        <f t="shared" si="151"/>
        <v>-64</v>
      </c>
      <c r="I2212" s="487"/>
      <c r="J2212" s="487"/>
      <c r="K2212" s="493"/>
      <c r="L2212" s="487"/>
      <c r="M2212" s="493"/>
      <c r="N2212" s="493"/>
      <c r="O2212" s="493"/>
      <c r="P2212" s="493"/>
      <c r="Q2212" s="493"/>
      <c r="R2212" s="502">
        <v>16</v>
      </c>
    </row>
    <row r="2213" spans="1:18" x14ac:dyDescent="0.3">
      <c r="A2213" s="487" t="b">
        <v>0</v>
      </c>
      <c r="B2213" s="487">
        <f t="shared" si="150"/>
        <v>8</v>
      </c>
      <c r="C2213" s="505" t="s">
        <v>7402</v>
      </c>
      <c r="D2213" s="487" t="s">
        <v>1415</v>
      </c>
      <c r="E2213" s="493"/>
      <c r="F2213" s="493"/>
      <c r="G2213" s="510" t="s">
        <v>7403</v>
      </c>
      <c r="H2213" s="488">
        <f t="shared" si="151"/>
        <v>-63</v>
      </c>
      <c r="I2213" s="487"/>
      <c r="J2213" s="487"/>
      <c r="K2213" s="493"/>
      <c r="L2213" s="487"/>
      <c r="M2213" s="493"/>
      <c r="N2213" s="493"/>
      <c r="O2213" s="493"/>
      <c r="P2213" s="493"/>
      <c r="Q2213" s="493"/>
      <c r="R2213" s="502">
        <v>17</v>
      </c>
    </row>
    <row r="2214" spans="1:18" x14ac:dyDescent="0.3">
      <c r="A2214" s="487" t="b">
        <v>0</v>
      </c>
      <c r="B2214" s="487">
        <f t="shared" si="150"/>
        <v>8</v>
      </c>
      <c r="C2214" s="505" t="s">
        <v>7404</v>
      </c>
      <c r="D2214" s="487" t="s">
        <v>1415</v>
      </c>
      <c r="E2214" s="493"/>
      <c r="F2214" s="493"/>
      <c r="G2214" s="510" t="s">
        <v>7405</v>
      </c>
      <c r="H2214" s="488">
        <f t="shared" si="151"/>
        <v>-62</v>
      </c>
      <c r="I2214" s="487"/>
      <c r="J2214" s="487"/>
      <c r="K2214" s="493"/>
      <c r="L2214" s="487"/>
      <c r="M2214" s="493"/>
      <c r="N2214" s="493"/>
      <c r="O2214" s="493"/>
      <c r="P2214" s="493"/>
      <c r="Q2214" s="493"/>
      <c r="R2214" s="502">
        <v>18</v>
      </c>
    </row>
    <row r="2215" spans="1:18" x14ac:dyDescent="0.3">
      <c r="A2215" s="487" t="b">
        <v>0</v>
      </c>
      <c r="B2215" s="487">
        <f t="shared" si="150"/>
        <v>8</v>
      </c>
      <c r="C2215" s="505" t="s">
        <v>7406</v>
      </c>
      <c r="D2215" s="487" t="s">
        <v>1415</v>
      </c>
      <c r="E2215" s="493"/>
      <c r="F2215" s="493"/>
      <c r="G2215" s="510" t="s">
        <v>7407</v>
      </c>
      <c r="H2215" s="488">
        <f t="shared" si="151"/>
        <v>-61</v>
      </c>
      <c r="I2215" s="487"/>
      <c r="J2215" s="487"/>
      <c r="K2215" s="493"/>
      <c r="L2215" s="487"/>
      <c r="M2215" s="493"/>
      <c r="N2215" s="493"/>
      <c r="O2215" s="493"/>
      <c r="P2215" s="493"/>
      <c r="Q2215" s="493"/>
      <c r="R2215" s="502">
        <v>19</v>
      </c>
    </row>
    <row r="2216" spans="1:18" x14ac:dyDescent="0.3">
      <c r="A2216" s="487" t="b">
        <v>0</v>
      </c>
      <c r="B2216" s="487">
        <f t="shared" si="150"/>
        <v>8</v>
      </c>
      <c r="C2216" s="505" t="s">
        <v>7408</v>
      </c>
      <c r="D2216" s="487" t="s">
        <v>1415</v>
      </c>
      <c r="E2216" s="493"/>
      <c r="F2216" s="493"/>
      <c r="G2216" s="510" t="s">
        <v>7409</v>
      </c>
      <c r="H2216" s="488">
        <f t="shared" si="151"/>
        <v>-60</v>
      </c>
      <c r="I2216" s="487"/>
      <c r="J2216" s="487"/>
      <c r="K2216" s="493"/>
      <c r="L2216" s="487"/>
      <c r="M2216" s="493"/>
      <c r="N2216" s="493"/>
      <c r="O2216" s="493"/>
      <c r="P2216" s="493"/>
      <c r="Q2216" s="493"/>
      <c r="R2216" s="502">
        <v>20</v>
      </c>
    </row>
    <row r="2217" spans="1:18" x14ac:dyDescent="0.3">
      <c r="A2217" s="487" t="b">
        <v>0</v>
      </c>
      <c r="B2217" s="487">
        <f t="shared" si="150"/>
        <v>8</v>
      </c>
      <c r="C2217" s="505" t="s">
        <v>7410</v>
      </c>
      <c r="D2217" s="487" t="s">
        <v>1415</v>
      </c>
      <c r="E2217" s="493"/>
      <c r="F2217" s="493"/>
      <c r="G2217" s="510" t="s">
        <v>7411</v>
      </c>
      <c r="H2217" s="488">
        <f t="shared" si="151"/>
        <v>-59</v>
      </c>
      <c r="I2217" s="487"/>
      <c r="J2217" s="487"/>
      <c r="K2217" s="493"/>
      <c r="L2217" s="487"/>
      <c r="M2217" s="493"/>
      <c r="N2217" s="493"/>
      <c r="O2217" s="493"/>
      <c r="P2217" s="493"/>
      <c r="Q2217" s="493"/>
      <c r="R2217" s="502">
        <v>21</v>
      </c>
    </row>
    <row r="2218" spans="1:18" x14ac:dyDescent="0.3">
      <c r="A2218" s="487" t="b">
        <v>0</v>
      </c>
      <c r="B2218" s="487">
        <f t="shared" si="150"/>
        <v>8</v>
      </c>
      <c r="C2218" s="505" t="s">
        <v>7412</v>
      </c>
      <c r="D2218" s="487" t="s">
        <v>1415</v>
      </c>
      <c r="E2218" s="493"/>
      <c r="F2218" s="493"/>
      <c r="G2218" s="510" t="s">
        <v>7413</v>
      </c>
      <c r="H2218" s="488">
        <f t="shared" si="151"/>
        <v>-58</v>
      </c>
      <c r="I2218" s="487"/>
      <c r="J2218" s="487"/>
      <c r="K2218" s="493"/>
      <c r="L2218" s="487"/>
      <c r="M2218" s="493"/>
      <c r="N2218" s="493"/>
      <c r="O2218" s="493"/>
      <c r="P2218" s="493"/>
      <c r="Q2218" s="493"/>
      <c r="R2218" s="502">
        <v>22</v>
      </c>
    </row>
    <row r="2219" spans="1:18" x14ac:dyDescent="0.3">
      <c r="A2219" s="487" t="b">
        <v>0</v>
      </c>
      <c r="B2219" s="487">
        <f t="shared" si="150"/>
        <v>8</v>
      </c>
      <c r="C2219" s="505" t="s">
        <v>7414</v>
      </c>
      <c r="D2219" s="487" t="s">
        <v>1415</v>
      </c>
      <c r="E2219" s="493"/>
      <c r="F2219" s="493"/>
      <c r="G2219" s="510" t="s">
        <v>7415</v>
      </c>
      <c r="H2219" s="488">
        <f t="shared" si="151"/>
        <v>-57</v>
      </c>
      <c r="I2219" s="487"/>
      <c r="J2219" s="487"/>
      <c r="K2219" s="493"/>
      <c r="L2219" s="487"/>
      <c r="M2219" s="493"/>
      <c r="N2219" s="493"/>
      <c r="O2219" s="493"/>
      <c r="P2219" s="493"/>
      <c r="Q2219" s="493"/>
      <c r="R2219" s="502">
        <v>23</v>
      </c>
    </row>
    <row r="2220" spans="1:18" x14ac:dyDescent="0.3">
      <c r="A2220" s="487" t="b">
        <v>0</v>
      </c>
      <c r="B2220" s="487">
        <f t="shared" si="150"/>
        <v>8</v>
      </c>
      <c r="C2220" s="505" t="s">
        <v>7416</v>
      </c>
      <c r="D2220" s="487" t="s">
        <v>1415</v>
      </c>
      <c r="E2220" s="493"/>
      <c r="F2220" s="493"/>
      <c r="G2220" s="510" t="s">
        <v>7417</v>
      </c>
      <c r="H2220" s="488">
        <f t="shared" si="151"/>
        <v>-56</v>
      </c>
      <c r="I2220" s="487"/>
      <c r="J2220" s="487"/>
      <c r="K2220" s="493"/>
      <c r="L2220" s="487"/>
      <c r="M2220" s="493"/>
      <c r="N2220" s="493"/>
      <c r="O2220" s="493"/>
      <c r="P2220" s="493"/>
      <c r="Q2220" s="493"/>
      <c r="R2220" s="502">
        <v>24</v>
      </c>
    </row>
    <row r="2221" spans="1:18" x14ac:dyDescent="0.3">
      <c r="A2221" s="487" t="b">
        <v>0</v>
      </c>
      <c r="B2221" s="487">
        <f t="shared" si="150"/>
        <v>8</v>
      </c>
      <c r="C2221" s="505" t="s">
        <v>7418</v>
      </c>
      <c r="D2221" s="487" t="s">
        <v>1415</v>
      </c>
      <c r="E2221" s="493"/>
      <c r="F2221" s="493"/>
      <c r="G2221" s="510" t="s">
        <v>7419</v>
      </c>
      <c r="H2221" s="488">
        <f t="shared" si="151"/>
        <v>-55</v>
      </c>
      <c r="I2221" s="487"/>
      <c r="J2221" s="487"/>
      <c r="K2221" s="493"/>
      <c r="L2221" s="487"/>
      <c r="M2221" s="493"/>
      <c r="N2221" s="493"/>
      <c r="O2221" s="493"/>
      <c r="P2221" s="493"/>
      <c r="Q2221" s="493"/>
      <c r="R2221" s="502">
        <v>25</v>
      </c>
    </row>
    <row r="2222" spans="1:18" x14ac:dyDescent="0.3">
      <c r="A2222" s="487" t="b">
        <v>0</v>
      </c>
      <c r="B2222" s="487">
        <f t="shared" si="150"/>
        <v>8</v>
      </c>
      <c r="C2222" s="505" t="s">
        <v>7420</v>
      </c>
      <c r="D2222" s="487" t="s">
        <v>1415</v>
      </c>
      <c r="E2222" s="493"/>
      <c r="F2222" s="493"/>
      <c r="G2222" s="510" t="s">
        <v>7421</v>
      </c>
      <c r="H2222" s="488">
        <f t="shared" si="151"/>
        <v>-54</v>
      </c>
      <c r="I2222" s="487"/>
      <c r="J2222" s="487"/>
      <c r="K2222" s="493"/>
      <c r="L2222" s="487"/>
      <c r="M2222" s="493"/>
      <c r="N2222" s="493"/>
      <c r="O2222" s="493"/>
      <c r="P2222" s="493"/>
      <c r="Q2222" s="493"/>
      <c r="R2222" s="502">
        <v>26</v>
      </c>
    </row>
    <row r="2223" spans="1:18" x14ac:dyDescent="0.3">
      <c r="A2223" s="487" t="b">
        <v>0</v>
      </c>
      <c r="B2223" s="487">
        <f t="shared" si="150"/>
        <v>8</v>
      </c>
      <c r="C2223" s="505" t="s">
        <v>7422</v>
      </c>
      <c r="D2223" s="487" t="s">
        <v>1415</v>
      </c>
      <c r="E2223" s="493"/>
      <c r="F2223" s="493"/>
      <c r="G2223" s="510" t="s">
        <v>7423</v>
      </c>
      <c r="H2223" s="488">
        <f t="shared" si="151"/>
        <v>-53</v>
      </c>
      <c r="I2223" s="487"/>
      <c r="J2223" s="487"/>
      <c r="K2223" s="493"/>
      <c r="L2223" s="487"/>
      <c r="M2223" s="493"/>
      <c r="N2223" s="493"/>
      <c r="O2223" s="493"/>
      <c r="P2223" s="493"/>
      <c r="Q2223" s="493"/>
      <c r="R2223" s="502">
        <v>27</v>
      </c>
    </row>
    <row r="2224" spans="1:18" x14ac:dyDescent="0.3">
      <c r="A2224" s="487" t="b">
        <v>0</v>
      </c>
      <c r="B2224" s="487">
        <f t="shared" si="150"/>
        <v>8</v>
      </c>
      <c r="C2224" s="505" t="s">
        <v>7424</v>
      </c>
      <c r="D2224" s="487" t="s">
        <v>1415</v>
      </c>
      <c r="E2224" s="493"/>
      <c r="F2224" s="493"/>
      <c r="G2224" s="510" t="s">
        <v>7425</v>
      </c>
      <c r="H2224" s="488">
        <f t="shared" si="151"/>
        <v>-52</v>
      </c>
      <c r="I2224" s="487"/>
      <c r="J2224" s="487"/>
      <c r="K2224" s="493"/>
      <c r="L2224" s="487"/>
      <c r="M2224" s="493"/>
      <c r="N2224" s="493"/>
      <c r="O2224" s="493"/>
      <c r="P2224" s="493"/>
      <c r="Q2224" s="493"/>
      <c r="R2224" s="502">
        <v>28</v>
      </c>
    </row>
    <row r="2225" spans="1:18" x14ac:dyDescent="0.3">
      <c r="A2225" s="487" t="b">
        <v>0</v>
      </c>
      <c r="B2225" s="487">
        <f t="shared" si="150"/>
        <v>8</v>
      </c>
      <c r="C2225" s="505" t="s">
        <v>7426</v>
      </c>
      <c r="D2225" s="487" t="s">
        <v>1415</v>
      </c>
      <c r="E2225" s="493"/>
      <c r="F2225" s="493"/>
      <c r="G2225" s="510" t="s">
        <v>7427</v>
      </c>
      <c r="H2225" s="488">
        <f t="shared" si="151"/>
        <v>-51</v>
      </c>
      <c r="I2225" s="487"/>
      <c r="J2225" s="487"/>
      <c r="K2225" s="493"/>
      <c r="L2225" s="487"/>
      <c r="M2225" s="493"/>
      <c r="N2225" s="493"/>
      <c r="O2225" s="493"/>
      <c r="P2225" s="493"/>
      <c r="Q2225" s="493"/>
      <c r="R2225" s="502">
        <v>29</v>
      </c>
    </row>
    <row r="2226" spans="1:18" x14ac:dyDescent="0.3">
      <c r="A2226" s="487" t="b">
        <v>0</v>
      </c>
      <c r="B2226" s="487">
        <f t="shared" si="150"/>
        <v>8</v>
      </c>
      <c r="C2226" s="505" t="s">
        <v>7428</v>
      </c>
      <c r="D2226" s="487" t="s">
        <v>1415</v>
      </c>
      <c r="E2226" s="493"/>
      <c r="F2226" s="493"/>
      <c r="G2226" s="510" t="s">
        <v>7429</v>
      </c>
      <c r="H2226" s="488">
        <f t="shared" si="151"/>
        <v>-50</v>
      </c>
      <c r="I2226" s="487"/>
      <c r="J2226" s="487"/>
      <c r="K2226" s="493"/>
      <c r="L2226" s="487"/>
      <c r="M2226" s="493"/>
      <c r="N2226" s="493"/>
      <c r="O2226" s="493"/>
      <c r="P2226" s="493"/>
      <c r="Q2226" s="493"/>
      <c r="R2226" s="502">
        <v>30</v>
      </c>
    </row>
    <row r="2227" spans="1:18" x14ac:dyDescent="0.3">
      <c r="A2227" s="487" t="b">
        <v>0</v>
      </c>
      <c r="B2227" s="487">
        <f t="shared" si="150"/>
        <v>8</v>
      </c>
      <c r="C2227" s="505" t="s">
        <v>7430</v>
      </c>
      <c r="D2227" s="487" t="s">
        <v>1415</v>
      </c>
      <c r="E2227" s="493"/>
      <c r="F2227" s="493"/>
      <c r="G2227" s="510" t="s">
        <v>7431</v>
      </c>
      <c r="H2227" s="488">
        <f t="shared" si="151"/>
        <v>-49</v>
      </c>
      <c r="I2227" s="487"/>
      <c r="J2227" s="487"/>
      <c r="K2227" s="493"/>
      <c r="L2227" s="487"/>
      <c r="M2227" s="493"/>
      <c r="N2227" s="493"/>
      <c r="O2227" s="493"/>
      <c r="P2227" s="493"/>
      <c r="Q2227" s="493"/>
      <c r="R2227" s="502">
        <v>31</v>
      </c>
    </row>
    <row r="2228" spans="1:18" x14ac:dyDescent="0.3">
      <c r="A2228" s="487" t="b">
        <v>0</v>
      </c>
      <c r="B2228" s="487">
        <f t="shared" si="150"/>
        <v>8</v>
      </c>
      <c r="C2228" s="505" t="s">
        <v>7432</v>
      </c>
      <c r="D2228" s="487" t="s">
        <v>1415</v>
      </c>
      <c r="E2228" s="493"/>
      <c r="F2228" s="493"/>
      <c r="G2228" s="510" t="s">
        <v>7433</v>
      </c>
      <c r="H2228" s="488">
        <f t="shared" si="151"/>
        <v>-48</v>
      </c>
      <c r="I2228" s="487"/>
      <c r="J2228" s="487"/>
      <c r="K2228" s="493"/>
      <c r="L2228" s="487"/>
      <c r="M2228" s="493"/>
      <c r="N2228" s="493"/>
      <c r="O2228" s="493"/>
      <c r="P2228" s="493"/>
      <c r="Q2228" s="493"/>
      <c r="R2228" s="502">
        <v>32</v>
      </c>
    </row>
    <row r="2229" spans="1:18" x14ac:dyDescent="0.3">
      <c r="A2229" s="487" t="b">
        <v>0</v>
      </c>
      <c r="B2229" s="487">
        <f t="shared" si="150"/>
        <v>8</v>
      </c>
      <c r="C2229" s="505" t="s">
        <v>7434</v>
      </c>
      <c r="D2229" s="487" t="s">
        <v>1415</v>
      </c>
      <c r="E2229" s="493"/>
      <c r="F2229" s="493"/>
      <c r="G2229" s="510" t="s">
        <v>7435</v>
      </c>
      <c r="H2229" s="488">
        <f t="shared" si="151"/>
        <v>-47</v>
      </c>
      <c r="I2229" s="487"/>
      <c r="J2229" s="487"/>
      <c r="K2229" s="493"/>
      <c r="L2229" s="487"/>
      <c r="M2229" s="493"/>
      <c r="N2229" s="493"/>
      <c r="O2229" s="493"/>
      <c r="P2229" s="493"/>
      <c r="Q2229" s="493"/>
      <c r="R2229" s="502">
        <v>33</v>
      </c>
    </row>
    <row r="2230" spans="1:18" x14ac:dyDescent="0.3">
      <c r="A2230" s="487" t="b">
        <v>0</v>
      </c>
      <c r="B2230" s="487">
        <f t="shared" si="150"/>
        <v>8</v>
      </c>
      <c r="C2230" s="505" t="s">
        <v>7436</v>
      </c>
      <c r="D2230" s="487" t="s">
        <v>1415</v>
      </c>
      <c r="E2230" s="493"/>
      <c r="F2230" s="493"/>
      <c r="G2230" s="510" t="s">
        <v>7437</v>
      </c>
      <c r="H2230" s="488">
        <f t="shared" si="151"/>
        <v>-46</v>
      </c>
      <c r="I2230" s="487"/>
      <c r="J2230" s="487"/>
      <c r="K2230" s="493"/>
      <c r="L2230" s="487"/>
      <c r="M2230" s="493"/>
      <c r="N2230" s="493"/>
      <c r="O2230" s="493"/>
      <c r="P2230" s="493"/>
      <c r="Q2230" s="493"/>
      <c r="R2230" s="502">
        <v>34</v>
      </c>
    </row>
    <row r="2231" spans="1:18" x14ac:dyDescent="0.3">
      <c r="A2231" s="487" t="b">
        <v>0</v>
      </c>
      <c r="B2231" s="487">
        <f t="shared" si="150"/>
        <v>8</v>
      </c>
      <c r="C2231" s="505" t="s">
        <v>7438</v>
      </c>
      <c r="D2231" s="487" t="s">
        <v>1415</v>
      </c>
      <c r="E2231" s="493"/>
      <c r="F2231" s="493"/>
      <c r="G2231" s="510" t="s">
        <v>7439</v>
      </c>
      <c r="H2231" s="488">
        <f t="shared" si="151"/>
        <v>-45</v>
      </c>
      <c r="I2231" s="487"/>
      <c r="J2231" s="487"/>
      <c r="K2231" s="493"/>
      <c r="L2231" s="487"/>
      <c r="M2231" s="493"/>
      <c r="N2231" s="493"/>
      <c r="O2231" s="493"/>
      <c r="P2231" s="493"/>
      <c r="Q2231" s="493"/>
      <c r="R2231" s="502">
        <v>35</v>
      </c>
    </row>
    <row r="2232" spans="1:18" x14ac:dyDescent="0.3">
      <c r="A2232" s="487" t="b">
        <v>0</v>
      </c>
      <c r="B2232" s="487">
        <f t="shared" si="150"/>
        <v>8</v>
      </c>
      <c r="C2232" s="505" t="s">
        <v>7440</v>
      </c>
      <c r="D2232" s="487" t="s">
        <v>1415</v>
      </c>
      <c r="E2232" s="493"/>
      <c r="F2232" s="493"/>
      <c r="G2232" s="510" t="s">
        <v>7441</v>
      </c>
      <c r="H2232" s="488">
        <f t="shared" si="151"/>
        <v>-44</v>
      </c>
      <c r="I2232" s="487"/>
      <c r="J2232" s="487"/>
      <c r="K2232" s="493"/>
      <c r="L2232" s="487"/>
      <c r="M2232" s="493"/>
      <c r="N2232" s="493"/>
      <c r="O2232" s="493"/>
      <c r="P2232" s="493"/>
      <c r="Q2232" s="493"/>
      <c r="R2232" s="502">
        <v>36</v>
      </c>
    </row>
    <row r="2233" spans="1:18" x14ac:dyDescent="0.3">
      <c r="A2233" s="487" t="b">
        <v>0</v>
      </c>
      <c r="B2233" s="487">
        <f t="shared" si="150"/>
        <v>8</v>
      </c>
      <c r="C2233" s="505" t="s">
        <v>7442</v>
      </c>
      <c r="D2233" s="487" t="s">
        <v>1415</v>
      </c>
      <c r="E2233" s="493"/>
      <c r="F2233" s="493"/>
      <c r="G2233" s="510" t="s">
        <v>7443</v>
      </c>
      <c r="H2233" s="488">
        <f t="shared" si="151"/>
        <v>-43</v>
      </c>
      <c r="I2233" s="487"/>
      <c r="J2233" s="487"/>
      <c r="K2233" s="493"/>
      <c r="L2233" s="487"/>
      <c r="M2233" s="493"/>
      <c r="N2233" s="493"/>
      <c r="O2233" s="493"/>
      <c r="P2233" s="493"/>
      <c r="Q2233" s="493"/>
      <c r="R2233" s="502">
        <v>37</v>
      </c>
    </row>
    <row r="2234" spans="1:18" x14ac:dyDescent="0.3">
      <c r="A2234" s="487" t="b">
        <v>0</v>
      </c>
      <c r="B2234" s="487">
        <f t="shared" si="150"/>
        <v>8</v>
      </c>
      <c r="C2234" s="505" t="s">
        <v>7444</v>
      </c>
      <c r="D2234" s="487" t="s">
        <v>1415</v>
      </c>
      <c r="E2234" s="493"/>
      <c r="F2234" s="493"/>
      <c r="G2234" s="510" t="s">
        <v>7445</v>
      </c>
      <c r="H2234" s="488">
        <f t="shared" si="151"/>
        <v>-42</v>
      </c>
      <c r="I2234" s="487"/>
      <c r="J2234" s="487"/>
      <c r="K2234" s="493"/>
      <c r="L2234" s="487"/>
      <c r="M2234" s="493"/>
      <c r="N2234" s="493"/>
      <c r="O2234" s="493"/>
      <c r="P2234" s="493"/>
      <c r="Q2234" s="493"/>
      <c r="R2234" s="502">
        <v>38</v>
      </c>
    </row>
    <row r="2235" spans="1:18" x14ac:dyDescent="0.3">
      <c r="A2235" s="487" t="b">
        <v>0</v>
      </c>
      <c r="B2235" s="487">
        <f t="shared" si="150"/>
        <v>8</v>
      </c>
      <c r="C2235" s="505" t="s">
        <v>7446</v>
      </c>
      <c r="D2235" s="487" t="s">
        <v>1415</v>
      </c>
      <c r="E2235" s="493"/>
      <c r="F2235" s="493"/>
      <c r="G2235" s="510" t="s">
        <v>7447</v>
      </c>
      <c r="H2235" s="488">
        <f t="shared" si="151"/>
        <v>-41</v>
      </c>
      <c r="I2235" s="487"/>
      <c r="J2235" s="487"/>
      <c r="K2235" s="493"/>
      <c r="L2235" s="487"/>
      <c r="M2235" s="493"/>
      <c r="N2235" s="493"/>
      <c r="O2235" s="493"/>
      <c r="P2235" s="493"/>
      <c r="Q2235" s="493"/>
      <c r="R2235" s="502">
        <v>39</v>
      </c>
    </row>
    <row r="2236" spans="1:18" x14ac:dyDescent="0.3">
      <c r="A2236" s="487" t="b">
        <v>0</v>
      </c>
      <c r="B2236" s="487">
        <f t="shared" si="150"/>
        <v>8</v>
      </c>
      <c r="C2236" s="505" t="s">
        <v>7448</v>
      </c>
      <c r="D2236" s="487" t="s">
        <v>1415</v>
      </c>
      <c r="E2236" s="493"/>
      <c r="F2236" s="493"/>
      <c r="G2236" s="510" t="s">
        <v>7449</v>
      </c>
      <c r="H2236" s="488">
        <f t="shared" si="151"/>
        <v>-40</v>
      </c>
      <c r="I2236" s="487"/>
      <c r="J2236" s="487"/>
      <c r="K2236" s="493"/>
      <c r="L2236" s="487"/>
      <c r="M2236" s="493"/>
      <c r="N2236" s="493"/>
      <c r="O2236" s="493"/>
      <c r="P2236" s="493"/>
      <c r="Q2236" s="493"/>
      <c r="R2236" s="502">
        <v>40</v>
      </c>
    </row>
    <row r="2237" spans="1:18" x14ac:dyDescent="0.3">
      <c r="A2237" s="487" t="b">
        <v>0</v>
      </c>
      <c r="B2237" s="487">
        <f t="shared" si="150"/>
        <v>8</v>
      </c>
      <c r="C2237" s="505" t="s">
        <v>7450</v>
      </c>
      <c r="D2237" s="487" t="s">
        <v>1415</v>
      </c>
      <c r="E2237" s="493"/>
      <c r="F2237" s="493"/>
      <c r="G2237" s="510" t="s">
        <v>7451</v>
      </c>
      <c r="H2237" s="488">
        <f t="shared" si="151"/>
        <v>-39</v>
      </c>
      <c r="I2237" s="487"/>
      <c r="J2237" s="487"/>
      <c r="K2237" s="493"/>
      <c r="L2237" s="487"/>
      <c r="M2237" s="493"/>
      <c r="N2237" s="493"/>
      <c r="O2237" s="493"/>
      <c r="P2237" s="493"/>
      <c r="Q2237" s="493"/>
      <c r="R2237" s="502">
        <v>41</v>
      </c>
    </row>
    <row r="2238" spans="1:18" x14ac:dyDescent="0.3">
      <c r="A2238" s="487" t="b">
        <v>0</v>
      </c>
      <c r="B2238" s="487">
        <f t="shared" si="150"/>
        <v>8</v>
      </c>
      <c r="C2238" s="505" t="s">
        <v>7452</v>
      </c>
      <c r="D2238" s="487" t="s">
        <v>1415</v>
      </c>
      <c r="E2238" s="493"/>
      <c r="F2238" s="493"/>
      <c r="G2238" s="510" t="s">
        <v>7453</v>
      </c>
      <c r="H2238" s="488">
        <f t="shared" si="151"/>
        <v>-38</v>
      </c>
      <c r="I2238" s="487"/>
      <c r="J2238" s="487"/>
      <c r="K2238" s="493"/>
      <c r="L2238" s="487"/>
      <c r="M2238" s="493"/>
      <c r="N2238" s="493"/>
      <c r="O2238" s="493"/>
      <c r="P2238" s="493"/>
      <c r="Q2238" s="493"/>
      <c r="R2238" s="502">
        <v>42</v>
      </c>
    </row>
    <row r="2239" spans="1:18" x14ac:dyDescent="0.3">
      <c r="A2239" s="487" t="b">
        <v>0</v>
      </c>
      <c r="B2239" s="487">
        <f t="shared" si="150"/>
        <v>8</v>
      </c>
      <c r="C2239" s="505" t="s">
        <v>7454</v>
      </c>
      <c r="D2239" s="487" t="s">
        <v>1415</v>
      </c>
      <c r="E2239" s="493"/>
      <c r="F2239" s="493"/>
      <c r="G2239" s="510" t="s">
        <v>7455</v>
      </c>
      <c r="H2239" s="488">
        <f t="shared" si="151"/>
        <v>-37</v>
      </c>
      <c r="I2239" s="487"/>
      <c r="J2239" s="487"/>
      <c r="K2239" s="493"/>
      <c r="L2239" s="487"/>
      <c r="M2239" s="493"/>
      <c r="N2239" s="493"/>
      <c r="O2239" s="493"/>
      <c r="P2239" s="493"/>
      <c r="Q2239" s="493"/>
      <c r="R2239" s="502">
        <v>43</v>
      </c>
    </row>
    <row r="2240" spans="1:18" x14ac:dyDescent="0.3">
      <c r="A2240" s="487" t="b">
        <v>0</v>
      </c>
      <c r="B2240" s="487">
        <f t="shared" si="150"/>
        <v>8</v>
      </c>
      <c r="C2240" s="505" t="s">
        <v>7456</v>
      </c>
      <c r="D2240" s="487" t="s">
        <v>1415</v>
      </c>
      <c r="E2240" s="493"/>
      <c r="F2240" s="493"/>
      <c r="G2240" s="510" t="s">
        <v>7457</v>
      </c>
      <c r="H2240" s="488">
        <f t="shared" si="151"/>
        <v>-36</v>
      </c>
      <c r="I2240" s="487"/>
      <c r="J2240" s="487"/>
      <c r="K2240" s="493"/>
      <c r="L2240" s="487"/>
      <c r="M2240" s="493"/>
      <c r="N2240" s="493"/>
      <c r="O2240" s="493"/>
      <c r="P2240" s="493"/>
      <c r="Q2240" s="493"/>
      <c r="R2240" s="502">
        <v>44</v>
      </c>
    </row>
    <row r="2241" spans="1:18" x14ac:dyDescent="0.3">
      <c r="A2241" s="487" t="b">
        <v>0</v>
      </c>
      <c r="B2241" s="487">
        <f t="shared" si="150"/>
        <v>8</v>
      </c>
      <c r="C2241" s="505" t="s">
        <v>7458</v>
      </c>
      <c r="D2241" s="487" t="s">
        <v>1415</v>
      </c>
      <c r="E2241" s="493"/>
      <c r="F2241" s="493"/>
      <c r="G2241" s="510" t="s">
        <v>7459</v>
      </c>
      <c r="H2241" s="488">
        <f t="shared" si="151"/>
        <v>-35</v>
      </c>
      <c r="I2241" s="487"/>
      <c r="J2241" s="487"/>
      <c r="K2241" s="493"/>
      <c r="L2241" s="487"/>
      <c r="M2241" s="493"/>
      <c r="N2241" s="493"/>
      <c r="O2241" s="493"/>
      <c r="P2241" s="493"/>
      <c r="Q2241" s="493"/>
      <c r="R2241" s="502">
        <v>45</v>
      </c>
    </row>
    <row r="2242" spans="1:18" x14ac:dyDescent="0.3">
      <c r="A2242" s="487" t="b">
        <v>0</v>
      </c>
      <c r="B2242" s="487">
        <f t="shared" si="150"/>
        <v>8</v>
      </c>
      <c r="C2242" s="505" t="s">
        <v>7460</v>
      </c>
      <c r="D2242" s="487" t="s">
        <v>1415</v>
      </c>
      <c r="E2242" s="493"/>
      <c r="F2242" s="493"/>
      <c r="G2242" s="510" t="s">
        <v>7461</v>
      </c>
      <c r="H2242" s="488">
        <f t="shared" si="151"/>
        <v>-34</v>
      </c>
      <c r="I2242" s="487"/>
      <c r="J2242" s="487"/>
      <c r="K2242" s="493"/>
      <c r="L2242" s="487"/>
      <c r="M2242" s="493"/>
      <c r="N2242" s="493"/>
      <c r="O2242" s="493"/>
      <c r="P2242" s="493"/>
      <c r="Q2242" s="493"/>
      <c r="R2242" s="502">
        <v>46</v>
      </c>
    </row>
    <row r="2243" spans="1:18" x14ac:dyDescent="0.3">
      <c r="A2243" s="487" t="b">
        <v>0</v>
      </c>
      <c r="B2243" s="487">
        <f t="shared" si="150"/>
        <v>8</v>
      </c>
      <c r="C2243" s="505" t="s">
        <v>7462</v>
      </c>
      <c r="D2243" s="487" t="s">
        <v>1415</v>
      </c>
      <c r="E2243" s="493"/>
      <c r="F2243" s="493"/>
      <c r="G2243" s="510" t="s">
        <v>7463</v>
      </c>
      <c r="H2243" s="488">
        <f t="shared" si="151"/>
        <v>-33</v>
      </c>
      <c r="I2243" s="487"/>
      <c r="J2243" s="487"/>
      <c r="K2243" s="493"/>
      <c r="L2243" s="487"/>
      <c r="M2243" s="493"/>
      <c r="N2243" s="493"/>
      <c r="O2243" s="493"/>
      <c r="P2243" s="493"/>
      <c r="Q2243" s="493"/>
      <c r="R2243" s="502">
        <v>47</v>
      </c>
    </row>
    <row r="2244" spans="1:18" x14ac:dyDescent="0.3">
      <c r="A2244" s="487" t="b">
        <v>0</v>
      </c>
      <c r="B2244" s="487">
        <f t="shared" si="150"/>
        <v>8</v>
      </c>
      <c r="C2244" s="505" t="s">
        <v>7464</v>
      </c>
      <c r="D2244" s="487" t="s">
        <v>1415</v>
      </c>
      <c r="E2244" s="493"/>
      <c r="F2244" s="493"/>
      <c r="G2244" s="510" t="s">
        <v>7465</v>
      </c>
      <c r="H2244" s="488">
        <f t="shared" si="151"/>
        <v>-32</v>
      </c>
      <c r="I2244" s="487"/>
      <c r="J2244" s="487"/>
      <c r="K2244" s="493"/>
      <c r="L2244" s="487"/>
      <c r="M2244" s="493"/>
      <c r="N2244" s="493"/>
      <c r="O2244" s="493"/>
      <c r="P2244" s="493"/>
      <c r="Q2244" s="493"/>
      <c r="R2244" s="502">
        <v>48</v>
      </c>
    </row>
    <row r="2245" spans="1:18" x14ac:dyDescent="0.3">
      <c r="A2245" s="487" t="b">
        <v>0</v>
      </c>
      <c r="B2245" s="487">
        <f t="shared" si="150"/>
        <v>8</v>
      </c>
      <c r="C2245" s="505" t="s">
        <v>7466</v>
      </c>
      <c r="D2245" s="487" t="s">
        <v>1415</v>
      </c>
      <c r="E2245" s="493"/>
      <c r="F2245" s="493"/>
      <c r="G2245" s="510" t="s">
        <v>7467</v>
      </c>
      <c r="H2245" s="488">
        <f t="shared" si="151"/>
        <v>-31</v>
      </c>
      <c r="I2245" s="487"/>
      <c r="J2245" s="487"/>
      <c r="K2245" s="493"/>
      <c r="L2245" s="487"/>
      <c r="M2245" s="493"/>
      <c r="N2245" s="493"/>
      <c r="O2245" s="493"/>
      <c r="P2245" s="493"/>
      <c r="Q2245" s="493"/>
      <c r="R2245" s="502">
        <v>49</v>
      </c>
    </row>
    <row r="2246" spans="1:18" x14ac:dyDescent="0.3">
      <c r="A2246" s="487" t="b">
        <v>0</v>
      </c>
      <c r="B2246" s="487">
        <f t="shared" si="150"/>
        <v>8</v>
      </c>
      <c r="C2246" s="505" t="s">
        <v>7468</v>
      </c>
      <c r="D2246" s="487" t="s">
        <v>1415</v>
      </c>
      <c r="E2246" s="493"/>
      <c r="F2246" s="493"/>
      <c r="G2246" s="510" t="s">
        <v>7469</v>
      </c>
      <c r="H2246" s="488">
        <f t="shared" si="151"/>
        <v>-30</v>
      </c>
      <c r="I2246" s="487"/>
      <c r="J2246" s="487"/>
      <c r="K2246" s="493"/>
      <c r="L2246" s="487"/>
      <c r="M2246" s="493"/>
      <c r="N2246" s="493"/>
      <c r="O2246" s="493"/>
      <c r="P2246" s="493"/>
      <c r="Q2246" s="493"/>
      <c r="R2246" s="502">
        <v>50</v>
      </c>
    </row>
    <row r="2247" spans="1:18" x14ac:dyDescent="0.3">
      <c r="A2247" s="487" t="b">
        <v>0</v>
      </c>
      <c r="B2247" s="487">
        <f t="shared" si="150"/>
        <v>8</v>
      </c>
      <c r="C2247" s="505" t="s">
        <v>7470</v>
      </c>
      <c r="D2247" s="487" t="s">
        <v>1415</v>
      </c>
      <c r="E2247" s="493"/>
      <c r="F2247" s="493"/>
      <c r="G2247" s="510" t="s">
        <v>7471</v>
      </c>
      <c r="H2247" s="488">
        <f t="shared" si="151"/>
        <v>-29</v>
      </c>
      <c r="I2247" s="487"/>
      <c r="J2247" s="487"/>
      <c r="K2247" s="493"/>
      <c r="L2247" s="487"/>
      <c r="M2247" s="493"/>
      <c r="N2247" s="493"/>
      <c r="O2247" s="493"/>
      <c r="P2247" s="493"/>
      <c r="Q2247" s="493"/>
      <c r="R2247" s="502">
        <v>51</v>
      </c>
    </row>
    <row r="2248" spans="1:18" x14ac:dyDescent="0.3">
      <c r="A2248" s="487" t="b">
        <v>0</v>
      </c>
      <c r="B2248" s="487">
        <f t="shared" si="150"/>
        <v>8</v>
      </c>
      <c r="C2248" s="505" t="s">
        <v>7472</v>
      </c>
      <c r="D2248" s="487" t="s">
        <v>1415</v>
      </c>
      <c r="E2248" s="493"/>
      <c r="F2248" s="493"/>
      <c r="G2248" s="510" t="s">
        <v>7473</v>
      </c>
      <c r="H2248" s="488">
        <f t="shared" si="151"/>
        <v>-28</v>
      </c>
      <c r="I2248" s="487"/>
      <c r="J2248" s="487"/>
      <c r="K2248" s="493"/>
      <c r="L2248" s="487"/>
      <c r="M2248" s="493"/>
      <c r="N2248" s="493"/>
      <c r="O2248" s="493"/>
      <c r="P2248" s="493"/>
      <c r="Q2248" s="493"/>
      <c r="R2248" s="502">
        <v>52</v>
      </c>
    </row>
    <row r="2249" spans="1:18" x14ac:dyDescent="0.3">
      <c r="A2249" s="487" t="b">
        <v>0</v>
      </c>
      <c r="B2249" s="487">
        <f t="shared" si="150"/>
        <v>8</v>
      </c>
      <c r="C2249" s="505" t="s">
        <v>7474</v>
      </c>
      <c r="D2249" s="487" t="s">
        <v>1415</v>
      </c>
      <c r="E2249" s="493"/>
      <c r="F2249" s="493"/>
      <c r="G2249" s="510" t="s">
        <v>7475</v>
      </c>
      <c r="H2249" s="488">
        <f t="shared" si="151"/>
        <v>-27</v>
      </c>
      <c r="I2249" s="487"/>
      <c r="J2249" s="487"/>
      <c r="K2249" s="493"/>
      <c r="L2249" s="487"/>
      <c r="M2249" s="493"/>
      <c r="N2249" s="493"/>
      <c r="O2249" s="493"/>
      <c r="P2249" s="493"/>
      <c r="Q2249" s="493"/>
      <c r="R2249" s="502">
        <v>53</v>
      </c>
    </row>
    <row r="2250" spans="1:18" x14ac:dyDescent="0.3">
      <c r="A2250" s="487" t="b">
        <v>0</v>
      </c>
      <c r="B2250" s="487">
        <f t="shared" si="150"/>
        <v>8</v>
      </c>
      <c r="C2250" s="505" t="s">
        <v>7476</v>
      </c>
      <c r="D2250" s="487" t="s">
        <v>1415</v>
      </c>
      <c r="E2250" s="493"/>
      <c r="F2250" s="493"/>
      <c r="G2250" s="510" t="s">
        <v>7477</v>
      </c>
      <c r="H2250" s="488">
        <f t="shared" si="151"/>
        <v>-26</v>
      </c>
      <c r="I2250" s="487"/>
      <c r="J2250" s="487"/>
      <c r="K2250" s="493"/>
      <c r="L2250" s="487"/>
      <c r="M2250" s="493"/>
      <c r="N2250" s="493"/>
      <c r="O2250" s="493"/>
      <c r="P2250" s="493"/>
      <c r="Q2250" s="493"/>
      <c r="R2250" s="502">
        <v>54</v>
      </c>
    </row>
    <row r="2251" spans="1:18" x14ac:dyDescent="0.3">
      <c r="A2251" s="487" t="b">
        <v>0</v>
      </c>
      <c r="B2251" s="487">
        <f t="shared" si="150"/>
        <v>8</v>
      </c>
      <c r="C2251" s="505" t="s">
        <v>7478</v>
      </c>
      <c r="D2251" s="487" t="s">
        <v>1415</v>
      </c>
      <c r="E2251" s="493"/>
      <c r="F2251" s="493"/>
      <c r="G2251" s="510" t="s">
        <v>7479</v>
      </c>
      <c r="H2251" s="488">
        <f t="shared" si="151"/>
        <v>-25</v>
      </c>
      <c r="I2251" s="487"/>
      <c r="J2251" s="487"/>
      <c r="K2251" s="493"/>
      <c r="L2251" s="487"/>
      <c r="M2251" s="493"/>
      <c r="N2251" s="493"/>
      <c r="O2251" s="493"/>
      <c r="P2251" s="493"/>
      <c r="Q2251" s="493"/>
      <c r="R2251" s="502">
        <v>55</v>
      </c>
    </row>
    <row r="2252" spans="1:18" x14ac:dyDescent="0.3">
      <c r="A2252" s="487" t="b">
        <v>0</v>
      </c>
      <c r="B2252" s="487">
        <f t="shared" si="150"/>
        <v>8</v>
      </c>
      <c r="C2252" s="505" t="s">
        <v>7480</v>
      </c>
      <c r="D2252" s="487" t="s">
        <v>1415</v>
      </c>
      <c r="E2252" s="493"/>
      <c r="F2252" s="493"/>
      <c r="G2252" s="510" t="s">
        <v>7481</v>
      </c>
      <c r="H2252" s="488">
        <f t="shared" si="151"/>
        <v>-24</v>
      </c>
      <c r="I2252" s="487"/>
      <c r="J2252" s="487"/>
      <c r="K2252" s="493"/>
      <c r="L2252" s="487"/>
      <c r="M2252" s="493"/>
      <c r="N2252" s="493"/>
      <c r="O2252" s="493"/>
      <c r="P2252" s="493"/>
      <c r="Q2252" s="493"/>
      <c r="R2252" s="502">
        <v>56</v>
      </c>
    </row>
    <row r="2253" spans="1:18" x14ac:dyDescent="0.3">
      <c r="A2253" s="487" t="b">
        <v>0</v>
      </c>
      <c r="B2253" s="487">
        <f t="shared" si="150"/>
        <v>8</v>
      </c>
      <c r="C2253" s="505" t="s">
        <v>7482</v>
      </c>
      <c r="D2253" s="487" t="s">
        <v>1415</v>
      </c>
      <c r="E2253" s="493"/>
      <c r="F2253" s="493"/>
      <c r="G2253" s="510" t="s">
        <v>7483</v>
      </c>
      <c r="H2253" s="488">
        <f t="shared" si="151"/>
        <v>-23</v>
      </c>
      <c r="I2253" s="487"/>
      <c r="J2253" s="487"/>
      <c r="K2253" s="493"/>
      <c r="L2253" s="487"/>
      <c r="M2253" s="493"/>
      <c r="N2253" s="493"/>
      <c r="O2253" s="493"/>
      <c r="P2253" s="493"/>
      <c r="Q2253" s="493"/>
      <c r="R2253" s="502">
        <v>57</v>
      </c>
    </row>
    <row r="2254" spans="1:18" x14ac:dyDescent="0.3">
      <c r="A2254" s="487" t="b">
        <v>0</v>
      </c>
      <c r="B2254" s="487">
        <f t="shared" si="150"/>
        <v>8</v>
      </c>
      <c r="C2254" s="505" t="s">
        <v>7484</v>
      </c>
      <c r="D2254" s="487" t="s">
        <v>1415</v>
      </c>
      <c r="E2254" s="493"/>
      <c r="F2254" s="493"/>
      <c r="G2254" s="510" t="s">
        <v>7485</v>
      </c>
      <c r="H2254" s="488">
        <f t="shared" si="151"/>
        <v>-22</v>
      </c>
      <c r="I2254" s="487"/>
      <c r="J2254" s="487"/>
      <c r="K2254" s="493"/>
      <c r="L2254" s="487"/>
      <c r="M2254" s="493"/>
      <c r="N2254" s="493"/>
      <c r="O2254" s="493"/>
      <c r="P2254" s="493"/>
      <c r="Q2254" s="493"/>
      <c r="R2254" s="502">
        <v>58</v>
      </c>
    </row>
    <row r="2255" spans="1:18" x14ac:dyDescent="0.3">
      <c r="A2255" s="487" t="b">
        <v>0</v>
      </c>
      <c r="B2255" s="487">
        <f t="shared" si="150"/>
        <v>8</v>
      </c>
      <c r="C2255" s="505" t="s">
        <v>7486</v>
      </c>
      <c r="D2255" s="487" t="s">
        <v>1415</v>
      </c>
      <c r="E2255" s="493"/>
      <c r="F2255" s="493"/>
      <c r="G2255" s="510" t="s">
        <v>7487</v>
      </c>
      <c r="H2255" s="488">
        <f t="shared" si="151"/>
        <v>-21</v>
      </c>
      <c r="I2255" s="487"/>
      <c r="J2255" s="487"/>
      <c r="K2255" s="493"/>
      <c r="L2255" s="487"/>
      <c r="M2255" s="493"/>
      <c r="N2255" s="493"/>
      <c r="O2255" s="493"/>
      <c r="P2255" s="493"/>
      <c r="Q2255" s="493"/>
      <c r="R2255" s="502">
        <v>59</v>
      </c>
    </row>
    <row r="2256" spans="1:18" x14ac:dyDescent="0.3">
      <c r="A2256" s="487" t="b">
        <v>0</v>
      </c>
      <c r="B2256" s="487">
        <f t="shared" si="150"/>
        <v>8</v>
      </c>
      <c r="C2256" s="505" t="s">
        <v>7488</v>
      </c>
      <c r="D2256" s="487" t="s">
        <v>1415</v>
      </c>
      <c r="E2256" s="493"/>
      <c r="F2256" s="493"/>
      <c r="G2256" s="510" t="s">
        <v>7489</v>
      </c>
      <c r="H2256" s="488">
        <f t="shared" si="151"/>
        <v>-20</v>
      </c>
      <c r="I2256" s="487"/>
      <c r="J2256" s="487"/>
      <c r="K2256" s="493"/>
      <c r="L2256" s="487"/>
      <c r="M2256" s="493"/>
      <c r="N2256" s="493"/>
      <c r="O2256" s="493"/>
      <c r="P2256" s="493"/>
      <c r="Q2256" s="493"/>
      <c r="R2256" s="502">
        <v>60</v>
      </c>
    </row>
    <row r="2257" spans="1:18" x14ac:dyDescent="0.3">
      <c r="A2257" s="487" t="b">
        <v>0</v>
      </c>
      <c r="B2257" s="487">
        <f t="shared" si="150"/>
        <v>8</v>
      </c>
      <c r="C2257" s="505" t="s">
        <v>7490</v>
      </c>
      <c r="D2257" s="487" t="s">
        <v>1415</v>
      </c>
      <c r="E2257" s="493"/>
      <c r="F2257" s="493"/>
      <c r="G2257" s="510" t="s">
        <v>7491</v>
      </c>
      <c r="H2257" s="488">
        <f t="shared" si="151"/>
        <v>-19</v>
      </c>
      <c r="I2257" s="487"/>
      <c r="J2257" s="487"/>
      <c r="K2257" s="493"/>
      <c r="L2257" s="487"/>
      <c r="M2257" s="493"/>
      <c r="N2257" s="493"/>
      <c r="O2257" s="493"/>
      <c r="P2257" s="493"/>
      <c r="Q2257" s="493"/>
      <c r="R2257" s="502">
        <v>61</v>
      </c>
    </row>
    <row r="2258" spans="1:18" x14ac:dyDescent="0.3">
      <c r="A2258" s="487" t="b">
        <v>0</v>
      </c>
      <c r="B2258" s="487">
        <f t="shared" si="150"/>
        <v>8</v>
      </c>
      <c r="C2258" s="505" t="s">
        <v>7492</v>
      </c>
      <c r="D2258" s="487" t="s">
        <v>1415</v>
      </c>
      <c r="E2258" s="493"/>
      <c r="F2258" s="493"/>
      <c r="G2258" s="510" t="s">
        <v>7493</v>
      </c>
      <c r="H2258" s="488">
        <f t="shared" si="151"/>
        <v>-18</v>
      </c>
      <c r="I2258" s="487"/>
      <c r="J2258" s="487"/>
      <c r="K2258" s="493"/>
      <c r="L2258" s="487"/>
      <c r="M2258" s="493"/>
      <c r="N2258" s="493"/>
      <c r="O2258" s="493"/>
      <c r="P2258" s="493"/>
      <c r="Q2258" s="493"/>
      <c r="R2258" s="502">
        <v>62</v>
      </c>
    </row>
    <row r="2259" spans="1:18" x14ac:dyDescent="0.3">
      <c r="A2259" s="487" t="b">
        <v>0</v>
      </c>
      <c r="B2259" s="487">
        <f t="shared" si="150"/>
        <v>8</v>
      </c>
      <c r="C2259" s="505" t="s">
        <v>7494</v>
      </c>
      <c r="D2259" s="487" t="s">
        <v>1415</v>
      </c>
      <c r="E2259" s="493"/>
      <c r="F2259" s="493"/>
      <c r="G2259" s="510" t="s">
        <v>7495</v>
      </c>
      <c r="H2259" s="488">
        <f t="shared" si="151"/>
        <v>-17</v>
      </c>
      <c r="I2259" s="487"/>
      <c r="J2259" s="487"/>
      <c r="K2259" s="493"/>
      <c r="L2259" s="487"/>
      <c r="M2259" s="493"/>
      <c r="N2259" s="493"/>
      <c r="O2259" s="493"/>
      <c r="P2259" s="493"/>
      <c r="Q2259" s="493"/>
      <c r="R2259" s="502">
        <v>63</v>
      </c>
    </row>
    <row r="2260" spans="1:18" x14ac:dyDescent="0.3">
      <c r="A2260" s="487" t="b">
        <v>0</v>
      </c>
      <c r="B2260" s="487">
        <f t="shared" si="150"/>
        <v>8</v>
      </c>
      <c r="C2260" s="505" t="s">
        <v>7496</v>
      </c>
      <c r="D2260" s="487" t="s">
        <v>1415</v>
      </c>
      <c r="E2260" s="493"/>
      <c r="F2260" s="493"/>
      <c r="G2260" s="510" t="s">
        <v>7497</v>
      </c>
      <c r="H2260" s="488">
        <f t="shared" si="151"/>
        <v>-16</v>
      </c>
      <c r="I2260" s="487"/>
      <c r="J2260" s="487"/>
      <c r="K2260" s="493"/>
      <c r="L2260" s="487"/>
      <c r="M2260" s="493"/>
      <c r="N2260" s="493"/>
      <c r="O2260" s="493"/>
      <c r="P2260" s="493"/>
      <c r="Q2260" s="493"/>
      <c r="R2260" s="502">
        <v>64</v>
      </c>
    </row>
    <row r="2261" spans="1:18" x14ac:dyDescent="0.3">
      <c r="A2261" s="487" t="b">
        <v>0</v>
      </c>
      <c r="B2261" s="487">
        <f t="shared" ref="B2261:B2324" si="152">IF(_xlfn.ISFORMULA(J2261),B2260+1,B2260)</f>
        <v>8</v>
      </c>
      <c r="C2261" s="505" t="s">
        <v>7498</v>
      </c>
      <c r="D2261" s="487" t="s">
        <v>1415</v>
      </c>
      <c r="E2261" s="493"/>
      <c r="F2261" s="493"/>
      <c r="G2261" s="510" t="s">
        <v>7499</v>
      </c>
      <c r="H2261" s="488">
        <f t="shared" ref="H2261:H2324" si="153">H2260+1</f>
        <v>-15</v>
      </c>
      <c r="I2261" s="487"/>
      <c r="J2261" s="487"/>
      <c r="K2261" s="493"/>
      <c r="L2261" s="487"/>
      <c r="M2261" s="493"/>
      <c r="N2261" s="493"/>
      <c r="O2261" s="493"/>
      <c r="P2261" s="493"/>
      <c r="Q2261" s="493"/>
      <c r="R2261" s="502">
        <v>65</v>
      </c>
    </row>
    <row r="2262" spans="1:18" x14ac:dyDescent="0.3">
      <c r="A2262" s="487" t="b">
        <v>0</v>
      </c>
      <c r="B2262" s="487">
        <f t="shared" si="152"/>
        <v>8</v>
      </c>
      <c r="C2262" s="505" t="s">
        <v>7500</v>
      </c>
      <c r="D2262" s="487" t="s">
        <v>1415</v>
      </c>
      <c r="E2262" s="493"/>
      <c r="F2262" s="493"/>
      <c r="G2262" s="510" t="s">
        <v>7501</v>
      </c>
      <c r="H2262" s="488">
        <f t="shared" si="153"/>
        <v>-14</v>
      </c>
      <c r="I2262" s="487"/>
      <c r="J2262" s="487"/>
      <c r="K2262" s="493"/>
      <c r="L2262" s="487"/>
      <c r="M2262" s="493"/>
      <c r="N2262" s="493"/>
      <c r="O2262" s="493"/>
      <c r="P2262" s="493"/>
      <c r="Q2262" s="493"/>
      <c r="R2262" s="502">
        <v>66</v>
      </c>
    </row>
    <row r="2263" spans="1:18" x14ac:dyDescent="0.3">
      <c r="A2263" s="487" t="b">
        <v>0</v>
      </c>
      <c r="B2263" s="487">
        <f t="shared" si="152"/>
        <v>8</v>
      </c>
      <c r="C2263" s="505" t="s">
        <v>7502</v>
      </c>
      <c r="D2263" s="487" t="s">
        <v>1415</v>
      </c>
      <c r="E2263" s="493"/>
      <c r="F2263" s="493"/>
      <c r="G2263" s="510" t="s">
        <v>7503</v>
      </c>
      <c r="H2263" s="488">
        <f t="shared" si="153"/>
        <v>-13</v>
      </c>
      <c r="I2263" s="487"/>
      <c r="J2263" s="487"/>
      <c r="K2263" s="493"/>
      <c r="L2263" s="487"/>
      <c r="M2263" s="493"/>
      <c r="N2263" s="493"/>
      <c r="O2263" s="493"/>
      <c r="P2263" s="493"/>
      <c r="Q2263" s="493"/>
      <c r="R2263" s="502">
        <v>67</v>
      </c>
    </row>
    <row r="2264" spans="1:18" x14ac:dyDescent="0.3">
      <c r="A2264" s="487" t="b">
        <v>0</v>
      </c>
      <c r="B2264" s="487">
        <f t="shared" si="152"/>
        <v>8</v>
      </c>
      <c r="C2264" s="505" t="s">
        <v>7504</v>
      </c>
      <c r="D2264" s="487" t="s">
        <v>1415</v>
      </c>
      <c r="E2264" s="493"/>
      <c r="F2264" s="493"/>
      <c r="G2264" s="510" t="s">
        <v>7505</v>
      </c>
      <c r="H2264" s="488">
        <f t="shared" si="153"/>
        <v>-12</v>
      </c>
      <c r="I2264" s="487"/>
      <c r="J2264" s="487"/>
      <c r="K2264" s="493"/>
      <c r="L2264" s="487"/>
      <c r="M2264" s="493"/>
      <c r="N2264" s="493"/>
      <c r="O2264" s="493"/>
      <c r="P2264" s="493"/>
      <c r="Q2264" s="493"/>
      <c r="R2264" s="502">
        <v>68</v>
      </c>
    </row>
    <row r="2265" spans="1:18" x14ac:dyDescent="0.3">
      <c r="A2265" s="487" t="b">
        <v>0</v>
      </c>
      <c r="B2265" s="487">
        <f t="shared" si="152"/>
        <v>8</v>
      </c>
      <c r="C2265" s="505" t="s">
        <v>7506</v>
      </c>
      <c r="D2265" s="487" t="s">
        <v>1415</v>
      </c>
      <c r="E2265" s="493"/>
      <c r="F2265" s="493"/>
      <c r="G2265" s="510" t="s">
        <v>7507</v>
      </c>
      <c r="H2265" s="488">
        <f t="shared" si="153"/>
        <v>-11</v>
      </c>
      <c r="I2265" s="487"/>
      <c r="J2265" s="487"/>
      <c r="K2265" s="493"/>
      <c r="L2265" s="487"/>
      <c r="M2265" s="493"/>
      <c r="N2265" s="493"/>
      <c r="O2265" s="493"/>
      <c r="P2265" s="493"/>
      <c r="Q2265" s="493"/>
      <c r="R2265" s="502">
        <v>69</v>
      </c>
    </row>
    <row r="2266" spans="1:18" x14ac:dyDescent="0.3">
      <c r="A2266" s="487" t="b">
        <v>0</v>
      </c>
      <c r="B2266" s="487">
        <f t="shared" si="152"/>
        <v>8</v>
      </c>
      <c r="C2266" s="505" t="s">
        <v>7508</v>
      </c>
      <c r="D2266" s="487" t="s">
        <v>1415</v>
      </c>
      <c r="E2266" s="493"/>
      <c r="F2266" s="493"/>
      <c r="G2266" s="510" t="s">
        <v>7509</v>
      </c>
      <c r="H2266" s="488">
        <f t="shared" si="153"/>
        <v>-10</v>
      </c>
      <c r="I2266" s="487"/>
      <c r="J2266" s="487"/>
      <c r="K2266" s="493"/>
      <c r="L2266" s="487"/>
      <c r="M2266" s="493"/>
      <c r="N2266" s="493"/>
      <c r="O2266" s="493"/>
      <c r="P2266" s="493"/>
      <c r="Q2266" s="493"/>
      <c r="R2266" s="502">
        <v>70</v>
      </c>
    </row>
    <row r="2267" spans="1:18" x14ac:dyDescent="0.3">
      <c r="A2267" s="487" t="b">
        <v>0</v>
      </c>
      <c r="B2267" s="487">
        <f t="shared" si="152"/>
        <v>8</v>
      </c>
      <c r="C2267" s="505" t="s">
        <v>7510</v>
      </c>
      <c r="D2267" s="487" t="s">
        <v>1415</v>
      </c>
      <c r="E2267" s="493"/>
      <c r="F2267" s="493"/>
      <c r="G2267" s="510" t="s">
        <v>7511</v>
      </c>
      <c r="H2267" s="488">
        <f t="shared" si="153"/>
        <v>-9</v>
      </c>
      <c r="I2267" s="487"/>
      <c r="J2267" s="487"/>
      <c r="K2267" s="493"/>
      <c r="L2267" s="487"/>
      <c r="M2267" s="493"/>
      <c r="N2267" s="493"/>
      <c r="O2267" s="493"/>
      <c r="P2267" s="493"/>
      <c r="Q2267" s="493"/>
      <c r="R2267" s="502">
        <v>71</v>
      </c>
    </row>
    <row r="2268" spans="1:18" x14ac:dyDescent="0.3">
      <c r="A2268" s="487" t="b">
        <v>0</v>
      </c>
      <c r="B2268" s="487">
        <f t="shared" si="152"/>
        <v>8</v>
      </c>
      <c r="C2268" s="505" t="s">
        <v>7512</v>
      </c>
      <c r="D2268" s="487" t="s">
        <v>1415</v>
      </c>
      <c r="E2268" s="493"/>
      <c r="F2268" s="493"/>
      <c r="G2268" s="510" t="s">
        <v>7513</v>
      </c>
      <c r="H2268" s="488">
        <f t="shared" si="153"/>
        <v>-8</v>
      </c>
      <c r="I2268" s="487"/>
      <c r="J2268" s="487"/>
      <c r="K2268" s="493"/>
      <c r="L2268" s="487"/>
      <c r="M2268" s="493"/>
      <c r="N2268" s="493"/>
      <c r="O2268" s="493"/>
      <c r="P2268" s="493"/>
      <c r="Q2268" s="493"/>
      <c r="R2268" s="502">
        <v>72</v>
      </c>
    </row>
    <row r="2269" spans="1:18" x14ac:dyDescent="0.3">
      <c r="A2269" s="487" t="b">
        <v>0</v>
      </c>
      <c r="B2269" s="487">
        <f t="shared" si="152"/>
        <v>8</v>
      </c>
      <c r="C2269" s="505" t="s">
        <v>7514</v>
      </c>
      <c r="D2269" s="487" t="s">
        <v>1415</v>
      </c>
      <c r="E2269" s="493"/>
      <c r="F2269" s="493"/>
      <c r="G2269" s="510" t="s">
        <v>7515</v>
      </c>
      <c r="H2269" s="488">
        <f t="shared" si="153"/>
        <v>-7</v>
      </c>
      <c r="I2269" s="487"/>
      <c r="J2269" s="487"/>
      <c r="K2269" s="493"/>
      <c r="L2269" s="487"/>
      <c r="M2269" s="493"/>
      <c r="N2269" s="493"/>
      <c r="O2269" s="493"/>
      <c r="P2269" s="493"/>
      <c r="Q2269" s="493"/>
      <c r="R2269" s="502">
        <v>73</v>
      </c>
    </row>
    <row r="2270" spans="1:18" x14ac:dyDescent="0.3">
      <c r="A2270" s="487" t="b">
        <v>0</v>
      </c>
      <c r="B2270" s="487">
        <f t="shared" si="152"/>
        <v>8</v>
      </c>
      <c r="C2270" s="505" t="s">
        <v>7516</v>
      </c>
      <c r="D2270" s="487" t="s">
        <v>1415</v>
      </c>
      <c r="E2270" s="493"/>
      <c r="F2270" s="493"/>
      <c r="G2270" s="510" t="s">
        <v>7517</v>
      </c>
      <c r="H2270" s="488">
        <f t="shared" si="153"/>
        <v>-6</v>
      </c>
      <c r="I2270" s="487"/>
      <c r="J2270" s="487"/>
      <c r="K2270" s="493"/>
      <c r="L2270" s="487"/>
      <c r="M2270" s="493"/>
      <c r="N2270" s="493"/>
      <c r="O2270" s="493"/>
      <c r="P2270" s="493"/>
      <c r="Q2270" s="493"/>
      <c r="R2270" s="502">
        <v>74</v>
      </c>
    </row>
    <row r="2271" spans="1:18" x14ac:dyDescent="0.3">
      <c r="A2271" s="487" t="b">
        <v>0</v>
      </c>
      <c r="B2271" s="487">
        <f t="shared" si="152"/>
        <v>8</v>
      </c>
      <c r="C2271" s="505" t="s">
        <v>7518</v>
      </c>
      <c r="D2271" s="487" t="s">
        <v>1415</v>
      </c>
      <c r="E2271" s="493"/>
      <c r="F2271" s="493"/>
      <c r="G2271" s="510" t="s">
        <v>7519</v>
      </c>
      <c r="H2271" s="488">
        <f t="shared" si="153"/>
        <v>-5</v>
      </c>
      <c r="I2271" s="487"/>
      <c r="J2271" s="487"/>
      <c r="K2271" s="493"/>
      <c r="L2271" s="487"/>
      <c r="M2271" s="493"/>
      <c r="N2271" s="493"/>
      <c r="O2271" s="493"/>
      <c r="P2271" s="493"/>
      <c r="Q2271" s="493"/>
      <c r="R2271" s="502">
        <v>75</v>
      </c>
    </row>
    <row r="2272" spans="1:18" x14ac:dyDescent="0.3">
      <c r="A2272" s="487" t="b">
        <v>0</v>
      </c>
      <c r="B2272" s="487">
        <f t="shared" si="152"/>
        <v>8</v>
      </c>
      <c r="C2272" s="505" t="s">
        <v>7520</v>
      </c>
      <c r="D2272" s="487" t="s">
        <v>1415</v>
      </c>
      <c r="E2272" s="493"/>
      <c r="F2272" s="493"/>
      <c r="G2272" s="510" t="s">
        <v>7521</v>
      </c>
      <c r="H2272" s="488">
        <f t="shared" si="153"/>
        <v>-4</v>
      </c>
      <c r="I2272" s="487"/>
      <c r="J2272" s="487"/>
      <c r="K2272" s="493"/>
      <c r="L2272" s="487"/>
      <c r="M2272" s="493"/>
      <c r="N2272" s="493"/>
      <c r="O2272" s="493"/>
      <c r="P2272" s="493"/>
      <c r="Q2272" s="493"/>
      <c r="R2272" s="502">
        <v>76</v>
      </c>
    </row>
    <row r="2273" spans="1:18" x14ac:dyDescent="0.3">
      <c r="A2273" s="487" t="b">
        <v>0</v>
      </c>
      <c r="B2273" s="487">
        <f t="shared" si="152"/>
        <v>8</v>
      </c>
      <c r="C2273" s="505" t="s">
        <v>7522</v>
      </c>
      <c r="D2273" s="487" t="s">
        <v>1415</v>
      </c>
      <c r="E2273" s="493"/>
      <c r="F2273" s="493"/>
      <c r="G2273" s="510" t="s">
        <v>7523</v>
      </c>
      <c r="H2273" s="488">
        <f t="shared" si="153"/>
        <v>-3</v>
      </c>
      <c r="I2273" s="487"/>
      <c r="J2273" s="487"/>
      <c r="K2273" s="493"/>
      <c r="L2273" s="487"/>
      <c r="M2273" s="493"/>
      <c r="N2273" s="493"/>
      <c r="O2273" s="493"/>
      <c r="P2273" s="493"/>
      <c r="Q2273" s="493"/>
      <c r="R2273" s="502">
        <v>77</v>
      </c>
    </row>
    <row r="2274" spans="1:18" x14ac:dyDescent="0.3">
      <c r="A2274" s="487" t="b">
        <v>0</v>
      </c>
      <c r="B2274" s="487">
        <f t="shared" si="152"/>
        <v>8</v>
      </c>
      <c r="C2274" s="505" t="s">
        <v>7524</v>
      </c>
      <c r="D2274" s="487" t="s">
        <v>1415</v>
      </c>
      <c r="E2274" s="493"/>
      <c r="F2274" s="493"/>
      <c r="G2274" s="510" t="s">
        <v>7525</v>
      </c>
      <c r="H2274" s="488">
        <f t="shared" si="153"/>
        <v>-2</v>
      </c>
      <c r="I2274" s="487"/>
      <c r="J2274" s="487"/>
      <c r="K2274" s="493"/>
      <c r="L2274" s="487"/>
      <c r="M2274" s="493"/>
      <c r="N2274" s="493"/>
      <c r="O2274" s="493"/>
      <c r="P2274" s="493"/>
      <c r="Q2274" s="493"/>
      <c r="R2274" s="502">
        <v>78</v>
      </c>
    </row>
    <row r="2275" spans="1:18" x14ac:dyDescent="0.3">
      <c r="A2275" s="487" t="b">
        <v>0</v>
      </c>
      <c r="B2275" s="487">
        <f t="shared" si="152"/>
        <v>8</v>
      </c>
      <c r="C2275" s="505" t="s">
        <v>7526</v>
      </c>
      <c r="D2275" s="487" t="s">
        <v>1415</v>
      </c>
      <c r="E2275" s="493"/>
      <c r="F2275" s="493"/>
      <c r="G2275" s="510" t="s">
        <v>7527</v>
      </c>
      <c r="H2275" s="488">
        <f t="shared" si="153"/>
        <v>-1</v>
      </c>
      <c r="I2275" s="487"/>
      <c r="J2275" s="487"/>
      <c r="K2275" s="493"/>
      <c r="L2275" s="487"/>
      <c r="M2275" s="493"/>
      <c r="N2275" s="493"/>
      <c r="O2275" s="493"/>
      <c r="P2275" s="493"/>
      <c r="Q2275" s="493"/>
      <c r="R2275" s="502">
        <v>79</v>
      </c>
    </row>
    <row r="2276" spans="1:18" x14ac:dyDescent="0.3">
      <c r="A2276" s="487" t="b">
        <v>0</v>
      </c>
      <c r="B2276" s="487">
        <f t="shared" si="152"/>
        <v>8</v>
      </c>
      <c r="C2276" s="505" t="s">
        <v>7528</v>
      </c>
      <c r="D2276" s="487" t="s">
        <v>1415</v>
      </c>
      <c r="E2276" s="493"/>
      <c r="F2276" s="493"/>
      <c r="G2276" s="510" t="s">
        <v>7529</v>
      </c>
      <c r="H2276" s="488">
        <f t="shared" si="153"/>
        <v>0</v>
      </c>
      <c r="I2276" s="487"/>
      <c r="J2276" s="487"/>
      <c r="K2276" s="493"/>
      <c r="L2276" s="487"/>
      <c r="M2276" s="493"/>
      <c r="N2276" s="493"/>
      <c r="O2276" s="493"/>
      <c r="P2276" s="493"/>
      <c r="Q2276" s="493"/>
      <c r="R2276" s="502">
        <v>80</v>
      </c>
    </row>
    <row r="2277" spans="1:18" x14ac:dyDescent="0.3">
      <c r="A2277" s="487" t="b">
        <f t="shared" ref="A2277:A2340" ca="1" si="154">IF(AND(D2277&lt;&gt;"",M2277&lt;&gt;""),TRUE,FALSE)</f>
        <v>0</v>
      </c>
      <c r="B2277" s="487">
        <f t="shared" si="152"/>
        <v>9</v>
      </c>
      <c r="C2277" s="507" t="str">
        <f ca="1">IF(COUNTA($G$2194:G2276)=1,"",OFFSET(B2277,-COUNTA($G$2194:G2276)+1,1))</f>
        <v>a1N3p00000497VGEAY</v>
      </c>
      <c r="D2277" s="487" t="str">
        <f t="shared" ref="D2277:D2340" ca="1" si="155">IFERROR(IF(INDIRECT("'WPTM - Section F'!AT"&amp;$B2277)=0,"",INDIRECT("'WPTM - Section F'!AT"&amp;$B2277)),"")</f>
        <v>INT-130914</v>
      </c>
      <c r="E2277" s="493"/>
      <c r="F2277" s="493" t="str">
        <f t="shared" ref="F2277:F2340" ca="1" si="156">IFERROR(IF(INDIRECT("'WPTM - Section F'!AU"&amp;$B2277)=0,"",INDIRECT("'WPTM - Section F'!AU"&amp;$B2277)),"")</f>
        <v/>
      </c>
      <c r="G2277" s="510"/>
      <c r="H2277" s="488">
        <f t="shared" si="153"/>
        <v>1</v>
      </c>
      <c r="I2277" s="487" t="str">
        <f ca="1">IF(IFERROR(VLOOKUP(INDIRECT("'WPTM - Section F'!F"&amp;B2277),'Overview - Section A'!M$29:R121,6,0),IFERROR(VLOOKUP(INDIRECT("'WPTM - Section F'!F"&amp;B2277),'Overview - Section A'!E$26:J109,6,0),""))=0,"",IFERROR(VLOOKUP(INDIRECT("'WPTM - Section F'!F"&amp;B2277),'Overview - Section A'!M$29:R121,6,0),IFERROR(VLOOKUP(INDIRECT("'WPTM - Section F'!F"&amp;B2277),'Overview - Section A'!E$26:J109,6,0),"")))</f>
        <v/>
      </c>
      <c r="J2277" s="487" t="str">
        <f t="shared" ref="J2277:J2340" ca="1" si="157">IFERROR(IF(INDIRECT("'WPTM - Section F'!G"&amp;$B2277)=0,"",INDIRECT("'WPTM - Section F'!G"&amp;$B2277)),"")</f>
        <v/>
      </c>
      <c r="K2277" s="493" t="str">
        <f t="shared" ref="K2277:K2340" ca="1" si="158">IFERROR(IF(INDIRECT("'WPTM - Section F'!BF"&amp;$B2277)=0,"",INDIRECT("'WPTM - Section F'!BF"&amp;$B2277)),"")</f>
        <v/>
      </c>
      <c r="L2277" s="487" t="str">
        <f ca="1">IFERROR(INDEX('Reference Records'!F$329:F588,MATCH(INDIRECT("'WPTM - Section F'!AP"&amp;B2277)&amp;"|"&amp;INDIRECT("'WPTM - Section F'!C"&amp;$B2277),'Reference Records'!G$329:G588,0)),"")</f>
        <v/>
      </c>
      <c r="M2277" s="493" t="str">
        <f t="shared" ref="M2277:M2340" ca="1" si="159">IFERROR(IF(INDIRECT("'WPTM - Section F'!E"&amp;$B2277)=0,"",INDIRECT("'WPTM - Section F'!E"&amp;$B2277)),"")</f>
        <v/>
      </c>
      <c r="N2277" s="493" t="str">
        <f t="shared" ref="N2277:N2340" ca="1" si="160">IFERROR(IF(INDIRECT("'WPTM - Section F'!AV"&amp;$B2277)=0,"",INDIRECT("'WPTM - Section F'!AV"&amp;$B2277)),"")</f>
        <v/>
      </c>
      <c r="O2277" s="493" t="str">
        <f t="shared" ref="O2277:O2340" ca="1" si="161">IFERROR(IF(INDIRECT("'WPTM - Section F'!AN"&amp;$B2277)=0,"",INDIRECT("'WPTM - Section F'!AN"&amp;$B2277)),"")</f>
        <v/>
      </c>
      <c r="P2277" s="493" t="str">
        <f t="shared" ref="P2277:P2340" ca="1" si="162">IFERROR(IF(INDIRECT("'WPTM - Section F'!BE"&amp;$B2277)=0,"",INDIRECT("'WPTM - Section F'!BE"&amp;$B2277)),"")</f>
        <v/>
      </c>
      <c r="Q2277" s="493"/>
      <c r="R2277" s="502"/>
    </row>
    <row r="2278" spans="1:18" x14ac:dyDescent="0.3">
      <c r="A2278" s="487" t="b">
        <f t="shared" ca="1" si="154"/>
        <v>0</v>
      </c>
      <c r="B2278" s="487">
        <f t="shared" si="152"/>
        <v>10</v>
      </c>
      <c r="C2278" s="507" t="str">
        <f ca="1">IF(COUNTA($G$2194:G2277)=1,"",OFFSET(B2278,-COUNTA($G$2194:G2277)+1,1))</f>
        <v>a1N3p00000497VHEAY</v>
      </c>
      <c r="D2278" s="487" t="str">
        <f t="shared" ca="1" si="155"/>
        <v>INT-130914</v>
      </c>
      <c r="E2278" s="493"/>
      <c r="F2278" s="493" t="str">
        <f t="shared" ca="1" si="156"/>
        <v/>
      </c>
      <c r="G2278" s="510"/>
      <c r="H2278" s="488">
        <f t="shared" si="153"/>
        <v>2</v>
      </c>
      <c r="I2278" s="487" t="str">
        <f ca="1">IF(IFERROR(VLOOKUP(INDIRECT("'WPTM - Section F'!F"&amp;B2278),'Overview - Section A'!M$29:R122,6,0),IFERROR(VLOOKUP(INDIRECT("'WPTM - Section F'!F"&amp;B2278),'Overview - Section A'!E$26:J110,6,0),""))=0,"",IFERROR(VLOOKUP(INDIRECT("'WPTM - Section F'!F"&amp;B2278),'Overview - Section A'!M$29:R122,6,0),IFERROR(VLOOKUP(INDIRECT("'WPTM - Section F'!F"&amp;B2278),'Overview - Section A'!E$26:J110,6,0),"")))</f>
        <v/>
      </c>
      <c r="J2278" s="487" t="str">
        <f t="shared" ca="1" si="157"/>
        <v/>
      </c>
      <c r="K2278" s="493" t="str">
        <f t="shared" ca="1" si="158"/>
        <v/>
      </c>
      <c r="L2278" s="487" t="str">
        <f ca="1">IFERROR(INDEX('Reference Records'!F$329:F589,MATCH(INDIRECT("'WPTM - Section F'!AP"&amp;B2278)&amp;"|"&amp;INDIRECT("'WPTM - Section F'!C"&amp;$B2278),'Reference Records'!G$329:G589,0)),"")</f>
        <v/>
      </c>
      <c r="M2278" s="493" t="str">
        <f t="shared" ca="1" si="159"/>
        <v/>
      </c>
      <c r="N2278" s="493" t="str">
        <f t="shared" ca="1" si="160"/>
        <v/>
      </c>
      <c r="O2278" s="493" t="str">
        <f t="shared" ca="1" si="161"/>
        <v/>
      </c>
      <c r="P2278" s="493" t="str">
        <f t="shared" ca="1" si="162"/>
        <v/>
      </c>
      <c r="Q2278" s="493"/>
      <c r="R2278" s="502"/>
    </row>
    <row r="2279" spans="1:18" x14ac:dyDescent="0.3">
      <c r="A2279" s="487" t="b">
        <f t="shared" ca="1" si="154"/>
        <v>0</v>
      </c>
      <c r="B2279" s="487">
        <f t="shared" si="152"/>
        <v>11</v>
      </c>
      <c r="C2279" s="507" t="str">
        <f ca="1">IF(COUNTA($G$2194:G2278)=1,"",OFFSET(B2279,-COUNTA($G$2194:G2278)+1,1))</f>
        <v>a1N3p00000497VIEAY</v>
      </c>
      <c r="D2279" s="487" t="str">
        <f t="shared" ca="1" si="155"/>
        <v>INT-130914</v>
      </c>
      <c r="E2279" s="493"/>
      <c r="F2279" s="493" t="str">
        <f t="shared" ca="1" si="156"/>
        <v/>
      </c>
      <c r="G2279" s="510"/>
      <c r="H2279" s="488">
        <f t="shared" si="153"/>
        <v>3</v>
      </c>
      <c r="I2279" s="487" t="str">
        <f ca="1">IF(IFERROR(VLOOKUP(INDIRECT("'WPTM - Section F'!F"&amp;B2279),'Overview - Section A'!M$29:R123,6,0),IFERROR(VLOOKUP(INDIRECT("'WPTM - Section F'!F"&amp;B2279),'Overview - Section A'!E$26:J111,6,0),""))=0,"",IFERROR(VLOOKUP(INDIRECT("'WPTM - Section F'!F"&amp;B2279),'Overview - Section A'!M$29:R123,6,0),IFERROR(VLOOKUP(INDIRECT("'WPTM - Section F'!F"&amp;B2279),'Overview - Section A'!E$26:J111,6,0),"")))</f>
        <v/>
      </c>
      <c r="J2279" s="487" t="str">
        <f t="shared" ca="1" si="157"/>
        <v/>
      </c>
      <c r="K2279" s="493" t="str">
        <f t="shared" ca="1" si="158"/>
        <v/>
      </c>
      <c r="L2279" s="487" t="str">
        <f ca="1">IFERROR(INDEX('Reference Records'!F$329:F590,MATCH(INDIRECT("'WPTM - Section F'!AP"&amp;B2279)&amp;"|"&amp;INDIRECT("'WPTM - Section F'!C"&amp;$B2279),'Reference Records'!G$329:G590,0)),"")</f>
        <v/>
      </c>
      <c r="M2279" s="493" t="str">
        <f t="shared" ca="1" si="159"/>
        <v/>
      </c>
      <c r="N2279" s="493" t="str">
        <f t="shared" ca="1" si="160"/>
        <v/>
      </c>
      <c r="O2279" s="493" t="str">
        <f t="shared" ca="1" si="161"/>
        <v/>
      </c>
      <c r="P2279" s="493" t="str">
        <f t="shared" ca="1" si="162"/>
        <v/>
      </c>
      <c r="Q2279" s="493"/>
      <c r="R2279" s="502"/>
    </row>
    <row r="2280" spans="1:18" x14ac:dyDescent="0.3">
      <c r="A2280" s="487" t="b">
        <f t="shared" ca="1" si="154"/>
        <v>0</v>
      </c>
      <c r="B2280" s="487">
        <f t="shared" si="152"/>
        <v>12</v>
      </c>
      <c r="C2280" s="507" t="str">
        <f ca="1">IF(COUNTA($G$2194:G2279)=1,"",OFFSET(B2280,-COUNTA($G$2194:G2279)+1,1))</f>
        <v>a1N3p00000497VJEAY</v>
      </c>
      <c r="D2280" s="487" t="str">
        <f t="shared" ca="1" si="155"/>
        <v>INT-130914</v>
      </c>
      <c r="E2280" s="493"/>
      <c r="F2280" s="493" t="str">
        <f t="shared" ca="1" si="156"/>
        <v/>
      </c>
      <c r="G2280" s="510"/>
      <c r="H2280" s="488">
        <f t="shared" si="153"/>
        <v>4</v>
      </c>
      <c r="I2280" s="487" t="str">
        <f ca="1">IF(IFERROR(VLOOKUP(INDIRECT("'WPTM - Section F'!F"&amp;B2280),'Overview - Section A'!M$29:R124,6,0),IFERROR(VLOOKUP(INDIRECT("'WPTM - Section F'!F"&amp;B2280),'Overview - Section A'!E$26:J112,6,0),""))=0,"",IFERROR(VLOOKUP(INDIRECT("'WPTM - Section F'!F"&amp;B2280),'Overview - Section A'!M$29:R124,6,0),IFERROR(VLOOKUP(INDIRECT("'WPTM - Section F'!F"&amp;B2280),'Overview - Section A'!E$26:J112,6,0),"")))</f>
        <v/>
      </c>
      <c r="J2280" s="487" t="str">
        <f t="shared" ca="1" si="157"/>
        <v/>
      </c>
      <c r="K2280" s="493" t="str">
        <f t="shared" ca="1" si="158"/>
        <v/>
      </c>
      <c r="L2280" s="487" t="str">
        <f ca="1">IFERROR(INDEX('Reference Records'!F$329:F591,MATCH(INDIRECT("'WPTM - Section F'!AP"&amp;B2280)&amp;"|"&amp;INDIRECT("'WPTM - Section F'!C"&amp;$B2280),'Reference Records'!G$329:G591,0)),"")</f>
        <v/>
      </c>
      <c r="M2280" s="493" t="str">
        <f t="shared" ca="1" si="159"/>
        <v/>
      </c>
      <c r="N2280" s="493" t="str">
        <f t="shared" ca="1" si="160"/>
        <v/>
      </c>
      <c r="O2280" s="493" t="str">
        <f t="shared" ca="1" si="161"/>
        <v/>
      </c>
      <c r="P2280" s="493" t="str">
        <f t="shared" ca="1" si="162"/>
        <v/>
      </c>
      <c r="Q2280" s="493"/>
      <c r="R2280" s="502"/>
    </row>
    <row r="2281" spans="1:18" x14ac:dyDescent="0.3">
      <c r="A2281" s="487" t="b">
        <f t="shared" ca="1" si="154"/>
        <v>0</v>
      </c>
      <c r="B2281" s="487">
        <f t="shared" si="152"/>
        <v>13</v>
      </c>
      <c r="C2281" s="507" t="str">
        <f ca="1">IF(COUNTA($G$2194:G2280)=1,"",OFFSET(B2281,-COUNTA($G$2194:G2280)+1,1))</f>
        <v>a1N3p00000497VKEAY</v>
      </c>
      <c r="D2281" s="487" t="str">
        <f t="shared" ca="1" si="155"/>
        <v>INT-130914</v>
      </c>
      <c r="E2281" s="493"/>
      <c r="F2281" s="493" t="str">
        <f t="shared" ca="1" si="156"/>
        <v/>
      </c>
      <c r="G2281" s="510"/>
      <c r="H2281" s="488">
        <f t="shared" si="153"/>
        <v>5</v>
      </c>
      <c r="I2281" s="487" t="str">
        <f ca="1">IF(IFERROR(VLOOKUP(INDIRECT("'WPTM - Section F'!F"&amp;B2281),'Overview - Section A'!M$29:R125,6,0),IFERROR(VLOOKUP(INDIRECT("'WPTM - Section F'!F"&amp;B2281),'Overview - Section A'!E$26:J113,6,0),""))=0,"",IFERROR(VLOOKUP(INDIRECT("'WPTM - Section F'!F"&amp;B2281),'Overview - Section A'!M$29:R125,6,0),IFERROR(VLOOKUP(INDIRECT("'WPTM - Section F'!F"&amp;B2281),'Overview - Section A'!E$26:J113,6,0),"")))</f>
        <v/>
      </c>
      <c r="J2281" s="487" t="str">
        <f t="shared" ca="1" si="157"/>
        <v/>
      </c>
      <c r="K2281" s="493" t="str">
        <f t="shared" ca="1" si="158"/>
        <v/>
      </c>
      <c r="L2281" s="487" t="str">
        <f ca="1">IFERROR(INDEX('Reference Records'!F$329:F592,MATCH(INDIRECT("'WPTM - Section F'!AP"&amp;B2281)&amp;"|"&amp;INDIRECT("'WPTM - Section F'!C"&amp;$B2281),'Reference Records'!G$329:G592,0)),"")</f>
        <v/>
      </c>
      <c r="M2281" s="493" t="str">
        <f t="shared" ca="1" si="159"/>
        <v/>
      </c>
      <c r="N2281" s="493" t="str">
        <f t="shared" ca="1" si="160"/>
        <v/>
      </c>
      <c r="O2281" s="493" t="str">
        <f t="shared" ca="1" si="161"/>
        <v/>
      </c>
      <c r="P2281" s="493" t="str">
        <f t="shared" ca="1" si="162"/>
        <v/>
      </c>
      <c r="Q2281" s="493"/>
      <c r="R2281" s="502"/>
    </row>
    <row r="2282" spans="1:18" x14ac:dyDescent="0.3">
      <c r="A2282" s="487" t="b">
        <f t="shared" ca="1" si="154"/>
        <v>0</v>
      </c>
      <c r="B2282" s="487">
        <f t="shared" si="152"/>
        <v>14</v>
      </c>
      <c r="C2282" s="507" t="str">
        <f ca="1">IF(COUNTA($G$2194:G2281)=1,"",OFFSET(B2282,-COUNTA($G$2194:G2281)+1,1))</f>
        <v>a1N3p00000497VLEAY</v>
      </c>
      <c r="D2282" s="487" t="str">
        <f t="shared" ca="1" si="155"/>
        <v>INT-130914</v>
      </c>
      <c r="E2282" s="493"/>
      <c r="F2282" s="493" t="str">
        <f t="shared" ca="1" si="156"/>
        <v/>
      </c>
      <c r="G2282" s="510"/>
      <c r="H2282" s="488">
        <f t="shared" si="153"/>
        <v>6</v>
      </c>
      <c r="I2282" s="487" t="str">
        <f ca="1">IF(IFERROR(VLOOKUP(INDIRECT("'WPTM - Section F'!F"&amp;B2282),'Overview - Section A'!M$29:R126,6,0),IFERROR(VLOOKUP(INDIRECT("'WPTM - Section F'!F"&amp;B2282),'Overview - Section A'!E$26:J114,6,0),""))=0,"",IFERROR(VLOOKUP(INDIRECT("'WPTM - Section F'!F"&amp;B2282),'Overview - Section A'!M$29:R126,6,0),IFERROR(VLOOKUP(INDIRECT("'WPTM - Section F'!F"&amp;B2282),'Overview - Section A'!E$26:J114,6,0),"")))</f>
        <v/>
      </c>
      <c r="J2282" s="487" t="str">
        <f t="shared" ca="1" si="157"/>
        <v/>
      </c>
      <c r="K2282" s="493" t="str">
        <f t="shared" ca="1" si="158"/>
        <v/>
      </c>
      <c r="L2282" s="487" t="str">
        <f ca="1">IFERROR(INDEX('Reference Records'!F$329:F593,MATCH(INDIRECT("'WPTM - Section F'!AP"&amp;B2282)&amp;"|"&amp;INDIRECT("'WPTM - Section F'!C"&amp;$B2282),'Reference Records'!G$329:G593,0)),"")</f>
        <v/>
      </c>
      <c r="M2282" s="493" t="str">
        <f t="shared" ca="1" si="159"/>
        <v/>
      </c>
      <c r="N2282" s="493" t="str">
        <f t="shared" ca="1" si="160"/>
        <v/>
      </c>
      <c r="O2282" s="493" t="str">
        <f t="shared" ca="1" si="161"/>
        <v/>
      </c>
      <c r="P2282" s="493" t="str">
        <f t="shared" ca="1" si="162"/>
        <v/>
      </c>
      <c r="Q2282" s="493"/>
      <c r="R2282" s="502"/>
    </row>
    <row r="2283" spans="1:18" x14ac:dyDescent="0.3">
      <c r="A2283" s="487" t="b">
        <f t="shared" ca="1" si="154"/>
        <v>0</v>
      </c>
      <c r="B2283" s="487">
        <f t="shared" si="152"/>
        <v>15</v>
      </c>
      <c r="C2283" s="507" t="str">
        <f ca="1">IF(COUNTA($G$2194:G2282)=1,"",OFFSET(B2283,-COUNTA($G$2194:G2282)+1,1))</f>
        <v>a1N3p00000497VMEAY</v>
      </c>
      <c r="D2283" s="487" t="str">
        <f t="shared" ca="1" si="155"/>
        <v>INT-130914</v>
      </c>
      <c r="E2283" s="493"/>
      <c r="F2283" s="493" t="str">
        <f t="shared" ca="1" si="156"/>
        <v/>
      </c>
      <c r="G2283" s="510"/>
      <c r="H2283" s="488">
        <f t="shared" si="153"/>
        <v>7</v>
      </c>
      <c r="I2283" s="487" t="str">
        <f ca="1">IF(IFERROR(VLOOKUP(INDIRECT("'WPTM - Section F'!F"&amp;B2283),'Overview - Section A'!M$29:R127,6,0),IFERROR(VLOOKUP(INDIRECT("'WPTM - Section F'!F"&amp;B2283),'Overview - Section A'!E$26:J115,6,0),""))=0,"",IFERROR(VLOOKUP(INDIRECT("'WPTM - Section F'!F"&amp;B2283),'Overview - Section A'!M$29:R127,6,0),IFERROR(VLOOKUP(INDIRECT("'WPTM - Section F'!F"&amp;B2283),'Overview - Section A'!E$26:J115,6,0),"")))</f>
        <v/>
      </c>
      <c r="J2283" s="487" t="str">
        <f t="shared" ca="1" si="157"/>
        <v/>
      </c>
      <c r="K2283" s="493" t="str">
        <f t="shared" ca="1" si="158"/>
        <v/>
      </c>
      <c r="L2283" s="487" t="str">
        <f ca="1">IFERROR(INDEX('Reference Records'!F$329:F594,MATCH(INDIRECT("'WPTM - Section F'!AP"&amp;B2283)&amp;"|"&amp;INDIRECT("'WPTM - Section F'!C"&amp;$B2283),'Reference Records'!G$329:G594,0)),"")</f>
        <v/>
      </c>
      <c r="M2283" s="493" t="str">
        <f t="shared" ca="1" si="159"/>
        <v/>
      </c>
      <c r="N2283" s="493" t="str">
        <f t="shared" ca="1" si="160"/>
        <v/>
      </c>
      <c r="O2283" s="493" t="str">
        <f t="shared" ca="1" si="161"/>
        <v/>
      </c>
      <c r="P2283" s="493" t="str">
        <f t="shared" ca="1" si="162"/>
        <v/>
      </c>
      <c r="Q2283" s="493"/>
      <c r="R2283" s="502"/>
    </row>
    <row r="2284" spans="1:18" x14ac:dyDescent="0.3">
      <c r="A2284" s="487" t="b">
        <f t="shared" ca="1" si="154"/>
        <v>0</v>
      </c>
      <c r="B2284" s="487">
        <f t="shared" si="152"/>
        <v>16</v>
      </c>
      <c r="C2284" s="507" t="str">
        <f ca="1">IF(COUNTA($G$2194:G2283)=1,"",OFFSET(B2284,-COUNTA($G$2194:G2283)+1,1))</f>
        <v>a1N3p00000497VNEAY</v>
      </c>
      <c r="D2284" s="487" t="str">
        <f t="shared" ca="1" si="155"/>
        <v>INT-130914</v>
      </c>
      <c r="E2284" s="493"/>
      <c r="F2284" s="493" t="str">
        <f t="shared" ca="1" si="156"/>
        <v/>
      </c>
      <c r="G2284" s="510"/>
      <c r="H2284" s="488">
        <f t="shared" si="153"/>
        <v>8</v>
      </c>
      <c r="I2284" s="487" t="str">
        <f ca="1">IF(IFERROR(VLOOKUP(INDIRECT("'WPTM - Section F'!F"&amp;B2284),'Overview - Section A'!M$29:R128,6,0),IFERROR(VLOOKUP(INDIRECT("'WPTM - Section F'!F"&amp;B2284),'Overview - Section A'!E$26:J116,6,0),""))=0,"",IFERROR(VLOOKUP(INDIRECT("'WPTM - Section F'!F"&amp;B2284),'Overview - Section A'!M$29:R128,6,0),IFERROR(VLOOKUP(INDIRECT("'WPTM - Section F'!F"&amp;B2284),'Overview - Section A'!E$26:J116,6,0),"")))</f>
        <v/>
      </c>
      <c r="J2284" s="487" t="str">
        <f t="shared" ca="1" si="157"/>
        <v/>
      </c>
      <c r="K2284" s="493" t="str">
        <f t="shared" ca="1" si="158"/>
        <v/>
      </c>
      <c r="L2284" s="487" t="str">
        <f ca="1">IFERROR(INDEX('Reference Records'!F$329:F595,MATCH(INDIRECT("'WPTM - Section F'!AP"&amp;B2284)&amp;"|"&amp;INDIRECT("'WPTM - Section F'!C"&amp;$B2284),'Reference Records'!G$329:G595,0)),"")</f>
        <v/>
      </c>
      <c r="M2284" s="493" t="str">
        <f t="shared" ca="1" si="159"/>
        <v/>
      </c>
      <c r="N2284" s="493" t="str">
        <f t="shared" ca="1" si="160"/>
        <v/>
      </c>
      <c r="O2284" s="493" t="str">
        <f t="shared" ca="1" si="161"/>
        <v/>
      </c>
      <c r="P2284" s="493" t="str">
        <f t="shared" ca="1" si="162"/>
        <v/>
      </c>
      <c r="Q2284" s="493"/>
      <c r="R2284" s="502"/>
    </row>
    <row r="2285" spans="1:18" x14ac:dyDescent="0.3">
      <c r="A2285" s="487" t="b">
        <f t="shared" ca="1" si="154"/>
        <v>0</v>
      </c>
      <c r="B2285" s="487">
        <f t="shared" si="152"/>
        <v>17</v>
      </c>
      <c r="C2285" s="507" t="str">
        <f ca="1">IF(COUNTA($G$2194:G2284)=1,"",OFFSET(B2285,-COUNTA($G$2194:G2284)+1,1))</f>
        <v>a1N3p00000497VOEAY</v>
      </c>
      <c r="D2285" s="487" t="str">
        <f t="shared" ca="1" si="155"/>
        <v>INT-130914</v>
      </c>
      <c r="E2285" s="493"/>
      <c r="F2285" s="493" t="str">
        <f t="shared" ca="1" si="156"/>
        <v/>
      </c>
      <c r="G2285" s="510"/>
      <c r="H2285" s="488">
        <f t="shared" si="153"/>
        <v>9</v>
      </c>
      <c r="I2285" s="487" t="str">
        <f ca="1">IF(IFERROR(VLOOKUP(INDIRECT("'WPTM - Section F'!F"&amp;B2285),'Overview - Section A'!M$29:R129,6,0),IFERROR(VLOOKUP(INDIRECT("'WPTM - Section F'!F"&amp;B2285),'Overview - Section A'!E$26:J117,6,0),""))=0,"",IFERROR(VLOOKUP(INDIRECT("'WPTM - Section F'!F"&amp;B2285),'Overview - Section A'!M$29:R129,6,0),IFERROR(VLOOKUP(INDIRECT("'WPTM - Section F'!F"&amp;B2285),'Overview - Section A'!E$26:J117,6,0),"")))</f>
        <v/>
      </c>
      <c r="J2285" s="487" t="str">
        <f t="shared" ca="1" si="157"/>
        <v/>
      </c>
      <c r="K2285" s="493" t="str">
        <f t="shared" ca="1" si="158"/>
        <v/>
      </c>
      <c r="L2285" s="487" t="str">
        <f ca="1">IFERROR(INDEX('Reference Records'!F$329:F596,MATCH(INDIRECT("'WPTM - Section F'!AP"&amp;B2285)&amp;"|"&amp;INDIRECT("'WPTM - Section F'!C"&amp;$B2285),'Reference Records'!G$329:G596,0)),"")</f>
        <v/>
      </c>
      <c r="M2285" s="493" t="str">
        <f t="shared" ca="1" si="159"/>
        <v/>
      </c>
      <c r="N2285" s="493" t="str">
        <f t="shared" ca="1" si="160"/>
        <v/>
      </c>
      <c r="O2285" s="493" t="str">
        <f t="shared" ca="1" si="161"/>
        <v/>
      </c>
      <c r="P2285" s="493" t="str">
        <f t="shared" ca="1" si="162"/>
        <v/>
      </c>
      <c r="Q2285" s="493"/>
      <c r="R2285" s="502"/>
    </row>
    <row r="2286" spans="1:18" x14ac:dyDescent="0.3">
      <c r="A2286" s="487" t="b">
        <f t="shared" ca="1" si="154"/>
        <v>0</v>
      </c>
      <c r="B2286" s="487">
        <f t="shared" si="152"/>
        <v>18</v>
      </c>
      <c r="C2286" s="507" t="str">
        <f ca="1">IF(COUNTA($G$2194:G2285)=1,"",OFFSET(B2286,-COUNTA($G$2194:G2285)+1,1))</f>
        <v>a1N3p00000497VPEAY</v>
      </c>
      <c r="D2286" s="487" t="str">
        <f t="shared" ca="1" si="155"/>
        <v>INT-130914</v>
      </c>
      <c r="E2286" s="493"/>
      <c r="F2286" s="493" t="str">
        <f t="shared" ca="1" si="156"/>
        <v/>
      </c>
      <c r="G2286" s="510"/>
      <c r="H2286" s="488">
        <f t="shared" si="153"/>
        <v>10</v>
      </c>
      <c r="I2286" s="487" t="str">
        <f ca="1">IF(IFERROR(VLOOKUP(INDIRECT("'WPTM - Section F'!F"&amp;B2286),'Overview - Section A'!M$29:R130,6,0),IFERROR(VLOOKUP(INDIRECT("'WPTM - Section F'!F"&amp;B2286),'Overview - Section A'!E$26:J118,6,0),""))=0,"",IFERROR(VLOOKUP(INDIRECT("'WPTM - Section F'!F"&amp;B2286),'Overview - Section A'!M$29:R130,6,0),IFERROR(VLOOKUP(INDIRECT("'WPTM - Section F'!F"&amp;B2286),'Overview - Section A'!E$26:J118,6,0),"")))</f>
        <v/>
      </c>
      <c r="J2286" s="487" t="str">
        <f t="shared" ca="1" si="157"/>
        <v/>
      </c>
      <c r="K2286" s="493" t="str">
        <f t="shared" ca="1" si="158"/>
        <v/>
      </c>
      <c r="L2286" s="487" t="str">
        <f ca="1">IFERROR(INDEX('Reference Records'!F$329:F597,MATCH(INDIRECT("'WPTM - Section F'!AP"&amp;B2286)&amp;"|"&amp;INDIRECT("'WPTM - Section F'!C"&amp;$B2286),'Reference Records'!G$329:G597,0)),"")</f>
        <v/>
      </c>
      <c r="M2286" s="493" t="str">
        <f t="shared" ca="1" si="159"/>
        <v/>
      </c>
      <c r="N2286" s="493" t="str">
        <f t="shared" ca="1" si="160"/>
        <v/>
      </c>
      <c r="O2286" s="493" t="str">
        <f t="shared" ca="1" si="161"/>
        <v/>
      </c>
      <c r="P2286" s="493" t="str">
        <f t="shared" ca="1" si="162"/>
        <v/>
      </c>
      <c r="Q2286" s="493"/>
      <c r="R2286" s="502"/>
    </row>
    <row r="2287" spans="1:18" x14ac:dyDescent="0.3">
      <c r="A2287" s="487" t="b">
        <f t="shared" ca="1" si="154"/>
        <v>0</v>
      </c>
      <c r="B2287" s="487">
        <f t="shared" si="152"/>
        <v>19</v>
      </c>
      <c r="C2287" s="507" t="str">
        <f ca="1">IF(COUNTA($G$2194:G2286)=1,"",OFFSET(B2287,-COUNTA($G$2194:G2286)+1,1))</f>
        <v>a1N3p00000497VQEAY</v>
      </c>
      <c r="D2287" s="487" t="str">
        <f t="shared" ca="1" si="155"/>
        <v>INT-130914</v>
      </c>
      <c r="E2287" s="493"/>
      <c r="F2287" s="493" t="str">
        <f t="shared" ca="1" si="156"/>
        <v/>
      </c>
      <c r="G2287" s="510"/>
      <c r="H2287" s="488">
        <f t="shared" si="153"/>
        <v>11</v>
      </c>
      <c r="I2287" s="487" t="str">
        <f ca="1">IF(IFERROR(VLOOKUP(INDIRECT("'WPTM - Section F'!F"&amp;B2287),'Overview - Section A'!M$29:R131,6,0),IFERROR(VLOOKUP(INDIRECT("'WPTM - Section F'!F"&amp;B2287),'Overview - Section A'!E$26:J119,6,0),""))=0,"",IFERROR(VLOOKUP(INDIRECT("'WPTM - Section F'!F"&amp;B2287),'Overview - Section A'!M$29:R131,6,0),IFERROR(VLOOKUP(INDIRECT("'WPTM - Section F'!F"&amp;B2287),'Overview - Section A'!E$26:J119,6,0),"")))</f>
        <v/>
      </c>
      <c r="J2287" s="487" t="str">
        <f t="shared" ca="1" si="157"/>
        <v/>
      </c>
      <c r="K2287" s="493" t="str">
        <f t="shared" ca="1" si="158"/>
        <v/>
      </c>
      <c r="L2287" s="487" t="str">
        <f ca="1">IFERROR(INDEX('Reference Records'!F$329:F598,MATCH(INDIRECT("'WPTM - Section F'!AP"&amp;B2287)&amp;"|"&amp;INDIRECT("'WPTM - Section F'!C"&amp;$B2287),'Reference Records'!G$329:G598,0)),"")</f>
        <v/>
      </c>
      <c r="M2287" s="493" t="str">
        <f t="shared" ca="1" si="159"/>
        <v/>
      </c>
      <c r="N2287" s="493" t="str">
        <f t="shared" ca="1" si="160"/>
        <v/>
      </c>
      <c r="O2287" s="493" t="str">
        <f t="shared" ca="1" si="161"/>
        <v/>
      </c>
      <c r="P2287" s="493" t="str">
        <f t="shared" ca="1" si="162"/>
        <v/>
      </c>
      <c r="Q2287" s="493"/>
      <c r="R2287" s="502"/>
    </row>
    <row r="2288" spans="1:18" x14ac:dyDescent="0.3">
      <c r="A2288" s="487" t="b">
        <f t="shared" ca="1" si="154"/>
        <v>0</v>
      </c>
      <c r="B2288" s="487">
        <f t="shared" si="152"/>
        <v>20</v>
      </c>
      <c r="C2288" s="507" t="str">
        <f ca="1">IF(COUNTA($G$2194:G2287)=1,"",OFFSET(B2288,-COUNTA($G$2194:G2287)+1,1))</f>
        <v>a1N3p00000497VREAY</v>
      </c>
      <c r="D2288" s="487" t="str">
        <f t="shared" ca="1" si="155"/>
        <v>INT-130914</v>
      </c>
      <c r="E2288" s="493"/>
      <c r="F2288" s="493" t="str">
        <f t="shared" ca="1" si="156"/>
        <v/>
      </c>
      <c r="G2288" s="510"/>
      <c r="H2288" s="488">
        <f t="shared" si="153"/>
        <v>12</v>
      </c>
      <c r="I2288" s="487" t="str">
        <f ca="1">IF(IFERROR(VLOOKUP(INDIRECT("'WPTM - Section F'!F"&amp;B2288),'Overview - Section A'!M$29:R132,6,0),IFERROR(VLOOKUP(INDIRECT("'WPTM - Section F'!F"&amp;B2288),'Overview - Section A'!E$26:J120,6,0),""))=0,"",IFERROR(VLOOKUP(INDIRECT("'WPTM - Section F'!F"&amp;B2288),'Overview - Section A'!M$29:R132,6,0),IFERROR(VLOOKUP(INDIRECT("'WPTM - Section F'!F"&amp;B2288),'Overview - Section A'!E$26:J120,6,0),"")))</f>
        <v/>
      </c>
      <c r="J2288" s="487" t="str">
        <f t="shared" ca="1" si="157"/>
        <v/>
      </c>
      <c r="K2288" s="493" t="str">
        <f t="shared" ca="1" si="158"/>
        <v/>
      </c>
      <c r="L2288" s="487" t="str">
        <f ca="1">IFERROR(INDEX('Reference Records'!F$329:F599,MATCH(INDIRECT("'WPTM - Section F'!AP"&amp;B2288)&amp;"|"&amp;INDIRECT("'WPTM - Section F'!C"&amp;$B2288),'Reference Records'!G$329:G599,0)),"")</f>
        <v/>
      </c>
      <c r="M2288" s="493" t="str">
        <f t="shared" ca="1" si="159"/>
        <v/>
      </c>
      <c r="N2288" s="493" t="str">
        <f t="shared" ca="1" si="160"/>
        <v/>
      </c>
      <c r="O2288" s="493" t="str">
        <f t="shared" ca="1" si="161"/>
        <v/>
      </c>
      <c r="P2288" s="493" t="str">
        <f t="shared" ca="1" si="162"/>
        <v/>
      </c>
      <c r="Q2288" s="493"/>
      <c r="R2288" s="502"/>
    </row>
    <row r="2289" spans="1:18" x14ac:dyDescent="0.3">
      <c r="A2289" s="487" t="b">
        <f t="shared" ca="1" si="154"/>
        <v>0</v>
      </c>
      <c r="B2289" s="487">
        <f t="shared" si="152"/>
        <v>21</v>
      </c>
      <c r="C2289" s="507" t="str">
        <f ca="1">IF(COUNTA($G$2194:G2288)=1,"",OFFSET(B2289,-COUNTA($G$2194:G2288)+1,1))</f>
        <v>a1N3p00000497VSEAY</v>
      </c>
      <c r="D2289" s="487" t="str">
        <f t="shared" ca="1" si="155"/>
        <v>INT-130914</v>
      </c>
      <c r="E2289" s="493"/>
      <c r="F2289" s="493" t="str">
        <f t="shared" ca="1" si="156"/>
        <v/>
      </c>
      <c r="G2289" s="510"/>
      <c r="H2289" s="488">
        <f t="shared" si="153"/>
        <v>13</v>
      </c>
      <c r="I2289" s="487" t="str">
        <f ca="1">IF(IFERROR(VLOOKUP(INDIRECT("'WPTM - Section F'!F"&amp;B2289),'Overview - Section A'!M$29:R133,6,0),IFERROR(VLOOKUP(INDIRECT("'WPTM - Section F'!F"&amp;B2289),'Overview - Section A'!E$26:J121,6,0),""))=0,"",IFERROR(VLOOKUP(INDIRECT("'WPTM - Section F'!F"&amp;B2289),'Overview - Section A'!M$29:R133,6,0),IFERROR(VLOOKUP(INDIRECT("'WPTM - Section F'!F"&amp;B2289),'Overview - Section A'!E$26:J121,6,0),"")))</f>
        <v/>
      </c>
      <c r="J2289" s="487" t="str">
        <f t="shared" ca="1" si="157"/>
        <v/>
      </c>
      <c r="K2289" s="493" t="str">
        <f t="shared" ca="1" si="158"/>
        <v/>
      </c>
      <c r="L2289" s="487" t="str">
        <f ca="1">IFERROR(INDEX('Reference Records'!F$329:F600,MATCH(INDIRECT("'WPTM - Section F'!AP"&amp;B2289)&amp;"|"&amp;INDIRECT("'WPTM - Section F'!C"&amp;$B2289),'Reference Records'!G$329:G600,0)),"")</f>
        <v/>
      </c>
      <c r="M2289" s="493" t="str">
        <f t="shared" ca="1" si="159"/>
        <v/>
      </c>
      <c r="N2289" s="493" t="str">
        <f t="shared" ca="1" si="160"/>
        <v/>
      </c>
      <c r="O2289" s="493" t="str">
        <f t="shared" ca="1" si="161"/>
        <v/>
      </c>
      <c r="P2289" s="493" t="str">
        <f t="shared" ca="1" si="162"/>
        <v/>
      </c>
      <c r="Q2289" s="493"/>
      <c r="R2289" s="502"/>
    </row>
    <row r="2290" spans="1:18" x14ac:dyDescent="0.3">
      <c r="A2290" s="487" t="b">
        <f t="shared" ca="1" si="154"/>
        <v>0</v>
      </c>
      <c r="B2290" s="487">
        <f t="shared" si="152"/>
        <v>22</v>
      </c>
      <c r="C2290" s="507" t="str">
        <f ca="1">IF(COUNTA($G$2194:G2289)=1,"",OFFSET(B2290,-COUNTA($G$2194:G2289)+1,1))</f>
        <v>a1N3p00000497VTEAY</v>
      </c>
      <c r="D2290" s="487" t="str">
        <f t="shared" ca="1" si="155"/>
        <v>INT-130914</v>
      </c>
      <c r="E2290" s="493"/>
      <c r="F2290" s="493" t="str">
        <f t="shared" ca="1" si="156"/>
        <v/>
      </c>
      <c r="G2290" s="510"/>
      <c r="H2290" s="488">
        <f t="shared" si="153"/>
        <v>14</v>
      </c>
      <c r="I2290" s="487" t="str">
        <f ca="1">IF(IFERROR(VLOOKUP(INDIRECT("'WPTM - Section F'!F"&amp;B2290),'Overview - Section A'!M$29:R134,6,0),IFERROR(VLOOKUP(INDIRECT("'WPTM - Section F'!F"&amp;B2290),'Overview - Section A'!E$26:J122,6,0),""))=0,"",IFERROR(VLOOKUP(INDIRECT("'WPTM - Section F'!F"&amp;B2290),'Overview - Section A'!M$29:R134,6,0),IFERROR(VLOOKUP(INDIRECT("'WPTM - Section F'!F"&amp;B2290),'Overview - Section A'!E$26:J122,6,0),"")))</f>
        <v/>
      </c>
      <c r="J2290" s="487" t="str">
        <f t="shared" ca="1" si="157"/>
        <v/>
      </c>
      <c r="K2290" s="493" t="str">
        <f t="shared" ca="1" si="158"/>
        <v/>
      </c>
      <c r="L2290" s="487" t="str">
        <f ca="1">IFERROR(INDEX('Reference Records'!F$329:F601,MATCH(INDIRECT("'WPTM - Section F'!AP"&amp;B2290)&amp;"|"&amp;INDIRECT("'WPTM - Section F'!C"&amp;$B2290),'Reference Records'!G$329:G601,0)),"")</f>
        <v/>
      </c>
      <c r="M2290" s="493" t="str">
        <f t="shared" ca="1" si="159"/>
        <v/>
      </c>
      <c r="N2290" s="493" t="str">
        <f t="shared" ca="1" si="160"/>
        <v/>
      </c>
      <c r="O2290" s="493" t="str">
        <f t="shared" ca="1" si="161"/>
        <v/>
      </c>
      <c r="P2290" s="493" t="str">
        <f t="shared" ca="1" si="162"/>
        <v/>
      </c>
      <c r="Q2290" s="493"/>
      <c r="R2290" s="502"/>
    </row>
    <row r="2291" spans="1:18" x14ac:dyDescent="0.3">
      <c r="A2291" s="487" t="b">
        <f t="shared" ca="1" si="154"/>
        <v>0</v>
      </c>
      <c r="B2291" s="487">
        <f t="shared" si="152"/>
        <v>23</v>
      </c>
      <c r="C2291" s="507" t="str">
        <f ca="1">IF(COUNTA($G$2194:G2290)=1,"",OFFSET(B2291,-COUNTA($G$2194:G2290)+1,1))</f>
        <v>a1N3p00000497VUEAY</v>
      </c>
      <c r="D2291" s="487" t="str">
        <f t="shared" ca="1" si="155"/>
        <v>INT-130914</v>
      </c>
      <c r="E2291" s="493"/>
      <c r="F2291" s="493" t="str">
        <f t="shared" ca="1" si="156"/>
        <v/>
      </c>
      <c r="G2291" s="510"/>
      <c r="H2291" s="488">
        <f t="shared" si="153"/>
        <v>15</v>
      </c>
      <c r="I2291" s="487" t="str">
        <f ca="1">IF(IFERROR(VLOOKUP(INDIRECT("'WPTM - Section F'!F"&amp;B2291),'Overview - Section A'!M$29:R135,6,0),IFERROR(VLOOKUP(INDIRECT("'WPTM - Section F'!F"&amp;B2291),'Overview - Section A'!E$26:J123,6,0),""))=0,"",IFERROR(VLOOKUP(INDIRECT("'WPTM - Section F'!F"&amp;B2291),'Overview - Section A'!M$29:R135,6,0),IFERROR(VLOOKUP(INDIRECT("'WPTM - Section F'!F"&amp;B2291),'Overview - Section A'!E$26:J123,6,0),"")))</f>
        <v/>
      </c>
      <c r="J2291" s="487" t="str">
        <f t="shared" ca="1" si="157"/>
        <v/>
      </c>
      <c r="K2291" s="493" t="str">
        <f t="shared" ca="1" si="158"/>
        <v/>
      </c>
      <c r="L2291" s="487" t="str">
        <f ca="1">IFERROR(INDEX('Reference Records'!F$329:F602,MATCH(INDIRECT("'WPTM - Section F'!AP"&amp;B2291)&amp;"|"&amp;INDIRECT("'WPTM - Section F'!C"&amp;$B2291),'Reference Records'!G$329:G602,0)),"")</f>
        <v/>
      </c>
      <c r="M2291" s="493" t="str">
        <f t="shared" ca="1" si="159"/>
        <v/>
      </c>
      <c r="N2291" s="493" t="str">
        <f t="shared" ca="1" si="160"/>
        <v/>
      </c>
      <c r="O2291" s="493" t="str">
        <f t="shared" ca="1" si="161"/>
        <v/>
      </c>
      <c r="P2291" s="493" t="str">
        <f t="shared" ca="1" si="162"/>
        <v/>
      </c>
      <c r="Q2291" s="493"/>
      <c r="R2291" s="502"/>
    </row>
    <row r="2292" spans="1:18" x14ac:dyDescent="0.3">
      <c r="A2292" s="487" t="b">
        <f t="shared" ca="1" si="154"/>
        <v>0</v>
      </c>
      <c r="B2292" s="487">
        <f t="shared" si="152"/>
        <v>24</v>
      </c>
      <c r="C2292" s="507" t="str">
        <f ca="1">IF(COUNTA($G$2194:G2291)=1,"",OFFSET(B2292,-COUNTA($G$2194:G2291)+1,1))</f>
        <v>a1N3p00000497VVEAY</v>
      </c>
      <c r="D2292" s="487" t="str">
        <f t="shared" ca="1" si="155"/>
        <v>INT-130914</v>
      </c>
      <c r="E2292" s="493"/>
      <c r="F2292" s="493" t="str">
        <f t="shared" ca="1" si="156"/>
        <v/>
      </c>
      <c r="G2292" s="510"/>
      <c r="H2292" s="488">
        <f t="shared" si="153"/>
        <v>16</v>
      </c>
      <c r="I2292" s="487" t="str">
        <f ca="1">IF(IFERROR(VLOOKUP(INDIRECT("'WPTM - Section F'!F"&amp;B2292),'Overview - Section A'!M$29:R136,6,0),IFERROR(VLOOKUP(INDIRECT("'WPTM - Section F'!F"&amp;B2292),'Overview - Section A'!E$26:J124,6,0),""))=0,"",IFERROR(VLOOKUP(INDIRECT("'WPTM - Section F'!F"&amp;B2292),'Overview - Section A'!M$29:R136,6,0),IFERROR(VLOOKUP(INDIRECT("'WPTM - Section F'!F"&amp;B2292),'Overview - Section A'!E$26:J124,6,0),"")))</f>
        <v/>
      </c>
      <c r="J2292" s="487" t="str">
        <f t="shared" ca="1" si="157"/>
        <v/>
      </c>
      <c r="K2292" s="493" t="str">
        <f t="shared" ca="1" si="158"/>
        <v/>
      </c>
      <c r="L2292" s="487" t="str">
        <f ca="1">IFERROR(INDEX('Reference Records'!F$329:F603,MATCH(INDIRECT("'WPTM - Section F'!AP"&amp;B2292)&amp;"|"&amp;INDIRECT("'WPTM - Section F'!C"&amp;$B2292),'Reference Records'!G$329:G603,0)),"")</f>
        <v/>
      </c>
      <c r="M2292" s="493" t="str">
        <f t="shared" ca="1" si="159"/>
        <v/>
      </c>
      <c r="N2292" s="493" t="str">
        <f t="shared" ca="1" si="160"/>
        <v/>
      </c>
      <c r="O2292" s="493" t="str">
        <f t="shared" ca="1" si="161"/>
        <v/>
      </c>
      <c r="P2292" s="493" t="str">
        <f t="shared" ca="1" si="162"/>
        <v/>
      </c>
      <c r="Q2292" s="493"/>
      <c r="R2292" s="502"/>
    </row>
    <row r="2293" spans="1:18" x14ac:dyDescent="0.3">
      <c r="A2293" s="487" t="b">
        <f t="shared" ca="1" si="154"/>
        <v>0</v>
      </c>
      <c r="B2293" s="487">
        <f t="shared" si="152"/>
        <v>25</v>
      </c>
      <c r="C2293" s="507" t="str">
        <f ca="1">IF(COUNTA($G$2194:G2292)=1,"",OFFSET(B2293,-COUNTA($G$2194:G2292)+1,1))</f>
        <v>a1N3p00000497VWEAY</v>
      </c>
      <c r="D2293" s="487" t="str">
        <f t="shared" ca="1" si="155"/>
        <v>INT-130914</v>
      </c>
      <c r="E2293" s="493"/>
      <c r="F2293" s="493" t="str">
        <f t="shared" ca="1" si="156"/>
        <v/>
      </c>
      <c r="G2293" s="510"/>
      <c r="H2293" s="488">
        <f t="shared" si="153"/>
        <v>17</v>
      </c>
      <c r="I2293" s="487" t="str">
        <f ca="1">IF(IFERROR(VLOOKUP(INDIRECT("'WPTM - Section F'!F"&amp;B2293),'Overview - Section A'!M$29:R137,6,0),IFERROR(VLOOKUP(INDIRECT("'WPTM - Section F'!F"&amp;B2293),'Overview - Section A'!E$26:J125,6,0),""))=0,"",IFERROR(VLOOKUP(INDIRECT("'WPTM - Section F'!F"&amp;B2293),'Overview - Section A'!M$29:R137,6,0),IFERROR(VLOOKUP(INDIRECT("'WPTM - Section F'!F"&amp;B2293),'Overview - Section A'!E$26:J125,6,0),"")))</f>
        <v/>
      </c>
      <c r="J2293" s="487" t="str">
        <f t="shared" ca="1" si="157"/>
        <v/>
      </c>
      <c r="K2293" s="493" t="str">
        <f t="shared" ca="1" si="158"/>
        <v/>
      </c>
      <c r="L2293" s="487" t="str">
        <f ca="1">IFERROR(INDEX('Reference Records'!F$329:F604,MATCH(INDIRECT("'WPTM - Section F'!AP"&amp;B2293)&amp;"|"&amp;INDIRECT("'WPTM - Section F'!C"&amp;$B2293),'Reference Records'!G$329:G604,0)),"")</f>
        <v/>
      </c>
      <c r="M2293" s="493" t="str">
        <f t="shared" ca="1" si="159"/>
        <v/>
      </c>
      <c r="N2293" s="493" t="str">
        <f t="shared" ca="1" si="160"/>
        <v/>
      </c>
      <c r="O2293" s="493" t="str">
        <f t="shared" ca="1" si="161"/>
        <v/>
      </c>
      <c r="P2293" s="493" t="str">
        <f t="shared" ca="1" si="162"/>
        <v/>
      </c>
      <c r="Q2293" s="493"/>
      <c r="R2293" s="502"/>
    </row>
    <row r="2294" spans="1:18" x14ac:dyDescent="0.3">
      <c r="A2294" s="487" t="b">
        <f t="shared" ca="1" si="154"/>
        <v>0</v>
      </c>
      <c r="B2294" s="487">
        <f t="shared" si="152"/>
        <v>26</v>
      </c>
      <c r="C2294" s="507" t="str">
        <f ca="1">IF(COUNTA($G$2194:G2293)=1,"",OFFSET(B2294,-COUNTA($G$2194:G2293)+1,1))</f>
        <v>a1N3p00000497VXEAY</v>
      </c>
      <c r="D2294" s="487" t="str">
        <f t="shared" ca="1" si="155"/>
        <v>INT-130914</v>
      </c>
      <c r="E2294" s="493"/>
      <c r="F2294" s="493" t="str">
        <f t="shared" ca="1" si="156"/>
        <v/>
      </c>
      <c r="G2294" s="510"/>
      <c r="H2294" s="488">
        <f t="shared" si="153"/>
        <v>18</v>
      </c>
      <c r="I2294" s="487" t="str">
        <f ca="1">IF(IFERROR(VLOOKUP(INDIRECT("'WPTM - Section F'!F"&amp;B2294),'Overview - Section A'!M$29:R138,6,0),IFERROR(VLOOKUP(INDIRECT("'WPTM - Section F'!F"&amp;B2294),'Overview - Section A'!E$26:J126,6,0),""))=0,"",IFERROR(VLOOKUP(INDIRECT("'WPTM - Section F'!F"&amp;B2294),'Overview - Section A'!M$29:R138,6,0),IFERROR(VLOOKUP(INDIRECT("'WPTM - Section F'!F"&amp;B2294),'Overview - Section A'!E$26:J126,6,0),"")))</f>
        <v/>
      </c>
      <c r="J2294" s="487" t="str">
        <f t="shared" ca="1" si="157"/>
        <v/>
      </c>
      <c r="K2294" s="493" t="str">
        <f t="shared" ca="1" si="158"/>
        <v/>
      </c>
      <c r="L2294" s="487" t="str">
        <f ca="1">IFERROR(INDEX('Reference Records'!F$329:F605,MATCH(INDIRECT("'WPTM - Section F'!AP"&amp;B2294)&amp;"|"&amp;INDIRECT("'WPTM - Section F'!C"&amp;$B2294),'Reference Records'!G$329:G605,0)),"")</f>
        <v/>
      </c>
      <c r="M2294" s="493" t="str">
        <f t="shared" ca="1" si="159"/>
        <v/>
      </c>
      <c r="N2294" s="493" t="str">
        <f t="shared" ca="1" si="160"/>
        <v/>
      </c>
      <c r="O2294" s="493" t="str">
        <f t="shared" ca="1" si="161"/>
        <v/>
      </c>
      <c r="P2294" s="493" t="str">
        <f t="shared" ca="1" si="162"/>
        <v/>
      </c>
      <c r="Q2294" s="493"/>
      <c r="R2294" s="502"/>
    </row>
    <row r="2295" spans="1:18" x14ac:dyDescent="0.3">
      <c r="A2295" s="487" t="b">
        <f t="shared" ca="1" si="154"/>
        <v>0</v>
      </c>
      <c r="B2295" s="487">
        <f t="shared" si="152"/>
        <v>27</v>
      </c>
      <c r="C2295" s="507" t="str">
        <f ca="1">IF(COUNTA($G$2194:G2294)=1,"",OFFSET(B2295,-COUNTA($G$2194:G2294)+1,1))</f>
        <v>a1N3p00000497VYEAY</v>
      </c>
      <c r="D2295" s="487" t="str">
        <f t="shared" ca="1" si="155"/>
        <v>INT-130914</v>
      </c>
      <c r="E2295" s="493"/>
      <c r="F2295" s="493" t="str">
        <f t="shared" ca="1" si="156"/>
        <v/>
      </c>
      <c r="G2295" s="510"/>
      <c r="H2295" s="488">
        <f t="shared" si="153"/>
        <v>19</v>
      </c>
      <c r="I2295" s="487" t="str">
        <f ca="1">IF(IFERROR(VLOOKUP(INDIRECT("'WPTM - Section F'!F"&amp;B2295),'Overview - Section A'!M$29:R139,6,0),IFERROR(VLOOKUP(INDIRECT("'WPTM - Section F'!F"&amp;B2295),'Overview - Section A'!E$26:J127,6,0),""))=0,"",IFERROR(VLOOKUP(INDIRECT("'WPTM - Section F'!F"&amp;B2295),'Overview - Section A'!M$29:R139,6,0),IFERROR(VLOOKUP(INDIRECT("'WPTM - Section F'!F"&amp;B2295),'Overview - Section A'!E$26:J127,6,0),"")))</f>
        <v/>
      </c>
      <c r="J2295" s="487" t="str">
        <f t="shared" ca="1" si="157"/>
        <v/>
      </c>
      <c r="K2295" s="493" t="str">
        <f t="shared" ca="1" si="158"/>
        <v/>
      </c>
      <c r="L2295" s="487" t="str">
        <f ca="1">IFERROR(INDEX('Reference Records'!F$329:F606,MATCH(INDIRECT("'WPTM - Section F'!AP"&amp;B2295)&amp;"|"&amp;INDIRECT("'WPTM - Section F'!C"&amp;$B2295),'Reference Records'!G$329:G606,0)),"")</f>
        <v/>
      </c>
      <c r="M2295" s="493" t="str">
        <f t="shared" ca="1" si="159"/>
        <v/>
      </c>
      <c r="N2295" s="493" t="str">
        <f t="shared" ca="1" si="160"/>
        <v/>
      </c>
      <c r="O2295" s="493" t="str">
        <f t="shared" ca="1" si="161"/>
        <v/>
      </c>
      <c r="P2295" s="493" t="str">
        <f t="shared" ca="1" si="162"/>
        <v/>
      </c>
      <c r="Q2295" s="493"/>
      <c r="R2295" s="502"/>
    </row>
    <row r="2296" spans="1:18" x14ac:dyDescent="0.3">
      <c r="A2296" s="487" t="b">
        <f t="shared" ca="1" si="154"/>
        <v>0</v>
      </c>
      <c r="B2296" s="487">
        <f t="shared" si="152"/>
        <v>28</v>
      </c>
      <c r="C2296" s="507" t="str">
        <f ca="1">IF(COUNTA($G$2194:G2295)=1,"",OFFSET(B2296,-COUNTA($G$2194:G2295)+1,1))</f>
        <v>a1N3p00000497VZEAY</v>
      </c>
      <c r="D2296" s="487" t="str">
        <f t="shared" ca="1" si="155"/>
        <v>INT-130914</v>
      </c>
      <c r="E2296" s="493"/>
      <c r="F2296" s="493" t="str">
        <f t="shared" ca="1" si="156"/>
        <v/>
      </c>
      <c r="G2296" s="510"/>
      <c r="H2296" s="488">
        <f t="shared" si="153"/>
        <v>20</v>
      </c>
      <c r="I2296" s="487" t="str">
        <f ca="1">IF(IFERROR(VLOOKUP(INDIRECT("'WPTM - Section F'!F"&amp;B2296),'Overview - Section A'!M$29:R140,6,0),IFERROR(VLOOKUP(INDIRECT("'WPTM - Section F'!F"&amp;B2296),'Overview - Section A'!E$26:J128,6,0),""))=0,"",IFERROR(VLOOKUP(INDIRECT("'WPTM - Section F'!F"&amp;B2296),'Overview - Section A'!M$29:R140,6,0),IFERROR(VLOOKUP(INDIRECT("'WPTM - Section F'!F"&amp;B2296),'Overview - Section A'!E$26:J128,6,0),"")))</f>
        <v/>
      </c>
      <c r="J2296" s="487" t="str">
        <f t="shared" ca="1" si="157"/>
        <v/>
      </c>
      <c r="K2296" s="493" t="str">
        <f t="shared" ca="1" si="158"/>
        <v/>
      </c>
      <c r="L2296" s="487" t="str">
        <f ca="1">IFERROR(INDEX('Reference Records'!F$329:F607,MATCH(INDIRECT("'WPTM - Section F'!AP"&amp;B2296)&amp;"|"&amp;INDIRECT("'WPTM - Section F'!C"&amp;$B2296),'Reference Records'!G$329:G607,0)),"")</f>
        <v/>
      </c>
      <c r="M2296" s="493" t="str">
        <f t="shared" ca="1" si="159"/>
        <v/>
      </c>
      <c r="N2296" s="493" t="str">
        <f t="shared" ca="1" si="160"/>
        <v/>
      </c>
      <c r="O2296" s="493" t="str">
        <f t="shared" ca="1" si="161"/>
        <v/>
      </c>
      <c r="P2296" s="493" t="str">
        <f t="shared" ca="1" si="162"/>
        <v/>
      </c>
      <c r="Q2296" s="493"/>
      <c r="R2296" s="502"/>
    </row>
    <row r="2297" spans="1:18" x14ac:dyDescent="0.3">
      <c r="A2297" s="487" t="b">
        <f t="shared" ca="1" si="154"/>
        <v>0</v>
      </c>
      <c r="B2297" s="487">
        <f t="shared" si="152"/>
        <v>29</v>
      </c>
      <c r="C2297" s="507" t="str">
        <f ca="1">IF(COUNTA($G$2194:G2296)=1,"",OFFSET(B2297,-COUNTA($G$2194:G2296)+1,1))</f>
        <v>a1N3p00000497VaEAI</v>
      </c>
      <c r="D2297" s="487" t="str">
        <f t="shared" ca="1" si="155"/>
        <v>INT-130914</v>
      </c>
      <c r="E2297" s="493"/>
      <c r="F2297" s="493" t="str">
        <f t="shared" ca="1" si="156"/>
        <v/>
      </c>
      <c r="G2297" s="510"/>
      <c r="H2297" s="488">
        <f t="shared" si="153"/>
        <v>21</v>
      </c>
      <c r="I2297" s="487" t="str">
        <f ca="1">IF(IFERROR(VLOOKUP(INDIRECT("'WPTM - Section F'!F"&amp;B2297),'Overview - Section A'!M$29:R141,6,0),IFERROR(VLOOKUP(INDIRECT("'WPTM - Section F'!F"&amp;B2297),'Overview - Section A'!E$26:J129,6,0),""))=0,"",IFERROR(VLOOKUP(INDIRECT("'WPTM - Section F'!F"&amp;B2297),'Overview - Section A'!M$29:R141,6,0),IFERROR(VLOOKUP(INDIRECT("'WPTM - Section F'!F"&amp;B2297),'Overview - Section A'!E$26:J129,6,0),"")))</f>
        <v/>
      </c>
      <c r="J2297" s="487" t="str">
        <f t="shared" ca="1" si="157"/>
        <v/>
      </c>
      <c r="K2297" s="493" t="str">
        <f t="shared" ca="1" si="158"/>
        <v/>
      </c>
      <c r="L2297" s="487" t="str">
        <f ca="1">IFERROR(INDEX('Reference Records'!F$329:F608,MATCH(INDIRECT("'WPTM - Section F'!AP"&amp;B2297)&amp;"|"&amp;INDIRECT("'WPTM - Section F'!C"&amp;$B2297),'Reference Records'!G$329:G608,0)),"")</f>
        <v/>
      </c>
      <c r="M2297" s="493" t="str">
        <f t="shared" ca="1" si="159"/>
        <v/>
      </c>
      <c r="N2297" s="493" t="str">
        <f t="shared" ca="1" si="160"/>
        <v/>
      </c>
      <c r="O2297" s="493" t="str">
        <f t="shared" ca="1" si="161"/>
        <v/>
      </c>
      <c r="P2297" s="493" t="str">
        <f t="shared" ca="1" si="162"/>
        <v/>
      </c>
      <c r="Q2297" s="493"/>
      <c r="R2297" s="502"/>
    </row>
    <row r="2298" spans="1:18" x14ac:dyDescent="0.3">
      <c r="A2298" s="487" t="b">
        <f t="shared" ca="1" si="154"/>
        <v>0</v>
      </c>
      <c r="B2298" s="487">
        <f t="shared" si="152"/>
        <v>30</v>
      </c>
      <c r="C2298" s="507" t="str">
        <f ca="1">IF(COUNTA($G$2194:G2297)=1,"",OFFSET(B2298,-COUNTA($G$2194:G2297)+1,1))</f>
        <v>a1N3p00000497VbEAI</v>
      </c>
      <c r="D2298" s="487" t="str">
        <f t="shared" ca="1" si="155"/>
        <v>INT-130914</v>
      </c>
      <c r="E2298" s="493"/>
      <c r="F2298" s="493" t="str">
        <f t="shared" ca="1" si="156"/>
        <v/>
      </c>
      <c r="G2298" s="510"/>
      <c r="H2298" s="488">
        <f t="shared" si="153"/>
        <v>22</v>
      </c>
      <c r="I2298" s="487" t="str">
        <f ca="1">IF(IFERROR(VLOOKUP(INDIRECT("'WPTM - Section F'!F"&amp;B2298),'Overview - Section A'!M$29:R142,6,0),IFERROR(VLOOKUP(INDIRECT("'WPTM - Section F'!F"&amp;B2298),'Overview - Section A'!E$26:J130,6,0),""))=0,"",IFERROR(VLOOKUP(INDIRECT("'WPTM - Section F'!F"&amp;B2298),'Overview - Section A'!M$29:R142,6,0),IFERROR(VLOOKUP(INDIRECT("'WPTM - Section F'!F"&amp;B2298),'Overview - Section A'!E$26:J130,6,0),"")))</f>
        <v/>
      </c>
      <c r="J2298" s="487" t="str">
        <f t="shared" ca="1" si="157"/>
        <v/>
      </c>
      <c r="K2298" s="493" t="str">
        <f t="shared" ca="1" si="158"/>
        <v/>
      </c>
      <c r="L2298" s="487" t="str">
        <f ca="1">IFERROR(INDEX('Reference Records'!F$329:F609,MATCH(INDIRECT("'WPTM - Section F'!AP"&amp;B2298)&amp;"|"&amp;INDIRECT("'WPTM - Section F'!C"&amp;$B2298),'Reference Records'!G$329:G609,0)),"")</f>
        <v/>
      </c>
      <c r="M2298" s="493" t="str">
        <f t="shared" ca="1" si="159"/>
        <v/>
      </c>
      <c r="N2298" s="493" t="str">
        <f t="shared" ca="1" si="160"/>
        <v/>
      </c>
      <c r="O2298" s="493" t="str">
        <f t="shared" ca="1" si="161"/>
        <v/>
      </c>
      <c r="P2298" s="493" t="str">
        <f t="shared" ca="1" si="162"/>
        <v/>
      </c>
      <c r="Q2298" s="493"/>
      <c r="R2298" s="502"/>
    </row>
    <row r="2299" spans="1:18" x14ac:dyDescent="0.3">
      <c r="A2299" s="487" t="b">
        <f t="shared" ca="1" si="154"/>
        <v>0</v>
      </c>
      <c r="B2299" s="487">
        <f t="shared" si="152"/>
        <v>31</v>
      </c>
      <c r="C2299" s="507" t="str">
        <f ca="1">IF(COUNTA($G$2194:G2298)=1,"",OFFSET(B2299,-COUNTA($G$2194:G2298)+1,1))</f>
        <v>a1N3p00000497VcEAI</v>
      </c>
      <c r="D2299" s="487" t="str">
        <f t="shared" ca="1" si="155"/>
        <v>INT-130914</v>
      </c>
      <c r="E2299" s="493"/>
      <c r="F2299" s="493" t="str">
        <f t="shared" ca="1" si="156"/>
        <v/>
      </c>
      <c r="G2299" s="510"/>
      <c r="H2299" s="488">
        <f t="shared" si="153"/>
        <v>23</v>
      </c>
      <c r="I2299" s="487" t="str">
        <f ca="1">IF(IFERROR(VLOOKUP(INDIRECT("'WPTM - Section F'!F"&amp;B2299),'Overview - Section A'!M$29:R143,6,0),IFERROR(VLOOKUP(INDIRECT("'WPTM - Section F'!F"&amp;B2299),'Overview - Section A'!E$26:J131,6,0),""))=0,"",IFERROR(VLOOKUP(INDIRECT("'WPTM - Section F'!F"&amp;B2299),'Overview - Section A'!M$29:R143,6,0),IFERROR(VLOOKUP(INDIRECT("'WPTM - Section F'!F"&amp;B2299),'Overview - Section A'!E$26:J131,6,0),"")))</f>
        <v/>
      </c>
      <c r="J2299" s="487" t="str">
        <f t="shared" ca="1" si="157"/>
        <v/>
      </c>
      <c r="K2299" s="493" t="str">
        <f t="shared" ca="1" si="158"/>
        <v/>
      </c>
      <c r="L2299" s="487" t="str">
        <f ca="1">IFERROR(INDEX('Reference Records'!F$329:F610,MATCH(INDIRECT("'WPTM - Section F'!AP"&amp;B2299)&amp;"|"&amp;INDIRECT("'WPTM - Section F'!C"&amp;$B2299),'Reference Records'!G$329:G610,0)),"")</f>
        <v/>
      </c>
      <c r="M2299" s="493" t="str">
        <f t="shared" ca="1" si="159"/>
        <v/>
      </c>
      <c r="N2299" s="493" t="str">
        <f t="shared" ca="1" si="160"/>
        <v/>
      </c>
      <c r="O2299" s="493" t="str">
        <f t="shared" ca="1" si="161"/>
        <v/>
      </c>
      <c r="P2299" s="493" t="str">
        <f t="shared" ca="1" si="162"/>
        <v/>
      </c>
      <c r="Q2299" s="493"/>
      <c r="R2299" s="502"/>
    </row>
    <row r="2300" spans="1:18" x14ac:dyDescent="0.3">
      <c r="A2300" s="487" t="b">
        <f t="shared" ca="1" si="154"/>
        <v>0</v>
      </c>
      <c r="B2300" s="487">
        <f t="shared" si="152"/>
        <v>32</v>
      </c>
      <c r="C2300" s="507" t="str">
        <f ca="1">IF(COUNTA($G$2194:G2299)=1,"",OFFSET(B2300,-COUNTA($G$2194:G2299)+1,1))</f>
        <v>a1N3p00000497VdEAI</v>
      </c>
      <c r="D2300" s="487" t="str">
        <f t="shared" ca="1" si="155"/>
        <v>INT-130914</v>
      </c>
      <c r="E2300" s="493"/>
      <c r="F2300" s="493" t="str">
        <f t="shared" ca="1" si="156"/>
        <v/>
      </c>
      <c r="G2300" s="510"/>
      <c r="H2300" s="488">
        <f t="shared" si="153"/>
        <v>24</v>
      </c>
      <c r="I2300" s="487" t="str">
        <f ca="1">IF(IFERROR(VLOOKUP(INDIRECT("'WPTM - Section F'!F"&amp;B2300),'Overview - Section A'!M$29:R144,6,0),IFERROR(VLOOKUP(INDIRECT("'WPTM - Section F'!F"&amp;B2300),'Overview - Section A'!E$26:J132,6,0),""))=0,"",IFERROR(VLOOKUP(INDIRECT("'WPTM - Section F'!F"&amp;B2300),'Overview - Section A'!M$29:R144,6,0),IFERROR(VLOOKUP(INDIRECT("'WPTM - Section F'!F"&amp;B2300),'Overview - Section A'!E$26:J132,6,0),"")))</f>
        <v/>
      </c>
      <c r="J2300" s="487" t="str">
        <f t="shared" ca="1" si="157"/>
        <v/>
      </c>
      <c r="K2300" s="493" t="str">
        <f t="shared" ca="1" si="158"/>
        <v/>
      </c>
      <c r="L2300" s="487" t="str">
        <f ca="1">IFERROR(INDEX('Reference Records'!F$329:F611,MATCH(INDIRECT("'WPTM - Section F'!AP"&amp;B2300)&amp;"|"&amp;INDIRECT("'WPTM - Section F'!C"&amp;$B2300),'Reference Records'!G$329:G611,0)),"")</f>
        <v/>
      </c>
      <c r="M2300" s="493" t="str">
        <f t="shared" ca="1" si="159"/>
        <v/>
      </c>
      <c r="N2300" s="493" t="str">
        <f t="shared" ca="1" si="160"/>
        <v/>
      </c>
      <c r="O2300" s="493" t="str">
        <f t="shared" ca="1" si="161"/>
        <v/>
      </c>
      <c r="P2300" s="493" t="str">
        <f t="shared" ca="1" si="162"/>
        <v/>
      </c>
      <c r="Q2300" s="493"/>
      <c r="R2300" s="502"/>
    </row>
    <row r="2301" spans="1:18" x14ac:dyDescent="0.3">
      <c r="A2301" s="487" t="b">
        <f t="shared" ca="1" si="154"/>
        <v>0</v>
      </c>
      <c r="B2301" s="487">
        <f t="shared" si="152"/>
        <v>33</v>
      </c>
      <c r="C2301" s="507" t="str">
        <f ca="1">IF(COUNTA($G$2194:G2300)=1,"",OFFSET(B2301,-COUNTA($G$2194:G2300)+1,1))</f>
        <v>a1N3p00000497VeEAI</v>
      </c>
      <c r="D2301" s="487" t="str">
        <f t="shared" ca="1" si="155"/>
        <v>INT-130914</v>
      </c>
      <c r="E2301" s="493"/>
      <c r="F2301" s="493" t="str">
        <f t="shared" ca="1" si="156"/>
        <v/>
      </c>
      <c r="G2301" s="510"/>
      <c r="H2301" s="488">
        <f t="shared" si="153"/>
        <v>25</v>
      </c>
      <c r="I2301" s="487" t="str">
        <f ca="1">IF(IFERROR(VLOOKUP(INDIRECT("'WPTM - Section F'!F"&amp;B2301),'Overview - Section A'!M$29:R145,6,0),IFERROR(VLOOKUP(INDIRECT("'WPTM - Section F'!F"&amp;B2301),'Overview - Section A'!E$26:J133,6,0),""))=0,"",IFERROR(VLOOKUP(INDIRECT("'WPTM - Section F'!F"&amp;B2301),'Overview - Section A'!M$29:R145,6,0),IFERROR(VLOOKUP(INDIRECT("'WPTM - Section F'!F"&amp;B2301),'Overview - Section A'!E$26:J133,6,0),"")))</f>
        <v/>
      </c>
      <c r="J2301" s="487" t="str">
        <f t="shared" ca="1" si="157"/>
        <v/>
      </c>
      <c r="K2301" s="493" t="str">
        <f t="shared" ca="1" si="158"/>
        <v/>
      </c>
      <c r="L2301" s="487" t="str">
        <f ca="1">IFERROR(INDEX('Reference Records'!F$329:F612,MATCH(INDIRECT("'WPTM - Section F'!AP"&amp;B2301)&amp;"|"&amp;INDIRECT("'WPTM - Section F'!C"&amp;$B2301),'Reference Records'!G$329:G612,0)),"")</f>
        <v/>
      </c>
      <c r="M2301" s="493" t="str">
        <f t="shared" ca="1" si="159"/>
        <v/>
      </c>
      <c r="N2301" s="493" t="str">
        <f t="shared" ca="1" si="160"/>
        <v/>
      </c>
      <c r="O2301" s="493" t="str">
        <f t="shared" ca="1" si="161"/>
        <v/>
      </c>
      <c r="P2301" s="493" t="str">
        <f t="shared" ca="1" si="162"/>
        <v/>
      </c>
      <c r="Q2301" s="493"/>
      <c r="R2301" s="502"/>
    </row>
    <row r="2302" spans="1:18" x14ac:dyDescent="0.3">
      <c r="A2302" s="487" t="b">
        <f t="shared" ca="1" si="154"/>
        <v>0</v>
      </c>
      <c r="B2302" s="487">
        <f t="shared" si="152"/>
        <v>34</v>
      </c>
      <c r="C2302" s="507" t="str">
        <f ca="1">IF(COUNTA($G$2194:G2301)=1,"",OFFSET(B2302,-COUNTA($G$2194:G2301)+1,1))</f>
        <v>a1N3p00000497VfEAI</v>
      </c>
      <c r="D2302" s="487" t="str">
        <f t="shared" ca="1" si="155"/>
        <v>INT-130914</v>
      </c>
      <c r="E2302" s="493"/>
      <c r="F2302" s="493" t="str">
        <f t="shared" ca="1" si="156"/>
        <v/>
      </c>
      <c r="G2302" s="510"/>
      <c r="H2302" s="488">
        <f t="shared" si="153"/>
        <v>26</v>
      </c>
      <c r="I2302" s="487" t="str">
        <f ca="1">IF(IFERROR(VLOOKUP(INDIRECT("'WPTM - Section F'!F"&amp;B2302),'Overview - Section A'!M$29:R146,6,0),IFERROR(VLOOKUP(INDIRECT("'WPTM - Section F'!F"&amp;B2302),'Overview - Section A'!E$26:J134,6,0),""))=0,"",IFERROR(VLOOKUP(INDIRECT("'WPTM - Section F'!F"&amp;B2302),'Overview - Section A'!M$29:R146,6,0),IFERROR(VLOOKUP(INDIRECT("'WPTM - Section F'!F"&amp;B2302),'Overview - Section A'!E$26:J134,6,0),"")))</f>
        <v/>
      </c>
      <c r="J2302" s="487" t="str">
        <f t="shared" ca="1" si="157"/>
        <v/>
      </c>
      <c r="K2302" s="493" t="str">
        <f t="shared" ca="1" si="158"/>
        <v/>
      </c>
      <c r="L2302" s="487" t="str">
        <f ca="1">IFERROR(INDEX('Reference Records'!F$329:F613,MATCH(INDIRECT("'WPTM - Section F'!AP"&amp;B2302)&amp;"|"&amp;INDIRECT("'WPTM - Section F'!C"&amp;$B2302),'Reference Records'!G$329:G613,0)),"")</f>
        <v/>
      </c>
      <c r="M2302" s="493" t="str">
        <f t="shared" ca="1" si="159"/>
        <v/>
      </c>
      <c r="N2302" s="493" t="str">
        <f t="shared" ca="1" si="160"/>
        <v/>
      </c>
      <c r="O2302" s="493" t="str">
        <f t="shared" ca="1" si="161"/>
        <v/>
      </c>
      <c r="P2302" s="493" t="str">
        <f t="shared" ca="1" si="162"/>
        <v/>
      </c>
      <c r="Q2302" s="493"/>
      <c r="R2302" s="502"/>
    </row>
    <row r="2303" spans="1:18" x14ac:dyDescent="0.3">
      <c r="A2303" s="487" t="b">
        <f t="shared" ca="1" si="154"/>
        <v>0</v>
      </c>
      <c r="B2303" s="487">
        <f t="shared" si="152"/>
        <v>35</v>
      </c>
      <c r="C2303" s="507" t="str">
        <f ca="1">IF(COUNTA($G$2194:G2302)=1,"",OFFSET(B2303,-COUNTA($G$2194:G2302)+1,1))</f>
        <v>a1N3p00000497VgEAI</v>
      </c>
      <c r="D2303" s="487" t="str">
        <f t="shared" ca="1" si="155"/>
        <v>INT-130914</v>
      </c>
      <c r="E2303" s="493"/>
      <c r="F2303" s="493" t="str">
        <f t="shared" ca="1" si="156"/>
        <v/>
      </c>
      <c r="G2303" s="510"/>
      <c r="H2303" s="488">
        <f t="shared" si="153"/>
        <v>27</v>
      </c>
      <c r="I2303" s="487" t="str">
        <f ca="1">IF(IFERROR(VLOOKUP(INDIRECT("'WPTM - Section F'!F"&amp;B2303),'Overview - Section A'!M$29:R147,6,0),IFERROR(VLOOKUP(INDIRECT("'WPTM - Section F'!F"&amp;B2303),'Overview - Section A'!E$26:J135,6,0),""))=0,"",IFERROR(VLOOKUP(INDIRECT("'WPTM - Section F'!F"&amp;B2303),'Overview - Section A'!M$29:R147,6,0),IFERROR(VLOOKUP(INDIRECT("'WPTM - Section F'!F"&amp;B2303),'Overview - Section A'!E$26:J135,6,0),"")))</f>
        <v/>
      </c>
      <c r="J2303" s="487" t="str">
        <f t="shared" ca="1" si="157"/>
        <v/>
      </c>
      <c r="K2303" s="493" t="str">
        <f t="shared" ca="1" si="158"/>
        <v/>
      </c>
      <c r="L2303" s="487" t="str">
        <f ca="1">IFERROR(INDEX('Reference Records'!F$329:F614,MATCH(INDIRECT("'WPTM - Section F'!AP"&amp;B2303)&amp;"|"&amp;INDIRECT("'WPTM - Section F'!C"&amp;$B2303),'Reference Records'!G$329:G614,0)),"")</f>
        <v/>
      </c>
      <c r="M2303" s="493" t="str">
        <f t="shared" ca="1" si="159"/>
        <v/>
      </c>
      <c r="N2303" s="493" t="str">
        <f t="shared" ca="1" si="160"/>
        <v/>
      </c>
      <c r="O2303" s="493" t="str">
        <f t="shared" ca="1" si="161"/>
        <v/>
      </c>
      <c r="P2303" s="493" t="str">
        <f t="shared" ca="1" si="162"/>
        <v/>
      </c>
      <c r="Q2303" s="493"/>
      <c r="R2303" s="502"/>
    </row>
    <row r="2304" spans="1:18" x14ac:dyDescent="0.3">
      <c r="A2304" s="487" t="b">
        <f t="shared" ca="1" si="154"/>
        <v>0</v>
      </c>
      <c r="B2304" s="487">
        <f t="shared" si="152"/>
        <v>36</v>
      </c>
      <c r="C2304" s="507" t="str">
        <f ca="1">IF(COUNTA($G$2194:G2303)=1,"",OFFSET(B2304,-COUNTA($G$2194:G2303)+1,1))</f>
        <v>a1N3p00000497VhEAI</v>
      </c>
      <c r="D2304" s="487" t="str">
        <f t="shared" ca="1" si="155"/>
        <v>INT-130914</v>
      </c>
      <c r="E2304" s="493"/>
      <c r="F2304" s="493" t="str">
        <f t="shared" ca="1" si="156"/>
        <v/>
      </c>
      <c r="G2304" s="510"/>
      <c r="H2304" s="488">
        <f t="shared" si="153"/>
        <v>28</v>
      </c>
      <c r="I2304" s="487" t="str">
        <f ca="1">IF(IFERROR(VLOOKUP(INDIRECT("'WPTM - Section F'!F"&amp;B2304),'Overview - Section A'!M$29:R148,6,0),IFERROR(VLOOKUP(INDIRECT("'WPTM - Section F'!F"&amp;B2304),'Overview - Section A'!E$26:J136,6,0),""))=0,"",IFERROR(VLOOKUP(INDIRECT("'WPTM - Section F'!F"&amp;B2304),'Overview - Section A'!M$29:R148,6,0),IFERROR(VLOOKUP(INDIRECT("'WPTM - Section F'!F"&amp;B2304),'Overview - Section A'!E$26:J136,6,0),"")))</f>
        <v/>
      </c>
      <c r="J2304" s="487" t="str">
        <f t="shared" ca="1" si="157"/>
        <v/>
      </c>
      <c r="K2304" s="493" t="str">
        <f t="shared" ca="1" si="158"/>
        <v/>
      </c>
      <c r="L2304" s="487" t="str">
        <f ca="1">IFERROR(INDEX('Reference Records'!F$329:F615,MATCH(INDIRECT("'WPTM - Section F'!AP"&amp;B2304)&amp;"|"&amp;INDIRECT("'WPTM - Section F'!C"&amp;$B2304),'Reference Records'!G$329:G615,0)),"")</f>
        <v/>
      </c>
      <c r="M2304" s="493" t="str">
        <f t="shared" ca="1" si="159"/>
        <v/>
      </c>
      <c r="N2304" s="493" t="str">
        <f t="shared" ca="1" si="160"/>
        <v/>
      </c>
      <c r="O2304" s="493" t="str">
        <f t="shared" ca="1" si="161"/>
        <v/>
      </c>
      <c r="P2304" s="493" t="str">
        <f t="shared" ca="1" si="162"/>
        <v/>
      </c>
      <c r="Q2304" s="493"/>
      <c r="R2304" s="502"/>
    </row>
    <row r="2305" spans="1:18" x14ac:dyDescent="0.3">
      <c r="A2305" s="487" t="b">
        <f t="shared" ca="1" si="154"/>
        <v>0</v>
      </c>
      <c r="B2305" s="487">
        <f t="shared" si="152"/>
        <v>37</v>
      </c>
      <c r="C2305" s="507" t="str">
        <f ca="1">IF(COUNTA($G$2194:G2304)=1,"",OFFSET(B2305,-COUNTA($G$2194:G2304)+1,1))</f>
        <v>a1N3p00000497ViEAI</v>
      </c>
      <c r="D2305" s="487" t="str">
        <f t="shared" ca="1" si="155"/>
        <v>INT-130914</v>
      </c>
      <c r="E2305" s="493"/>
      <c r="F2305" s="493" t="str">
        <f t="shared" ca="1" si="156"/>
        <v/>
      </c>
      <c r="G2305" s="510"/>
      <c r="H2305" s="488">
        <f t="shared" si="153"/>
        <v>29</v>
      </c>
      <c r="I2305" s="487" t="str">
        <f ca="1">IF(IFERROR(VLOOKUP(INDIRECT("'WPTM - Section F'!F"&amp;B2305),'Overview - Section A'!M$29:R149,6,0),IFERROR(VLOOKUP(INDIRECT("'WPTM - Section F'!F"&amp;B2305),'Overview - Section A'!E$26:J137,6,0),""))=0,"",IFERROR(VLOOKUP(INDIRECT("'WPTM - Section F'!F"&amp;B2305),'Overview - Section A'!M$29:R149,6,0),IFERROR(VLOOKUP(INDIRECT("'WPTM - Section F'!F"&amp;B2305),'Overview - Section A'!E$26:J137,6,0),"")))</f>
        <v/>
      </c>
      <c r="J2305" s="487" t="str">
        <f t="shared" ca="1" si="157"/>
        <v/>
      </c>
      <c r="K2305" s="493" t="str">
        <f t="shared" ca="1" si="158"/>
        <v/>
      </c>
      <c r="L2305" s="487" t="str">
        <f ca="1">IFERROR(INDEX('Reference Records'!F$329:F616,MATCH(INDIRECT("'WPTM - Section F'!AP"&amp;B2305)&amp;"|"&amp;INDIRECT("'WPTM - Section F'!C"&amp;$B2305),'Reference Records'!G$329:G616,0)),"")</f>
        <v/>
      </c>
      <c r="M2305" s="493" t="str">
        <f t="shared" ca="1" si="159"/>
        <v/>
      </c>
      <c r="N2305" s="493" t="str">
        <f t="shared" ca="1" si="160"/>
        <v/>
      </c>
      <c r="O2305" s="493" t="str">
        <f t="shared" ca="1" si="161"/>
        <v/>
      </c>
      <c r="P2305" s="493" t="str">
        <f t="shared" ca="1" si="162"/>
        <v/>
      </c>
      <c r="Q2305" s="493"/>
      <c r="R2305" s="502"/>
    </row>
    <row r="2306" spans="1:18" x14ac:dyDescent="0.3">
      <c r="A2306" s="487" t="b">
        <f t="shared" ca="1" si="154"/>
        <v>0</v>
      </c>
      <c r="B2306" s="487">
        <f t="shared" si="152"/>
        <v>38</v>
      </c>
      <c r="C2306" s="507" t="str">
        <f ca="1">IF(COUNTA($G$2194:G2305)=1,"",OFFSET(B2306,-COUNTA($G$2194:G2305)+1,1))</f>
        <v>a1N3p00000497VjEAI</v>
      </c>
      <c r="D2306" s="487" t="str">
        <f t="shared" ca="1" si="155"/>
        <v>INT-130914</v>
      </c>
      <c r="E2306" s="493"/>
      <c r="F2306" s="493" t="str">
        <f t="shared" ca="1" si="156"/>
        <v/>
      </c>
      <c r="G2306" s="510"/>
      <c r="H2306" s="488">
        <f t="shared" si="153"/>
        <v>30</v>
      </c>
      <c r="I2306" s="487" t="str">
        <f ca="1">IF(IFERROR(VLOOKUP(INDIRECT("'WPTM - Section F'!F"&amp;B2306),'Overview - Section A'!M$29:R150,6,0),IFERROR(VLOOKUP(INDIRECT("'WPTM - Section F'!F"&amp;B2306),'Overview - Section A'!E$26:J138,6,0),""))=0,"",IFERROR(VLOOKUP(INDIRECT("'WPTM - Section F'!F"&amp;B2306),'Overview - Section A'!M$29:R150,6,0),IFERROR(VLOOKUP(INDIRECT("'WPTM - Section F'!F"&amp;B2306),'Overview - Section A'!E$26:J138,6,0),"")))</f>
        <v/>
      </c>
      <c r="J2306" s="487" t="str">
        <f t="shared" ca="1" si="157"/>
        <v/>
      </c>
      <c r="K2306" s="493" t="str">
        <f t="shared" ca="1" si="158"/>
        <v/>
      </c>
      <c r="L2306" s="487" t="str">
        <f ca="1">IFERROR(INDEX('Reference Records'!F$329:F617,MATCH(INDIRECT("'WPTM - Section F'!AP"&amp;B2306)&amp;"|"&amp;INDIRECT("'WPTM - Section F'!C"&amp;$B2306),'Reference Records'!G$329:G617,0)),"")</f>
        <v/>
      </c>
      <c r="M2306" s="493" t="str">
        <f t="shared" ca="1" si="159"/>
        <v/>
      </c>
      <c r="N2306" s="493" t="str">
        <f t="shared" ca="1" si="160"/>
        <v/>
      </c>
      <c r="O2306" s="493" t="str">
        <f t="shared" ca="1" si="161"/>
        <v/>
      </c>
      <c r="P2306" s="493" t="str">
        <f t="shared" ca="1" si="162"/>
        <v/>
      </c>
      <c r="Q2306" s="493"/>
      <c r="R2306" s="502"/>
    </row>
    <row r="2307" spans="1:18" x14ac:dyDescent="0.3">
      <c r="A2307" s="487" t="b">
        <f t="shared" ca="1" si="154"/>
        <v>0</v>
      </c>
      <c r="B2307" s="487">
        <f t="shared" si="152"/>
        <v>39</v>
      </c>
      <c r="C2307" s="507" t="str">
        <f ca="1">IF(COUNTA($G$2194:G2306)=1,"",OFFSET(B2307,-COUNTA($G$2194:G2306)+1,1))</f>
        <v>a1N3p00000497VkEAI</v>
      </c>
      <c r="D2307" s="487" t="str">
        <f t="shared" ca="1" si="155"/>
        <v>INT-130914</v>
      </c>
      <c r="E2307" s="493"/>
      <c r="F2307" s="493" t="str">
        <f t="shared" ca="1" si="156"/>
        <v/>
      </c>
      <c r="G2307" s="510"/>
      <c r="H2307" s="488">
        <f t="shared" si="153"/>
        <v>31</v>
      </c>
      <c r="I2307" s="487" t="str">
        <f ca="1">IF(IFERROR(VLOOKUP(INDIRECT("'WPTM - Section F'!F"&amp;B2307),'Overview - Section A'!M$29:R151,6,0),IFERROR(VLOOKUP(INDIRECT("'WPTM - Section F'!F"&amp;B2307),'Overview - Section A'!E$26:J139,6,0),""))=0,"",IFERROR(VLOOKUP(INDIRECT("'WPTM - Section F'!F"&amp;B2307),'Overview - Section A'!M$29:R151,6,0),IFERROR(VLOOKUP(INDIRECT("'WPTM - Section F'!F"&amp;B2307),'Overview - Section A'!E$26:J139,6,0),"")))</f>
        <v/>
      </c>
      <c r="J2307" s="487" t="str">
        <f t="shared" ca="1" si="157"/>
        <v/>
      </c>
      <c r="K2307" s="493" t="str">
        <f t="shared" ca="1" si="158"/>
        <v/>
      </c>
      <c r="L2307" s="487" t="str">
        <f ca="1">IFERROR(INDEX('Reference Records'!F$329:F618,MATCH(INDIRECT("'WPTM - Section F'!AP"&amp;B2307)&amp;"|"&amp;INDIRECT("'WPTM - Section F'!C"&amp;$B2307),'Reference Records'!G$329:G618,0)),"")</f>
        <v/>
      </c>
      <c r="M2307" s="493" t="str">
        <f t="shared" ca="1" si="159"/>
        <v/>
      </c>
      <c r="N2307" s="493" t="str">
        <f t="shared" ca="1" si="160"/>
        <v/>
      </c>
      <c r="O2307" s="493" t="str">
        <f t="shared" ca="1" si="161"/>
        <v/>
      </c>
      <c r="P2307" s="493" t="str">
        <f t="shared" ca="1" si="162"/>
        <v/>
      </c>
      <c r="Q2307" s="493"/>
      <c r="R2307" s="502"/>
    </row>
    <row r="2308" spans="1:18" x14ac:dyDescent="0.3">
      <c r="A2308" s="487" t="b">
        <f t="shared" ca="1" si="154"/>
        <v>0</v>
      </c>
      <c r="B2308" s="487">
        <f t="shared" si="152"/>
        <v>40</v>
      </c>
      <c r="C2308" s="507" t="str">
        <f ca="1">IF(COUNTA($G$2194:G2307)=1,"",OFFSET(B2308,-COUNTA($G$2194:G2307)+1,1))</f>
        <v>a1N3p00000497VlEAI</v>
      </c>
      <c r="D2308" s="487" t="str">
        <f t="shared" ca="1" si="155"/>
        <v>INT-130914</v>
      </c>
      <c r="E2308" s="493"/>
      <c r="F2308" s="493" t="str">
        <f t="shared" ca="1" si="156"/>
        <v/>
      </c>
      <c r="G2308" s="510"/>
      <c r="H2308" s="488">
        <f t="shared" si="153"/>
        <v>32</v>
      </c>
      <c r="I2308" s="487" t="str">
        <f ca="1">IF(IFERROR(VLOOKUP(INDIRECT("'WPTM - Section F'!F"&amp;B2308),'Overview - Section A'!M$29:R152,6,0),IFERROR(VLOOKUP(INDIRECT("'WPTM - Section F'!F"&amp;B2308),'Overview - Section A'!E$26:J140,6,0),""))=0,"",IFERROR(VLOOKUP(INDIRECT("'WPTM - Section F'!F"&amp;B2308),'Overview - Section A'!M$29:R152,6,0),IFERROR(VLOOKUP(INDIRECT("'WPTM - Section F'!F"&amp;B2308),'Overview - Section A'!E$26:J140,6,0),"")))</f>
        <v/>
      </c>
      <c r="J2308" s="487" t="str">
        <f t="shared" ca="1" si="157"/>
        <v/>
      </c>
      <c r="K2308" s="493" t="str">
        <f t="shared" ca="1" si="158"/>
        <v/>
      </c>
      <c r="L2308" s="487" t="str">
        <f ca="1">IFERROR(INDEX('Reference Records'!F$329:F619,MATCH(INDIRECT("'WPTM - Section F'!AP"&amp;B2308)&amp;"|"&amp;INDIRECT("'WPTM - Section F'!C"&amp;$B2308),'Reference Records'!G$329:G619,0)),"")</f>
        <v/>
      </c>
      <c r="M2308" s="493" t="str">
        <f t="shared" ca="1" si="159"/>
        <v/>
      </c>
      <c r="N2308" s="493" t="str">
        <f t="shared" ca="1" si="160"/>
        <v/>
      </c>
      <c r="O2308" s="493" t="str">
        <f t="shared" ca="1" si="161"/>
        <v/>
      </c>
      <c r="P2308" s="493" t="str">
        <f t="shared" ca="1" si="162"/>
        <v/>
      </c>
      <c r="Q2308" s="493"/>
      <c r="R2308" s="502"/>
    </row>
    <row r="2309" spans="1:18" x14ac:dyDescent="0.3">
      <c r="A2309" s="487" t="b">
        <f t="shared" ca="1" si="154"/>
        <v>0</v>
      </c>
      <c r="B2309" s="487">
        <f t="shared" si="152"/>
        <v>41</v>
      </c>
      <c r="C2309" s="507" t="str">
        <f ca="1">IF(COUNTA($G$2194:G2308)=1,"",OFFSET(B2309,-COUNTA($G$2194:G2308)+1,1))</f>
        <v>a1N3p00000497VmEAI</v>
      </c>
      <c r="D2309" s="487" t="str">
        <f t="shared" ca="1" si="155"/>
        <v>INT-130914</v>
      </c>
      <c r="E2309" s="493"/>
      <c r="F2309" s="493" t="str">
        <f t="shared" ca="1" si="156"/>
        <v/>
      </c>
      <c r="G2309" s="510"/>
      <c r="H2309" s="488">
        <f t="shared" si="153"/>
        <v>33</v>
      </c>
      <c r="I2309" s="487" t="str">
        <f ca="1">IF(IFERROR(VLOOKUP(INDIRECT("'WPTM - Section F'!F"&amp;B2309),'Overview - Section A'!M$29:R153,6,0),IFERROR(VLOOKUP(INDIRECT("'WPTM - Section F'!F"&amp;B2309),'Overview - Section A'!E$26:J141,6,0),""))=0,"",IFERROR(VLOOKUP(INDIRECT("'WPTM - Section F'!F"&amp;B2309),'Overview - Section A'!M$29:R153,6,0),IFERROR(VLOOKUP(INDIRECT("'WPTM - Section F'!F"&amp;B2309),'Overview - Section A'!E$26:J141,6,0),"")))</f>
        <v/>
      </c>
      <c r="J2309" s="487" t="str">
        <f t="shared" ca="1" si="157"/>
        <v/>
      </c>
      <c r="K2309" s="493" t="str">
        <f t="shared" ca="1" si="158"/>
        <v/>
      </c>
      <c r="L2309" s="487" t="str">
        <f ca="1">IFERROR(INDEX('Reference Records'!F$329:F620,MATCH(INDIRECT("'WPTM - Section F'!AP"&amp;B2309)&amp;"|"&amp;INDIRECT("'WPTM - Section F'!C"&amp;$B2309),'Reference Records'!G$329:G620,0)),"")</f>
        <v/>
      </c>
      <c r="M2309" s="493" t="str">
        <f t="shared" ca="1" si="159"/>
        <v/>
      </c>
      <c r="N2309" s="493" t="str">
        <f t="shared" ca="1" si="160"/>
        <v/>
      </c>
      <c r="O2309" s="493" t="str">
        <f t="shared" ca="1" si="161"/>
        <v/>
      </c>
      <c r="P2309" s="493" t="str">
        <f t="shared" ca="1" si="162"/>
        <v/>
      </c>
      <c r="Q2309" s="493"/>
      <c r="R2309" s="502"/>
    </row>
    <row r="2310" spans="1:18" x14ac:dyDescent="0.3">
      <c r="A2310" s="487" t="b">
        <f t="shared" ca="1" si="154"/>
        <v>0</v>
      </c>
      <c r="B2310" s="487">
        <f t="shared" si="152"/>
        <v>42</v>
      </c>
      <c r="C2310" s="507" t="str">
        <f ca="1">IF(COUNTA($G$2194:G2309)=1,"",OFFSET(B2310,-COUNTA($G$2194:G2309)+1,1))</f>
        <v>a1N3p00000497VnEAI</v>
      </c>
      <c r="D2310" s="487" t="str">
        <f t="shared" ca="1" si="155"/>
        <v>INT-130914</v>
      </c>
      <c r="E2310" s="493"/>
      <c r="F2310" s="493" t="str">
        <f t="shared" ca="1" si="156"/>
        <v/>
      </c>
      <c r="G2310" s="510"/>
      <c r="H2310" s="488">
        <f t="shared" si="153"/>
        <v>34</v>
      </c>
      <c r="I2310" s="487" t="str">
        <f ca="1">IF(IFERROR(VLOOKUP(INDIRECT("'WPTM - Section F'!F"&amp;B2310),'Overview - Section A'!M$29:R154,6,0),IFERROR(VLOOKUP(INDIRECT("'WPTM - Section F'!F"&amp;B2310),'Overview - Section A'!E$26:J142,6,0),""))=0,"",IFERROR(VLOOKUP(INDIRECT("'WPTM - Section F'!F"&amp;B2310),'Overview - Section A'!M$29:R154,6,0),IFERROR(VLOOKUP(INDIRECT("'WPTM - Section F'!F"&amp;B2310),'Overview - Section A'!E$26:J142,6,0),"")))</f>
        <v/>
      </c>
      <c r="J2310" s="487" t="str">
        <f t="shared" ca="1" si="157"/>
        <v/>
      </c>
      <c r="K2310" s="493" t="str">
        <f t="shared" ca="1" si="158"/>
        <v/>
      </c>
      <c r="L2310" s="487" t="str">
        <f ca="1">IFERROR(INDEX('Reference Records'!F$329:F621,MATCH(INDIRECT("'WPTM - Section F'!AP"&amp;B2310)&amp;"|"&amp;INDIRECT("'WPTM - Section F'!C"&amp;$B2310),'Reference Records'!G$329:G621,0)),"")</f>
        <v/>
      </c>
      <c r="M2310" s="493" t="str">
        <f t="shared" ca="1" si="159"/>
        <v/>
      </c>
      <c r="N2310" s="493" t="str">
        <f t="shared" ca="1" si="160"/>
        <v/>
      </c>
      <c r="O2310" s="493" t="str">
        <f t="shared" ca="1" si="161"/>
        <v/>
      </c>
      <c r="P2310" s="493" t="str">
        <f t="shared" ca="1" si="162"/>
        <v/>
      </c>
      <c r="Q2310" s="493"/>
      <c r="R2310" s="502"/>
    </row>
    <row r="2311" spans="1:18" x14ac:dyDescent="0.3">
      <c r="A2311" s="487" t="b">
        <f t="shared" ca="1" si="154"/>
        <v>0</v>
      </c>
      <c r="B2311" s="487">
        <f t="shared" si="152"/>
        <v>43</v>
      </c>
      <c r="C2311" s="507" t="str">
        <f ca="1">IF(COUNTA($G$2194:G2310)=1,"",OFFSET(B2311,-COUNTA($G$2194:G2310)+1,1))</f>
        <v>a1N3p00000497VoEAI</v>
      </c>
      <c r="D2311" s="487" t="str">
        <f t="shared" ca="1" si="155"/>
        <v>INT-130914</v>
      </c>
      <c r="E2311" s="493"/>
      <c r="F2311" s="493" t="str">
        <f t="shared" ca="1" si="156"/>
        <v/>
      </c>
      <c r="G2311" s="510"/>
      <c r="H2311" s="488">
        <f t="shared" si="153"/>
        <v>35</v>
      </c>
      <c r="I2311" s="487" t="str">
        <f ca="1">IF(IFERROR(VLOOKUP(INDIRECT("'WPTM - Section F'!F"&amp;B2311),'Overview - Section A'!M$29:R155,6,0),IFERROR(VLOOKUP(INDIRECT("'WPTM - Section F'!F"&amp;B2311),'Overview - Section A'!E$26:J143,6,0),""))=0,"",IFERROR(VLOOKUP(INDIRECT("'WPTM - Section F'!F"&amp;B2311),'Overview - Section A'!M$29:R155,6,0),IFERROR(VLOOKUP(INDIRECT("'WPTM - Section F'!F"&amp;B2311),'Overview - Section A'!E$26:J143,6,0),"")))</f>
        <v/>
      </c>
      <c r="J2311" s="487" t="str">
        <f t="shared" ca="1" si="157"/>
        <v/>
      </c>
      <c r="K2311" s="493" t="str">
        <f t="shared" ca="1" si="158"/>
        <v/>
      </c>
      <c r="L2311" s="487" t="str">
        <f ca="1">IFERROR(INDEX('Reference Records'!F$329:F622,MATCH(INDIRECT("'WPTM - Section F'!AP"&amp;B2311)&amp;"|"&amp;INDIRECT("'WPTM - Section F'!C"&amp;$B2311),'Reference Records'!G$329:G622,0)),"")</f>
        <v/>
      </c>
      <c r="M2311" s="493" t="str">
        <f t="shared" ca="1" si="159"/>
        <v/>
      </c>
      <c r="N2311" s="493" t="str">
        <f t="shared" ca="1" si="160"/>
        <v/>
      </c>
      <c r="O2311" s="493" t="str">
        <f t="shared" ca="1" si="161"/>
        <v/>
      </c>
      <c r="P2311" s="493" t="str">
        <f t="shared" ca="1" si="162"/>
        <v/>
      </c>
      <c r="Q2311" s="493"/>
      <c r="R2311" s="502"/>
    </row>
    <row r="2312" spans="1:18" x14ac:dyDescent="0.3">
      <c r="A2312" s="487" t="b">
        <f t="shared" ca="1" si="154"/>
        <v>0</v>
      </c>
      <c r="B2312" s="487">
        <f t="shared" si="152"/>
        <v>44</v>
      </c>
      <c r="C2312" s="507" t="str">
        <f ca="1">IF(COUNTA($G$2194:G2311)=1,"",OFFSET(B2312,-COUNTA($G$2194:G2311)+1,1))</f>
        <v>a1N3p00000497VpEAI</v>
      </c>
      <c r="D2312" s="487" t="str">
        <f t="shared" ca="1" si="155"/>
        <v>INT-130914</v>
      </c>
      <c r="E2312" s="493"/>
      <c r="F2312" s="493" t="str">
        <f t="shared" ca="1" si="156"/>
        <v/>
      </c>
      <c r="G2312" s="510"/>
      <c r="H2312" s="488">
        <f t="shared" si="153"/>
        <v>36</v>
      </c>
      <c r="I2312" s="487" t="str">
        <f ca="1">IF(IFERROR(VLOOKUP(INDIRECT("'WPTM - Section F'!F"&amp;B2312),'Overview - Section A'!M$29:R156,6,0),IFERROR(VLOOKUP(INDIRECT("'WPTM - Section F'!F"&amp;B2312),'Overview - Section A'!E$26:J144,6,0),""))=0,"",IFERROR(VLOOKUP(INDIRECT("'WPTM - Section F'!F"&amp;B2312),'Overview - Section A'!M$29:R156,6,0),IFERROR(VLOOKUP(INDIRECT("'WPTM - Section F'!F"&amp;B2312),'Overview - Section A'!E$26:J144,6,0),"")))</f>
        <v/>
      </c>
      <c r="J2312" s="487" t="str">
        <f t="shared" ca="1" si="157"/>
        <v/>
      </c>
      <c r="K2312" s="493" t="str">
        <f t="shared" ca="1" si="158"/>
        <v/>
      </c>
      <c r="L2312" s="487" t="str">
        <f ca="1">IFERROR(INDEX('Reference Records'!F$329:F623,MATCH(INDIRECT("'WPTM - Section F'!AP"&amp;B2312)&amp;"|"&amp;INDIRECT("'WPTM - Section F'!C"&amp;$B2312),'Reference Records'!G$329:G623,0)),"")</f>
        <v/>
      </c>
      <c r="M2312" s="493" t="str">
        <f t="shared" ca="1" si="159"/>
        <v/>
      </c>
      <c r="N2312" s="493" t="str">
        <f t="shared" ca="1" si="160"/>
        <v/>
      </c>
      <c r="O2312" s="493" t="str">
        <f t="shared" ca="1" si="161"/>
        <v/>
      </c>
      <c r="P2312" s="493" t="str">
        <f t="shared" ca="1" si="162"/>
        <v/>
      </c>
      <c r="Q2312" s="493"/>
      <c r="R2312" s="502"/>
    </row>
    <row r="2313" spans="1:18" x14ac:dyDescent="0.3">
      <c r="A2313" s="487" t="b">
        <f t="shared" ca="1" si="154"/>
        <v>0</v>
      </c>
      <c r="B2313" s="487">
        <f t="shared" si="152"/>
        <v>45</v>
      </c>
      <c r="C2313" s="507" t="str">
        <f ca="1">IF(COUNTA($G$2194:G2312)=1,"",OFFSET(B2313,-COUNTA($G$2194:G2312)+1,1))</f>
        <v>a1N3p00000497VqEAI</v>
      </c>
      <c r="D2313" s="487" t="str">
        <f t="shared" ca="1" si="155"/>
        <v>INT-130914</v>
      </c>
      <c r="E2313" s="493"/>
      <c r="F2313" s="493" t="str">
        <f t="shared" ca="1" si="156"/>
        <v/>
      </c>
      <c r="G2313" s="510"/>
      <c r="H2313" s="488">
        <f t="shared" si="153"/>
        <v>37</v>
      </c>
      <c r="I2313" s="487" t="str">
        <f ca="1">IF(IFERROR(VLOOKUP(INDIRECT("'WPTM - Section F'!F"&amp;B2313),'Overview - Section A'!M$29:R157,6,0),IFERROR(VLOOKUP(INDIRECT("'WPTM - Section F'!F"&amp;B2313),'Overview - Section A'!E$26:J145,6,0),""))=0,"",IFERROR(VLOOKUP(INDIRECT("'WPTM - Section F'!F"&amp;B2313),'Overview - Section A'!M$29:R157,6,0),IFERROR(VLOOKUP(INDIRECT("'WPTM - Section F'!F"&amp;B2313),'Overview - Section A'!E$26:J145,6,0),"")))</f>
        <v/>
      </c>
      <c r="J2313" s="487" t="str">
        <f t="shared" ca="1" si="157"/>
        <v/>
      </c>
      <c r="K2313" s="493" t="str">
        <f t="shared" ca="1" si="158"/>
        <v/>
      </c>
      <c r="L2313" s="487" t="str">
        <f ca="1">IFERROR(INDEX('Reference Records'!F$329:F624,MATCH(INDIRECT("'WPTM - Section F'!AP"&amp;B2313)&amp;"|"&amp;INDIRECT("'WPTM - Section F'!C"&amp;$B2313),'Reference Records'!G$329:G624,0)),"")</f>
        <v/>
      </c>
      <c r="M2313" s="493" t="str">
        <f t="shared" ca="1" si="159"/>
        <v/>
      </c>
      <c r="N2313" s="493" t="str">
        <f t="shared" ca="1" si="160"/>
        <v/>
      </c>
      <c r="O2313" s="493" t="str">
        <f t="shared" ca="1" si="161"/>
        <v/>
      </c>
      <c r="P2313" s="493" t="str">
        <f t="shared" ca="1" si="162"/>
        <v/>
      </c>
      <c r="Q2313" s="493"/>
      <c r="R2313" s="502"/>
    </row>
    <row r="2314" spans="1:18" x14ac:dyDescent="0.3">
      <c r="A2314" s="487" t="b">
        <f t="shared" ca="1" si="154"/>
        <v>0</v>
      </c>
      <c r="B2314" s="487">
        <f t="shared" si="152"/>
        <v>46</v>
      </c>
      <c r="C2314" s="507" t="str">
        <f ca="1">IF(COUNTA($G$2194:G2313)=1,"",OFFSET(B2314,-COUNTA($G$2194:G2313)+1,1))</f>
        <v>a1N3p00000497VrEAI</v>
      </c>
      <c r="D2314" s="487" t="str">
        <f t="shared" ca="1" si="155"/>
        <v>INT-130914</v>
      </c>
      <c r="E2314" s="493"/>
      <c r="F2314" s="493" t="str">
        <f t="shared" ca="1" si="156"/>
        <v/>
      </c>
      <c r="G2314" s="510"/>
      <c r="H2314" s="488">
        <f t="shared" si="153"/>
        <v>38</v>
      </c>
      <c r="I2314" s="487" t="str">
        <f ca="1">IF(IFERROR(VLOOKUP(INDIRECT("'WPTM - Section F'!F"&amp;B2314),'Overview - Section A'!M$29:R158,6,0),IFERROR(VLOOKUP(INDIRECT("'WPTM - Section F'!F"&amp;B2314),'Overview - Section A'!E$26:J146,6,0),""))=0,"",IFERROR(VLOOKUP(INDIRECT("'WPTM - Section F'!F"&amp;B2314),'Overview - Section A'!M$29:R158,6,0),IFERROR(VLOOKUP(INDIRECT("'WPTM - Section F'!F"&amp;B2314),'Overview - Section A'!E$26:J146,6,0),"")))</f>
        <v/>
      </c>
      <c r="J2314" s="487" t="str">
        <f t="shared" ca="1" si="157"/>
        <v/>
      </c>
      <c r="K2314" s="493" t="str">
        <f t="shared" ca="1" si="158"/>
        <v/>
      </c>
      <c r="L2314" s="487" t="str">
        <f ca="1">IFERROR(INDEX('Reference Records'!F$329:F625,MATCH(INDIRECT("'WPTM - Section F'!AP"&amp;B2314)&amp;"|"&amp;INDIRECT("'WPTM - Section F'!C"&amp;$B2314),'Reference Records'!G$329:G625,0)),"")</f>
        <v/>
      </c>
      <c r="M2314" s="493" t="str">
        <f t="shared" ca="1" si="159"/>
        <v/>
      </c>
      <c r="N2314" s="493" t="str">
        <f t="shared" ca="1" si="160"/>
        <v/>
      </c>
      <c r="O2314" s="493" t="str">
        <f t="shared" ca="1" si="161"/>
        <v/>
      </c>
      <c r="P2314" s="493" t="str">
        <f t="shared" ca="1" si="162"/>
        <v/>
      </c>
      <c r="Q2314" s="493"/>
      <c r="R2314" s="502"/>
    </row>
    <row r="2315" spans="1:18" x14ac:dyDescent="0.3">
      <c r="A2315" s="487" t="b">
        <f t="shared" ca="1" si="154"/>
        <v>0</v>
      </c>
      <c r="B2315" s="487">
        <f t="shared" si="152"/>
        <v>47</v>
      </c>
      <c r="C2315" s="507" t="str">
        <f ca="1">IF(COUNTA($G$2194:G2314)=1,"",OFFSET(B2315,-COUNTA($G$2194:G2314)+1,1))</f>
        <v>a1N3p00000497VsEAI</v>
      </c>
      <c r="D2315" s="487" t="str">
        <f t="shared" ca="1" si="155"/>
        <v>INT-130914</v>
      </c>
      <c r="E2315" s="493"/>
      <c r="F2315" s="493" t="str">
        <f t="shared" ca="1" si="156"/>
        <v/>
      </c>
      <c r="G2315" s="510"/>
      <c r="H2315" s="488">
        <f t="shared" si="153"/>
        <v>39</v>
      </c>
      <c r="I2315" s="487" t="str">
        <f ca="1">IF(IFERROR(VLOOKUP(INDIRECT("'WPTM - Section F'!F"&amp;B2315),'Overview - Section A'!M$29:R159,6,0),IFERROR(VLOOKUP(INDIRECT("'WPTM - Section F'!F"&amp;B2315),'Overview - Section A'!E$26:J147,6,0),""))=0,"",IFERROR(VLOOKUP(INDIRECT("'WPTM - Section F'!F"&amp;B2315),'Overview - Section A'!M$29:R159,6,0),IFERROR(VLOOKUP(INDIRECT("'WPTM - Section F'!F"&amp;B2315),'Overview - Section A'!E$26:J147,6,0),"")))</f>
        <v/>
      </c>
      <c r="J2315" s="487" t="str">
        <f t="shared" ca="1" si="157"/>
        <v/>
      </c>
      <c r="K2315" s="493" t="str">
        <f t="shared" ca="1" si="158"/>
        <v/>
      </c>
      <c r="L2315" s="487" t="str">
        <f ca="1">IFERROR(INDEX('Reference Records'!F$329:F626,MATCH(INDIRECT("'WPTM - Section F'!AP"&amp;B2315)&amp;"|"&amp;INDIRECT("'WPTM - Section F'!C"&amp;$B2315),'Reference Records'!G$329:G626,0)),"")</f>
        <v/>
      </c>
      <c r="M2315" s="493" t="str">
        <f t="shared" ca="1" si="159"/>
        <v/>
      </c>
      <c r="N2315" s="493" t="str">
        <f t="shared" ca="1" si="160"/>
        <v/>
      </c>
      <c r="O2315" s="493" t="str">
        <f t="shared" ca="1" si="161"/>
        <v/>
      </c>
      <c r="P2315" s="493" t="str">
        <f t="shared" ca="1" si="162"/>
        <v/>
      </c>
      <c r="Q2315" s="493"/>
      <c r="R2315" s="502"/>
    </row>
    <row r="2316" spans="1:18" x14ac:dyDescent="0.3">
      <c r="A2316" s="487" t="b">
        <f t="shared" ca="1" si="154"/>
        <v>0</v>
      </c>
      <c r="B2316" s="487">
        <f t="shared" si="152"/>
        <v>48</v>
      </c>
      <c r="C2316" s="507" t="str">
        <f ca="1">IF(COUNTA($G$2194:G2315)=1,"",OFFSET(B2316,-COUNTA($G$2194:G2315)+1,1))</f>
        <v>a1N3p00000497VtEAI</v>
      </c>
      <c r="D2316" s="487" t="str">
        <f t="shared" ca="1" si="155"/>
        <v>INT-130914</v>
      </c>
      <c r="E2316" s="493"/>
      <c r="F2316" s="493" t="str">
        <f t="shared" ca="1" si="156"/>
        <v/>
      </c>
      <c r="G2316" s="510"/>
      <c r="H2316" s="488">
        <f t="shared" si="153"/>
        <v>40</v>
      </c>
      <c r="I2316" s="487" t="str">
        <f ca="1">IF(IFERROR(VLOOKUP(INDIRECT("'WPTM - Section F'!F"&amp;B2316),'Overview - Section A'!M$29:R160,6,0),IFERROR(VLOOKUP(INDIRECT("'WPTM - Section F'!F"&amp;B2316),'Overview - Section A'!E$26:J148,6,0),""))=0,"",IFERROR(VLOOKUP(INDIRECT("'WPTM - Section F'!F"&amp;B2316),'Overview - Section A'!M$29:R160,6,0),IFERROR(VLOOKUP(INDIRECT("'WPTM - Section F'!F"&amp;B2316),'Overview - Section A'!E$26:J148,6,0),"")))</f>
        <v/>
      </c>
      <c r="J2316" s="487" t="str">
        <f t="shared" ca="1" si="157"/>
        <v/>
      </c>
      <c r="K2316" s="493" t="str">
        <f t="shared" ca="1" si="158"/>
        <v/>
      </c>
      <c r="L2316" s="487" t="str">
        <f ca="1">IFERROR(INDEX('Reference Records'!F$329:F627,MATCH(INDIRECT("'WPTM - Section F'!AP"&amp;B2316)&amp;"|"&amp;INDIRECT("'WPTM - Section F'!C"&amp;$B2316),'Reference Records'!G$329:G627,0)),"")</f>
        <v/>
      </c>
      <c r="M2316" s="493" t="str">
        <f t="shared" ca="1" si="159"/>
        <v/>
      </c>
      <c r="N2316" s="493" t="str">
        <f t="shared" ca="1" si="160"/>
        <v/>
      </c>
      <c r="O2316" s="493" t="str">
        <f t="shared" ca="1" si="161"/>
        <v/>
      </c>
      <c r="P2316" s="493" t="str">
        <f t="shared" ca="1" si="162"/>
        <v/>
      </c>
      <c r="Q2316" s="493"/>
      <c r="R2316" s="502"/>
    </row>
    <row r="2317" spans="1:18" x14ac:dyDescent="0.3">
      <c r="A2317" s="487" t="b">
        <f t="shared" ca="1" si="154"/>
        <v>0</v>
      </c>
      <c r="B2317" s="487">
        <f t="shared" si="152"/>
        <v>49</v>
      </c>
      <c r="C2317" s="507" t="str">
        <f ca="1">IF(COUNTA($G$2194:G2316)=1,"",OFFSET(B2317,-COUNTA($G$2194:G2316)+1,1))</f>
        <v>a1N3p00000497VuEAI</v>
      </c>
      <c r="D2317" s="487" t="str">
        <f t="shared" ca="1" si="155"/>
        <v>INT-130914</v>
      </c>
      <c r="E2317" s="493"/>
      <c r="F2317" s="493" t="str">
        <f t="shared" ca="1" si="156"/>
        <v/>
      </c>
      <c r="G2317" s="510"/>
      <c r="H2317" s="488">
        <f t="shared" si="153"/>
        <v>41</v>
      </c>
      <c r="I2317" s="487" t="str">
        <f ca="1">IF(IFERROR(VLOOKUP(INDIRECT("'WPTM - Section F'!F"&amp;B2317),'Overview - Section A'!M$29:R161,6,0),IFERROR(VLOOKUP(INDIRECT("'WPTM - Section F'!F"&amp;B2317),'Overview - Section A'!E$26:J149,6,0),""))=0,"",IFERROR(VLOOKUP(INDIRECT("'WPTM - Section F'!F"&amp;B2317),'Overview - Section A'!M$29:R161,6,0),IFERROR(VLOOKUP(INDIRECT("'WPTM - Section F'!F"&amp;B2317),'Overview - Section A'!E$26:J149,6,0),"")))</f>
        <v/>
      </c>
      <c r="J2317" s="487" t="str">
        <f t="shared" ca="1" si="157"/>
        <v/>
      </c>
      <c r="K2317" s="493" t="str">
        <f t="shared" ca="1" si="158"/>
        <v/>
      </c>
      <c r="L2317" s="487" t="str">
        <f ca="1">IFERROR(INDEX('Reference Records'!F$329:F628,MATCH(INDIRECT("'WPTM - Section F'!AP"&amp;B2317)&amp;"|"&amp;INDIRECT("'WPTM - Section F'!C"&amp;$B2317),'Reference Records'!G$329:G628,0)),"")</f>
        <v/>
      </c>
      <c r="M2317" s="493" t="str">
        <f t="shared" ca="1" si="159"/>
        <v/>
      </c>
      <c r="N2317" s="493" t="str">
        <f t="shared" ca="1" si="160"/>
        <v/>
      </c>
      <c r="O2317" s="493" t="str">
        <f t="shared" ca="1" si="161"/>
        <v/>
      </c>
      <c r="P2317" s="493" t="str">
        <f t="shared" ca="1" si="162"/>
        <v/>
      </c>
      <c r="Q2317" s="493"/>
      <c r="R2317" s="502"/>
    </row>
    <row r="2318" spans="1:18" x14ac:dyDescent="0.3">
      <c r="A2318" s="487" t="b">
        <f t="shared" ca="1" si="154"/>
        <v>0</v>
      </c>
      <c r="B2318" s="487">
        <f t="shared" si="152"/>
        <v>50</v>
      </c>
      <c r="C2318" s="507" t="str">
        <f ca="1">IF(COUNTA($G$2194:G2317)=1,"",OFFSET(B2318,-COUNTA($G$2194:G2317)+1,1))</f>
        <v>a1N3p00000497VvEAI</v>
      </c>
      <c r="D2318" s="487" t="str">
        <f t="shared" ca="1" si="155"/>
        <v>INT-130914</v>
      </c>
      <c r="E2318" s="493"/>
      <c r="F2318" s="493" t="str">
        <f t="shared" ca="1" si="156"/>
        <v/>
      </c>
      <c r="G2318" s="510"/>
      <c r="H2318" s="488">
        <f t="shared" si="153"/>
        <v>42</v>
      </c>
      <c r="I2318" s="487" t="str">
        <f ca="1">IF(IFERROR(VLOOKUP(INDIRECT("'WPTM - Section F'!F"&amp;B2318),'Overview - Section A'!M$29:R162,6,0),IFERROR(VLOOKUP(INDIRECT("'WPTM - Section F'!F"&amp;B2318),'Overview - Section A'!E$26:J150,6,0),""))=0,"",IFERROR(VLOOKUP(INDIRECT("'WPTM - Section F'!F"&amp;B2318),'Overview - Section A'!M$29:R162,6,0),IFERROR(VLOOKUP(INDIRECT("'WPTM - Section F'!F"&amp;B2318),'Overview - Section A'!E$26:J150,6,0),"")))</f>
        <v/>
      </c>
      <c r="J2318" s="487" t="str">
        <f t="shared" ca="1" si="157"/>
        <v/>
      </c>
      <c r="K2318" s="493" t="str">
        <f t="shared" ca="1" si="158"/>
        <v/>
      </c>
      <c r="L2318" s="487" t="str">
        <f ca="1">IFERROR(INDEX('Reference Records'!F$329:F629,MATCH(INDIRECT("'WPTM - Section F'!AP"&amp;B2318)&amp;"|"&amp;INDIRECT("'WPTM - Section F'!C"&amp;$B2318),'Reference Records'!G$329:G629,0)),"")</f>
        <v/>
      </c>
      <c r="M2318" s="493" t="str">
        <f t="shared" ca="1" si="159"/>
        <v/>
      </c>
      <c r="N2318" s="493" t="str">
        <f t="shared" ca="1" si="160"/>
        <v/>
      </c>
      <c r="O2318" s="493" t="str">
        <f t="shared" ca="1" si="161"/>
        <v/>
      </c>
      <c r="P2318" s="493" t="str">
        <f t="shared" ca="1" si="162"/>
        <v/>
      </c>
      <c r="Q2318" s="493"/>
      <c r="R2318" s="502"/>
    </row>
    <row r="2319" spans="1:18" x14ac:dyDescent="0.3">
      <c r="A2319" s="487" t="b">
        <f t="shared" ca="1" si="154"/>
        <v>0</v>
      </c>
      <c r="B2319" s="487">
        <f t="shared" si="152"/>
        <v>51</v>
      </c>
      <c r="C2319" s="507" t="str">
        <f ca="1">IF(COUNTA($G$2194:G2318)=1,"",OFFSET(B2319,-COUNTA($G$2194:G2318)+1,1))</f>
        <v>a1N3p00000497VwEAI</v>
      </c>
      <c r="D2319" s="487" t="str">
        <f t="shared" ca="1" si="155"/>
        <v>INT-130914</v>
      </c>
      <c r="E2319" s="493"/>
      <c r="F2319" s="493" t="str">
        <f t="shared" ca="1" si="156"/>
        <v/>
      </c>
      <c r="G2319" s="510"/>
      <c r="H2319" s="488">
        <f t="shared" si="153"/>
        <v>43</v>
      </c>
      <c r="I2319" s="487" t="str">
        <f ca="1">IF(IFERROR(VLOOKUP(INDIRECT("'WPTM - Section F'!F"&amp;B2319),'Overview - Section A'!M$29:R163,6,0),IFERROR(VLOOKUP(INDIRECT("'WPTM - Section F'!F"&amp;B2319),'Overview - Section A'!E$26:J151,6,0),""))=0,"",IFERROR(VLOOKUP(INDIRECT("'WPTM - Section F'!F"&amp;B2319),'Overview - Section A'!M$29:R163,6,0),IFERROR(VLOOKUP(INDIRECT("'WPTM - Section F'!F"&amp;B2319),'Overview - Section A'!E$26:J151,6,0),"")))</f>
        <v/>
      </c>
      <c r="J2319" s="487" t="str">
        <f t="shared" ca="1" si="157"/>
        <v/>
      </c>
      <c r="K2319" s="493" t="str">
        <f t="shared" ca="1" si="158"/>
        <v/>
      </c>
      <c r="L2319" s="487" t="str">
        <f ca="1">IFERROR(INDEX('Reference Records'!F$329:F630,MATCH(INDIRECT("'WPTM - Section F'!AP"&amp;B2319)&amp;"|"&amp;INDIRECT("'WPTM - Section F'!C"&amp;$B2319),'Reference Records'!G$329:G630,0)),"")</f>
        <v/>
      </c>
      <c r="M2319" s="493" t="str">
        <f t="shared" ca="1" si="159"/>
        <v/>
      </c>
      <c r="N2319" s="493" t="str">
        <f t="shared" ca="1" si="160"/>
        <v/>
      </c>
      <c r="O2319" s="493" t="str">
        <f t="shared" ca="1" si="161"/>
        <v/>
      </c>
      <c r="P2319" s="493" t="str">
        <f t="shared" ca="1" si="162"/>
        <v/>
      </c>
      <c r="Q2319" s="493"/>
      <c r="R2319" s="502"/>
    </row>
    <row r="2320" spans="1:18" x14ac:dyDescent="0.3">
      <c r="A2320" s="487" t="b">
        <f t="shared" ca="1" si="154"/>
        <v>0</v>
      </c>
      <c r="B2320" s="487">
        <f t="shared" si="152"/>
        <v>52</v>
      </c>
      <c r="C2320" s="507" t="str">
        <f ca="1">IF(COUNTA($G$2194:G2319)=1,"",OFFSET(B2320,-COUNTA($G$2194:G2319)+1,1))</f>
        <v>a1N3p00000497VxEAI</v>
      </c>
      <c r="D2320" s="487" t="str">
        <f t="shared" ca="1" si="155"/>
        <v>INT-130914</v>
      </c>
      <c r="E2320" s="493"/>
      <c r="F2320" s="493" t="str">
        <f t="shared" ca="1" si="156"/>
        <v/>
      </c>
      <c r="G2320" s="510"/>
      <c r="H2320" s="488">
        <f t="shared" si="153"/>
        <v>44</v>
      </c>
      <c r="I2320" s="487" t="str">
        <f ca="1">IF(IFERROR(VLOOKUP(INDIRECT("'WPTM - Section F'!F"&amp;B2320),'Overview - Section A'!M$29:R164,6,0),IFERROR(VLOOKUP(INDIRECT("'WPTM - Section F'!F"&amp;B2320),'Overview - Section A'!E$26:J152,6,0),""))=0,"",IFERROR(VLOOKUP(INDIRECT("'WPTM - Section F'!F"&amp;B2320),'Overview - Section A'!M$29:R164,6,0),IFERROR(VLOOKUP(INDIRECT("'WPTM - Section F'!F"&amp;B2320),'Overview - Section A'!E$26:J152,6,0),"")))</f>
        <v/>
      </c>
      <c r="J2320" s="487" t="str">
        <f t="shared" ca="1" si="157"/>
        <v/>
      </c>
      <c r="K2320" s="493" t="str">
        <f t="shared" ca="1" si="158"/>
        <v/>
      </c>
      <c r="L2320" s="487" t="str">
        <f ca="1">IFERROR(INDEX('Reference Records'!F$329:F631,MATCH(INDIRECT("'WPTM - Section F'!AP"&amp;B2320)&amp;"|"&amp;INDIRECT("'WPTM - Section F'!C"&amp;$B2320),'Reference Records'!G$329:G631,0)),"")</f>
        <v/>
      </c>
      <c r="M2320" s="493" t="str">
        <f t="shared" ca="1" si="159"/>
        <v/>
      </c>
      <c r="N2320" s="493" t="str">
        <f t="shared" ca="1" si="160"/>
        <v/>
      </c>
      <c r="O2320" s="493" t="str">
        <f t="shared" ca="1" si="161"/>
        <v/>
      </c>
      <c r="P2320" s="493" t="str">
        <f t="shared" ca="1" si="162"/>
        <v/>
      </c>
      <c r="Q2320" s="493"/>
      <c r="R2320" s="502"/>
    </row>
    <row r="2321" spans="1:18" x14ac:dyDescent="0.3">
      <c r="A2321" s="487" t="b">
        <f t="shared" ca="1" si="154"/>
        <v>0</v>
      </c>
      <c r="B2321" s="487">
        <f t="shared" si="152"/>
        <v>53</v>
      </c>
      <c r="C2321" s="507" t="str">
        <f ca="1">IF(COUNTA($G$2194:G2320)=1,"",OFFSET(B2321,-COUNTA($G$2194:G2320)+1,1))</f>
        <v>a1N3p00000497VyEAI</v>
      </c>
      <c r="D2321" s="487" t="str">
        <f t="shared" ca="1" si="155"/>
        <v>INT-130914</v>
      </c>
      <c r="E2321" s="493"/>
      <c r="F2321" s="493" t="str">
        <f t="shared" ca="1" si="156"/>
        <v/>
      </c>
      <c r="G2321" s="510"/>
      <c r="H2321" s="488">
        <f t="shared" si="153"/>
        <v>45</v>
      </c>
      <c r="I2321" s="487" t="str">
        <f ca="1">IF(IFERROR(VLOOKUP(INDIRECT("'WPTM - Section F'!F"&amp;B2321),'Overview - Section A'!M$29:R165,6,0),IFERROR(VLOOKUP(INDIRECT("'WPTM - Section F'!F"&amp;B2321),'Overview - Section A'!E$26:J153,6,0),""))=0,"",IFERROR(VLOOKUP(INDIRECT("'WPTM - Section F'!F"&amp;B2321),'Overview - Section A'!M$29:R165,6,0),IFERROR(VLOOKUP(INDIRECT("'WPTM - Section F'!F"&amp;B2321),'Overview - Section A'!E$26:J153,6,0),"")))</f>
        <v/>
      </c>
      <c r="J2321" s="487" t="str">
        <f t="shared" ca="1" si="157"/>
        <v/>
      </c>
      <c r="K2321" s="493" t="str">
        <f t="shared" ca="1" si="158"/>
        <v/>
      </c>
      <c r="L2321" s="487" t="str">
        <f ca="1">IFERROR(INDEX('Reference Records'!F$329:F632,MATCH(INDIRECT("'WPTM - Section F'!AP"&amp;B2321)&amp;"|"&amp;INDIRECT("'WPTM - Section F'!C"&amp;$B2321),'Reference Records'!G$329:G632,0)),"")</f>
        <v/>
      </c>
      <c r="M2321" s="493" t="str">
        <f t="shared" ca="1" si="159"/>
        <v/>
      </c>
      <c r="N2321" s="493" t="str">
        <f t="shared" ca="1" si="160"/>
        <v/>
      </c>
      <c r="O2321" s="493" t="str">
        <f t="shared" ca="1" si="161"/>
        <v/>
      </c>
      <c r="P2321" s="493" t="str">
        <f t="shared" ca="1" si="162"/>
        <v/>
      </c>
      <c r="Q2321" s="493"/>
      <c r="R2321" s="502"/>
    </row>
    <row r="2322" spans="1:18" x14ac:dyDescent="0.3">
      <c r="A2322" s="487" t="b">
        <f t="shared" ca="1" si="154"/>
        <v>0</v>
      </c>
      <c r="B2322" s="487">
        <f t="shared" si="152"/>
        <v>54</v>
      </c>
      <c r="C2322" s="507" t="str">
        <f ca="1">IF(COUNTA($G$2194:G2321)=1,"",OFFSET(B2322,-COUNTA($G$2194:G2321)+1,1))</f>
        <v>a1N3p00000497VzEAI</v>
      </c>
      <c r="D2322" s="487" t="str">
        <f t="shared" ca="1" si="155"/>
        <v>INT-130914</v>
      </c>
      <c r="E2322" s="493"/>
      <c r="F2322" s="493" t="str">
        <f t="shared" ca="1" si="156"/>
        <v/>
      </c>
      <c r="G2322" s="510"/>
      <c r="H2322" s="488">
        <f t="shared" si="153"/>
        <v>46</v>
      </c>
      <c r="I2322" s="487" t="str">
        <f ca="1">IF(IFERROR(VLOOKUP(INDIRECT("'WPTM - Section F'!F"&amp;B2322),'Overview - Section A'!M$29:R166,6,0),IFERROR(VLOOKUP(INDIRECT("'WPTM - Section F'!F"&amp;B2322),'Overview - Section A'!E$26:J154,6,0),""))=0,"",IFERROR(VLOOKUP(INDIRECT("'WPTM - Section F'!F"&amp;B2322),'Overview - Section A'!M$29:R166,6,0),IFERROR(VLOOKUP(INDIRECT("'WPTM - Section F'!F"&amp;B2322),'Overview - Section A'!E$26:J154,6,0),"")))</f>
        <v/>
      </c>
      <c r="J2322" s="487" t="str">
        <f t="shared" ca="1" si="157"/>
        <v/>
      </c>
      <c r="K2322" s="493" t="str">
        <f t="shared" ca="1" si="158"/>
        <v/>
      </c>
      <c r="L2322" s="487" t="str">
        <f ca="1">IFERROR(INDEX('Reference Records'!F$329:F633,MATCH(INDIRECT("'WPTM - Section F'!AP"&amp;B2322)&amp;"|"&amp;INDIRECT("'WPTM - Section F'!C"&amp;$B2322),'Reference Records'!G$329:G633,0)),"")</f>
        <v/>
      </c>
      <c r="M2322" s="493" t="str">
        <f t="shared" ca="1" si="159"/>
        <v/>
      </c>
      <c r="N2322" s="493" t="str">
        <f t="shared" ca="1" si="160"/>
        <v/>
      </c>
      <c r="O2322" s="493" t="str">
        <f t="shared" ca="1" si="161"/>
        <v/>
      </c>
      <c r="P2322" s="493" t="str">
        <f t="shared" ca="1" si="162"/>
        <v/>
      </c>
      <c r="Q2322" s="493"/>
      <c r="R2322" s="502"/>
    </row>
    <row r="2323" spans="1:18" x14ac:dyDescent="0.3">
      <c r="A2323" s="487" t="b">
        <f t="shared" ca="1" si="154"/>
        <v>0</v>
      </c>
      <c r="B2323" s="487">
        <f t="shared" si="152"/>
        <v>55</v>
      </c>
      <c r="C2323" s="507" t="str">
        <f ca="1">IF(COUNTA($G$2194:G2322)=1,"",OFFSET(B2323,-COUNTA($G$2194:G2322)+1,1))</f>
        <v>a1N3p00000497W0EAI</v>
      </c>
      <c r="D2323" s="487" t="str">
        <f t="shared" ca="1" si="155"/>
        <v>INT-130914</v>
      </c>
      <c r="E2323" s="493"/>
      <c r="F2323" s="493" t="str">
        <f t="shared" ca="1" si="156"/>
        <v/>
      </c>
      <c r="G2323" s="510"/>
      <c r="H2323" s="488">
        <f t="shared" si="153"/>
        <v>47</v>
      </c>
      <c r="I2323" s="487" t="str">
        <f ca="1">IF(IFERROR(VLOOKUP(INDIRECT("'WPTM - Section F'!F"&amp;B2323),'Overview - Section A'!M$29:R167,6,0),IFERROR(VLOOKUP(INDIRECT("'WPTM - Section F'!F"&amp;B2323),'Overview - Section A'!E$26:J155,6,0),""))=0,"",IFERROR(VLOOKUP(INDIRECT("'WPTM - Section F'!F"&amp;B2323),'Overview - Section A'!M$29:R167,6,0),IFERROR(VLOOKUP(INDIRECT("'WPTM - Section F'!F"&amp;B2323),'Overview - Section A'!E$26:J155,6,0),"")))</f>
        <v/>
      </c>
      <c r="J2323" s="487" t="str">
        <f t="shared" ca="1" si="157"/>
        <v/>
      </c>
      <c r="K2323" s="493" t="str">
        <f t="shared" ca="1" si="158"/>
        <v/>
      </c>
      <c r="L2323" s="487" t="str">
        <f ca="1">IFERROR(INDEX('Reference Records'!F$329:F634,MATCH(INDIRECT("'WPTM - Section F'!AP"&amp;B2323)&amp;"|"&amp;INDIRECT("'WPTM - Section F'!C"&amp;$B2323),'Reference Records'!G$329:G634,0)),"")</f>
        <v/>
      </c>
      <c r="M2323" s="493" t="str">
        <f t="shared" ca="1" si="159"/>
        <v/>
      </c>
      <c r="N2323" s="493" t="str">
        <f t="shared" ca="1" si="160"/>
        <v/>
      </c>
      <c r="O2323" s="493" t="str">
        <f t="shared" ca="1" si="161"/>
        <v/>
      </c>
      <c r="P2323" s="493" t="str">
        <f t="shared" ca="1" si="162"/>
        <v/>
      </c>
      <c r="Q2323" s="493"/>
      <c r="R2323" s="502"/>
    </row>
    <row r="2324" spans="1:18" x14ac:dyDescent="0.3">
      <c r="A2324" s="487" t="b">
        <f t="shared" ca="1" si="154"/>
        <v>0</v>
      </c>
      <c r="B2324" s="487">
        <f t="shared" si="152"/>
        <v>56</v>
      </c>
      <c r="C2324" s="507" t="str">
        <f ca="1">IF(COUNTA($G$2194:G2323)=1,"",OFFSET(B2324,-COUNTA($G$2194:G2323)+1,1))</f>
        <v>a1N3p00000497W1EAI</v>
      </c>
      <c r="D2324" s="487" t="str">
        <f t="shared" ca="1" si="155"/>
        <v>INT-130914</v>
      </c>
      <c r="E2324" s="493"/>
      <c r="F2324" s="493" t="str">
        <f t="shared" ca="1" si="156"/>
        <v/>
      </c>
      <c r="G2324" s="510"/>
      <c r="H2324" s="488">
        <f t="shared" si="153"/>
        <v>48</v>
      </c>
      <c r="I2324" s="487" t="str">
        <f ca="1">IF(IFERROR(VLOOKUP(INDIRECT("'WPTM - Section F'!F"&amp;B2324),'Overview - Section A'!M$29:R168,6,0),IFERROR(VLOOKUP(INDIRECT("'WPTM - Section F'!F"&amp;B2324),'Overview - Section A'!E$26:J156,6,0),""))=0,"",IFERROR(VLOOKUP(INDIRECT("'WPTM - Section F'!F"&amp;B2324),'Overview - Section A'!M$29:R168,6,0),IFERROR(VLOOKUP(INDIRECT("'WPTM - Section F'!F"&amp;B2324),'Overview - Section A'!E$26:J156,6,0),"")))</f>
        <v/>
      </c>
      <c r="J2324" s="487" t="str">
        <f t="shared" ca="1" si="157"/>
        <v/>
      </c>
      <c r="K2324" s="493" t="str">
        <f t="shared" ca="1" si="158"/>
        <v/>
      </c>
      <c r="L2324" s="487" t="str">
        <f ca="1">IFERROR(INDEX('Reference Records'!F$329:F635,MATCH(INDIRECT("'WPTM - Section F'!AP"&amp;B2324)&amp;"|"&amp;INDIRECT("'WPTM - Section F'!C"&amp;$B2324),'Reference Records'!G$329:G635,0)),"")</f>
        <v/>
      </c>
      <c r="M2324" s="493" t="str">
        <f t="shared" ca="1" si="159"/>
        <v/>
      </c>
      <c r="N2324" s="493" t="str">
        <f t="shared" ca="1" si="160"/>
        <v/>
      </c>
      <c r="O2324" s="493" t="str">
        <f t="shared" ca="1" si="161"/>
        <v/>
      </c>
      <c r="P2324" s="493" t="str">
        <f t="shared" ca="1" si="162"/>
        <v/>
      </c>
      <c r="Q2324" s="493"/>
      <c r="R2324" s="502"/>
    </row>
    <row r="2325" spans="1:18" x14ac:dyDescent="0.3">
      <c r="A2325" s="487" t="b">
        <f t="shared" ca="1" si="154"/>
        <v>0</v>
      </c>
      <c r="B2325" s="487">
        <f t="shared" ref="B2325:B2356" si="163">IF(_xlfn.ISFORMULA(J2325),B2324+1,B2324)</f>
        <v>57</v>
      </c>
      <c r="C2325" s="507" t="str">
        <f ca="1">IF(COUNTA($G$2194:G2324)=1,"",OFFSET(B2325,-COUNTA($G$2194:G2324)+1,1))</f>
        <v>a1N3p00000497W2EAI</v>
      </c>
      <c r="D2325" s="487" t="str">
        <f t="shared" ca="1" si="155"/>
        <v>INT-130914</v>
      </c>
      <c r="E2325" s="493"/>
      <c r="F2325" s="493" t="str">
        <f t="shared" ca="1" si="156"/>
        <v/>
      </c>
      <c r="G2325" s="510"/>
      <c r="H2325" s="488">
        <f t="shared" ref="H2325:H2356" si="164">H2324+1</f>
        <v>49</v>
      </c>
      <c r="I2325" s="487" t="str">
        <f ca="1">IF(IFERROR(VLOOKUP(INDIRECT("'WPTM - Section F'!F"&amp;B2325),'Overview - Section A'!M$29:R169,6,0),IFERROR(VLOOKUP(INDIRECT("'WPTM - Section F'!F"&amp;B2325),'Overview - Section A'!E$26:J157,6,0),""))=0,"",IFERROR(VLOOKUP(INDIRECT("'WPTM - Section F'!F"&amp;B2325),'Overview - Section A'!M$29:R169,6,0),IFERROR(VLOOKUP(INDIRECT("'WPTM - Section F'!F"&amp;B2325),'Overview - Section A'!E$26:J157,6,0),"")))</f>
        <v/>
      </c>
      <c r="J2325" s="487" t="str">
        <f t="shared" ca="1" si="157"/>
        <v/>
      </c>
      <c r="K2325" s="493" t="str">
        <f t="shared" ca="1" si="158"/>
        <v/>
      </c>
      <c r="L2325" s="487" t="str">
        <f ca="1">IFERROR(INDEX('Reference Records'!F$329:F636,MATCH(INDIRECT("'WPTM - Section F'!AP"&amp;B2325)&amp;"|"&amp;INDIRECT("'WPTM - Section F'!C"&amp;$B2325),'Reference Records'!G$329:G636,0)),"")</f>
        <v/>
      </c>
      <c r="M2325" s="493" t="str">
        <f t="shared" ca="1" si="159"/>
        <v/>
      </c>
      <c r="N2325" s="493" t="str">
        <f t="shared" ca="1" si="160"/>
        <v/>
      </c>
      <c r="O2325" s="493" t="str">
        <f t="shared" ca="1" si="161"/>
        <v/>
      </c>
      <c r="P2325" s="493" t="str">
        <f t="shared" ca="1" si="162"/>
        <v/>
      </c>
      <c r="Q2325" s="493"/>
      <c r="R2325" s="502"/>
    </row>
    <row r="2326" spans="1:18" x14ac:dyDescent="0.3">
      <c r="A2326" s="487" t="b">
        <f t="shared" ca="1" si="154"/>
        <v>0</v>
      </c>
      <c r="B2326" s="487">
        <f t="shared" si="163"/>
        <v>58</v>
      </c>
      <c r="C2326" s="507" t="str">
        <f ca="1">IF(COUNTA($G$2194:G2325)=1,"",OFFSET(B2326,-COUNTA($G$2194:G2325)+1,1))</f>
        <v>a1N3p00000497W3EAI</v>
      </c>
      <c r="D2326" s="487" t="str">
        <f t="shared" ca="1" si="155"/>
        <v>INT-130914</v>
      </c>
      <c r="E2326" s="493"/>
      <c r="F2326" s="493" t="str">
        <f t="shared" ca="1" si="156"/>
        <v/>
      </c>
      <c r="G2326" s="510"/>
      <c r="H2326" s="488">
        <f t="shared" si="164"/>
        <v>50</v>
      </c>
      <c r="I2326" s="487" t="str">
        <f ca="1">IF(IFERROR(VLOOKUP(INDIRECT("'WPTM - Section F'!F"&amp;B2326),'Overview - Section A'!M$29:R170,6,0),IFERROR(VLOOKUP(INDIRECT("'WPTM - Section F'!F"&amp;B2326),'Overview - Section A'!E$26:J158,6,0),""))=0,"",IFERROR(VLOOKUP(INDIRECT("'WPTM - Section F'!F"&amp;B2326),'Overview - Section A'!M$29:R170,6,0),IFERROR(VLOOKUP(INDIRECT("'WPTM - Section F'!F"&amp;B2326),'Overview - Section A'!E$26:J158,6,0),"")))</f>
        <v/>
      </c>
      <c r="J2326" s="487" t="str">
        <f t="shared" ca="1" si="157"/>
        <v/>
      </c>
      <c r="K2326" s="493" t="str">
        <f t="shared" ca="1" si="158"/>
        <v/>
      </c>
      <c r="L2326" s="487" t="str">
        <f ca="1">IFERROR(INDEX('Reference Records'!F$329:F637,MATCH(INDIRECT("'WPTM - Section F'!AP"&amp;B2326)&amp;"|"&amp;INDIRECT("'WPTM - Section F'!C"&amp;$B2326),'Reference Records'!G$329:G637,0)),"")</f>
        <v/>
      </c>
      <c r="M2326" s="493" t="str">
        <f t="shared" ca="1" si="159"/>
        <v/>
      </c>
      <c r="N2326" s="493" t="str">
        <f t="shared" ca="1" si="160"/>
        <v/>
      </c>
      <c r="O2326" s="493" t="str">
        <f t="shared" ca="1" si="161"/>
        <v/>
      </c>
      <c r="P2326" s="493" t="str">
        <f t="shared" ca="1" si="162"/>
        <v/>
      </c>
      <c r="Q2326" s="493"/>
      <c r="R2326" s="502"/>
    </row>
    <row r="2327" spans="1:18" x14ac:dyDescent="0.3">
      <c r="A2327" s="487" t="b">
        <f t="shared" ca="1" si="154"/>
        <v>0</v>
      </c>
      <c r="B2327" s="487">
        <f t="shared" si="163"/>
        <v>59</v>
      </c>
      <c r="C2327" s="507" t="str">
        <f ca="1">IF(COUNTA($G$2194:G2326)=1,"",OFFSET(B2327,-COUNTA($G$2194:G2326)+1,1))</f>
        <v>a1N3p00000497W4EAI</v>
      </c>
      <c r="D2327" s="487" t="str">
        <f t="shared" ca="1" si="155"/>
        <v>INT-130914</v>
      </c>
      <c r="E2327" s="493"/>
      <c r="F2327" s="493" t="str">
        <f t="shared" ca="1" si="156"/>
        <v/>
      </c>
      <c r="G2327" s="510"/>
      <c r="H2327" s="488">
        <f t="shared" si="164"/>
        <v>51</v>
      </c>
      <c r="I2327" s="487" t="str">
        <f ca="1">IF(IFERROR(VLOOKUP(INDIRECT("'WPTM - Section F'!F"&amp;B2327),'Overview - Section A'!M$29:R171,6,0),IFERROR(VLOOKUP(INDIRECT("'WPTM - Section F'!F"&amp;B2327),'Overview - Section A'!E$26:J159,6,0),""))=0,"",IFERROR(VLOOKUP(INDIRECT("'WPTM - Section F'!F"&amp;B2327),'Overview - Section A'!M$29:R171,6,0),IFERROR(VLOOKUP(INDIRECT("'WPTM - Section F'!F"&amp;B2327),'Overview - Section A'!E$26:J159,6,0),"")))</f>
        <v/>
      </c>
      <c r="J2327" s="487" t="str">
        <f t="shared" ca="1" si="157"/>
        <v/>
      </c>
      <c r="K2327" s="493" t="str">
        <f t="shared" ca="1" si="158"/>
        <v/>
      </c>
      <c r="L2327" s="487" t="str">
        <f ca="1">IFERROR(INDEX('Reference Records'!F$329:F638,MATCH(INDIRECT("'WPTM - Section F'!AP"&amp;B2327)&amp;"|"&amp;INDIRECT("'WPTM - Section F'!C"&amp;$B2327),'Reference Records'!G$329:G638,0)),"")</f>
        <v/>
      </c>
      <c r="M2327" s="493" t="str">
        <f t="shared" ca="1" si="159"/>
        <v/>
      </c>
      <c r="N2327" s="493" t="str">
        <f t="shared" ca="1" si="160"/>
        <v/>
      </c>
      <c r="O2327" s="493" t="str">
        <f t="shared" ca="1" si="161"/>
        <v/>
      </c>
      <c r="P2327" s="493" t="str">
        <f t="shared" ca="1" si="162"/>
        <v/>
      </c>
      <c r="Q2327" s="493"/>
      <c r="R2327" s="502"/>
    </row>
    <row r="2328" spans="1:18" x14ac:dyDescent="0.3">
      <c r="A2328" s="487" t="b">
        <f t="shared" ca="1" si="154"/>
        <v>0</v>
      </c>
      <c r="B2328" s="487">
        <f t="shared" si="163"/>
        <v>60</v>
      </c>
      <c r="C2328" s="507" t="str">
        <f ca="1">IF(COUNTA($G$2194:G2327)=1,"",OFFSET(B2328,-COUNTA($G$2194:G2327)+1,1))</f>
        <v>a1N3p00000497W5EAI</v>
      </c>
      <c r="D2328" s="487" t="str">
        <f t="shared" ca="1" si="155"/>
        <v>INT-130914</v>
      </c>
      <c r="E2328" s="493"/>
      <c r="F2328" s="493" t="str">
        <f t="shared" ca="1" si="156"/>
        <v/>
      </c>
      <c r="G2328" s="510"/>
      <c r="H2328" s="488">
        <f t="shared" si="164"/>
        <v>52</v>
      </c>
      <c r="I2328" s="487" t="str">
        <f ca="1">IF(IFERROR(VLOOKUP(INDIRECT("'WPTM - Section F'!F"&amp;B2328),'Overview - Section A'!M$29:R172,6,0),IFERROR(VLOOKUP(INDIRECT("'WPTM - Section F'!F"&amp;B2328),'Overview - Section A'!E$26:J160,6,0),""))=0,"",IFERROR(VLOOKUP(INDIRECT("'WPTM - Section F'!F"&amp;B2328),'Overview - Section A'!M$29:R172,6,0),IFERROR(VLOOKUP(INDIRECT("'WPTM - Section F'!F"&amp;B2328),'Overview - Section A'!E$26:J160,6,0),"")))</f>
        <v/>
      </c>
      <c r="J2328" s="487" t="str">
        <f t="shared" ca="1" si="157"/>
        <v/>
      </c>
      <c r="K2328" s="493" t="str">
        <f t="shared" ca="1" si="158"/>
        <v/>
      </c>
      <c r="L2328" s="487" t="str">
        <f ca="1">IFERROR(INDEX('Reference Records'!F$329:F639,MATCH(INDIRECT("'WPTM - Section F'!AP"&amp;B2328)&amp;"|"&amp;INDIRECT("'WPTM - Section F'!C"&amp;$B2328),'Reference Records'!G$329:G639,0)),"")</f>
        <v/>
      </c>
      <c r="M2328" s="493" t="str">
        <f t="shared" ca="1" si="159"/>
        <v/>
      </c>
      <c r="N2328" s="493" t="str">
        <f t="shared" ca="1" si="160"/>
        <v/>
      </c>
      <c r="O2328" s="493" t="str">
        <f t="shared" ca="1" si="161"/>
        <v/>
      </c>
      <c r="P2328" s="493" t="str">
        <f t="shared" ca="1" si="162"/>
        <v/>
      </c>
      <c r="Q2328" s="493"/>
      <c r="R2328" s="502"/>
    </row>
    <row r="2329" spans="1:18" x14ac:dyDescent="0.3">
      <c r="A2329" s="487" t="b">
        <f t="shared" ca="1" si="154"/>
        <v>0</v>
      </c>
      <c r="B2329" s="487">
        <f t="shared" si="163"/>
        <v>61</v>
      </c>
      <c r="C2329" s="507" t="str">
        <f ca="1">IF(COUNTA($G$2194:G2328)=1,"",OFFSET(B2329,-COUNTA($G$2194:G2328)+1,1))</f>
        <v>a1N3p00000497W6EAI</v>
      </c>
      <c r="D2329" s="487" t="str">
        <f t="shared" ca="1" si="155"/>
        <v>INT-130914</v>
      </c>
      <c r="E2329" s="493"/>
      <c r="F2329" s="493" t="str">
        <f t="shared" ca="1" si="156"/>
        <v/>
      </c>
      <c r="G2329" s="510"/>
      <c r="H2329" s="488">
        <f t="shared" si="164"/>
        <v>53</v>
      </c>
      <c r="I2329" s="487" t="str">
        <f ca="1">IF(IFERROR(VLOOKUP(INDIRECT("'WPTM - Section F'!F"&amp;B2329),'Overview - Section A'!M$29:R173,6,0),IFERROR(VLOOKUP(INDIRECT("'WPTM - Section F'!F"&amp;B2329),'Overview - Section A'!E$26:J161,6,0),""))=0,"",IFERROR(VLOOKUP(INDIRECT("'WPTM - Section F'!F"&amp;B2329),'Overview - Section A'!M$29:R173,6,0),IFERROR(VLOOKUP(INDIRECT("'WPTM - Section F'!F"&amp;B2329),'Overview - Section A'!E$26:J161,6,0),"")))</f>
        <v/>
      </c>
      <c r="J2329" s="487" t="str">
        <f t="shared" ca="1" si="157"/>
        <v/>
      </c>
      <c r="K2329" s="493" t="str">
        <f t="shared" ca="1" si="158"/>
        <v/>
      </c>
      <c r="L2329" s="487" t="str">
        <f ca="1">IFERROR(INDEX('Reference Records'!F$329:F640,MATCH(INDIRECT("'WPTM - Section F'!AP"&amp;B2329)&amp;"|"&amp;INDIRECT("'WPTM - Section F'!C"&amp;$B2329),'Reference Records'!G$329:G640,0)),"")</f>
        <v/>
      </c>
      <c r="M2329" s="493" t="str">
        <f t="shared" ca="1" si="159"/>
        <v/>
      </c>
      <c r="N2329" s="493" t="str">
        <f t="shared" ca="1" si="160"/>
        <v/>
      </c>
      <c r="O2329" s="493" t="str">
        <f t="shared" ca="1" si="161"/>
        <v/>
      </c>
      <c r="P2329" s="493" t="str">
        <f t="shared" ca="1" si="162"/>
        <v/>
      </c>
      <c r="Q2329" s="493"/>
      <c r="R2329" s="502"/>
    </row>
    <row r="2330" spans="1:18" x14ac:dyDescent="0.3">
      <c r="A2330" s="487" t="b">
        <f t="shared" ca="1" si="154"/>
        <v>0</v>
      </c>
      <c r="B2330" s="487">
        <f t="shared" si="163"/>
        <v>62</v>
      </c>
      <c r="C2330" s="507" t="str">
        <f ca="1">IF(COUNTA($G$2194:G2329)=1,"",OFFSET(B2330,-COUNTA($G$2194:G2329)+1,1))</f>
        <v>a1N3p00000497W7EAI</v>
      </c>
      <c r="D2330" s="487" t="str">
        <f t="shared" ca="1" si="155"/>
        <v>INT-130914</v>
      </c>
      <c r="E2330" s="493"/>
      <c r="F2330" s="493" t="str">
        <f t="shared" ca="1" si="156"/>
        <v/>
      </c>
      <c r="G2330" s="510"/>
      <c r="H2330" s="488">
        <f t="shared" si="164"/>
        <v>54</v>
      </c>
      <c r="I2330" s="487" t="str">
        <f ca="1">IF(IFERROR(VLOOKUP(INDIRECT("'WPTM - Section F'!F"&amp;B2330),'Overview - Section A'!M$29:R174,6,0),IFERROR(VLOOKUP(INDIRECT("'WPTM - Section F'!F"&amp;B2330),'Overview - Section A'!E$26:J162,6,0),""))=0,"",IFERROR(VLOOKUP(INDIRECT("'WPTM - Section F'!F"&amp;B2330),'Overview - Section A'!M$29:R174,6,0),IFERROR(VLOOKUP(INDIRECT("'WPTM - Section F'!F"&amp;B2330),'Overview - Section A'!E$26:J162,6,0),"")))</f>
        <v/>
      </c>
      <c r="J2330" s="487" t="str">
        <f t="shared" ca="1" si="157"/>
        <v/>
      </c>
      <c r="K2330" s="493" t="str">
        <f t="shared" ca="1" si="158"/>
        <v/>
      </c>
      <c r="L2330" s="487" t="str">
        <f ca="1">IFERROR(INDEX('Reference Records'!F$329:F641,MATCH(INDIRECT("'WPTM - Section F'!AP"&amp;B2330)&amp;"|"&amp;INDIRECT("'WPTM - Section F'!C"&amp;$B2330),'Reference Records'!G$329:G641,0)),"")</f>
        <v/>
      </c>
      <c r="M2330" s="493" t="str">
        <f t="shared" ca="1" si="159"/>
        <v/>
      </c>
      <c r="N2330" s="493" t="str">
        <f t="shared" ca="1" si="160"/>
        <v/>
      </c>
      <c r="O2330" s="493" t="str">
        <f t="shared" ca="1" si="161"/>
        <v/>
      </c>
      <c r="P2330" s="493" t="str">
        <f t="shared" ca="1" si="162"/>
        <v/>
      </c>
      <c r="Q2330" s="493"/>
      <c r="R2330" s="502"/>
    </row>
    <row r="2331" spans="1:18" x14ac:dyDescent="0.3">
      <c r="A2331" s="487" t="b">
        <f t="shared" ca="1" si="154"/>
        <v>0</v>
      </c>
      <c r="B2331" s="487">
        <f t="shared" si="163"/>
        <v>63</v>
      </c>
      <c r="C2331" s="507" t="str">
        <f ca="1">IF(COUNTA($G$2194:G2330)=1,"",OFFSET(B2331,-COUNTA($G$2194:G2330)+1,1))</f>
        <v>a1N3p00000497W8EAI</v>
      </c>
      <c r="D2331" s="487" t="str">
        <f t="shared" ca="1" si="155"/>
        <v>INT-130914</v>
      </c>
      <c r="E2331" s="493"/>
      <c r="F2331" s="493" t="str">
        <f t="shared" ca="1" si="156"/>
        <v/>
      </c>
      <c r="G2331" s="510"/>
      <c r="H2331" s="488">
        <f t="shared" si="164"/>
        <v>55</v>
      </c>
      <c r="I2331" s="487" t="str">
        <f ca="1">IF(IFERROR(VLOOKUP(INDIRECT("'WPTM - Section F'!F"&amp;B2331),'Overview - Section A'!M$29:R175,6,0),IFERROR(VLOOKUP(INDIRECT("'WPTM - Section F'!F"&amp;B2331),'Overview - Section A'!E$26:J163,6,0),""))=0,"",IFERROR(VLOOKUP(INDIRECT("'WPTM - Section F'!F"&amp;B2331),'Overview - Section A'!M$29:R175,6,0),IFERROR(VLOOKUP(INDIRECT("'WPTM - Section F'!F"&amp;B2331),'Overview - Section A'!E$26:J163,6,0),"")))</f>
        <v/>
      </c>
      <c r="J2331" s="487" t="str">
        <f t="shared" ca="1" si="157"/>
        <v/>
      </c>
      <c r="K2331" s="493" t="str">
        <f t="shared" ca="1" si="158"/>
        <v/>
      </c>
      <c r="L2331" s="487" t="str">
        <f ca="1">IFERROR(INDEX('Reference Records'!F$329:F642,MATCH(INDIRECT("'WPTM - Section F'!AP"&amp;B2331)&amp;"|"&amp;INDIRECT("'WPTM - Section F'!C"&amp;$B2331),'Reference Records'!G$329:G642,0)),"")</f>
        <v/>
      </c>
      <c r="M2331" s="493" t="str">
        <f t="shared" ca="1" si="159"/>
        <v/>
      </c>
      <c r="N2331" s="493" t="str">
        <f t="shared" ca="1" si="160"/>
        <v/>
      </c>
      <c r="O2331" s="493" t="str">
        <f t="shared" ca="1" si="161"/>
        <v/>
      </c>
      <c r="P2331" s="493" t="str">
        <f t="shared" ca="1" si="162"/>
        <v/>
      </c>
      <c r="Q2331" s="493"/>
      <c r="R2331" s="502"/>
    </row>
    <row r="2332" spans="1:18" x14ac:dyDescent="0.3">
      <c r="A2332" s="487" t="b">
        <f t="shared" ca="1" si="154"/>
        <v>0</v>
      </c>
      <c r="B2332" s="487">
        <f t="shared" si="163"/>
        <v>64</v>
      </c>
      <c r="C2332" s="507" t="str">
        <f ca="1">IF(COUNTA($G$2194:G2331)=1,"",OFFSET(B2332,-COUNTA($G$2194:G2331)+1,1))</f>
        <v>a1N3p00000497W9EAI</v>
      </c>
      <c r="D2332" s="487" t="str">
        <f t="shared" ca="1" si="155"/>
        <v>INT-130914</v>
      </c>
      <c r="E2332" s="493"/>
      <c r="F2332" s="493" t="str">
        <f t="shared" ca="1" si="156"/>
        <v/>
      </c>
      <c r="G2332" s="510"/>
      <c r="H2332" s="488">
        <f t="shared" si="164"/>
        <v>56</v>
      </c>
      <c r="I2332" s="487" t="str">
        <f ca="1">IF(IFERROR(VLOOKUP(INDIRECT("'WPTM - Section F'!F"&amp;B2332),'Overview - Section A'!M$29:R176,6,0),IFERROR(VLOOKUP(INDIRECT("'WPTM - Section F'!F"&amp;B2332),'Overview - Section A'!E$26:J164,6,0),""))=0,"",IFERROR(VLOOKUP(INDIRECT("'WPTM - Section F'!F"&amp;B2332),'Overview - Section A'!M$29:R176,6,0),IFERROR(VLOOKUP(INDIRECT("'WPTM - Section F'!F"&amp;B2332),'Overview - Section A'!E$26:J164,6,0),"")))</f>
        <v/>
      </c>
      <c r="J2332" s="487" t="str">
        <f t="shared" ca="1" si="157"/>
        <v/>
      </c>
      <c r="K2332" s="493" t="str">
        <f t="shared" ca="1" si="158"/>
        <v/>
      </c>
      <c r="L2332" s="487" t="str">
        <f ca="1">IFERROR(INDEX('Reference Records'!F$329:F643,MATCH(INDIRECT("'WPTM - Section F'!AP"&amp;B2332)&amp;"|"&amp;INDIRECT("'WPTM - Section F'!C"&amp;$B2332),'Reference Records'!G$329:G643,0)),"")</f>
        <v/>
      </c>
      <c r="M2332" s="493" t="str">
        <f t="shared" ca="1" si="159"/>
        <v/>
      </c>
      <c r="N2332" s="493" t="str">
        <f t="shared" ca="1" si="160"/>
        <v/>
      </c>
      <c r="O2332" s="493" t="str">
        <f t="shared" ca="1" si="161"/>
        <v/>
      </c>
      <c r="P2332" s="493" t="str">
        <f t="shared" ca="1" si="162"/>
        <v/>
      </c>
      <c r="Q2332" s="493"/>
      <c r="R2332" s="502"/>
    </row>
    <row r="2333" spans="1:18" x14ac:dyDescent="0.3">
      <c r="A2333" s="487" t="b">
        <f t="shared" ca="1" si="154"/>
        <v>0</v>
      </c>
      <c r="B2333" s="487">
        <f t="shared" si="163"/>
        <v>65</v>
      </c>
      <c r="C2333" s="507" t="str">
        <f ca="1">IF(COUNTA($G$2194:G2332)=1,"",OFFSET(B2333,-COUNTA($G$2194:G2332)+1,1))</f>
        <v>a1N3p00000497WAEAY</v>
      </c>
      <c r="D2333" s="487" t="str">
        <f t="shared" ca="1" si="155"/>
        <v>INT-130914</v>
      </c>
      <c r="E2333" s="493"/>
      <c r="F2333" s="493" t="str">
        <f t="shared" ca="1" si="156"/>
        <v/>
      </c>
      <c r="G2333" s="510"/>
      <c r="H2333" s="488">
        <f t="shared" si="164"/>
        <v>57</v>
      </c>
      <c r="I2333" s="487" t="str">
        <f ca="1">IF(IFERROR(VLOOKUP(INDIRECT("'WPTM - Section F'!F"&amp;B2333),'Overview - Section A'!M$29:R177,6,0),IFERROR(VLOOKUP(INDIRECT("'WPTM - Section F'!F"&amp;B2333),'Overview - Section A'!E$26:J165,6,0),""))=0,"",IFERROR(VLOOKUP(INDIRECT("'WPTM - Section F'!F"&amp;B2333),'Overview - Section A'!M$29:R177,6,0),IFERROR(VLOOKUP(INDIRECT("'WPTM - Section F'!F"&amp;B2333),'Overview - Section A'!E$26:J165,6,0),"")))</f>
        <v/>
      </c>
      <c r="J2333" s="487" t="str">
        <f t="shared" ca="1" si="157"/>
        <v/>
      </c>
      <c r="K2333" s="493" t="str">
        <f t="shared" ca="1" si="158"/>
        <v/>
      </c>
      <c r="L2333" s="487" t="str">
        <f ca="1">IFERROR(INDEX('Reference Records'!F$329:F644,MATCH(INDIRECT("'WPTM - Section F'!AP"&amp;B2333)&amp;"|"&amp;INDIRECT("'WPTM - Section F'!C"&amp;$B2333),'Reference Records'!G$329:G644,0)),"")</f>
        <v/>
      </c>
      <c r="M2333" s="493" t="str">
        <f t="shared" ca="1" si="159"/>
        <v/>
      </c>
      <c r="N2333" s="493" t="str">
        <f t="shared" ca="1" si="160"/>
        <v/>
      </c>
      <c r="O2333" s="493" t="str">
        <f t="shared" ca="1" si="161"/>
        <v/>
      </c>
      <c r="P2333" s="493" t="str">
        <f t="shared" ca="1" si="162"/>
        <v/>
      </c>
      <c r="Q2333" s="493"/>
      <c r="R2333" s="502"/>
    </row>
    <row r="2334" spans="1:18" x14ac:dyDescent="0.3">
      <c r="A2334" s="487" t="b">
        <f t="shared" ca="1" si="154"/>
        <v>0</v>
      </c>
      <c r="B2334" s="487">
        <f t="shared" si="163"/>
        <v>66</v>
      </c>
      <c r="C2334" s="507" t="str">
        <f ca="1">IF(COUNTA($G$2194:G2333)=1,"",OFFSET(B2334,-COUNTA($G$2194:G2333)+1,1))</f>
        <v>a1N3p00000497WBEAY</v>
      </c>
      <c r="D2334" s="487" t="str">
        <f t="shared" ca="1" si="155"/>
        <v>INT-130914</v>
      </c>
      <c r="E2334" s="493"/>
      <c r="F2334" s="493" t="str">
        <f t="shared" ca="1" si="156"/>
        <v/>
      </c>
      <c r="G2334" s="510"/>
      <c r="H2334" s="488">
        <f t="shared" si="164"/>
        <v>58</v>
      </c>
      <c r="I2334" s="487" t="str">
        <f ca="1">IF(IFERROR(VLOOKUP(INDIRECT("'WPTM - Section F'!F"&amp;B2334),'Overview - Section A'!M$29:R178,6,0),IFERROR(VLOOKUP(INDIRECT("'WPTM - Section F'!F"&amp;B2334),'Overview - Section A'!E$26:J166,6,0),""))=0,"",IFERROR(VLOOKUP(INDIRECT("'WPTM - Section F'!F"&amp;B2334),'Overview - Section A'!M$29:R178,6,0),IFERROR(VLOOKUP(INDIRECT("'WPTM - Section F'!F"&amp;B2334),'Overview - Section A'!E$26:J166,6,0),"")))</f>
        <v/>
      </c>
      <c r="J2334" s="487" t="str">
        <f t="shared" ca="1" si="157"/>
        <v/>
      </c>
      <c r="K2334" s="493" t="str">
        <f t="shared" ca="1" si="158"/>
        <v/>
      </c>
      <c r="L2334" s="487" t="str">
        <f ca="1">IFERROR(INDEX('Reference Records'!F$329:F645,MATCH(INDIRECT("'WPTM - Section F'!AP"&amp;B2334)&amp;"|"&amp;INDIRECT("'WPTM - Section F'!C"&amp;$B2334),'Reference Records'!G$329:G645,0)),"")</f>
        <v/>
      </c>
      <c r="M2334" s="493" t="str">
        <f t="shared" ca="1" si="159"/>
        <v/>
      </c>
      <c r="N2334" s="493" t="str">
        <f t="shared" ca="1" si="160"/>
        <v/>
      </c>
      <c r="O2334" s="493" t="str">
        <f t="shared" ca="1" si="161"/>
        <v/>
      </c>
      <c r="P2334" s="493" t="str">
        <f t="shared" ca="1" si="162"/>
        <v/>
      </c>
      <c r="Q2334" s="493"/>
      <c r="R2334" s="502"/>
    </row>
    <row r="2335" spans="1:18" x14ac:dyDescent="0.3">
      <c r="A2335" s="487" t="b">
        <f t="shared" ca="1" si="154"/>
        <v>0</v>
      </c>
      <c r="B2335" s="487">
        <f t="shared" si="163"/>
        <v>67</v>
      </c>
      <c r="C2335" s="507" t="str">
        <f ca="1">IF(COUNTA($G$2194:G2334)=1,"",OFFSET(B2335,-COUNTA($G$2194:G2334)+1,1))</f>
        <v>a1N3p00000497WCEAY</v>
      </c>
      <c r="D2335" s="487" t="str">
        <f t="shared" ca="1" si="155"/>
        <v>INT-130914</v>
      </c>
      <c r="E2335" s="493"/>
      <c r="F2335" s="493" t="str">
        <f t="shared" ca="1" si="156"/>
        <v/>
      </c>
      <c r="G2335" s="510"/>
      <c r="H2335" s="488">
        <f t="shared" si="164"/>
        <v>59</v>
      </c>
      <c r="I2335" s="487" t="str">
        <f ca="1">IF(IFERROR(VLOOKUP(INDIRECT("'WPTM - Section F'!F"&amp;B2335),'Overview - Section A'!M$29:R179,6,0),IFERROR(VLOOKUP(INDIRECT("'WPTM - Section F'!F"&amp;B2335),'Overview - Section A'!E$26:J167,6,0),""))=0,"",IFERROR(VLOOKUP(INDIRECT("'WPTM - Section F'!F"&amp;B2335),'Overview - Section A'!M$29:R179,6,0),IFERROR(VLOOKUP(INDIRECT("'WPTM - Section F'!F"&amp;B2335),'Overview - Section A'!E$26:J167,6,0),"")))</f>
        <v/>
      </c>
      <c r="J2335" s="487" t="str">
        <f t="shared" ca="1" si="157"/>
        <v/>
      </c>
      <c r="K2335" s="493" t="str">
        <f t="shared" ca="1" si="158"/>
        <v/>
      </c>
      <c r="L2335" s="487" t="str">
        <f ca="1">IFERROR(INDEX('Reference Records'!F$329:F646,MATCH(INDIRECT("'WPTM - Section F'!AP"&amp;B2335)&amp;"|"&amp;INDIRECT("'WPTM - Section F'!C"&amp;$B2335),'Reference Records'!G$329:G646,0)),"")</f>
        <v/>
      </c>
      <c r="M2335" s="493" t="str">
        <f t="shared" ca="1" si="159"/>
        <v/>
      </c>
      <c r="N2335" s="493" t="str">
        <f t="shared" ca="1" si="160"/>
        <v/>
      </c>
      <c r="O2335" s="493" t="str">
        <f t="shared" ca="1" si="161"/>
        <v/>
      </c>
      <c r="P2335" s="493" t="str">
        <f t="shared" ca="1" si="162"/>
        <v/>
      </c>
      <c r="Q2335" s="493"/>
      <c r="R2335" s="502"/>
    </row>
    <row r="2336" spans="1:18" x14ac:dyDescent="0.3">
      <c r="A2336" s="487" t="b">
        <f t="shared" ca="1" si="154"/>
        <v>0</v>
      </c>
      <c r="B2336" s="487">
        <f t="shared" si="163"/>
        <v>68</v>
      </c>
      <c r="C2336" s="507" t="str">
        <f ca="1">IF(COUNTA($G$2194:G2335)=1,"",OFFSET(B2336,-COUNTA($G$2194:G2335)+1,1))</f>
        <v>a1N3p00000497WDEAY</v>
      </c>
      <c r="D2336" s="487" t="str">
        <f t="shared" ca="1" si="155"/>
        <v>INT-130914</v>
      </c>
      <c r="E2336" s="493"/>
      <c r="F2336" s="493" t="str">
        <f t="shared" ca="1" si="156"/>
        <v/>
      </c>
      <c r="G2336" s="510"/>
      <c r="H2336" s="488">
        <f t="shared" si="164"/>
        <v>60</v>
      </c>
      <c r="I2336" s="487" t="str">
        <f ca="1">IF(IFERROR(VLOOKUP(INDIRECT("'WPTM - Section F'!F"&amp;B2336),'Overview - Section A'!M$29:R180,6,0),IFERROR(VLOOKUP(INDIRECT("'WPTM - Section F'!F"&amp;B2336),'Overview - Section A'!E$26:J168,6,0),""))=0,"",IFERROR(VLOOKUP(INDIRECT("'WPTM - Section F'!F"&amp;B2336),'Overview - Section A'!M$29:R180,6,0),IFERROR(VLOOKUP(INDIRECT("'WPTM - Section F'!F"&amp;B2336),'Overview - Section A'!E$26:J168,6,0),"")))</f>
        <v/>
      </c>
      <c r="J2336" s="487" t="str">
        <f t="shared" ca="1" si="157"/>
        <v/>
      </c>
      <c r="K2336" s="493" t="str">
        <f t="shared" ca="1" si="158"/>
        <v/>
      </c>
      <c r="L2336" s="487" t="str">
        <f ca="1">IFERROR(INDEX('Reference Records'!F$329:F647,MATCH(INDIRECT("'WPTM - Section F'!AP"&amp;B2336)&amp;"|"&amp;INDIRECT("'WPTM - Section F'!C"&amp;$B2336),'Reference Records'!G$329:G647,0)),"")</f>
        <v/>
      </c>
      <c r="M2336" s="493" t="str">
        <f t="shared" ca="1" si="159"/>
        <v/>
      </c>
      <c r="N2336" s="493" t="str">
        <f t="shared" ca="1" si="160"/>
        <v/>
      </c>
      <c r="O2336" s="493" t="str">
        <f t="shared" ca="1" si="161"/>
        <v/>
      </c>
      <c r="P2336" s="493" t="str">
        <f t="shared" ca="1" si="162"/>
        <v/>
      </c>
      <c r="Q2336" s="493"/>
      <c r="R2336" s="502"/>
    </row>
    <row r="2337" spans="1:18" x14ac:dyDescent="0.3">
      <c r="A2337" s="487" t="b">
        <f t="shared" ca="1" si="154"/>
        <v>0</v>
      </c>
      <c r="B2337" s="487">
        <f t="shared" si="163"/>
        <v>69</v>
      </c>
      <c r="C2337" s="507" t="str">
        <f ca="1">IF(COUNTA($G$2194:G2336)=1,"",OFFSET(B2337,-COUNTA($G$2194:G2336)+1,1))</f>
        <v>a1N3p00000497WEEAY</v>
      </c>
      <c r="D2337" s="487" t="str">
        <f t="shared" ca="1" si="155"/>
        <v>INT-130914</v>
      </c>
      <c r="E2337" s="493"/>
      <c r="F2337" s="493" t="str">
        <f t="shared" ca="1" si="156"/>
        <v/>
      </c>
      <c r="G2337" s="510"/>
      <c r="H2337" s="488">
        <f t="shared" si="164"/>
        <v>61</v>
      </c>
      <c r="I2337" s="487" t="str">
        <f ca="1">IF(IFERROR(VLOOKUP(INDIRECT("'WPTM - Section F'!F"&amp;B2337),'Overview - Section A'!M$29:R181,6,0),IFERROR(VLOOKUP(INDIRECT("'WPTM - Section F'!F"&amp;B2337),'Overview - Section A'!E$26:J169,6,0),""))=0,"",IFERROR(VLOOKUP(INDIRECT("'WPTM - Section F'!F"&amp;B2337),'Overview - Section A'!M$29:R181,6,0),IFERROR(VLOOKUP(INDIRECT("'WPTM - Section F'!F"&amp;B2337),'Overview - Section A'!E$26:J169,6,0),"")))</f>
        <v/>
      </c>
      <c r="J2337" s="487" t="str">
        <f t="shared" ca="1" si="157"/>
        <v/>
      </c>
      <c r="K2337" s="493" t="str">
        <f t="shared" ca="1" si="158"/>
        <v/>
      </c>
      <c r="L2337" s="487" t="str">
        <f ca="1">IFERROR(INDEX('Reference Records'!F$329:F648,MATCH(INDIRECT("'WPTM - Section F'!AP"&amp;B2337)&amp;"|"&amp;INDIRECT("'WPTM - Section F'!C"&amp;$B2337),'Reference Records'!G$329:G648,0)),"")</f>
        <v/>
      </c>
      <c r="M2337" s="493" t="str">
        <f t="shared" ca="1" si="159"/>
        <v/>
      </c>
      <c r="N2337" s="493" t="str">
        <f t="shared" ca="1" si="160"/>
        <v/>
      </c>
      <c r="O2337" s="493" t="str">
        <f t="shared" ca="1" si="161"/>
        <v/>
      </c>
      <c r="P2337" s="493" t="str">
        <f t="shared" ca="1" si="162"/>
        <v/>
      </c>
      <c r="Q2337" s="493"/>
      <c r="R2337" s="502"/>
    </row>
    <row r="2338" spans="1:18" x14ac:dyDescent="0.3">
      <c r="A2338" s="487" t="b">
        <f t="shared" ca="1" si="154"/>
        <v>0</v>
      </c>
      <c r="B2338" s="487">
        <f t="shared" si="163"/>
        <v>70</v>
      </c>
      <c r="C2338" s="507" t="str">
        <f ca="1">IF(COUNTA($G$2194:G2337)=1,"",OFFSET(B2338,-COUNTA($G$2194:G2337)+1,1))</f>
        <v>a1N3p00000497WFEAY</v>
      </c>
      <c r="D2338" s="487" t="str">
        <f t="shared" ca="1" si="155"/>
        <v>INT-130914</v>
      </c>
      <c r="E2338" s="493"/>
      <c r="F2338" s="493" t="str">
        <f t="shared" ca="1" si="156"/>
        <v/>
      </c>
      <c r="G2338" s="510"/>
      <c r="H2338" s="488">
        <f t="shared" si="164"/>
        <v>62</v>
      </c>
      <c r="I2338" s="487" t="str">
        <f ca="1">IF(IFERROR(VLOOKUP(INDIRECT("'WPTM - Section F'!F"&amp;B2338),'Overview - Section A'!M$29:R182,6,0),IFERROR(VLOOKUP(INDIRECT("'WPTM - Section F'!F"&amp;B2338),'Overview - Section A'!E$26:J170,6,0),""))=0,"",IFERROR(VLOOKUP(INDIRECT("'WPTM - Section F'!F"&amp;B2338),'Overview - Section A'!M$29:R182,6,0),IFERROR(VLOOKUP(INDIRECT("'WPTM - Section F'!F"&amp;B2338),'Overview - Section A'!E$26:J170,6,0),"")))</f>
        <v/>
      </c>
      <c r="J2338" s="487" t="str">
        <f t="shared" ca="1" si="157"/>
        <v/>
      </c>
      <c r="K2338" s="493" t="str">
        <f t="shared" ca="1" si="158"/>
        <v/>
      </c>
      <c r="L2338" s="487" t="str">
        <f ca="1">IFERROR(INDEX('Reference Records'!F$329:F649,MATCH(INDIRECT("'WPTM - Section F'!AP"&amp;B2338)&amp;"|"&amp;INDIRECT("'WPTM - Section F'!C"&amp;$B2338),'Reference Records'!G$329:G649,0)),"")</f>
        <v/>
      </c>
      <c r="M2338" s="493" t="str">
        <f t="shared" ca="1" si="159"/>
        <v/>
      </c>
      <c r="N2338" s="493" t="str">
        <f t="shared" ca="1" si="160"/>
        <v/>
      </c>
      <c r="O2338" s="493" t="str">
        <f t="shared" ca="1" si="161"/>
        <v/>
      </c>
      <c r="P2338" s="493" t="str">
        <f t="shared" ca="1" si="162"/>
        <v/>
      </c>
      <c r="Q2338" s="493"/>
      <c r="R2338" s="502"/>
    </row>
    <row r="2339" spans="1:18" x14ac:dyDescent="0.3">
      <c r="A2339" s="487" t="b">
        <f t="shared" ca="1" si="154"/>
        <v>0</v>
      </c>
      <c r="B2339" s="487">
        <f t="shared" si="163"/>
        <v>71</v>
      </c>
      <c r="C2339" s="507" t="str">
        <f ca="1">IF(COUNTA($G$2194:G2338)=1,"",OFFSET(B2339,-COUNTA($G$2194:G2338)+1,1))</f>
        <v>a1N3p00000497WGEAY</v>
      </c>
      <c r="D2339" s="487" t="str">
        <f t="shared" ca="1" si="155"/>
        <v>INT-130914</v>
      </c>
      <c r="E2339" s="493"/>
      <c r="F2339" s="493" t="str">
        <f t="shared" ca="1" si="156"/>
        <v/>
      </c>
      <c r="G2339" s="510"/>
      <c r="H2339" s="488">
        <f t="shared" si="164"/>
        <v>63</v>
      </c>
      <c r="I2339" s="487" t="str">
        <f ca="1">IF(IFERROR(VLOOKUP(INDIRECT("'WPTM - Section F'!F"&amp;B2339),'Overview - Section A'!M$29:R183,6,0),IFERROR(VLOOKUP(INDIRECT("'WPTM - Section F'!F"&amp;B2339),'Overview - Section A'!E$26:J171,6,0),""))=0,"",IFERROR(VLOOKUP(INDIRECT("'WPTM - Section F'!F"&amp;B2339),'Overview - Section A'!M$29:R183,6,0),IFERROR(VLOOKUP(INDIRECT("'WPTM - Section F'!F"&amp;B2339),'Overview - Section A'!E$26:J171,6,0),"")))</f>
        <v/>
      </c>
      <c r="J2339" s="487" t="str">
        <f t="shared" ca="1" si="157"/>
        <v/>
      </c>
      <c r="K2339" s="493" t="str">
        <f t="shared" ca="1" si="158"/>
        <v/>
      </c>
      <c r="L2339" s="487" t="str">
        <f ca="1">IFERROR(INDEX('Reference Records'!F$329:F650,MATCH(INDIRECT("'WPTM - Section F'!AP"&amp;B2339)&amp;"|"&amp;INDIRECT("'WPTM - Section F'!C"&amp;$B2339),'Reference Records'!G$329:G650,0)),"")</f>
        <v/>
      </c>
      <c r="M2339" s="493" t="str">
        <f t="shared" ca="1" si="159"/>
        <v/>
      </c>
      <c r="N2339" s="493" t="str">
        <f t="shared" ca="1" si="160"/>
        <v/>
      </c>
      <c r="O2339" s="493" t="str">
        <f t="shared" ca="1" si="161"/>
        <v/>
      </c>
      <c r="P2339" s="493" t="str">
        <f t="shared" ca="1" si="162"/>
        <v/>
      </c>
      <c r="Q2339" s="493"/>
      <c r="R2339" s="502"/>
    </row>
    <row r="2340" spans="1:18" x14ac:dyDescent="0.3">
      <c r="A2340" s="487" t="b">
        <f t="shared" ca="1" si="154"/>
        <v>0</v>
      </c>
      <c r="B2340" s="487">
        <f t="shared" si="163"/>
        <v>72</v>
      </c>
      <c r="C2340" s="507" t="str">
        <f ca="1">IF(COUNTA($G$2194:G2339)=1,"",OFFSET(B2340,-COUNTA($G$2194:G2339)+1,1))</f>
        <v>a1N3p00000497WHEAY</v>
      </c>
      <c r="D2340" s="487" t="str">
        <f t="shared" ca="1" si="155"/>
        <v>INT-130914</v>
      </c>
      <c r="E2340" s="493"/>
      <c r="F2340" s="493" t="str">
        <f t="shared" ca="1" si="156"/>
        <v/>
      </c>
      <c r="G2340" s="510"/>
      <c r="H2340" s="488">
        <f t="shared" si="164"/>
        <v>64</v>
      </c>
      <c r="I2340" s="487" t="str">
        <f ca="1">IF(IFERROR(VLOOKUP(INDIRECT("'WPTM - Section F'!F"&amp;B2340),'Overview - Section A'!M$29:R184,6,0),IFERROR(VLOOKUP(INDIRECT("'WPTM - Section F'!F"&amp;B2340),'Overview - Section A'!E$26:J172,6,0),""))=0,"",IFERROR(VLOOKUP(INDIRECT("'WPTM - Section F'!F"&amp;B2340),'Overview - Section A'!M$29:R184,6,0),IFERROR(VLOOKUP(INDIRECT("'WPTM - Section F'!F"&amp;B2340),'Overview - Section A'!E$26:J172,6,0),"")))</f>
        <v/>
      </c>
      <c r="J2340" s="487" t="str">
        <f t="shared" ca="1" si="157"/>
        <v/>
      </c>
      <c r="K2340" s="493" t="str">
        <f t="shared" ca="1" si="158"/>
        <v/>
      </c>
      <c r="L2340" s="487" t="str">
        <f ca="1">IFERROR(INDEX('Reference Records'!F$329:F651,MATCH(INDIRECT("'WPTM - Section F'!AP"&amp;B2340)&amp;"|"&amp;INDIRECT("'WPTM - Section F'!C"&amp;$B2340),'Reference Records'!G$329:G651,0)),"")</f>
        <v/>
      </c>
      <c r="M2340" s="493" t="str">
        <f t="shared" ca="1" si="159"/>
        <v/>
      </c>
      <c r="N2340" s="493" t="str">
        <f t="shared" ca="1" si="160"/>
        <v/>
      </c>
      <c r="O2340" s="493" t="str">
        <f t="shared" ca="1" si="161"/>
        <v/>
      </c>
      <c r="P2340" s="493" t="str">
        <f t="shared" ca="1" si="162"/>
        <v/>
      </c>
      <c r="Q2340" s="493"/>
      <c r="R2340" s="502"/>
    </row>
    <row r="2341" spans="1:18" x14ac:dyDescent="0.3">
      <c r="A2341" s="487" t="b">
        <f t="shared" ref="A2341:A2356" ca="1" si="165">IF(AND(D2341&lt;&gt;"",M2341&lt;&gt;""),TRUE,FALSE)</f>
        <v>0</v>
      </c>
      <c r="B2341" s="487">
        <f t="shared" si="163"/>
        <v>73</v>
      </c>
      <c r="C2341" s="507" t="str">
        <f ca="1">IF(COUNTA($G$2194:G2340)=1,"",OFFSET(B2341,-COUNTA($G$2194:G2340)+1,1))</f>
        <v>a1N3p00000497WIEAY</v>
      </c>
      <c r="D2341" s="487" t="str">
        <f t="shared" ref="D2341:D2356" ca="1" si="166">IFERROR(IF(INDIRECT("'WPTM - Section F'!AT"&amp;$B2341)=0,"",INDIRECT("'WPTM - Section F'!AT"&amp;$B2341)),"")</f>
        <v>INT-130914</v>
      </c>
      <c r="E2341" s="493"/>
      <c r="F2341" s="493" t="str">
        <f t="shared" ref="F2341:F2356" ca="1" si="167">IFERROR(IF(INDIRECT("'WPTM - Section F'!AU"&amp;$B2341)=0,"",INDIRECT("'WPTM - Section F'!AU"&amp;$B2341)),"")</f>
        <v/>
      </c>
      <c r="G2341" s="510"/>
      <c r="H2341" s="488">
        <f t="shared" si="164"/>
        <v>65</v>
      </c>
      <c r="I2341" s="487" t="str">
        <f ca="1">IF(IFERROR(VLOOKUP(INDIRECT("'WPTM - Section F'!F"&amp;B2341),'Overview - Section A'!M$29:R185,6,0),IFERROR(VLOOKUP(INDIRECT("'WPTM - Section F'!F"&amp;B2341),'Overview - Section A'!E$26:J173,6,0),""))=0,"",IFERROR(VLOOKUP(INDIRECT("'WPTM - Section F'!F"&amp;B2341),'Overview - Section A'!M$29:R185,6,0),IFERROR(VLOOKUP(INDIRECT("'WPTM - Section F'!F"&amp;B2341),'Overview - Section A'!E$26:J173,6,0),"")))</f>
        <v/>
      </c>
      <c r="J2341" s="487" t="str">
        <f t="shared" ref="J2341:J2356" ca="1" si="168">IFERROR(IF(INDIRECT("'WPTM - Section F'!G"&amp;$B2341)=0,"",INDIRECT("'WPTM - Section F'!G"&amp;$B2341)),"")</f>
        <v/>
      </c>
      <c r="K2341" s="493" t="str">
        <f t="shared" ref="K2341:K2356" ca="1" si="169">IFERROR(IF(INDIRECT("'WPTM - Section F'!BF"&amp;$B2341)=0,"",INDIRECT("'WPTM - Section F'!BF"&amp;$B2341)),"")</f>
        <v/>
      </c>
      <c r="L2341" s="487" t="str">
        <f ca="1">IFERROR(INDEX('Reference Records'!F$329:F652,MATCH(INDIRECT("'WPTM - Section F'!AP"&amp;B2341)&amp;"|"&amp;INDIRECT("'WPTM - Section F'!C"&amp;$B2341),'Reference Records'!G$329:G652,0)),"")</f>
        <v/>
      </c>
      <c r="M2341" s="493" t="str">
        <f t="shared" ref="M2341:M2356" ca="1" si="170">IFERROR(IF(INDIRECT("'WPTM - Section F'!E"&amp;$B2341)=0,"",INDIRECT("'WPTM - Section F'!E"&amp;$B2341)),"")</f>
        <v/>
      </c>
      <c r="N2341" s="493" t="str">
        <f t="shared" ref="N2341:N2356" ca="1" si="171">IFERROR(IF(INDIRECT("'WPTM - Section F'!AV"&amp;$B2341)=0,"",INDIRECT("'WPTM - Section F'!AV"&amp;$B2341)),"")</f>
        <v/>
      </c>
      <c r="O2341" s="493" t="str">
        <f t="shared" ref="O2341:O2356" ca="1" si="172">IFERROR(IF(INDIRECT("'WPTM - Section F'!AN"&amp;$B2341)=0,"",INDIRECT("'WPTM - Section F'!AN"&amp;$B2341)),"")</f>
        <v/>
      </c>
      <c r="P2341" s="493" t="str">
        <f t="shared" ref="P2341:P2356" ca="1" si="173">IFERROR(IF(INDIRECT("'WPTM - Section F'!BE"&amp;$B2341)=0,"",INDIRECT("'WPTM - Section F'!BE"&amp;$B2341)),"")</f>
        <v/>
      </c>
      <c r="Q2341" s="493"/>
      <c r="R2341" s="502"/>
    </row>
    <row r="2342" spans="1:18" x14ac:dyDescent="0.3">
      <c r="A2342" s="487" t="b">
        <f t="shared" ca="1" si="165"/>
        <v>0</v>
      </c>
      <c r="B2342" s="487">
        <f t="shared" si="163"/>
        <v>74</v>
      </c>
      <c r="C2342" s="507" t="str">
        <f ca="1">IF(COUNTA($G$2194:G2341)=1,"",OFFSET(B2342,-COUNTA($G$2194:G2341)+1,1))</f>
        <v>a1N3p00000497WJEAY</v>
      </c>
      <c r="D2342" s="487" t="str">
        <f t="shared" ca="1" si="166"/>
        <v>INT-130914</v>
      </c>
      <c r="E2342" s="493"/>
      <c r="F2342" s="493" t="str">
        <f t="shared" ca="1" si="167"/>
        <v/>
      </c>
      <c r="G2342" s="510"/>
      <c r="H2342" s="488">
        <f t="shared" si="164"/>
        <v>66</v>
      </c>
      <c r="I2342" s="487" t="str">
        <f ca="1">IF(IFERROR(VLOOKUP(INDIRECT("'WPTM - Section F'!F"&amp;B2342),'Overview - Section A'!M$29:R186,6,0),IFERROR(VLOOKUP(INDIRECT("'WPTM - Section F'!F"&amp;B2342),'Overview - Section A'!E$26:J174,6,0),""))=0,"",IFERROR(VLOOKUP(INDIRECT("'WPTM - Section F'!F"&amp;B2342),'Overview - Section A'!M$29:R186,6,0),IFERROR(VLOOKUP(INDIRECT("'WPTM - Section F'!F"&amp;B2342),'Overview - Section A'!E$26:J174,6,0),"")))</f>
        <v/>
      </c>
      <c r="J2342" s="487" t="str">
        <f t="shared" ca="1" si="168"/>
        <v/>
      </c>
      <c r="K2342" s="493" t="str">
        <f t="shared" ca="1" si="169"/>
        <v/>
      </c>
      <c r="L2342" s="487" t="str">
        <f ca="1">IFERROR(INDEX('Reference Records'!F$329:F653,MATCH(INDIRECT("'WPTM - Section F'!AP"&amp;B2342)&amp;"|"&amp;INDIRECT("'WPTM - Section F'!C"&amp;$B2342),'Reference Records'!G$329:G653,0)),"")</f>
        <v/>
      </c>
      <c r="M2342" s="493" t="str">
        <f t="shared" ca="1" si="170"/>
        <v/>
      </c>
      <c r="N2342" s="493" t="str">
        <f t="shared" ca="1" si="171"/>
        <v/>
      </c>
      <c r="O2342" s="493" t="str">
        <f t="shared" ca="1" si="172"/>
        <v/>
      </c>
      <c r="P2342" s="493" t="str">
        <f t="shared" ca="1" si="173"/>
        <v/>
      </c>
      <c r="Q2342" s="493"/>
      <c r="R2342" s="502"/>
    </row>
    <row r="2343" spans="1:18" x14ac:dyDescent="0.3">
      <c r="A2343" s="487" t="b">
        <f t="shared" ca="1" si="165"/>
        <v>0</v>
      </c>
      <c r="B2343" s="487">
        <f t="shared" si="163"/>
        <v>75</v>
      </c>
      <c r="C2343" s="507" t="str">
        <f ca="1">IF(COUNTA($G$2194:G2342)=1,"",OFFSET(B2343,-COUNTA($G$2194:G2342)+1,1))</f>
        <v>a1N3p00000497WKEAY</v>
      </c>
      <c r="D2343" s="487" t="str">
        <f t="shared" ca="1" si="166"/>
        <v>INT-130914</v>
      </c>
      <c r="E2343" s="493"/>
      <c r="F2343" s="493" t="str">
        <f t="shared" ca="1" si="167"/>
        <v/>
      </c>
      <c r="G2343" s="510"/>
      <c r="H2343" s="488">
        <f t="shared" si="164"/>
        <v>67</v>
      </c>
      <c r="I2343" s="487" t="str">
        <f ca="1">IF(IFERROR(VLOOKUP(INDIRECT("'WPTM - Section F'!F"&amp;B2343),'Overview - Section A'!M$29:R187,6,0),IFERROR(VLOOKUP(INDIRECT("'WPTM - Section F'!F"&amp;B2343),'Overview - Section A'!E$26:J175,6,0),""))=0,"",IFERROR(VLOOKUP(INDIRECT("'WPTM - Section F'!F"&amp;B2343),'Overview - Section A'!M$29:R187,6,0),IFERROR(VLOOKUP(INDIRECT("'WPTM - Section F'!F"&amp;B2343),'Overview - Section A'!E$26:J175,6,0),"")))</f>
        <v/>
      </c>
      <c r="J2343" s="487" t="str">
        <f t="shared" ca="1" si="168"/>
        <v/>
      </c>
      <c r="K2343" s="493" t="str">
        <f t="shared" ca="1" si="169"/>
        <v/>
      </c>
      <c r="L2343" s="487" t="str">
        <f ca="1">IFERROR(INDEX('Reference Records'!F$329:F654,MATCH(INDIRECT("'WPTM - Section F'!AP"&amp;B2343)&amp;"|"&amp;INDIRECT("'WPTM - Section F'!C"&amp;$B2343),'Reference Records'!G$329:G654,0)),"")</f>
        <v/>
      </c>
      <c r="M2343" s="493" t="str">
        <f t="shared" ca="1" si="170"/>
        <v/>
      </c>
      <c r="N2343" s="493" t="str">
        <f t="shared" ca="1" si="171"/>
        <v/>
      </c>
      <c r="O2343" s="493" t="str">
        <f t="shared" ca="1" si="172"/>
        <v/>
      </c>
      <c r="P2343" s="493" t="str">
        <f t="shared" ca="1" si="173"/>
        <v/>
      </c>
      <c r="Q2343" s="493"/>
      <c r="R2343" s="502"/>
    </row>
    <row r="2344" spans="1:18" x14ac:dyDescent="0.3">
      <c r="A2344" s="487" t="b">
        <f t="shared" ca="1" si="165"/>
        <v>0</v>
      </c>
      <c r="B2344" s="487">
        <f t="shared" si="163"/>
        <v>76</v>
      </c>
      <c r="C2344" s="507" t="str">
        <f ca="1">IF(COUNTA($G$2194:G2343)=1,"",OFFSET(B2344,-COUNTA($G$2194:G2343)+1,1))</f>
        <v>a1N3p00000497WLEAY</v>
      </c>
      <c r="D2344" s="487" t="str">
        <f t="shared" ca="1" si="166"/>
        <v>INT-130914</v>
      </c>
      <c r="E2344" s="493"/>
      <c r="F2344" s="493" t="str">
        <f t="shared" ca="1" si="167"/>
        <v/>
      </c>
      <c r="G2344" s="510"/>
      <c r="H2344" s="488">
        <f t="shared" si="164"/>
        <v>68</v>
      </c>
      <c r="I2344" s="487" t="str">
        <f ca="1">IF(IFERROR(VLOOKUP(INDIRECT("'WPTM - Section F'!F"&amp;B2344),'Overview - Section A'!M$29:R188,6,0),IFERROR(VLOOKUP(INDIRECT("'WPTM - Section F'!F"&amp;B2344),'Overview - Section A'!E$26:J176,6,0),""))=0,"",IFERROR(VLOOKUP(INDIRECT("'WPTM - Section F'!F"&amp;B2344),'Overview - Section A'!M$29:R188,6,0),IFERROR(VLOOKUP(INDIRECT("'WPTM - Section F'!F"&amp;B2344),'Overview - Section A'!E$26:J176,6,0),"")))</f>
        <v/>
      </c>
      <c r="J2344" s="487" t="str">
        <f t="shared" ca="1" si="168"/>
        <v/>
      </c>
      <c r="K2344" s="493" t="str">
        <f t="shared" ca="1" si="169"/>
        <v/>
      </c>
      <c r="L2344" s="487" t="str">
        <f ca="1">IFERROR(INDEX('Reference Records'!F$329:F655,MATCH(INDIRECT("'WPTM - Section F'!AP"&amp;B2344)&amp;"|"&amp;INDIRECT("'WPTM - Section F'!C"&amp;$B2344),'Reference Records'!G$329:G655,0)),"")</f>
        <v/>
      </c>
      <c r="M2344" s="493" t="str">
        <f t="shared" ca="1" si="170"/>
        <v/>
      </c>
      <c r="N2344" s="493" t="str">
        <f t="shared" ca="1" si="171"/>
        <v/>
      </c>
      <c r="O2344" s="493" t="str">
        <f t="shared" ca="1" si="172"/>
        <v/>
      </c>
      <c r="P2344" s="493" t="str">
        <f t="shared" ca="1" si="173"/>
        <v/>
      </c>
      <c r="Q2344" s="493"/>
      <c r="R2344" s="502"/>
    </row>
    <row r="2345" spans="1:18" x14ac:dyDescent="0.3">
      <c r="A2345" s="487" t="b">
        <f t="shared" ca="1" si="165"/>
        <v>0</v>
      </c>
      <c r="B2345" s="487">
        <f t="shared" si="163"/>
        <v>77</v>
      </c>
      <c r="C2345" s="507" t="str">
        <f ca="1">IF(COUNTA($G$2194:G2344)=1,"",OFFSET(B2345,-COUNTA($G$2194:G2344)+1,1))</f>
        <v>a1N3p00000497WMEAY</v>
      </c>
      <c r="D2345" s="487" t="str">
        <f t="shared" ca="1" si="166"/>
        <v>INT-130914</v>
      </c>
      <c r="E2345" s="493"/>
      <c r="F2345" s="493" t="str">
        <f t="shared" ca="1" si="167"/>
        <v/>
      </c>
      <c r="G2345" s="510"/>
      <c r="H2345" s="488">
        <f t="shared" si="164"/>
        <v>69</v>
      </c>
      <c r="I2345" s="487" t="str">
        <f ca="1">IF(IFERROR(VLOOKUP(INDIRECT("'WPTM - Section F'!F"&amp;B2345),'Overview - Section A'!M$29:R189,6,0),IFERROR(VLOOKUP(INDIRECT("'WPTM - Section F'!F"&amp;B2345),'Overview - Section A'!E$26:J177,6,0),""))=0,"",IFERROR(VLOOKUP(INDIRECT("'WPTM - Section F'!F"&amp;B2345),'Overview - Section A'!M$29:R189,6,0),IFERROR(VLOOKUP(INDIRECT("'WPTM - Section F'!F"&amp;B2345),'Overview - Section A'!E$26:J177,6,0),"")))</f>
        <v/>
      </c>
      <c r="J2345" s="487" t="str">
        <f t="shared" ca="1" si="168"/>
        <v/>
      </c>
      <c r="K2345" s="493" t="str">
        <f t="shared" ca="1" si="169"/>
        <v/>
      </c>
      <c r="L2345" s="487" t="str">
        <f ca="1">IFERROR(INDEX('Reference Records'!F$329:F656,MATCH(INDIRECT("'WPTM - Section F'!AP"&amp;B2345)&amp;"|"&amp;INDIRECT("'WPTM - Section F'!C"&amp;$B2345),'Reference Records'!G$329:G656,0)),"")</f>
        <v/>
      </c>
      <c r="M2345" s="493" t="str">
        <f t="shared" ca="1" si="170"/>
        <v/>
      </c>
      <c r="N2345" s="493" t="str">
        <f t="shared" ca="1" si="171"/>
        <v/>
      </c>
      <c r="O2345" s="493" t="str">
        <f t="shared" ca="1" si="172"/>
        <v/>
      </c>
      <c r="P2345" s="493" t="str">
        <f t="shared" ca="1" si="173"/>
        <v/>
      </c>
      <c r="Q2345" s="493"/>
      <c r="R2345" s="502"/>
    </row>
    <row r="2346" spans="1:18" x14ac:dyDescent="0.3">
      <c r="A2346" s="487" t="b">
        <f t="shared" ca="1" si="165"/>
        <v>0</v>
      </c>
      <c r="B2346" s="487">
        <f t="shared" si="163"/>
        <v>78</v>
      </c>
      <c r="C2346" s="507" t="str">
        <f ca="1">IF(COUNTA($G$2194:G2345)=1,"",OFFSET(B2346,-COUNTA($G$2194:G2345)+1,1))</f>
        <v>a1N3p00000497WNEAY</v>
      </c>
      <c r="D2346" s="487" t="str">
        <f t="shared" ca="1" si="166"/>
        <v>INT-130914</v>
      </c>
      <c r="E2346" s="493"/>
      <c r="F2346" s="493" t="str">
        <f t="shared" ca="1" si="167"/>
        <v/>
      </c>
      <c r="G2346" s="510"/>
      <c r="H2346" s="488">
        <f t="shared" si="164"/>
        <v>70</v>
      </c>
      <c r="I2346" s="487" t="str">
        <f ca="1">IF(IFERROR(VLOOKUP(INDIRECT("'WPTM - Section F'!F"&amp;B2346),'Overview - Section A'!M$29:R190,6,0),IFERROR(VLOOKUP(INDIRECT("'WPTM - Section F'!F"&amp;B2346),'Overview - Section A'!E$26:J178,6,0),""))=0,"",IFERROR(VLOOKUP(INDIRECT("'WPTM - Section F'!F"&amp;B2346),'Overview - Section A'!M$29:R190,6,0),IFERROR(VLOOKUP(INDIRECT("'WPTM - Section F'!F"&amp;B2346),'Overview - Section A'!E$26:J178,6,0),"")))</f>
        <v/>
      </c>
      <c r="J2346" s="487" t="str">
        <f t="shared" ca="1" si="168"/>
        <v/>
      </c>
      <c r="K2346" s="493" t="str">
        <f t="shared" ca="1" si="169"/>
        <v/>
      </c>
      <c r="L2346" s="487" t="str">
        <f ca="1">IFERROR(INDEX('Reference Records'!F$329:F657,MATCH(INDIRECT("'WPTM - Section F'!AP"&amp;B2346)&amp;"|"&amp;INDIRECT("'WPTM - Section F'!C"&amp;$B2346),'Reference Records'!G$329:G657,0)),"")</f>
        <v/>
      </c>
      <c r="M2346" s="493" t="str">
        <f t="shared" ca="1" si="170"/>
        <v/>
      </c>
      <c r="N2346" s="493" t="str">
        <f t="shared" ca="1" si="171"/>
        <v/>
      </c>
      <c r="O2346" s="493" t="str">
        <f t="shared" ca="1" si="172"/>
        <v/>
      </c>
      <c r="P2346" s="493" t="str">
        <f t="shared" ca="1" si="173"/>
        <v/>
      </c>
      <c r="Q2346" s="493"/>
      <c r="R2346" s="502"/>
    </row>
    <row r="2347" spans="1:18" x14ac:dyDescent="0.3">
      <c r="A2347" s="487" t="b">
        <f t="shared" ca="1" si="165"/>
        <v>0</v>
      </c>
      <c r="B2347" s="487">
        <f t="shared" si="163"/>
        <v>79</v>
      </c>
      <c r="C2347" s="507" t="str">
        <f ca="1">IF(COUNTA($G$2194:G2346)=1,"",OFFSET(B2347,-COUNTA($G$2194:G2346)+1,1))</f>
        <v>a1N3p00000497WOEAY</v>
      </c>
      <c r="D2347" s="487" t="str">
        <f t="shared" ca="1" si="166"/>
        <v>INT-130914</v>
      </c>
      <c r="E2347" s="493"/>
      <c r="F2347" s="493" t="str">
        <f t="shared" ca="1" si="167"/>
        <v/>
      </c>
      <c r="G2347" s="510"/>
      <c r="H2347" s="488">
        <f t="shared" si="164"/>
        <v>71</v>
      </c>
      <c r="I2347" s="487" t="str">
        <f ca="1">IF(IFERROR(VLOOKUP(INDIRECT("'WPTM - Section F'!F"&amp;B2347),'Overview - Section A'!M$29:R191,6,0),IFERROR(VLOOKUP(INDIRECT("'WPTM - Section F'!F"&amp;B2347),'Overview - Section A'!E$26:J179,6,0),""))=0,"",IFERROR(VLOOKUP(INDIRECT("'WPTM - Section F'!F"&amp;B2347),'Overview - Section A'!M$29:R191,6,0),IFERROR(VLOOKUP(INDIRECT("'WPTM - Section F'!F"&amp;B2347),'Overview - Section A'!E$26:J179,6,0),"")))</f>
        <v/>
      </c>
      <c r="J2347" s="487" t="str">
        <f t="shared" ca="1" si="168"/>
        <v/>
      </c>
      <c r="K2347" s="493" t="str">
        <f t="shared" ca="1" si="169"/>
        <v/>
      </c>
      <c r="L2347" s="487" t="str">
        <f ca="1">IFERROR(INDEX('Reference Records'!F$329:F658,MATCH(INDIRECT("'WPTM - Section F'!AP"&amp;B2347)&amp;"|"&amp;INDIRECT("'WPTM - Section F'!C"&amp;$B2347),'Reference Records'!G$329:G658,0)),"")</f>
        <v/>
      </c>
      <c r="M2347" s="493" t="str">
        <f t="shared" ca="1" si="170"/>
        <v/>
      </c>
      <c r="N2347" s="493" t="str">
        <f t="shared" ca="1" si="171"/>
        <v/>
      </c>
      <c r="O2347" s="493" t="str">
        <f t="shared" ca="1" si="172"/>
        <v/>
      </c>
      <c r="P2347" s="493" t="str">
        <f t="shared" ca="1" si="173"/>
        <v/>
      </c>
      <c r="Q2347" s="493"/>
      <c r="R2347" s="502"/>
    </row>
    <row r="2348" spans="1:18" x14ac:dyDescent="0.3">
      <c r="A2348" s="487" t="b">
        <f t="shared" ca="1" si="165"/>
        <v>0</v>
      </c>
      <c r="B2348" s="487">
        <f t="shared" si="163"/>
        <v>80</v>
      </c>
      <c r="C2348" s="507" t="str">
        <f ca="1">IF(COUNTA($G$2194:G2347)=1,"",OFFSET(B2348,-COUNTA($G$2194:G2347)+1,1))</f>
        <v>a1N3p00000497WPEAY</v>
      </c>
      <c r="D2348" s="487" t="str">
        <f t="shared" ca="1" si="166"/>
        <v>INT-130914</v>
      </c>
      <c r="E2348" s="493"/>
      <c r="F2348" s="493" t="str">
        <f t="shared" ca="1" si="167"/>
        <v/>
      </c>
      <c r="G2348" s="510"/>
      <c r="H2348" s="488">
        <f t="shared" si="164"/>
        <v>72</v>
      </c>
      <c r="I2348" s="487" t="str">
        <f ca="1">IF(IFERROR(VLOOKUP(INDIRECT("'WPTM - Section F'!F"&amp;B2348),'Overview - Section A'!M$29:R192,6,0),IFERROR(VLOOKUP(INDIRECT("'WPTM - Section F'!F"&amp;B2348),'Overview - Section A'!E$26:J180,6,0),""))=0,"",IFERROR(VLOOKUP(INDIRECT("'WPTM - Section F'!F"&amp;B2348),'Overview - Section A'!M$29:R192,6,0),IFERROR(VLOOKUP(INDIRECT("'WPTM - Section F'!F"&amp;B2348),'Overview - Section A'!E$26:J180,6,0),"")))</f>
        <v/>
      </c>
      <c r="J2348" s="487" t="str">
        <f t="shared" ca="1" si="168"/>
        <v/>
      </c>
      <c r="K2348" s="493" t="str">
        <f t="shared" ca="1" si="169"/>
        <v/>
      </c>
      <c r="L2348" s="487" t="str">
        <f ca="1">IFERROR(INDEX('Reference Records'!F$329:F659,MATCH(INDIRECT("'WPTM - Section F'!AP"&amp;B2348)&amp;"|"&amp;INDIRECT("'WPTM - Section F'!C"&amp;$B2348),'Reference Records'!G$329:G659,0)),"")</f>
        <v/>
      </c>
      <c r="M2348" s="493" t="str">
        <f t="shared" ca="1" si="170"/>
        <v/>
      </c>
      <c r="N2348" s="493" t="str">
        <f t="shared" ca="1" si="171"/>
        <v/>
      </c>
      <c r="O2348" s="493" t="str">
        <f t="shared" ca="1" si="172"/>
        <v/>
      </c>
      <c r="P2348" s="493" t="str">
        <f t="shared" ca="1" si="173"/>
        <v/>
      </c>
      <c r="Q2348" s="493"/>
      <c r="R2348" s="502"/>
    </row>
    <row r="2349" spans="1:18" x14ac:dyDescent="0.3">
      <c r="A2349" s="487" t="b">
        <f t="shared" ca="1" si="165"/>
        <v>0</v>
      </c>
      <c r="B2349" s="487">
        <f t="shared" si="163"/>
        <v>81</v>
      </c>
      <c r="C2349" s="507" t="str">
        <f ca="1">IF(COUNTA($G$2194:G2348)=1,"",OFFSET(B2349,-COUNTA($G$2194:G2348)+1,1))</f>
        <v>a1N3p00000497WQEAY</v>
      </c>
      <c r="D2349" s="487" t="str">
        <f t="shared" ca="1" si="166"/>
        <v>INT-130914</v>
      </c>
      <c r="E2349" s="493"/>
      <c r="F2349" s="493" t="str">
        <f t="shared" ca="1" si="167"/>
        <v/>
      </c>
      <c r="G2349" s="510"/>
      <c r="H2349" s="488">
        <f t="shared" si="164"/>
        <v>73</v>
      </c>
      <c r="I2349" s="487" t="str">
        <f ca="1">IF(IFERROR(VLOOKUP(INDIRECT("'WPTM - Section F'!F"&amp;B2349),'Overview - Section A'!M$29:R193,6,0),IFERROR(VLOOKUP(INDIRECT("'WPTM - Section F'!F"&amp;B2349),'Overview - Section A'!E$26:J181,6,0),""))=0,"",IFERROR(VLOOKUP(INDIRECT("'WPTM - Section F'!F"&amp;B2349),'Overview - Section A'!M$29:R193,6,0),IFERROR(VLOOKUP(INDIRECT("'WPTM - Section F'!F"&amp;B2349),'Overview - Section A'!E$26:J181,6,0),"")))</f>
        <v/>
      </c>
      <c r="J2349" s="487" t="str">
        <f t="shared" ca="1" si="168"/>
        <v/>
      </c>
      <c r="K2349" s="493" t="str">
        <f t="shared" ca="1" si="169"/>
        <v/>
      </c>
      <c r="L2349" s="487" t="str">
        <f ca="1">IFERROR(INDEX('Reference Records'!F$329:F660,MATCH(INDIRECT("'WPTM - Section F'!AP"&amp;B2349)&amp;"|"&amp;INDIRECT("'WPTM - Section F'!C"&amp;$B2349),'Reference Records'!G$329:G660,0)),"")</f>
        <v/>
      </c>
      <c r="M2349" s="493" t="str">
        <f t="shared" ca="1" si="170"/>
        <v/>
      </c>
      <c r="N2349" s="493" t="str">
        <f t="shared" ca="1" si="171"/>
        <v/>
      </c>
      <c r="O2349" s="493" t="str">
        <f t="shared" ca="1" si="172"/>
        <v/>
      </c>
      <c r="P2349" s="493" t="str">
        <f t="shared" ca="1" si="173"/>
        <v/>
      </c>
      <c r="Q2349" s="493"/>
      <c r="R2349" s="502"/>
    </row>
    <row r="2350" spans="1:18" x14ac:dyDescent="0.3">
      <c r="A2350" s="487" t="b">
        <f t="shared" ca="1" si="165"/>
        <v>0</v>
      </c>
      <c r="B2350" s="487">
        <f t="shared" si="163"/>
        <v>82</v>
      </c>
      <c r="C2350" s="507" t="str">
        <f ca="1">IF(COUNTA($G$2194:G2349)=1,"",OFFSET(B2350,-COUNTA($G$2194:G2349)+1,1))</f>
        <v>a1N3p00000497WREAY</v>
      </c>
      <c r="D2350" s="487" t="str">
        <f t="shared" ca="1" si="166"/>
        <v>INT-130914</v>
      </c>
      <c r="E2350" s="493"/>
      <c r="F2350" s="493" t="str">
        <f t="shared" ca="1" si="167"/>
        <v/>
      </c>
      <c r="G2350" s="510"/>
      <c r="H2350" s="488">
        <f t="shared" si="164"/>
        <v>74</v>
      </c>
      <c r="I2350" s="487" t="str">
        <f ca="1">IF(IFERROR(VLOOKUP(INDIRECT("'WPTM - Section F'!F"&amp;B2350),'Overview - Section A'!M$29:R194,6,0),IFERROR(VLOOKUP(INDIRECT("'WPTM - Section F'!F"&amp;B2350),'Overview - Section A'!E$26:J182,6,0),""))=0,"",IFERROR(VLOOKUP(INDIRECT("'WPTM - Section F'!F"&amp;B2350),'Overview - Section A'!M$29:R194,6,0),IFERROR(VLOOKUP(INDIRECT("'WPTM - Section F'!F"&amp;B2350),'Overview - Section A'!E$26:J182,6,0),"")))</f>
        <v/>
      </c>
      <c r="J2350" s="487" t="str">
        <f t="shared" ca="1" si="168"/>
        <v/>
      </c>
      <c r="K2350" s="493" t="str">
        <f t="shared" ca="1" si="169"/>
        <v/>
      </c>
      <c r="L2350" s="487" t="str">
        <f ca="1">IFERROR(INDEX('Reference Records'!F$329:F661,MATCH(INDIRECT("'WPTM - Section F'!AP"&amp;B2350)&amp;"|"&amp;INDIRECT("'WPTM - Section F'!C"&amp;$B2350),'Reference Records'!G$329:G661,0)),"")</f>
        <v/>
      </c>
      <c r="M2350" s="493" t="str">
        <f t="shared" ca="1" si="170"/>
        <v/>
      </c>
      <c r="N2350" s="493" t="str">
        <f t="shared" ca="1" si="171"/>
        <v/>
      </c>
      <c r="O2350" s="493" t="str">
        <f t="shared" ca="1" si="172"/>
        <v/>
      </c>
      <c r="P2350" s="493" t="str">
        <f t="shared" ca="1" si="173"/>
        <v/>
      </c>
      <c r="Q2350" s="493"/>
      <c r="R2350" s="502"/>
    </row>
    <row r="2351" spans="1:18" x14ac:dyDescent="0.3">
      <c r="A2351" s="487" t="b">
        <f t="shared" ca="1" si="165"/>
        <v>0</v>
      </c>
      <c r="B2351" s="487">
        <f t="shared" si="163"/>
        <v>83</v>
      </c>
      <c r="C2351" s="507" t="str">
        <f ca="1">IF(COUNTA($G$2194:G2350)=1,"",OFFSET(B2351,-COUNTA($G$2194:G2350)+1,1))</f>
        <v>a1N3p00000497WSEAY</v>
      </c>
      <c r="D2351" s="487" t="str">
        <f t="shared" ca="1" si="166"/>
        <v>INT-130914</v>
      </c>
      <c r="E2351" s="493"/>
      <c r="F2351" s="493" t="str">
        <f t="shared" ca="1" si="167"/>
        <v/>
      </c>
      <c r="G2351" s="510"/>
      <c r="H2351" s="488">
        <f t="shared" si="164"/>
        <v>75</v>
      </c>
      <c r="I2351" s="487" t="str">
        <f ca="1">IF(IFERROR(VLOOKUP(INDIRECT("'WPTM - Section F'!F"&amp;B2351),'Overview - Section A'!M$29:R195,6,0),IFERROR(VLOOKUP(INDIRECT("'WPTM - Section F'!F"&amp;B2351),'Overview - Section A'!E$26:J183,6,0),""))=0,"",IFERROR(VLOOKUP(INDIRECT("'WPTM - Section F'!F"&amp;B2351),'Overview - Section A'!M$29:R195,6,0),IFERROR(VLOOKUP(INDIRECT("'WPTM - Section F'!F"&amp;B2351),'Overview - Section A'!E$26:J183,6,0),"")))</f>
        <v/>
      </c>
      <c r="J2351" s="487" t="str">
        <f t="shared" ca="1" si="168"/>
        <v/>
      </c>
      <c r="K2351" s="493" t="str">
        <f t="shared" ca="1" si="169"/>
        <v/>
      </c>
      <c r="L2351" s="487" t="str">
        <f ca="1">IFERROR(INDEX('Reference Records'!F$329:F662,MATCH(INDIRECT("'WPTM - Section F'!AP"&amp;B2351)&amp;"|"&amp;INDIRECT("'WPTM - Section F'!C"&amp;$B2351),'Reference Records'!G$329:G662,0)),"")</f>
        <v/>
      </c>
      <c r="M2351" s="493" t="str">
        <f t="shared" ca="1" si="170"/>
        <v/>
      </c>
      <c r="N2351" s="493" t="str">
        <f t="shared" ca="1" si="171"/>
        <v/>
      </c>
      <c r="O2351" s="493" t="str">
        <f t="shared" ca="1" si="172"/>
        <v/>
      </c>
      <c r="P2351" s="493" t="str">
        <f t="shared" ca="1" si="173"/>
        <v/>
      </c>
      <c r="Q2351" s="493"/>
      <c r="R2351" s="502"/>
    </row>
    <row r="2352" spans="1:18" x14ac:dyDescent="0.3">
      <c r="A2352" s="487" t="b">
        <f t="shared" ca="1" si="165"/>
        <v>0</v>
      </c>
      <c r="B2352" s="487">
        <f t="shared" si="163"/>
        <v>84</v>
      </c>
      <c r="C2352" s="507" t="str">
        <f ca="1">IF(COUNTA($G$2194:G2351)=1,"",OFFSET(B2352,-COUNTA($G$2194:G2351)+1,1))</f>
        <v>a1N3p00000497WTEAY</v>
      </c>
      <c r="D2352" s="487" t="str">
        <f t="shared" ca="1" si="166"/>
        <v>INT-130914</v>
      </c>
      <c r="E2352" s="493"/>
      <c r="F2352" s="493" t="str">
        <f t="shared" ca="1" si="167"/>
        <v/>
      </c>
      <c r="G2352" s="510"/>
      <c r="H2352" s="488">
        <f t="shared" si="164"/>
        <v>76</v>
      </c>
      <c r="I2352" s="487" t="str">
        <f ca="1">IF(IFERROR(VLOOKUP(INDIRECT("'WPTM - Section F'!F"&amp;B2352),'Overview - Section A'!M$29:R196,6,0),IFERROR(VLOOKUP(INDIRECT("'WPTM - Section F'!F"&amp;B2352),'Overview - Section A'!E$26:J184,6,0),""))=0,"",IFERROR(VLOOKUP(INDIRECT("'WPTM - Section F'!F"&amp;B2352),'Overview - Section A'!M$29:R196,6,0),IFERROR(VLOOKUP(INDIRECT("'WPTM - Section F'!F"&amp;B2352),'Overview - Section A'!E$26:J184,6,0),"")))</f>
        <v/>
      </c>
      <c r="J2352" s="487" t="str">
        <f t="shared" ca="1" si="168"/>
        <v/>
      </c>
      <c r="K2352" s="493" t="str">
        <f t="shared" ca="1" si="169"/>
        <v/>
      </c>
      <c r="L2352" s="487" t="str">
        <f ca="1">IFERROR(INDEX('Reference Records'!F$329:F663,MATCH(INDIRECT("'WPTM - Section F'!AP"&amp;B2352)&amp;"|"&amp;INDIRECT("'WPTM - Section F'!C"&amp;$B2352),'Reference Records'!G$329:G663,0)),"")</f>
        <v/>
      </c>
      <c r="M2352" s="493" t="str">
        <f t="shared" ca="1" si="170"/>
        <v/>
      </c>
      <c r="N2352" s="493" t="str">
        <f t="shared" ca="1" si="171"/>
        <v/>
      </c>
      <c r="O2352" s="493" t="str">
        <f t="shared" ca="1" si="172"/>
        <v/>
      </c>
      <c r="P2352" s="493" t="str">
        <f t="shared" ca="1" si="173"/>
        <v/>
      </c>
      <c r="Q2352" s="493"/>
      <c r="R2352" s="502"/>
    </row>
    <row r="2353" spans="1:18" x14ac:dyDescent="0.3">
      <c r="A2353" s="487" t="b">
        <f t="shared" ca="1" si="165"/>
        <v>0</v>
      </c>
      <c r="B2353" s="487">
        <f t="shared" si="163"/>
        <v>85</v>
      </c>
      <c r="C2353" s="507" t="str">
        <f ca="1">IF(COUNTA($G$2194:G2352)=1,"",OFFSET(B2353,-COUNTA($G$2194:G2352)+1,1))</f>
        <v>a1N3p00000497WUEAY</v>
      </c>
      <c r="D2353" s="487" t="str">
        <f t="shared" ca="1" si="166"/>
        <v>INT-130914</v>
      </c>
      <c r="E2353" s="493"/>
      <c r="F2353" s="493" t="str">
        <f t="shared" ca="1" si="167"/>
        <v/>
      </c>
      <c r="G2353" s="510"/>
      <c r="H2353" s="488">
        <f t="shared" si="164"/>
        <v>77</v>
      </c>
      <c r="I2353" s="487" t="str">
        <f ca="1">IF(IFERROR(VLOOKUP(INDIRECT("'WPTM - Section F'!F"&amp;B2353),'Overview - Section A'!M$29:R197,6,0),IFERROR(VLOOKUP(INDIRECT("'WPTM - Section F'!F"&amp;B2353),'Overview - Section A'!E$26:J185,6,0),""))=0,"",IFERROR(VLOOKUP(INDIRECT("'WPTM - Section F'!F"&amp;B2353),'Overview - Section A'!M$29:R197,6,0),IFERROR(VLOOKUP(INDIRECT("'WPTM - Section F'!F"&amp;B2353),'Overview - Section A'!E$26:J185,6,0),"")))</f>
        <v/>
      </c>
      <c r="J2353" s="487" t="str">
        <f t="shared" ca="1" si="168"/>
        <v/>
      </c>
      <c r="K2353" s="493" t="str">
        <f t="shared" ca="1" si="169"/>
        <v/>
      </c>
      <c r="L2353" s="487" t="str">
        <f ca="1">IFERROR(INDEX('Reference Records'!F$329:F664,MATCH(INDIRECT("'WPTM - Section F'!AP"&amp;B2353)&amp;"|"&amp;INDIRECT("'WPTM - Section F'!C"&amp;$B2353),'Reference Records'!G$329:G664,0)),"")</f>
        <v/>
      </c>
      <c r="M2353" s="493" t="str">
        <f t="shared" ca="1" si="170"/>
        <v/>
      </c>
      <c r="N2353" s="493" t="str">
        <f t="shared" ca="1" si="171"/>
        <v/>
      </c>
      <c r="O2353" s="493" t="str">
        <f t="shared" ca="1" si="172"/>
        <v/>
      </c>
      <c r="P2353" s="493" t="str">
        <f t="shared" ca="1" si="173"/>
        <v/>
      </c>
      <c r="Q2353" s="493"/>
      <c r="R2353" s="502"/>
    </row>
    <row r="2354" spans="1:18" x14ac:dyDescent="0.3">
      <c r="A2354" s="487" t="b">
        <f t="shared" ca="1" si="165"/>
        <v>0</v>
      </c>
      <c r="B2354" s="487">
        <f t="shared" si="163"/>
        <v>86</v>
      </c>
      <c r="C2354" s="507" t="str">
        <f ca="1">IF(COUNTA($G$2194:G2353)=1,"",OFFSET(B2354,-COUNTA($G$2194:G2353)+1,1))</f>
        <v>a1N3p00000497WVEAY</v>
      </c>
      <c r="D2354" s="487" t="str">
        <f t="shared" ca="1" si="166"/>
        <v>INT-130914</v>
      </c>
      <c r="E2354" s="493"/>
      <c r="F2354" s="493" t="str">
        <f t="shared" ca="1" si="167"/>
        <v/>
      </c>
      <c r="G2354" s="510"/>
      <c r="H2354" s="488">
        <f t="shared" si="164"/>
        <v>78</v>
      </c>
      <c r="I2354" s="487" t="str">
        <f ca="1">IF(IFERROR(VLOOKUP(INDIRECT("'WPTM - Section F'!F"&amp;B2354),'Overview - Section A'!M$29:R198,6,0),IFERROR(VLOOKUP(INDIRECT("'WPTM - Section F'!F"&amp;B2354),'Overview - Section A'!E$26:J186,6,0),""))=0,"",IFERROR(VLOOKUP(INDIRECT("'WPTM - Section F'!F"&amp;B2354),'Overview - Section A'!M$29:R198,6,0),IFERROR(VLOOKUP(INDIRECT("'WPTM - Section F'!F"&amp;B2354),'Overview - Section A'!E$26:J186,6,0),"")))</f>
        <v/>
      </c>
      <c r="J2354" s="487" t="str">
        <f t="shared" ca="1" si="168"/>
        <v/>
      </c>
      <c r="K2354" s="493" t="str">
        <f t="shared" ca="1" si="169"/>
        <v/>
      </c>
      <c r="L2354" s="487" t="str">
        <f ca="1">IFERROR(INDEX('Reference Records'!F$329:F665,MATCH(INDIRECT("'WPTM - Section F'!AP"&amp;B2354)&amp;"|"&amp;INDIRECT("'WPTM - Section F'!C"&amp;$B2354),'Reference Records'!G$329:G665,0)),"")</f>
        <v/>
      </c>
      <c r="M2354" s="493" t="str">
        <f t="shared" ca="1" si="170"/>
        <v/>
      </c>
      <c r="N2354" s="493" t="str">
        <f t="shared" ca="1" si="171"/>
        <v/>
      </c>
      <c r="O2354" s="493" t="str">
        <f t="shared" ca="1" si="172"/>
        <v/>
      </c>
      <c r="P2354" s="493" t="str">
        <f t="shared" ca="1" si="173"/>
        <v/>
      </c>
      <c r="Q2354" s="493"/>
      <c r="R2354" s="502"/>
    </row>
    <row r="2355" spans="1:18" x14ac:dyDescent="0.3">
      <c r="A2355" s="487" t="b">
        <f t="shared" ca="1" si="165"/>
        <v>0</v>
      </c>
      <c r="B2355" s="487">
        <f t="shared" si="163"/>
        <v>87</v>
      </c>
      <c r="C2355" s="507" t="str">
        <f ca="1">IF(COUNTA($G$2194:G2354)=1,"",OFFSET(B2355,-COUNTA($G$2194:G2354)+1,1))</f>
        <v>a1N3p00000497WWEAY</v>
      </c>
      <c r="D2355" s="487" t="str">
        <f t="shared" ca="1" si="166"/>
        <v>INT-130914</v>
      </c>
      <c r="E2355" s="493"/>
      <c r="F2355" s="493" t="str">
        <f t="shared" ca="1" si="167"/>
        <v/>
      </c>
      <c r="G2355" s="510"/>
      <c r="H2355" s="488">
        <f t="shared" si="164"/>
        <v>79</v>
      </c>
      <c r="I2355" s="487" t="str">
        <f ca="1">IF(IFERROR(VLOOKUP(INDIRECT("'WPTM - Section F'!F"&amp;B2355),'Overview - Section A'!M$29:R199,6,0),IFERROR(VLOOKUP(INDIRECT("'WPTM - Section F'!F"&amp;B2355),'Overview - Section A'!E$26:J187,6,0),""))=0,"",IFERROR(VLOOKUP(INDIRECT("'WPTM - Section F'!F"&amp;B2355),'Overview - Section A'!M$29:R199,6,0),IFERROR(VLOOKUP(INDIRECT("'WPTM - Section F'!F"&amp;B2355),'Overview - Section A'!E$26:J187,6,0),"")))</f>
        <v/>
      </c>
      <c r="J2355" s="487" t="str">
        <f t="shared" ca="1" si="168"/>
        <v/>
      </c>
      <c r="K2355" s="493" t="str">
        <f t="shared" ca="1" si="169"/>
        <v/>
      </c>
      <c r="L2355" s="487" t="str">
        <f ca="1">IFERROR(INDEX('Reference Records'!F$329:F666,MATCH(INDIRECT("'WPTM - Section F'!AP"&amp;B2355)&amp;"|"&amp;INDIRECT("'WPTM - Section F'!C"&amp;$B2355),'Reference Records'!G$329:G666,0)),"")</f>
        <v/>
      </c>
      <c r="M2355" s="493" t="str">
        <f t="shared" ca="1" si="170"/>
        <v/>
      </c>
      <c r="N2355" s="493" t="str">
        <f t="shared" ca="1" si="171"/>
        <v/>
      </c>
      <c r="O2355" s="493" t="str">
        <f t="shared" ca="1" si="172"/>
        <v/>
      </c>
      <c r="P2355" s="493" t="str">
        <f t="shared" ca="1" si="173"/>
        <v/>
      </c>
      <c r="Q2355" s="493"/>
      <c r="R2355" s="502"/>
    </row>
    <row r="2356" spans="1:18" x14ac:dyDescent="0.3">
      <c r="A2356" s="487" t="b">
        <f t="shared" ca="1" si="165"/>
        <v>0</v>
      </c>
      <c r="B2356" s="487">
        <f t="shared" si="163"/>
        <v>88</v>
      </c>
      <c r="C2356" s="507" t="str">
        <f ca="1">IF(COUNTA($G$2194:G2355)=1,"",OFFSET(B2356,-COUNTA($G$2194:G2355)+1,1))</f>
        <v>a1N3p00000497WXEAY</v>
      </c>
      <c r="D2356" s="487" t="str">
        <f t="shared" ca="1" si="166"/>
        <v>INT-130914</v>
      </c>
      <c r="E2356" s="493"/>
      <c r="F2356" s="493" t="str">
        <f t="shared" ca="1" si="167"/>
        <v/>
      </c>
      <c r="G2356" s="510"/>
      <c r="H2356" s="488">
        <f t="shared" si="164"/>
        <v>80</v>
      </c>
      <c r="I2356" s="487" t="str">
        <f ca="1">IF(IFERROR(VLOOKUP(INDIRECT("'WPTM - Section F'!F"&amp;B2356),'Overview - Section A'!M$29:R200,6,0),IFERROR(VLOOKUP(INDIRECT("'WPTM - Section F'!F"&amp;B2356),'Overview - Section A'!E$26:J188,6,0),""))=0,"",IFERROR(VLOOKUP(INDIRECT("'WPTM - Section F'!F"&amp;B2356),'Overview - Section A'!M$29:R200,6,0),IFERROR(VLOOKUP(INDIRECT("'WPTM - Section F'!F"&amp;B2356),'Overview - Section A'!E$26:J188,6,0),"")))</f>
        <v/>
      </c>
      <c r="J2356" s="487" t="str">
        <f t="shared" ca="1" si="168"/>
        <v/>
      </c>
      <c r="K2356" s="493" t="str">
        <f t="shared" ca="1" si="169"/>
        <v/>
      </c>
      <c r="L2356" s="487" t="str">
        <f ca="1">IFERROR(INDEX('Reference Records'!F$329:F667,MATCH(INDIRECT("'WPTM - Section F'!AP"&amp;B2356)&amp;"|"&amp;INDIRECT("'WPTM - Section F'!C"&amp;$B2356),'Reference Records'!G$329:G667,0)),"")</f>
        <v/>
      </c>
      <c r="M2356" s="493" t="str">
        <f t="shared" ca="1" si="170"/>
        <v/>
      </c>
      <c r="N2356" s="493" t="str">
        <f t="shared" ca="1" si="171"/>
        <v/>
      </c>
      <c r="O2356" s="493" t="str">
        <f t="shared" ca="1" si="172"/>
        <v/>
      </c>
      <c r="P2356" s="493" t="str">
        <f t="shared" ca="1" si="173"/>
        <v/>
      </c>
      <c r="Q2356" s="493"/>
      <c r="R2356" s="502"/>
    </row>
    <row r="2357" spans="1:18" x14ac:dyDescent="0.3">
      <c r="J2357" s="486" t="str">
        <f ca="1">IF(ROW()&gt;'Impact Indicator Target Update'!A24,"",INDIRECT("'Impact Indicators - Section B'!A"&amp;'Impact Indicator Target Update'!D24))</f>
        <v/>
      </c>
    </row>
    <row r="2358" spans="1:18" x14ac:dyDescent="0.3">
      <c r="J2358" s="486" t="str">
        <f ca="1">IF(ROW()&gt;'Impact Indicator Target Update'!A25,"",INDIRECT("'Impact Indicators - Section B'!A"&amp;'Impact Indicator Target Update'!D25))</f>
        <v/>
      </c>
    </row>
    <row r="2359" spans="1:18" x14ac:dyDescent="0.3">
      <c r="J2359" s="486" t="str">
        <f ca="1">IF(ROW()&gt;'Impact Indicator Target Update'!A26,"",INDIRECT("'Impact Indicators - Section B'!A"&amp;'Impact Indicator Target Update'!D26))</f>
        <v/>
      </c>
    </row>
    <row r="2360" spans="1:18" x14ac:dyDescent="0.3">
      <c r="A2360" s="497" t="s">
        <v>382</v>
      </c>
      <c r="J2360" s="486" t="str">
        <f ca="1">IF(ROW()&gt;'Impact Indicator Target Update'!A27,"",INDIRECT("'Impact Indicators - Section B'!A"&amp;'Impact Indicator Target Update'!D27))</f>
        <v/>
      </c>
    </row>
    <row r="2361" spans="1:18" x14ac:dyDescent="0.3">
      <c r="A2361" s="487" t="s">
        <v>46</v>
      </c>
      <c r="B2361" s="487" t="s">
        <v>48</v>
      </c>
      <c r="C2361" s="487" t="s">
        <v>383</v>
      </c>
      <c r="D2361" s="487">
        <v>-481</v>
      </c>
      <c r="E2361" s="487" t="s">
        <v>344</v>
      </c>
      <c r="F2361" s="487" t="s">
        <v>249</v>
      </c>
      <c r="G2361" s="487" t="s">
        <v>405</v>
      </c>
      <c r="H2361" s="487" t="s">
        <v>100</v>
      </c>
      <c r="I2361" s="487" t="s">
        <v>108</v>
      </c>
      <c r="J2361" s="487" t="s">
        <v>480</v>
      </c>
      <c r="K2361" s="487" t="s">
        <v>481</v>
      </c>
      <c r="L2361" s="487"/>
      <c r="M2361" s="487"/>
      <c r="N2361" s="487"/>
      <c r="O2361" s="487"/>
      <c r="P2361" s="487">
        <v>-1</v>
      </c>
      <c r="Q2361" s="487" t="s">
        <v>71</v>
      </c>
    </row>
    <row r="2362" spans="1:18" hidden="1" x14ac:dyDescent="0.3">
      <c r="A2362" s="487" t="b">
        <f ca="1">IF(OR(H2362&lt;&gt;"",I2362&lt;&gt;""),TRUE,FALSE)</f>
        <v>0</v>
      </c>
      <c r="B2362" s="487" t="str">
        <f ca="1">IF(COUNTA(G$2360:G2361)=1,"",OFFSET(B2362,-COUNTA(G$2360:G2361)+1,0))</f>
        <v/>
      </c>
      <c r="C2362" s="502" t="str">
        <f ca="1">IF(COUNTA(G$2360:G2361)=1,"",OFFSET(C2362,-COUNTA(G$2360:G2361)+1,0))</f>
        <v/>
      </c>
      <c r="D2362" s="487">
        <f>D2361+1</f>
        <v>-480</v>
      </c>
      <c r="E2362" s="487">
        <f ca="1">COUNTIF(C2357:C2362,C2362)</f>
        <v>5</v>
      </c>
      <c r="F2362" s="487" t="str">
        <f ca="1">IF(C2362=1,9,IF(E2361=MAX(E2360:E2362),F2360+1,F2361))</f>
        <v>row number</v>
      </c>
      <c r="G2362" s="487"/>
      <c r="H2362" s="493" t="str">
        <f ca="1">CHOOSE(E2362,IFERROR(IF(INDIRECT("'WPTM - Section F'!K"&amp;F2362)=0,"",INDIRECT("'WPTM - Section F'!K"&amp;$F2362)),""),IFERROR(IF(INDIRECT("'WPTM - Section F'!O"&amp;F2362)=0,"",INDIRECT("'WPTM - Section F'!O"&amp;$F2362)),""),IFERROR(IF(INDIRECT("'WPTM - Section F'!S"&amp;F2362)=0,"",INDIRECT("'WPTM - Section F'!S"&amp;$F2362)),""),IFERROR(IF(INDIRECT("'WPTM - Section F'!W"&amp;F2362)=0,"",INDIRECT("'WPTM - Section F'!W"&amp;$F2362)),""),IFERROR(IF(INDIRECT("'WPTM - Section F'!AA"&amp;F2362)=0,"",INDIRECT("'WPTM - Section F'!AA"&amp;$F2362)),""),IFERROR(IF(INDIRECT("'WPTM - Section F'!AE"&amp;F2362)=0,"",INDIRECT("'WPTM - Section F'!AE"&amp;$F2362)),""),IFERROR(IF(INDIRECT("'WPTM - Section F'!AI"&amp;F2362)=0,"",INDIRECT("'WPTM - Section F'!AI"&amp;$F2362)),""),IFERROR(IF(INDIRECT("'WPTM - Section F'!AM"&amp;F2362)=0,"",INDIRECT("'WPTM - Section F'!AM"&amp;$F2362)),""),)</f>
        <v/>
      </c>
      <c r="I2362" s="493" t="str">
        <f ca="1">CHOOSE(E2362,IFERROR(IF(INDIRECT("'WPTM - Section F'!J"&amp;F2362)=0,"",INDIRECT("'WPTM - Section F'!J"&amp;$F2362)),""),IFERROR(IF(INDIRECT("'WPTM - Section F'!N"&amp;F2362)=0,"",INDIRECT("'WPTM - Section F'!N"&amp;$F2362)),""),IFERROR(IF(INDIRECT("'WPTM - Section F'!R"&amp;F2362)=0,"",INDIRECT("'WPTM - Section F'!R"&amp;$F2362)),""),IFERROR(IF(INDIRECT("'WPTM - Section F'!V"&amp;F2362)=0,"",INDIRECT("'WPTM - Section F'!V"&amp;$F2362)),""),IFERROR(IF(INDIRECT("'WPTM - Section F'!Z"&amp;F2362)=0,"",INDIRECT("'WPTM - Section F'!Z"&amp;$F2362)),""),IFERROR(IF(INDIRECT("'WPTM - Section F'!AD"&amp;F2362)=0,"",INDIRECT("'WPTM - Section F'!AD"&amp;$F2362)),""),IFERROR(IF(INDIRECT("'WPTM - Section F'!AH"&amp;F2362)=0,"",INDIRECT("'WPTM - Section F'!AH"&amp;$F2362)),""),IFERROR(IF(INDIRECT("'WPTM - Section F'!AL"&amp;F2362)=0,"",INDIRECT("'WPTM - Section F'!AL"&amp;$F2362)),""),)</f>
        <v/>
      </c>
      <c r="J2362" s="493" t="str">
        <f ca="1">CHOOSE(E2362,IFERROR(IF(INDIRECT("'WPTM - Section F'!H"&amp;F2362)=0,"",INDIRECT("'WPTM - Section F'!H"&amp;$F2362)),""),IFERROR(IF(INDIRECT("'WPTM - Section F'!L"&amp;F2362)=0,"",INDIRECT("'WPTM - Section F'!L"&amp;$F2362)),""),IFERROR(IF(INDIRECT("'WPTM - Section F'!P"&amp;F2362)=0,"",INDIRECT("'WPTM - Section F'!P"&amp;$F2362)),""),IFERROR(IF(INDIRECT("'WPTM - Section F'!T"&amp;F2362)=0,"",INDIRECT("'WPTM - Section F'!T"&amp;$F2362)),""),IFERROR(IF(INDIRECT("'WPTM - Section F'!X"&amp;F2362)=0,"",INDIRECT("'WPTM - Section F'!X"&amp;$F2362)),""),IFERROR(IF(INDIRECT("'WPTM - Section F'!AB"&amp;F2362)=0,"",INDIRECT("'WPTM - Section F'!AB"&amp;$F2362)),""),IFERROR(IF(INDIRECT("'WPTM - Section F'!AF"&amp;F2362)=0,"",INDIRECT("'WPTM - Section F'!AF"&amp;$F2362)),""),IFERROR(IF(INDIRECT("'WPTM - Section F'!AJ"&amp;F2362)=0,"",INDIRECT("'WPTM - Section F'!AJ"&amp;$F2362)),""),)</f>
        <v/>
      </c>
      <c r="K2362" s="493" t="str">
        <f ca="1">CHOOSE(E2362,IFERROR(IF(INDIRECT("'WPTM - Section F'!I"&amp;F2362)=0,"",INDIRECT("'WPTM - Section F'!I"&amp;$F2362)),""),IFERROR(IF(INDIRECT("'WPTM - Section F'!M"&amp;F2362)=0,"",INDIRECT("'WPTM - Section F'!M"&amp;$F2362)),""),IFERROR(IF(INDIRECT("'WPTM - Section F'!Q"&amp;F2362)=0,"",INDIRECT("'WPTM - Section F'!Q"&amp;$F2362)),""),IFERROR(IF(INDIRECT("'WPTM - Section F'!U"&amp;F2362)=0,"",INDIRECT("'WPTM - Section F'!U"&amp;$F2362)),""),IFERROR(IF(INDIRECT("'WPTM - Section F'!Y"&amp;F2362)=0,"",INDIRECT("'WPTM - Section F'!Y"&amp;$F2362)),""),IFERROR(IF(INDIRECT("'WPTM - Section F'!AC"&amp;F2362)=0,"",INDIRECT("'WPTM - Section F'!AC"&amp;$F2362)),""),IFERROR(IF(INDIRECT("'WPTM - Section F'!AG"&amp;F2362)=0,"",INDIRECT("'WPTM - Section F'!AG"&amp;$F2362)),""),IFERROR(IF(INDIRECT("'WPTM - Section F'!AK"&amp;F2362)=0,"",INDIRECT("'WPTM - Section F'!AK"&amp;$F2362)),""),)</f>
        <v/>
      </c>
      <c r="L2362" s="487"/>
      <c r="M2362" s="487"/>
      <c r="N2362" s="487"/>
      <c r="O2362" s="487"/>
      <c r="P2362" s="487">
        <f>IF(NOT(_xlfn.ISFORMULA(I2362)),P2361+1,0)</f>
        <v>0</v>
      </c>
      <c r="Q2362" s="487" t="s">
        <v>1288</v>
      </c>
    </row>
    <row r="2363" spans="1:18" x14ac:dyDescent="0.3">
      <c r="A2363" s="487" t="b">
        <v>0</v>
      </c>
      <c r="B2363" s="487" t="s">
        <v>7530</v>
      </c>
      <c r="C2363" s="502">
        <v>1</v>
      </c>
      <c r="D2363" s="487">
        <f t="shared" ref="D2363:D2426" si="174">D2362+1</f>
        <v>-479</v>
      </c>
      <c r="E2363" s="487">
        <f t="shared" ref="E2363:E2426" ca="1" si="175">COUNTIF(C2358:C2363,C2363)</f>
        <v>1</v>
      </c>
      <c r="F2363" s="487">
        <f t="shared" ref="F2363:F2426" si="176">IF(C2363=1,9,IF(E2362=MAX(E2361:E2363),F2361+1,F2362))</f>
        <v>9</v>
      </c>
      <c r="G2363" s="487" t="s">
        <v>7371</v>
      </c>
      <c r="H2363" s="493"/>
      <c r="I2363" s="493"/>
      <c r="J2363" s="493"/>
      <c r="K2363" s="493"/>
      <c r="L2363" s="487"/>
      <c r="M2363" s="487"/>
      <c r="N2363" s="487"/>
      <c r="O2363" s="487"/>
      <c r="P2363" s="487">
        <f t="shared" ref="P2363:P2426" si="177">IF(NOT(_xlfn.ISFORMULA(I2363)),P2362+1,0)</f>
        <v>1</v>
      </c>
      <c r="Q2363" s="487" t="b">
        <v>0</v>
      </c>
    </row>
    <row r="2364" spans="1:18" x14ac:dyDescent="0.3">
      <c r="A2364" s="487" t="b">
        <v>0</v>
      </c>
      <c r="B2364" s="487" t="s">
        <v>7531</v>
      </c>
      <c r="C2364" s="502">
        <v>1</v>
      </c>
      <c r="D2364" s="487">
        <f t="shared" si="174"/>
        <v>-478</v>
      </c>
      <c r="E2364" s="487">
        <f t="shared" ca="1" si="175"/>
        <v>2</v>
      </c>
      <c r="F2364" s="487">
        <f t="shared" si="176"/>
        <v>9</v>
      </c>
      <c r="G2364" s="487" t="s">
        <v>7371</v>
      </c>
      <c r="H2364" s="493"/>
      <c r="I2364" s="493"/>
      <c r="J2364" s="493"/>
      <c r="K2364" s="493"/>
      <c r="L2364" s="487"/>
      <c r="M2364" s="487"/>
      <c r="N2364" s="487"/>
      <c r="O2364" s="487"/>
      <c r="P2364" s="487">
        <f t="shared" si="177"/>
        <v>2</v>
      </c>
      <c r="Q2364" s="487" t="b">
        <v>0</v>
      </c>
    </row>
    <row r="2365" spans="1:18" x14ac:dyDescent="0.3">
      <c r="A2365" s="487" t="b">
        <v>0</v>
      </c>
      <c r="B2365" s="487" t="s">
        <v>7532</v>
      </c>
      <c r="C2365" s="502">
        <v>1</v>
      </c>
      <c r="D2365" s="487">
        <f t="shared" si="174"/>
        <v>-477</v>
      </c>
      <c r="E2365" s="487">
        <f t="shared" ca="1" si="175"/>
        <v>3</v>
      </c>
      <c r="F2365" s="487">
        <f t="shared" si="176"/>
        <v>9</v>
      </c>
      <c r="G2365" s="487" t="s">
        <v>7371</v>
      </c>
      <c r="H2365" s="493"/>
      <c r="I2365" s="493"/>
      <c r="J2365" s="493"/>
      <c r="K2365" s="493"/>
      <c r="L2365" s="487"/>
      <c r="M2365" s="487"/>
      <c r="N2365" s="487"/>
      <c r="O2365" s="487"/>
      <c r="P2365" s="487">
        <f t="shared" si="177"/>
        <v>3</v>
      </c>
      <c r="Q2365" s="487" t="b">
        <v>0</v>
      </c>
    </row>
    <row r="2366" spans="1:18" x14ac:dyDescent="0.3">
      <c r="A2366" s="487" t="b">
        <v>0</v>
      </c>
      <c r="B2366" s="487" t="s">
        <v>7533</v>
      </c>
      <c r="C2366" s="502">
        <v>1</v>
      </c>
      <c r="D2366" s="487">
        <f t="shared" si="174"/>
        <v>-476</v>
      </c>
      <c r="E2366" s="487">
        <f t="shared" ca="1" si="175"/>
        <v>4</v>
      </c>
      <c r="F2366" s="487">
        <f t="shared" si="176"/>
        <v>9</v>
      </c>
      <c r="G2366" s="487" t="s">
        <v>7371</v>
      </c>
      <c r="H2366" s="493"/>
      <c r="I2366" s="493"/>
      <c r="J2366" s="493"/>
      <c r="K2366" s="493"/>
      <c r="L2366" s="487"/>
      <c r="M2366" s="487"/>
      <c r="N2366" s="487"/>
      <c r="O2366" s="487"/>
      <c r="P2366" s="487">
        <f t="shared" si="177"/>
        <v>4</v>
      </c>
      <c r="Q2366" s="487" t="b">
        <v>0</v>
      </c>
    </row>
    <row r="2367" spans="1:18" x14ac:dyDescent="0.3">
      <c r="A2367" s="487" t="b">
        <v>0</v>
      </c>
      <c r="B2367" s="487" t="s">
        <v>7534</v>
      </c>
      <c r="C2367" s="502">
        <v>1</v>
      </c>
      <c r="D2367" s="487">
        <f t="shared" si="174"/>
        <v>-475</v>
      </c>
      <c r="E2367" s="487">
        <f t="shared" ca="1" si="175"/>
        <v>5</v>
      </c>
      <c r="F2367" s="487">
        <f t="shared" si="176"/>
        <v>9</v>
      </c>
      <c r="G2367" s="487" t="s">
        <v>7371</v>
      </c>
      <c r="H2367" s="493"/>
      <c r="I2367" s="493"/>
      <c r="J2367" s="493"/>
      <c r="K2367" s="493"/>
      <c r="L2367" s="487"/>
      <c r="M2367" s="487"/>
      <c r="N2367" s="487"/>
      <c r="O2367" s="487"/>
      <c r="P2367" s="487">
        <f t="shared" si="177"/>
        <v>5</v>
      </c>
      <c r="Q2367" s="487" t="b">
        <v>0</v>
      </c>
    </row>
    <row r="2368" spans="1:18" x14ac:dyDescent="0.3">
      <c r="A2368" s="487" t="b">
        <v>0</v>
      </c>
      <c r="B2368" s="487" t="s">
        <v>7535</v>
      </c>
      <c r="C2368" s="502">
        <v>1</v>
      </c>
      <c r="D2368" s="487">
        <f t="shared" si="174"/>
        <v>-474</v>
      </c>
      <c r="E2368" s="487">
        <f t="shared" si="175"/>
        <v>6</v>
      </c>
      <c r="F2368" s="487">
        <f t="shared" si="176"/>
        <v>9</v>
      </c>
      <c r="G2368" s="487" t="s">
        <v>7371</v>
      </c>
      <c r="H2368" s="493"/>
      <c r="I2368" s="493"/>
      <c r="J2368" s="493"/>
      <c r="K2368" s="493"/>
      <c r="L2368" s="487"/>
      <c r="M2368" s="487"/>
      <c r="N2368" s="487"/>
      <c r="O2368" s="487"/>
      <c r="P2368" s="487">
        <f t="shared" si="177"/>
        <v>6</v>
      </c>
      <c r="Q2368" s="487" t="b">
        <v>0</v>
      </c>
    </row>
    <row r="2369" spans="1:17" x14ac:dyDescent="0.3">
      <c r="A2369" s="487" t="b">
        <v>0</v>
      </c>
      <c r="B2369" s="487" t="s">
        <v>7536</v>
      </c>
      <c r="C2369" s="502">
        <v>2</v>
      </c>
      <c r="D2369" s="487">
        <f t="shared" si="174"/>
        <v>-473</v>
      </c>
      <c r="E2369" s="487">
        <f t="shared" si="175"/>
        <v>1</v>
      </c>
      <c r="F2369" s="487">
        <f t="shared" ca="1" si="176"/>
        <v>10</v>
      </c>
      <c r="G2369" s="487" t="s">
        <v>7373</v>
      </c>
      <c r="H2369" s="493"/>
      <c r="I2369" s="493"/>
      <c r="J2369" s="493"/>
      <c r="K2369" s="493"/>
      <c r="L2369" s="487"/>
      <c r="M2369" s="487"/>
      <c r="N2369" s="487"/>
      <c r="O2369" s="487"/>
      <c r="P2369" s="487">
        <f t="shared" si="177"/>
        <v>7</v>
      </c>
      <c r="Q2369" s="487" t="b">
        <v>0</v>
      </c>
    </row>
    <row r="2370" spans="1:17" x14ac:dyDescent="0.3">
      <c r="A2370" s="487" t="b">
        <v>0</v>
      </c>
      <c r="B2370" s="487" t="s">
        <v>7537</v>
      </c>
      <c r="C2370" s="502">
        <v>2</v>
      </c>
      <c r="D2370" s="487">
        <f t="shared" si="174"/>
        <v>-472</v>
      </c>
      <c r="E2370" s="487">
        <f t="shared" si="175"/>
        <v>2</v>
      </c>
      <c r="F2370" s="487">
        <f t="shared" ca="1" si="176"/>
        <v>10</v>
      </c>
      <c r="G2370" s="487" t="s">
        <v>7373</v>
      </c>
      <c r="H2370" s="493"/>
      <c r="I2370" s="493"/>
      <c r="J2370" s="493"/>
      <c r="K2370" s="493"/>
      <c r="L2370" s="487"/>
      <c r="M2370" s="487"/>
      <c r="N2370" s="487"/>
      <c r="O2370" s="487"/>
      <c r="P2370" s="487">
        <f t="shared" si="177"/>
        <v>8</v>
      </c>
      <c r="Q2370" s="487" t="b">
        <v>0</v>
      </c>
    </row>
    <row r="2371" spans="1:17" x14ac:dyDescent="0.3">
      <c r="A2371" s="487" t="b">
        <v>0</v>
      </c>
      <c r="B2371" s="487" t="s">
        <v>7538</v>
      </c>
      <c r="C2371" s="502">
        <v>2</v>
      </c>
      <c r="D2371" s="487">
        <f t="shared" si="174"/>
        <v>-471</v>
      </c>
      <c r="E2371" s="487">
        <f t="shared" si="175"/>
        <v>3</v>
      </c>
      <c r="F2371" s="487">
        <f t="shared" ca="1" si="176"/>
        <v>10</v>
      </c>
      <c r="G2371" s="487" t="s">
        <v>7373</v>
      </c>
      <c r="H2371" s="493"/>
      <c r="I2371" s="493"/>
      <c r="J2371" s="493"/>
      <c r="K2371" s="493"/>
      <c r="L2371" s="487"/>
      <c r="M2371" s="487"/>
      <c r="N2371" s="487"/>
      <c r="O2371" s="487"/>
      <c r="P2371" s="487">
        <f t="shared" si="177"/>
        <v>9</v>
      </c>
      <c r="Q2371" s="487" t="b">
        <v>0</v>
      </c>
    </row>
    <row r="2372" spans="1:17" x14ac:dyDescent="0.3">
      <c r="A2372" s="487" t="b">
        <v>0</v>
      </c>
      <c r="B2372" s="487" t="s">
        <v>7539</v>
      </c>
      <c r="C2372" s="502">
        <v>2</v>
      </c>
      <c r="D2372" s="487">
        <f t="shared" si="174"/>
        <v>-470</v>
      </c>
      <c r="E2372" s="487">
        <f t="shared" si="175"/>
        <v>4</v>
      </c>
      <c r="F2372" s="487">
        <f t="shared" ca="1" si="176"/>
        <v>10</v>
      </c>
      <c r="G2372" s="487" t="s">
        <v>7373</v>
      </c>
      <c r="H2372" s="493"/>
      <c r="I2372" s="493"/>
      <c r="J2372" s="493"/>
      <c r="K2372" s="493"/>
      <c r="L2372" s="487"/>
      <c r="M2372" s="487"/>
      <c r="N2372" s="487"/>
      <c r="O2372" s="487"/>
      <c r="P2372" s="487">
        <f t="shared" si="177"/>
        <v>10</v>
      </c>
      <c r="Q2372" s="487" t="b">
        <v>0</v>
      </c>
    </row>
    <row r="2373" spans="1:17" x14ac:dyDescent="0.3">
      <c r="A2373" s="487" t="b">
        <v>0</v>
      </c>
      <c r="B2373" s="487" t="s">
        <v>7540</v>
      </c>
      <c r="C2373" s="502">
        <v>2</v>
      </c>
      <c r="D2373" s="487">
        <f t="shared" si="174"/>
        <v>-469</v>
      </c>
      <c r="E2373" s="487">
        <f t="shared" si="175"/>
        <v>5</v>
      </c>
      <c r="F2373" s="487">
        <f t="shared" ca="1" si="176"/>
        <v>10</v>
      </c>
      <c r="G2373" s="487" t="s">
        <v>7373</v>
      </c>
      <c r="H2373" s="493"/>
      <c r="I2373" s="493"/>
      <c r="J2373" s="493"/>
      <c r="K2373" s="493"/>
      <c r="L2373" s="487"/>
      <c r="M2373" s="487"/>
      <c r="N2373" s="487"/>
      <c r="O2373" s="487"/>
      <c r="P2373" s="487">
        <f t="shared" si="177"/>
        <v>11</v>
      </c>
      <c r="Q2373" s="487" t="b">
        <v>0</v>
      </c>
    </row>
    <row r="2374" spans="1:17" x14ac:dyDescent="0.3">
      <c r="A2374" s="487" t="b">
        <v>0</v>
      </c>
      <c r="B2374" s="487" t="s">
        <v>7541</v>
      </c>
      <c r="C2374" s="502">
        <v>2</v>
      </c>
      <c r="D2374" s="487">
        <f t="shared" si="174"/>
        <v>-468</v>
      </c>
      <c r="E2374" s="487">
        <f t="shared" si="175"/>
        <v>6</v>
      </c>
      <c r="F2374" s="487">
        <f t="shared" ca="1" si="176"/>
        <v>10</v>
      </c>
      <c r="G2374" s="487" t="s">
        <v>7373</v>
      </c>
      <c r="H2374" s="493"/>
      <c r="I2374" s="493"/>
      <c r="J2374" s="493"/>
      <c r="K2374" s="493"/>
      <c r="L2374" s="487"/>
      <c r="M2374" s="487"/>
      <c r="N2374" s="487"/>
      <c r="O2374" s="487"/>
      <c r="P2374" s="487">
        <f t="shared" si="177"/>
        <v>12</v>
      </c>
      <c r="Q2374" s="487" t="b">
        <v>0</v>
      </c>
    </row>
    <row r="2375" spans="1:17" x14ac:dyDescent="0.3">
      <c r="A2375" s="487" t="b">
        <v>0</v>
      </c>
      <c r="B2375" s="487" t="s">
        <v>7542</v>
      </c>
      <c r="C2375" s="502">
        <v>3</v>
      </c>
      <c r="D2375" s="487">
        <f t="shared" si="174"/>
        <v>-467</v>
      </c>
      <c r="E2375" s="487">
        <f t="shared" si="175"/>
        <v>1</v>
      </c>
      <c r="F2375" s="487">
        <f t="shared" ca="1" si="176"/>
        <v>11</v>
      </c>
      <c r="G2375" s="487" t="s">
        <v>7375</v>
      </c>
      <c r="H2375" s="493"/>
      <c r="I2375" s="493"/>
      <c r="J2375" s="493"/>
      <c r="K2375" s="493"/>
      <c r="L2375" s="487"/>
      <c r="M2375" s="487"/>
      <c r="N2375" s="487"/>
      <c r="O2375" s="487"/>
      <c r="P2375" s="487">
        <f t="shared" si="177"/>
        <v>13</v>
      </c>
      <c r="Q2375" s="487" t="b">
        <v>0</v>
      </c>
    </row>
    <row r="2376" spans="1:17" x14ac:dyDescent="0.3">
      <c r="A2376" s="487" t="b">
        <v>0</v>
      </c>
      <c r="B2376" s="487" t="s">
        <v>7543</v>
      </c>
      <c r="C2376" s="502">
        <v>3</v>
      </c>
      <c r="D2376" s="487">
        <f t="shared" si="174"/>
        <v>-466</v>
      </c>
      <c r="E2376" s="487">
        <f t="shared" si="175"/>
        <v>2</v>
      </c>
      <c r="F2376" s="487">
        <f t="shared" ca="1" si="176"/>
        <v>11</v>
      </c>
      <c r="G2376" s="487" t="s">
        <v>7375</v>
      </c>
      <c r="H2376" s="493"/>
      <c r="I2376" s="493"/>
      <c r="J2376" s="493"/>
      <c r="K2376" s="493"/>
      <c r="L2376" s="487"/>
      <c r="M2376" s="487"/>
      <c r="N2376" s="487"/>
      <c r="O2376" s="487"/>
      <c r="P2376" s="487">
        <f t="shared" si="177"/>
        <v>14</v>
      </c>
      <c r="Q2376" s="487" t="b">
        <v>0</v>
      </c>
    </row>
    <row r="2377" spans="1:17" x14ac:dyDescent="0.3">
      <c r="A2377" s="487" t="b">
        <v>0</v>
      </c>
      <c r="B2377" s="487" t="s">
        <v>7544</v>
      </c>
      <c r="C2377" s="502">
        <v>3</v>
      </c>
      <c r="D2377" s="487">
        <f t="shared" si="174"/>
        <v>-465</v>
      </c>
      <c r="E2377" s="487">
        <f t="shared" si="175"/>
        <v>3</v>
      </c>
      <c r="F2377" s="487">
        <f t="shared" ca="1" si="176"/>
        <v>11</v>
      </c>
      <c r="G2377" s="487" t="s">
        <v>7375</v>
      </c>
      <c r="H2377" s="493"/>
      <c r="I2377" s="493"/>
      <c r="J2377" s="493"/>
      <c r="K2377" s="493"/>
      <c r="L2377" s="487"/>
      <c r="M2377" s="487"/>
      <c r="N2377" s="487"/>
      <c r="O2377" s="487"/>
      <c r="P2377" s="487">
        <f t="shared" si="177"/>
        <v>15</v>
      </c>
      <c r="Q2377" s="487" t="b">
        <v>0</v>
      </c>
    </row>
    <row r="2378" spans="1:17" x14ac:dyDescent="0.3">
      <c r="A2378" s="487" t="b">
        <v>0</v>
      </c>
      <c r="B2378" s="487" t="s">
        <v>7545</v>
      </c>
      <c r="C2378" s="502">
        <v>3</v>
      </c>
      <c r="D2378" s="487">
        <f t="shared" si="174"/>
        <v>-464</v>
      </c>
      <c r="E2378" s="487">
        <f t="shared" si="175"/>
        <v>4</v>
      </c>
      <c r="F2378" s="487">
        <f t="shared" ca="1" si="176"/>
        <v>11</v>
      </c>
      <c r="G2378" s="487" t="s">
        <v>7375</v>
      </c>
      <c r="H2378" s="493"/>
      <c r="I2378" s="493"/>
      <c r="J2378" s="493"/>
      <c r="K2378" s="493"/>
      <c r="L2378" s="487"/>
      <c r="M2378" s="487"/>
      <c r="N2378" s="487"/>
      <c r="O2378" s="487"/>
      <c r="P2378" s="487">
        <f t="shared" si="177"/>
        <v>16</v>
      </c>
      <c r="Q2378" s="487" t="b">
        <v>0</v>
      </c>
    </row>
    <row r="2379" spans="1:17" x14ac:dyDescent="0.3">
      <c r="A2379" s="487" t="b">
        <v>0</v>
      </c>
      <c r="B2379" s="487" t="s">
        <v>7546</v>
      </c>
      <c r="C2379" s="502">
        <v>3</v>
      </c>
      <c r="D2379" s="487">
        <f t="shared" si="174"/>
        <v>-463</v>
      </c>
      <c r="E2379" s="487">
        <f t="shared" si="175"/>
        <v>5</v>
      </c>
      <c r="F2379" s="487">
        <f t="shared" ca="1" si="176"/>
        <v>11</v>
      </c>
      <c r="G2379" s="487" t="s">
        <v>7375</v>
      </c>
      <c r="H2379" s="493"/>
      <c r="I2379" s="493"/>
      <c r="J2379" s="493"/>
      <c r="K2379" s="493"/>
      <c r="L2379" s="487"/>
      <c r="M2379" s="487"/>
      <c r="N2379" s="487"/>
      <c r="O2379" s="487"/>
      <c r="P2379" s="487">
        <f t="shared" si="177"/>
        <v>17</v>
      </c>
      <c r="Q2379" s="487" t="b">
        <v>0</v>
      </c>
    </row>
    <row r="2380" spans="1:17" x14ac:dyDescent="0.3">
      <c r="A2380" s="487" t="b">
        <v>0</v>
      </c>
      <c r="B2380" s="487" t="s">
        <v>7547</v>
      </c>
      <c r="C2380" s="502">
        <v>3</v>
      </c>
      <c r="D2380" s="487">
        <f t="shared" si="174"/>
        <v>-462</v>
      </c>
      <c r="E2380" s="487">
        <f t="shared" si="175"/>
        <v>6</v>
      </c>
      <c r="F2380" s="487">
        <f t="shared" ca="1" si="176"/>
        <v>11</v>
      </c>
      <c r="G2380" s="487" t="s">
        <v>7375</v>
      </c>
      <c r="H2380" s="493"/>
      <c r="I2380" s="493"/>
      <c r="J2380" s="493"/>
      <c r="K2380" s="493"/>
      <c r="L2380" s="487"/>
      <c r="M2380" s="487"/>
      <c r="N2380" s="487"/>
      <c r="O2380" s="487"/>
      <c r="P2380" s="487">
        <f t="shared" si="177"/>
        <v>18</v>
      </c>
      <c r="Q2380" s="487" t="b">
        <v>0</v>
      </c>
    </row>
    <row r="2381" spans="1:17" x14ac:dyDescent="0.3">
      <c r="A2381" s="487" t="b">
        <v>0</v>
      </c>
      <c r="B2381" s="487" t="s">
        <v>7548</v>
      </c>
      <c r="C2381" s="502">
        <v>4</v>
      </c>
      <c r="D2381" s="487">
        <f t="shared" si="174"/>
        <v>-461</v>
      </c>
      <c r="E2381" s="487">
        <f t="shared" si="175"/>
        <v>1</v>
      </c>
      <c r="F2381" s="487">
        <f t="shared" ca="1" si="176"/>
        <v>12</v>
      </c>
      <c r="G2381" s="487" t="s">
        <v>7377</v>
      </c>
      <c r="H2381" s="493"/>
      <c r="I2381" s="493"/>
      <c r="J2381" s="493"/>
      <c r="K2381" s="493"/>
      <c r="L2381" s="487"/>
      <c r="M2381" s="487"/>
      <c r="N2381" s="487"/>
      <c r="O2381" s="487"/>
      <c r="P2381" s="487">
        <f t="shared" si="177"/>
        <v>19</v>
      </c>
      <c r="Q2381" s="487" t="b">
        <v>0</v>
      </c>
    </row>
    <row r="2382" spans="1:17" x14ac:dyDescent="0.3">
      <c r="A2382" s="487" t="b">
        <v>0</v>
      </c>
      <c r="B2382" s="487" t="s">
        <v>7549</v>
      </c>
      <c r="C2382" s="502">
        <v>4</v>
      </c>
      <c r="D2382" s="487">
        <f t="shared" si="174"/>
        <v>-460</v>
      </c>
      <c r="E2382" s="487">
        <f t="shared" si="175"/>
        <v>2</v>
      </c>
      <c r="F2382" s="487">
        <f t="shared" ca="1" si="176"/>
        <v>12</v>
      </c>
      <c r="G2382" s="487" t="s">
        <v>7377</v>
      </c>
      <c r="H2382" s="493"/>
      <c r="I2382" s="493"/>
      <c r="J2382" s="493"/>
      <c r="K2382" s="493"/>
      <c r="L2382" s="487"/>
      <c r="M2382" s="487"/>
      <c r="N2382" s="487"/>
      <c r="O2382" s="487"/>
      <c r="P2382" s="487">
        <f t="shared" si="177"/>
        <v>20</v>
      </c>
      <c r="Q2382" s="487" t="b">
        <v>0</v>
      </c>
    </row>
    <row r="2383" spans="1:17" x14ac:dyDescent="0.3">
      <c r="A2383" s="487" t="b">
        <v>0</v>
      </c>
      <c r="B2383" s="487" t="s">
        <v>7550</v>
      </c>
      <c r="C2383" s="502">
        <v>4</v>
      </c>
      <c r="D2383" s="487">
        <f t="shared" si="174"/>
        <v>-459</v>
      </c>
      <c r="E2383" s="487">
        <f t="shared" si="175"/>
        <v>3</v>
      </c>
      <c r="F2383" s="487">
        <f t="shared" ca="1" si="176"/>
        <v>12</v>
      </c>
      <c r="G2383" s="487" t="s">
        <v>7377</v>
      </c>
      <c r="H2383" s="493"/>
      <c r="I2383" s="493"/>
      <c r="J2383" s="493"/>
      <c r="K2383" s="493"/>
      <c r="L2383" s="487"/>
      <c r="M2383" s="487"/>
      <c r="N2383" s="487"/>
      <c r="O2383" s="487"/>
      <c r="P2383" s="487">
        <f t="shared" si="177"/>
        <v>21</v>
      </c>
      <c r="Q2383" s="487" t="b">
        <v>0</v>
      </c>
    </row>
    <row r="2384" spans="1:17" x14ac:dyDescent="0.3">
      <c r="A2384" s="487" t="b">
        <v>0</v>
      </c>
      <c r="B2384" s="487" t="s">
        <v>7551</v>
      </c>
      <c r="C2384" s="502">
        <v>4</v>
      </c>
      <c r="D2384" s="487">
        <f t="shared" si="174"/>
        <v>-458</v>
      </c>
      <c r="E2384" s="487">
        <f t="shared" si="175"/>
        <v>4</v>
      </c>
      <c r="F2384" s="487">
        <f t="shared" ca="1" si="176"/>
        <v>12</v>
      </c>
      <c r="G2384" s="487" t="s">
        <v>7377</v>
      </c>
      <c r="H2384" s="493"/>
      <c r="I2384" s="493"/>
      <c r="J2384" s="493"/>
      <c r="K2384" s="493"/>
      <c r="L2384" s="487"/>
      <c r="M2384" s="487"/>
      <c r="N2384" s="487"/>
      <c r="O2384" s="487"/>
      <c r="P2384" s="487">
        <f t="shared" si="177"/>
        <v>22</v>
      </c>
      <c r="Q2384" s="487" t="b">
        <v>0</v>
      </c>
    </row>
    <row r="2385" spans="1:17" x14ac:dyDescent="0.3">
      <c r="A2385" s="487" t="b">
        <v>0</v>
      </c>
      <c r="B2385" s="487" t="s">
        <v>7552</v>
      </c>
      <c r="C2385" s="502">
        <v>4</v>
      </c>
      <c r="D2385" s="487">
        <f t="shared" si="174"/>
        <v>-457</v>
      </c>
      <c r="E2385" s="487">
        <f t="shared" si="175"/>
        <v>5</v>
      </c>
      <c r="F2385" s="487">
        <f t="shared" ca="1" si="176"/>
        <v>12</v>
      </c>
      <c r="G2385" s="487" t="s">
        <v>7377</v>
      </c>
      <c r="H2385" s="493"/>
      <c r="I2385" s="493"/>
      <c r="J2385" s="493"/>
      <c r="K2385" s="493"/>
      <c r="L2385" s="487"/>
      <c r="M2385" s="487"/>
      <c r="N2385" s="487"/>
      <c r="O2385" s="487"/>
      <c r="P2385" s="487">
        <f t="shared" si="177"/>
        <v>23</v>
      </c>
      <c r="Q2385" s="487" t="b">
        <v>0</v>
      </c>
    </row>
    <row r="2386" spans="1:17" x14ac:dyDescent="0.3">
      <c r="A2386" s="487" t="b">
        <v>0</v>
      </c>
      <c r="B2386" s="487" t="s">
        <v>7553</v>
      </c>
      <c r="C2386" s="502">
        <v>4</v>
      </c>
      <c r="D2386" s="487">
        <f t="shared" si="174"/>
        <v>-456</v>
      </c>
      <c r="E2386" s="487">
        <f t="shared" si="175"/>
        <v>6</v>
      </c>
      <c r="F2386" s="487">
        <f t="shared" ca="1" si="176"/>
        <v>12</v>
      </c>
      <c r="G2386" s="487" t="s">
        <v>7377</v>
      </c>
      <c r="H2386" s="493"/>
      <c r="I2386" s="493"/>
      <c r="J2386" s="493"/>
      <c r="K2386" s="493"/>
      <c r="L2386" s="487"/>
      <c r="M2386" s="487"/>
      <c r="N2386" s="487"/>
      <c r="O2386" s="487"/>
      <c r="P2386" s="487">
        <f t="shared" si="177"/>
        <v>24</v>
      </c>
      <c r="Q2386" s="487" t="b">
        <v>0</v>
      </c>
    </row>
    <row r="2387" spans="1:17" x14ac:dyDescent="0.3">
      <c r="A2387" s="487" t="b">
        <v>0</v>
      </c>
      <c r="B2387" s="487" t="s">
        <v>7554</v>
      </c>
      <c r="C2387" s="502">
        <v>5</v>
      </c>
      <c r="D2387" s="487">
        <f t="shared" si="174"/>
        <v>-455</v>
      </c>
      <c r="E2387" s="487">
        <f t="shared" si="175"/>
        <v>1</v>
      </c>
      <c r="F2387" s="487">
        <f t="shared" ca="1" si="176"/>
        <v>13</v>
      </c>
      <c r="G2387" s="487" t="s">
        <v>7379</v>
      </c>
      <c r="H2387" s="493"/>
      <c r="I2387" s="493"/>
      <c r="J2387" s="493"/>
      <c r="K2387" s="493"/>
      <c r="L2387" s="487"/>
      <c r="M2387" s="487"/>
      <c r="N2387" s="487"/>
      <c r="O2387" s="487"/>
      <c r="P2387" s="487">
        <f t="shared" si="177"/>
        <v>25</v>
      </c>
      <c r="Q2387" s="487" t="b">
        <v>0</v>
      </c>
    </row>
    <row r="2388" spans="1:17" x14ac:dyDescent="0.3">
      <c r="A2388" s="487" t="b">
        <v>0</v>
      </c>
      <c r="B2388" s="487" t="s">
        <v>7555</v>
      </c>
      <c r="C2388" s="502">
        <v>5</v>
      </c>
      <c r="D2388" s="487">
        <f t="shared" si="174"/>
        <v>-454</v>
      </c>
      <c r="E2388" s="487">
        <f t="shared" si="175"/>
        <v>2</v>
      </c>
      <c r="F2388" s="487">
        <f t="shared" ca="1" si="176"/>
        <v>13</v>
      </c>
      <c r="G2388" s="487" t="s">
        <v>7379</v>
      </c>
      <c r="H2388" s="493"/>
      <c r="I2388" s="493"/>
      <c r="J2388" s="493"/>
      <c r="K2388" s="493"/>
      <c r="L2388" s="487"/>
      <c r="M2388" s="487"/>
      <c r="N2388" s="487"/>
      <c r="O2388" s="487"/>
      <c r="P2388" s="487">
        <f t="shared" si="177"/>
        <v>26</v>
      </c>
      <c r="Q2388" s="487" t="b">
        <v>0</v>
      </c>
    </row>
    <row r="2389" spans="1:17" x14ac:dyDescent="0.3">
      <c r="A2389" s="487" t="b">
        <v>0</v>
      </c>
      <c r="B2389" s="487" t="s">
        <v>7556</v>
      </c>
      <c r="C2389" s="502">
        <v>5</v>
      </c>
      <c r="D2389" s="487">
        <f t="shared" si="174"/>
        <v>-453</v>
      </c>
      <c r="E2389" s="487">
        <f t="shared" si="175"/>
        <v>3</v>
      </c>
      <c r="F2389" s="487">
        <f t="shared" ca="1" si="176"/>
        <v>13</v>
      </c>
      <c r="G2389" s="487" t="s">
        <v>7379</v>
      </c>
      <c r="H2389" s="493"/>
      <c r="I2389" s="493"/>
      <c r="J2389" s="493"/>
      <c r="K2389" s="493"/>
      <c r="L2389" s="487"/>
      <c r="M2389" s="487"/>
      <c r="N2389" s="487"/>
      <c r="O2389" s="487"/>
      <c r="P2389" s="487">
        <f t="shared" si="177"/>
        <v>27</v>
      </c>
      <c r="Q2389" s="487" t="b">
        <v>0</v>
      </c>
    </row>
    <row r="2390" spans="1:17" x14ac:dyDescent="0.3">
      <c r="A2390" s="487" t="b">
        <v>0</v>
      </c>
      <c r="B2390" s="487" t="s">
        <v>7557</v>
      </c>
      <c r="C2390" s="502">
        <v>5</v>
      </c>
      <c r="D2390" s="487">
        <f t="shared" si="174"/>
        <v>-452</v>
      </c>
      <c r="E2390" s="487">
        <f t="shared" si="175"/>
        <v>4</v>
      </c>
      <c r="F2390" s="487">
        <f t="shared" ca="1" si="176"/>
        <v>13</v>
      </c>
      <c r="G2390" s="487" t="s">
        <v>7379</v>
      </c>
      <c r="H2390" s="493"/>
      <c r="I2390" s="493"/>
      <c r="J2390" s="493"/>
      <c r="K2390" s="493"/>
      <c r="L2390" s="487"/>
      <c r="M2390" s="487"/>
      <c r="N2390" s="487"/>
      <c r="O2390" s="487"/>
      <c r="P2390" s="487">
        <f t="shared" si="177"/>
        <v>28</v>
      </c>
      <c r="Q2390" s="487" t="b">
        <v>0</v>
      </c>
    </row>
    <row r="2391" spans="1:17" x14ac:dyDescent="0.3">
      <c r="A2391" s="487" t="b">
        <v>0</v>
      </c>
      <c r="B2391" s="487" t="s">
        <v>7558</v>
      </c>
      <c r="C2391" s="502">
        <v>5</v>
      </c>
      <c r="D2391" s="487">
        <f t="shared" si="174"/>
        <v>-451</v>
      </c>
      <c r="E2391" s="487">
        <f t="shared" si="175"/>
        <v>5</v>
      </c>
      <c r="F2391" s="487">
        <f t="shared" ca="1" si="176"/>
        <v>13</v>
      </c>
      <c r="G2391" s="487" t="s">
        <v>7379</v>
      </c>
      <c r="H2391" s="493"/>
      <c r="I2391" s="493"/>
      <c r="J2391" s="493"/>
      <c r="K2391" s="493"/>
      <c r="L2391" s="487"/>
      <c r="M2391" s="487"/>
      <c r="N2391" s="487"/>
      <c r="O2391" s="487"/>
      <c r="P2391" s="487">
        <f t="shared" si="177"/>
        <v>29</v>
      </c>
      <c r="Q2391" s="487" t="b">
        <v>0</v>
      </c>
    </row>
    <row r="2392" spans="1:17" x14ac:dyDescent="0.3">
      <c r="A2392" s="487" t="b">
        <v>0</v>
      </c>
      <c r="B2392" s="487" t="s">
        <v>7559</v>
      </c>
      <c r="C2392" s="502">
        <v>5</v>
      </c>
      <c r="D2392" s="487">
        <f t="shared" si="174"/>
        <v>-450</v>
      </c>
      <c r="E2392" s="487">
        <f t="shared" si="175"/>
        <v>6</v>
      </c>
      <c r="F2392" s="487">
        <f t="shared" ca="1" si="176"/>
        <v>13</v>
      </c>
      <c r="G2392" s="487" t="s">
        <v>7379</v>
      </c>
      <c r="H2392" s="493"/>
      <c r="I2392" s="493"/>
      <c r="J2392" s="493"/>
      <c r="K2392" s="493"/>
      <c r="L2392" s="487"/>
      <c r="M2392" s="487"/>
      <c r="N2392" s="487"/>
      <c r="O2392" s="487"/>
      <c r="P2392" s="487">
        <f t="shared" si="177"/>
        <v>30</v>
      </c>
      <c r="Q2392" s="487" t="b">
        <v>0</v>
      </c>
    </row>
    <row r="2393" spans="1:17" x14ac:dyDescent="0.3">
      <c r="A2393" s="487" t="b">
        <v>0</v>
      </c>
      <c r="B2393" s="487" t="s">
        <v>7560</v>
      </c>
      <c r="C2393" s="502">
        <v>6</v>
      </c>
      <c r="D2393" s="487">
        <f t="shared" si="174"/>
        <v>-449</v>
      </c>
      <c r="E2393" s="487">
        <f t="shared" si="175"/>
        <v>1</v>
      </c>
      <c r="F2393" s="487">
        <f t="shared" ca="1" si="176"/>
        <v>14</v>
      </c>
      <c r="G2393" s="487" t="s">
        <v>7381</v>
      </c>
      <c r="H2393" s="493"/>
      <c r="I2393" s="493"/>
      <c r="J2393" s="493"/>
      <c r="K2393" s="493"/>
      <c r="L2393" s="487"/>
      <c r="M2393" s="487"/>
      <c r="N2393" s="487"/>
      <c r="O2393" s="487"/>
      <c r="P2393" s="487">
        <f t="shared" si="177"/>
        <v>31</v>
      </c>
      <c r="Q2393" s="487" t="b">
        <v>0</v>
      </c>
    </row>
    <row r="2394" spans="1:17" x14ac:dyDescent="0.3">
      <c r="A2394" s="487" t="b">
        <v>0</v>
      </c>
      <c r="B2394" s="487" t="s">
        <v>7561</v>
      </c>
      <c r="C2394" s="502">
        <v>6</v>
      </c>
      <c r="D2394" s="487">
        <f t="shared" si="174"/>
        <v>-448</v>
      </c>
      <c r="E2394" s="487">
        <f t="shared" si="175"/>
        <v>2</v>
      </c>
      <c r="F2394" s="487">
        <f t="shared" ca="1" si="176"/>
        <v>14</v>
      </c>
      <c r="G2394" s="487" t="s">
        <v>7381</v>
      </c>
      <c r="H2394" s="493"/>
      <c r="I2394" s="493"/>
      <c r="J2394" s="493"/>
      <c r="K2394" s="493"/>
      <c r="L2394" s="487"/>
      <c r="M2394" s="487"/>
      <c r="N2394" s="487"/>
      <c r="O2394" s="487"/>
      <c r="P2394" s="487">
        <f t="shared" si="177"/>
        <v>32</v>
      </c>
      <c r="Q2394" s="487" t="b">
        <v>0</v>
      </c>
    </row>
    <row r="2395" spans="1:17" x14ac:dyDescent="0.3">
      <c r="A2395" s="487" t="b">
        <v>0</v>
      </c>
      <c r="B2395" s="487" t="s">
        <v>7562</v>
      </c>
      <c r="C2395" s="502">
        <v>6</v>
      </c>
      <c r="D2395" s="487">
        <f t="shared" si="174"/>
        <v>-447</v>
      </c>
      <c r="E2395" s="487">
        <f t="shared" si="175"/>
        <v>3</v>
      </c>
      <c r="F2395" s="487">
        <f t="shared" ca="1" si="176"/>
        <v>14</v>
      </c>
      <c r="G2395" s="487" t="s">
        <v>7381</v>
      </c>
      <c r="H2395" s="493"/>
      <c r="I2395" s="493"/>
      <c r="J2395" s="493"/>
      <c r="K2395" s="493"/>
      <c r="L2395" s="487"/>
      <c r="M2395" s="487"/>
      <c r="N2395" s="487"/>
      <c r="O2395" s="487"/>
      <c r="P2395" s="487">
        <f t="shared" si="177"/>
        <v>33</v>
      </c>
      <c r="Q2395" s="487" t="b">
        <v>0</v>
      </c>
    </row>
    <row r="2396" spans="1:17" x14ac:dyDescent="0.3">
      <c r="A2396" s="487" t="b">
        <v>0</v>
      </c>
      <c r="B2396" s="487" t="s">
        <v>7563</v>
      </c>
      <c r="C2396" s="502">
        <v>6</v>
      </c>
      <c r="D2396" s="487">
        <f t="shared" si="174"/>
        <v>-446</v>
      </c>
      <c r="E2396" s="487">
        <f t="shared" si="175"/>
        <v>4</v>
      </c>
      <c r="F2396" s="487">
        <f t="shared" ca="1" si="176"/>
        <v>14</v>
      </c>
      <c r="G2396" s="487" t="s">
        <v>7381</v>
      </c>
      <c r="H2396" s="493"/>
      <c r="I2396" s="493"/>
      <c r="J2396" s="493"/>
      <c r="K2396" s="493"/>
      <c r="L2396" s="487"/>
      <c r="M2396" s="487"/>
      <c r="N2396" s="487"/>
      <c r="O2396" s="487"/>
      <c r="P2396" s="487">
        <f t="shared" si="177"/>
        <v>34</v>
      </c>
      <c r="Q2396" s="487" t="b">
        <v>0</v>
      </c>
    </row>
    <row r="2397" spans="1:17" x14ac:dyDescent="0.3">
      <c r="A2397" s="487" t="b">
        <v>0</v>
      </c>
      <c r="B2397" s="487" t="s">
        <v>7564</v>
      </c>
      <c r="C2397" s="502">
        <v>6</v>
      </c>
      <c r="D2397" s="487">
        <f t="shared" si="174"/>
        <v>-445</v>
      </c>
      <c r="E2397" s="487">
        <f t="shared" si="175"/>
        <v>5</v>
      </c>
      <c r="F2397" s="487">
        <f t="shared" ca="1" si="176"/>
        <v>14</v>
      </c>
      <c r="G2397" s="487" t="s">
        <v>7381</v>
      </c>
      <c r="H2397" s="493"/>
      <c r="I2397" s="493"/>
      <c r="J2397" s="493"/>
      <c r="K2397" s="493"/>
      <c r="L2397" s="487"/>
      <c r="M2397" s="487"/>
      <c r="N2397" s="487"/>
      <c r="O2397" s="487"/>
      <c r="P2397" s="487">
        <f t="shared" si="177"/>
        <v>35</v>
      </c>
      <c r="Q2397" s="487" t="b">
        <v>0</v>
      </c>
    </row>
    <row r="2398" spans="1:17" x14ac:dyDescent="0.3">
      <c r="A2398" s="487" t="b">
        <v>0</v>
      </c>
      <c r="B2398" s="487" t="s">
        <v>7565</v>
      </c>
      <c r="C2398" s="502">
        <v>6</v>
      </c>
      <c r="D2398" s="487">
        <f t="shared" si="174"/>
        <v>-444</v>
      </c>
      <c r="E2398" s="487">
        <f t="shared" si="175"/>
        <v>6</v>
      </c>
      <c r="F2398" s="487">
        <f t="shared" ca="1" si="176"/>
        <v>14</v>
      </c>
      <c r="G2398" s="487" t="s">
        <v>7381</v>
      </c>
      <c r="H2398" s="493"/>
      <c r="I2398" s="493"/>
      <c r="J2398" s="493"/>
      <c r="K2398" s="493"/>
      <c r="L2398" s="487"/>
      <c r="M2398" s="487"/>
      <c r="N2398" s="487"/>
      <c r="O2398" s="487"/>
      <c r="P2398" s="487">
        <f t="shared" si="177"/>
        <v>36</v>
      </c>
      <c r="Q2398" s="487" t="b">
        <v>0</v>
      </c>
    </row>
    <row r="2399" spans="1:17" x14ac:dyDescent="0.3">
      <c r="A2399" s="487" t="b">
        <v>0</v>
      </c>
      <c r="B2399" s="487" t="s">
        <v>7566</v>
      </c>
      <c r="C2399" s="502">
        <v>7</v>
      </c>
      <c r="D2399" s="487">
        <f t="shared" si="174"/>
        <v>-443</v>
      </c>
      <c r="E2399" s="487">
        <f t="shared" si="175"/>
        <v>1</v>
      </c>
      <c r="F2399" s="487">
        <f t="shared" ca="1" si="176"/>
        <v>15</v>
      </c>
      <c r="G2399" s="487" t="s">
        <v>7383</v>
      </c>
      <c r="H2399" s="493"/>
      <c r="I2399" s="493"/>
      <c r="J2399" s="493"/>
      <c r="K2399" s="493"/>
      <c r="L2399" s="487"/>
      <c r="M2399" s="487"/>
      <c r="N2399" s="487"/>
      <c r="O2399" s="487"/>
      <c r="P2399" s="487">
        <f t="shared" si="177"/>
        <v>37</v>
      </c>
      <c r="Q2399" s="487" t="b">
        <v>0</v>
      </c>
    </row>
    <row r="2400" spans="1:17" x14ac:dyDescent="0.3">
      <c r="A2400" s="487" t="b">
        <v>0</v>
      </c>
      <c r="B2400" s="487" t="s">
        <v>7567</v>
      </c>
      <c r="C2400" s="502">
        <v>7</v>
      </c>
      <c r="D2400" s="487">
        <f t="shared" si="174"/>
        <v>-442</v>
      </c>
      <c r="E2400" s="487">
        <f t="shared" si="175"/>
        <v>2</v>
      </c>
      <c r="F2400" s="487">
        <f t="shared" ca="1" si="176"/>
        <v>15</v>
      </c>
      <c r="G2400" s="487" t="s">
        <v>7383</v>
      </c>
      <c r="H2400" s="493"/>
      <c r="I2400" s="493"/>
      <c r="J2400" s="493"/>
      <c r="K2400" s="493"/>
      <c r="L2400" s="487"/>
      <c r="M2400" s="487"/>
      <c r="N2400" s="487"/>
      <c r="O2400" s="487"/>
      <c r="P2400" s="487">
        <f t="shared" si="177"/>
        <v>38</v>
      </c>
      <c r="Q2400" s="487" t="b">
        <v>0</v>
      </c>
    </row>
    <row r="2401" spans="1:17" x14ac:dyDescent="0.3">
      <c r="A2401" s="487" t="b">
        <v>0</v>
      </c>
      <c r="B2401" s="487" t="s">
        <v>7568</v>
      </c>
      <c r="C2401" s="502">
        <v>7</v>
      </c>
      <c r="D2401" s="487">
        <f t="shared" si="174"/>
        <v>-441</v>
      </c>
      <c r="E2401" s="487">
        <f t="shared" si="175"/>
        <v>3</v>
      </c>
      <c r="F2401" s="487">
        <f t="shared" ca="1" si="176"/>
        <v>15</v>
      </c>
      <c r="G2401" s="487" t="s">
        <v>7383</v>
      </c>
      <c r="H2401" s="493"/>
      <c r="I2401" s="493"/>
      <c r="J2401" s="493"/>
      <c r="K2401" s="493"/>
      <c r="L2401" s="487"/>
      <c r="M2401" s="487"/>
      <c r="N2401" s="487"/>
      <c r="O2401" s="487"/>
      <c r="P2401" s="487">
        <f t="shared" si="177"/>
        <v>39</v>
      </c>
      <c r="Q2401" s="487" t="b">
        <v>0</v>
      </c>
    </row>
    <row r="2402" spans="1:17" x14ac:dyDescent="0.3">
      <c r="A2402" s="487" t="b">
        <v>0</v>
      </c>
      <c r="B2402" s="487" t="s">
        <v>7569</v>
      </c>
      <c r="C2402" s="502">
        <v>7</v>
      </c>
      <c r="D2402" s="487">
        <f t="shared" si="174"/>
        <v>-440</v>
      </c>
      <c r="E2402" s="487">
        <f t="shared" si="175"/>
        <v>4</v>
      </c>
      <c r="F2402" s="487">
        <f t="shared" ca="1" si="176"/>
        <v>15</v>
      </c>
      <c r="G2402" s="487" t="s">
        <v>7383</v>
      </c>
      <c r="H2402" s="493"/>
      <c r="I2402" s="493"/>
      <c r="J2402" s="493"/>
      <c r="K2402" s="493"/>
      <c r="L2402" s="487"/>
      <c r="M2402" s="487"/>
      <c r="N2402" s="487"/>
      <c r="O2402" s="487"/>
      <c r="P2402" s="487">
        <f t="shared" si="177"/>
        <v>40</v>
      </c>
      <c r="Q2402" s="487" t="b">
        <v>0</v>
      </c>
    </row>
    <row r="2403" spans="1:17" x14ac:dyDescent="0.3">
      <c r="A2403" s="487" t="b">
        <v>0</v>
      </c>
      <c r="B2403" s="487" t="s">
        <v>7570</v>
      </c>
      <c r="C2403" s="502">
        <v>7</v>
      </c>
      <c r="D2403" s="487">
        <f t="shared" si="174"/>
        <v>-439</v>
      </c>
      <c r="E2403" s="487">
        <f t="shared" si="175"/>
        <v>5</v>
      </c>
      <c r="F2403" s="487">
        <f t="shared" ca="1" si="176"/>
        <v>15</v>
      </c>
      <c r="G2403" s="487" t="s">
        <v>7383</v>
      </c>
      <c r="H2403" s="493"/>
      <c r="I2403" s="493"/>
      <c r="J2403" s="493"/>
      <c r="K2403" s="493"/>
      <c r="L2403" s="487"/>
      <c r="M2403" s="487"/>
      <c r="N2403" s="487"/>
      <c r="O2403" s="487"/>
      <c r="P2403" s="487">
        <f t="shared" si="177"/>
        <v>41</v>
      </c>
      <c r="Q2403" s="487" t="b">
        <v>0</v>
      </c>
    </row>
    <row r="2404" spans="1:17" x14ac:dyDescent="0.3">
      <c r="A2404" s="487" t="b">
        <v>0</v>
      </c>
      <c r="B2404" s="487" t="s">
        <v>7571</v>
      </c>
      <c r="C2404" s="502">
        <v>7</v>
      </c>
      <c r="D2404" s="487">
        <f t="shared" si="174"/>
        <v>-438</v>
      </c>
      <c r="E2404" s="487">
        <f t="shared" si="175"/>
        <v>6</v>
      </c>
      <c r="F2404" s="487">
        <f t="shared" ca="1" si="176"/>
        <v>15</v>
      </c>
      <c r="G2404" s="487" t="s">
        <v>7383</v>
      </c>
      <c r="H2404" s="493"/>
      <c r="I2404" s="493"/>
      <c r="J2404" s="493"/>
      <c r="K2404" s="493"/>
      <c r="L2404" s="487"/>
      <c r="M2404" s="487"/>
      <c r="N2404" s="487"/>
      <c r="O2404" s="487"/>
      <c r="P2404" s="487">
        <f t="shared" si="177"/>
        <v>42</v>
      </c>
      <c r="Q2404" s="487" t="b">
        <v>0</v>
      </c>
    </row>
    <row r="2405" spans="1:17" x14ac:dyDescent="0.3">
      <c r="A2405" s="487" t="b">
        <v>0</v>
      </c>
      <c r="B2405" s="487" t="s">
        <v>7572</v>
      </c>
      <c r="C2405" s="502">
        <v>8</v>
      </c>
      <c r="D2405" s="487">
        <f t="shared" si="174"/>
        <v>-437</v>
      </c>
      <c r="E2405" s="487">
        <f t="shared" si="175"/>
        <v>1</v>
      </c>
      <c r="F2405" s="487">
        <f t="shared" ca="1" si="176"/>
        <v>16</v>
      </c>
      <c r="G2405" s="487" t="s">
        <v>7385</v>
      </c>
      <c r="H2405" s="493"/>
      <c r="I2405" s="493"/>
      <c r="J2405" s="493"/>
      <c r="K2405" s="493"/>
      <c r="L2405" s="487"/>
      <c r="M2405" s="487"/>
      <c r="N2405" s="487"/>
      <c r="O2405" s="487"/>
      <c r="P2405" s="487">
        <f t="shared" si="177"/>
        <v>43</v>
      </c>
      <c r="Q2405" s="487" t="b">
        <v>0</v>
      </c>
    </row>
    <row r="2406" spans="1:17" x14ac:dyDescent="0.3">
      <c r="A2406" s="487" t="b">
        <v>0</v>
      </c>
      <c r="B2406" s="487" t="s">
        <v>7573</v>
      </c>
      <c r="C2406" s="502">
        <v>8</v>
      </c>
      <c r="D2406" s="487">
        <f t="shared" si="174"/>
        <v>-436</v>
      </c>
      <c r="E2406" s="487">
        <f t="shared" si="175"/>
        <v>2</v>
      </c>
      <c r="F2406" s="487">
        <f t="shared" ca="1" si="176"/>
        <v>16</v>
      </c>
      <c r="G2406" s="487" t="s">
        <v>7385</v>
      </c>
      <c r="H2406" s="493"/>
      <c r="I2406" s="493"/>
      <c r="J2406" s="493"/>
      <c r="K2406" s="493"/>
      <c r="L2406" s="487"/>
      <c r="M2406" s="487"/>
      <c r="N2406" s="487"/>
      <c r="O2406" s="487"/>
      <c r="P2406" s="487">
        <f t="shared" si="177"/>
        <v>44</v>
      </c>
      <c r="Q2406" s="487" t="b">
        <v>0</v>
      </c>
    </row>
    <row r="2407" spans="1:17" x14ac:dyDescent="0.3">
      <c r="A2407" s="487" t="b">
        <v>0</v>
      </c>
      <c r="B2407" s="487" t="s">
        <v>7574</v>
      </c>
      <c r="C2407" s="502">
        <v>8</v>
      </c>
      <c r="D2407" s="487">
        <f t="shared" si="174"/>
        <v>-435</v>
      </c>
      <c r="E2407" s="487">
        <f t="shared" si="175"/>
        <v>3</v>
      </c>
      <c r="F2407" s="487">
        <f t="shared" ca="1" si="176"/>
        <v>16</v>
      </c>
      <c r="G2407" s="487" t="s">
        <v>7385</v>
      </c>
      <c r="H2407" s="493"/>
      <c r="I2407" s="493"/>
      <c r="J2407" s="493"/>
      <c r="K2407" s="493"/>
      <c r="L2407" s="487"/>
      <c r="M2407" s="487"/>
      <c r="N2407" s="487"/>
      <c r="O2407" s="487"/>
      <c r="P2407" s="487">
        <f t="shared" si="177"/>
        <v>45</v>
      </c>
      <c r="Q2407" s="487" t="b">
        <v>0</v>
      </c>
    </row>
    <row r="2408" spans="1:17" x14ac:dyDescent="0.3">
      <c r="A2408" s="487" t="b">
        <v>0</v>
      </c>
      <c r="B2408" s="487" t="s">
        <v>7575</v>
      </c>
      <c r="C2408" s="502">
        <v>8</v>
      </c>
      <c r="D2408" s="487">
        <f t="shared" si="174"/>
        <v>-434</v>
      </c>
      <c r="E2408" s="487">
        <f t="shared" si="175"/>
        <v>4</v>
      </c>
      <c r="F2408" s="487">
        <f t="shared" ca="1" si="176"/>
        <v>16</v>
      </c>
      <c r="G2408" s="487" t="s">
        <v>7385</v>
      </c>
      <c r="H2408" s="493"/>
      <c r="I2408" s="493"/>
      <c r="J2408" s="493"/>
      <c r="K2408" s="493"/>
      <c r="L2408" s="487"/>
      <c r="M2408" s="487"/>
      <c r="N2408" s="487"/>
      <c r="O2408" s="487"/>
      <c r="P2408" s="487">
        <f t="shared" si="177"/>
        <v>46</v>
      </c>
      <c r="Q2408" s="487" t="b">
        <v>0</v>
      </c>
    </row>
    <row r="2409" spans="1:17" x14ac:dyDescent="0.3">
      <c r="A2409" s="487" t="b">
        <v>0</v>
      </c>
      <c r="B2409" s="487" t="s">
        <v>7576</v>
      </c>
      <c r="C2409" s="502">
        <v>8</v>
      </c>
      <c r="D2409" s="487">
        <f t="shared" si="174"/>
        <v>-433</v>
      </c>
      <c r="E2409" s="487">
        <f t="shared" si="175"/>
        <v>5</v>
      </c>
      <c r="F2409" s="487">
        <f t="shared" ca="1" si="176"/>
        <v>16</v>
      </c>
      <c r="G2409" s="487" t="s">
        <v>7385</v>
      </c>
      <c r="H2409" s="493"/>
      <c r="I2409" s="493"/>
      <c r="J2409" s="493"/>
      <c r="K2409" s="493"/>
      <c r="L2409" s="487"/>
      <c r="M2409" s="487"/>
      <c r="N2409" s="487"/>
      <c r="O2409" s="487"/>
      <c r="P2409" s="487">
        <f t="shared" si="177"/>
        <v>47</v>
      </c>
      <c r="Q2409" s="487" t="b">
        <v>0</v>
      </c>
    </row>
    <row r="2410" spans="1:17" x14ac:dyDescent="0.3">
      <c r="A2410" s="487" t="b">
        <v>0</v>
      </c>
      <c r="B2410" s="487" t="s">
        <v>7577</v>
      </c>
      <c r="C2410" s="502">
        <v>8</v>
      </c>
      <c r="D2410" s="487">
        <f t="shared" si="174"/>
        <v>-432</v>
      </c>
      <c r="E2410" s="487">
        <f t="shared" si="175"/>
        <v>6</v>
      </c>
      <c r="F2410" s="487">
        <f t="shared" ca="1" si="176"/>
        <v>16</v>
      </c>
      <c r="G2410" s="487" t="s">
        <v>7385</v>
      </c>
      <c r="H2410" s="493"/>
      <c r="I2410" s="493"/>
      <c r="J2410" s="493"/>
      <c r="K2410" s="493"/>
      <c r="L2410" s="487"/>
      <c r="M2410" s="487"/>
      <c r="N2410" s="487"/>
      <c r="O2410" s="487"/>
      <c r="P2410" s="487">
        <f t="shared" si="177"/>
        <v>48</v>
      </c>
      <c r="Q2410" s="487" t="b">
        <v>0</v>
      </c>
    </row>
    <row r="2411" spans="1:17" x14ac:dyDescent="0.3">
      <c r="A2411" s="487" t="b">
        <v>0</v>
      </c>
      <c r="B2411" s="487" t="s">
        <v>7578</v>
      </c>
      <c r="C2411" s="502">
        <v>9</v>
      </c>
      <c r="D2411" s="487">
        <f t="shared" si="174"/>
        <v>-431</v>
      </c>
      <c r="E2411" s="487">
        <f t="shared" si="175"/>
        <v>1</v>
      </c>
      <c r="F2411" s="487">
        <f t="shared" ca="1" si="176"/>
        <v>17</v>
      </c>
      <c r="G2411" s="487" t="s">
        <v>7387</v>
      </c>
      <c r="H2411" s="493"/>
      <c r="I2411" s="493"/>
      <c r="J2411" s="493"/>
      <c r="K2411" s="493"/>
      <c r="L2411" s="487"/>
      <c r="M2411" s="487"/>
      <c r="N2411" s="487"/>
      <c r="O2411" s="487"/>
      <c r="P2411" s="487">
        <f t="shared" si="177"/>
        <v>49</v>
      </c>
      <c r="Q2411" s="487" t="b">
        <v>0</v>
      </c>
    </row>
    <row r="2412" spans="1:17" x14ac:dyDescent="0.3">
      <c r="A2412" s="487" t="b">
        <v>0</v>
      </c>
      <c r="B2412" s="487" t="s">
        <v>7579</v>
      </c>
      <c r="C2412" s="502">
        <v>9</v>
      </c>
      <c r="D2412" s="487">
        <f t="shared" si="174"/>
        <v>-430</v>
      </c>
      <c r="E2412" s="487">
        <f t="shared" si="175"/>
        <v>2</v>
      </c>
      <c r="F2412" s="487">
        <f t="shared" ca="1" si="176"/>
        <v>17</v>
      </c>
      <c r="G2412" s="487" t="s">
        <v>7387</v>
      </c>
      <c r="H2412" s="493"/>
      <c r="I2412" s="493"/>
      <c r="J2412" s="493"/>
      <c r="K2412" s="493"/>
      <c r="L2412" s="487"/>
      <c r="M2412" s="487"/>
      <c r="N2412" s="487"/>
      <c r="O2412" s="487"/>
      <c r="P2412" s="487">
        <f t="shared" si="177"/>
        <v>50</v>
      </c>
      <c r="Q2412" s="487" t="b">
        <v>0</v>
      </c>
    </row>
    <row r="2413" spans="1:17" x14ac:dyDescent="0.3">
      <c r="A2413" s="487" t="b">
        <v>0</v>
      </c>
      <c r="B2413" s="487" t="s">
        <v>7580</v>
      </c>
      <c r="C2413" s="502">
        <v>9</v>
      </c>
      <c r="D2413" s="487">
        <f t="shared" si="174"/>
        <v>-429</v>
      </c>
      <c r="E2413" s="487">
        <f t="shared" si="175"/>
        <v>3</v>
      </c>
      <c r="F2413" s="487">
        <f t="shared" ca="1" si="176"/>
        <v>17</v>
      </c>
      <c r="G2413" s="487" t="s">
        <v>7387</v>
      </c>
      <c r="H2413" s="493"/>
      <c r="I2413" s="493"/>
      <c r="J2413" s="493"/>
      <c r="K2413" s="493"/>
      <c r="L2413" s="487"/>
      <c r="M2413" s="487"/>
      <c r="N2413" s="487"/>
      <c r="O2413" s="487"/>
      <c r="P2413" s="487">
        <f t="shared" si="177"/>
        <v>51</v>
      </c>
      <c r="Q2413" s="487" t="b">
        <v>0</v>
      </c>
    </row>
    <row r="2414" spans="1:17" x14ac:dyDescent="0.3">
      <c r="A2414" s="487" t="b">
        <v>0</v>
      </c>
      <c r="B2414" s="487" t="s">
        <v>7581</v>
      </c>
      <c r="C2414" s="502">
        <v>9</v>
      </c>
      <c r="D2414" s="487">
        <f t="shared" si="174"/>
        <v>-428</v>
      </c>
      <c r="E2414" s="487">
        <f t="shared" si="175"/>
        <v>4</v>
      </c>
      <c r="F2414" s="487">
        <f t="shared" ca="1" si="176"/>
        <v>17</v>
      </c>
      <c r="G2414" s="487" t="s">
        <v>7387</v>
      </c>
      <c r="H2414" s="493"/>
      <c r="I2414" s="493"/>
      <c r="J2414" s="493"/>
      <c r="K2414" s="493"/>
      <c r="L2414" s="487"/>
      <c r="M2414" s="487"/>
      <c r="N2414" s="487"/>
      <c r="O2414" s="487"/>
      <c r="P2414" s="487">
        <f t="shared" si="177"/>
        <v>52</v>
      </c>
      <c r="Q2414" s="487" t="b">
        <v>0</v>
      </c>
    </row>
    <row r="2415" spans="1:17" x14ac:dyDescent="0.3">
      <c r="A2415" s="487" t="b">
        <v>0</v>
      </c>
      <c r="B2415" s="487" t="s">
        <v>7582</v>
      </c>
      <c r="C2415" s="502">
        <v>9</v>
      </c>
      <c r="D2415" s="487">
        <f t="shared" si="174"/>
        <v>-427</v>
      </c>
      <c r="E2415" s="487">
        <f t="shared" si="175"/>
        <v>5</v>
      </c>
      <c r="F2415" s="487">
        <f t="shared" ca="1" si="176"/>
        <v>17</v>
      </c>
      <c r="G2415" s="487" t="s">
        <v>7387</v>
      </c>
      <c r="H2415" s="493"/>
      <c r="I2415" s="493"/>
      <c r="J2415" s="493"/>
      <c r="K2415" s="493"/>
      <c r="L2415" s="487"/>
      <c r="M2415" s="487"/>
      <c r="N2415" s="487"/>
      <c r="O2415" s="487"/>
      <c r="P2415" s="487">
        <f t="shared" si="177"/>
        <v>53</v>
      </c>
      <c r="Q2415" s="487" t="b">
        <v>0</v>
      </c>
    </row>
    <row r="2416" spans="1:17" x14ac:dyDescent="0.3">
      <c r="A2416" s="487" t="b">
        <v>0</v>
      </c>
      <c r="B2416" s="487" t="s">
        <v>7583</v>
      </c>
      <c r="C2416" s="502">
        <v>9</v>
      </c>
      <c r="D2416" s="487">
        <f t="shared" si="174"/>
        <v>-426</v>
      </c>
      <c r="E2416" s="487">
        <f t="shared" si="175"/>
        <v>6</v>
      </c>
      <c r="F2416" s="487">
        <f t="shared" ca="1" si="176"/>
        <v>17</v>
      </c>
      <c r="G2416" s="487" t="s">
        <v>7387</v>
      </c>
      <c r="H2416" s="493"/>
      <c r="I2416" s="493"/>
      <c r="J2416" s="493"/>
      <c r="K2416" s="493"/>
      <c r="L2416" s="487"/>
      <c r="M2416" s="487"/>
      <c r="N2416" s="487"/>
      <c r="O2416" s="487"/>
      <c r="P2416" s="487">
        <f t="shared" si="177"/>
        <v>54</v>
      </c>
      <c r="Q2416" s="487" t="b">
        <v>0</v>
      </c>
    </row>
    <row r="2417" spans="1:17" x14ac:dyDescent="0.3">
      <c r="A2417" s="487" t="b">
        <v>0</v>
      </c>
      <c r="B2417" s="487" t="s">
        <v>7584</v>
      </c>
      <c r="C2417" s="502">
        <v>10</v>
      </c>
      <c r="D2417" s="487">
        <f t="shared" si="174"/>
        <v>-425</v>
      </c>
      <c r="E2417" s="487">
        <f t="shared" si="175"/>
        <v>1</v>
      </c>
      <c r="F2417" s="487">
        <f t="shared" ca="1" si="176"/>
        <v>18</v>
      </c>
      <c r="G2417" s="487" t="s">
        <v>7389</v>
      </c>
      <c r="H2417" s="493"/>
      <c r="I2417" s="493"/>
      <c r="J2417" s="493"/>
      <c r="K2417" s="493"/>
      <c r="L2417" s="487"/>
      <c r="M2417" s="487"/>
      <c r="N2417" s="487"/>
      <c r="O2417" s="487"/>
      <c r="P2417" s="487">
        <f t="shared" si="177"/>
        <v>55</v>
      </c>
      <c r="Q2417" s="487" t="b">
        <v>0</v>
      </c>
    </row>
    <row r="2418" spans="1:17" x14ac:dyDescent="0.3">
      <c r="A2418" s="487" t="b">
        <v>0</v>
      </c>
      <c r="B2418" s="487" t="s">
        <v>7585</v>
      </c>
      <c r="C2418" s="502">
        <v>10</v>
      </c>
      <c r="D2418" s="487">
        <f t="shared" si="174"/>
        <v>-424</v>
      </c>
      <c r="E2418" s="487">
        <f t="shared" si="175"/>
        <v>2</v>
      </c>
      <c r="F2418" s="487">
        <f t="shared" ca="1" si="176"/>
        <v>18</v>
      </c>
      <c r="G2418" s="487" t="s">
        <v>7389</v>
      </c>
      <c r="H2418" s="493"/>
      <c r="I2418" s="493"/>
      <c r="J2418" s="493"/>
      <c r="K2418" s="493"/>
      <c r="L2418" s="487"/>
      <c r="M2418" s="487"/>
      <c r="N2418" s="487"/>
      <c r="O2418" s="487"/>
      <c r="P2418" s="487">
        <f t="shared" si="177"/>
        <v>56</v>
      </c>
      <c r="Q2418" s="487" t="b">
        <v>0</v>
      </c>
    </row>
    <row r="2419" spans="1:17" x14ac:dyDescent="0.3">
      <c r="A2419" s="487" t="b">
        <v>0</v>
      </c>
      <c r="B2419" s="487" t="s">
        <v>7586</v>
      </c>
      <c r="C2419" s="502">
        <v>10</v>
      </c>
      <c r="D2419" s="487">
        <f t="shared" si="174"/>
        <v>-423</v>
      </c>
      <c r="E2419" s="487">
        <f t="shared" si="175"/>
        <v>3</v>
      </c>
      <c r="F2419" s="487">
        <f t="shared" ca="1" si="176"/>
        <v>18</v>
      </c>
      <c r="G2419" s="487" t="s">
        <v>7389</v>
      </c>
      <c r="H2419" s="493"/>
      <c r="I2419" s="493"/>
      <c r="J2419" s="493"/>
      <c r="K2419" s="493"/>
      <c r="L2419" s="487"/>
      <c r="M2419" s="487"/>
      <c r="N2419" s="487"/>
      <c r="O2419" s="487"/>
      <c r="P2419" s="487">
        <f t="shared" si="177"/>
        <v>57</v>
      </c>
      <c r="Q2419" s="487" t="b">
        <v>0</v>
      </c>
    </row>
    <row r="2420" spans="1:17" x14ac:dyDescent="0.3">
      <c r="A2420" s="487" t="b">
        <v>0</v>
      </c>
      <c r="B2420" s="487" t="s">
        <v>7587</v>
      </c>
      <c r="C2420" s="502">
        <v>10</v>
      </c>
      <c r="D2420" s="487">
        <f t="shared" si="174"/>
        <v>-422</v>
      </c>
      <c r="E2420" s="487">
        <f t="shared" si="175"/>
        <v>4</v>
      </c>
      <c r="F2420" s="487">
        <f t="shared" ca="1" si="176"/>
        <v>18</v>
      </c>
      <c r="G2420" s="487" t="s">
        <v>7389</v>
      </c>
      <c r="H2420" s="493"/>
      <c r="I2420" s="493"/>
      <c r="J2420" s="493"/>
      <c r="K2420" s="493"/>
      <c r="L2420" s="487"/>
      <c r="M2420" s="487"/>
      <c r="N2420" s="487"/>
      <c r="O2420" s="487"/>
      <c r="P2420" s="487">
        <f t="shared" si="177"/>
        <v>58</v>
      </c>
      <c r="Q2420" s="487" t="b">
        <v>0</v>
      </c>
    </row>
    <row r="2421" spans="1:17" x14ac:dyDescent="0.3">
      <c r="A2421" s="487" t="b">
        <v>0</v>
      </c>
      <c r="B2421" s="487" t="s">
        <v>7588</v>
      </c>
      <c r="C2421" s="502">
        <v>10</v>
      </c>
      <c r="D2421" s="487">
        <f t="shared" si="174"/>
        <v>-421</v>
      </c>
      <c r="E2421" s="487">
        <f t="shared" si="175"/>
        <v>5</v>
      </c>
      <c r="F2421" s="487">
        <f t="shared" ca="1" si="176"/>
        <v>18</v>
      </c>
      <c r="G2421" s="487" t="s">
        <v>7389</v>
      </c>
      <c r="H2421" s="493"/>
      <c r="I2421" s="493"/>
      <c r="J2421" s="493"/>
      <c r="K2421" s="493"/>
      <c r="L2421" s="487"/>
      <c r="M2421" s="487"/>
      <c r="N2421" s="487"/>
      <c r="O2421" s="487"/>
      <c r="P2421" s="487">
        <f t="shared" si="177"/>
        <v>59</v>
      </c>
      <c r="Q2421" s="487" t="b">
        <v>0</v>
      </c>
    </row>
    <row r="2422" spans="1:17" x14ac:dyDescent="0.3">
      <c r="A2422" s="487" t="b">
        <v>0</v>
      </c>
      <c r="B2422" s="487" t="s">
        <v>7589</v>
      </c>
      <c r="C2422" s="502">
        <v>10</v>
      </c>
      <c r="D2422" s="487">
        <f t="shared" si="174"/>
        <v>-420</v>
      </c>
      <c r="E2422" s="487">
        <f t="shared" si="175"/>
        <v>6</v>
      </c>
      <c r="F2422" s="487">
        <f t="shared" ca="1" si="176"/>
        <v>18</v>
      </c>
      <c r="G2422" s="487" t="s">
        <v>7389</v>
      </c>
      <c r="H2422" s="493"/>
      <c r="I2422" s="493"/>
      <c r="J2422" s="493"/>
      <c r="K2422" s="493"/>
      <c r="L2422" s="487"/>
      <c r="M2422" s="487"/>
      <c r="N2422" s="487"/>
      <c r="O2422" s="487"/>
      <c r="P2422" s="487">
        <f t="shared" si="177"/>
        <v>60</v>
      </c>
      <c r="Q2422" s="487" t="b">
        <v>0</v>
      </c>
    </row>
    <row r="2423" spans="1:17" x14ac:dyDescent="0.3">
      <c r="A2423" s="487" t="b">
        <v>0</v>
      </c>
      <c r="B2423" s="487" t="s">
        <v>7590</v>
      </c>
      <c r="C2423" s="502">
        <v>11</v>
      </c>
      <c r="D2423" s="487">
        <f t="shared" si="174"/>
        <v>-419</v>
      </c>
      <c r="E2423" s="487">
        <f t="shared" si="175"/>
        <v>1</v>
      </c>
      <c r="F2423" s="487">
        <f t="shared" ca="1" si="176"/>
        <v>19</v>
      </c>
      <c r="G2423" s="487" t="s">
        <v>7391</v>
      </c>
      <c r="H2423" s="493"/>
      <c r="I2423" s="493"/>
      <c r="J2423" s="493"/>
      <c r="K2423" s="493"/>
      <c r="L2423" s="487"/>
      <c r="M2423" s="487"/>
      <c r="N2423" s="487"/>
      <c r="O2423" s="487"/>
      <c r="P2423" s="487">
        <f t="shared" si="177"/>
        <v>61</v>
      </c>
      <c r="Q2423" s="487" t="b">
        <v>0</v>
      </c>
    </row>
    <row r="2424" spans="1:17" x14ac:dyDescent="0.3">
      <c r="A2424" s="487" t="b">
        <v>0</v>
      </c>
      <c r="B2424" s="487" t="s">
        <v>7591</v>
      </c>
      <c r="C2424" s="502">
        <v>11</v>
      </c>
      <c r="D2424" s="487">
        <f t="shared" si="174"/>
        <v>-418</v>
      </c>
      <c r="E2424" s="487">
        <f t="shared" si="175"/>
        <v>2</v>
      </c>
      <c r="F2424" s="487">
        <f t="shared" ca="1" si="176"/>
        <v>19</v>
      </c>
      <c r="G2424" s="487" t="s">
        <v>7391</v>
      </c>
      <c r="H2424" s="493"/>
      <c r="I2424" s="493"/>
      <c r="J2424" s="493"/>
      <c r="K2424" s="493"/>
      <c r="L2424" s="487"/>
      <c r="M2424" s="487"/>
      <c r="N2424" s="487"/>
      <c r="O2424" s="487"/>
      <c r="P2424" s="487">
        <f t="shared" si="177"/>
        <v>62</v>
      </c>
      <c r="Q2424" s="487" t="b">
        <v>0</v>
      </c>
    </row>
    <row r="2425" spans="1:17" x14ac:dyDescent="0.3">
      <c r="A2425" s="487" t="b">
        <v>0</v>
      </c>
      <c r="B2425" s="487" t="s">
        <v>7592</v>
      </c>
      <c r="C2425" s="502">
        <v>11</v>
      </c>
      <c r="D2425" s="487">
        <f t="shared" si="174"/>
        <v>-417</v>
      </c>
      <c r="E2425" s="487">
        <f t="shared" si="175"/>
        <v>3</v>
      </c>
      <c r="F2425" s="487">
        <f t="shared" ca="1" si="176"/>
        <v>19</v>
      </c>
      <c r="G2425" s="487" t="s">
        <v>7391</v>
      </c>
      <c r="H2425" s="493"/>
      <c r="I2425" s="493"/>
      <c r="J2425" s="493"/>
      <c r="K2425" s="493"/>
      <c r="L2425" s="487"/>
      <c r="M2425" s="487"/>
      <c r="N2425" s="487"/>
      <c r="O2425" s="487"/>
      <c r="P2425" s="487">
        <f t="shared" si="177"/>
        <v>63</v>
      </c>
      <c r="Q2425" s="487" t="b">
        <v>0</v>
      </c>
    </row>
    <row r="2426" spans="1:17" x14ac:dyDescent="0.3">
      <c r="A2426" s="487" t="b">
        <v>0</v>
      </c>
      <c r="B2426" s="487" t="s">
        <v>7593</v>
      </c>
      <c r="C2426" s="502">
        <v>11</v>
      </c>
      <c r="D2426" s="487">
        <f t="shared" si="174"/>
        <v>-416</v>
      </c>
      <c r="E2426" s="487">
        <f t="shared" si="175"/>
        <v>4</v>
      </c>
      <c r="F2426" s="487">
        <f t="shared" ca="1" si="176"/>
        <v>19</v>
      </c>
      <c r="G2426" s="487" t="s">
        <v>7391</v>
      </c>
      <c r="H2426" s="493"/>
      <c r="I2426" s="493"/>
      <c r="J2426" s="493"/>
      <c r="K2426" s="493"/>
      <c r="L2426" s="487"/>
      <c r="M2426" s="487"/>
      <c r="N2426" s="487"/>
      <c r="O2426" s="487"/>
      <c r="P2426" s="487">
        <f t="shared" si="177"/>
        <v>64</v>
      </c>
      <c r="Q2426" s="487" t="b">
        <v>0</v>
      </c>
    </row>
    <row r="2427" spans="1:17" x14ac:dyDescent="0.3">
      <c r="A2427" s="487" t="b">
        <v>0</v>
      </c>
      <c r="B2427" s="487" t="s">
        <v>7594</v>
      </c>
      <c r="C2427" s="502">
        <v>11</v>
      </c>
      <c r="D2427" s="487">
        <f t="shared" ref="D2427:D2490" si="178">D2426+1</f>
        <v>-415</v>
      </c>
      <c r="E2427" s="487">
        <f t="shared" ref="E2427:E2490" si="179">COUNTIF(C2422:C2427,C2427)</f>
        <v>5</v>
      </c>
      <c r="F2427" s="487">
        <f t="shared" ref="F2427:F2490" ca="1" si="180">IF(C2427=1,9,IF(E2426=MAX(E2425:E2427),F2425+1,F2426))</f>
        <v>19</v>
      </c>
      <c r="G2427" s="487" t="s">
        <v>7391</v>
      </c>
      <c r="H2427" s="493"/>
      <c r="I2427" s="493"/>
      <c r="J2427" s="493"/>
      <c r="K2427" s="493"/>
      <c r="L2427" s="487"/>
      <c r="M2427" s="487"/>
      <c r="N2427" s="487"/>
      <c r="O2427" s="487"/>
      <c r="P2427" s="487">
        <f t="shared" ref="P2427:P2490" si="181">IF(NOT(_xlfn.ISFORMULA(I2427)),P2426+1,0)</f>
        <v>65</v>
      </c>
      <c r="Q2427" s="487" t="b">
        <v>0</v>
      </c>
    </row>
    <row r="2428" spans="1:17" x14ac:dyDescent="0.3">
      <c r="A2428" s="487" t="b">
        <v>0</v>
      </c>
      <c r="B2428" s="487" t="s">
        <v>7595</v>
      </c>
      <c r="C2428" s="502">
        <v>11</v>
      </c>
      <c r="D2428" s="487">
        <f t="shared" si="178"/>
        <v>-414</v>
      </c>
      <c r="E2428" s="487">
        <f t="shared" si="179"/>
        <v>6</v>
      </c>
      <c r="F2428" s="487">
        <f t="shared" ca="1" si="180"/>
        <v>19</v>
      </c>
      <c r="G2428" s="487" t="s">
        <v>7391</v>
      </c>
      <c r="H2428" s="493"/>
      <c r="I2428" s="493"/>
      <c r="J2428" s="493"/>
      <c r="K2428" s="493"/>
      <c r="L2428" s="487"/>
      <c r="M2428" s="487"/>
      <c r="N2428" s="487"/>
      <c r="O2428" s="487"/>
      <c r="P2428" s="487">
        <f t="shared" si="181"/>
        <v>66</v>
      </c>
      <c r="Q2428" s="487" t="b">
        <v>0</v>
      </c>
    </row>
    <row r="2429" spans="1:17" x14ac:dyDescent="0.3">
      <c r="A2429" s="487" t="b">
        <v>0</v>
      </c>
      <c r="B2429" s="487" t="s">
        <v>7596</v>
      </c>
      <c r="C2429" s="502">
        <v>12</v>
      </c>
      <c r="D2429" s="487">
        <f t="shared" si="178"/>
        <v>-413</v>
      </c>
      <c r="E2429" s="487">
        <f t="shared" si="179"/>
        <v>1</v>
      </c>
      <c r="F2429" s="487">
        <f t="shared" ca="1" si="180"/>
        <v>20</v>
      </c>
      <c r="G2429" s="487" t="s">
        <v>7393</v>
      </c>
      <c r="H2429" s="493"/>
      <c r="I2429" s="493"/>
      <c r="J2429" s="493"/>
      <c r="K2429" s="493"/>
      <c r="L2429" s="487"/>
      <c r="M2429" s="487"/>
      <c r="N2429" s="487"/>
      <c r="O2429" s="487"/>
      <c r="P2429" s="487">
        <f t="shared" si="181"/>
        <v>67</v>
      </c>
      <c r="Q2429" s="487" t="b">
        <v>0</v>
      </c>
    </row>
    <row r="2430" spans="1:17" x14ac:dyDescent="0.3">
      <c r="A2430" s="487" t="b">
        <v>0</v>
      </c>
      <c r="B2430" s="487" t="s">
        <v>7597</v>
      </c>
      <c r="C2430" s="502">
        <v>12</v>
      </c>
      <c r="D2430" s="487">
        <f t="shared" si="178"/>
        <v>-412</v>
      </c>
      <c r="E2430" s="487">
        <f t="shared" si="179"/>
        <v>2</v>
      </c>
      <c r="F2430" s="487">
        <f t="shared" ca="1" si="180"/>
        <v>20</v>
      </c>
      <c r="G2430" s="487" t="s">
        <v>7393</v>
      </c>
      <c r="H2430" s="493"/>
      <c r="I2430" s="493"/>
      <c r="J2430" s="493"/>
      <c r="K2430" s="493"/>
      <c r="L2430" s="487"/>
      <c r="M2430" s="487"/>
      <c r="N2430" s="487"/>
      <c r="O2430" s="487"/>
      <c r="P2430" s="487">
        <f t="shared" si="181"/>
        <v>68</v>
      </c>
      <c r="Q2430" s="487" t="b">
        <v>0</v>
      </c>
    </row>
    <row r="2431" spans="1:17" x14ac:dyDescent="0.3">
      <c r="A2431" s="487" t="b">
        <v>0</v>
      </c>
      <c r="B2431" s="487" t="s">
        <v>7598</v>
      </c>
      <c r="C2431" s="502">
        <v>12</v>
      </c>
      <c r="D2431" s="487">
        <f t="shared" si="178"/>
        <v>-411</v>
      </c>
      <c r="E2431" s="487">
        <f t="shared" si="179"/>
        <v>3</v>
      </c>
      <c r="F2431" s="487">
        <f t="shared" ca="1" si="180"/>
        <v>20</v>
      </c>
      <c r="G2431" s="487" t="s">
        <v>7393</v>
      </c>
      <c r="H2431" s="493"/>
      <c r="I2431" s="493"/>
      <c r="J2431" s="493"/>
      <c r="K2431" s="493"/>
      <c r="L2431" s="487"/>
      <c r="M2431" s="487"/>
      <c r="N2431" s="487"/>
      <c r="O2431" s="487"/>
      <c r="P2431" s="487">
        <f t="shared" si="181"/>
        <v>69</v>
      </c>
      <c r="Q2431" s="487" t="b">
        <v>0</v>
      </c>
    </row>
    <row r="2432" spans="1:17" x14ac:dyDescent="0.3">
      <c r="A2432" s="487" t="b">
        <v>0</v>
      </c>
      <c r="B2432" s="487" t="s">
        <v>7599</v>
      </c>
      <c r="C2432" s="502">
        <v>12</v>
      </c>
      <c r="D2432" s="487">
        <f t="shared" si="178"/>
        <v>-410</v>
      </c>
      <c r="E2432" s="487">
        <f t="shared" si="179"/>
        <v>4</v>
      </c>
      <c r="F2432" s="487">
        <f t="shared" ca="1" si="180"/>
        <v>20</v>
      </c>
      <c r="G2432" s="487" t="s">
        <v>7393</v>
      </c>
      <c r="H2432" s="493"/>
      <c r="I2432" s="493"/>
      <c r="J2432" s="493"/>
      <c r="K2432" s="493"/>
      <c r="L2432" s="487"/>
      <c r="M2432" s="487"/>
      <c r="N2432" s="487"/>
      <c r="O2432" s="487"/>
      <c r="P2432" s="487">
        <f t="shared" si="181"/>
        <v>70</v>
      </c>
      <c r="Q2432" s="487" t="b">
        <v>0</v>
      </c>
    </row>
    <row r="2433" spans="1:17" x14ac:dyDescent="0.3">
      <c r="A2433" s="487" t="b">
        <v>0</v>
      </c>
      <c r="B2433" s="487" t="s">
        <v>7600</v>
      </c>
      <c r="C2433" s="502">
        <v>12</v>
      </c>
      <c r="D2433" s="487">
        <f t="shared" si="178"/>
        <v>-409</v>
      </c>
      <c r="E2433" s="487">
        <f t="shared" si="179"/>
        <v>5</v>
      </c>
      <c r="F2433" s="487">
        <f t="shared" ca="1" si="180"/>
        <v>20</v>
      </c>
      <c r="G2433" s="487" t="s">
        <v>7393</v>
      </c>
      <c r="H2433" s="493"/>
      <c r="I2433" s="493"/>
      <c r="J2433" s="493"/>
      <c r="K2433" s="493"/>
      <c r="L2433" s="487"/>
      <c r="M2433" s="487"/>
      <c r="N2433" s="487"/>
      <c r="O2433" s="487"/>
      <c r="P2433" s="487">
        <f t="shared" si="181"/>
        <v>71</v>
      </c>
      <c r="Q2433" s="487" t="b">
        <v>0</v>
      </c>
    </row>
    <row r="2434" spans="1:17" x14ac:dyDescent="0.3">
      <c r="A2434" s="487" t="b">
        <v>0</v>
      </c>
      <c r="B2434" s="487" t="s">
        <v>7601</v>
      </c>
      <c r="C2434" s="502">
        <v>12</v>
      </c>
      <c r="D2434" s="487">
        <f t="shared" si="178"/>
        <v>-408</v>
      </c>
      <c r="E2434" s="487">
        <f t="shared" si="179"/>
        <v>6</v>
      </c>
      <c r="F2434" s="487">
        <f t="shared" ca="1" si="180"/>
        <v>20</v>
      </c>
      <c r="G2434" s="487" t="s">
        <v>7393</v>
      </c>
      <c r="H2434" s="493"/>
      <c r="I2434" s="493"/>
      <c r="J2434" s="493"/>
      <c r="K2434" s="493"/>
      <c r="L2434" s="487"/>
      <c r="M2434" s="487"/>
      <c r="N2434" s="487"/>
      <c r="O2434" s="487"/>
      <c r="P2434" s="487">
        <f t="shared" si="181"/>
        <v>72</v>
      </c>
      <c r="Q2434" s="487" t="b">
        <v>0</v>
      </c>
    </row>
    <row r="2435" spans="1:17" x14ac:dyDescent="0.3">
      <c r="A2435" s="487" t="b">
        <v>0</v>
      </c>
      <c r="B2435" s="487" t="s">
        <v>7602</v>
      </c>
      <c r="C2435" s="502">
        <v>13</v>
      </c>
      <c r="D2435" s="487">
        <f t="shared" si="178"/>
        <v>-407</v>
      </c>
      <c r="E2435" s="487">
        <f t="shared" si="179"/>
        <v>1</v>
      </c>
      <c r="F2435" s="487">
        <f t="shared" ca="1" si="180"/>
        <v>21</v>
      </c>
      <c r="G2435" s="487" t="s">
        <v>7395</v>
      </c>
      <c r="H2435" s="493"/>
      <c r="I2435" s="493"/>
      <c r="J2435" s="493"/>
      <c r="K2435" s="493"/>
      <c r="L2435" s="487"/>
      <c r="M2435" s="487"/>
      <c r="N2435" s="487"/>
      <c r="O2435" s="487"/>
      <c r="P2435" s="487">
        <f t="shared" si="181"/>
        <v>73</v>
      </c>
      <c r="Q2435" s="487" t="b">
        <v>0</v>
      </c>
    </row>
    <row r="2436" spans="1:17" x14ac:dyDescent="0.3">
      <c r="A2436" s="487" t="b">
        <v>0</v>
      </c>
      <c r="B2436" s="487" t="s">
        <v>7603</v>
      </c>
      <c r="C2436" s="502">
        <v>13</v>
      </c>
      <c r="D2436" s="487">
        <f t="shared" si="178"/>
        <v>-406</v>
      </c>
      <c r="E2436" s="487">
        <f t="shared" si="179"/>
        <v>2</v>
      </c>
      <c r="F2436" s="487">
        <f t="shared" ca="1" si="180"/>
        <v>21</v>
      </c>
      <c r="G2436" s="487" t="s">
        <v>7395</v>
      </c>
      <c r="H2436" s="493"/>
      <c r="I2436" s="493"/>
      <c r="J2436" s="493"/>
      <c r="K2436" s="493"/>
      <c r="L2436" s="487"/>
      <c r="M2436" s="487"/>
      <c r="N2436" s="487"/>
      <c r="O2436" s="487"/>
      <c r="P2436" s="487">
        <f t="shared" si="181"/>
        <v>74</v>
      </c>
      <c r="Q2436" s="487" t="b">
        <v>0</v>
      </c>
    </row>
    <row r="2437" spans="1:17" x14ac:dyDescent="0.3">
      <c r="A2437" s="487" t="b">
        <v>0</v>
      </c>
      <c r="B2437" s="487" t="s">
        <v>7604</v>
      </c>
      <c r="C2437" s="502">
        <v>13</v>
      </c>
      <c r="D2437" s="487">
        <f t="shared" si="178"/>
        <v>-405</v>
      </c>
      <c r="E2437" s="487">
        <f t="shared" si="179"/>
        <v>3</v>
      </c>
      <c r="F2437" s="487">
        <f t="shared" ca="1" si="180"/>
        <v>21</v>
      </c>
      <c r="G2437" s="487" t="s">
        <v>7395</v>
      </c>
      <c r="H2437" s="493"/>
      <c r="I2437" s="493"/>
      <c r="J2437" s="493"/>
      <c r="K2437" s="493"/>
      <c r="L2437" s="487"/>
      <c r="M2437" s="487"/>
      <c r="N2437" s="487"/>
      <c r="O2437" s="487"/>
      <c r="P2437" s="487">
        <f t="shared" si="181"/>
        <v>75</v>
      </c>
      <c r="Q2437" s="487" t="b">
        <v>0</v>
      </c>
    </row>
    <row r="2438" spans="1:17" x14ac:dyDescent="0.3">
      <c r="A2438" s="487" t="b">
        <v>0</v>
      </c>
      <c r="B2438" s="487" t="s">
        <v>7605</v>
      </c>
      <c r="C2438" s="502">
        <v>13</v>
      </c>
      <c r="D2438" s="487">
        <f t="shared" si="178"/>
        <v>-404</v>
      </c>
      <c r="E2438" s="487">
        <f t="shared" si="179"/>
        <v>4</v>
      </c>
      <c r="F2438" s="487">
        <f t="shared" ca="1" si="180"/>
        <v>21</v>
      </c>
      <c r="G2438" s="487" t="s">
        <v>7395</v>
      </c>
      <c r="H2438" s="493"/>
      <c r="I2438" s="493"/>
      <c r="J2438" s="493"/>
      <c r="K2438" s="493"/>
      <c r="L2438" s="487"/>
      <c r="M2438" s="487"/>
      <c r="N2438" s="487"/>
      <c r="O2438" s="487"/>
      <c r="P2438" s="487">
        <f t="shared" si="181"/>
        <v>76</v>
      </c>
      <c r="Q2438" s="487" t="b">
        <v>0</v>
      </c>
    </row>
    <row r="2439" spans="1:17" x14ac:dyDescent="0.3">
      <c r="A2439" s="487" t="b">
        <v>0</v>
      </c>
      <c r="B2439" s="487" t="s">
        <v>7606</v>
      </c>
      <c r="C2439" s="502">
        <v>13</v>
      </c>
      <c r="D2439" s="487">
        <f t="shared" si="178"/>
        <v>-403</v>
      </c>
      <c r="E2439" s="487">
        <f t="shared" si="179"/>
        <v>5</v>
      </c>
      <c r="F2439" s="487">
        <f t="shared" ca="1" si="180"/>
        <v>21</v>
      </c>
      <c r="G2439" s="487" t="s">
        <v>7395</v>
      </c>
      <c r="H2439" s="493"/>
      <c r="I2439" s="493"/>
      <c r="J2439" s="493"/>
      <c r="K2439" s="493"/>
      <c r="L2439" s="487"/>
      <c r="M2439" s="487"/>
      <c r="N2439" s="487"/>
      <c r="O2439" s="487"/>
      <c r="P2439" s="487">
        <f t="shared" si="181"/>
        <v>77</v>
      </c>
      <c r="Q2439" s="487" t="b">
        <v>0</v>
      </c>
    </row>
    <row r="2440" spans="1:17" x14ac:dyDescent="0.3">
      <c r="A2440" s="487" t="b">
        <v>0</v>
      </c>
      <c r="B2440" s="487" t="s">
        <v>7607</v>
      </c>
      <c r="C2440" s="502">
        <v>13</v>
      </c>
      <c r="D2440" s="487">
        <f t="shared" si="178"/>
        <v>-402</v>
      </c>
      <c r="E2440" s="487">
        <f t="shared" si="179"/>
        <v>6</v>
      </c>
      <c r="F2440" s="487">
        <f t="shared" ca="1" si="180"/>
        <v>21</v>
      </c>
      <c r="G2440" s="487" t="s">
        <v>7395</v>
      </c>
      <c r="H2440" s="493"/>
      <c r="I2440" s="493"/>
      <c r="J2440" s="493"/>
      <c r="K2440" s="493"/>
      <c r="L2440" s="487"/>
      <c r="M2440" s="487"/>
      <c r="N2440" s="487"/>
      <c r="O2440" s="487"/>
      <c r="P2440" s="487">
        <f t="shared" si="181"/>
        <v>78</v>
      </c>
      <c r="Q2440" s="487" t="b">
        <v>0</v>
      </c>
    </row>
    <row r="2441" spans="1:17" x14ac:dyDescent="0.3">
      <c r="A2441" s="487" t="b">
        <v>0</v>
      </c>
      <c r="B2441" s="487" t="s">
        <v>7608</v>
      </c>
      <c r="C2441" s="502">
        <v>14</v>
      </c>
      <c r="D2441" s="487">
        <f t="shared" si="178"/>
        <v>-401</v>
      </c>
      <c r="E2441" s="487">
        <f t="shared" si="179"/>
        <v>1</v>
      </c>
      <c r="F2441" s="487">
        <f t="shared" ca="1" si="180"/>
        <v>22</v>
      </c>
      <c r="G2441" s="487" t="s">
        <v>7397</v>
      </c>
      <c r="H2441" s="493"/>
      <c r="I2441" s="493"/>
      <c r="J2441" s="493"/>
      <c r="K2441" s="493"/>
      <c r="L2441" s="487"/>
      <c r="M2441" s="487"/>
      <c r="N2441" s="487"/>
      <c r="O2441" s="487"/>
      <c r="P2441" s="487">
        <f t="shared" si="181"/>
        <v>79</v>
      </c>
      <c r="Q2441" s="487" t="b">
        <v>0</v>
      </c>
    </row>
    <row r="2442" spans="1:17" x14ac:dyDescent="0.3">
      <c r="A2442" s="487" t="b">
        <v>0</v>
      </c>
      <c r="B2442" s="487" t="s">
        <v>7609</v>
      </c>
      <c r="C2442" s="502">
        <v>14</v>
      </c>
      <c r="D2442" s="487">
        <f t="shared" si="178"/>
        <v>-400</v>
      </c>
      <c r="E2442" s="487">
        <f t="shared" si="179"/>
        <v>2</v>
      </c>
      <c r="F2442" s="487">
        <f t="shared" ca="1" si="180"/>
        <v>22</v>
      </c>
      <c r="G2442" s="487" t="s">
        <v>7397</v>
      </c>
      <c r="H2442" s="493"/>
      <c r="I2442" s="493"/>
      <c r="J2442" s="493"/>
      <c r="K2442" s="493"/>
      <c r="L2442" s="487"/>
      <c r="M2442" s="487"/>
      <c r="N2442" s="487"/>
      <c r="O2442" s="487"/>
      <c r="P2442" s="487">
        <f t="shared" si="181"/>
        <v>80</v>
      </c>
      <c r="Q2442" s="487" t="b">
        <v>0</v>
      </c>
    </row>
    <row r="2443" spans="1:17" x14ac:dyDescent="0.3">
      <c r="A2443" s="487" t="b">
        <v>0</v>
      </c>
      <c r="B2443" s="487" t="s">
        <v>7610</v>
      </c>
      <c r="C2443" s="502">
        <v>14</v>
      </c>
      <c r="D2443" s="487">
        <f t="shared" si="178"/>
        <v>-399</v>
      </c>
      <c r="E2443" s="487">
        <f t="shared" si="179"/>
        <v>3</v>
      </c>
      <c r="F2443" s="487">
        <f t="shared" ca="1" si="180"/>
        <v>22</v>
      </c>
      <c r="G2443" s="487" t="s">
        <v>7397</v>
      </c>
      <c r="H2443" s="493"/>
      <c r="I2443" s="493"/>
      <c r="J2443" s="493"/>
      <c r="K2443" s="493"/>
      <c r="L2443" s="487"/>
      <c r="M2443" s="487"/>
      <c r="N2443" s="487"/>
      <c r="O2443" s="487"/>
      <c r="P2443" s="487">
        <f t="shared" si="181"/>
        <v>81</v>
      </c>
      <c r="Q2443" s="487" t="b">
        <v>0</v>
      </c>
    </row>
    <row r="2444" spans="1:17" x14ac:dyDescent="0.3">
      <c r="A2444" s="487" t="b">
        <v>0</v>
      </c>
      <c r="B2444" s="487" t="s">
        <v>7611</v>
      </c>
      <c r="C2444" s="502">
        <v>14</v>
      </c>
      <c r="D2444" s="487">
        <f t="shared" si="178"/>
        <v>-398</v>
      </c>
      <c r="E2444" s="487">
        <f t="shared" si="179"/>
        <v>4</v>
      </c>
      <c r="F2444" s="487">
        <f t="shared" ca="1" si="180"/>
        <v>22</v>
      </c>
      <c r="G2444" s="487" t="s">
        <v>7397</v>
      </c>
      <c r="H2444" s="493"/>
      <c r="I2444" s="493"/>
      <c r="J2444" s="493"/>
      <c r="K2444" s="493"/>
      <c r="L2444" s="487"/>
      <c r="M2444" s="487"/>
      <c r="N2444" s="487"/>
      <c r="O2444" s="487"/>
      <c r="P2444" s="487">
        <f t="shared" si="181"/>
        <v>82</v>
      </c>
      <c r="Q2444" s="487" t="b">
        <v>0</v>
      </c>
    </row>
    <row r="2445" spans="1:17" x14ac:dyDescent="0.3">
      <c r="A2445" s="487" t="b">
        <v>0</v>
      </c>
      <c r="B2445" s="487" t="s">
        <v>7612</v>
      </c>
      <c r="C2445" s="502">
        <v>14</v>
      </c>
      <c r="D2445" s="487">
        <f t="shared" si="178"/>
        <v>-397</v>
      </c>
      <c r="E2445" s="487">
        <f t="shared" si="179"/>
        <v>5</v>
      </c>
      <c r="F2445" s="487">
        <f t="shared" ca="1" si="180"/>
        <v>22</v>
      </c>
      <c r="G2445" s="487" t="s">
        <v>7397</v>
      </c>
      <c r="H2445" s="493"/>
      <c r="I2445" s="493"/>
      <c r="J2445" s="493"/>
      <c r="K2445" s="493"/>
      <c r="L2445" s="487"/>
      <c r="M2445" s="487"/>
      <c r="N2445" s="487"/>
      <c r="O2445" s="487"/>
      <c r="P2445" s="487">
        <f t="shared" si="181"/>
        <v>83</v>
      </c>
      <c r="Q2445" s="487" t="b">
        <v>0</v>
      </c>
    </row>
    <row r="2446" spans="1:17" x14ac:dyDescent="0.3">
      <c r="A2446" s="487" t="b">
        <v>0</v>
      </c>
      <c r="B2446" s="487" t="s">
        <v>7613</v>
      </c>
      <c r="C2446" s="502">
        <v>14</v>
      </c>
      <c r="D2446" s="487">
        <f t="shared" si="178"/>
        <v>-396</v>
      </c>
      <c r="E2446" s="487">
        <f t="shared" si="179"/>
        <v>6</v>
      </c>
      <c r="F2446" s="487">
        <f t="shared" ca="1" si="180"/>
        <v>22</v>
      </c>
      <c r="G2446" s="487" t="s">
        <v>7397</v>
      </c>
      <c r="H2446" s="493"/>
      <c r="I2446" s="493"/>
      <c r="J2446" s="493"/>
      <c r="K2446" s="493"/>
      <c r="L2446" s="487"/>
      <c r="M2446" s="487"/>
      <c r="N2446" s="487"/>
      <c r="O2446" s="487"/>
      <c r="P2446" s="487">
        <f t="shared" si="181"/>
        <v>84</v>
      </c>
      <c r="Q2446" s="487" t="b">
        <v>0</v>
      </c>
    </row>
    <row r="2447" spans="1:17" x14ac:dyDescent="0.3">
      <c r="A2447" s="487" t="b">
        <v>0</v>
      </c>
      <c r="B2447" s="487" t="s">
        <v>7614</v>
      </c>
      <c r="C2447" s="502">
        <v>15</v>
      </c>
      <c r="D2447" s="487">
        <f t="shared" si="178"/>
        <v>-395</v>
      </c>
      <c r="E2447" s="487">
        <f t="shared" si="179"/>
        <v>1</v>
      </c>
      <c r="F2447" s="487">
        <f t="shared" ca="1" si="180"/>
        <v>23</v>
      </c>
      <c r="G2447" s="487" t="s">
        <v>7399</v>
      </c>
      <c r="H2447" s="493"/>
      <c r="I2447" s="493"/>
      <c r="J2447" s="493"/>
      <c r="K2447" s="493"/>
      <c r="L2447" s="487"/>
      <c r="M2447" s="487"/>
      <c r="N2447" s="487"/>
      <c r="O2447" s="487"/>
      <c r="P2447" s="487">
        <f t="shared" si="181"/>
        <v>85</v>
      </c>
      <c r="Q2447" s="487" t="b">
        <v>0</v>
      </c>
    </row>
    <row r="2448" spans="1:17" x14ac:dyDescent="0.3">
      <c r="A2448" s="487" t="b">
        <v>0</v>
      </c>
      <c r="B2448" s="487" t="s">
        <v>7615</v>
      </c>
      <c r="C2448" s="502">
        <v>15</v>
      </c>
      <c r="D2448" s="487">
        <f t="shared" si="178"/>
        <v>-394</v>
      </c>
      <c r="E2448" s="487">
        <f t="shared" si="179"/>
        <v>2</v>
      </c>
      <c r="F2448" s="487">
        <f t="shared" ca="1" si="180"/>
        <v>23</v>
      </c>
      <c r="G2448" s="487" t="s">
        <v>7399</v>
      </c>
      <c r="H2448" s="493"/>
      <c r="I2448" s="493"/>
      <c r="J2448" s="493"/>
      <c r="K2448" s="493"/>
      <c r="L2448" s="487"/>
      <c r="M2448" s="487"/>
      <c r="N2448" s="487"/>
      <c r="O2448" s="487"/>
      <c r="P2448" s="487">
        <f t="shared" si="181"/>
        <v>86</v>
      </c>
      <c r="Q2448" s="487" t="b">
        <v>0</v>
      </c>
    </row>
    <row r="2449" spans="1:17" x14ac:dyDescent="0.3">
      <c r="A2449" s="487" t="b">
        <v>0</v>
      </c>
      <c r="B2449" s="487" t="s">
        <v>7616</v>
      </c>
      <c r="C2449" s="502">
        <v>15</v>
      </c>
      <c r="D2449" s="487">
        <f t="shared" si="178"/>
        <v>-393</v>
      </c>
      <c r="E2449" s="487">
        <f t="shared" si="179"/>
        <v>3</v>
      </c>
      <c r="F2449" s="487">
        <f t="shared" ca="1" si="180"/>
        <v>23</v>
      </c>
      <c r="G2449" s="487" t="s">
        <v>7399</v>
      </c>
      <c r="H2449" s="493"/>
      <c r="I2449" s="493"/>
      <c r="J2449" s="493"/>
      <c r="K2449" s="493"/>
      <c r="L2449" s="487"/>
      <c r="M2449" s="487"/>
      <c r="N2449" s="487"/>
      <c r="O2449" s="487"/>
      <c r="P2449" s="487">
        <f t="shared" si="181"/>
        <v>87</v>
      </c>
      <c r="Q2449" s="487" t="b">
        <v>0</v>
      </c>
    </row>
    <row r="2450" spans="1:17" x14ac:dyDescent="0.3">
      <c r="A2450" s="487" t="b">
        <v>0</v>
      </c>
      <c r="B2450" s="487" t="s">
        <v>7617</v>
      </c>
      <c r="C2450" s="502">
        <v>15</v>
      </c>
      <c r="D2450" s="487">
        <f t="shared" si="178"/>
        <v>-392</v>
      </c>
      <c r="E2450" s="487">
        <f t="shared" si="179"/>
        <v>4</v>
      </c>
      <c r="F2450" s="487">
        <f t="shared" ca="1" si="180"/>
        <v>23</v>
      </c>
      <c r="G2450" s="487" t="s">
        <v>7399</v>
      </c>
      <c r="H2450" s="493"/>
      <c r="I2450" s="493"/>
      <c r="J2450" s="493"/>
      <c r="K2450" s="493"/>
      <c r="L2450" s="487"/>
      <c r="M2450" s="487"/>
      <c r="N2450" s="487"/>
      <c r="O2450" s="487"/>
      <c r="P2450" s="487">
        <f t="shared" si="181"/>
        <v>88</v>
      </c>
      <c r="Q2450" s="487" t="b">
        <v>0</v>
      </c>
    </row>
    <row r="2451" spans="1:17" x14ac:dyDescent="0.3">
      <c r="A2451" s="487" t="b">
        <v>0</v>
      </c>
      <c r="B2451" s="487" t="s">
        <v>7618</v>
      </c>
      <c r="C2451" s="502">
        <v>15</v>
      </c>
      <c r="D2451" s="487">
        <f t="shared" si="178"/>
        <v>-391</v>
      </c>
      <c r="E2451" s="487">
        <f t="shared" si="179"/>
        <v>5</v>
      </c>
      <c r="F2451" s="487">
        <f t="shared" ca="1" si="180"/>
        <v>23</v>
      </c>
      <c r="G2451" s="487" t="s">
        <v>7399</v>
      </c>
      <c r="H2451" s="493"/>
      <c r="I2451" s="493"/>
      <c r="J2451" s="493"/>
      <c r="K2451" s="493"/>
      <c r="L2451" s="487"/>
      <c r="M2451" s="487"/>
      <c r="N2451" s="487"/>
      <c r="O2451" s="487"/>
      <c r="P2451" s="487">
        <f t="shared" si="181"/>
        <v>89</v>
      </c>
      <c r="Q2451" s="487" t="b">
        <v>0</v>
      </c>
    </row>
    <row r="2452" spans="1:17" x14ac:dyDescent="0.3">
      <c r="A2452" s="487" t="b">
        <v>0</v>
      </c>
      <c r="B2452" s="487" t="s">
        <v>7619</v>
      </c>
      <c r="C2452" s="502">
        <v>15</v>
      </c>
      <c r="D2452" s="487">
        <f t="shared" si="178"/>
        <v>-390</v>
      </c>
      <c r="E2452" s="487">
        <f t="shared" si="179"/>
        <v>6</v>
      </c>
      <c r="F2452" s="487">
        <f t="shared" ca="1" si="180"/>
        <v>23</v>
      </c>
      <c r="G2452" s="487" t="s">
        <v>7399</v>
      </c>
      <c r="H2452" s="493"/>
      <c r="I2452" s="493"/>
      <c r="J2452" s="493"/>
      <c r="K2452" s="493"/>
      <c r="L2452" s="487"/>
      <c r="M2452" s="487"/>
      <c r="N2452" s="487"/>
      <c r="O2452" s="487"/>
      <c r="P2452" s="487">
        <f t="shared" si="181"/>
        <v>90</v>
      </c>
      <c r="Q2452" s="487" t="b">
        <v>0</v>
      </c>
    </row>
    <row r="2453" spans="1:17" x14ac:dyDescent="0.3">
      <c r="A2453" s="487" t="b">
        <v>0</v>
      </c>
      <c r="B2453" s="487" t="s">
        <v>7620</v>
      </c>
      <c r="C2453" s="502">
        <v>16</v>
      </c>
      <c r="D2453" s="487">
        <f t="shared" si="178"/>
        <v>-389</v>
      </c>
      <c r="E2453" s="487">
        <f t="shared" si="179"/>
        <v>1</v>
      </c>
      <c r="F2453" s="487">
        <f t="shared" ca="1" si="180"/>
        <v>24</v>
      </c>
      <c r="G2453" s="487" t="s">
        <v>7401</v>
      </c>
      <c r="H2453" s="493"/>
      <c r="I2453" s="493"/>
      <c r="J2453" s="493"/>
      <c r="K2453" s="493"/>
      <c r="L2453" s="487"/>
      <c r="M2453" s="487"/>
      <c r="N2453" s="487"/>
      <c r="O2453" s="487"/>
      <c r="P2453" s="487">
        <f t="shared" si="181"/>
        <v>91</v>
      </c>
      <c r="Q2453" s="487" t="b">
        <v>0</v>
      </c>
    </row>
    <row r="2454" spans="1:17" x14ac:dyDescent="0.3">
      <c r="A2454" s="487" t="b">
        <v>0</v>
      </c>
      <c r="B2454" s="487" t="s">
        <v>7621</v>
      </c>
      <c r="C2454" s="502">
        <v>16</v>
      </c>
      <c r="D2454" s="487">
        <f t="shared" si="178"/>
        <v>-388</v>
      </c>
      <c r="E2454" s="487">
        <f t="shared" si="179"/>
        <v>2</v>
      </c>
      <c r="F2454" s="487">
        <f t="shared" ca="1" si="180"/>
        <v>24</v>
      </c>
      <c r="G2454" s="487" t="s">
        <v>7401</v>
      </c>
      <c r="H2454" s="493"/>
      <c r="I2454" s="493"/>
      <c r="J2454" s="493"/>
      <c r="K2454" s="493"/>
      <c r="L2454" s="487"/>
      <c r="M2454" s="487"/>
      <c r="N2454" s="487"/>
      <c r="O2454" s="487"/>
      <c r="P2454" s="487">
        <f t="shared" si="181"/>
        <v>92</v>
      </c>
      <c r="Q2454" s="487" t="b">
        <v>0</v>
      </c>
    </row>
    <row r="2455" spans="1:17" x14ac:dyDescent="0.3">
      <c r="A2455" s="487" t="b">
        <v>0</v>
      </c>
      <c r="B2455" s="487" t="s">
        <v>7622</v>
      </c>
      <c r="C2455" s="502">
        <v>16</v>
      </c>
      <c r="D2455" s="487">
        <f t="shared" si="178"/>
        <v>-387</v>
      </c>
      <c r="E2455" s="487">
        <f t="shared" si="179"/>
        <v>3</v>
      </c>
      <c r="F2455" s="487">
        <f t="shared" ca="1" si="180"/>
        <v>24</v>
      </c>
      <c r="G2455" s="487" t="s">
        <v>7401</v>
      </c>
      <c r="H2455" s="493"/>
      <c r="I2455" s="493"/>
      <c r="J2455" s="493"/>
      <c r="K2455" s="493"/>
      <c r="L2455" s="487"/>
      <c r="M2455" s="487"/>
      <c r="N2455" s="487"/>
      <c r="O2455" s="487"/>
      <c r="P2455" s="487">
        <f t="shared" si="181"/>
        <v>93</v>
      </c>
      <c r="Q2455" s="487" t="b">
        <v>0</v>
      </c>
    </row>
    <row r="2456" spans="1:17" x14ac:dyDescent="0.3">
      <c r="A2456" s="487" t="b">
        <v>0</v>
      </c>
      <c r="B2456" s="487" t="s">
        <v>7623</v>
      </c>
      <c r="C2456" s="502">
        <v>16</v>
      </c>
      <c r="D2456" s="487">
        <f t="shared" si="178"/>
        <v>-386</v>
      </c>
      <c r="E2456" s="487">
        <f t="shared" si="179"/>
        <v>4</v>
      </c>
      <c r="F2456" s="487">
        <f t="shared" ca="1" si="180"/>
        <v>24</v>
      </c>
      <c r="G2456" s="487" t="s">
        <v>7401</v>
      </c>
      <c r="H2456" s="493"/>
      <c r="I2456" s="493"/>
      <c r="J2456" s="493"/>
      <c r="K2456" s="493"/>
      <c r="L2456" s="487"/>
      <c r="M2456" s="487"/>
      <c r="N2456" s="487"/>
      <c r="O2456" s="487"/>
      <c r="P2456" s="487">
        <f t="shared" si="181"/>
        <v>94</v>
      </c>
      <c r="Q2456" s="487" t="b">
        <v>0</v>
      </c>
    </row>
    <row r="2457" spans="1:17" x14ac:dyDescent="0.3">
      <c r="A2457" s="487" t="b">
        <v>0</v>
      </c>
      <c r="B2457" s="487" t="s">
        <v>7624</v>
      </c>
      <c r="C2457" s="502">
        <v>16</v>
      </c>
      <c r="D2457" s="487">
        <f t="shared" si="178"/>
        <v>-385</v>
      </c>
      <c r="E2457" s="487">
        <f t="shared" si="179"/>
        <v>5</v>
      </c>
      <c r="F2457" s="487">
        <f t="shared" ca="1" si="180"/>
        <v>24</v>
      </c>
      <c r="G2457" s="487" t="s">
        <v>7401</v>
      </c>
      <c r="H2457" s="493"/>
      <c r="I2457" s="493"/>
      <c r="J2457" s="493"/>
      <c r="K2457" s="493"/>
      <c r="L2457" s="487"/>
      <c r="M2457" s="487"/>
      <c r="N2457" s="487"/>
      <c r="O2457" s="487"/>
      <c r="P2457" s="487">
        <f t="shared" si="181"/>
        <v>95</v>
      </c>
      <c r="Q2457" s="487" t="b">
        <v>0</v>
      </c>
    </row>
    <row r="2458" spans="1:17" x14ac:dyDescent="0.3">
      <c r="A2458" s="487" t="b">
        <v>0</v>
      </c>
      <c r="B2458" s="487" t="s">
        <v>7625</v>
      </c>
      <c r="C2458" s="502">
        <v>16</v>
      </c>
      <c r="D2458" s="487">
        <f t="shared" si="178"/>
        <v>-384</v>
      </c>
      <c r="E2458" s="487">
        <f t="shared" si="179"/>
        <v>6</v>
      </c>
      <c r="F2458" s="487">
        <f t="shared" ca="1" si="180"/>
        <v>24</v>
      </c>
      <c r="G2458" s="487" t="s">
        <v>7401</v>
      </c>
      <c r="H2458" s="493"/>
      <c r="I2458" s="493"/>
      <c r="J2458" s="493"/>
      <c r="K2458" s="493"/>
      <c r="L2458" s="487"/>
      <c r="M2458" s="487"/>
      <c r="N2458" s="487"/>
      <c r="O2458" s="487"/>
      <c r="P2458" s="487">
        <f t="shared" si="181"/>
        <v>96</v>
      </c>
      <c r="Q2458" s="487" t="b">
        <v>0</v>
      </c>
    </row>
    <row r="2459" spans="1:17" x14ac:dyDescent="0.3">
      <c r="A2459" s="487" t="b">
        <v>0</v>
      </c>
      <c r="B2459" s="487" t="s">
        <v>7626</v>
      </c>
      <c r="C2459" s="502">
        <v>17</v>
      </c>
      <c r="D2459" s="487">
        <f t="shared" si="178"/>
        <v>-383</v>
      </c>
      <c r="E2459" s="487">
        <f t="shared" si="179"/>
        <v>1</v>
      </c>
      <c r="F2459" s="487">
        <f t="shared" ca="1" si="180"/>
        <v>25</v>
      </c>
      <c r="G2459" s="487" t="s">
        <v>7403</v>
      </c>
      <c r="H2459" s="493"/>
      <c r="I2459" s="493"/>
      <c r="J2459" s="493"/>
      <c r="K2459" s="493"/>
      <c r="L2459" s="487"/>
      <c r="M2459" s="487"/>
      <c r="N2459" s="487"/>
      <c r="O2459" s="487"/>
      <c r="P2459" s="487">
        <f t="shared" si="181"/>
        <v>97</v>
      </c>
      <c r="Q2459" s="487" t="b">
        <v>0</v>
      </c>
    </row>
    <row r="2460" spans="1:17" x14ac:dyDescent="0.3">
      <c r="A2460" s="487" t="b">
        <v>0</v>
      </c>
      <c r="B2460" s="487" t="s">
        <v>7627</v>
      </c>
      <c r="C2460" s="502">
        <v>17</v>
      </c>
      <c r="D2460" s="487">
        <f t="shared" si="178"/>
        <v>-382</v>
      </c>
      <c r="E2460" s="487">
        <f t="shared" si="179"/>
        <v>2</v>
      </c>
      <c r="F2460" s="487">
        <f t="shared" ca="1" si="180"/>
        <v>25</v>
      </c>
      <c r="G2460" s="487" t="s">
        <v>7403</v>
      </c>
      <c r="H2460" s="493"/>
      <c r="I2460" s="493"/>
      <c r="J2460" s="493"/>
      <c r="K2460" s="493"/>
      <c r="L2460" s="487"/>
      <c r="M2460" s="487"/>
      <c r="N2460" s="487"/>
      <c r="O2460" s="487"/>
      <c r="P2460" s="487">
        <f t="shared" si="181"/>
        <v>98</v>
      </c>
      <c r="Q2460" s="487" t="b">
        <v>0</v>
      </c>
    </row>
    <row r="2461" spans="1:17" x14ac:dyDescent="0.3">
      <c r="A2461" s="487" t="b">
        <v>0</v>
      </c>
      <c r="B2461" s="487" t="s">
        <v>7628</v>
      </c>
      <c r="C2461" s="502">
        <v>17</v>
      </c>
      <c r="D2461" s="487">
        <f t="shared" si="178"/>
        <v>-381</v>
      </c>
      <c r="E2461" s="487">
        <f t="shared" si="179"/>
        <v>3</v>
      </c>
      <c r="F2461" s="487">
        <f t="shared" ca="1" si="180"/>
        <v>25</v>
      </c>
      <c r="G2461" s="487" t="s">
        <v>7403</v>
      </c>
      <c r="H2461" s="493"/>
      <c r="I2461" s="493"/>
      <c r="J2461" s="493"/>
      <c r="K2461" s="493"/>
      <c r="L2461" s="487"/>
      <c r="M2461" s="487"/>
      <c r="N2461" s="487"/>
      <c r="O2461" s="487"/>
      <c r="P2461" s="487">
        <f t="shared" si="181"/>
        <v>99</v>
      </c>
      <c r="Q2461" s="487" t="b">
        <v>0</v>
      </c>
    </row>
    <row r="2462" spans="1:17" x14ac:dyDescent="0.3">
      <c r="A2462" s="487" t="b">
        <v>0</v>
      </c>
      <c r="B2462" s="487" t="s">
        <v>7629</v>
      </c>
      <c r="C2462" s="502">
        <v>17</v>
      </c>
      <c r="D2462" s="487">
        <f t="shared" si="178"/>
        <v>-380</v>
      </c>
      <c r="E2462" s="487">
        <f t="shared" si="179"/>
        <v>4</v>
      </c>
      <c r="F2462" s="487">
        <f t="shared" ca="1" si="180"/>
        <v>25</v>
      </c>
      <c r="G2462" s="487" t="s">
        <v>7403</v>
      </c>
      <c r="H2462" s="493"/>
      <c r="I2462" s="493"/>
      <c r="J2462" s="493"/>
      <c r="K2462" s="493"/>
      <c r="L2462" s="487"/>
      <c r="M2462" s="487"/>
      <c r="N2462" s="487"/>
      <c r="O2462" s="487"/>
      <c r="P2462" s="487">
        <f t="shared" si="181"/>
        <v>100</v>
      </c>
      <c r="Q2462" s="487" t="b">
        <v>0</v>
      </c>
    </row>
    <row r="2463" spans="1:17" x14ac:dyDescent="0.3">
      <c r="A2463" s="487" t="b">
        <v>0</v>
      </c>
      <c r="B2463" s="487" t="s">
        <v>7630</v>
      </c>
      <c r="C2463" s="502">
        <v>17</v>
      </c>
      <c r="D2463" s="487">
        <f t="shared" si="178"/>
        <v>-379</v>
      </c>
      <c r="E2463" s="487">
        <f t="shared" si="179"/>
        <v>5</v>
      </c>
      <c r="F2463" s="487">
        <f t="shared" ca="1" si="180"/>
        <v>25</v>
      </c>
      <c r="G2463" s="487" t="s">
        <v>7403</v>
      </c>
      <c r="H2463" s="493"/>
      <c r="I2463" s="493"/>
      <c r="J2463" s="493"/>
      <c r="K2463" s="493"/>
      <c r="L2463" s="487"/>
      <c r="M2463" s="487"/>
      <c r="N2463" s="487"/>
      <c r="O2463" s="487"/>
      <c r="P2463" s="487">
        <f t="shared" si="181"/>
        <v>101</v>
      </c>
      <c r="Q2463" s="487" t="b">
        <v>0</v>
      </c>
    </row>
    <row r="2464" spans="1:17" x14ac:dyDescent="0.3">
      <c r="A2464" s="487" t="b">
        <v>0</v>
      </c>
      <c r="B2464" s="487" t="s">
        <v>7631</v>
      </c>
      <c r="C2464" s="502">
        <v>17</v>
      </c>
      <c r="D2464" s="487">
        <f t="shared" si="178"/>
        <v>-378</v>
      </c>
      <c r="E2464" s="487">
        <f t="shared" si="179"/>
        <v>6</v>
      </c>
      <c r="F2464" s="487">
        <f t="shared" ca="1" si="180"/>
        <v>25</v>
      </c>
      <c r="G2464" s="487" t="s">
        <v>7403</v>
      </c>
      <c r="H2464" s="493"/>
      <c r="I2464" s="493"/>
      <c r="J2464" s="493"/>
      <c r="K2464" s="493"/>
      <c r="L2464" s="487"/>
      <c r="M2464" s="487"/>
      <c r="N2464" s="487"/>
      <c r="O2464" s="487"/>
      <c r="P2464" s="487">
        <f t="shared" si="181"/>
        <v>102</v>
      </c>
      <c r="Q2464" s="487" t="b">
        <v>0</v>
      </c>
    </row>
    <row r="2465" spans="1:17" x14ac:dyDescent="0.3">
      <c r="A2465" s="487" t="b">
        <v>0</v>
      </c>
      <c r="B2465" s="487" t="s">
        <v>7632</v>
      </c>
      <c r="C2465" s="502">
        <v>18</v>
      </c>
      <c r="D2465" s="487">
        <f t="shared" si="178"/>
        <v>-377</v>
      </c>
      <c r="E2465" s="487">
        <f t="shared" si="179"/>
        <v>1</v>
      </c>
      <c r="F2465" s="487">
        <f t="shared" ca="1" si="180"/>
        <v>26</v>
      </c>
      <c r="G2465" s="487" t="s">
        <v>7405</v>
      </c>
      <c r="H2465" s="493"/>
      <c r="I2465" s="493"/>
      <c r="J2465" s="493"/>
      <c r="K2465" s="493"/>
      <c r="L2465" s="487"/>
      <c r="M2465" s="487"/>
      <c r="N2465" s="487"/>
      <c r="O2465" s="487"/>
      <c r="P2465" s="487">
        <f t="shared" si="181"/>
        <v>103</v>
      </c>
      <c r="Q2465" s="487" t="b">
        <v>0</v>
      </c>
    </row>
    <row r="2466" spans="1:17" x14ac:dyDescent="0.3">
      <c r="A2466" s="487" t="b">
        <v>0</v>
      </c>
      <c r="B2466" s="487" t="s">
        <v>7633</v>
      </c>
      <c r="C2466" s="502">
        <v>18</v>
      </c>
      <c r="D2466" s="487">
        <f t="shared" si="178"/>
        <v>-376</v>
      </c>
      <c r="E2466" s="487">
        <f t="shared" si="179"/>
        <v>2</v>
      </c>
      <c r="F2466" s="487">
        <f t="shared" ca="1" si="180"/>
        <v>26</v>
      </c>
      <c r="G2466" s="487" t="s">
        <v>7405</v>
      </c>
      <c r="H2466" s="493"/>
      <c r="I2466" s="493"/>
      <c r="J2466" s="493"/>
      <c r="K2466" s="493"/>
      <c r="L2466" s="487"/>
      <c r="M2466" s="487"/>
      <c r="N2466" s="487"/>
      <c r="O2466" s="487"/>
      <c r="P2466" s="487">
        <f t="shared" si="181"/>
        <v>104</v>
      </c>
      <c r="Q2466" s="487" t="b">
        <v>0</v>
      </c>
    </row>
    <row r="2467" spans="1:17" x14ac:dyDescent="0.3">
      <c r="A2467" s="487" t="b">
        <v>0</v>
      </c>
      <c r="B2467" s="487" t="s">
        <v>7634</v>
      </c>
      <c r="C2467" s="502">
        <v>18</v>
      </c>
      <c r="D2467" s="487">
        <f t="shared" si="178"/>
        <v>-375</v>
      </c>
      <c r="E2467" s="487">
        <f t="shared" si="179"/>
        <v>3</v>
      </c>
      <c r="F2467" s="487">
        <f t="shared" ca="1" si="180"/>
        <v>26</v>
      </c>
      <c r="G2467" s="487" t="s">
        <v>7405</v>
      </c>
      <c r="H2467" s="493"/>
      <c r="I2467" s="493"/>
      <c r="J2467" s="493"/>
      <c r="K2467" s="493"/>
      <c r="L2467" s="487"/>
      <c r="M2467" s="487"/>
      <c r="N2467" s="487"/>
      <c r="O2467" s="487"/>
      <c r="P2467" s="487">
        <f t="shared" si="181"/>
        <v>105</v>
      </c>
      <c r="Q2467" s="487" t="b">
        <v>0</v>
      </c>
    </row>
    <row r="2468" spans="1:17" x14ac:dyDescent="0.3">
      <c r="A2468" s="487" t="b">
        <v>0</v>
      </c>
      <c r="B2468" s="487" t="s">
        <v>7635</v>
      </c>
      <c r="C2468" s="502">
        <v>18</v>
      </c>
      <c r="D2468" s="487">
        <f t="shared" si="178"/>
        <v>-374</v>
      </c>
      <c r="E2468" s="487">
        <f t="shared" si="179"/>
        <v>4</v>
      </c>
      <c r="F2468" s="487">
        <f t="shared" ca="1" si="180"/>
        <v>26</v>
      </c>
      <c r="G2468" s="487" t="s">
        <v>7405</v>
      </c>
      <c r="H2468" s="493"/>
      <c r="I2468" s="493"/>
      <c r="J2468" s="493"/>
      <c r="K2468" s="493"/>
      <c r="L2468" s="487"/>
      <c r="M2468" s="487"/>
      <c r="N2468" s="487"/>
      <c r="O2468" s="487"/>
      <c r="P2468" s="487">
        <f t="shared" si="181"/>
        <v>106</v>
      </c>
      <c r="Q2468" s="487" t="b">
        <v>0</v>
      </c>
    </row>
    <row r="2469" spans="1:17" x14ac:dyDescent="0.3">
      <c r="A2469" s="487" t="b">
        <v>0</v>
      </c>
      <c r="B2469" s="487" t="s">
        <v>7636</v>
      </c>
      <c r="C2469" s="502">
        <v>18</v>
      </c>
      <c r="D2469" s="487">
        <f t="shared" si="178"/>
        <v>-373</v>
      </c>
      <c r="E2469" s="487">
        <f t="shared" si="179"/>
        <v>5</v>
      </c>
      <c r="F2469" s="487">
        <f t="shared" ca="1" si="180"/>
        <v>26</v>
      </c>
      <c r="G2469" s="487" t="s">
        <v>7405</v>
      </c>
      <c r="H2469" s="493"/>
      <c r="I2469" s="493"/>
      <c r="J2469" s="493"/>
      <c r="K2469" s="493"/>
      <c r="L2469" s="487"/>
      <c r="M2469" s="487"/>
      <c r="N2469" s="487"/>
      <c r="O2469" s="487"/>
      <c r="P2469" s="487">
        <f t="shared" si="181"/>
        <v>107</v>
      </c>
      <c r="Q2469" s="487" t="b">
        <v>0</v>
      </c>
    </row>
    <row r="2470" spans="1:17" x14ac:dyDescent="0.3">
      <c r="A2470" s="487" t="b">
        <v>0</v>
      </c>
      <c r="B2470" s="487" t="s">
        <v>7637</v>
      </c>
      <c r="C2470" s="502">
        <v>18</v>
      </c>
      <c r="D2470" s="487">
        <f t="shared" si="178"/>
        <v>-372</v>
      </c>
      <c r="E2470" s="487">
        <f t="shared" si="179"/>
        <v>6</v>
      </c>
      <c r="F2470" s="487">
        <f t="shared" ca="1" si="180"/>
        <v>26</v>
      </c>
      <c r="G2470" s="487" t="s">
        <v>7405</v>
      </c>
      <c r="H2470" s="493"/>
      <c r="I2470" s="493"/>
      <c r="J2470" s="493"/>
      <c r="K2470" s="493"/>
      <c r="L2470" s="487"/>
      <c r="M2470" s="487"/>
      <c r="N2470" s="487"/>
      <c r="O2470" s="487"/>
      <c r="P2470" s="487">
        <f t="shared" si="181"/>
        <v>108</v>
      </c>
      <c r="Q2470" s="487" t="b">
        <v>0</v>
      </c>
    </row>
    <row r="2471" spans="1:17" x14ac:dyDescent="0.3">
      <c r="A2471" s="487" t="b">
        <v>0</v>
      </c>
      <c r="B2471" s="487" t="s">
        <v>7638</v>
      </c>
      <c r="C2471" s="502">
        <v>19</v>
      </c>
      <c r="D2471" s="487">
        <f t="shared" si="178"/>
        <v>-371</v>
      </c>
      <c r="E2471" s="487">
        <f t="shared" si="179"/>
        <v>1</v>
      </c>
      <c r="F2471" s="487">
        <f t="shared" ca="1" si="180"/>
        <v>27</v>
      </c>
      <c r="G2471" s="487" t="s">
        <v>7407</v>
      </c>
      <c r="H2471" s="493"/>
      <c r="I2471" s="493"/>
      <c r="J2471" s="493"/>
      <c r="K2471" s="493"/>
      <c r="L2471" s="487"/>
      <c r="M2471" s="487"/>
      <c r="N2471" s="487"/>
      <c r="O2471" s="487"/>
      <c r="P2471" s="487">
        <f t="shared" si="181"/>
        <v>109</v>
      </c>
      <c r="Q2471" s="487" t="b">
        <v>0</v>
      </c>
    </row>
    <row r="2472" spans="1:17" x14ac:dyDescent="0.3">
      <c r="A2472" s="487" t="b">
        <v>0</v>
      </c>
      <c r="B2472" s="487" t="s">
        <v>7639</v>
      </c>
      <c r="C2472" s="502">
        <v>19</v>
      </c>
      <c r="D2472" s="487">
        <f t="shared" si="178"/>
        <v>-370</v>
      </c>
      <c r="E2472" s="487">
        <f t="shared" si="179"/>
        <v>2</v>
      </c>
      <c r="F2472" s="487">
        <f t="shared" ca="1" si="180"/>
        <v>27</v>
      </c>
      <c r="G2472" s="487" t="s">
        <v>7407</v>
      </c>
      <c r="H2472" s="493"/>
      <c r="I2472" s="493"/>
      <c r="J2472" s="493"/>
      <c r="K2472" s="493"/>
      <c r="L2472" s="487"/>
      <c r="M2472" s="487"/>
      <c r="N2472" s="487"/>
      <c r="O2472" s="487"/>
      <c r="P2472" s="487">
        <f t="shared" si="181"/>
        <v>110</v>
      </c>
      <c r="Q2472" s="487" t="b">
        <v>0</v>
      </c>
    </row>
    <row r="2473" spans="1:17" x14ac:dyDescent="0.3">
      <c r="A2473" s="487" t="b">
        <v>0</v>
      </c>
      <c r="B2473" s="487" t="s">
        <v>7640</v>
      </c>
      <c r="C2473" s="502">
        <v>19</v>
      </c>
      <c r="D2473" s="487">
        <f t="shared" si="178"/>
        <v>-369</v>
      </c>
      <c r="E2473" s="487">
        <f t="shared" si="179"/>
        <v>3</v>
      </c>
      <c r="F2473" s="487">
        <f t="shared" ca="1" si="180"/>
        <v>27</v>
      </c>
      <c r="G2473" s="487" t="s">
        <v>7407</v>
      </c>
      <c r="H2473" s="493"/>
      <c r="I2473" s="493"/>
      <c r="J2473" s="493"/>
      <c r="K2473" s="493"/>
      <c r="L2473" s="487"/>
      <c r="M2473" s="487"/>
      <c r="N2473" s="487"/>
      <c r="O2473" s="487"/>
      <c r="P2473" s="487">
        <f t="shared" si="181"/>
        <v>111</v>
      </c>
      <c r="Q2473" s="487" t="b">
        <v>0</v>
      </c>
    </row>
    <row r="2474" spans="1:17" x14ac:dyDescent="0.3">
      <c r="A2474" s="487" t="b">
        <v>0</v>
      </c>
      <c r="B2474" s="487" t="s">
        <v>7641</v>
      </c>
      <c r="C2474" s="502">
        <v>19</v>
      </c>
      <c r="D2474" s="487">
        <f t="shared" si="178"/>
        <v>-368</v>
      </c>
      <c r="E2474" s="487">
        <f t="shared" si="179"/>
        <v>4</v>
      </c>
      <c r="F2474" s="487">
        <f t="shared" ca="1" si="180"/>
        <v>27</v>
      </c>
      <c r="G2474" s="487" t="s">
        <v>7407</v>
      </c>
      <c r="H2474" s="493"/>
      <c r="I2474" s="493"/>
      <c r="J2474" s="493"/>
      <c r="K2474" s="493"/>
      <c r="L2474" s="487"/>
      <c r="M2474" s="487"/>
      <c r="N2474" s="487"/>
      <c r="O2474" s="487"/>
      <c r="P2474" s="487">
        <f t="shared" si="181"/>
        <v>112</v>
      </c>
      <c r="Q2474" s="487" t="b">
        <v>0</v>
      </c>
    </row>
    <row r="2475" spans="1:17" x14ac:dyDescent="0.3">
      <c r="A2475" s="487" t="b">
        <v>0</v>
      </c>
      <c r="B2475" s="487" t="s">
        <v>7642</v>
      </c>
      <c r="C2475" s="502">
        <v>19</v>
      </c>
      <c r="D2475" s="487">
        <f t="shared" si="178"/>
        <v>-367</v>
      </c>
      <c r="E2475" s="487">
        <f t="shared" si="179"/>
        <v>5</v>
      </c>
      <c r="F2475" s="487">
        <f t="shared" ca="1" si="180"/>
        <v>27</v>
      </c>
      <c r="G2475" s="487" t="s">
        <v>7407</v>
      </c>
      <c r="H2475" s="493"/>
      <c r="I2475" s="493"/>
      <c r="J2475" s="493"/>
      <c r="K2475" s="493"/>
      <c r="L2475" s="487"/>
      <c r="M2475" s="487"/>
      <c r="N2475" s="487"/>
      <c r="O2475" s="487"/>
      <c r="P2475" s="487">
        <f t="shared" si="181"/>
        <v>113</v>
      </c>
      <c r="Q2475" s="487" t="b">
        <v>0</v>
      </c>
    </row>
    <row r="2476" spans="1:17" x14ac:dyDescent="0.3">
      <c r="A2476" s="487" t="b">
        <v>0</v>
      </c>
      <c r="B2476" s="487" t="s">
        <v>7643</v>
      </c>
      <c r="C2476" s="502">
        <v>19</v>
      </c>
      <c r="D2476" s="487">
        <f t="shared" si="178"/>
        <v>-366</v>
      </c>
      <c r="E2476" s="487">
        <f t="shared" si="179"/>
        <v>6</v>
      </c>
      <c r="F2476" s="487">
        <f t="shared" ca="1" si="180"/>
        <v>27</v>
      </c>
      <c r="G2476" s="487" t="s">
        <v>7407</v>
      </c>
      <c r="H2476" s="493"/>
      <c r="I2476" s="493"/>
      <c r="J2476" s="493"/>
      <c r="K2476" s="493"/>
      <c r="L2476" s="487"/>
      <c r="M2476" s="487"/>
      <c r="N2476" s="487"/>
      <c r="O2476" s="487"/>
      <c r="P2476" s="487">
        <f t="shared" si="181"/>
        <v>114</v>
      </c>
      <c r="Q2476" s="487" t="b">
        <v>0</v>
      </c>
    </row>
    <row r="2477" spans="1:17" x14ac:dyDescent="0.3">
      <c r="A2477" s="487" t="b">
        <v>0</v>
      </c>
      <c r="B2477" s="487" t="s">
        <v>7644</v>
      </c>
      <c r="C2477" s="502">
        <v>20</v>
      </c>
      <c r="D2477" s="487">
        <f t="shared" si="178"/>
        <v>-365</v>
      </c>
      <c r="E2477" s="487">
        <f t="shared" si="179"/>
        <v>1</v>
      </c>
      <c r="F2477" s="487">
        <f t="shared" ca="1" si="180"/>
        <v>28</v>
      </c>
      <c r="G2477" s="487" t="s">
        <v>7409</v>
      </c>
      <c r="H2477" s="493"/>
      <c r="I2477" s="493"/>
      <c r="J2477" s="493"/>
      <c r="K2477" s="493"/>
      <c r="L2477" s="487"/>
      <c r="M2477" s="487"/>
      <c r="N2477" s="487"/>
      <c r="O2477" s="487"/>
      <c r="P2477" s="487">
        <f t="shared" si="181"/>
        <v>115</v>
      </c>
      <c r="Q2477" s="487" t="b">
        <v>0</v>
      </c>
    </row>
    <row r="2478" spans="1:17" x14ac:dyDescent="0.3">
      <c r="A2478" s="487" t="b">
        <v>0</v>
      </c>
      <c r="B2478" s="487" t="s">
        <v>7645</v>
      </c>
      <c r="C2478" s="502">
        <v>20</v>
      </c>
      <c r="D2478" s="487">
        <f t="shared" si="178"/>
        <v>-364</v>
      </c>
      <c r="E2478" s="487">
        <f t="shared" si="179"/>
        <v>2</v>
      </c>
      <c r="F2478" s="487">
        <f t="shared" ca="1" si="180"/>
        <v>28</v>
      </c>
      <c r="G2478" s="487" t="s">
        <v>7409</v>
      </c>
      <c r="H2478" s="493"/>
      <c r="I2478" s="493"/>
      <c r="J2478" s="493"/>
      <c r="K2478" s="493"/>
      <c r="L2478" s="487"/>
      <c r="M2478" s="487"/>
      <c r="N2478" s="487"/>
      <c r="O2478" s="487"/>
      <c r="P2478" s="487">
        <f t="shared" si="181"/>
        <v>116</v>
      </c>
      <c r="Q2478" s="487" t="b">
        <v>0</v>
      </c>
    </row>
    <row r="2479" spans="1:17" x14ac:dyDescent="0.3">
      <c r="A2479" s="487" t="b">
        <v>0</v>
      </c>
      <c r="B2479" s="487" t="s">
        <v>7646</v>
      </c>
      <c r="C2479" s="502">
        <v>20</v>
      </c>
      <c r="D2479" s="487">
        <f t="shared" si="178"/>
        <v>-363</v>
      </c>
      <c r="E2479" s="487">
        <f t="shared" si="179"/>
        <v>3</v>
      </c>
      <c r="F2479" s="487">
        <f t="shared" ca="1" si="180"/>
        <v>28</v>
      </c>
      <c r="G2479" s="487" t="s">
        <v>7409</v>
      </c>
      <c r="H2479" s="493"/>
      <c r="I2479" s="493"/>
      <c r="J2479" s="493"/>
      <c r="K2479" s="493"/>
      <c r="L2479" s="487"/>
      <c r="M2479" s="487"/>
      <c r="N2479" s="487"/>
      <c r="O2479" s="487"/>
      <c r="P2479" s="487">
        <f t="shared" si="181"/>
        <v>117</v>
      </c>
      <c r="Q2479" s="487" t="b">
        <v>0</v>
      </c>
    </row>
    <row r="2480" spans="1:17" x14ac:dyDescent="0.3">
      <c r="A2480" s="487" t="b">
        <v>0</v>
      </c>
      <c r="B2480" s="487" t="s">
        <v>7647</v>
      </c>
      <c r="C2480" s="502">
        <v>20</v>
      </c>
      <c r="D2480" s="487">
        <f t="shared" si="178"/>
        <v>-362</v>
      </c>
      <c r="E2480" s="487">
        <f t="shared" si="179"/>
        <v>4</v>
      </c>
      <c r="F2480" s="487">
        <f t="shared" ca="1" si="180"/>
        <v>28</v>
      </c>
      <c r="G2480" s="487" t="s">
        <v>7409</v>
      </c>
      <c r="H2480" s="493"/>
      <c r="I2480" s="493"/>
      <c r="J2480" s="493"/>
      <c r="K2480" s="493"/>
      <c r="L2480" s="487"/>
      <c r="M2480" s="487"/>
      <c r="N2480" s="487"/>
      <c r="O2480" s="487"/>
      <c r="P2480" s="487">
        <f t="shared" si="181"/>
        <v>118</v>
      </c>
      <c r="Q2480" s="487" t="b">
        <v>0</v>
      </c>
    </row>
    <row r="2481" spans="1:17" x14ac:dyDescent="0.3">
      <c r="A2481" s="487" t="b">
        <v>0</v>
      </c>
      <c r="B2481" s="487" t="s">
        <v>7648</v>
      </c>
      <c r="C2481" s="502">
        <v>20</v>
      </c>
      <c r="D2481" s="487">
        <f t="shared" si="178"/>
        <v>-361</v>
      </c>
      <c r="E2481" s="487">
        <f t="shared" si="179"/>
        <v>5</v>
      </c>
      <c r="F2481" s="487">
        <f t="shared" ca="1" si="180"/>
        <v>28</v>
      </c>
      <c r="G2481" s="487" t="s">
        <v>7409</v>
      </c>
      <c r="H2481" s="493"/>
      <c r="I2481" s="493"/>
      <c r="J2481" s="493"/>
      <c r="K2481" s="493"/>
      <c r="L2481" s="487"/>
      <c r="M2481" s="487"/>
      <c r="N2481" s="487"/>
      <c r="O2481" s="487"/>
      <c r="P2481" s="487">
        <f t="shared" si="181"/>
        <v>119</v>
      </c>
      <c r="Q2481" s="487" t="b">
        <v>0</v>
      </c>
    </row>
    <row r="2482" spans="1:17" x14ac:dyDescent="0.3">
      <c r="A2482" s="487" t="b">
        <v>0</v>
      </c>
      <c r="B2482" s="487" t="s">
        <v>7649</v>
      </c>
      <c r="C2482" s="502">
        <v>20</v>
      </c>
      <c r="D2482" s="487">
        <f t="shared" si="178"/>
        <v>-360</v>
      </c>
      <c r="E2482" s="487">
        <f t="shared" si="179"/>
        <v>6</v>
      </c>
      <c r="F2482" s="487">
        <f t="shared" ca="1" si="180"/>
        <v>28</v>
      </c>
      <c r="G2482" s="487" t="s">
        <v>7409</v>
      </c>
      <c r="H2482" s="493"/>
      <c r="I2482" s="493"/>
      <c r="J2482" s="493"/>
      <c r="K2482" s="493"/>
      <c r="L2482" s="487"/>
      <c r="M2482" s="487"/>
      <c r="N2482" s="487"/>
      <c r="O2482" s="487"/>
      <c r="P2482" s="487">
        <f t="shared" si="181"/>
        <v>120</v>
      </c>
      <c r="Q2482" s="487" t="b">
        <v>0</v>
      </c>
    </row>
    <row r="2483" spans="1:17" x14ac:dyDescent="0.3">
      <c r="A2483" s="487" t="b">
        <v>0</v>
      </c>
      <c r="B2483" s="487" t="s">
        <v>7650</v>
      </c>
      <c r="C2483" s="502">
        <v>21</v>
      </c>
      <c r="D2483" s="487">
        <f t="shared" si="178"/>
        <v>-359</v>
      </c>
      <c r="E2483" s="487">
        <f t="shared" si="179"/>
        <v>1</v>
      </c>
      <c r="F2483" s="487">
        <f t="shared" ca="1" si="180"/>
        <v>29</v>
      </c>
      <c r="G2483" s="487" t="s">
        <v>7411</v>
      </c>
      <c r="H2483" s="493"/>
      <c r="I2483" s="493"/>
      <c r="J2483" s="493"/>
      <c r="K2483" s="493"/>
      <c r="L2483" s="487"/>
      <c r="M2483" s="487"/>
      <c r="N2483" s="487"/>
      <c r="O2483" s="487"/>
      <c r="P2483" s="487">
        <f t="shared" si="181"/>
        <v>121</v>
      </c>
      <c r="Q2483" s="487" t="b">
        <v>0</v>
      </c>
    </row>
    <row r="2484" spans="1:17" x14ac:dyDescent="0.3">
      <c r="A2484" s="487" t="b">
        <v>0</v>
      </c>
      <c r="B2484" s="487" t="s">
        <v>7651</v>
      </c>
      <c r="C2484" s="502">
        <v>21</v>
      </c>
      <c r="D2484" s="487">
        <f t="shared" si="178"/>
        <v>-358</v>
      </c>
      <c r="E2484" s="487">
        <f t="shared" si="179"/>
        <v>2</v>
      </c>
      <c r="F2484" s="487">
        <f t="shared" ca="1" si="180"/>
        <v>29</v>
      </c>
      <c r="G2484" s="487" t="s">
        <v>7411</v>
      </c>
      <c r="H2484" s="493"/>
      <c r="I2484" s="493"/>
      <c r="J2484" s="493"/>
      <c r="K2484" s="493"/>
      <c r="L2484" s="487"/>
      <c r="M2484" s="487"/>
      <c r="N2484" s="487"/>
      <c r="O2484" s="487"/>
      <c r="P2484" s="487">
        <f t="shared" si="181"/>
        <v>122</v>
      </c>
      <c r="Q2484" s="487" t="b">
        <v>0</v>
      </c>
    </row>
    <row r="2485" spans="1:17" x14ac:dyDescent="0.3">
      <c r="A2485" s="487" t="b">
        <v>0</v>
      </c>
      <c r="B2485" s="487" t="s">
        <v>7652</v>
      </c>
      <c r="C2485" s="502">
        <v>21</v>
      </c>
      <c r="D2485" s="487">
        <f t="shared" si="178"/>
        <v>-357</v>
      </c>
      <c r="E2485" s="487">
        <f t="shared" si="179"/>
        <v>3</v>
      </c>
      <c r="F2485" s="487">
        <f t="shared" ca="1" si="180"/>
        <v>29</v>
      </c>
      <c r="G2485" s="487" t="s">
        <v>7411</v>
      </c>
      <c r="H2485" s="493"/>
      <c r="I2485" s="493"/>
      <c r="J2485" s="493"/>
      <c r="K2485" s="493"/>
      <c r="L2485" s="487"/>
      <c r="M2485" s="487"/>
      <c r="N2485" s="487"/>
      <c r="O2485" s="487"/>
      <c r="P2485" s="487">
        <f t="shared" si="181"/>
        <v>123</v>
      </c>
      <c r="Q2485" s="487" t="b">
        <v>0</v>
      </c>
    </row>
    <row r="2486" spans="1:17" x14ac:dyDescent="0.3">
      <c r="A2486" s="487" t="b">
        <v>0</v>
      </c>
      <c r="B2486" s="487" t="s">
        <v>7653</v>
      </c>
      <c r="C2486" s="502">
        <v>21</v>
      </c>
      <c r="D2486" s="487">
        <f t="shared" si="178"/>
        <v>-356</v>
      </c>
      <c r="E2486" s="487">
        <f t="shared" si="179"/>
        <v>4</v>
      </c>
      <c r="F2486" s="487">
        <f t="shared" ca="1" si="180"/>
        <v>29</v>
      </c>
      <c r="G2486" s="487" t="s">
        <v>7411</v>
      </c>
      <c r="H2486" s="493"/>
      <c r="I2486" s="493"/>
      <c r="J2486" s="493"/>
      <c r="K2486" s="493"/>
      <c r="L2486" s="487"/>
      <c r="M2486" s="487"/>
      <c r="N2486" s="487"/>
      <c r="O2486" s="487"/>
      <c r="P2486" s="487">
        <f t="shared" si="181"/>
        <v>124</v>
      </c>
      <c r="Q2486" s="487" t="b">
        <v>0</v>
      </c>
    </row>
    <row r="2487" spans="1:17" x14ac:dyDescent="0.3">
      <c r="A2487" s="487" t="b">
        <v>0</v>
      </c>
      <c r="B2487" s="487" t="s">
        <v>7654</v>
      </c>
      <c r="C2487" s="502">
        <v>21</v>
      </c>
      <c r="D2487" s="487">
        <f t="shared" si="178"/>
        <v>-355</v>
      </c>
      <c r="E2487" s="487">
        <f t="shared" si="179"/>
        <v>5</v>
      </c>
      <c r="F2487" s="487">
        <f t="shared" ca="1" si="180"/>
        <v>29</v>
      </c>
      <c r="G2487" s="487" t="s">
        <v>7411</v>
      </c>
      <c r="H2487" s="493"/>
      <c r="I2487" s="493"/>
      <c r="J2487" s="493"/>
      <c r="K2487" s="493"/>
      <c r="L2487" s="487"/>
      <c r="M2487" s="487"/>
      <c r="N2487" s="487"/>
      <c r="O2487" s="487"/>
      <c r="P2487" s="487">
        <f t="shared" si="181"/>
        <v>125</v>
      </c>
      <c r="Q2487" s="487" t="b">
        <v>0</v>
      </c>
    </row>
    <row r="2488" spans="1:17" x14ac:dyDescent="0.3">
      <c r="A2488" s="487" t="b">
        <v>0</v>
      </c>
      <c r="B2488" s="487" t="s">
        <v>7655</v>
      </c>
      <c r="C2488" s="502">
        <v>21</v>
      </c>
      <c r="D2488" s="487">
        <f t="shared" si="178"/>
        <v>-354</v>
      </c>
      <c r="E2488" s="487">
        <f t="shared" si="179"/>
        <v>6</v>
      </c>
      <c r="F2488" s="487">
        <f t="shared" ca="1" si="180"/>
        <v>29</v>
      </c>
      <c r="G2488" s="487" t="s">
        <v>7411</v>
      </c>
      <c r="H2488" s="493"/>
      <c r="I2488" s="493"/>
      <c r="J2488" s="493"/>
      <c r="K2488" s="493"/>
      <c r="L2488" s="487"/>
      <c r="M2488" s="487"/>
      <c r="N2488" s="487"/>
      <c r="O2488" s="487"/>
      <c r="P2488" s="487">
        <f t="shared" si="181"/>
        <v>126</v>
      </c>
      <c r="Q2488" s="487" t="b">
        <v>0</v>
      </c>
    </row>
    <row r="2489" spans="1:17" x14ac:dyDescent="0.3">
      <c r="A2489" s="487" t="b">
        <v>0</v>
      </c>
      <c r="B2489" s="487" t="s">
        <v>7656</v>
      </c>
      <c r="C2489" s="502">
        <v>22</v>
      </c>
      <c r="D2489" s="487">
        <f t="shared" si="178"/>
        <v>-353</v>
      </c>
      <c r="E2489" s="487">
        <f t="shared" si="179"/>
        <v>1</v>
      </c>
      <c r="F2489" s="487">
        <f t="shared" ca="1" si="180"/>
        <v>30</v>
      </c>
      <c r="G2489" s="487" t="s">
        <v>7413</v>
      </c>
      <c r="H2489" s="493"/>
      <c r="I2489" s="493"/>
      <c r="J2489" s="493"/>
      <c r="K2489" s="493"/>
      <c r="L2489" s="487"/>
      <c r="M2489" s="487"/>
      <c r="N2489" s="487"/>
      <c r="O2489" s="487"/>
      <c r="P2489" s="487">
        <f t="shared" si="181"/>
        <v>127</v>
      </c>
      <c r="Q2489" s="487" t="b">
        <v>0</v>
      </c>
    </row>
    <row r="2490" spans="1:17" x14ac:dyDescent="0.3">
      <c r="A2490" s="487" t="b">
        <v>0</v>
      </c>
      <c r="B2490" s="487" t="s">
        <v>7657</v>
      </c>
      <c r="C2490" s="502">
        <v>22</v>
      </c>
      <c r="D2490" s="487">
        <f t="shared" si="178"/>
        <v>-352</v>
      </c>
      <c r="E2490" s="487">
        <f t="shared" si="179"/>
        <v>2</v>
      </c>
      <c r="F2490" s="487">
        <f t="shared" ca="1" si="180"/>
        <v>30</v>
      </c>
      <c r="G2490" s="487" t="s">
        <v>7413</v>
      </c>
      <c r="H2490" s="493"/>
      <c r="I2490" s="493"/>
      <c r="J2490" s="493"/>
      <c r="K2490" s="493"/>
      <c r="L2490" s="487"/>
      <c r="M2490" s="487"/>
      <c r="N2490" s="487"/>
      <c r="O2490" s="487"/>
      <c r="P2490" s="487">
        <f t="shared" si="181"/>
        <v>128</v>
      </c>
      <c r="Q2490" s="487" t="b">
        <v>0</v>
      </c>
    </row>
    <row r="2491" spans="1:17" x14ac:dyDescent="0.3">
      <c r="A2491" s="487" t="b">
        <v>0</v>
      </c>
      <c r="B2491" s="487" t="s">
        <v>7658</v>
      </c>
      <c r="C2491" s="502">
        <v>22</v>
      </c>
      <c r="D2491" s="487">
        <f t="shared" ref="D2491:D2554" si="182">D2490+1</f>
        <v>-351</v>
      </c>
      <c r="E2491" s="487">
        <f t="shared" ref="E2491:E2554" si="183">COUNTIF(C2486:C2491,C2491)</f>
        <v>3</v>
      </c>
      <c r="F2491" s="487">
        <f t="shared" ref="F2491:F2554" ca="1" si="184">IF(C2491=1,9,IF(E2490=MAX(E2489:E2491),F2489+1,F2490))</f>
        <v>30</v>
      </c>
      <c r="G2491" s="487" t="s">
        <v>7413</v>
      </c>
      <c r="H2491" s="493"/>
      <c r="I2491" s="493"/>
      <c r="J2491" s="493"/>
      <c r="K2491" s="493"/>
      <c r="L2491" s="487"/>
      <c r="M2491" s="487"/>
      <c r="N2491" s="487"/>
      <c r="O2491" s="487"/>
      <c r="P2491" s="487">
        <f t="shared" ref="P2491:P2554" si="185">IF(NOT(_xlfn.ISFORMULA(I2491)),P2490+1,0)</f>
        <v>129</v>
      </c>
      <c r="Q2491" s="487" t="b">
        <v>0</v>
      </c>
    </row>
    <row r="2492" spans="1:17" x14ac:dyDescent="0.3">
      <c r="A2492" s="487" t="b">
        <v>0</v>
      </c>
      <c r="B2492" s="487" t="s">
        <v>7659</v>
      </c>
      <c r="C2492" s="502">
        <v>22</v>
      </c>
      <c r="D2492" s="487">
        <f t="shared" si="182"/>
        <v>-350</v>
      </c>
      <c r="E2492" s="487">
        <f t="shared" si="183"/>
        <v>4</v>
      </c>
      <c r="F2492" s="487">
        <f t="shared" ca="1" si="184"/>
        <v>30</v>
      </c>
      <c r="G2492" s="487" t="s">
        <v>7413</v>
      </c>
      <c r="H2492" s="493"/>
      <c r="I2492" s="493"/>
      <c r="J2492" s="493"/>
      <c r="K2492" s="493"/>
      <c r="L2492" s="487"/>
      <c r="M2492" s="487"/>
      <c r="N2492" s="487"/>
      <c r="O2492" s="487"/>
      <c r="P2492" s="487">
        <f t="shared" si="185"/>
        <v>130</v>
      </c>
      <c r="Q2492" s="487" t="b">
        <v>0</v>
      </c>
    </row>
    <row r="2493" spans="1:17" x14ac:dyDescent="0.3">
      <c r="A2493" s="487" t="b">
        <v>0</v>
      </c>
      <c r="B2493" s="487" t="s">
        <v>7660</v>
      </c>
      <c r="C2493" s="502">
        <v>22</v>
      </c>
      <c r="D2493" s="487">
        <f t="shared" si="182"/>
        <v>-349</v>
      </c>
      <c r="E2493" s="487">
        <f t="shared" si="183"/>
        <v>5</v>
      </c>
      <c r="F2493" s="487">
        <f t="shared" ca="1" si="184"/>
        <v>30</v>
      </c>
      <c r="G2493" s="487" t="s">
        <v>7413</v>
      </c>
      <c r="H2493" s="493"/>
      <c r="I2493" s="493"/>
      <c r="J2493" s="493"/>
      <c r="K2493" s="493"/>
      <c r="L2493" s="487"/>
      <c r="M2493" s="487"/>
      <c r="N2493" s="487"/>
      <c r="O2493" s="487"/>
      <c r="P2493" s="487">
        <f t="shared" si="185"/>
        <v>131</v>
      </c>
      <c r="Q2493" s="487" t="b">
        <v>0</v>
      </c>
    </row>
    <row r="2494" spans="1:17" x14ac:dyDescent="0.3">
      <c r="A2494" s="487" t="b">
        <v>0</v>
      </c>
      <c r="B2494" s="487" t="s">
        <v>7661</v>
      </c>
      <c r="C2494" s="502">
        <v>22</v>
      </c>
      <c r="D2494" s="487">
        <f t="shared" si="182"/>
        <v>-348</v>
      </c>
      <c r="E2494" s="487">
        <f t="shared" si="183"/>
        <v>6</v>
      </c>
      <c r="F2494" s="487">
        <f t="shared" ca="1" si="184"/>
        <v>30</v>
      </c>
      <c r="G2494" s="487" t="s">
        <v>7413</v>
      </c>
      <c r="H2494" s="493"/>
      <c r="I2494" s="493"/>
      <c r="J2494" s="493"/>
      <c r="K2494" s="493"/>
      <c r="L2494" s="487"/>
      <c r="M2494" s="487"/>
      <c r="N2494" s="487"/>
      <c r="O2494" s="487"/>
      <c r="P2494" s="487">
        <f t="shared" si="185"/>
        <v>132</v>
      </c>
      <c r="Q2494" s="487" t="b">
        <v>0</v>
      </c>
    </row>
    <row r="2495" spans="1:17" x14ac:dyDescent="0.3">
      <c r="A2495" s="487" t="b">
        <v>0</v>
      </c>
      <c r="B2495" s="487" t="s">
        <v>7662</v>
      </c>
      <c r="C2495" s="502">
        <v>23</v>
      </c>
      <c r="D2495" s="487">
        <f t="shared" si="182"/>
        <v>-347</v>
      </c>
      <c r="E2495" s="487">
        <f t="shared" si="183"/>
        <v>1</v>
      </c>
      <c r="F2495" s="487">
        <f t="shared" ca="1" si="184"/>
        <v>31</v>
      </c>
      <c r="G2495" s="487" t="s">
        <v>7415</v>
      </c>
      <c r="H2495" s="493"/>
      <c r="I2495" s="493"/>
      <c r="J2495" s="493"/>
      <c r="K2495" s="493"/>
      <c r="L2495" s="487"/>
      <c r="M2495" s="487"/>
      <c r="N2495" s="487"/>
      <c r="O2495" s="487"/>
      <c r="P2495" s="487">
        <f t="shared" si="185"/>
        <v>133</v>
      </c>
      <c r="Q2495" s="487" t="b">
        <v>0</v>
      </c>
    </row>
    <row r="2496" spans="1:17" x14ac:dyDescent="0.3">
      <c r="A2496" s="487" t="b">
        <v>0</v>
      </c>
      <c r="B2496" s="487" t="s">
        <v>7663</v>
      </c>
      <c r="C2496" s="502">
        <v>23</v>
      </c>
      <c r="D2496" s="487">
        <f t="shared" si="182"/>
        <v>-346</v>
      </c>
      <c r="E2496" s="487">
        <f t="shared" si="183"/>
        <v>2</v>
      </c>
      <c r="F2496" s="487">
        <f t="shared" ca="1" si="184"/>
        <v>31</v>
      </c>
      <c r="G2496" s="487" t="s">
        <v>7415</v>
      </c>
      <c r="H2496" s="493"/>
      <c r="I2496" s="493"/>
      <c r="J2496" s="493"/>
      <c r="K2496" s="493"/>
      <c r="L2496" s="487"/>
      <c r="M2496" s="487"/>
      <c r="N2496" s="487"/>
      <c r="O2496" s="487"/>
      <c r="P2496" s="487">
        <f t="shared" si="185"/>
        <v>134</v>
      </c>
      <c r="Q2496" s="487" t="b">
        <v>0</v>
      </c>
    </row>
    <row r="2497" spans="1:17" x14ac:dyDescent="0.3">
      <c r="A2497" s="487" t="b">
        <v>0</v>
      </c>
      <c r="B2497" s="487" t="s">
        <v>7664</v>
      </c>
      <c r="C2497" s="502">
        <v>23</v>
      </c>
      <c r="D2497" s="487">
        <f t="shared" si="182"/>
        <v>-345</v>
      </c>
      <c r="E2497" s="487">
        <f t="shared" si="183"/>
        <v>3</v>
      </c>
      <c r="F2497" s="487">
        <f t="shared" ca="1" si="184"/>
        <v>31</v>
      </c>
      <c r="G2497" s="487" t="s">
        <v>7415</v>
      </c>
      <c r="H2497" s="493"/>
      <c r="I2497" s="493"/>
      <c r="J2497" s="493"/>
      <c r="K2497" s="493"/>
      <c r="L2497" s="487"/>
      <c r="M2497" s="487"/>
      <c r="N2497" s="487"/>
      <c r="O2497" s="487"/>
      <c r="P2497" s="487">
        <f t="shared" si="185"/>
        <v>135</v>
      </c>
      <c r="Q2497" s="487" t="b">
        <v>0</v>
      </c>
    </row>
    <row r="2498" spans="1:17" x14ac:dyDescent="0.3">
      <c r="A2498" s="487" t="b">
        <v>0</v>
      </c>
      <c r="B2498" s="487" t="s">
        <v>7665</v>
      </c>
      <c r="C2498" s="502">
        <v>23</v>
      </c>
      <c r="D2498" s="487">
        <f t="shared" si="182"/>
        <v>-344</v>
      </c>
      <c r="E2498" s="487">
        <f t="shared" si="183"/>
        <v>4</v>
      </c>
      <c r="F2498" s="487">
        <f t="shared" ca="1" si="184"/>
        <v>31</v>
      </c>
      <c r="G2498" s="487" t="s">
        <v>7415</v>
      </c>
      <c r="H2498" s="493"/>
      <c r="I2498" s="493"/>
      <c r="J2498" s="493"/>
      <c r="K2498" s="493"/>
      <c r="L2498" s="487"/>
      <c r="M2498" s="487"/>
      <c r="N2498" s="487"/>
      <c r="O2498" s="487"/>
      <c r="P2498" s="487">
        <f t="shared" si="185"/>
        <v>136</v>
      </c>
      <c r="Q2498" s="487" t="b">
        <v>0</v>
      </c>
    </row>
    <row r="2499" spans="1:17" x14ac:dyDescent="0.3">
      <c r="A2499" s="487" t="b">
        <v>0</v>
      </c>
      <c r="B2499" s="487" t="s">
        <v>7666</v>
      </c>
      <c r="C2499" s="502">
        <v>23</v>
      </c>
      <c r="D2499" s="487">
        <f t="shared" si="182"/>
        <v>-343</v>
      </c>
      <c r="E2499" s="487">
        <f t="shared" si="183"/>
        <v>5</v>
      </c>
      <c r="F2499" s="487">
        <f t="shared" ca="1" si="184"/>
        <v>31</v>
      </c>
      <c r="G2499" s="487" t="s">
        <v>7415</v>
      </c>
      <c r="H2499" s="493"/>
      <c r="I2499" s="493"/>
      <c r="J2499" s="493"/>
      <c r="K2499" s="493"/>
      <c r="L2499" s="487"/>
      <c r="M2499" s="487"/>
      <c r="N2499" s="487"/>
      <c r="O2499" s="487"/>
      <c r="P2499" s="487">
        <f t="shared" si="185"/>
        <v>137</v>
      </c>
      <c r="Q2499" s="487" t="b">
        <v>0</v>
      </c>
    </row>
    <row r="2500" spans="1:17" x14ac:dyDescent="0.3">
      <c r="A2500" s="487" t="b">
        <v>0</v>
      </c>
      <c r="B2500" s="487" t="s">
        <v>7667</v>
      </c>
      <c r="C2500" s="502">
        <v>23</v>
      </c>
      <c r="D2500" s="487">
        <f t="shared" si="182"/>
        <v>-342</v>
      </c>
      <c r="E2500" s="487">
        <f t="shared" si="183"/>
        <v>6</v>
      </c>
      <c r="F2500" s="487">
        <f t="shared" ca="1" si="184"/>
        <v>31</v>
      </c>
      <c r="G2500" s="487" t="s">
        <v>7415</v>
      </c>
      <c r="H2500" s="493"/>
      <c r="I2500" s="493"/>
      <c r="J2500" s="493"/>
      <c r="K2500" s="493"/>
      <c r="L2500" s="487"/>
      <c r="M2500" s="487"/>
      <c r="N2500" s="487"/>
      <c r="O2500" s="487"/>
      <c r="P2500" s="487">
        <f t="shared" si="185"/>
        <v>138</v>
      </c>
      <c r="Q2500" s="487" t="b">
        <v>0</v>
      </c>
    </row>
    <row r="2501" spans="1:17" x14ac:dyDescent="0.3">
      <c r="A2501" s="487" t="b">
        <v>0</v>
      </c>
      <c r="B2501" s="487" t="s">
        <v>7668</v>
      </c>
      <c r="C2501" s="502">
        <v>24</v>
      </c>
      <c r="D2501" s="487">
        <f t="shared" si="182"/>
        <v>-341</v>
      </c>
      <c r="E2501" s="487">
        <f t="shared" si="183"/>
        <v>1</v>
      </c>
      <c r="F2501" s="487">
        <f t="shared" ca="1" si="184"/>
        <v>32</v>
      </c>
      <c r="G2501" s="487" t="s">
        <v>7417</v>
      </c>
      <c r="H2501" s="493"/>
      <c r="I2501" s="493"/>
      <c r="J2501" s="493"/>
      <c r="K2501" s="493"/>
      <c r="L2501" s="487"/>
      <c r="M2501" s="487"/>
      <c r="N2501" s="487"/>
      <c r="O2501" s="487"/>
      <c r="P2501" s="487">
        <f t="shared" si="185"/>
        <v>139</v>
      </c>
      <c r="Q2501" s="487" t="b">
        <v>0</v>
      </c>
    </row>
    <row r="2502" spans="1:17" x14ac:dyDescent="0.3">
      <c r="A2502" s="487" t="b">
        <v>0</v>
      </c>
      <c r="B2502" s="487" t="s">
        <v>7669</v>
      </c>
      <c r="C2502" s="502">
        <v>24</v>
      </c>
      <c r="D2502" s="487">
        <f t="shared" si="182"/>
        <v>-340</v>
      </c>
      <c r="E2502" s="487">
        <f t="shared" si="183"/>
        <v>2</v>
      </c>
      <c r="F2502" s="487">
        <f t="shared" ca="1" si="184"/>
        <v>32</v>
      </c>
      <c r="G2502" s="487" t="s">
        <v>7417</v>
      </c>
      <c r="H2502" s="493"/>
      <c r="I2502" s="493"/>
      <c r="J2502" s="493"/>
      <c r="K2502" s="493"/>
      <c r="L2502" s="487"/>
      <c r="M2502" s="487"/>
      <c r="N2502" s="487"/>
      <c r="O2502" s="487"/>
      <c r="P2502" s="487">
        <f t="shared" si="185"/>
        <v>140</v>
      </c>
      <c r="Q2502" s="487" t="b">
        <v>0</v>
      </c>
    </row>
    <row r="2503" spans="1:17" x14ac:dyDescent="0.3">
      <c r="A2503" s="487" t="b">
        <v>0</v>
      </c>
      <c r="B2503" s="487" t="s">
        <v>7670</v>
      </c>
      <c r="C2503" s="502">
        <v>24</v>
      </c>
      <c r="D2503" s="487">
        <f t="shared" si="182"/>
        <v>-339</v>
      </c>
      <c r="E2503" s="487">
        <f t="shared" si="183"/>
        <v>3</v>
      </c>
      <c r="F2503" s="487">
        <f t="shared" ca="1" si="184"/>
        <v>32</v>
      </c>
      <c r="G2503" s="487" t="s">
        <v>7417</v>
      </c>
      <c r="H2503" s="493"/>
      <c r="I2503" s="493"/>
      <c r="J2503" s="493"/>
      <c r="K2503" s="493"/>
      <c r="L2503" s="487"/>
      <c r="M2503" s="487"/>
      <c r="N2503" s="487"/>
      <c r="O2503" s="487"/>
      <c r="P2503" s="487">
        <f t="shared" si="185"/>
        <v>141</v>
      </c>
      <c r="Q2503" s="487" t="b">
        <v>0</v>
      </c>
    </row>
    <row r="2504" spans="1:17" x14ac:dyDescent="0.3">
      <c r="A2504" s="487" t="b">
        <v>0</v>
      </c>
      <c r="B2504" s="487" t="s">
        <v>7671</v>
      </c>
      <c r="C2504" s="502">
        <v>24</v>
      </c>
      <c r="D2504" s="487">
        <f t="shared" si="182"/>
        <v>-338</v>
      </c>
      <c r="E2504" s="487">
        <f t="shared" si="183"/>
        <v>4</v>
      </c>
      <c r="F2504" s="487">
        <f t="shared" ca="1" si="184"/>
        <v>32</v>
      </c>
      <c r="G2504" s="487" t="s">
        <v>7417</v>
      </c>
      <c r="H2504" s="493"/>
      <c r="I2504" s="493"/>
      <c r="J2504" s="493"/>
      <c r="K2504" s="493"/>
      <c r="L2504" s="487"/>
      <c r="M2504" s="487"/>
      <c r="N2504" s="487"/>
      <c r="O2504" s="487"/>
      <c r="P2504" s="487">
        <f t="shared" si="185"/>
        <v>142</v>
      </c>
      <c r="Q2504" s="487" t="b">
        <v>0</v>
      </c>
    </row>
    <row r="2505" spans="1:17" x14ac:dyDescent="0.3">
      <c r="A2505" s="487" t="b">
        <v>0</v>
      </c>
      <c r="B2505" s="487" t="s">
        <v>7672</v>
      </c>
      <c r="C2505" s="502">
        <v>24</v>
      </c>
      <c r="D2505" s="487">
        <f t="shared" si="182"/>
        <v>-337</v>
      </c>
      <c r="E2505" s="487">
        <f t="shared" si="183"/>
        <v>5</v>
      </c>
      <c r="F2505" s="487">
        <f t="shared" ca="1" si="184"/>
        <v>32</v>
      </c>
      <c r="G2505" s="487" t="s">
        <v>7417</v>
      </c>
      <c r="H2505" s="493"/>
      <c r="I2505" s="493"/>
      <c r="J2505" s="493"/>
      <c r="K2505" s="493"/>
      <c r="L2505" s="487"/>
      <c r="M2505" s="487"/>
      <c r="N2505" s="487"/>
      <c r="O2505" s="487"/>
      <c r="P2505" s="487">
        <f t="shared" si="185"/>
        <v>143</v>
      </c>
      <c r="Q2505" s="487" t="b">
        <v>0</v>
      </c>
    </row>
    <row r="2506" spans="1:17" x14ac:dyDescent="0.3">
      <c r="A2506" s="487" t="b">
        <v>0</v>
      </c>
      <c r="B2506" s="487" t="s">
        <v>7673</v>
      </c>
      <c r="C2506" s="502">
        <v>24</v>
      </c>
      <c r="D2506" s="487">
        <f t="shared" si="182"/>
        <v>-336</v>
      </c>
      <c r="E2506" s="487">
        <f t="shared" si="183"/>
        <v>6</v>
      </c>
      <c r="F2506" s="487">
        <f t="shared" ca="1" si="184"/>
        <v>32</v>
      </c>
      <c r="G2506" s="487" t="s">
        <v>7417</v>
      </c>
      <c r="H2506" s="493"/>
      <c r="I2506" s="493"/>
      <c r="J2506" s="493"/>
      <c r="K2506" s="493"/>
      <c r="L2506" s="487"/>
      <c r="M2506" s="487"/>
      <c r="N2506" s="487"/>
      <c r="O2506" s="487"/>
      <c r="P2506" s="487">
        <f t="shared" si="185"/>
        <v>144</v>
      </c>
      <c r="Q2506" s="487" t="b">
        <v>0</v>
      </c>
    </row>
    <row r="2507" spans="1:17" x14ac:dyDescent="0.3">
      <c r="A2507" s="487" t="b">
        <v>0</v>
      </c>
      <c r="B2507" s="487" t="s">
        <v>7674</v>
      </c>
      <c r="C2507" s="502">
        <v>25</v>
      </c>
      <c r="D2507" s="487">
        <f t="shared" si="182"/>
        <v>-335</v>
      </c>
      <c r="E2507" s="487">
        <f t="shared" si="183"/>
        <v>1</v>
      </c>
      <c r="F2507" s="487">
        <f t="shared" ca="1" si="184"/>
        <v>33</v>
      </c>
      <c r="G2507" s="487" t="s">
        <v>7419</v>
      </c>
      <c r="H2507" s="493"/>
      <c r="I2507" s="493"/>
      <c r="J2507" s="493"/>
      <c r="K2507" s="493"/>
      <c r="L2507" s="487"/>
      <c r="M2507" s="487"/>
      <c r="N2507" s="487"/>
      <c r="O2507" s="487"/>
      <c r="P2507" s="487">
        <f t="shared" si="185"/>
        <v>145</v>
      </c>
      <c r="Q2507" s="487" t="b">
        <v>0</v>
      </c>
    </row>
    <row r="2508" spans="1:17" x14ac:dyDescent="0.3">
      <c r="A2508" s="487" t="b">
        <v>0</v>
      </c>
      <c r="B2508" s="487" t="s">
        <v>7675</v>
      </c>
      <c r="C2508" s="502">
        <v>25</v>
      </c>
      <c r="D2508" s="487">
        <f t="shared" si="182"/>
        <v>-334</v>
      </c>
      <c r="E2508" s="487">
        <f t="shared" si="183"/>
        <v>2</v>
      </c>
      <c r="F2508" s="487">
        <f t="shared" ca="1" si="184"/>
        <v>33</v>
      </c>
      <c r="G2508" s="487" t="s">
        <v>7419</v>
      </c>
      <c r="H2508" s="493"/>
      <c r="I2508" s="493"/>
      <c r="J2508" s="493"/>
      <c r="K2508" s="493"/>
      <c r="L2508" s="487"/>
      <c r="M2508" s="487"/>
      <c r="N2508" s="487"/>
      <c r="O2508" s="487"/>
      <c r="P2508" s="487">
        <f t="shared" si="185"/>
        <v>146</v>
      </c>
      <c r="Q2508" s="487" t="b">
        <v>0</v>
      </c>
    </row>
    <row r="2509" spans="1:17" x14ac:dyDescent="0.3">
      <c r="A2509" s="487" t="b">
        <v>0</v>
      </c>
      <c r="B2509" s="487" t="s">
        <v>7676</v>
      </c>
      <c r="C2509" s="502">
        <v>25</v>
      </c>
      <c r="D2509" s="487">
        <f t="shared" si="182"/>
        <v>-333</v>
      </c>
      <c r="E2509" s="487">
        <f t="shared" si="183"/>
        <v>3</v>
      </c>
      <c r="F2509" s="487">
        <f t="shared" ca="1" si="184"/>
        <v>33</v>
      </c>
      <c r="G2509" s="487" t="s">
        <v>7419</v>
      </c>
      <c r="H2509" s="493"/>
      <c r="I2509" s="493"/>
      <c r="J2509" s="493"/>
      <c r="K2509" s="493"/>
      <c r="L2509" s="487"/>
      <c r="M2509" s="487"/>
      <c r="N2509" s="487"/>
      <c r="O2509" s="487"/>
      <c r="P2509" s="487">
        <f t="shared" si="185"/>
        <v>147</v>
      </c>
      <c r="Q2509" s="487" t="b">
        <v>0</v>
      </c>
    </row>
    <row r="2510" spans="1:17" x14ac:dyDescent="0.3">
      <c r="A2510" s="487" t="b">
        <v>0</v>
      </c>
      <c r="B2510" s="487" t="s">
        <v>7677</v>
      </c>
      <c r="C2510" s="502">
        <v>25</v>
      </c>
      <c r="D2510" s="487">
        <f t="shared" si="182"/>
        <v>-332</v>
      </c>
      <c r="E2510" s="487">
        <f t="shared" si="183"/>
        <v>4</v>
      </c>
      <c r="F2510" s="487">
        <f t="shared" ca="1" si="184"/>
        <v>33</v>
      </c>
      <c r="G2510" s="487" t="s">
        <v>7419</v>
      </c>
      <c r="H2510" s="493"/>
      <c r="I2510" s="493"/>
      <c r="J2510" s="493"/>
      <c r="K2510" s="493"/>
      <c r="L2510" s="487"/>
      <c r="M2510" s="487"/>
      <c r="N2510" s="487"/>
      <c r="O2510" s="487"/>
      <c r="P2510" s="487">
        <f t="shared" si="185"/>
        <v>148</v>
      </c>
      <c r="Q2510" s="487" t="b">
        <v>0</v>
      </c>
    </row>
    <row r="2511" spans="1:17" x14ac:dyDescent="0.3">
      <c r="A2511" s="487" t="b">
        <v>0</v>
      </c>
      <c r="B2511" s="487" t="s">
        <v>7678</v>
      </c>
      <c r="C2511" s="502">
        <v>25</v>
      </c>
      <c r="D2511" s="487">
        <f t="shared" si="182"/>
        <v>-331</v>
      </c>
      <c r="E2511" s="487">
        <f t="shared" si="183"/>
        <v>5</v>
      </c>
      <c r="F2511" s="487">
        <f t="shared" ca="1" si="184"/>
        <v>33</v>
      </c>
      <c r="G2511" s="487" t="s">
        <v>7419</v>
      </c>
      <c r="H2511" s="493"/>
      <c r="I2511" s="493"/>
      <c r="J2511" s="493"/>
      <c r="K2511" s="493"/>
      <c r="L2511" s="487"/>
      <c r="M2511" s="487"/>
      <c r="N2511" s="487"/>
      <c r="O2511" s="487"/>
      <c r="P2511" s="487">
        <f t="shared" si="185"/>
        <v>149</v>
      </c>
      <c r="Q2511" s="487" t="b">
        <v>0</v>
      </c>
    </row>
    <row r="2512" spans="1:17" x14ac:dyDescent="0.3">
      <c r="A2512" s="487" t="b">
        <v>0</v>
      </c>
      <c r="B2512" s="487" t="s">
        <v>7679</v>
      </c>
      <c r="C2512" s="502">
        <v>25</v>
      </c>
      <c r="D2512" s="487">
        <f t="shared" si="182"/>
        <v>-330</v>
      </c>
      <c r="E2512" s="487">
        <f t="shared" si="183"/>
        <v>6</v>
      </c>
      <c r="F2512" s="487">
        <f t="shared" ca="1" si="184"/>
        <v>33</v>
      </c>
      <c r="G2512" s="487" t="s">
        <v>7419</v>
      </c>
      <c r="H2512" s="493"/>
      <c r="I2512" s="493"/>
      <c r="J2512" s="493"/>
      <c r="K2512" s="493"/>
      <c r="L2512" s="487"/>
      <c r="M2512" s="487"/>
      <c r="N2512" s="487"/>
      <c r="O2512" s="487"/>
      <c r="P2512" s="487">
        <f t="shared" si="185"/>
        <v>150</v>
      </c>
      <c r="Q2512" s="487" t="b">
        <v>0</v>
      </c>
    </row>
    <row r="2513" spans="1:17" x14ac:dyDescent="0.3">
      <c r="A2513" s="487" t="b">
        <v>0</v>
      </c>
      <c r="B2513" s="487" t="s">
        <v>7680</v>
      </c>
      <c r="C2513" s="502">
        <v>26</v>
      </c>
      <c r="D2513" s="487">
        <f t="shared" si="182"/>
        <v>-329</v>
      </c>
      <c r="E2513" s="487">
        <f t="shared" si="183"/>
        <v>1</v>
      </c>
      <c r="F2513" s="487">
        <f t="shared" ca="1" si="184"/>
        <v>34</v>
      </c>
      <c r="G2513" s="487" t="s">
        <v>7421</v>
      </c>
      <c r="H2513" s="493"/>
      <c r="I2513" s="493"/>
      <c r="J2513" s="493"/>
      <c r="K2513" s="493"/>
      <c r="L2513" s="487"/>
      <c r="M2513" s="487"/>
      <c r="N2513" s="487"/>
      <c r="O2513" s="487"/>
      <c r="P2513" s="487">
        <f t="shared" si="185"/>
        <v>151</v>
      </c>
      <c r="Q2513" s="487" t="b">
        <v>0</v>
      </c>
    </row>
    <row r="2514" spans="1:17" x14ac:dyDescent="0.3">
      <c r="A2514" s="487" t="b">
        <v>0</v>
      </c>
      <c r="B2514" s="487" t="s">
        <v>7681</v>
      </c>
      <c r="C2514" s="502">
        <v>26</v>
      </c>
      <c r="D2514" s="487">
        <f t="shared" si="182"/>
        <v>-328</v>
      </c>
      <c r="E2514" s="487">
        <f t="shared" si="183"/>
        <v>2</v>
      </c>
      <c r="F2514" s="487">
        <f t="shared" ca="1" si="184"/>
        <v>34</v>
      </c>
      <c r="G2514" s="487" t="s">
        <v>7421</v>
      </c>
      <c r="H2514" s="493"/>
      <c r="I2514" s="493"/>
      <c r="J2514" s="493"/>
      <c r="K2514" s="493"/>
      <c r="L2514" s="487"/>
      <c r="M2514" s="487"/>
      <c r="N2514" s="487"/>
      <c r="O2514" s="487"/>
      <c r="P2514" s="487">
        <f t="shared" si="185"/>
        <v>152</v>
      </c>
      <c r="Q2514" s="487" t="b">
        <v>0</v>
      </c>
    </row>
    <row r="2515" spans="1:17" x14ac:dyDescent="0.3">
      <c r="A2515" s="487" t="b">
        <v>0</v>
      </c>
      <c r="B2515" s="487" t="s">
        <v>7682</v>
      </c>
      <c r="C2515" s="502">
        <v>26</v>
      </c>
      <c r="D2515" s="487">
        <f t="shared" si="182"/>
        <v>-327</v>
      </c>
      <c r="E2515" s="487">
        <f t="shared" si="183"/>
        <v>3</v>
      </c>
      <c r="F2515" s="487">
        <f t="shared" ca="1" si="184"/>
        <v>34</v>
      </c>
      <c r="G2515" s="487" t="s">
        <v>7421</v>
      </c>
      <c r="H2515" s="493"/>
      <c r="I2515" s="493"/>
      <c r="J2515" s="493"/>
      <c r="K2515" s="493"/>
      <c r="L2515" s="487"/>
      <c r="M2515" s="487"/>
      <c r="N2515" s="487"/>
      <c r="O2515" s="487"/>
      <c r="P2515" s="487">
        <f t="shared" si="185"/>
        <v>153</v>
      </c>
      <c r="Q2515" s="487" t="b">
        <v>0</v>
      </c>
    </row>
    <row r="2516" spans="1:17" x14ac:dyDescent="0.3">
      <c r="A2516" s="487" t="b">
        <v>0</v>
      </c>
      <c r="B2516" s="487" t="s">
        <v>7683</v>
      </c>
      <c r="C2516" s="502">
        <v>26</v>
      </c>
      <c r="D2516" s="487">
        <f t="shared" si="182"/>
        <v>-326</v>
      </c>
      <c r="E2516" s="487">
        <f t="shared" si="183"/>
        <v>4</v>
      </c>
      <c r="F2516" s="487">
        <f t="shared" ca="1" si="184"/>
        <v>34</v>
      </c>
      <c r="G2516" s="487" t="s">
        <v>7421</v>
      </c>
      <c r="H2516" s="493"/>
      <c r="I2516" s="493"/>
      <c r="J2516" s="493"/>
      <c r="K2516" s="493"/>
      <c r="L2516" s="487"/>
      <c r="M2516" s="487"/>
      <c r="N2516" s="487"/>
      <c r="O2516" s="487"/>
      <c r="P2516" s="487">
        <f t="shared" si="185"/>
        <v>154</v>
      </c>
      <c r="Q2516" s="487" t="b">
        <v>0</v>
      </c>
    </row>
    <row r="2517" spans="1:17" x14ac:dyDescent="0.3">
      <c r="A2517" s="487" t="b">
        <v>0</v>
      </c>
      <c r="B2517" s="487" t="s">
        <v>7684</v>
      </c>
      <c r="C2517" s="502">
        <v>26</v>
      </c>
      <c r="D2517" s="487">
        <f t="shared" si="182"/>
        <v>-325</v>
      </c>
      <c r="E2517" s="487">
        <f t="shared" si="183"/>
        <v>5</v>
      </c>
      <c r="F2517" s="487">
        <f t="shared" ca="1" si="184"/>
        <v>34</v>
      </c>
      <c r="G2517" s="487" t="s">
        <v>7421</v>
      </c>
      <c r="H2517" s="493"/>
      <c r="I2517" s="493"/>
      <c r="J2517" s="493"/>
      <c r="K2517" s="493"/>
      <c r="L2517" s="487"/>
      <c r="M2517" s="487"/>
      <c r="N2517" s="487"/>
      <c r="O2517" s="487"/>
      <c r="P2517" s="487">
        <f t="shared" si="185"/>
        <v>155</v>
      </c>
      <c r="Q2517" s="487" t="b">
        <v>0</v>
      </c>
    </row>
    <row r="2518" spans="1:17" x14ac:dyDescent="0.3">
      <c r="A2518" s="487" t="b">
        <v>0</v>
      </c>
      <c r="B2518" s="487" t="s">
        <v>7685</v>
      </c>
      <c r="C2518" s="502">
        <v>26</v>
      </c>
      <c r="D2518" s="487">
        <f t="shared" si="182"/>
        <v>-324</v>
      </c>
      <c r="E2518" s="487">
        <f t="shared" si="183"/>
        <v>6</v>
      </c>
      <c r="F2518" s="487">
        <f t="shared" ca="1" si="184"/>
        <v>34</v>
      </c>
      <c r="G2518" s="487" t="s">
        <v>7421</v>
      </c>
      <c r="H2518" s="493"/>
      <c r="I2518" s="493"/>
      <c r="J2518" s="493"/>
      <c r="K2518" s="493"/>
      <c r="L2518" s="487"/>
      <c r="M2518" s="487"/>
      <c r="N2518" s="487"/>
      <c r="O2518" s="487"/>
      <c r="P2518" s="487">
        <f t="shared" si="185"/>
        <v>156</v>
      </c>
      <c r="Q2518" s="487" t="b">
        <v>0</v>
      </c>
    </row>
    <row r="2519" spans="1:17" x14ac:dyDescent="0.3">
      <c r="A2519" s="487" t="b">
        <v>0</v>
      </c>
      <c r="B2519" s="487" t="s">
        <v>7686</v>
      </c>
      <c r="C2519" s="502">
        <v>27</v>
      </c>
      <c r="D2519" s="487">
        <f t="shared" si="182"/>
        <v>-323</v>
      </c>
      <c r="E2519" s="487">
        <f t="shared" si="183"/>
        <v>1</v>
      </c>
      <c r="F2519" s="487">
        <f t="shared" ca="1" si="184"/>
        <v>35</v>
      </c>
      <c r="G2519" s="487" t="s">
        <v>7423</v>
      </c>
      <c r="H2519" s="493"/>
      <c r="I2519" s="493"/>
      <c r="J2519" s="493"/>
      <c r="K2519" s="493"/>
      <c r="L2519" s="487"/>
      <c r="M2519" s="487"/>
      <c r="N2519" s="487"/>
      <c r="O2519" s="487"/>
      <c r="P2519" s="487">
        <f t="shared" si="185"/>
        <v>157</v>
      </c>
      <c r="Q2519" s="487" t="b">
        <v>0</v>
      </c>
    </row>
    <row r="2520" spans="1:17" x14ac:dyDescent="0.3">
      <c r="A2520" s="487" t="b">
        <v>0</v>
      </c>
      <c r="B2520" s="487" t="s">
        <v>7687</v>
      </c>
      <c r="C2520" s="502">
        <v>27</v>
      </c>
      <c r="D2520" s="487">
        <f t="shared" si="182"/>
        <v>-322</v>
      </c>
      <c r="E2520" s="487">
        <f t="shared" si="183"/>
        <v>2</v>
      </c>
      <c r="F2520" s="487">
        <f t="shared" ca="1" si="184"/>
        <v>35</v>
      </c>
      <c r="G2520" s="487" t="s">
        <v>7423</v>
      </c>
      <c r="H2520" s="493"/>
      <c r="I2520" s="493"/>
      <c r="J2520" s="493"/>
      <c r="K2520" s="493"/>
      <c r="L2520" s="487"/>
      <c r="M2520" s="487"/>
      <c r="N2520" s="487"/>
      <c r="O2520" s="487"/>
      <c r="P2520" s="487">
        <f t="shared" si="185"/>
        <v>158</v>
      </c>
      <c r="Q2520" s="487" t="b">
        <v>0</v>
      </c>
    </row>
    <row r="2521" spans="1:17" x14ac:dyDescent="0.3">
      <c r="A2521" s="487" t="b">
        <v>0</v>
      </c>
      <c r="B2521" s="487" t="s">
        <v>7688</v>
      </c>
      <c r="C2521" s="502">
        <v>27</v>
      </c>
      <c r="D2521" s="487">
        <f t="shared" si="182"/>
        <v>-321</v>
      </c>
      <c r="E2521" s="487">
        <f t="shared" si="183"/>
        <v>3</v>
      </c>
      <c r="F2521" s="487">
        <f t="shared" ca="1" si="184"/>
        <v>35</v>
      </c>
      <c r="G2521" s="487" t="s">
        <v>7423</v>
      </c>
      <c r="H2521" s="493"/>
      <c r="I2521" s="493"/>
      <c r="J2521" s="493"/>
      <c r="K2521" s="493"/>
      <c r="L2521" s="487"/>
      <c r="M2521" s="487"/>
      <c r="N2521" s="487"/>
      <c r="O2521" s="487"/>
      <c r="P2521" s="487">
        <f t="shared" si="185"/>
        <v>159</v>
      </c>
      <c r="Q2521" s="487" t="b">
        <v>0</v>
      </c>
    </row>
    <row r="2522" spans="1:17" x14ac:dyDescent="0.3">
      <c r="A2522" s="487" t="b">
        <v>0</v>
      </c>
      <c r="B2522" s="487" t="s">
        <v>7689</v>
      </c>
      <c r="C2522" s="502">
        <v>27</v>
      </c>
      <c r="D2522" s="487">
        <f t="shared" si="182"/>
        <v>-320</v>
      </c>
      <c r="E2522" s="487">
        <f t="shared" si="183"/>
        <v>4</v>
      </c>
      <c r="F2522" s="487">
        <f t="shared" ca="1" si="184"/>
        <v>35</v>
      </c>
      <c r="G2522" s="487" t="s">
        <v>7423</v>
      </c>
      <c r="H2522" s="493"/>
      <c r="I2522" s="493"/>
      <c r="J2522" s="493"/>
      <c r="K2522" s="493"/>
      <c r="L2522" s="487"/>
      <c r="M2522" s="487"/>
      <c r="N2522" s="487"/>
      <c r="O2522" s="487"/>
      <c r="P2522" s="487">
        <f t="shared" si="185"/>
        <v>160</v>
      </c>
      <c r="Q2522" s="487" t="b">
        <v>0</v>
      </c>
    </row>
    <row r="2523" spans="1:17" x14ac:dyDescent="0.3">
      <c r="A2523" s="487" t="b">
        <v>0</v>
      </c>
      <c r="B2523" s="487" t="s">
        <v>7690</v>
      </c>
      <c r="C2523" s="502">
        <v>27</v>
      </c>
      <c r="D2523" s="487">
        <f t="shared" si="182"/>
        <v>-319</v>
      </c>
      <c r="E2523" s="487">
        <f t="shared" si="183"/>
        <v>5</v>
      </c>
      <c r="F2523" s="487">
        <f t="shared" ca="1" si="184"/>
        <v>35</v>
      </c>
      <c r="G2523" s="487" t="s">
        <v>7423</v>
      </c>
      <c r="H2523" s="493"/>
      <c r="I2523" s="493"/>
      <c r="J2523" s="493"/>
      <c r="K2523" s="493"/>
      <c r="L2523" s="487"/>
      <c r="M2523" s="487"/>
      <c r="N2523" s="487"/>
      <c r="O2523" s="487"/>
      <c r="P2523" s="487">
        <f t="shared" si="185"/>
        <v>161</v>
      </c>
      <c r="Q2523" s="487" t="b">
        <v>0</v>
      </c>
    </row>
    <row r="2524" spans="1:17" x14ac:dyDescent="0.3">
      <c r="A2524" s="487" t="b">
        <v>0</v>
      </c>
      <c r="B2524" s="487" t="s">
        <v>7691</v>
      </c>
      <c r="C2524" s="502">
        <v>27</v>
      </c>
      <c r="D2524" s="487">
        <f t="shared" si="182"/>
        <v>-318</v>
      </c>
      <c r="E2524" s="487">
        <f t="shared" si="183"/>
        <v>6</v>
      </c>
      <c r="F2524" s="487">
        <f t="shared" ca="1" si="184"/>
        <v>35</v>
      </c>
      <c r="G2524" s="487" t="s">
        <v>7423</v>
      </c>
      <c r="H2524" s="493"/>
      <c r="I2524" s="493"/>
      <c r="J2524" s="493"/>
      <c r="K2524" s="493"/>
      <c r="L2524" s="487"/>
      <c r="M2524" s="487"/>
      <c r="N2524" s="487"/>
      <c r="O2524" s="487"/>
      <c r="P2524" s="487">
        <f t="shared" si="185"/>
        <v>162</v>
      </c>
      <c r="Q2524" s="487" t="b">
        <v>0</v>
      </c>
    </row>
    <row r="2525" spans="1:17" x14ac:dyDescent="0.3">
      <c r="A2525" s="487" t="b">
        <v>0</v>
      </c>
      <c r="B2525" s="487" t="s">
        <v>7692</v>
      </c>
      <c r="C2525" s="502">
        <v>28</v>
      </c>
      <c r="D2525" s="487">
        <f t="shared" si="182"/>
        <v>-317</v>
      </c>
      <c r="E2525" s="487">
        <f t="shared" si="183"/>
        <v>1</v>
      </c>
      <c r="F2525" s="487">
        <f t="shared" ca="1" si="184"/>
        <v>36</v>
      </c>
      <c r="G2525" s="487" t="s">
        <v>7425</v>
      </c>
      <c r="H2525" s="493"/>
      <c r="I2525" s="493"/>
      <c r="J2525" s="493"/>
      <c r="K2525" s="493"/>
      <c r="L2525" s="487"/>
      <c r="M2525" s="487"/>
      <c r="N2525" s="487"/>
      <c r="O2525" s="487"/>
      <c r="P2525" s="487">
        <f t="shared" si="185"/>
        <v>163</v>
      </c>
      <c r="Q2525" s="487" t="b">
        <v>0</v>
      </c>
    </row>
    <row r="2526" spans="1:17" x14ac:dyDescent="0.3">
      <c r="A2526" s="487" t="b">
        <v>0</v>
      </c>
      <c r="B2526" s="487" t="s">
        <v>7693</v>
      </c>
      <c r="C2526" s="502">
        <v>28</v>
      </c>
      <c r="D2526" s="487">
        <f t="shared" si="182"/>
        <v>-316</v>
      </c>
      <c r="E2526" s="487">
        <f t="shared" si="183"/>
        <v>2</v>
      </c>
      <c r="F2526" s="487">
        <f t="shared" ca="1" si="184"/>
        <v>36</v>
      </c>
      <c r="G2526" s="487" t="s">
        <v>7425</v>
      </c>
      <c r="H2526" s="493"/>
      <c r="I2526" s="493"/>
      <c r="J2526" s="493"/>
      <c r="K2526" s="493"/>
      <c r="L2526" s="487"/>
      <c r="M2526" s="487"/>
      <c r="N2526" s="487"/>
      <c r="O2526" s="487"/>
      <c r="P2526" s="487">
        <f t="shared" si="185"/>
        <v>164</v>
      </c>
      <c r="Q2526" s="487" t="b">
        <v>0</v>
      </c>
    </row>
    <row r="2527" spans="1:17" x14ac:dyDescent="0.3">
      <c r="A2527" s="487" t="b">
        <v>0</v>
      </c>
      <c r="B2527" s="487" t="s">
        <v>7694</v>
      </c>
      <c r="C2527" s="502">
        <v>28</v>
      </c>
      <c r="D2527" s="487">
        <f t="shared" si="182"/>
        <v>-315</v>
      </c>
      <c r="E2527" s="487">
        <f t="shared" si="183"/>
        <v>3</v>
      </c>
      <c r="F2527" s="487">
        <f t="shared" ca="1" si="184"/>
        <v>36</v>
      </c>
      <c r="G2527" s="487" t="s">
        <v>7425</v>
      </c>
      <c r="H2527" s="493"/>
      <c r="I2527" s="493"/>
      <c r="J2527" s="493"/>
      <c r="K2527" s="493"/>
      <c r="L2527" s="487"/>
      <c r="M2527" s="487"/>
      <c r="N2527" s="487"/>
      <c r="O2527" s="487"/>
      <c r="P2527" s="487">
        <f t="shared" si="185"/>
        <v>165</v>
      </c>
      <c r="Q2527" s="487" t="b">
        <v>0</v>
      </c>
    </row>
    <row r="2528" spans="1:17" x14ac:dyDescent="0.3">
      <c r="A2528" s="487" t="b">
        <v>0</v>
      </c>
      <c r="B2528" s="487" t="s">
        <v>7695</v>
      </c>
      <c r="C2528" s="502">
        <v>28</v>
      </c>
      <c r="D2528" s="487">
        <f t="shared" si="182"/>
        <v>-314</v>
      </c>
      <c r="E2528" s="487">
        <f t="shared" si="183"/>
        <v>4</v>
      </c>
      <c r="F2528" s="487">
        <f t="shared" ca="1" si="184"/>
        <v>36</v>
      </c>
      <c r="G2528" s="487" t="s">
        <v>7425</v>
      </c>
      <c r="H2528" s="493"/>
      <c r="I2528" s="493"/>
      <c r="J2528" s="493"/>
      <c r="K2528" s="493"/>
      <c r="L2528" s="487"/>
      <c r="M2528" s="487"/>
      <c r="N2528" s="487"/>
      <c r="O2528" s="487"/>
      <c r="P2528" s="487">
        <f t="shared" si="185"/>
        <v>166</v>
      </c>
      <c r="Q2528" s="487" t="b">
        <v>0</v>
      </c>
    </row>
    <row r="2529" spans="1:17" x14ac:dyDescent="0.3">
      <c r="A2529" s="487" t="b">
        <v>0</v>
      </c>
      <c r="B2529" s="487" t="s">
        <v>7696</v>
      </c>
      <c r="C2529" s="502">
        <v>28</v>
      </c>
      <c r="D2529" s="487">
        <f t="shared" si="182"/>
        <v>-313</v>
      </c>
      <c r="E2529" s="487">
        <f t="shared" si="183"/>
        <v>5</v>
      </c>
      <c r="F2529" s="487">
        <f t="shared" ca="1" si="184"/>
        <v>36</v>
      </c>
      <c r="G2529" s="487" t="s">
        <v>7425</v>
      </c>
      <c r="H2529" s="493"/>
      <c r="I2529" s="493"/>
      <c r="J2529" s="493"/>
      <c r="K2529" s="493"/>
      <c r="L2529" s="487"/>
      <c r="M2529" s="487"/>
      <c r="N2529" s="487"/>
      <c r="O2529" s="487"/>
      <c r="P2529" s="487">
        <f t="shared" si="185"/>
        <v>167</v>
      </c>
      <c r="Q2529" s="487" t="b">
        <v>0</v>
      </c>
    </row>
    <row r="2530" spans="1:17" x14ac:dyDescent="0.3">
      <c r="A2530" s="487" t="b">
        <v>0</v>
      </c>
      <c r="B2530" s="487" t="s">
        <v>7697</v>
      </c>
      <c r="C2530" s="502">
        <v>28</v>
      </c>
      <c r="D2530" s="487">
        <f t="shared" si="182"/>
        <v>-312</v>
      </c>
      <c r="E2530" s="487">
        <f t="shared" si="183"/>
        <v>6</v>
      </c>
      <c r="F2530" s="487">
        <f t="shared" ca="1" si="184"/>
        <v>36</v>
      </c>
      <c r="G2530" s="487" t="s">
        <v>7425</v>
      </c>
      <c r="H2530" s="493"/>
      <c r="I2530" s="493"/>
      <c r="J2530" s="493"/>
      <c r="K2530" s="493"/>
      <c r="L2530" s="487"/>
      <c r="M2530" s="487"/>
      <c r="N2530" s="487"/>
      <c r="O2530" s="487"/>
      <c r="P2530" s="487">
        <f t="shared" si="185"/>
        <v>168</v>
      </c>
      <c r="Q2530" s="487" t="b">
        <v>0</v>
      </c>
    </row>
    <row r="2531" spans="1:17" x14ac:dyDescent="0.3">
      <c r="A2531" s="487" t="b">
        <v>0</v>
      </c>
      <c r="B2531" s="487" t="s">
        <v>7698</v>
      </c>
      <c r="C2531" s="502">
        <v>29</v>
      </c>
      <c r="D2531" s="487">
        <f t="shared" si="182"/>
        <v>-311</v>
      </c>
      <c r="E2531" s="487">
        <f t="shared" si="183"/>
        <v>1</v>
      </c>
      <c r="F2531" s="487">
        <f t="shared" ca="1" si="184"/>
        <v>37</v>
      </c>
      <c r="G2531" s="487" t="s">
        <v>7427</v>
      </c>
      <c r="H2531" s="493"/>
      <c r="I2531" s="493"/>
      <c r="J2531" s="493"/>
      <c r="K2531" s="493"/>
      <c r="L2531" s="487"/>
      <c r="M2531" s="487"/>
      <c r="N2531" s="487"/>
      <c r="O2531" s="487"/>
      <c r="P2531" s="487">
        <f t="shared" si="185"/>
        <v>169</v>
      </c>
      <c r="Q2531" s="487" t="b">
        <v>0</v>
      </c>
    </row>
    <row r="2532" spans="1:17" x14ac:dyDescent="0.3">
      <c r="A2532" s="487" t="b">
        <v>0</v>
      </c>
      <c r="B2532" s="487" t="s">
        <v>7699</v>
      </c>
      <c r="C2532" s="502">
        <v>29</v>
      </c>
      <c r="D2532" s="487">
        <f t="shared" si="182"/>
        <v>-310</v>
      </c>
      <c r="E2532" s="487">
        <f t="shared" si="183"/>
        <v>2</v>
      </c>
      <c r="F2532" s="487">
        <f t="shared" ca="1" si="184"/>
        <v>37</v>
      </c>
      <c r="G2532" s="487" t="s">
        <v>7427</v>
      </c>
      <c r="H2532" s="493"/>
      <c r="I2532" s="493"/>
      <c r="J2532" s="493"/>
      <c r="K2532" s="493"/>
      <c r="L2532" s="487"/>
      <c r="M2532" s="487"/>
      <c r="N2532" s="487"/>
      <c r="O2532" s="487"/>
      <c r="P2532" s="487">
        <f t="shared" si="185"/>
        <v>170</v>
      </c>
      <c r="Q2532" s="487" t="b">
        <v>0</v>
      </c>
    </row>
    <row r="2533" spans="1:17" x14ac:dyDescent="0.3">
      <c r="A2533" s="487" t="b">
        <v>0</v>
      </c>
      <c r="B2533" s="487" t="s">
        <v>7700</v>
      </c>
      <c r="C2533" s="502">
        <v>29</v>
      </c>
      <c r="D2533" s="487">
        <f t="shared" si="182"/>
        <v>-309</v>
      </c>
      <c r="E2533" s="487">
        <f t="shared" si="183"/>
        <v>3</v>
      </c>
      <c r="F2533" s="487">
        <f t="shared" ca="1" si="184"/>
        <v>37</v>
      </c>
      <c r="G2533" s="487" t="s">
        <v>7427</v>
      </c>
      <c r="H2533" s="493"/>
      <c r="I2533" s="493"/>
      <c r="J2533" s="493"/>
      <c r="K2533" s="493"/>
      <c r="L2533" s="487"/>
      <c r="M2533" s="487"/>
      <c r="N2533" s="487"/>
      <c r="O2533" s="487"/>
      <c r="P2533" s="487">
        <f t="shared" si="185"/>
        <v>171</v>
      </c>
      <c r="Q2533" s="487" t="b">
        <v>0</v>
      </c>
    </row>
    <row r="2534" spans="1:17" x14ac:dyDescent="0.3">
      <c r="A2534" s="487" t="b">
        <v>0</v>
      </c>
      <c r="B2534" s="487" t="s">
        <v>7701</v>
      </c>
      <c r="C2534" s="502">
        <v>29</v>
      </c>
      <c r="D2534" s="487">
        <f t="shared" si="182"/>
        <v>-308</v>
      </c>
      <c r="E2534" s="487">
        <f t="shared" si="183"/>
        <v>4</v>
      </c>
      <c r="F2534" s="487">
        <f t="shared" ca="1" si="184"/>
        <v>37</v>
      </c>
      <c r="G2534" s="487" t="s">
        <v>7427</v>
      </c>
      <c r="H2534" s="493"/>
      <c r="I2534" s="493"/>
      <c r="J2534" s="493"/>
      <c r="K2534" s="493"/>
      <c r="L2534" s="487"/>
      <c r="M2534" s="487"/>
      <c r="N2534" s="487"/>
      <c r="O2534" s="487"/>
      <c r="P2534" s="487">
        <f t="shared" si="185"/>
        <v>172</v>
      </c>
      <c r="Q2534" s="487" t="b">
        <v>0</v>
      </c>
    </row>
    <row r="2535" spans="1:17" x14ac:dyDescent="0.3">
      <c r="A2535" s="487" t="b">
        <v>0</v>
      </c>
      <c r="B2535" s="487" t="s">
        <v>7702</v>
      </c>
      <c r="C2535" s="502">
        <v>29</v>
      </c>
      <c r="D2535" s="487">
        <f t="shared" si="182"/>
        <v>-307</v>
      </c>
      <c r="E2535" s="487">
        <f t="shared" si="183"/>
        <v>5</v>
      </c>
      <c r="F2535" s="487">
        <f t="shared" ca="1" si="184"/>
        <v>37</v>
      </c>
      <c r="G2535" s="487" t="s">
        <v>7427</v>
      </c>
      <c r="H2535" s="493"/>
      <c r="I2535" s="493"/>
      <c r="J2535" s="493"/>
      <c r="K2535" s="493"/>
      <c r="L2535" s="487"/>
      <c r="M2535" s="487"/>
      <c r="N2535" s="487"/>
      <c r="O2535" s="487"/>
      <c r="P2535" s="487">
        <f t="shared" si="185"/>
        <v>173</v>
      </c>
      <c r="Q2535" s="487" t="b">
        <v>0</v>
      </c>
    </row>
    <row r="2536" spans="1:17" x14ac:dyDescent="0.3">
      <c r="A2536" s="487" t="b">
        <v>0</v>
      </c>
      <c r="B2536" s="487" t="s">
        <v>7703</v>
      </c>
      <c r="C2536" s="502">
        <v>29</v>
      </c>
      <c r="D2536" s="487">
        <f t="shared" si="182"/>
        <v>-306</v>
      </c>
      <c r="E2536" s="487">
        <f t="shared" si="183"/>
        <v>6</v>
      </c>
      <c r="F2536" s="487">
        <f t="shared" ca="1" si="184"/>
        <v>37</v>
      </c>
      <c r="G2536" s="487" t="s">
        <v>7427</v>
      </c>
      <c r="H2536" s="493"/>
      <c r="I2536" s="493"/>
      <c r="J2536" s="493"/>
      <c r="K2536" s="493"/>
      <c r="L2536" s="487"/>
      <c r="M2536" s="487"/>
      <c r="N2536" s="487"/>
      <c r="O2536" s="487"/>
      <c r="P2536" s="487">
        <f t="shared" si="185"/>
        <v>174</v>
      </c>
      <c r="Q2536" s="487" t="b">
        <v>0</v>
      </c>
    </row>
    <row r="2537" spans="1:17" x14ac:dyDescent="0.3">
      <c r="A2537" s="487" t="b">
        <v>0</v>
      </c>
      <c r="B2537" s="487" t="s">
        <v>7704</v>
      </c>
      <c r="C2537" s="502">
        <v>30</v>
      </c>
      <c r="D2537" s="487">
        <f t="shared" si="182"/>
        <v>-305</v>
      </c>
      <c r="E2537" s="487">
        <f t="shared" si="183"/>
        <v>1</v>
      </c>
      <c r="F2537" s="487">
        <f t="shared" ca="1" si="184"/>
        <v>38</v>
      </c>
      <c r="G2537" s="487" t="s">
        <v>7429</v>
      </c>
      <c r="H2537" s="493"/>
      <c r="I2537" s="493"/>
      <c r="J2537" s="493"/>
      <c r="K2537" s="493"/>
      <c r="L2537" s="487"/>
      <c r="M2537" s="487"/>
      <c r="N2537" s="487"/>
      <c r="O2537" s="487"/>
      <c r="P2537" s="487">
        <f t="shared" si="185"/>
        <v>175</v>
      </c>
      <c r="Q2537" s="487" t="b">
        <v>0</v>
      </c>
    </row>
    <row r="2538" spans="1:17" x14ac:dyDescent="0.3">
      <c r="A2538" s="487" t="b">
        <v>0</v>
      </c>
      <c r="B2538" s="487" t="s">
        <v>7705</v>
      </c>
      <c r="C2538" s="502">
        <v>30</v>
      </c>
      <c r="D2538" s="487">
        <f t="shared" si="182"/>
        <v>-304</v>
      </c>
      <c r="E2538" s="487">
        <f t="shared" si="183"/>
        <v>2</v>
      </c>
      <c r="F2538" s="487">
        <f t="shared" ca="1" si="184"/>
        <v>38</v>
      </c>
      <c r="G2538" s="487" t="s">
        <v>7429</v>
      </c>
      <c r="H2538" s="493"/>
      <c r="I2538" s="493"/>
      <c r="J2538" s="493"/>
      <c r="K2538" s="493"/>
      <c r="L2538" s="487"/>
      <c r="M2538" s="487"/>
      <c r="N2538" s="487"/>
      <c r="O2538" s="487"/>
      <c r="P2538" s="487">
        <f t="shared" si="185"/>
        <v>176</v>
      </c>
      <c r="Q2538" s="487" t="b">
        <v>0</v>
      </c>
    </row>
    <row r="2539" spans="1:17" x14ac:dyDescent="0.3">
      <c r="A2539" s="487" t="b">
        <v>0</v>
      </c>
      <c r="B2539" s="487" t="s">
        <v>7706</v>
      </c>
      <c r="C2539" s="502">
        <v>30</v>
      </c>
      <c r="D2539" s="487">
        <f t="shared" si="182"/>
        <v>-303</v>
      </c>
      <c r="E2539" s="487">
        <f t="shared" si="183"/>
        <v>3</v>
      </c>
      <c r="F2539" s="487">
        <f t="shared" ca="1" si="184"/>
        <v>38</v>
      </c>
      <c r="G2539" s="487" t="s">
        <v>7429</v>
      </c>
      <c r="H2539" s="493"/>
      <c r="I2539" s="493"/>
      <c r="J2539" s="493"/>
      <c r="K2539" s="493"/>
      <c r="L2539" s="487"/>
      <c r="M2539" s="487"/>
      <c r="N2539" s="487"/>
      <c r="O2539" s="487"/>
      <c r="P2539" s="487">
        <f t="shared" si="185"/>
        <v>177</v>
      </c>
      <c r="Q2539" s="487" t="b">
        <v>0</v>
      </c>
    </row>
    <row r="2540" spans="1:17" x14ac:dyDescent="0.3">
      <c r="A2540" s="487" t="b">
        <v>0</v>
      </c>
      <c r="B2540" s="487" t="s">
        <v>7707</v>
      </c>
      <c r="C2540" s="502">
        <v>30</v>
      </c>
      <c r="D2540" s="487">
        <f t="shared" si="182"/>
        <v>-302</v>
      </c>
      <c r="E2540" s="487">
        <f t="shared" si="183"/>
        <v>4</v>
      </c>
      <c r="F2540" s="487">
        <f t="shared" ca="1" si="184"/>
        <v>38</v>
      </c>
      <c r="G2540" s="487" t="s">
        <v>7429</v>
      </c>
      <c r="H2540" s="493"/>
      <c r="I2540" s="493"/>
      <c r="J2540" s="493"/>
      <c r="K2540" s="493"/>
      <c r="L2540" s="487"/>
      <c r="M2540" s="487"/>
      <c r="N2540" s="487"/>
      <c r="O2540" s="487"/>
      <c r="P2540" s="487">
        <f t="shared" si="185"/>
        <v>178</v>
      </c>
      <c r="Q2540" s="487" t="b">
        <v>0</v>
      </c>
    </row>
    <row r="2541" spans="1:17" x14ac:dyDescent="0.3">
      <c r="A2541" s="487" t="b">
        <v>0</v>
      </c>
      <c r="B2541" s="487" t="s">
        <v>7708</v>
      </c>
      <c r="C2541" s="502">
        <v>30</v>
      </c>
      <c r="D2541" s="487">
        <f t="shared" si="182"/>
        <v>-301</v>
      </c>
      <c r="E2541" s="487">
        <f t="shared" si="183"/>
        <v>5</v>
      </c>
      <c r="F2541" s="487">
        <f t="shared" ca="1" si="184"/>
        <v>38</v>
      </c>
      <c r="G2541" s="487" t="s">
        <v>7429</v>
      </c>
      <c r="H2541" s="493"/>
      <c r="I2541" s="493"/>
      <c r="J2541" s="493"/>
      <c r="K2541" s="493"/>
      <c r="L2541" s="487"/>
      <c r="M2541" s="487"/>
      <c r="N2541" s="487"/>
      <c r="O2541" s="487"/>
      <c r="P2541" s="487">
        <f t="shared" si="185"/>
        <v>179</v>
      </c>
      <c r="Q2541" s="487" t="b">
        <v>0</v>
      </c>
    </row>
    <row r="2542" spans="1:17" x14ac:dyDescent="0.3">
      <c r="A2542" s="487" t="b">
        <v>0</v>
      </c>
      <c r="B2542" s="487" t="s">
        <v>7709</v>
      </c>
      <c r="C2542" s="502">
        <v>30</v>
      </c>
      <c r="D2542" s="487">
        <f t="shared" si="182"/>
        <v>-300</v>
      </c>
      <c r="E2542" s="487">
        <f t="shared" si="183"/>
        <v>6</v>
      </c>
      <c r="F2542" s="487">
        <f t="shared" ca="1" si="184"/>
        <v>38</v>
      </c>
      <c r="G2542" s="487" t="s">
        <v>7429</v>
      </c>
      <c r="H2542" s="493"/>
      <c r="I2542" s="493"/>
      <c r="J2542" s="493"/>
      <c r="K2542" s="493"/>
      <c r="L2542" s="487"/>
      <c r="M2542" s="487"/>
      <c r="N2542" s="487"/>
      <c r="O2542" s="487"/>
      <c r="P2542" s="487">
        <f t="shared" si="185"/>
        <v>180</v>
      </c>
      <c r="Q2542" s="487" t="b">
        <v>0</v>
      </c>
    </row>
    <row r="2543" spans="1:17" x14ac:dyDescent="0.3">
      <c r="A2543" s="487" t="b">
        <v>0</v>
      </c>
      <c r="B2543" s="487" t="s">
        <v>7710</v>
      </c>
      <c r="C2543" s="502">
        <v>31</v>
      </c>
      <c r="D2543" s="487">
        <f t="shared" si="182"/>
        <v>-299</v>
      </c>
      <c r="E2543" s="487">
        <f t="shared" si="183"/>
        <v>1</v>
      </c>
      <c r="F2543" s="487">
        <f t="shared" ca="1" si="184"/>
        <v>39</v>
      </c>
      <c r="G2543" s="487" t="s">
        <v>7431</v>
      </c>
      <c r="H2543" s="493"/>
      <c r="I2543" s="493"/>
      <c r="J2543" s="493"/>
      <c r="K2543" s="493"/>
      <c r="L2543" s="487"/>
      <c r="M2543" s="487"/>
      <c r="N2543" s="487"/>
      <c r="O2543" s="487"/>
      <c r="P2543" s="487">
        <f t="shared" si="185"/>
        <v>181</v>
      </c>
      <c r="Q2543" s="487" t="b">
        <v>0</v>
      </c>
    </row>
    <row r="2544" spans="1:17" x14ac:dyDescent="0.3">
      <c r="A2544" s="487" t="b">
        <v>0</v>
      </c>
      <c r="B2544" s="487" t="s">
        <v>7711</v>
      </c>
      <c r="C2544" s="502">
        <v>31</v>
      </c>
      <c r="D2544" s="487">
        <f t="shared" si="182"/>
        <v>-298</v>
      </c>
      <c r="E2544" s="487">
        <f t="shared" si="183"/>
        <v>2</v>
      </c>
      <c r="F2544" s="487">
        <f t="shared" ca="1" si="184"/>
        <v>39</v>
      </c>
      <c r="G2544" s="487" t="s">
        <v>7431</v>
      </c>
      <c r="H2544" s="493"/>
      <c r="I2544" s="493"/>
      <c r="J2544" s="493"/>
      <c r="K2544" s="493"/>
      <c r="L2544" s="487"/>
      <c r="M2544" s="487"/>
      <c r="N2544" s="487"/>
      <c r="O2544" s="487"/>
      <c r="P2544" s="487">
        <f t="shared" si="185"/>
        <v>182</v>
      </c>
      <c r="Q2544" s="487" t="b">
        <v>0</v>
      </c>
    </row>
    <row r="2545" spans="1:17" x14ac:dyDescent="0.3">
      <c r="A2545" s="487" t="b">
        <v>0</v>
      </c>
      <c r="B2545" s="487" t="s">
        <v>7712</v>
      </c>
      <c r="C2545" s="502">
        <v>31</v>
      </c>
      <c r="D2545" s="487">
        <f t="shared" si="182"/>
        <v>-297</v>
      </c>
      <c r="E2545" s="487">
        <f t="shared" si="183"/>
        <v>3</v>
      </c>
      <c r="F2545" s="487">
        <f t="shared" ca="1" si="184"/>
        <v>39</v>
      </c>
      <c r="G2545" s="487" t="s">
        <v>7431</v>
      </c>
      <c r="H2545" s="493"/>
      <c r="I2545" s="493"/>
      <c r="J2545" s="493"/>
      <c r="K2545" s="493"/>
      <c r="L2545" s="487"/>
      <c r="M2545" s="487"/>
      <c r="N2545" s="487"/>
      <c r="O2545" s="487"/>
      <c r="P2545" s="487">
        <f t="shared" si="185"/>
        <v>183</v>
      </c>
      <c r="Q2545" s="487" t="b">
        <v>0</v>
      </c>
    </row>
    <row r="2546" spans="1:17" x14ac:dyDescent="0.3">
      <c r="A2546" s="487" t="b">
        <v>0</v>
      </c>
      <c r="B2546" s="487" t="s">
        <v>7713</v>
      </c>
      <c r="C2546" s="502">
        <v>31</v>
      </c>
      <c r="D2546" s="487">
        <f t="shared" si="182"/>
        <v>-296</v>
      </c>
      <c r="E2546" s="487">
        <f t="shared" si="183"/>
        <v>4</v>
      </c>
      <c r="F2546" s="487">
        <f t="shared" ca="1" si="184"/>
        <v>39</v>
      </c>
      <c r="G2546" s="487" t="s">
        <v>7431</v>
      </c>
      <c r="H2546" s="493"/>
      <c r="I2546" s="493"/>
      <c r="J2546" s="493"/>
      <c r="K2546" s="493"/>
      <c r="L2546" s="487"/>
      <c r="M2546" s="487"/>
      <c r="N2546" s="487"/>
      <c r="O2546" s="487"/>
      <c r="P2546" s="487">
        <f t="shared" si="185"/>
        <v>184</v>
      </c>
      <c r="Q2546" s="487" t="b">
        <v>0</v>
      </c>
    </row>
    <row r="2547" spans="1:17" x14ac:dyDescent="0.3">
      <c r="A2547" s="487" t="b">
        <v>0</v>
      </c>
      <c r="B2547" s="487" t="s">
        <v>7714</v>
      </c>
      <c r="C2547" s="502">
        <v>31</v>
      </c>
      <c r="D2547" s="487">
        <f t="shared" si="182"/>
        <v>-295</v>
      </c>
      <c r="E2547" s="487">
        <f t="shared" si="183"/>
        <v>5</v>
      </c>
      <c r="F2547" s="487">
        <f t="shared" ca="1" si="184"/>
        <v>39</v>
      </c>
      <c r="G2547" s="487" t="s">
        <v>7431</v>
      </c>
      <c r="H2547" s="493"/>
      <c r="I2547" s="493"/>
      <c r="J2547" s="493"/>
      <c r="K2547" s="493"/>
      <c r="L2547" s="487"/>
      <c r="M2547" s="487"/>
      <c r="N2547" s="487"/>
      <c r="O2547" s="487"/>
      <c r="P2547" s="487">
        <f t="shared" si="185"/>
        <v>185</v>
      </c>
      <c r="Q2547" s="487" t="b">
        <v>0</v>
      </c>
    </row>
    <row r="2548" spans="1:17" x14ac:dyDescent="0.3">
      <c r="A2548" s="487" t="b">
        <v>0</v>
      </c>
      <c r="B2548" s="487" t="s">
        <v>7715</v>
      </c>
      <c r="C2548" s="502">
        <v>31</v>
      </c>
      <c r="D2548" s="487">
        <f t="shared" si="182"/>
        <v>-294</v>
      </c>
      <c r="E2548" s="487">
        <f t="shared" si="183"/>
        <v>6</v>
      </c>
      <c r="F2548" s="487">
        <f t="shared" ca="1" si="184"/>
        <v>39</v>
      </c>
      <c r="G2548" s="487" t="s">
        <v>7431</v>
      </c>
      <c r="H2548" s="493"/>
      <c r="I2548" s="493"/>
      <c r="J2548" s="493"/>
      <c r="K2548" s="493"/>
      <c r="L2548" s="487"/>
      <c r="M2548" s="487"/>
      <c r="N2548" s="487"/>
      <c r="O2548" s="487"/>
      <c r="P2548" s="487">
        <f t="shared" si="185"/>
        <v>186</v>
      </c>
      <c r="Q2548" s="487" t="b">
        <v>0</v>
      </c>
    </row>
    <row r="2549" spans="1:17" x14ac:dyDescent="0.3">
      <c r="A2549" s="487" t="b">
        <v>0</v>
      </c>
      <c r="B2549" s="487" t="s">
        <v>7716</v>
      </c>
      <c r="C2549" s="502">
        <v>32</v>
      </c>
      <c r="D2549" s="487">
        <f t="shared" si="182"/>
        <v>-293</v>
      </c>
      <c r="E2549" s="487">
        <f t="shared" si="183"/>
        <v>1</v>
      </c>
      <c r="F2549" s="487">
        <f t="shared" ca="1" si="184"/>
        <v>40</v>
      </c>
      <c r="G2549" s="487" t="s">
        <v>7433</v>
      </c>
      <c r="H2549" s="493"/>
      <c r="I2549" s="493"/>
      <c r="J2549" s="493"/>
      <c r="K2549" s="493"/>
      <c r="L2549" s="487"/>
      <c r="M2549" s="487"/>
      <c r="N2549" s="487"/>
      <c r="O2549" s="487"/>
      <c r="P2549" s="487">
        <f t="shared" si="185"/>
        <v>187</v>
      </c>
      <c r="Q2549" s="487" t="b">
        <v>0</v>
      </c>
    </row>
    <row r="2550" spans="1:17" x14ac:dyDescent="0.3">
      <c r="A2550" s="487" t="b">
        <v>0</v>
      </c>
      <c r="B2550" s="487" t="s">
        <v>7717</v>
      </c>
      <c r="C2550" s="502">
        <v>32</v>
      </c>
      <c r="D2550" s="487">
        <f t="shared" si="182"/>
        <v>-292</v>
      </c>
      <c r="E2550" s="487">
        <f t="shared" si="183"/>
        <v>2</v>
      </c>
      <c r="F2550" s="487">
        <f t="shared" ca="1" si="184"/>
        <v>40</v>
      </c>
      <c r="G2550" s="487" t="s">
        <v>7433</v>
      </c>
      <c r="H2550" s="493"/>
      <c r="I2550" s="493"/>
      <c r="J2550" s="493"/>
      <c r="K2550" s="493"/>
      <c r="L2550" s="487"/>
      <c r="M2550" s="487"/>
      <c r="N2550" s="487"/>
      <c r="O2550" s="487"/>
      <c r="P2550" s="487">
        <f t="shared" si="185"/>
        <v>188</v>
      </c>
      <c r="Q2550" s="487" t="b">
        <v>0</v>
      </c>
    </row>
    <row r="2551" spans="1:17" x14ac:dyDescent="0.3">
      <c r="A2551" s="487" t="b">
        <v>0</v>
      </c>
      <c r="B2551" s="487" t="s">
        <v>7718</v>
      </c>
      <c r="C2551" s="502">
        <v>32</v>
      </c>
      <c r="D2551" s="487">
        <f t="shared" si="182"/>
        <v>-291</v>
      </c>
      <c r="E2551" s="487">
        <f t="shared" si="183"/>
        <v>3</v>
      </c>
      <c r="F2551" s="487">
        <f t="shared" ca="1" si="184"/>
        <v>40</v>
      </c>
      <c r="G2551" s="487" t="s">
        <v>7433</v>
      </c>
      <c r="H2551" s="493"/>
      <c r="I2551" s="493"/>
      <c r="J2551" s="493"/>
      <c r="K2551" s="493"/>
      <c r="L2551" s="487"/>
      <c r="M2551" s="487"/>
      <c r="N2551" s="487"/>
      <c r="O2551" s="487"/>
      <c r="P2551" s="487">
        <f t="shared" si="185"/>
        <v>189</v>
      </c>
      <c r="Q2551" s="487" t="b">
        <v>0</v>
      </c>
    </row>
    <row r="2552" spans="1:17" x14ac:dyDescent="0.3">
      <c r="A2552" s="487" t="b">
        <v>0</v>
      </c>
      <c r="B2552" s="487" t="s">
        <v>7719</v>
      </c>
      <c r="C2552" s="502">
        <v>32</v>
      </c>
      <c r="D2552" s="487">
        <f t="shared" si="182"/>
        <v>-290</v>
      </c>
      <c r="E2552" s="487">
        <f t="shared" si="183"/>
        <v>4</v>
      </c>
      <c r="F2552" s="487">
        <f t="shared" ca="1" si="184"/>
        <v>40</v>
      </c>
      <c r="G2552" s="487" t="s">
        <v>7433</v>
      </c>
      <c r="H2552" s="493"/>
      <c r="I2552" s="493"/>
      <c r="J2552" s="493"/>
      <c r="K2552" s="493"/>
      <c r="L2552" s="487"/>
      <c r="M2552" s="487"/>
      <c r="N2552" s="487"/>
      <c r="O2552" s="487"/>
      <c r="P2552" s="487">
        <f t="shared" si="185"/>
        <v>190</v>
      </c>
      <c r="Q2552" s="487" t="b">
        <v>0</v>
      </c>
    </row>
    <row r="2553" spans="1:17" x14ac:dyDescent="0.3">
      <c r="A2553" s="487" t="b">
        <v>0</v>
      </c>
      <c r="B2553" s="487" t="s">
        <v>7720</v>
      </c>
      <c r="C2553" s="502">
        <v>32</v>
      </c>
      <c r="D2553" s="487">
        <f t="shared" si="182"/>
        <v>-289</v>
      </c>
      <c r="E2553" s="487">
        <f t="shared" si="183"/>
        <v>5</v>
      </c>
      <c r="F2553" s="487">
        <f t="shared" ca="1" si="184"/>
        <v>40</v>
      </c>
      <c r="G2553" s="487" t="s">
        <v>7433</v>
      </c>
      <c r="H2553" s="493"/>
      <c r="I2553" s="493"/>
      <c r="J2553" s="493"/>
      <c r="K2553" s="493"/>
      <c r="L2553" s="487"/>
      <c r="M2553" s="487"/>
      <c r="N2553" s="487"/>
      <c r="O2553" s="487"/>
      <c r="P2553" s="487">
        <f t="shared" si="185"/>
        <v>191</v>
      </c>
      <c r="Q2553" s="487" t="b">
        <v>0</v>
      </c>
    </row>
    <row r="2554" spans="1:17" x14ac:dyDescent="0.3">
      <c r="A2554" s="487" t="b">
        <v>0</v>
      </c>
      <c r="B2554" s="487" t="s">
        <v>7721</v>
      </c>
      <c r="C2554" s="502">
        <v>32</v>
      </c>
      <c r="D2554" s="487">
        <f t="shared" si="182"/>
        <v>-288</v>
      </c>
      <c r="E2554" s="487">
        <f t="shared" si="183"/>
        <v>6</v>
      </c>
      <c r="F2554" s="487">
        <f t="shared" ca="1" si="184"/>
        <v>40</v>
      </c>
      <c r="G2554" s="487" t="s">
        <v>7433</v>
      </c>
      <c r="H2554" s="493"/>
      <c r="I2554" s="493"/>
      <c r="J2554" s="493"/>
      <c r="K2554" s="493"/>
      <c r="L2554" s="487"/>
      <c r="M2554" s="487"/>
      <c r="N2554" s="487"/>
      <c r="O2554" s="487"/>
      <c r="P2554" s="487">
        <f t="shared" si="185"/>
        <v>192</v>
      </c>
      <c r="Q2554" s="487" t="b">
        <v>0</v>
      </c>
    </row>
    <row r="2555" spans="1:17" x14ac:dyDescent="0.3">
      <c r="A2555" s="487" t="b">
        <v>0</v>
      </c>
      <c r="B2555" s="487" t="s">
        <v>7722</v>
      </c>
      <c r="C2555" s="502">
        <v>33</v>
      </c>
      <c r="D2555" s="487">
        <f t="shared" ref="D2555:D2618" si="186">D2554+1</f>
        <v>-287</v>
      </c>
      <c r="E2555" s="487">
        <f t="shared" ref="E2555:E2618" si="187">COUNTIF(C2550:C2555,C2555)</f>
        <v>1</v>
      </c>
      <c r="F2555" s="487">
        <f t="shared" ref="F2555:F2618" ca="1" si="188">IF(C2555=1,9,IF(E2554=MAX(E2553:E2555),F2553+1,F2554))</f>
        <v>41</v>
      </c>
      <c r="G2555" s="487" t="s">
        <v>7435</v>
      </c>
      <c r="H2555" s="493"/>
      <c r="I2555" s="493"/>
      <c r="J2555" s="493"/>
      <c r="K2555" s="493"/>
      <c r="L2555" s="487"/>
      <c r="M2555" s="487"/>
      <c r="N2555" s="487"/>
      <c r="O2555" s="487"/>
      <c r="P2555" s="487">
        <f t="shared" ref="P2555:P2618" si="189">IF(NOT(_xlfn.ISFORMULA(I2555)),P2554+1,0)</f>
        <v>193</v>
      </c>
      <c r="Q2555" s="487" t="b">
        <v>0</v>
      </c>
    </row>
    <row r="2556" spans="1:17" x14ac:dyDescent="0.3">
      <c r="A2556" s="487" t="b">
        <v>0</v>
      </c>
      <c r="B2556" s="487" t="s">
        <v>7723</v>
      </c>
      <c r="C2556" s="502">
        <v>33</v>
      </c>
      <c r="D2556" s="487">
        <f t="shared" si="186"/>
        <v>-286</v>
      </c>
      <c r="E2556" s="487">
        <f t="shared" si="187"/>
        <v>2</v>
      </c>
      <c r="F2556" s="487">
        <f t="shared" ca="1" si="188"/>
        <v>41</v>
      </c>
      <c r="G2556" s="487" t="s">
        <v>7435</v>
      </c>
      <c r="H2556" s="493"/>
      <c r="I2556" s="493"/>
      <c r="J2556" s="493"/>
      <c r="K2556" s="493"/>
      <c r="L2556" s="487"/>
      <c r="M2556" s="487"/>
      <c r="N2556" s="487"/>
      <c r="O2556" s="487"/>
      <c r="P2556" s="487">
        <f t="shared" si="189"/>
        <v>194</v>
      </c>
      <c r="Q2556" s="487" t="b">
        <v>0</v>
      </c>
    </row>
    <row r="2557" spans="1:17" x14ac:dyDescent="0.3">
      <c r="A2557" s="487" t="b">
        <v>0</v>
      </c>
      <c r="B2557" s="487" t="s">
        <v>7724</v>
      </c>
      <c r="C2557" s="502">
        <v>33</v>
      </c>
      <c r="D2557" s="487">
        <f t="shared" si="186"/>
        <v>-285</v>
      </c>
      <c r="E2557" s="487">
        <f t="shared" si="187"/>
        <v>3</v>
      </c>
      <c r="F2557" s="487">
        <f t="shared" ca="1" si="188"/>
        <v>41</v>
      </c>
      <c r="G2557" s="487" t="s">
        <v>7435</v>
      </c>
      <c r="H2557" s="493"/>
      <c r="I2557" s="493"/>
      <c r="J2557" s="493"/>
      <c r="K2557" s="493"/>
      <c r="L2557" s="487"/>
      <c r="M2557" s="487"/>
      <c r="N2557" s="487"/>
      <c r="O2557" s="487"/>
      <c r="P2557" s="487">
        <f t="shared" si="189"/>
        <v>195</v>
      </c>
      <c r="Q2557" s="487" t="b">
        <v>0</v>
      </c>
    </row>
    <row r="2558" spans="1:17" x14ac:dyDescent="0.3">
      <c r="A2558" s="487" t="b">
        <v>0</v>
      </c>
      <c r="B2558" s="487" t="s">
        <v>7725</v>
      </c>
      <c r="C2558" s="502">
        <v>33</v>
      </c>
      <c r="D2558" s="487">
        <f t="shared" si="186"/>
        <v>-284</v>
      </c>
      <c r="E2558" s="487">
        <f t="shared" si="187"/>
        <v>4</v>
      </c>
      <c r="F2558" s="487">
        <f t="shared" ca="1" si="188"/>
        <v>41</v>
      </c>
      <c r="G2558" s="487" t="s">
        <v>7435</v>
      </c>
      <c r="H2558" s="493"/>
      <c r="I2558" s="493"/>
      <c r="J2558" s="493"/>
      <c r="K2558" s="493"/>
      <c r="L2558" s="487"/>
      <c r="M2558" s="487"/>
      <c r="N2558" s="487"/>
      <c r="O2558" s="487"/>
      <c r="P2558" s="487">
        <f t="shared" si="189"/>
        <v>196</v>
      </c>
      <c r="Q2558" s="487" t="b">
        <v>0</v>
      </c>
    </row>
    <row r="2559" spans="1:17" x14ac:dyDescent="0.3">
      <c r="A2559" s="487" t="b">
        <v>0</v>
      </c>
      <c r="B2559" s="487" t="s">
        <v>7726</v>
      </c>
      <c r="C2559" s="502">
        <v>33</v>
      </c>
      <c r="D2559" s="487">
        <f t="shared" si="186"/>
        <v>-283</v>
      </c>
      <c r="E2559" s="487">
        <f t="shared" si="187"/>
        <v>5</v>
      </c>
      <c r="F2559" s="487">
        <f t="shared" ca="1" si="188"/>
        <v>41</v>
      </c>
      <c r="G2559" s="487" t="s">
        <v>7435</v>
      </c>
      <c r="H2559" s="493"/>
      <c r="I2559" s="493"/>
      <c r="J2559" s="493"/>
      <c r="K2559" s="493"/>
      <c r="L2559" s="487"/>
      <c r="M2559" s="487"/>
      <c r="N2559" s="487"/>
      <c r="O2559" s="487"/>
      <c r="P2559" s="487">
        <f t="shared" si="189"/>
        <v>197</v>
      </c>
      <c r="Q2559" s="487" t="b">
        <v>0</v>
      </c>
    </row>
    <row r="2560" spans="1:17" x14ac:dyDescent="0.3">
      <c r="A2560" s="487" t="b">
        <v>0</v>
      </c>
      <c r="B2560" s="487" t="s">
        <v>7727</v>
      </c>
      <c r="C2560" s="502">
        <v>33</v>
      </c>
      <c r="D2560" s="487">
        <f t="shared" si="186"/>
        <v>-282</v>
      </c>
      <c r="E2560" s="487">
        <f t="shared" si="187"/>
        <v>6</v>
      </c>
      <c r="F2560" s="487">
        <f t="shared" ca="1" si="188"/>
        <v>41</v>
      </c>
      <c r="G2560" s="487" t="s">
        <v>7435</v>
      </c>
      <c r="H2560" s="493"/>
      <c r="I2560" s="493"/>
      <c r="J2560" s="493"/>
      <c r="K2560" s="493"/>
      <c r="L2560" s="487"/>
      <c r="M2560" s="487"/>
      <c r="N2560" s="487"/>
      <c r="O2560" s="487"/>
      <c r="P2560" s="487">
        <f t="shared" si="189"/>
        <v>198</v>
      </c>
      <c r="Q2560" s="487" t="b">
        <v>0</v>
      </c>
    </row>
    <row r="2561" spans="1:17" x14ac:dyDescent="0.3">
      <c r="A2561" s="487" t="b">
        <v>0</v>
      </c>
      <c r="B2561" s="487" t="s">
        <v>7728</v>
      </c>
      <c r="C2561" s="502">
        <v>34</v>
      </c>
      <c r="D2561" s="487">
        <f t="shared" si="186"/>
        <v>-281</v>
      </c>
      <c r="E2561" s="487">
        <f t="shared" si="187"/>
        <v>1</v>
      </c>
      <c r="F2561" s="487">
        <f t="shared" ca="1" si="188"/>
        <v>42</v>
      </c>
      <c r="G2561" s="487" t="s">
        <v>7437</v>
      </c>
      <c r="H2561" s="493"/>
      <c r="I2561" s="493"/>
      <c r="J2561" s="493"/>
      <c r="K2561" s="493"/>
      <c r="L2561" s="487"/>
      <c r="M2561" s="487"/>
      <c r="N2561" s="487"/>
      <c r="O2561" s="487"/>
      <c r="P2561" s="487">
        <f t="shared" si="189"/>
        <v>199</v>
      </c>
      <c r="Q2561" s="487" t="b">
        <v>0</v>
      </c>
    </row>
    <row r="2562" spans="1:17" x14ac:dyDescent="0.3">
      <c r="A2562" s="487" t="b">
        <v>0</v>
      </c>
      <c r="B2562" s="487" t="s">
        <v>7729</v>
      </c>
      <c r="C2562" s="502">
        <v>34</v>
      </c>
      <c r="D2562" s="487">
        <f t="shared" si="186"/>
        <v>-280</v>
      </c>
      <c r="E2562" s="487">
        <f t="shared" si="187"/>
        <v>2</v>
      </c>
      <c r="F2562" s="487">
        <f t="shared" ca="1" si="188"/>
        <v>42</v>
      </c>
      <c r="G2562" s="487" t="s">
        <v>7437</v>
      </c>
      <c r="H2562" s="493"/>
      <c r="I2562" s="493"/>
      <c r="J2562" s="493"/>
      <c r="K2562" s="493"/>
      <c r="L2562" s="487"/>
      <c r="M2562" s="487"/>
      <c r="N2562" s="487"/>
      <c r="O2562" s="487"/>
      <c r="P2562" s="487">
        <f t="shared" si="189"/>
        <v>200</v>
      </c>
      <c r="Q2562" s="487" t="b">
        <v>0</v>
      </c>
    </row>
    <row r="2563" spans="1:17" x14ac:dyDescent="0.3">
      <c r="A2563" s="487" t="b">
        <v>0</v>
      </c>
      <c r="B2563" s="487" t="s">
        <v>7730</v>
      </c>
      <c r="C2563" s="502">
        <v>34</v>
      </c>
      <c r="D2563" s="487">
        <f t="shared" si="186"/>
        <v>-279</v>
      </c>
      <c r="E2563" s="487">
        <f t="shared" si="187"/>
        <v>3</v>
      </c>
      <c r="F2563" s="487">
        <f t="shared" ca="1" si="188"/>
        <v>42</v>
      </c>
      <c r="G2563" s="487" t="s">
        <v>7437</v>
      </c>
      <c r="H2563" s="493"/>
      <c r="I2563" s="493"/>
      <c r="J2563" s="493"/>
      <c r="K2563" s="493"/>
      <c r="L2563" s="487"/>
      <c r="M2563" s="487"/>
      <c r="N2563" s="487"/>
      <c r="O2563" s="487"/>
      <c r="P2563" s="487">
        <f t="shared" si="189"/>
        <v>201</v>
      </c>
      <c r="Q2563" s="487" t="b">
        <v>0</v>
      </c>
    </row>
    <row r="2564" spans="1:17" x14ac:dyDescent="0.3">
      <c r="A2564" s="487" t="b">
        <v>0</v>
      </c>
      <c r="B2564" s="487" t="s">
        <v>7731</v>
      </c>
      <c r="C2564" s="502">
        <v>34</v>
      </c>
      <c r="D2564" s="487">
        <f t="shared" si="186"/>
        <v>-278</v>
      </c>
      <c r="E2564" s="487">
        <f t="shared" si="187"/>
        <v>4</v>
      </c>
      <c r="F2564" s="487">
        <f t="shared" ca="1" si="188"/>
        <v>42</v>
      </c>
      <c r="G2564" s="487" t="s">
        <v>7437</v>
      </c>
      <c r="H2564" s="493"/>
      <c r="I2564" s="493"/>
      <c r="J2564" s="493"/>
      <c r="K2564" s="493"/>
      <c r="L2564" s="487"/>
      <c r="M2564" s="487"/>
      <c r="N2564" s="487"/>
      <c r="O2564" s="487"/>
      <c r="P2564" s="487">
        <f t="shared" si="189"/>
        <v>202</v>
      </c>
      <c r="Q2564" s="487" t="b">
        <v>0</v>
      </c>
    </row>
    <row r="2565" spans="1:17" x14ac:dyDescent="0.3">
      <c r="A2565" s="487" t="b">
        <v>0</v>
      </c>
      <c r="B2565" s="487" t="s">
        <v>7732</v>
      </c>
      <c r="C2565" s="502">
        <v>34</v>
      </c>
      <c r="D2565" s="487">
        <f t="shared" si="186"/>
        <v>-277</v>
      </c>
      <c r="E2565" s="487">
        <f t="shared" si="187"/>
        <v>5</v>
      </c>
      <c r="F2565" s="487">
        <f t="shared" ca="1" si="188"/>
        <v>42</v>
      </c>
      <c r="G2565" s="487" t="s">
        <v>7437</v>
      </c>
      <c r="H2565" s="493"/>
      <c r="I2565" s="493"/>
      <c r="J2565" s="493"/>
      <c r="K2565" s="493"/>
      <c r="L2565" s="487"/>
      <c r="M2565" s="487"/>
      <c r="N2565" s="487"/>
      <c r="O2565" s="487"/>
      <c r="P2565" s="487">
        <f t="shared" si="189"/>
        <v>203</v>
      </c>
      <c r="Q2565" s="487" t="b">
        <v>0</v>
      </c>
    </row>
    <row r="2566" spans="1:17" x14ac:dyDescent="0.3">
      <c r="A2566" s="487" t="b">
        <v>0</v>
      </c>
      <c r="B2566" s="487" t="s">
        <v>7733</v>
      </c>
      <c r="C2566" s="502">
        <v>34</v>
      </c>
      <c r="D2566" s="487">
        <f t="shared" si="186"/>
        <v>-276</v>
      </c>
      <c r="E2566" s="487">
        <f t="shared" si="187"/>
        <v>6</v>
      </c>
      <c r="F2566" s="487">
        <f t="shared" ca="1" si="188"/>
        <v>42</v>
      </c>
      <c r="G2566" s="487" t="s">
        <v>7437</v>
      </c>
      <c r="H2566" s="493"/>
      <c r="I2566" s="493"/>
      <c r="J2566" s="493"/>
      <c r="K2566" s="493"/>
      <c r="L2566" s="487"/>
      <c r="M2566" s="487"/>
      <c r="N2566" s="487"/>
      <c r="O2566" s="487"/>
      <c r="P2566" s="487">
        <f t="shared" si="189"/>
        <v>204</v>
      </c>
      <c r="Q2566" s="487" t="b">
        <v>0</v>
      </c>
    </row>
    <row r="2567" spans="1:17" x14ac:dyDescent="0.3">
      <c r="A2567" s="487" t="b">
        <v>0</v>
      </c>
      <c r="B2567" s="487" t="s">
        <v>7734</v>
      </c>
      <c r="C2567" s="502">
        <v>35</v>
      </c>
      <c r="D2567" s="487">
        <f t="shared" si="186"/>
        <v>-275</v>
      </c>
      <c r="E2567" s="487">
        <f t="shared" si="187"/>
        <v>1</v>
      </c>
      <c r="F2567" s="487">
        <f t="shared" ca="1" si="188"/>
        <v>43</v>
      </c>
      <c r="G2567" s="487" t="s">
        <v>7439</v>
      </c>
      <c r="H2567" s="493"/>
      <c r="I2567" s="493"/>
      <c r="J2567" s="493"/>
      <c r="K2567" s="493"/>
      <c r="L2567" s="487"/>
      <c r="M2567" s="487"/>
      <c r="N2567" s="487"/>
      <c r="O2567" s="487"/>
      <c r="P2567" s="487">
        <f t="shared" si="189"/>
        <v>205</v>
      </c>
      <c r="Q2567" s="487" t="b">
        <v>0</v>
      </c>
    </row>
    <row r="2568" spans="1:17" x14ac:dyDescent="0.3">
      <c r="A2568" s="487" t="b">
        <v>0</v>
      </c>
      <c r="B2568" s="487" t="s">
        <v>7735</v>
      </c>
      <c r="C2568" s="502">
        <v>35</v>
      </c>
      <c r="D2568" s="487">
        <f t="shared" si="186"/>
        <v>-274</v>
      </c>
      <c r="E2568" s="487">
        <f t="shared" si="187"/>
        <v>2</v>
      </c>
      <c r="F2568" s="487">
        <f t="shared" ca="1" si="188"/>
        <v>43</v>
      </c>
      <c r="G2568" s="487" t="s">
        <v>7439</v>
      </c>
      <c r="H2568" s="493"/>
      <c r="I2568" s="493"/>
      <c r="J2568" s="493"/>
      <c r="K2568" s="493"/>
      <c r="L2568" s="487"/>
      <c r="M2568" s="487"/>
      <c r="N2568" s="487"/>
      <c r="O2568" s="487"/>
      <c r="P2568" s="487">
        <f t="shared" si="189"/>
        <v>206</v>
      </c>
      <c r="Q2568" s="487" t="b">
        <v>0</v>
      </c>
    </row>
    <row r="2569" spans="1:17" x14ac:dyDescent="0.3">
      <c r="A2569" s="487" t="b">
        <v>0</v>
      </c>
      <c r="B2569" s="487" t="s">
        <v>7736</v>
      </c>
      <c r="C2569" s="502">
        <v>35</v>
      </c>
      <c r="D2569" s="487">
        <f t="shared" si="186"/>
        <v>-273</v>
      </c>
      <c r="E2569" s="487">
        <f t="shared" si="187"/>
        <v>3</v>
      </c>
      <c r="F2569" s="487">
        <f t="shared" ca="1" si="188"/>
        <v>43</v>
      </c>
      <c r="G2569" s="487" t="s">
        <v>7439</v>
      </c>
      <c r="H2569" s="493"/>
      <c r="I2569" s="493"/>
      <c r="J2569" s="493"/>
      <c r="K2569" s="493"/>
      <c r="L2569" s="487"/>
      <c r="M2569" s="487"/>
      <c r="N2569" s="487"/>
      <c r="O2569" s="487"/>
      <c r="P2569" s="487">
        <f t="shared" si="189"/>
        <v>207</v>
      </c>
      <c r="Q2569" s="487" t="b">
        <v>0</v>
      </c>
    </row>
    <row r="2570" spans="1:17" x14ac:dyDescent="0.3">
      <c r="A2570" s="487" t="b">
        <v>0</v>
      </c>
      <c r="B2570" s="487" t="s">
        <v>7737</v>
      </c>
      <c r="C2570" s="502">
        <v>35</v>
      </c>
      <c r="D2570" s="487">
        <f t="shared" si="186"/>
        <v>-272</v>
      </c>
      <c r="E2570" s="487">
        <f t="shared" si="187"/>
        <v>4</v>
      </c>
      <c r="F2570" s="487">
        <f t="shared" ca="1" si="188"/>
        <v>43</v>
      </c>
      <c r="G2570" s="487" t="s">
        <v>7439</v>
      </c>
      <c r="H2570" s="493"/>
      <c r="I2570" s="493"/>
      <c r="J2570" s="493"/>
      <c r="K2570" s="493"/>
      <c r="L2570" s="487"/>
      <c r="M2570" s="487"/>
      <c r="N2570" s="487"/>
      <c r="O2570" s="487"/>
      <c r="P2570" s="487">
        <f t="shared" si="189"/>
        <v>208</v>
      </c>
      <c r="Q2570" s="487" t="b">
        <v>0</v>
      </c>
    </row>
    <row r="2571" spans="1:17" x14ac:dyDescent="0.3">
      <c r="A2571" s="487" t="b">
        <v>0</v>
      </c>
      <c r="B2571" s="487" t="s">
        <v>7738</v>
      </c>
      <c r="C2571" s="502">
        <v>35</v>
      </c>
      <c r="D2571" s="487">
        <f t="shared" si="186"/>
        <v>-271</v>
      </c>
      <c r="E2571" s="487">
        <f t="shared" si="187"/>
        <v>5</v>
      </c>
      <c r="F2571" s="487">
        <f t="shared" ca="1" si="188"/>
        <v>43</v>
      </c>
      <c r="G2571" s="487" t="s">
        <v>7439</v>
      </c>
      <c r="H2571" s="493"/>
      <c r="I2571" s="493"/>
      <c r="J2571" s="493"/>
      <c r="K2571" s="493"/>
      <c r="L2571" s="487"/>
      <c r="M2571" s="487"/>
      <c r="N2571" s="487"/>
      <c r="O2571" s="487"/>
      <c r="P2571" s="487">
        <f t="shared" si="189"/>
        <v>209</v>
      </c>
      <c r="Q2571" s="487" t="b">
        <v>0</v>
      </c>
    </row>
    <row r="2572" spans="1:17" x14ac:dyDescent="0.3">
      <c r="A2572" s="487" t="b">
        <v>0</v>
      </c>
      <c r="B2572" s="487" t="s">
        <v>7739</v>
      </c>
      <c r="C2572" s="502">
        <v>35</v>
      </c>
      <c r="D2572" s="487">
        <f t="shared" si="186"/>
        <v>-270</v>
      </c>
      <c r="E2572" s="487">
        <f t="shared" si="187"/>
        <v>6</v>
      </c>
      <c r="F2572" s="487">
        <f t="shared" ca="1" si="188"/>
        <v>43</v>
      </c>
      <c r="G2572" s="487" t="s">
        <v>7439</v>
      </c>
      <c r="H2572" s="493"/>
      <c r="I2572" s="493"/>
      <c r="J2572" s="493"/>
      <c r="K2572" s="493"/>
      <c r="L2572" s="487"/>
      <c r="M2572" s="487"/>
      <c r="N2572" s="487"/>
      <c r="O2572" s="487"/>
      <c r="P2572" s="487">
        <f t="shared" si="189"/>
        <v>210</v>
      </c>
      <c r="Q2572" s="487" t="b">
        <v>0</v>
      </c>
    </row>
    <row r="2573" spans="1:17" x14ac:dyDescent="0.3">
      <c r="A2573" s="487" t="b">
        <v>0</v>
      </c>
      <c r="B2573" s="487" t="s">
        <v>7740</v>
      </c>
      <c r="C2573" s="502">
        <v>36</v>
      </c>
      <c r="D2573" s="487">
        <f t="shared" si="186"/>
        <v>-269</v>
      </c>
      <c r="E2573" s="487">
        <f t="shared" si="187"/>
        <v>1</v>
      </c>
      <c r="F2573" s="487">
        <f t="shared" ca="1" si="188"/>
        <v>44</v>
      </c>
      <c r="G2573" s="487" t="s">
        <v>7441</v>
      </c>
      <c r="H2573" s="493"/>
      <c r="I2573" s="493"/>
      <c r="J2573" s="493"/>
      <c r="K2573" s="493"/>
      <c r="L2573" s="487"/>
      <c r="M2573" s="487"/>
      <c r="N2573" s="487"/>
      <c r="O2573" s="487"/>
      <c r="P2573" s="487">
        <f t="shared" si="189"/>
        <v>211</v>
      </c>
      <c r="Q2573" s="487" t="b">
        <v>0</v>
      </c>
    </row>
    <row r="2574" spans="1:17" x14ac:dyDescent="0.3">
      <c r="A2574" s="487" t="b">
        <v>0</v>
      </c>
      <c r="B2574" s="487" t="s">
        <v>7741</v>
      </c>
      <c r="C2574" s="502">
        <v>36</v>
      </c>
      <c r="D2574" s="487">
        <f t="shared" si="186"/>
        <v>-268</v>
      </c>
      <c r="E2574" s="487">
        <f t="shared" si="187"/>
        <v>2</v>
      </c>
      <c r="F2574" s="487">
        <f t="shared" ca="1" si="188"/>
        <v>44</v>
      </c>
      <c r="G2574" s="487" t="s">
        <v>7441</v>
      </c>
      <c r="H2574" s="493"/>
      <c r="I2574" s="493"/>
      <c r="J2574" s="493"/>
      <c r="K2574" s="493"/>
      <c r="L2574" s="487"/>
      <c r="M2574" s="487"/>
      <c r="N2574" s="487"/>
      <c r="O2574" s="487"/>
      <c r="P2574" s="487">
        <f t="shared" si="189"/>
        <v>212</v>
      </c>
      <c r="Q2574" s="487" t="b">
        <v>0</v>
      </c>
    </row>
    <row r="2575" spans="1:17" x14ac:dyDescent="0.3">
      <c r="A2575" s="487" t="b">
        <v>0</v>
      </c>
      <c r="B2575" s="487" t="s">
        <v>7742</v>
      </c>
      <c r="C2575" s="502">
        <v>36</v>
      </c>
      <c r="D2575" s="487">
        <f t="shared" si="186"/>
        <v>-267</v>
      </c>
      <c r="E2575" s="487">
        <f t="shared" si="187"/>
        <v>3</v>
      </c>
      <c r="F2575" s="487">
        <f t="shared" ca="1" si="188"/>
        <v>44</v>
      </c>
      <c r="G2575" s="487" t="s">
        <v>7441</v>
      </c>
      <c r="H2575" s="493"/>
      <c r="I2575" s="493"/>
      <c r="J2575" s="493"/>
      <c r="K2575" s="493"/>
      <c r="L2575" s="487"/>
      <c r="M2575" s="487"/>
      <c r="N2575" s="487"/>
      <c r="O2575" s="487"/>
      <c r="P2575" s="487">
        <f t="shared" si="189"/>
        <v>213</v>
      </c>
      <c r="Q2575" s="487" t="b">
        <v>0</v>
      </c>
    </row>
    <row r="2576" spans="1:17" x14ac:dyDescent="0.3">
      <c r="A2576" s="487" t="b">
        <v>0</v>
      </c>
      <c r="B2576" s="487" t="s">
        <v>7743</v>
      </c>
      <c r="C2576" s="502">
        <v>36</v>
      </c>
      <c r="D2576" s="487">
        <f t="shared" si="186"/>
        <v>-266</v>
      </c>
      <c r="E2576" s="487">
        <f t="shared" si="187"/>
        <v>4</v>
      </c>
      <c r="F2576" s="487">
        <f t="shared" ca="1" si="188"/>
        <v>44</v>
      </c>
      <c r="G2576" s="487" t="s">
        <v>7441</v>
      </c>
      <c r="H2576" s="493"/>
      <c r="I2576" s="493"/>
      <c r="J2576" s="493"/>
      <c r="K2576" s="493"/>
      <c r="L2576" s="487"/>
      <c r="M2576" s="487"/>
      <c r="N2576" s="487"/>
      <c r="O2576" s="487"/>
      <c r="P2576" s="487">
        <f t="shared" si="189"/>
        <v>214</v>
      </c>
      <c r="Q2576" s="487" t="b">
        <v>0</v>
      </c>
    </row>
    <row r="2577" spans="1:17" x14ac:dyDescent="0.3">
      <c r="A2577" s="487" t="b">
        <v>0</v>
      </c>
      <c r="B2577" s="487" t="s">
        <v>7744</v>
      </c>
      <c r="C2577" s="502">
        <v>36</v>
      </c>
      <c r="D2577" s="487">
        <f t="shared" si="186"/>
        <v>-265</v>
      </c>
      <c r="E2577" s="487">
        <f t="shared" si="187"/>
        <v>5</v>
      </c>
      <c r="F2577" s="487">
        <f t="shared" ca="1" si="188"/>
        <v>44</v>
      </c>
      <c r="G2577" s="487" t="s">
        <v>7441</v>
      </c>
      <c r="H2577" s="493"/>
      <c r="I2577" s="493"/>
      <c r="J2577" s="493"/>
      <c r="K2577" s="493"/>
      <c r="L2577" s="487"/>
      <c r="M2577" s="487"/>
      <c r="N2577" s="487"/>
      <c r="O2577" s="487"/>
      <c r="P2577" s="487">
        <f t="shared" si="189"/>
        <v>215</v>
      </c>
      <c r="Q2577" s="487" t="b">
        <v>0</v>
      </c>
    </row>
    <row r="2578" spans="1:17" x14ac:dyDescent="0.3">
      <c r="A2578" s="487" t="b">
        <v>0</v>
      </c>
      <c r="B2578" s="487" t="s">
        <v>7745</v>
      </c>
      <c r="C2578" s="502">
        <v>36</v>
      </c>
      <c r="D2578" s="487">
        <f t="shared" si="186"/>
        <v>-264</v>
      </c>
      <c r="E2578" s="487">
        <f t="shared" si="187"/>
        <v>6</v>
      </c>
      <c r="F2578" s="487">
        <f t="shared" ca="1" si="188"/>
        <v>44</v>
      </c>
      <c r="G2578" s="487" t="s">
        <v>7441</v>
      </c>
      <c r="H2578" s="493"/>
      <c r="I2578" s="493"/>
      <c r="J2578" s="493"/>
      <c r="K2578" s="493"/>
      <c r="L2578" s="487"/>
      <c r="M2578" s="487"/>
      <c r="N2578" s="487"/>
      <c r="O2578" s="487"/>
      <c r="P2578" s="487">
        <f t="shared" si="189"/>
        <v>216</v>
      </c>
      <c r="Q2578" s="487" t="b">
        <v>0</v>
      </c>
    </row>
    <row r="2579" spans="1:17" x14ac:dyDescent="0.3">
      <c r="A2579" s="487" t="b">
        <v>0</v>
      </c>
      <c r="B2579" s="487" t="s">
        <v>7746</v>
      </c>
      <c r="C2579" s="502">
        <v>37</v>
      </c>
      <c r="D2579" s="487">
        <f t="shared" si="186"/>
        <v>-263</v>
      </c>
      <c r="E2579" s="487">
        <f t="shared" si="187"/>
        <v>1</v>
      </c>
      <c r="F2579" s="487">
        <f t="shared" ca="1" si="188"/>
        <v>45</v>
      </c>
      <c r="G2579" s="487" t="s">
        <v>7443</v>
      </c>
      <c r="H2579" s="493"/>
      <c r="I2579" s="493"/>
      <c r="J2579" s="493"/>
      <c r="K2579" s="493"/>
      <c r="L2579" s="487"/>
      <c r="M2579" s="487"/>
      <c r="N2579" s="487"/>
      <c r="O2579" s="487"/>
      <c r="P2579" s="487">
        <f t="shared" si="189"/>
        <v>217</v>
      </c>
      <c r="Q2579" s="487" t="b">
        <v>0</v>
      </c>
    </row>
    <row r="2580" spans="1:17" x14ac:dyDescent="0.3">
      <c r="A2580" s="487" t="b">
        <v>0</v>
      </c>
      <c r="B2580" s="487" t="s">
        <v>7747</v>
      </c>
      <c r="C2580" s="502">
        <v>37</v>
      </c>
      <c r="D2580" s="487">
        <f t="shared" si="186"/>
        <v>-262</v>
      </c>
      <c r="E2580" s="487">
        <f t="shared" si="187"/>
        <v>2</v>
      </c>
      <c r="F2580" s="487">
        <f t="shared" ca="1" si="188"/>
        <v>45</v>
      </c>
      <c r="G2580" s="487" t="s">
        <v>7443</v>
      </c>
      <c r="H2580" s="493"/>
      <c r="I2580" s="493"/>
      <c r="J2580" s="493"/>
      <c r="K2580" s="493"/>
      <c r="L2580" s="487"/>
      <c r="M2580" s="487"/>
      <c r="N2580" s="487"/>
      <c r="O2580" s="487"/>
      <c r="P2580" s="487">
        <f t="shared" si="189"/>
        <v>218</v>
      </c>
      <c r="Q2580" s="487" t="b">
        <v>0</v>
      </c>
    </row>
    <row r="2581" spans="1:17" x14ac:dyDescent="0.3">
      <c r="A2581" s="487" t="b">
        <v>0</v>
      </c>
      <c r="B2581" s="487" t="s">
        <v>7748</v>
      </c>
      <c r="C2581" s="502">
        <v>37</v>
      </c>
      <c r="D2581" s="487">
        <f t="shared" si="186"/>
        <v>-261</v>
      </c>
      <c r="E2581" s="487">
        <f t="shared" si="187"/>
        <v>3</v>
      </c>
      <c r="F2581" s="487">
        <f t="shared" ca="1" si="188"/>
        <v>45</v>
      </c>
      <c r="G2581" s="487" t="s">
        <v>7443</v>
      </c>
      <c r="H2581" s="493"/>
      <c r="I2581" s="493"/>
      <c r="J2581" s="493"/>
      <c r="K2581" s="493"/>
      <c r="L2581" s="487"/>
      <c r="M2581" s="487"/>
      <c r="N2581" s="487"/>
      <c r="O2581" s="487"/>
      <c r="P2581" s="487">
        <f t="shared" si="189"/>
        <v>219</v>
      </c>
      <c r="Q2581" s="487" t="b">
        <v>0</v>
      </c>
    </row>
    <row r="2582" spans="1:17" x14ac:dyDescent="0.3">
      <c r="A2582" s="487" t="b">
        <v>0</v>
      </c>
      <c r="B2582" s="487" t="s">
        <v>7749</v>
      </c>
      <c r="C2582" s="502">
        <v>37</v>
      </c>
      <c r="D2582" s="487">
        <f t="shared" si="186"/>
        <v>-260</v>
      </c>
      <c r="E2582" s="487">
        <f t="shared" si="187"/>
        <v>4</v>
      </c>
      <c r="F2582" s="487">
        <f t="shared" ca="1" si="188"/>
        <v>45</v>
      </c>
      <c r="G2582" s="487" t="s">
        <v>7443</v>
      </c>
      <c r="H2582" s="493"/>
      <c r="I2582" s="493"/>
      <c r="J2582" s="493"/>
      <c r="K2582" s="493"/>
      <c r="L2582" s="487"/>
      <c r="M2582" s="487"/>
      <c r="N2582" s="487"/>
      <c r="O2582" s="487"/>
      <c r="P2582" s="487">
        <f t="shared" si="189"/>
        <v>220</v>
      </c>
      <c r="Q2582" s="487" t="b">
        <v>0</v>
      </c>
    </row>
    <row r="2583" spans="1:17" x14ac:dyDescent="0.3">
      <c r="A2583" s="487" t="b">
        <v>0</v>
      </c>
      <c r="B2583" s="487" t="s">
        <v>7750</v>
      </c>
      <c r="C2583" s="502">
        <v>37</v>
      </c>
      <c r="D2583" s="487">
        <f t="shared" si="186"/>
        <v>-259</v>
      </c>
      <c r="E2583" s="487">
        <f t="shared" si="187"/>
        <v>5</v>
      </c>
      <c r="F2583" s="487">
        <f t="shared" ca="1" si="188"/>
        <v>45</v>
      </c>
      <c r="G2583" s="487" t="s">
        <v>7443</v>
      </c>
      <c r="H2583" s="493"/>
      <c r="I2583" s="493"/>
      <c r="J2583" s="493"/>
      <c r="K2583" s="493"/>
      <c r="L2583" s="487"/>
      <c r="M2583" s="487"/>
      <c r="N2583" s="487"/>
      <c r="O2583" s="487"/>
      <c r="P2583" s="487">
        <f t="shared" si="189"/>
        <v>221</v>
      </c>
      <c r="Q2583" s="487" t="b">
        <v>0</v>
      </c>
    </row>
    <row r="2584" spans="1:17" x14ac:dyDescent="0.3">
      <c r="A2584" s="487" t="b">
        <v>0</v>
      </c>
      <c r="B2584" s="487" t="s">
        <v>7751</v>
      </c>
      <c r="C2584" s="502">
        <v>37</v>
      </c>
      <c r="D2584" s="487">
        <f t="shared" si="186"/>
        <v>-258</v>
      </c>
      <c r="E2584" s="487">
        <f t="shared" si="187"/>
        <v>6</v>
      </c>
      <c r="F2584" s="487">
        <f t="shared" ca="1" si="188"/>
        <v>45</v>
      </c>
      <c r="G2584" s="487" t="s">
        <v>7443</v>
      </c>
      <c r="H2584" s="493"/>
      <c r="I2584" s="493"/>
      <c r="J2584" s="493"/>
      <c r="K2584" s="493"/>
      <c r="L2584" s="487"/>
      <c r="M2584" s="487"/>
      <c r="N2584" s="487"/>
      <c r="O2584" s="487"/>
      <c r="P2584" s="487">
        <f t="shared" si="189"/>
        <v>222</v>
      </c>
      <c r="Q2584" s="487" t="b">
        <v>0</v>
      </c>
    </row>
    <row r="2585" spans="1:17" x14ac:dyDescent="0.3">
      <c r="A2585" s="487" t="b">
        <v>0</v>
      </c>
      <c r="B2585" s="487" t="s">
        <v>7752</v>
      </c>
      <c r="C2585" s="502">
        <v>38</v>
      </c>
      <c r="D2585" s="487">
        <f t="shared" si="186"/>
        <v>-257</v>
      </c>
      <c r="E2585" s="487">
        <f t="shared" si="187"/>
        <v>1</v>
      </c>
      <c r="F2585" s="487">
        <f t="shared" ca="1" si="188"/>
        <v>46</v>
      </c>
      <c r="G2585" s="487" t="s">
        <v>7445</v>
      </c>
      <c r="H2585" s="493"/>
      <c r="I2585" s="493"/>
      <c r="J2585" s="493"/>
      <c r="K2585" s="493"/>
      <c r="L2585" s="487"/>
      <c r="M2585" s="487"/>
      <c r="N2585" s="487"/>
      <c r="O2585" s="487"/>
      <c r="P2585" s="487">
        <f t="shared" si="189"/>
        <v>223</v>
      </c>
      <c r="Q2585" s="487" t="b">
        <v>0</v>
      </c>
    </row>
    <row r="2586" spans="1:17" x14ac:dyDescent="0.3">
      <c r="A2586" s="487" t="b">
        <v>0</v>
      </c>
      <c r="B2586" s="487" t="s">
        <v>7753</v>
      </c>
      <c r="C2586" s="502">
        <v>38</v>
      </c>
      <c r="D2586" s="487">
        <f t="shared" si="186"/>
        <v>-256</v>
      </c>
      <c r="E2586" s="487">
        <f t="shared" si="187"/>
        <v>2</v>
      </c>
      <c r="F2586" s="487">
        <f t="shared" ca="1" si="188"/>
        <v>46</v>
      </c>
      <c r="G2586" s="487" t="s">
        <v>7445</v>
      </c>
      <c r="H2586" s="493"/>
      <c r="I2586" s="493"/>
      <c r="J2586" s="493"/>
      <c r="K2586" s="493"/>
      <c r="L2586" s="487"/>
      <c r="M2586" s="487"/>
      <c r="N2586" s="487"/>
      <c r="O2586" s="487"/>
      <c r="P2586" s="487">
        <f t="shared" si="189"/>
        <v>224</v>
      </c>
      <c r="Q2586" s="487" t="b">
        <v>0</v>
      </c>
    </row>
    <row r="2587" spans="1:17" x14ac:dyDescent="0.3">
      <c r="A2587" s="487" t="b">
        <v>0</v>
      </c>
      <c r="B2587" s="487" t="s">
        <v>7754</v>
      </c>
      <c r="C2587" s="502">
        <v>38</v>
      </c>
      <c r="D2587" s="487">
        <f t="shared" si="186"/>
        <v>-255</v>
      </c>
      <c r="E2587" s="487">
        <f t="shared" si="187"/>
        <v>3</v>
      </c>
      <c r="F2587" s="487">
        <f t="shared" ca="1" si="188"/>
        <v>46</v>
      </c>
      <c r="G2587" s="487" t="s">
        <v>7445</v>
      </c>
      <c r="H2587" s="493"/>
      <c r="I2587" s="493"/>
      <c r="J2587" s="493"/>
      <c r="K2587" s="493"/>
      <c r="L2587" s="487"/>
      <c r="M2587" s="487"/>
      <c r="N2587" s="487"/>
      <c r="O2587" s="487"/>
      <c r="P2587" s="487">
        <f t="shared" si="189"/>
        <v>225</v>
      </c>
      <c r="Q2587" s="487" t="b">
        <v>0</v>
      </c>
    </row>
    <row r="2588" spans="1:17" x14ac:dyDescent="0.3">
      <c r="A2588" s="487" t="b">
        <v>0</v>
      </c>
      <c r="B2588" s="487" t="s">
        <v>7755</v>
      </c>
      <c r="C2588" s="502">
        <v>38</v>
      </c>
      <c r="D2588" s="487">
        <f t="shared" si="186"/>
        <v>-254</v>
      </c>
      <c r="E2588" s="487">
        <f t="shared" si="187"/>
        <v>4</v>
      </c>
      <c r="F2588" s="487">
        <f t="shared" ca="1" si="188"/>
        <v>46</v>
      </c>
      <c r="G2588" s="487" t="s">
        <v>7445</v>
      </c>
      <c r="H2588" s="493"/>
      <c r="I2588" s="493"/>
      <c r="J2588" s="493"/>
      <c r="K2588" s="493"/>
      <c r="L2588" s="487"/>
      <c r="M2588" s="487"/>
      <c r="N2588" s="487"/>
      <c r="O2588" s="487"/>
      <c r="P2588" s="487">
        <f t="shared" si="189"/>
        <v>226</v>
      </c>
      <c r="Q2588" s="487" t="b">
        <v>0</v>
      </c>
    </row>
    <row r="2589" spans="1:17" x14ac:dyDescent="0.3">
      <c r="A2589" s="487" t="b">
        <v>0</v>
      </c>
      <c r="B2589" s="487" t="s">
        <v>7756</v>
      </c>
      <c r="C2589" s="502">
        <v>38</v>
      </c>
      <c r="D2589" s="487">
        <f t="shared" si="186"/>
        <v>-253</v>
      </c>
      <c r="E2589" s="487">
        <f t="shared" si="187"/>
        <v>5</v>
      </c>
      <c r="F2589" s="487">
        <f t="shared" ca="1" si="188"/>
        <v>46</v>
      </c>
      <c r="G2589" s="487" t="s">
        <v>7445</v>
      </c>
      <c r="H2589" s="493"/>
      <c r="I2589" s="493"/>
      <c r="J2589" s="493"/>
      <c r="K2589" s="493"/>
      <c r="L2589" s="487"/>
      <c r="M2589" s="487"/>
      <c r="N2589" s="487"/>
      <c r="O2589" s="487"/>
      <c r="P2589" s="487">
        <f t="shared" si="189"/>
        <v>227</v>
      </c>
      <c r="Q2589" s="487" t="b">
        <v>0</v>
      </c>
    </row>
    <row r="2590" spans="1:17" x14ac:dyDescent="0.3">
      <c r="A2590" s="487" t="b">
        <v>0</v>
      </c>
      <c r="B2590" s="487" t="s">
        <v>7757</v>
      </c>
      <c r="C2590" s="502">
        <v>38</v>
      </c>
      <c r="D2590" s="487">
        <f t="shared" si="186"/>
        <v>-252</v>
      </c>
      <c r="E2590" s="487">
        <f t="shared" si="187"/>
        <v>6</v>
      </c>
      <c r="F2590" s="487">
        <f t="shared" ca="1" si="188"/>
        <v>46</v>
      </c>
      <c r="G2590" s="487" t="s">
        <v>7445</v>
      </c>
      <c r="H2590" s="493"/>
      <c r="I2590" s="493"/>
      <c r="J2590" s="493"/>
      <c r="K2590" s="493"/>
      <c r="L2590" s="487"/>
      <c r="M2590" s="487"/>
      <c r="N2590" s="487"/>
      <c r="O2590" s="487"/>
      <c r="P2590" s="487">
        <f t="shared" si="189"/>
        <v>228</v>
      </c>
      <c r="Q2590" s="487" t="b">
        <v>0</v>
      </c>
    </row>
    <row r="2591" spans="1:17" x14ac:dyDescent="0.3">
      <c r="A2591" s="487" t="b">
        <v>0</v>
      </c>
      <c r="B2591" s="487" t="s">
        <v>7758</v>
      </c>
      <c r="C2591" s="502">
        <v>39</v>
      </c>
      <c r="D2591" s="487">
        <f t="shared" si="186"/>
        <v>-251</v>
      </c>
      <c r="E2591" s="487">
        <f t="shared" si="187"/>
        <v>1</v>
      </c>
      <c r="F2591" s="487">
        <f t="shared" ca="1" si="188"/>
        <v>47</v>
      </c>
      <c r="G2591" s="487" t="s">
        <v>7447</v>
      </c>
      <c r="H2591" s="493"/>
      <c r="I2591" s="493"/>
      <c r="J2591" s="493"/>
      <c r="K2591" s="493"/>
      <c r="L2591" s="487"/>
      <c r="M2591" s="487"/>
      <c r="N2591" s="487"/>
      <c r="O2591" s="487"/>
      <c r="P2591" s="487">
        <f t="shared" si="189"/>
        <v>229</v>
      </c>
      <c r="Q2591" s="487" t="b">
        <v>0</v>
      </c>
    </row>
    <row r="2592" spans="1:17" x14ac:dyDescent="0.3">
      <c r="A2592" s="487" t="b">
        <v>0</v>
      </c>
      <c r="B2592" s="487" t="s">
        <v>7759</v>
      </c>
      <c r="C2592" s="502">
        <v>39</v>
      </c>
      <c r="D2592" s="487">
        <f t="shared" si="186"/>
        <v>-250</v>
      </c>
      <c r="E2592" s="487">
        <f t="shared" si="187"/>
        <v>2</v>
      </c>
      <c r="F2592" s="487">
        <f t="shared" ca="1" si="188"/>
        <v>47</v>
      </c>
      <c r="G2592" s="487" t="s">
        <v>7447</v>
      </c>
      <c r="H2592" s="493"/>
      <c r="I2592" s="493"/>
      <c r="J2592" s="493"/>
      <c r="K2592" s="493"/>
      <c r="L2592" s="487"/>
      <c r="M2592" s="487"/>
      <c r="N2592" s="487"/>
      <c r="O2592" s="487"/>
      <c r="P2592" s="487">
        <f t="shared" si="189"/>
        <v>230</v>
      </c>
      <c r="Q2592" s="487" t="b">
        <v>0</v>
      </c>
    </row>
    <row r="2593" spans="1:17" x14ac:dyDescent="0.3">
      <c r="A2593" s="487" t="b">
        <v>0</v>
      </c>
      <c r="B2593" s="487" t="s">
        <v>7760</v>
      </c>
      <c r="C2593" s="502">
        <v>39</v>
      </c>
      <c r="D2593" s="487">
        <f t="shared" si="186"/>
        <v>-249</v>
      </c>
      <c r="E2593" s="487">
        <f t="shared" si="187"/>
        <v>3</v>
      </c>
      <c r="F2593" s="487">
        <f t="shared" ca="1" si="188"/>
        <v>47</v>
      </c>
      <c r="G2593" s="487" t="s">
        <v>7447</v>
      </c>
      <c r="H2593" s="493"/>
      <c r="I2593" s="493"/>
      <c r="J2593" s="493"/>
      <c r="K2593" s="493"/>
      <c r="L2593" s="487"/>
      <c r="M2593" s="487"/>
      <c r="N2593" s="487"/>
      <c r="O2593" s="487"/>
      <c r="P2593" s="487">
        <f t="shared" si="189"/>
        <v>231</v>
      </c>
      <c r="Q2593" s="487" t="b">
        <v>0</v>
      </c>
    </row>
    <row r="2594" spans="1:17" x14ac:dyDescent="0.3">
      <c r="A2594" s="487" t="b">
        <v>0</v>
      </c>
      <c r="B2594" s="487" t="s">
        <v>7761</v>
      </c>
      <c r="C2594" s="502">
        <v>39</v>
      </c>
      <c r="D2594" s="487">
        <f t="shared" si="186"/>
        <v>-248</v>
      </c>
      <c r="E2594" s="487">
        <f t="shared" si="187"/>
        <v>4</v>
      </c>
      <c r="F2594" s="487">
        <f t="shared" ca="1" si="188"/>
        <v>47</v>
      </c>
      <c r="G2594" s="487" t="s">
        <v>7447</v>
      </c>
      <c r="H2594" s="493"/>
      <c r="I2594" s="493"/>
      <c r="J2594" s="493"/>
      <c r="K2594" s="493"/>
      <c r="L2594" s="487"/>
      <c r="M2594" s="487"/>
      <c r="N2594" s="487"/>
      <c r="O2594" s="487"/>
      <c r="P2594" s="487">
        <f t="shared" si="189"/>
        <v>232</v>
      </c>
      <c r="Q2594" s="487" t="b">
        <v>0</v>
      </c>
    </row>
    <row r="2595" spans="1:17" x14ac:dyDescent="0.3">
      <c r="A2595" s="487" t="b">
        <v>0</v>
      </c>
      <c r="B2595" s="487" t="s">
        <v>7762</v>
      </c>
      <c r="C2595" s="502">
        <v>39</v>
      </c>
      <c r="D2595" s="487">
        <f t="shared" si="186"/>
        <v>-247</v>
      </c>
      <c r="E2595" s="487">
        <f t="shared" si="187"/>
        <v>5</v>
      </c>
      <c r="F2595" s="487">
        <f t="shared" ca="1" si="188"/>
        <v>47</v>
      </c>
      <c r="G2595" s="487" t="s">
        <v>7447</v>
      </c>
      <c r="H2595" s="493"/>
      <c r="I2595" s="493"/>
      <c r="J2595" s="493"/>
      <c r="K2595" s="493"/>
      <c r="L2595" s="487"/>
      <c r="M2595" s="487"/>
      <c r="N2595" s="487"/>
      <c r="O2595" s="487"/>
      <c r="P2595" s="487">
        <f t="shared" si="189"/>
        <v>233</v>
      </c>
      <c r="Q2595" s="487" t="b">
        <v>0</v>
      </c>
    </row>
    <row r="2596" spans="1:17" x14ac:dyDescent="0.3">
      <c r="A2596" s="487" t="b">
        <v>0</v>
      </c>
      <c r="B2596" s="487" t="s">
        <v>7763</v>
      </c>
      <c r="C2596" s="502">
        <v>39</v>
      </c>
      <c r="D2596" s="487">
        <f t="shared" si="186"/>
        <v>-246</v>
      </c>
      <c r="E2596" s="487">
        <f t="shared" si="187"/>
        <v>6</v>
      </c>
      <c r="F2596" s="487">
        <f t="shared" ca="1" si="188"/>
        <v>47</v>
      </c>
      <c r="G2596" s="487" t="s">
        <v>7447</v>
      </c>
      <c r="H2596" s="493"/>
      <c r="I2596" s="493"/>
      <c r="J2596" s="493"/>
      <c r="K2596" s="493"/>
      <c r="L2596" s="487"/>
      <c r="M2596" s="487"/>
      <c r="N2596" s="487"/>
      <c r="O2596" s="487"/>
      <c r="P2596" s="487">
        <f t="shared" si="189"/>
        <v>234</v>
      </c>
      <c r="Q2596" s="487" t="b">
        <v>0</v>
      </c>
    </row>
    <row r="2597" spans="1:17" x14ac:dyDescent="0.3">
      <c r="A2597" s="487" t="b">
        <v>0</v>
      </c>
      <c r="B2597" s="487" t="s">
        <v>7764</v>
      </c>
      <c r="C2597" s="502">
        <v>40</v>
      </c>
      <c r="D2597" s="487">
        <f t="shared" si="186"/>
        <v>-245</v>
      </c>
      <c r="E2597" s="487">
        <f t="shared" si="187"/>
        <v>1</v>
      </c>
      <c r="F2597" s="487">
        <f t="shared" ca="1" si="188"/>
        <v>48</v>
      </c>
      <c r="G2597" s="487" t="s">
        <v>7449</v>
      </c>
      <c r="H2597" s="493"/>
      <c r="I2597" s="493"/>
      <c r="J2597" s="493"/>
      <c r="K2597" s="493"/>
      <c r="L2597" s="487"/>
      <c r="M2597" s="487"/>
      <c r="N2597" s="487"/>
      <c r="O2597" s="487"/>
      <c r="P2597" s="487">
        <f t="shared" si="189"/>
        <v>235</v>
      </c>
      <c r="Q2597" s="487" t="b">
        <v>0</v>
      </c>
    </row>
    <row r="2598" spans="1:17" x14ac:dyDescent="0.3">
      <c r="A2598" s="487" t="b">
        <v>0</v>
      </c>
      <c r="B2598" s="487" t="s">
        <v>7765</v>
      </c>
      <c r="C2598" s="502">
        <v>40</v>
      </c>
      <c r="D2598" s="487">
        <f t="shared" si="186"/>
        <v>-244</v>
      </c>
      <c r="E2598" s="487">
        <f t="shared" si="187"/>
        <v>2</v>
      </c>
      <c r="F2598" s="487">
        <f t="shared" ca="1" si="188"/>
        <v>48</v>
      </c>
      <c r="G2598" s="487" t="s">
        <v>7449</v>
      </c>
      <c r="H2598" s="493"/>
      <c r="I2598" s="493"/>
      <c r="J2598" s="493"/>
      <c r="K2598" s="493"/>
      <c r="L2598" s="487"/>
      <c r="M2598" s="487"/>
      <c r="N2598" s="487"/>
      <c r="O2598" s="487"/>
      <c r="P2598" s="487">
        <f t="shared" si="189"/>
        <v>236</v>
      </c>
      <c r="Q2598" s="487" t="b">
        <v>0</v>
      </c>
    </row>
    <row r="2599" spans="1:17" x14ac:dyDescent="0.3">
      <c r="A2599" s="487" t="b">
        <v>0</v>
      </c>
      <c r="B2599" s="487" t="s">
        <v>7766</v>
      </c>
      <c r="C2599" s="502">
        <v>40</v>
      </c>
      <c r="D2599" s="487">
        <f t="shared" si="186"/>
        <v>-243</v>
      </c>
      <c r="E2599" s="487">
        <f t="shared" si="187"/>
        <v>3</v>
      </c>
      <c r="F2599" s="487">
        <f t="shared" ca="1" si="188"/>
        <v>48</v>
      </c>
      <c r="G2599" s="487" t="s">
        <v>7449</v>
      </c>
      <c r="H2599" s="493"/>
      <c r="I2599" s="493"/>
      <c r="J2599" s="493"/>
      <c r="K2599" s="493"/>
      <c r="L2599" s="487"/>
      <c r="M2599" s="487"/>
      <c r="N2599" s="487"/>
      <c r="O2599" s="487"/>
      <c r="P2599" s="487">
        <f t="shared" si="189"/>
        <v>237</v>
      </c>
      <c r="Q2599" s="487" t="b">
        <v>0</v>
      </c>
    </row>
    <row r="2600" spans="1:17" x14ac:dyDescent="0.3">
      <c r="A2600" s="487" t="b">
        <v>0</v>
      </c>
      <c r="B2600" s="487" t="s">
        <v>7767</v>
      </c>
      <c r="C2600" s="502">
        <v>40</v>
      </c>
      <c r="D2600" s="487">
        <f t="shared" si="186"/>
        <v>-242</v>
      </c>
      <c r="E2600" s="487">
        <f t="shared" si="187"/>
        <v>4</v>
      </c>
      <c r="F2600" s="487">
        <f t="shared" ca="1" si="188"/>
        <v>48</v>
      </c>
      <c r="G2600" s="487" t="s">
        <v>7449</v>
      </c>
      <c r="H2600" s="493"/>
      <c r="I2600" s="493"/>
      <c r="J2600" s="493"/>
      <c r="K2600" s="493"/>
      <c r="L2600" s="487"/>
      <c r="M2600" s="487"/>
      <c r="N2600" s="487"/>
      <c r="O2600" s="487"/>
      <c r="P2600" s="487">
        <f t="shared" si="189"/>
        <v>238</v>
      </c>
      <c r="Q2600" s="487" t="b">
        <v>0</v>
      </c>
    </row>
    <row r="2601" spans="1:17" x14ac:dyDescent="0.3">
      <c r="A2601" s="487" t="b">
        <v>0</v>
      </c>
      <c r="B2601" s="487" t="s">
        <v>7768</v>
      </c>
      <c r="C2601" s="502">
        <v>40</v>
      </c>
      <c r="D2601" s="487">
        <f t="shared" si="186"/>
        <v>-241</v>
      </c>
      <c r="E2601" s="487">
        <f t="shared" si="187"/>
        <v>5</v>
      </c>
      <c r="F2601" s="487">
        <f t="shared" ca="1" si="188"/>
        <v>48</v>
      </c>
      <c r="G2601" s="487" t="s">
        <v>7449</v>
      </c>
      <c r="H2601" s="493"/>
      <c r="I2601" s="493"/>
      <c r="J2601" s="493"/>
      <c r="K2601" s="493"/>
      <c r="L2601" s="487"/>
      <c r="M2601" s="487"/>
      <c r="N2601" s="487"/>
      <c r="O2601" s="487"/>
      <c r="P2601" s="487">
        <f t="shared" si="189"/>
        <v>239</v>
      </c>
      <c r="Q2601" s="487" t="b">
        <v>0</v>
      </c>
    </row>
    <row r="2602" spans="1:17" x14ac:dyDescent="0.3">
      <c r="A2602" s="487" t="b">
        <v>0</v>
      </c>
      <c r="B2602" s="487" t="s">
        <v>7769</v>
      </c>
      <c r="C2602" s="502">
        <v>40</v>
      </c>
      <c r="D2602" s="487">
        <f t="shared" si="186"/>
        <v>-240</v>
      </c>
      <c r="E2602" s="487">
        <f t="shared" si="187"/>
        <v>6</v>
      </c>
      <c r="F2602" s="487">
        <f t="shared" ca="1" si="188"/>
        <v>48</v>
      </c>
      <c r="G2602" s="487" t="s">
        <v>7449</v>
      </c>
      <c r="H2602" s="493"/>
      <c r="I2602" s="493"/>
      <c r="J2602" s="493"/>
      <c r="K2602" s="493"/>
      <c r="L2602" s="487"/>
      <c r="M2602" s="487"/>
      <c r="N2602" s="487"/>
      <c r="O2602" s="487"/>
      <c r="P2602" s="487">
        <f t="shared" si="189"/>
        <v>240</v>
      </c>
      <c r="Q2602" s="487" t="b">
        <v>0</v>
      </c>
    </row>
    <row r="2603" spans="1:17" x14ac:dyDescent="0.3">
      <c r="A2603" s="487" t="b">
        <v>0</v>
      </c>
      <c r="B2603" s="487" t="s">
        <v>7770</v>
      </c>
      <c r="C2603" s="502">
        <v>41</v>
      </c>
      <c r="D2603" s="487">
        <f t="shared" si="186"/>
        <v>-239</v>
      </c>
      <c r="E2603" s="487">
        <f t="shared" si="187"/>
        <v>1</v>
      </c>
      <c r="F2603" s="487">
        <f t="shared" ca="1" si="188"/>
        <v>49</v>
      </c>
      <c r="G2603" s="487" t="s">
        <v>7451</v>
      </c>
      <c r="H2603" s="493"/>
      <c r="I2603" s="493"/>
      <c r="J2603" s="493"/>
      <c r="K2603" s="493"/>
      <c r="L2603" s="487"/>
      <c r="M2603" s="487"/>
      <c r="N2603" s="487"/>
      <c r="O2603" s="487"/>
      <c r="P2603" s="487">
        <f t="shared" si="189"/>
        <v>241</v>
      </c>
      <c r="Q2603" s="487" t="b">
        <v>0</v>
      </c>
    </row>
    <row r="2604" spans="1:17" x14ac:dyDescent="0.3">
      <c r="A2604" s="487" t="b">
        <v>0</v>
      </c>
      <c r="B2604" s="487" t="s">
        <v>7771</v>
      </c>
      <c r="C2604" s="502">
        <v>41</v>
      </c>
      <c r="D2604" s="487">
        <f t="shared" si="186"/>
        <v>-238</v>
      </c>
      <c r="E2604" s="487">
        <f t="shared" si="187"/>
        <v>2</v>
      </c>
      <c r="F2604" s="487">
        <f t="shared" ca="1" si="188"/>
        <v>49</v>
      </c>
      <c r="G2604" s="487" t="s">
        <v>7451</v>
      </c>
      <c r="H2604" s="493"/>
      <c r="I2604" s="493"/>
      <c r="J2604" s="493"/>
      <c r="K2604" s="493"/>
      <c r="L2604" s="487"/>
      <c r="M2604" s="487"/>
      <c r="N2604" s="487"/>
      <c r="O2604" s="487"/>
      <c r="P2604" s="487">
        <f t="shared" si="189"/>
        <v>242</v>
      </c>
      <c r="Q2604" s="487" t="b">
        <v>0</v>
      </c>
    </row>
    <row r="2605" spans="1:17" x14ac:dyDescent="0.3">
      <c r="A2605" s="487" t="b">
        <v>0</v>
      </c>
      <c r="B2605" s="487" t="s">
        <v>7772</v>
      </c>
      <c r="C2605" s="502">
        <v>41</v>
      </c>
      <c r="D2605" s="487">
        <f t="shared" si="186"/>
        <v>-237</v>
      </c>
      <c r="E2605" s="487">
        <f t="shared" si="187"/>
        <v>3</v>
      </c>
      <c r="F2605" s="487">
        <f t="shared" ca="1" si="188"/>
        <v>49</v>
      </c>
      <c r="G2605" s="487" t="s">
        <v>7451</v>
      </c>
      <c r="H2605" s="493"/>
      <c r="I2605" s="493"/>
      <c r="J2605" s="493"/>
      <c r="K2605" s="493"/>
      <c r="L2605" s="487"/>
      <c r="M2605" s="487"/>
      <c r="N2605" s="487"/>
      <c r="O2605" s="487"/>
      <c r="P2605" s="487">
        <f t="shared" si="189"/>
        <v>243</v>
      </c>
      <c r="Q2605" s="487" t="b">
        <v>0</v>
      </c>
    </row>
    <row r="2606" spans="1:17" x14ac:dyDescent="0.3">
      <c r="A2606" s="487" t="b">
        <v>0</v>
      </c>
      <c r="B2606" s="487" t="s">
        <v>7773</v>
      </c>
      <c r="C2606" s="502">
        <v>41</v>
      </c>
      <c r="D2606" s="487">
        <f t="shared" si="186"/>
        <v>-236</v>
      </c>
      <c r="E2606" s="487">
        <f t="shared" si="187"/>
        <v>4</v>
      </c>
      <c r="F2606" s="487">
        <f t="shared" ca="1" si="188"/>
        <v>49</v>
      </c>
      <c r="G2606" s="487" t="s">
        <v>7451</v>
      </c>
      <c r="H2606" s="493"/>
      <c r="I2606" s="493"/>
      <c r="J2606" s="493"/>
      <c r="K2606" s="493"/>
      <c r="L2606" s="487"/>
      <c r="M2606" s="487"/>
      <c r="N2606" s="487"/>
      <c r="O2606" s="487"/>
      <c r="P2606" s="487">
        <f t="shared" si="189"/>
        <v>244</v>
      </c>
      <c r="Q2606" s="487" t="b">
        <v>0</v>
      </c>
    </row>
    <row r="2607" spans="1:17" x14ac:dyDescent="0.3">
      <c r="A2607" s="487" t="b">
        <v>0</v>
      </c>
      <c r="B2607" s="487" t="s">
        <v>7774</v>
      </c>
      <c r="C2607" s="502">
        <v>41</v>
      </c>
      <c r="D2607" s="487">
        <f t="shared" si="186"/>
        <v>-235</v>
      </c>
      <c r="E2607" s="487">
        <f t="shared" si="187"/>
        <v>5</v>
      </c>
      <c r="F2607" s="487">
        <f t="shared" ca="1" si="188"/>
        <v>49</v>
      </c>
      <c r="G2607" s="487" t="s">
        <v>7451</v>
      </c>
      <c r="H2607" s="493"/>
      <c r="I2607" s="493"/>
      <c r="J2607" s="493"/>
      <c r="K2607" s="493"/>
      <c r="L2607" s="487"/>
      <c r="M2607" s="487"/>
      <c r="N2607" s="487"/>
      <c r="O2607" s="487"/>
      <c r="P2607" s="487">
        <f t="shared" si="189"/>
        <v>245</v>
      </c>
      <c r="Q2607" s="487" t="b">
        <v>0</v>
      </c>
    </row>
    <row r="2608" spans="1:17" x14ac:dyDescent="0.3">
      <c r="A2608" s="487" t="b">
        <v>0</v>
      </c>
      <c r="B2608" s="487" t="s">
        <v>7775</v>
      </c>
      <c r="C2608" s="502">
        <v>41</v>
      </c>
      <c r="D2608" s="487">
        <f t="shared" si="186"/>
        <v>-234</v>
      </c>
      <c r="E2608" s="487">
        <f t="shared" si="187"/>
        <v>6</v>
      </c>
      <c r="F2608" s="487">
        <f t="shared" ca="1" si="188"/>
        <v>49</v>
      </c>
      <c r="G2608" s="487" t="s">
        <v>7451</v>
      </c>
      <c r="H2608" s="493"/>
      <c r="I2608" s="493"/>
      <c r="J2608" s="493"/>
      <c r="K2608" s="493"/>
      <c r="L2608" s="487"/>
      <c r="M2608" s="487"/>
      <c r="N2608" s="487"/>
      <c r="O2608" s="487"/>
      <c r="P2608" s="487">
        <f t="shared" si="189"/>
        <v>246</v>
      </c>
      <c r="Q2608" s="487" t="b">
        <v>0</v>
      </c>
    </row>
    <row r="2609" spans="1:17" x14ac:dyDescent="0.3">
      <c r="A2609" s="487" t="b">
        <v>0</v>
      </c>
      <c r="B2609" s="487" t="s">
        <v>7776</v>
      </c>
      <c r="C2609" s="502">
        <v>42</v>
      </c>
      <c r="D2609" s="487">
        <f t="shared" si="186"/>
        <v>-233</v>
      </c>
      <c r="E2609" s="487">
        <f t="shared" si="187"/>
        <v>1</v>
      </c>
      <c r="F2609" s="487">
        <f t="shared" ca="1" si="188"/>
        <v>50</v>
      </c>
      <c r="G2609" s="487" t="s">
        <v>7453</v>
      </c>
      <c r="H2609" s="493"/>
      <c r="I2609" s="493"/>
      <c r="J2609" s="493"/>
      <c r="K2609" s="493"/>
      <c r="L2609" s="487"/>
      <c r="M2609" s="487"/>
      <c r="N2609" s="487"/>
      <c r="O2609" s="487"/>
      <c r="P2609" s="487">
        <f t="shared" si="189"/>
        <v>247</v>
      </c>
      <c r="Q2609" s="487" t="b">
        <v>0</v>
      </c>
    </row>
    <row r="2610" spans="1:17" x14ac:dyDescent="0.3">
      <c r="A2610" s="487" t="b">
        <v>0</v>
      </c>
      <c r="B2610" s="487" t="s">
        <v>7777</v>
      </c>
      <c r="C2610" s="502">
        <v>42</v>
      </c>
      <c r="D2610" s="487">
        <f t="shared" si="186"/>
        <v>-232</v>
      </c>
      <c r="E2610" s="487">
        <f t="shared" si="187"/>
        <v>2</v>
      </c>
      <c r="F2610" s="487">
        <f t="shared" ca="1" si="188"/>
        <v>50</v>
      </c>
      <c r="G2610" s="487" t="s">
        <v>7453</v>
      </c>
      <c r="H2610" s="493"/>
      <c r="I2610" s="493"/>
      <c r="J2610" s="493"/>
      <c r="K2610" s="493"/>
      <c r="L2610" s="487"/>
      <c r="M2610" s="487"/>
      <c r="N2610" s="487"/>
      <c r="O2610" s="487"/>
      <c r="P2610" s="487">
        <f t="shared" si="189"/>
        <v>248</v>
      </c>
      <c r="Q2610" s="487" t="b">
        <v>0</v>
      </c>
    </row>
    <row r="2611" spans="1:17" x14ac:dyDescent="0.3">
      <c r="A2611" s="487" t="b">
        <v>0</v>
      </c>
      <c r="B2611" s="487" t="s">
        <v>7778</v>
      </c>
      <c r="C2611" s="502">
        <v>42</v>
      </c>
      <c r="D2611" s="487">
        <f t="shared" si="186"/>
        <v>-231</v>
      </c>
      <c r="E2611" s="487">
        <f t="shared" si="187"/>
        <v>3</v>
      </c>
      <c r="F2611" s="487">
        <f t="shared" ca="1" si="188"/>
        <v>50</v>
      </c>
      <c r="G2611" s="487" t="s">
        <v>7453</v>
      </c>
      <c r="H2611" s="493"/>
      <c r="I2611" s="493"/>
      <c r="J2611" s="493"/>
      <c r="K2611" s="493"/>
      <c r="L2611" s="487"/>
      <c r="M2611" s="487"/>
      <c r="N2611" s="487"/>
      <c r="O2611" s="487"/>
      <c r="P2611" s="487">
        <f t="shared" si="189"/>
        <v>249</v>
      </c>
      <c r="Q2611" s="487" t="b">
        <v>0</v>
      </c>
    </row>
    <row r="2612" spans="1:17" x14ac:dyDescent="0.3">
      <c r="A2612" s="487" t="b">
        <v>0</v>
      </c>
      <c r="B2612" s="487" t="s">
        <v>7779</v>
      </c>
      <c r="C2612" s="502">
        <v>42</v>
      </c>
      <c r="D2612" s="487">
        <f t="shared" si="186"/>
        <v>-230</v>
      </c>
      <c r="E2612" s="487">
        <f t="shared" si="187"/>
        <v>4</v>
      </c>
      <c r="F2612" s="487">
        <f t="shared" ca="1" si="188"/>
        <v>50</v>
      </c>
      <c r="G2612" s="487" t="s">
        <v>7453</v>
      </c>
      <c r="H2612" s="493"/>
      <c r="I2612" s="493"/>
      <c r="J2612" s="493"/>
      <c r="K2612" s="493"/>
      <c r="L2612" s="487"/>
      <c r="M2612" s="487"/>
      <c r="N2612" s="487"/>
      <c r="O2612" s="487"/>
      <c r="P2612" s="487">
        <f t="shared" si="189"/>
        <v>250</v>
      </c>
      <c r="Q2612" s="487" t="b">
        <v>0</v>
      </c>
    </row>
    <row r="2613" spans="1:17" x14ac:dyDescent="0.3">
      <c r="A2613" s="487" t="b">
        <v>0</v>
      </c>
      <c r="B2613" s="487" t="s">
        <v>7780</v>
      </c>
      <c r="C2613" s="502">
        <v>42</v>
      </c>
      <c r="D2613" s="487">
        <f t="shared" si="186"/>
        <v>-229</v>
      </c>
      <c r="E2613" s="487">
        <f t="shared" si="187"/>
        <v>5</v>
      </c>
      <c r="F2613" s="487">
        <f t="shared" ca="1" si="188"/>
        <v>50</v>
      </c>
      <c r="G2613" s="487" t="s">
        <v>7453</v>
      </c>
      <c r="H2613" s="493"/>
      <c r="I2613" s="493"/>
      <c r="J2613" s="493"/>
      <c r="K2613" s="493"/>
      <c r="L2613" s="487"/>
      <c r="M2613" s="487"/>
      <c r="N2613" s="487"/>
      <c r="O2613" s="487"/>
      <c r="P2613" s="487">
        <f t="shared" si="189"/>
        <v>251</v>
      </c>
      <c r="Q2613" s="487" t="b">
        <v>0</v>
      </c>
    </row>
    <row r="2614" spans="1:17" x14ac:dyDescent="0.3">
      <c r="A2614" s="487" t="b">
        <v>0</v>
      </c>
      <c r="B2614" s="487" t="s">
        <v>7781</v>
      </c>
      <c r="C2614" s="502">
        <v>42</v>
      </c>
      <c r="D2614" s="487">
        <f t="shared" si="186"/>
        <v>-228</v>
      </c>
      <c r="E2614" s="487">
        <f t="shared" si="187"/>
        <v>6</v>
      </c>
      <c r="F2614" s="487">
        <f t="shared" ca="1" si="188"/>
        <v>50</v>
      </c>
      <c r="G2614" s="487" t="s">
        <v>7453</v>
      </c>
      <c r="H2614" s="493"/>
      <c r="I2614" s="493"/>
      <c r="J2614" s="493"/>
      <c r="K2614" s="493"/>
      <c r="L2614" s="487"/>
      <c r="M2614" s="487"/>
      <c r="N2614" s="487"/>
      <c r="O2614" s="487"/>
      <c r="P2614" s="487">
        <f t="shared" si="189"/>
        <v>252</v>
      </c>
      <c r="Q2614" s="487" t="b">
        <v>0</v>
      </c>
    </row>
    <row r="2615" spans="1:17" x14ac:dyDescent="0.3">
      <c r="A2615" s="487" t="b">
        <v>0</v>
      </c>
      <c r="B2615" s="487" t="s">
        <v>7782</v>
      </c>
      <c r="C2615" s="502">
        <v>43</v>
      </c>
      <c r="D2615" s="487">
        <f t="shared" si="186"/>
        <v>-227</v>
      </c>
      <c r="E2615" s="487">
        <f t="shared" si="187"/>
        <v>1</v>
      </c>
      <c r="F2615" s="487">
        <f t="shared" ca="1" si="188"/>
        <v>51</v>
      </c>
      <c r="G2615" s="487" t="s">
        <v>7455</v>
      </c>
      <c r="H2615" s="493"/>
      <c r="I2615" s="493"/>
      <c r="J2615" s="493"/>
      <c r="K2615" s="493"/>
      <c r="L2615" s="487"/>
      <c r="M2615" s="487"/>
      <c r="N2615" s="487"/>
      <c r="O2615" s="487"/>
      <c r="P2615" s="487">
        <f t="shared" si="189"/>
        <v>253</v>
      </c>
      <c r="Q2615" s="487" t="b">
        <v>0</v>
      </c>
    </row>
    <row r="2616" spans="1:17" x14ac:dyDescent="0.3">
      <c r="A2616" s="487" t="b">
        <v>0</v>
      </c>
      <c r="B2616" s="487" t="s">
        <v>7783</v>
      </c>
      <c r="C2616" s="502">
        <v>43</v>
      </c>
      <c r="D2616" s="487">
        <f t="shared" si="186"/>
        <v>-226</v>
      </c>
      <c r="E2616" s="487">
        <f t="shared" si="187"/>
        <v>2</v>
      </c>
      <c r="F2616" s="487">
        <f t="shared" ca="1" si="188"/>
        <v>51</v>
      </c>
      <c r="G2616" s="487" t="s">
        <v>7455</v>
      </c>
      <c r="H2616" s="493"/>
      <c r="I2616" s="493"/>
      <c r="J2616" s="493"/>
      <c r="K2616" s="493"/>
      <c r="L2616" s="487"/>
      <c r="M2616" s="487"/>
      <c r="N2616" s="487"/>
      <c r="O2616" s="487"/>
      <c r="P2616" s="487">
        <f t="shared" si="189"/>
        <v>254</v>
      </c>
      <c r="Q2616" s="487" t="b">
        <v>0</v>
      </c>
    </row>
    <row r="2617" spans="1:17" x14ac:dyDescent="0.3">
      <c r="A2617" s="487" t="b">
        <v>0</v>
      </c>
      <c r="B2617" s="487" t="s">
        <v>7784</v>
      </c>
      <c r="C2617" s="502">
        <v>43</v>
      </c>
      <c r="D2617" s="487">
        <f t="shared" si="186"/>
        <v>-225</v>
      </c>
      <c r="E2617" s="487">
        <f t="shared" si="187"/>
        <v>3</v>
      </c>
      <c r="F2617" s="487">
        <f t="shared" ca="1" si="188"/>
        <v>51</v>
      </c>
      <c r="G2617" s="487" t="s">
        <v>7455</v>
      </c>
      <c r="H2617" s="493"/>
      <c r="I2617" s="493"/>
      <c r="J2617" s="493"/>
      <c r="K2617" s="493"/>
      <c r="L2617" s="487"/>
      <c r="M2617" s="487"/>
      <c r="N2617" s="487"/>
      <c r="O2617" s="487"/>
      <c r="P2617" s="487">
        <f t="shared" si="189"/>
        <v>255</v>
      </c>
      <c r="Q2617" s="487" t="b">
        <v>0</v>
      </c>
    </row>
    <row r="2618" spans="1:17" x14ac:dyDescent="0.3">
      <c r="A2618" s="487" t="b">
        <v>0</v>
      </c>
      <c r="B2618" s="487" t="s">
        <v>7785</v>
      </c>
      <c r="C2618" s="502">
        <v>43</v>
      </c>
      <c r="D2618" s="487">
        <f t="shared" si="186"/>
        <v>-224</v>
      </c>
      <c r="E2618" s="487">
        <f t="shared" si="187"/>
        <v>4</v>
      </c>
      <c r="F2618" s="487">
        <f t="shared" ca="1" si="188"/>
        <v>51</v>
      </c>
      <c r="G2618" s="487" t="s">
        <v>7455</v>
      </c>
      <c r="H2618" s="493"/>
      <c r="I2618" s="493"/>
      <c r="J2618" s="493"/>
      <c r="K2618" s="493"/>
      <c r="L2618" s="487"/>
      <c r="M2618" s="487"/>
      <c r="N2618" s="487"/>
      <c r="O2618" s="487"/>
      <c r="P2618" s="487">
        <f t="shared" si="189"/>
        <v>256</v>
      </c>
      <c r="Q2618" s="487" t="b">
        <v>0</v>
      </c>
    </row>
    <row r="2619" spans="1:17" x14ac:dyDescent="0.3">
      <c r="A2619" s="487" t="b">
        <v>0</v>
      </c>
      <c r="B2619" s="487" t="s">
        <v>7786</v>
      </c>
      <c r="C2619" s="502">
        <v>43</v>
      </c>
      <c r="D2619" s="487">
        <f t="shared" ref="D2619:D2682" si="190">D2618+1</f>
        <v>-223</v>
      </c>
      <c r="E2619" s="487">
        <f t="shared" ref="E2619:E2682" si="191">COUNTIF(C2614:C2619,C2619)</f>
        <v>5</v>
      </c>
      <c r="F2619" s="487">
        <f t="shared" ref="F2619:F2682" ca="1" si="192">IF(C2619=1,9,IF(E2618=MAX(E2617:E2619),F2617+1,F2618))</f>
        <v>51</v>
      </c>
      <c r="G2619" s="487" t="s">
        <v>7455</v>
      </c>
      <c r="H2619" s="493"/>
      <c r="I2619" s="493"/>
      <c r="J2619" s="493"/>
      <c r="K2619" s="493"/>
      <c r="L2619" s="487"/>
      <c r="M2619" s="487"/>
      <c r="N2619" s="487"/>
      <c r="O2619" s="487"/>
      <c r="P2619" s="487">
        <f t="shared" ref="P2619:P2682" si="193">IF(NOT(_xlfn.ISFORMULA(I2619)),P2618+1,0)</f>
        <v>257</v>
      </c>
      <c r="Q2619" s="487" t="b">
        <v>0</v>
      </c>
    </row>
    <row r="2620" spans="1:17" x14ac:dyDescent="0.3">
      <c r="A2620" s="487" t="b">
        <v>0</v>
      </c>
      <c r="B2620" s="487" t="s">
        <v>7787</v>
      </c>
      <c r="C2620" s="502">
        <v>43</v>
      </c>
      <c r="D2620" s="487">
        <f t="shared" si="190"/>
        <v>-222</v>
      </c>
      <c r="E2620" s="487">
        <f t="shared" si="191"/>
        <v>6</v>
      </c>
      <c r="F2620" s="487">
        <f t="shared" ca="1" si="192"/>
        <v>51</v>
      </c>
      <c r="G2620" s="487" t="s">
        <v>7455</v>
      </c>
      <c r="H2620" s="493"/>
      <c r="I2620" s="493"/>
      <c r="J2620" s="493"/>
      <c r="K2620" s="493"/>
      <c r="L2620" s="487"/>
      <c r="M2620" s="487"/>
      <c r="N2620" s="487"/>
      <c r="O2620" s="487"/>
      <c r="P2620" s="487">
        <f t="shared" si="193"/>
        <v>258</v>
      </c>
      <c r="Q2620" s="487" t="b">
        <v>0</v>
      </c>
    </row>
    <row r="2621" spans="1:17" x14ac:dyDescent="0.3">
      <c r="A2621" s="487" t="b">
        <v>0</v>
      </c>
      <c r="B2621" s="487" t="s">
        <v>7788</v>
      </c>
      <c r="C2621" s="502">
        <v>44</v>
      </c>
      <c r="D2621" s="487">
        <f t="shared" si="190"/>
        <v>-221</v>
      </c>
      <c r="E2621" s="487">
        <f t="shared" si="191"/>
        <v>1</v>
      </c>
      <c r="F2621" s="487">
        <f t="shared" ca="1" si="192"/>
        <v>52</v>
      </c>
      <c r="G2621" s="487" t="s">
        <v>7457</v>
      </c>
      <c r="H2621" s="493"/>
      <c r="I2621" s="493"/>
      <c r="J2621" s="493"/>
      <c r="K2621" s="493"/>
      <c r="L2621" s="487"/>
      <c r="M2621" s="487"/>
      <c r="N2621" s="487"/>
      <c r="O2621" s="487"/>
      <c r="P2621" s="487">
        <f t="shared" si="193"/>
        <v>259</v>
      </c>
      <c r="Q2621" s="487" t="b">
        <v>0</v>
      </c>
    </row>
    <row r="2622" spans="1:17" x14ac:dyDescent="0.3">
      <c r="A2622" s="487" t="b">
        <v>0</v>
      </c>
      <c r="B2622" s="487" t="s">
        <v>7789</v>
      </c>
      <c r="C2622" s="502">
        <v>44</v>
      </c>
      <c r="D2622" s="487">
        <f t="shared" si="190"/>
        <v>-220</v>
      </c>
      <c r="E2622" s="487">
        <f t="shared" si="191"/>
        <v>2</v>
      </c>
      <c r="F2622" s="487">
        <f t="shared" ca="1" si="192"/>
        <v>52</v>
      </c>
      <c r="G2622" s="487" t="s">
        <v>7457</v>
      </c>
      <c r="H2622" s="493"/>
      <c r="I2622" s="493"/>
      <c r="J2622" s="493"/>
      <c r="K2622" s="493"/>
      <c r="L2622" s="487"/>
      <c r="M2622" s="487"/>
      <c r="N2622" s="487"/>
      <c r="O2622" s="487"/>
      <c r="P2622" s="487">
        <f t="shared" si="193"/>
        <v>260</v>
      </c>
      <c r="Q2622" s="487" t="b">
        <v>0</v>
      </c>
    </row>
    <row r="2623" spans="1:17" x14ac:dyDescent="0.3">
      <c r="A2623" s="487" t="b">
        <v>0</v>
      </c>
      <c r="B2623" s="487" t="s">
        <v>7790</v>
      </c>
      <c r="C2623" s="502">
        <v>44</v>
      </c>
      <c r="D2623" s="487">
        <f t="shared" si="190"/>
        <v>-219</v>
      </c>
      <c r="E2623" s="487">
        <f t="shared" si="191"/>
        <v>3</v>
      </c>
      <c r="F2623" s="487">
        <f t="shared" ca="1" si="192"/>
        <v>52</v>
      </c>
      <c r="G2623" s="487" t="s">
        <v>7457</v>
      </c>
      <c r="H2623" s="493"/>
      <c r="I2623" s="493"/>
      <c r="J2623" s="493"/>
      <c r="K2623" s="493"/>
      <c r="L2623" s="487"/>
      <c r="M2623" s="487"/>
      <c r="N2623" s="487"/>
      <c r="O2623" s="487"/>
      <c r="P2623" s="487">
        <f t="shared" si="193"/>
        <v>261</v>
      </c>
      <c r="Q2623" s="487" t="b">
        <v>0</v>
      </c>
    </row>
    <row r="2624" spans="1:17" x14ac:dyDescent="0.3">
      <c r="A2624" s="487" t="b">
        <v>0</v>
      </c>
      <c r="B2624" s="487" t="s">
        <v>7791</v>
      </c>
      <c r="C2624" s="502">
        <v>44</v>
      </c>
      <c r="D2624" s="487">
        <f t="shared" si="190"/>
        <v>-218</v>
      </c>
      <c r="E2624" s="487">
        <f t="shared" si="191"/>
        <v>4</v>
      </c>
      <c r="F2624" s="487">
        <f t="shared" ca="1" si="192"/>
        <v>52</v>
      </c>
      <c r="G2624" s="487" t="s">
        <v>7457</v>
      </c>
      <c r="H2624" s="493"/>
      <c r="I2624" s="493"/>
      <c r="J2624" s="493"/>
      <c r="K2624" s="493"/>
      <c r="L2624" s="487"/>
      <c r="M2624" s="487"/>
      <c r="N2624" s="487"/>
      <c r="O2624" s="487"/>
      <c r="P2624" s="487">
        <f t="shared" si="193"/>
        <v>262</v>
      </c>
      <c r="Q2624" s="487" t="b">
        <v>0</v>
      </c>
    </row>
    <row r="2625" spans="1:17" x14ac:dyDescent="0.3">
      <c r="A2625" s="487" t="b">
        <v>0</v>
      </c>
      <c r="B2625" s="487" t="s">
        <v>7792</v>
      </c>
      <c r="C2625" s="502">
        <v>44</v>
      </c>
      <c r="D2625" s="487">
        <f t="shared" si="190"/>
        <v>-217</v>
      </c>
      <c r="E2625" s="487">
        <f t="shared" si="191"/>
        <v>5</v>
      </c>
      <c r="F2625" s="487">
        <f t="shared" ca="1" si="192"/>
        <v>52</v>
      </c>
      <c r="G2625" s="487" t="s">
        <v>7457</v>
      </c>
      <c r="H2625" s="493"/>
      <c r="I2625" s="493"/>
      <c r="J2625" s="493"/>
      <c r="K2625" s="493"/>
      <c r="L2625" s="487"/>
      <c r="M2625" s="487"/>
      <c r="N2625" s="487"/>
      <c r="O2625" s="487"/>
      <c r="P2625" s="487">
        <f t="shared" si="193"/>
        <v>263</v>
      </c>
      <c r="Q2625" s="487" t="b">
        <v>0</v>
      </c>
    </row>
    <row r="2626" spans="1:17" x14ac:dyDescent="0.3">
      <c r="A2626" s="487" t="b">
        <v>0</v>
      </c>
      <c r="B2626" s="487" t="s">
        <v>7793</v>
      </c>
      <c r="C2626" s="502">
        <v>44</v>
      </c>
      <c r="D2626" s="487">
        <f t="shared" si="190"/>
        <v>-216</v>
      </c>
      <c r="E2626" s="487">
        <f t="shared" si="191"/>
        <v>6</v>
      </c>
      <c r="F2626" s="487">
        <f t="shared" ca="1" si="192"/>
        <v>52</v>
      </c>
      <c r="G2626" s="487" t="s">
        <v>7457</v>
      </c>
      <c r="H2626" s="493"/>
      <c r="I2626" s="493"/>
      <c r="J2626" s="493"/>
      <c r="K2626" s="493"/>
      <c r="L2626" s="487"/>
      <c r="M2626" s="487"/>
      <c r="N2626" s="487"/>
      <c r="O2626" s="487"/>
      <c r="P2626" s="487">
        <f t="shared" si="193"/>
        <v>264</v>
      </c>
      <c r="Q2626" s="487" t="b">
        <v>0</v>
      </c>
    </row>
    <row r="2627" spans="1:17" x14ac:dyDescent="0.3">
      <c r="A2627" s="487" t="b">
        <v>0</v>
      </c>
      <c r="B2627" s="487" t="s">
        <v>7794</v>
      </c>
      <c r="C2627" s="502">
        <v>45</v>
      </c>
      <c r="D2627" s="487">
        <f t="shared" si="190"/>
        <v>-215</v>
      </c>
      <c r="E2627" s="487">
        <f t="shared" si="191"/>
        <v>1</v>
      </c>
      <c r="F2627" s="487">
        <f t="shared" ca="1" si="192"/>
        <v>53</v>
      </c>
      <c r="G2627" s="487" t="s">
        <v>7459</v>
      </c>
      <c r="H2627" s="493"/>
      <c r="I2627" s="493"/>
      <c r="J2627" s="493"/>
      <c r="K2627" s="493"/>
      <c r="L2627" s="487"/>
      <c r="M2627" s="487"/>
      <c r="N2627" s="487"/>
      <c r="O2627" s="487"/>
      <c r="P2627" s="487">
        <f t="shared" si="193"/>
        <v>265</v>
      </c>
      <c r="Q2627" s="487" t="b">
        <v>0</v>
      </c>
    </row>
    <row r="2628" spans="1:17" x14ac:dyDescent="0.3">
      <c r="A2628" s="487" t="b">
        <v>0</v>
      </c>
      <c r="B2628" s="487" t="s">
        <v>7795</v>
      </c>
      <c r="C2628" s="502">
        <v>45</v>
      </c>
      <c r="D2628" s="487">
        <f t="shared" si="190"/>
        <v>-214</v>
      </c>
      <c r="E2628" s="487">
        <f t="shared" si="191"/>
        <v>2</v>
      </c>
      <c r="F2628" s="487">
        <f t="shared" ca="1" si="192"/>
        <v>53</v>
      </c>
      <c r="G2628" s="487" t="s">
        <v>7459</v>
      </c>
      <c r="H2628" s="493"/>
      <c r="I2628" s="493"/>
      <c r="J2628" s="493"/>
      <c r="K2628" s="493"/>
      <c r="L2628" s="487"/>
      <c r="M2628" s="487"/>
      <c r="N2628" s="487"/>
      <c r="O2628" s="487"/>
      <c r="P2628" s="487">
        <f t="shared" si="193"/>
        <v>266</v>
      </c>
      <c r="Q2628" s="487" t="b">
        <v>0</v>
      </c>
    </row>
    <row r="2629" spans="1:17" x14ac:dyDescent="0.3">
      <c r="A2629" s="487" t="b">
        <v>0</v>
      </c>
      <c r="B2629" s="487" t="s">
        <v>7796</v>
      </c>
      <c r="C2629" s="502">
        <v>45</v>
      </c>
      <c r="D2629" s="487">
        <f t="shared" si="190"/>
        <v>-213</v>
      </c>
      <c r="E2629" s="487">
        <f t="shared" si="191"/>
        <v>3</v>
      </c>
      <c r="F2629" s="487">
        <f t="shared" ca="1" si="192"/>
        <v>53</v>
      </c>
      <c r="G2629" s="487" t="s">
        <v>7459</v>
      </c>
      <c r="H2629" s="493"/>
      <c r="I2629" s="493"/>
      <c r="J2629" s="493"/>
      <c r="K2629" s="493"/>
      <c r="L2629" s="487"/>
      <c r="M2629" s="487"/>
      <c r="N2629" s="487"/>
      <c r="O2629" s="487"/>
      <c r="P2629" s="487">
        <f t="shared" si="193"/>
        <v>267</v>
      </c>
      <c r="Q2629" s="487" t="b">
        <v>0</v>
      </c>
    </row>
    <row r="2630" spans="1:17" x14ac:dyDescent="0.3">
      <c r="A2630" s="487" t="b">
        <v>0</v>
      </c>
      <c r="B2630" s="487" t="s">
        <v>7797</v>
      </c>
      <c r="C2630" s="502">
        <v>45</v>
      </c>
      <c r="D2630" s="487">
        <f t="shared" si="190"/>
        <v>-212</v>
      </c>
      <c r="E2630" s="487">
        <f t="shared" si="191"/>
        <v>4</v>
      </c>
      <c r="F2630" s="487">
        <f t="shared" ca="1" si="192"/>
        <v>53</v>
      </c>
      <c r="G2630" s="487" t="s">
        <v>7459</v>
      </c>
      <c r="H2630" s="493"/>
      <c r="I2630" s="493"/>
      <c r="J2630" s="493"/>
      <c r="K2630" s="493"/>
      <c r="L2630" s="487"/>
      <c r="M2630" s="487"/>
      <c r="N2630" s="487"/>
      <c r="O2630" s="487"/>
      <c r="P2630" s="487">
        <f t="shared" si="193"/>
        <v>268</v>
      </c>
      <c r="Q2630" s="487" t="b">
        <v>0</v>
      </c>
    </row>
    <row r="2631" spans="1:17" x14ac:dyDescent="0.3">
      <c r="A2631" s="487" t="b">
        <v>0</v>
      </c>
      <c r="B2631" s="487" t="s">
        <v>7798</v>
      </c>
      <c r="C2631" s="502">
        <v>45</v>
      </c>
      <c r="D2631" s="487">
        <f t="shared" si="190"/>
        <v>-211</v>
      </c>
      <c r="E2631" s="487">
        <f t="shared" si="191"/>
        <v>5</v>
      </c>
      <c r="F2631" s="487">
        <f t="shared" ca="1" si="192"/>
        <v>53</v>
      </c>
      <c r="G2631" s="487" t="s">
        <v>7459</v>
      </c>
      <c r="H2631" s="493"/>
      <c r="I2631" s="493"/>
      <c r="J2631" s="493"/>
      <c r="K2631" s="493"/>
      <c r="L2631" s="487"/>
      <c r="M2631" s="487"/>
      <c r="N2631" s="487"/>
      <c r="O2631" s="487"/>
      <c r="P2631" s="487">
        <f t="shared" si="193"/>
        <v>269</v>
      </c>
      <c r="Q2631" s="487" t="b">
        <v>0</v>
      </c>
    </row>
    <row r="2632" spans="1:17" x14ac:dyDescent="0.3">
      <c r="A2632" s="487" t="b">
        <v>0</v>
      </c>
      <c r="B2632" s="487" t="s">
        <v>7799</v>
      </c>
      <c r="C2632" s="502">
        <v>45</v>
      </c>
      <c r="D2632" s="487">
        <f t="shared" si="190"/>
        <v>-210</v>
      </c>
      <c r="E2632" s="487">
        <f t="shared" si="191"/>
        <v>6</v>
      </c>
      <c r="F2632" s="487">
        <f t="shared" ca="1" si="192"/>
        <v>53</v>
      </c>
      <c r="G2632" s="487" t="s">
        <v>7459</v>
      </c>
      <c r="H2632" s="493"/>
      <c r="I2632" s="493"/>
      <c r="J2632" s="493"/>
      <c r="K2632" s="493"/>
      <c r="L2632" s="487"/>
      <c r="M2632" s="487"/>
      <c r="N2632" s="487"/>
      <c r="O2632" s="487"/>
      <c r="P2632" s="487">
        <f t="shared" si="193"/>
        <v>270</v>
      </c>
      <c r="Q2632" s="487" t="b">
        <v>0</v>
      </c>
    </row>
    <row r="2633" spans="1:17" x14ac:dyDescent="0.3">
      <c r="A2633" s="487" t="b">
        <v>0</v>
      </c>
      <c r="B2633" s="487" t="s">
        <v>7800</v>
      </c>
      <c r="C2633" s="502">
        <v>46</v>
      </c>
      <c r="D2633" s="487">
        <f t="shared" si="190"/>
        <v>-209</v>
      </c>
      <c r="E2633" s="487">
        <f t="shared" si="191"/>
        <v>1</v>
      </c>
      <c r="F2633" s="487">
        <f t="shared" ca="1" si="192"/>
        <v>54</v>
      </c>
      <c r="G2633" s="487" t="s">
        <v>7461</v>
      </c>
      <c r="H2633" s="493"/>
      <c r="I2633" s="493"/>
      <c r="J2633" s="493"/>
      <c r="K2633" s="493"/>
      <c r="L2633" s="487"/>
      <c r="M2633" s="487"/>
      <c r="N2633" s="487"/>
      <c r="O2633" s="487"/>
      <c r="P2633" s="487">
        <f t="shared" si="193"/>
        <v>271</v>
      </c>
      <c r="Q2633" s="487" t="b">
        <v>0</v>
      </c>
    </row>
    <row r="2634" spans="1:17" x14ac:dyDescent="0.3">
      <c r="A2634" s="487" t="b">
        <v>0</v>
      </c>
      <c r="B2634" s="487" t="s">
        <v>7801</v>
      </c>
      <c r="C2634" s="502">
        <v>46</v>
      </c>
      <c r="D2634" s="487">
        <f t="shared" si="190"/>
        <v>-208</v>
      </c>
      <c r="E2634" s="487">
        <f t="shared" si="191"/>
        <v>2</v>
      </c>
      <c r="F2634" s="487">
        <f t="shared" ca="1" si="192"/>
        <v>54</v>
      </c>
      <c r="G2634" s="487" t="s">
        <v>7461</v>
      </c>
      <c r="H2634" s="493"/>
      <c r="I2634" s="493"/>
      <c r="J2634" s="493"/>
      <c r="K2634" s="493"/>
      <c r="L2634" s="487"/>
      <c r="M2634" s="487"/>
      <c r="N2634" s="487"/>
      <c r="O2634" s="487"/>
      <c r="P2634" s="487">
        <f t="shared" si="193"/>
        <v>272</v>
      </c>
      <c r="Q2634" s="487" t="b">
        <v>0</v>
      </c>
    </row>
    <row r="2635" spans="1:17" x14ac:dyDescent="0.3">
      <c r="A2635" s="487" t="b">
        <v>0</v>
      </c>
      <c r="B2635" s="487" t="s">
        <v>7802</v>
      </c>
      <c r="C2635" s="502">
        <v>46</v>
      </c>
      <c r="D2635" s="487">
        <f t="shared" si="190"/>
        <v>-207</v>
      </c>
      <c r="E2635" s="487">
        <f t="shared" si="191"/>
        <v>3</v>
      </c>
      <c r="F2635" s="487">
        <f t="shared" ca="1" si="192"/>
        <v>54</v>
      </c>
      <c r="G2635" s="487" t="s">
        <v>7461</v>
      </c>
      <c r="H2635" s="493"/>
      <c r="I2635" s="493"/>
      <c r="J2635" s="493"/>
      <c r="K2635" s="493"/>
      <c r="L2635" s="487"/>
      <c r="M2635" s="487"/>
      <c r="N2635" s="487"/>
      <c r="O2635" s="487"/>
      <c r="P2635" s="487">
        <f t="shared" si="193"/>
        <v>273</v>
      </c>
      <c r="Q2635" s="487" t="b">
        <v>0</v>
      </c>
    </row>
    <row r="2636" spans="1:17" x14ac:dyDescent="0.3">
      <c r="A2636" s="487" t="b">
        <v>0</v>
      </c>
      <c r="B2636" s="487" t="s">
        <v>7803</v>
      </c>
      <c r="C2636" s="502">
        <v>46</v>
      </c>
      <c r="D2636" s="487">
        <f t="shared" si="190"/>
        <v>-206</v>
      </c>
      <c r="E2636" s="487">
        <f t="shared" si="191"/>
        <v>4</v>
      </c>
      <c r="F2636" s="487">
        <f t="shared" ca="1" si="192"/>
        <v>54</v>
      </c>
      <c r="G2636" s="487" t="s">
        <v>7461</v>
      </c>
      <c r="H2636" s="493"/>
      <c r="I2636" s="493"/>
      <c r="J2636" s="493"/>
      <c r="K2636" s="493"/>
      <c r="L2636" s="487"/>
      <c r="M2636" s="487"/>
      <c r="N2636" s="487"/>
      <c r="O2636" s="487"/>
      <c r="P2636" s="487">
        <f t="shared" si="193"/>
        <v>274</v>
      </c>
      <c r="Q2636" s="487" t="b">
        <v>0</v>
      </c>
    </row>
    <row r="2637" spans="1:17" x14ac:dyDescent="0.3">
      <c r="A2637" s="487" t="b">
        <v>0</v>
      </c>
      <c r="B2637" s="487" t="s">
        <v>7804</v>
      </c>
      <c r="C2637" s="502">
        <v>46</v>
      </c>
      <c r="D2637" s="487">
        <f t="shared" si="190"/>
        <v>-205</v>
      </c>
      <c r="E2637" s="487">
        <f t="shared" si="191"/>
        <v>5</v>
      </c>
      <c r="F2637" s="487">
        <f t="shared" ca="1" si="192"/>
        <v>54</v>
      </c>
      <c r="G2637" s="487" t="s">
        <v>7461</v>
      </c>
      <c r="H2637" s="493"/>
      <c r="I2637" s="493"/>
      <c r="J2637" s="493"/>
      <c r="K2637" s="493"/>
      <c r="L2637" s="487"/>
      <c r="M2637" s="487"/>
      <c r="N2637" s="487"/>
      <c r="O2637" s="487"/>
      <c r="P2637" s="487">
        <f t="shared" si="193"/>
        <v>275</v>
      </c>
      <c r="Q2637" s="487" t="b">
        <v>0</v>
      </c>
    </row>
    <row r="2638" spans="1:17" x14ac:dyDescent="0.3">
      <c r="A2638" s="487" t="b">
        <v>0</v>
      </c>
      <c r="B2638" s="487" t="s">
        <v>7805</v>
      </c>
      <c r="C2638" s="502">
        <v>46</v>
      </c>
      <c r="D2638" s="487">
        <f t="shared" si="190"/>
        <v>-204</v>
      </c>
      <c r="E2638" s="487">
        <f t="shared" si="191"/>
        <v>6</v>
      </c>
      <c r="F2638" s="487">
        <f t="shared" ca="1" si="192"/>
        <v>54</v>
      </c>
      <c r="G2638" s="487" t="s">
        <v>7461</v>
      </c>
      <c r="H2638" s="493"/>
      <c r="I2638" s="493"/>
      <c r="J2638" s="493"/>
      <c r="K2638" s="493"/>
      <c r="L2638" s="487"/>
      <c r="M2638" s="487"/>
      <c r="N2638" s="487"/>
      <c r="O2638" s="487"/>
      <c r="P2638" s="487">
        <f t="shared" si="193"/>
        <v>276</v>
      </c>
      <c r="Q2638" s="487" t="b">
        <v>0</v>
      </c>
    </row>
    <row r="2639" spans="1:17" x14ac:dyDescent="0.3">
      <c r="A2639" s="487" t="b">
        <v>0</v>
      </c>
      <c r="B2639" s="487" t="s">
        <v>7806</v>
      </c>
      <c r="C2639" s="502">
        <v>47</v>
      </c>
      <c r="D2639" s="487">
        <f t="shared" si="190"/>
        <v>-203</v>
      </c>
      <c r="E2639" s="487">
        <f t="shared" si="191"/>
        <v>1</v>
      </c>
      <c r="F2639" s="487">
        <f t="shared" ca="1" si="192"/>
        <v>55</v>
      </c>
      <c r="G2639" s="487" t="s">
        <v>7463</v>
      </c>
      <c r="H2639" s="493"/>
      <c r="I2639" s="493"/>
      <c r="J2639" s="493"/>
      <c r="K2639" s="493"/>
      <c r="L2639" s="487"/>
      <c r="M2639" s="487"/>
      <c r="N2639" s="487"/>
      <c r="O2639" s="487"/>
      <c r="P2639" s="487">
        <f t="shared" si="193"/>
        <v>277</v>
      </c>
      <c r="Q2639" s="487" t="b">
        <v>0</v>
      </c>
    </row>
    <row r="2640" spans="1:17" x14ac:dyDescent="0.3">
      <c r="A2640" s="487" t="b">
        <v>0</v>
      </c>
      <c r="B2640" s="487" t="s">
        <v>7807</v>
      </c>
      <c r="C2640" s="502">
        <v>47</v>
      </c>
      <c r="D2640" s="487">
        <f t="shared" si="190"/>
        <v>-202</v>
      </c>
      <c r="E2640" s="487">
        <f t="shared" si="191"/>
        <v>2</v>
      </c>
      <c r="F2640" s="487">
        <f t="shared" ca="1" si="192"/>
        <v>55</v>
      </c>
      <c r="G2640" s="487" t="s">
        <v>7463</v>
      </c>
      <c r="H2640" s="493"/>
      <c r="I2640" s="493"/>
      <c r="J2640" s="493"/>
      <c r="K2640" s="493"/>
      <c r="L2640" s="487"/>
      <c r="M2640" s="487"/>
      <c r="N2640" s="487"/>
      <c r="O2640" s="487"/>
      <c r="P2640" s="487">
        <f t="shared" si="193"/>
        <v>278</v>
      </c>
      <c r="Q2640" s="487" t="b">
        <v>0</v>
      </c>
    </row>
    <row r="2641" spans="1:17" x14ac:dyDescent="0.3">
      <c r="A2641" s="487" t="b">
        <v>0</v>
      </c>
      <c r="B2641" s="487" t="s">
        <v>7808</v>
      </c>
      <c r="C2641" s="502">
        <v>47</v>
      </c>
      <c r="D2641" s="487">
        <f t="shared" si="190"/>
        <v>-201</v>
      </c>
      <c r="E2641" s="487">
        <f t="shared" si="191"/>
        <v>3</v>
      </c>
      <c r="F2641" s="487">
        <f t="shared" ca="1" si="192"/>
        <v>55</v>
      </c>
      <c r="G2641" s="487" t="s">
        <v>7463</v>
      </c>
      <c r="H2641" s="493"/>
      <c r="I2641" s="493"/>
      <c r="J2641" s="493"/>
      <c r="K2641" s="493"/>
      <c r="L2641" s="487"/>
      <c r="M2641" s="487"/>
      <c r="N2641" s="487"/>
      <c r="O2641" s="487"/>
      <c r="P2641" s="487">
        <f t="shared" si="193"/>
        <v>279</v>
      </c>
      <c r="Q2641" s="487" t="b">
        <v>0</v>
      </c>
    </row>
    <row r="2642" spans="1:17" x14ac:dyDescent="0.3">
      <c r="A2642" s="487" t="b">
        <v>0</v>
      </c>
      <c r="B2642" s="487" t="s">
        <v>7809</v>
      </c>
      <c r="C2642" s="502">
        <v>47</v>
      </c>
      <c r="D2642" s="487">
        <f t="shared" si="190"/>
        <v>-200</v>
      </c>
      <c r="E2642" s="487">
        <f t="shared" si="191"/>
        <v>4</v>
      </c>
      <c r="F2642" s="487">
        <f t="shared" ca="1" si="192"/>
        <v>55</v>
      </c>
      <c r="G2642" s="487" t="s">
        <v>7463</v>
      </c>
      <c r="H2642" s="493"/>
      <c r="I2642" s="493"/>
      <c r="J2642" s="493"/>
      <c r="K2642" s="493"/>
      <c r="L2642" s="487"/>
      <c r="M2642" s="487"/>
      <c r="N2642" s="487"/>
      <c r="O2642" s="487"/>
      <c r="P2642" s="487">
        <f t="shared" si="193"/>
        <v>280</v>
      </c>
      <c r="Q2642" s="487" t="b">
        <v>0</v>
      </c>
    </row>
    <row r="2643" spans="1:17" x14ac:dyDescent="0.3">
      <c r="A2643" s="487" t="b">
        <v>0</v>
      </c>
      <c r="B2643" s="487" t="s">
        <v>7810</v>
      </c>
      <c r="C2643" s="502">
        <v>47</v>
      </c>
      <c r="D2643" s="487">
        <f t="shared" si="190"/>
        <v>-199</v>
      </c>
      <c r="E2643" s="487">
        <f t="shared" si="191"/>
        <v>5</v>
      </c>
      <c r="F2643" s="487">
        <f t="shared" ca="1" si="192"/>
        <v>55</v>
      </c>
      <c r="G2643" s="487" t="s">
        <v>7463</v>
      </c>
      <c r="H2643" s="493"/>
      <c r="I2643" s="493"/>
      <c r="J2643" s="493"/>
      <c r="K2643" s="493"/>
      <c r="L2643" s="487"/>
      <c r="M2643" s="487"/>
      <c r="N2643" s="487"/>
      <c r="O2643" s="487"/>
      <c r="P2643" s="487">
        <f t="shared" si="193"/>
        <v>281</v>
      </c>
      <c r="Q2643" s="487" t="b">
        <v>0</v>
      </c>
    </row>
    <row r="2644" spans="1:17" x14ac:dyDescent="0.3">
      <c r="A2644" s="487" t="b">
        <v>0</v>
      </c>
      <c r="B2644" s="487" t="s">
        <v>7811</v>
      </c>
      <c r="C2644" s="502">
        <v>47</v>
      </c>
      <c r="D2644" s="487">
        <f t="shared" si="190"/>
        <v>-198</v>
      </c>
      <c r="E2644" s="487">
        <f t="shared" si="191"/>
        <v>6</v>
      </c>
      <c r="F2644" s="487">
        <f t="shared" ca="1" si="192"/>
        <v>55</v>
      </c>
      <c r="G2644" s="487" t="s">
        <v>7463</v>
      </c>
      <c r="H2644" s="493"/>
      <c r="I2644" s="493"/>
      <c r="J2644" s="493"/>
      <c r="K2644" s="493"/>
      <c r="L2644" s="487"/>
      <c r="M2644" s="487"/>
      <c r="N2644" s="487"/>
      <c r="O2644" s="487"/>
      <c r="P2644" s="487">
        <f t="shared" si="193"/>
        <v>282</v>
      </c>
      <c r="Q2644" s="487" t="b">
        <v>0</v>
      </c>
    </row>
    <row r="2645" spans="1:17" x14ac:dyDescent="0.3">
      <c r="A2645" s="487" t="b">
        <v>0</v>
      </c>
      <c r="B2645" s="487" t="s">
        <v>7812</v>
      </c>
      <c r="C2645" s="502">
        <v>48</v>
      </c>
      <c r="D2645" s="487">
        <f t="shared" si="190"/>
        <v>-197</v>
      </c>
      <c r="E2645" s="487">
        <f t="shared" si="191"/>
        <v>1</v>
      </c>
      <c r="F2645" s="487">
        <f t="shared" ca="1" si="192"/>
        <v>56</v>
      </c>
      <c r="G2645" s="487" t="s">
        <v>7465</v>
      </c>
      <c r="H2645" s="493"/>
      <c r="I2645" s="493"/>
      <c r="J2645" s="493"/>
      <c r="K2645" s="493"/>
      <c r="L2645" s="487"/>
      <c r="M2645" s="487"/>
      <c r="N2645" s="487"/>
      <c r="O2645" s="487"/>
      <c r="P2645" s="487">
        <f t="shared" si="193"/>
        <v>283</v>
      </c>
      <c r="Q2645" s="487" t="b">
        <v>0</v>
      </c>
    </row>
    <row r="2646" spans="1:17" x14ac:dyDescent="0.3">
      <c r="A2646" s="487" t="b">
        <v>0</v>
      </c>
      <c r="B2646" s="487" t="s">
        <v>7813</v>
      </c>
      <c r="C2646" s="502">
        <v>48</v>
      </c>
      <c r="D2646" s="487">
        <f t="shared" si="190"/>
        <v>-196</v>
      </c>
      <c r="E2646" s="487">
        <f t="shared" si="191"/>
        <v>2</v>
      </c>
      <c r="F2646" s="487">
        <f t="shared" ca="1" si="192"/>
        <v>56</v>
      </c>
      <c r="G2646" s="487" t="s">
        <v>7465</v>
      </c>
      <c r="H2646" s="493"/>
      <c r="I2646" s="493"/>
      <c r="J2646" s="493"/>
      <c r="K2646" s="493"/>
      <c r="L2646" s="487"/>
      <c r="M2646" s="487"/>
      <c r="N2646" s="487"/>
      <c r="O2646" s="487"/>
      <c r="P2646" s="487">
        <f t="shared" si="193"/>
        <v>284</v>
      </c>
      <c r="Q2646" s="487" t="b">
        <v>0</v>
      </c>
    </row>
    <row r="2647" spans="1:17" x14ac:dyDescent="0.3">
      <c r="A2647" s="487" t="b">
        <v>0</v>
      </c>
      <c r="B2647" s="487" t="s">
        <v>7814</v>
      </c>
      <c r="C2647" s="502">
        <v>48</v>
      </c>
      <c r="D2647" s="487">
        <f t="shared" si="190"/>
        <v>-195</v>
      </c>
      <c r="E2647" s="487">
        <f t="shared" si="191"/>
        <v>3</v>
      </c>
      <c r="F2647" s="487">
        <f t="shared" ca="1" si="192"/>
        <v>56</v>
      </c>
      <c r="G2647" s="487" t="s">
        <v>7465</v>
      </c>
      <c r="H2647" s="493"/>
      <c r="I2647" s="493"/>
      <c r="J2647" s="493"/>
      <c r="K2647" s="493"/>
      <c r="L2647" s="487"/>
      <c r="M2647" s="487"/>
      <c r="N2647" s="487"/>
      <c r="O2647" s="487"/>
      <c r="P2647" s="487">
        <f t="shared" si="193"/>
        <v>285</v>
      </c>
      <c r="Q2647" s="487" t="b">
        <v>0</v>
      </c>
    </row>
    <row r="2648" spans="1:17" x14ac:dyDescent="0.3">
      <c r="A2648" s="487" t="b">
        <v>0</v>
      </c>
      <c r="B2648" s="487" t="s">
        <v>7815</v>
      </c>
      <c r="C2648" s="502">
        <v>48</v>
      </c>
      <c r="D2648" s="487">
        <f t="shared" si="190"/>
        <v>-194</v>
      </c>
      <c r="E2648" s="487">
        <f t="shared" si="191"/>
        <v>4</v>
      </c>
      <c r="F2648" s="487">
        <f t="shared" ca="1" si="192"/>
        <v>56</v>
      </c>
      <c r="G2648" s="487" t="s">
        <v>7465</v>
      </c>
      <c r="H2648" s="493"/>
      <c r="I2648" s="493"/>
      <c r="J2648" s="493"/>
      <c r="K2648" s="493"/>
      <c r="L2648" s="487"/>
      <c r="M2648" s="487"/>
      <c r="N2648" s="487"/>
      <c r="O2648" s="487"/>
      <c r="P2648" s="487">
        <f t="shared" si="193"/>
        <v>286</v>
      </c>
      <c r="Q2648" s="487" t="b">
        <v>0</v>
      </c>
    </row>
    <row r="2649" spans="1:17" x14ac:dyDescent="0.3">
      <c r="A2649" s="487" t="b">
        <v>0</v>
      </c>
      <c r="B2649" s="487" t="s">
        <v>7816</v>
      </c>
      <c r="C2649" s="502">
        <v>48</v>
      </c>
      <c r="D2649" s="487">
        <f t="shared" si="190"/>
        <v>-193</v>
      </c>
      <c r="E2649" s="487">
        <f t="shared" si="191"/>
        <v>5</v>
      </c>
      <c r="F2649" s="487">
        <f t="shared" ca="1" si="192"/>
        <v>56</v>
      </c>
      <c r="G2649" s="487" t="s">
        <v>7465</v>
      </c>
      <c r="H2649" s="493"/>
      <c r="I2649" s="493"/>
      <c r="J2649" s="493"/>
      <c r="K2649" s="493"/>
      <c r="L2649" s="487"/>
      <c r="M2649" s="487"/>
      <c r="N2649" s="487"/>
      <c r="O2649" s="487"/>
      <c r="P2649" s="487">
        <f t="shared" si="193"/>
        <v>287</v>
      </c>
      <c r="Q2649" s="487" t="b">
        <v>0</v>
      </c>
    </row>
    <row r="2650" spans="1:17" x14ac:dyDescent="0.3">
      <c r="A2650" s="487" t="b">
        <v>0</v>
      </c>
      <c r="B2650" s="487" t="s">
        <v>7817</v>
      </c>
      <c r="C2650" s="502">
        <v>48</v>
      </c>
      <c r="D2650" s="487">
        <f t="shared" si="190"/>
        <v>-192</v>
      </c>
      <c r="E2650" s="487">
        <f t="shared" si="191"/>
        <v>6</v>
      </c>
      <c r="F2650" s="487">
        <f t="shared" ca="1" si="192"/>
        <v>56</v>
      </c>
      <c r="G2650" s="487" t="s">
        <v>7465</v>
      </c>
      <c r="H2650" s="493"/>
      <c r="I2650" s="493"/>
      <c r="J2650" s="493"/>
      <c r="K2650" s="493"/>
      <c r="L2650" s="487"/>
      <c r="M2650" s="487"/>
      <c r="N2650" s="487"/>
      <c r="O2650" s="487"/>
      <c r="P2650" s="487">
        <f t="shared" si="193"/>
        <v>288</v>
      </c>
      <c r="Q2650" s="487" t="b">
        <v>0</v>
      </c>
    </row>
    <row r="2651" spans="1:17" x14ac:dyDescent="0.3">
      <c r="A2651" s="487" t="b">
        <v>0</v>
      </c>
      <c r="B2651" s="487" t="s">
        <v>7818</v>
      </c>
      <c r="C2651" s="502">
        <v>49</v>
      </c>
      <c r="D2651" s="487">
        <f t="shared" si="190"/>
        <v>-191</v>
      </c>
      <c r="E2651" s="487">
        <f t="shared" si="191"/>
        <v>1</v>
      </c>
      <c r="F2651" s="487">
        <f t="shared" ca="1" si="192"/>
        <v>57</v>
      </c>
      <c r="G2651" s="487" t="s">
        <v>7467</v>
      </c>
      <c r="H2651" s="493"/>
      <c r="I2651" s="493"/>
      <c r="J2651" s="493"/>
      <c r="K2651" s="493"/>
      <c r="L2651" s="487"/>
      <c r="M2651" s="487"/>
      <c r="N2651" s="487"/>
      <c r="O2651" s="487"/>
      <c r="P2651" s="487">
        <f t="shared" si="193"/>
        <v>289</v>
      </c>
      <c r="Q2651" s="487" t="b">
        <v>0</v>
      </c>
    </row>
    <row r="2652" spans="1:17" x14ac:dyDescent="0.3">
      <c r="A2652" s="487" t="b">
        <v>0</v>
      </c>
      <c r="B2652" s="487" t="s">
        <v>7819</v>
      </c>
      <c r="C2652" s="502">
        <v>49</v>
      </c>
      <c r="D2652" s="487">
        <f t="shared" si="190"/>
        <v>-190</v>
      </c>
      <c r="E2652" s="487">
        <f t="shared" si="191"/>
        <v>2</v>
      </c>
      <c r="F2652" s="487">
        <f t="shared" ca="1" si="192"/>
        <v>57</v>
      </c>
      <c r="G2652" s="487" t="s">
        <v>7467</v>
      </c>
      <c r="H2652" s="493"/>
      <c r="I2652" s="493"/>
      <c r="J2652" s="493"/>
      <c r="K2652" s="493"/>
      <c r="L2652" s="487"/>
      <c r="M2652" s="487"/>
      <c r="N2652" s="487"/>
      <c r="O2652" s="487"/>
      <c r="P2652" s="487">
        <f t="shared" si="193"/>
        <v>290</v>
      </c>
      <c r="Q2652" s="487" t="b">
        <v>0</v>
      </c>
    </row>
    <row r="2653" spans="1:17" x14ac:dyDescent="0.3">
      <c r="A2653" s="487" t="b">
        <v>0</v>
      </c>
      <c r="B2653" s="487" t="s">
        <v>7820</v>
      </c>
      <c r="C2653" s="502">
        <v>49</v>
      </c>
      <c r="D2653" s="487">
        <f t="shared" si="190"/>
        <v>-189</v>
      </c>
      <c r="E2653" s="487">
        <f t="shared" si="191"/>
        <v>3</v>
      </c>
      <c r="F2653" s="487">
        <f t="shared" ca="1" si="192"/>
        <v>57</v>
      </c>
      <c r="G2653" s="487" t="s">
        <v>7467</v>
      </c>
      <c r="H2653" s="493"/>
      <c r="I2653" s="493"/>
      <c r="J2653" s="493"/>
      <c r="K2653" s="493"/>
      <c r="L2653" s="487"/>
      <c r="M2653" s="487"/>
      <c r="N2653" s="487"/>
      <c r="O2653" s="487"/>
      <c r="P2653" s="487">
        <f t="shared" si="193"/>
        <v>291</v>
      </c>
      <c r="Q2653" s="487" t="b">
        <v>0</v>
      </c>
    </row>
    <row r="2654" spans="1:17" x14ac:dyDescent="0.3">
      <c r="A2654" s="487" t="b">
        <v>0</v>
      </c>
      <c r="B2654" s="487" t="s">
        <v>7821</v>
      </c>
      <c r="C2654" s="502">
        <v>49</v>
      </c>
      <c r="D2654" s="487">
        <f t="shared" si="190"/>
        <v>-188</v>
      </c>
      <c r="E2654" s="487">
        <f t="shared" si="191"/>
        <v>4</v>
      </c>
      <c r="F2654" s="487">
        <f t="shared" ca="1" si="192"/>
        <v>57</v>
      </c>
      <c r="G2654" s="487" t="s">
        <v>7467</v>
      </c>
      <c r="H2654" s="493"/>
      <c r="I2654" s="493"/>
      <c r="J2654" s="493"/>
      <c r="K2654" s="493"/>
      <c r="L2654" s="487"/>
      <c r="M2654" s="487"/>
      <c r="N2654" s="487"/>
      <c r="O2654" s="487"/>
      <c r="P2654" s="487">
        <f t="shared" si="193"/>
        <v>292</v>
      </c>
      <c r="Q2654" s="487" t="b">
        <v>0</v>
      </c>
    </row>
    <row r="2655" spans="1:17" x14ac:dyDescent="0.3">
      <c r="A2655" s="487" t="b">
        <v>0</v>
      </c>
      <c r="B2655" s="487" t="s">
        <v>7822</v>
      </c>
      <c r="C2655" s="502">
        <v>49</v>
      </c>
      <c r="D2655" s="487">
        <f t="shared" si="190"/>
        <v>-187</v>
      </c>
      <c r="E2655" s="487">
        <f t="shared" si="191"/>
        <v>5</v>
      </c>
      <c r="F2655" s="487">
        <f t="shared" ca="1" si="192"/>
        <v>57</v>
      </c>
      <c r="G2655" s="487" t="s">
        <v>7467</v>
      </c>
      <c r="H2655" s="493"/>
      <c r="I2655" s="493"/>
      <c r="J2655" s="493"/>
      <c r="K2655" s="493"/>
      <c r="L2655" s="487"/>
      <c r="M2655" s="487"/>
      <c r="N2655" s="487"/>
      <c r="O2655" s="487"/>
      <c r="P2655" s="487">
        <f t="shared" si="193"/>
        <v>293</v>
      </c>
      <c r="Q2655" s="487" t="b">
        <v>0</v>
      </c>
    </row>
    <row r="2656" spans="1:17" x14ac:dyDescent="0.3">
      <c r="A2656" s="487" t="b">
        <v>0</v>
      </c>
      <c r="B2656" s="487" t="s">
        <v>7823</v>
      </c>
      <c r="C2656" s="502">
        <v>49</v>
      </c>
      <c r="D2656" s="487">
        <f t="shared" si="190"/>
        <v>-186</v>
      </c>
      <c r="E2656" s="487">
        <f t="shared" si="191"/>
        <v>6</v>
      </c>
      <c r="F2656" s="487">
        <f t="shared" ca="1" si="192"/>
        <v>57</v>
      </c>
      <c r="G2656" s="487" t="s">
        <v>7467</v>
      </c>
      <c r="H2656" s="493"/>
      <c r="I2656" s="493"/>
      <c r="J2656" s="493"/>
      <c r="K2656" s="493"/>
      <c r="L2656" s="487"/>
      <c r="M2656" s="487"/>
      <c r="N2656" s="487"/>
      <c r="O2656" s="487"/>
      <c r="P2656" s="487">
        <f t="shared" si="193"/>
        <v>294</v>
      </c>
      <c r="Q2656" s="487" t="b">
        <v>0</v>
      </c>
    </row>
    <row r="2657" spans="1:17" x14ac:dyDescent="0.3">
      <c r="A2657" s="487" t="b">
        <v>0</v>
      </c>
      <c r="B2657" s="487" t="s">
        <v>7824</v>
      </c>
      <c r="C2657" s="502">
        <v>50</v>
      </c>
      <c r="D2657" s="487">
        <f t="shared" si="190"/>
        <v>-185</v>
      </c>
      <c r="E2657" s="487">
        <f t="shared" si="191"/>
        <v>1</v>
      </c>
      <c r="F2657" s="487">
        <f t="shared" ca="1" si="192"/>
        <v>58</v>
      </c>
      <c r="G2657" s="487" t="s">
        <v>7469</v>
      </c>
      <c r="H2657" s="493"/>
      <c r="I2657" s="493"/>
      <c r="J2657" s="493"/>
      <c r="K2657" s="493"/>
      <c r="L2657" s="487"/>
      <c r="M2657" s="487"/>
      <c r="N2657" s="487"/>
      <c r="O2657" s="487"/>
      <c r="P2657" s="487">
        <f t="shared" si="193"/>
        <v>295</v>
      </c>
      <c r="Q2657" s="487" t="b">
        <v>0</v>
      </c>
    </row>
    <row r="2658" spans="1:17" x14ac:dyDescent="0.3">
      <c r="A2658" s="487" t="b">
        <v>0</v>
      </c>
      <c r="B2658" s="487" t="s">
        <v>7825</v>
      </c>
      <c r="C2658" s="502">
        <v>50</v>
      </c>
      <c r="D2658" s="487">
        <f t="shared" si="190"/>
        <v>-184</v>
      </c>
      <c r="E2658" s="487">
        <f t="shared" si="191"/>
        <v>2</v>
      </c>
      <c r="F2658" s="487">
        <f t="shared" ca="1" si="192"/>
        <v>58</v>
      </c>
      <c r="G2658" s="487" t="s">
        <v>7469</v>
      </c>
      <c r="H2658" s="493"/>
      <c r="I2658" s="493"/>
      <c r="J2658" s="493"/>
      <c r="K2658" s="493"/>
      <c r="L2658" s="487"/>
      <c r="M2658" s="487"/>
      <c r="N2658" s="487"/>
      <c r="O2658" s="487"/>
      <c r="P2658" s="487">
        <f t="shared" si="193"/>
        <v>296</v>
      </c>
      <c r="Q2658" s="487" t="b">
        <v>0</v>
      </c>
    </row>
    <row r="2659" spans="1:17" x14ac:dyDescent="0.3">
      <c r="A2659" s="487" t="b">
        <v>0</v>
      </c>
      <c r="B2659" s="487" t="s">
        <v>7826</v>
      </c>
      <c r="C2659" s="502">
        <v>50</v>
      </c>
      <c r="D2659" s="487">
        <f t="shared" si="190"/>
        <v>-183</v>
      </c>
      <c r="E2659" s="487">
        <f t="shared" si="191"/>
        <v>3</v>
      </c>
      <c r="F2659" s="487">
        <f t="shared" ca="1" si="192"/>
        <v>58</v>
      </c>
      <c r="G2659" s="487" t="s">
        <v>7469</v>
      </c>
      <c r="H2659" s="493"/>
      <c r="I2659" s="493"/>
      <c r="J2659" s="493"/>
      <c r="K2659" s="493"/>
      <c r="L2659" s="487"/>
      <c r="M2659" s="487"/>
      <c r="N2659" s="487"/>
      <c r="O2659" s="487"/>
      <c r="P2659" s="487">
        <f t="shared" si="193"/>
        <v>297</v>
      </c>
      <c r="Q2659" s="487" t="b">
        <v>0</v>
      </c>
    </row>
    <row r="2660" spans="1:17" x14ac:dyDescent="0.3">
      <c r="A2660" s="487" t="b">
        <v>0</v>
      </c>
      <c r="B2660" s="487" t="s">
        <v>7827</v>
      </c>
      <c r="C2660" s="502">
        <v>50</v>
      </c>
      <c r="D2660" s="487">
        <f t="shared" si="190"/>
        <v>-182</v>
      </c>
      <c r="E2660" s="487">
        <f t="shared" si="191"/>
        <v>4</v>
      </c>
      <c r="F2660" s="487">
        <f t="shared" ca="1" si="192"/>
        <v>58</v>
      </c>
      <c r="G2660" s="487" t="s">
        <v>7469</v>
      </c>
      <c r="H2660" s="493"/>
      <c r="I2660" s="493"/>
      <c r="J2660" s="493"/>
      <c r="K2660" s="493"/>
      <c r="L2660" s="487"/>
      <c r="M2660" s="487"/>
      <c r="N2660" s="487"/>
      <c r="O2660" s="487"/>
      <c r="P2660" s="487">
        <f t="shared" si="193"/>
        <v>298</v>
      </c>
      <c r="Q2660" s="487" t="b">
        <v>0</v>
      </c>
    </row>
    <row r="2661" spans="1:17" x14ac:dyDescent="0.3">
      <c r="A2661" s="487" t="b">
        <v>0</v>
      </c>
      <c r="B2661" s="487" t="s">
        <v>7828</v>
      </c>
      <c r="C2661" s="502">
        <v>50</v>
      </c>
      <c r="D2661" s="487">
        <f t="shared" si="190"/>
        <v>-181</v>
      </c>
      <c r="E2661" s="487">
        <f t="shared" si="191"/>
        <v>5</v>
      </c>
      <c r="F2661" s="487">
        <f t="shared" ca="1" si="192"/>
        <v>58</v>
      </c>
      <c r="G2661" s="487" t="s">
        <v>7469</v>
      </c>
      <c r="H2661" s="493"/>
      <c r="I2661" s="493"/>
      <c r="J2661" s="493"/>
      <c r="K2661" s="493"/>
      <c r="L2661" s="487"/>
      <c r="M2661" s="487"/>
      <c r="N2661" s="487"/>
      <c r="O2661" s="487"/>
      <c r="P2661" s="487">
        <f t="shared" si="193"/>
        <v>299</v>
      </c>
      <c r="Q2661" s="487" t="b">
        <v>0</v>
      </c>
    </row>
    <row r="2662" spans="1:17" x14ac:dyDescent="0.3">
      <c r="A2662" s="487" t="b">
        <v>0</v>
      </c>
      <c r="B2662" s="487" t="s">
        <v>7829</v>
      </c>
      <c r="C2662" s="502">
        <v>50</v>
      </c>
      <c r="D2662" s="487">
        <f t="shared" si="190"/>
        <v>-180</v>
      </c>
      <c r="E2662" s="487">
        <f t="shared" si="191"/>
        <v>6</v>
      </c>
      <c r="F2662" s="487">
        <f t="shared" ca="1" si="192"/>
        <v>58</v>
      </c>
      <c r="G2662" s="487" t="s">
        <v>7469</v>
      </c>
      <c r="H2662" s="493"/>
      <c r="I2662" s="493"/>
      <c r="J2662" s="493"/>
      <c r="K2662" s="493"/>
      <c r="L2662" s="487"/>
      <c r="M2662" s="487"/>
      <c r="N2662" s="487"/>
      <c r="O2662" s="487"/>
      <c r="P2662" s="487">
        <f t="shared" si="193"/>
        <v>300</v>
      </c>
      <c r="Q2662" s="487" t="b">
        <v>0</v>
      </c>
    </row>
    <row r="2663" spans="1:17" x14ac:dyDescent="0.3">
      <c r="A2663" s="487" t="b">
        <v>0</v>
      </c>
      <c r="B2663" s="487" t="s">
        <v>7830</v>
      </c>
      <c r="C2663" s="502">
        <v>51</v>
      </c>
      <c r="D2663" s="487">
        <f t="shared" si="190"/>
        <v>-179</v>
      </c>
      <c r="E2663" s="487">
        <f t="shared" si="191"/>
        <v>1</v>
      </c>
      <c r="F2663" s="487">
        <f t="shared" ca="1" si="192"/>
        <v>59</v>
      </c>
      <c r="G2663" s="487" t="s">
        <v>7471</v>
      </c>
      <c r="H2663" s="493"/>
      <c r="I2663" s="493"/>
      <c r="J2663" s="493"/>
      <c r="K2663" s="493"/>
      <c r="L2663" s="487"/>
      <c r="M2663" s="487"/>
      <c r="N2663" s="487"/>
      <c r="O2663" s="487"/>
      <c r="P2663" s="487">
        <f t="shared" si="193"/>
        <v>301</v>
      </c>
      <c r="Q2663" s="487" t="b">
        <v>0</v>
      </c>
    </row>
    <row r="2664" spans="1:17" x14ac:dyDescent="0.3">
      <c r="A2664" s="487" t="b">
        <v>0</v>
      </c>
      <c r="B2664" s="487" t="s">
        <v>7831</v>
      </c>
      <c r="C2664" s="502">
        <v>51</v>
      </c>
      <c r="D2664" s="487">
        <f t="shared" si="190"/>
        <v>-178</v>
      </c>
      <c r="E2664" s="487">
        <f t="shared" si="191"/>
        <v>2</v>
      </c>
      <c r="F2664" s="487">
        <f t="shared" ca="1" si="192"/>
        <v>59</v>
      </c>
      <c r="G2664" s="487" t="s">
        <v>7471</v>
      </c>
      <c r="H2664" s="493"/>
      <c r="I2664" s="493"/>
      <c r="J2664" s="493"/>
      <c r="K2664" s="493"/>
      <c r="L2664" s="487"/>
      <c r="M2664" s="487"/>
      <c r="N2664" s="487"/>
      <c r="O2664" s="487"/>
      <c r="P2664" s="487">
        <f t="shared" si="193"/>
        <v>302</v>
      </c>
      <c r="Q2664" s="487" t="b">
        <v>0</v>
      </c>
    </row>
    <row r="2665" spans="1:17" x14ac:dyDescent="0.3">
      <c r="A2665" s="487" t="b">
        <v>0</v>
      </c>
      <c r="B2665" s="487" t="s">
        <v>7832</v>
      </c>
      <c r="C2665" s="502">
        <v>51</v>
      </c>
      <c r="D2665" s="487">
        <f t="shared" si="190"/>
        <v>-177</v>
      </c>
      <c r="E2665" s="487">
        <f t="shared" si="191"/>
        <v>3</v>
      </c>
      <c r="F2665" s="487">
        <f t="shared" ca="1" si="192"/>
        <v>59</v>
      </c>
      <c r="G2665" s="487" t="s">
        <v>7471</v>
      </c>
      <c r="H2665" s="493"/>
      <c r="I2665" s="493"/>
      <c r="J2665" s="493"/>
      <c r="K2665" s="493"/>
      <c r="L2665" s="487"/>
      <c r="M2665" s="487"/>
      <c r="N2665" s="487"/>
      <c r="O2665" s="487"/>
      <c r="P2665" s="487">
        <f t="shared" si="193"/>
        <v>303</v>
      </c>
      <c r="Q2665" s="487" t="b">
        <v>0</v>
      </c>
    </row>
    <row r="2666" spans="1:17" x14ac:dyDescent="0.3">
      <c r="A2666" s="487" t="b">
        <v>0</v>
      </c>
      <c r="B2666" s="487" t="s">
        <v>7833</v>
      </c>
      <c r="C2666" s="502">
        <v>51</v>
      </c>
      <c r="D2666" s="487">
        <f t="shared" si="190"/>
        <v>-176</v>
      </c>
      <c r="E2666" s="487">
        <f t="shared" si="191"/>
        <v>4</v>
      </c>
      <c r="F2666" s="487">
        <f t="shared" ca="1" si="192"/>
        <v>59</v>
      </c>
      <c r="G2666" s="487" t="s">
        <v>7471</v>
      </c>
      <c r="H2666" s="493"/>
      <c r="I2666" s="493"/>
      <c r="J2666" s="493"/>
      <c r="K2666" s="493"/>
      <c r="L2666" s="487"/>
      <c r="M2666" s="487"/>
      <c r="N2666" s="487"/>
      <c r="O2666" s="487"/>
      <c r="P2666" s="487">
        <f t="shared" si="193"/>
        <v>304</v>
      </c>
      <c r="Q2666" s="487" t="b">
        <v>0</v>
      </c>
    </row>
    <row r="2667" spans="1:17" x14ac:dyDescent="0.3">
      <c r="A2667" s="487" t="b">
        <v>0</v>
      </c>
      <c r="B2667" s="487" t="s">
        <v>7834</v>
      </c>
      <c r="C2667" s="502">
        <v>51</v>
      </c>
      <c r="D2667" s="487">
        <f t="shared" si="190"/>
        <v>-175</v>
      </c>
      <c r="E2667" s="487">
        <f t="shared" si="191"/>
        <v>5</v>
      </c>
      <c r="F2667" s="487">
        <f t="shared" ca="1" si="192"/>
        <v>59</v>
      </c>
      <c r="G2667" s="487" t="s">
        <v>7471</v>
      </c>
      <c r="H2667" s="493"/>
      <c r="I2667" s="493"/>
      <c r="J2667" s="493"/>
      <c r="K2667" s="493"/>
      <c r="L2667" s="487"/>
      <c r="M2667" s="487"/>
      <c r="N2667" s="487"/>
      <c r="O2667" s="487"/>
      <c r="P2667" s="487">
        <f t="shared" si="193"/>
        <v>305</v>
      </c>
      <c r="Q2667" s="487" t="b">
        <v>0</v>
      </c>
    </row>
    <row r="2668" spans="1:17" x14ac:dyDescent="0.3">
      <c r="A2668" s="487" t="b">
        <v>0</v>
      </c>
      <c r="B2668" s="487" t="s">
        <v>7835</v>
      </c>
      <c r="C2668" s="502">
        <v>51</v>
      </c>
      <c r="D2668" s="487">
        <f t="shared" si="190"/>
        <v>-174</v>
      </c>
      <c r="E2668" s="487">
        <f t="shared" si="191"/>
        <v>6</v>
      </c>
      <c r="F2668" s="487">
        <f t="shared" ca="1" si="192"/>
        <v>59</v>
      </c>
      <c r="G2668" s="487" t="s">
        <v>7471</v>
      </c>
      <c r="H2668" s="493"/>
      <c r="I2668" s="493"/>
      <c r="J2668" s="493"/>
      <c r="K2668" s="493"/>
      <c r="L2668" s="487"/>
      <c r="M2668" s="487"/>
      <c r="N2668" s="487"/>
      <c r="O2668" s="487"/>
      <c r="P2668" s="487">
        <f t="shared" si="193"/>
        <v>306</v>
      </c>
      <c r="Q2668" s="487" t="b">
        <v>0</v>
      </c>
    </row>
    <row r="2669" spans="1:17" x14ac:dyDescent="0.3">
      <c r="A2669" s="487" t="b">
        <v>0</v>
      </c>
      <c r="B2669" s="487" t="s">
        <v>7836</v>
      </c>
      <c r="C2669" s="502">
        <v>52</v>
      </c>
      <c r="D2669" s="487">
        <f t="shared" si="190"/>
        <v>-173</v>
      </c>
      <c r="E2669" s="487">
        <f t="shared" si="191"/>
        <v>1</v>
      </c>
      <c r="F2669" s="487">
        <f t="shared" ca="1" si="192"/>
        <v>60</v>
      </c>
      <c r="G2669" s="487" t="s">
        <v>7473</v>
      </c>
      <c r="H2669" s="493"/>
      <c r="I2669" s="493"/>
      <c r="J2669" s="493"/>
      <c r="K2669" s="493"/>
      <c r="L2669" s="487"/>
      <c r="M2669" s="487"/>
      <c r="N2669" s="487"/>
      <c r="O2669" s="487"/>
      <c r="P2669" s="487">
        <f t="shared" si="193"/>
        <v>307</v>
      </c>
      <c r="Q2669" s="487" t="b">
        <v>0</v>
      </c>
    </row>
    <row r="2670" spans="1:17" x14ac:dyDescent="0.3">
      <c r="A2670" s="487" t="b">
        <v>0</v>
      </c>
      <c r="B2670" s="487" t="s">
        <v>7837</v>
      </c>
      <c r="C2670" s="502">
        <v>52</v>
      </c>
      <c r="D2670" s="487">
        <f t="shared" si="190"/>
        <v>-172</v>
      </c>
      <c r="E2670" s="487">
        <f t="shared" si="191"/>
        <v>2</v>
      </c>
      <c r="F2670" s="487">
        <f t="shared" ca="1" si="192"/>
        <v>60</v>
      </c>
      <c r="G2670" s="487" t="s">
        <v>7473</v>
      </c>
      <c r="H2670" s="493"/>
      <c r="I2670" s="493"/>
      <c r="J2670" s="493"/>
      <c r="K2670" s="493"/>
      <c r="L2670" s="487"/>
      <c r="M2670" s="487"/>
      <c r="N2670" s="487"/>
      <c r="O2670" s="487"/>
      <c r="P2670" s="487">
        <f t="shared" si="193"/>
        <v>308</v>
      </c>
      <c r="Q2670" s="487" t="b">
        <v>0</v>
      </c>
    </row>
    <row r="2671" spans="1:17" x14ac:dyDescent="0.3">
      <c r="A2671" s="487" t="b">
        <v>0</v>
      </c>
      <c r="B2671" s="487" t="s">
        <v>7838</v>
      </c>
      <c r="C2671" s="502">
        <v>52</v>
      </c>
      <c r="D2671" s="487">
        <f t="shared" si="190"/>
        <v>-171</v>
      </c>
      <c r="E2671" s="487">
        <f t="shared" si="191"/>
        <v>3</v>
      </c>
      <c r="F2671" s="487">
        <f t="shared" ca="1" si="192"/>
        <v>60</v>
      </c>
      <c r="G2671" s="487" t="s">
        <v>7473</v>
      </c>
      <c r="H2671" s="493"/>
      <c r="I2671" s="493"/>
      <c r="J2671" s="493"/>
      <c r="K2671" s="493"/>
      <c r="L2671" s="487"/>
      <c r="M2671" s="487"/>
      <c r="N2671" s="487"/>
      <c r="O2671" s="487"/>
      <c r="P2671" s="487">
        <f t="shared" si="193"/>
        <v>309</v>
      </c>
      <c r="Q2671" s="487" t="b">
        <v>0</v>
      </c>
    </row>
    <row r="2672" spans="1:17" x14ac:dyDescent="0.3">
      <c r="A2672" s="487" t="b">
        <v>0</v>
      </c>
      <c r="B2672" s="487" t="s">
        <v>7839</v>
      </c>
      <c r="C2672" s="502">
        <v>52</v>
      </c>
      <c r="D2672" s="487">
        <f t="shared" si="190"/>
        <v>-170</v>
      </c>
      <c r="E2672" s="487">
        <f t="shared" si="191"/>
        <v>4</v>
      </c>
      <c r="F2672" s="487">
        <f t="shared" ca="1" si="192"/>
        <v>60</v>
      </c>
      <c r="G2672" s="487" t="s">
        <v>7473</v>
      </c>
      <c r="H2672" s="493"/>
      <c r="I2672" s="493"/>
      <c r="J2672" s="493"/>
      <c r="K2672" s="493"/>
      <c r="L2672" s="487"/>
      <c r="M2672" s="487"/>
      <c r="N2672" s="487"/>
      <c r="O2672" s="487"/>
      <c r="P2672" s="487">
        <f t="shared" si="193"/>
        <v>310</v>
      </c>
      <c r="Q2672" s="487" t="b">
        <v>0</v>
      </c>
    </row>
    <row r="2673" spans="1:17" x14ac:dyDescent="0.3">
      <c r="A2673" s="487" t="b">
        <v>0</v>
      </c>
      <c r="B2673" s="487" t="s">
        <v>7840</v>
      </c>
      <c r="C2673" s="502">
        <v>52</v>
      </c>
      <c r="D2673" s="487">
        <f t="shared" si="190"/>
        <v>-169</v>
      </c>
      <c r="E2673" s="487">
        <f t="shared" si="191"/>
        <v>5</v>
      </c>
      <c r="F2673" s="487">
        <f t="shared" ca="1" si="192"/>
        <v>60</v>
      </c>
      <c r="G2673" s="487" t="s">
        <v>7473</v>
      </c>
      <c r="H2673" s="493"/>
      <c r="I2673" s="493"/>
      <c r="J2673" s="493"/>
      <c r="K2673" s="493"/>
      <c r="L2673" s="487"/>
      <c r="M2673" s="487"/>
      <c r="N2673" s="487"/>
      <c r="O2673" s="487"/>
      <c r="P2673" s="487">
        <f t="shared" si="193"/>
        <v>311</v>
      </c>
      <c r="Q2673" s="487" t="b">
        <v>0</v>
      </c>
    </row>
    <row r="2674" spans="1:17" x14ac:dyDescent="0.3">
      <c r="A2674" s="487" t="b">
        <v>0</v>
      </c>
      <c r="B2674" s="487" t="s">
        <v>7841</v>
      </c>
      <c r="C2674" s="502">
        <v>52</v>
      </c>
      <c r="D2674" s="487">
        <f t="shared" si="190"/>
        <v>-168</v>
      </c>
      <c r="E2674" s="487">
        <f t="shared" si="191"/>
        <v>6</v>
      </c>
      <c r="F2674" s="487">
        <f t="shared" ca="1" si="192"/>
        <v>60</v>
      </c>
      <c r="G2674" s="487" t="s">
        <v>7473</v>
      </c>
      <c r="H2674" s="493"/>
      <c r="I2674" s="493"/>
      <c r="J2674" s="493"/>
      <c r="K2674" s="493"/>
      <c r="L2674" s="487"/>
      <c r="M2674" s="487"/>
      <c r="N2674" s="487"/>
      <c r="O2674" s="487"/>
      <c r="P2674" s="487">
        <f t="shared" si="193"/>
        <v>312</v>
      </c>
      <c r="Q2674" s="487" t="b">
        <v>0</v>
      </c>
    </row>
    <row r="2675" spans="1:17" x14ac:dyDescent="0.3">
      <c r="A2675" s="487" t="b">
        <v>0</v>
      </c>
      <c r="B2675" s="487" t="s">
        <v>7842</v>
      </c>
      <c r="C2675" s="502">
        <v>53</v>
      </c>
      <c r="D2675" s="487">
        <f t="shared" si="190"/>
        <v>-167</v>
      </c>
      <c r="E2675" s="487">
        <f t="shared" si="191"/>
        <v>1</v>
      </c>
      <c r="F2675" s="487">
        <f t="shared" ca="1" si="192"/>
        <v>61</v>
      </c>
      <c r="G2675" s="487" t="s">
        <v>7475</v>
      </c>
      <c r="H2675" s="493"/>
      <c r="I2675" s="493"/>
      <c r="J2675" s="493"/>
      <c r="K2675" s="493"/>
      <c r="L2675" s="487"/>
      <c r="M2675" s="487"/>
      <c r="N2675" s="487"/>
      <c r="O2675" s="487"/>
      <c r="P2675" s="487">
        <f t="shared" si="193"/>
        <v>313</v>
      </c>
      <c r="Q2675" s="487" t="b">
        <v>0</v>
      </c>
    </row>
    <row r="2676" spans="1:17" x14ac:dyDescent="0.3">
      <c r="A2676" s="487" t="b">
        <v>0</v>
      </c>
      <c r="B2676" s="487" t="s">
        <v>7843</v>
      </c>
      <c r="C2676" s="502">
        <v>53</v>
      </c>
      <c r="D2676" s="487">
        <f t="shared" si="190"/>
        <v>-166</v>
      </c>
      <c r="E2676" s="487">
        <f t="shared" si="191"/>
        <v>2</v>
      </c>
      <c r="F2676" s="487">
        <f t="shared" ca="1" si="192"/>
        <v>61</v>
      </c>
      <c r="G2676" s="487" t="s">
        <v>7475</v>
      </c>
      <c r="H2676" s="493"/>
      <c r="I2676" s="493"/>
      <c r="J2676" s="493"/>
      <c r="K2676" s="493"/>
      <c r="L2676" s="487"/>
      <c r="M2676" s="487"/>
      <c r="N2676" s="487"/>
      <c r="O2676" s="487"/>
      <c r="P2676" s="487">
        <f t="shared" si="193"/>
        <v>314</v>
      </c>
      <c r="Q2676" s="487" t="b">
        <v>0</v>
      </c>
    </row>
    <row r="2677" spans="1:17" x14ac:dyDescent="0.3">
      <c r="A2677" s="487" t="b">
        <v>0</v>
      </c>
      <c r="B2677" s="487" t="s">
        <v>7844</v>
      </c>
      <c r="C2677" s="502">
        <v>53</v>
      </c>
      <c r="D2677" s="487">
        <f t="shared" si="190"/>
        <v>-165</v>
      </c>
      <c r="E2677" s="487">
        <f t="shared" si="191"/>
        <v>3</v>
      </c>
      <c r="F2677" s="487">
        <f t="shared" ca="1" si="192"/>
        <v>61</v>
      </c>
      <c r="G2677" s="487" t="s">
        <v>7475</v>
      </c>
      <c r="H2677" s="493"/>
      <c r="I2677" s="493"/>
      <c r="J2677" s="493"/>
      <c r="K2677" s="493"/>
      <c r="L2677" s="487"/>
      <c r="M2677" s="487"/>
      <c r="N2677" s="487"/>
      <c r="O2677" s="487"/>
      <c r="P2677" s="487">
        <f t="shared" si="193"/>
        <v>315</v>
      </c>
      <c r="Q2677" s="487" t="b">
        <v>0</v>
      </c>
    </row>
    <row r="2678" spans="1:17" x14ac:dyDescent="0.3">
      <c r="A2678" s="487" t="b">
        <v>0</v>
      </c>
      <c r="B2678" s="487" t="s">
        <v>7845</v>
      </c>
      <c r="C2678" s="502">
        <v>53</v>
      </c>
      <c r="D2678" s="487">
        <f t="shared" si="190"/>
        <v>-164</v>
      </c>
      <c r="E2678" s="487">
        <f t="shared" si="191"/>
        <v>4</v>
      </c>
      <c r="F2678" s="487">
        <f t="shared" ca="1" si="192"/>
        <v>61</v>
      </c>
      <c r="G2678" s="487" t="s">
        <v>7475</v>
      </c>
      <c r="H2678" s="493"/>
      <c r="I2678" s="493"/>
      <c r="J2678" s="493"/>
      <c r="K2678" s="493"/>
      <c r="L2678" s="487"/>
      <c r="M2678" s="487"/>
      <c r="N2678" s="487"/>
      <c r="O2678" s="487"/>
      <c r="P2678" s="487">
        <f t="shared" si="193"/>
        <v>316</v>
      </c>
      <c r="Q2678" s="487" t="b">
        <v>0</v>
      </c>
    </row>
    <row r="2679" spans="1:17" x14ac:dyDescent="0.3">
      <c r="A2679" s="487" t="b">
        <v>0</v>
      </c>
      <c r="B2679" s="487" t="s">
        <v>7846</v>
      </c>
      <c r="C2679" s="502">
        <v>53</v>
      </c>
      <c r="D2679" s="487">
        <f t="shared" si="190"/>
        <v>-163</v>
      </c>
      <c r="E2679" s="487">
        <f t="shared" si="191"/>
        <v>5</v>
      </c>
      <c r="F2679" s="487">
        <f t="shared" ca="1" si="192"/>
        <v>61</v>
      </c>
      <c r="G2679" s="487" t="s">
        <v>7475</v>
      </c>
      <c r="H2679" s="493"/>
      <c r="I2679" s="493"/>
      <c r="J2679" s="493"/>
      <c r="K2679" s="493"/>
      <c r="L2679" s="487"/>
      <c r="M2679" s="487"/>
      <c r="N2679" s="487"/>
      <c r="O2679" s="487"/>
      <c r="P2679" s="487">
        <f t="shared" si="193"/>
        <v>317</v>
      </c>
      <c r="Q2679" s="487" t="b">
        <v>0</v>
      </c>
    </row>
    <row r="2680" spans="1:17" x14ac:dyDescent="0.3">
      <c r="A2680" s="487" t="b">
        <v>0</v>
      </c>
      <c r="B2680" s="487" t="s">
        <v>7847</v>
      </c>
      <c r="C2680" s="502">
        <v>53</v>
      </c>
      <c r="D2680" s="487">
        <f t="shared" si="190"/>
        <v>-162</v>
      </c>
      <c r="E2680" s="487">
        <f t="shared" si="191"/>
        <v>6</v>
      </c>
      <c r="F2680" s="487">
        <f t="shared" ca="1" si="192"/>
        <v>61</v>
      </c>
      <c r="G2680" s="487" t="s">
        <v>7475</v>
      </c>
      <c r="H2680" s="493"/>
      <c r="I2680" s="493"/>
      <c r="J2680" s="493"/>
      <c r="K2680" s="493"/>
      <c r="L2680" s="487"/>
      <c r="M2680" s="487"/>
      <c r="N2680" s="487"/>
      <c r="O2680" s="487"/>
      <c r="P2680" s="487">
        <f t="shared" si="193"/>
        <v>318</v>
      </c>
      <c r="Q2680" s="487" t="b">
        <v>0</v>
      </c>
    </row>
    <row r="2681" spans="1:17" x14ac:dyDescent="0.3">
      <c r="A2681" s="487" t="b">
        <v>0</v>
      </c>
      <c r="B2681" s="487" t="s">
        <v>7848</v>
      </c>
      <c r="C2681" s="502">
        <v>54</v>
      </c>
      <c r="D2681" s="487">
        <f t="shared" si="190"/>
        <v>-161</v>
      </c>
      <c r="E2681" s="487">
        <f t="shared" si="191"/>
        <v>1</v>
      </c>
      <c r="F2681" s="487">
        <f t="shared" ca="1" si="192"/>
        <v>62</v>
      </c>
      <c r="G2681" s="487" t="s">
        <v>7477</v>
      </c>
      <c r="H2681" s="493"/>
      <c r="I2681" s="493"/>
      <c r="J2681" s="493"/>
      <c r="K2681" s="493"/>
      <c r="L2681" s="487"/>
      <c r="M2681" s="487"/>
      <c r="N2681" s="487"/>
      <c r="O2681" s="487"/>
      <c r="P2681" s="487">
        <f t="shared" si="193"/>
        <v>319</v>
      </c>
      <c r="Q2681" s="487" t="b">
        <v>0</v>
      </c>
    </row>
    <row r="2682" spans="1:17" x14ac:dyDescent="0.3">
      <c r="A2682" s="487" t="b">
        <v>0</v>
      </c>
      <c r="B2682" s="487" t="s">
        <v>7849</v>
      </c>
      <c r="C2682" s="502">
        <v>54</v>
      </c>
      <c r="D2682" s="487">
        <f t="shared" si="190"/>
        <v>-160</v>
      </c>
      <c r="E2682" s="487">
        <f t="shared" si="191"/>
        <v>2</v>
      </c>
      <c r="F2682" s="487">
        <f t="shared" ca="1" si="192"/>
        <v>62</v>
      </c>
      <c r="G2682" s="487" t="s">
        <v>7477</v>
      </c>
      <c r="H2682" s="493"/>
      <c r="I2682" s="493"/>
      <c r="J2682" s="493"/>
      <c r="K2682" s="493"/>
      <c r="L2682" s="487"/>
      <c r="M2682" s="487"/>
      <c r="N2682" s="487"/>
      <c r="O2682" s="487"/>
      <c r="P2682" s="487">
        <f t="shared" si="193"/>
        <v>320</v>
      </c>
      <c r="Q2682" s="487" t="b">
        <v>0</v>
      </c>
    </row>
    <row r="2683" spans="1:17" x14ac:dyDescent="0.3">
      <c r="A2683" s="487" t="b">
        <v>0</v>
      </c>
      <c r="B2683" s="487" t="s">
        <v>7850</v>
      </c>
      <c r="C2683" s="502">
        <v>54</v>
      </c>
      <c r="D2683" s="487">
        <f t="shared" ref="D2683:D2746" si="194">D2682+1</f>
        <v>-159</v>
      </c>
      <c r="E2683" s="487">
        <f t="shared" ref="E2683:E2746" si="195">COUNTIF(C2678:C2683,C2683)</f>
        <v>3</v>
      </c>
      <c r="F2683" s="487">
        <f t="shared" ref="F2683:F2746" ca="1" si="196">IF(C2683=1,9,IF(E2682=MAX(E2681:E2683),F2681+1,F2682))</f>
        <v>62</v>
      </c>
      <c r="G2683" s="487" t="s">
        <v>7477</v>
      </c>
      <c r="H2683" s="493"/>
      <c r="I2683" s="493"/>
      <c r="J2683" s="493"/>
      <c r="K2683" s="493"/>
      <c r="L2683" s="487"/>
      <c r="M2683" s="487"/>
      <c r="N2683" s="487"/>
      <c r="O2683" s="487"/>
      <c r="P2683" s="487">
        <f t="shared" ref="P2683:P2746" si="197">IF(NOT(_xlfn.ISFORMULA(I2683)),P2682+1,0)</f>
        <v>321</v>
      </c>
      <c r="Q2683" s="487" t="b">
        <v>0</v>
      </c>
    </row>
    <row r="2684" spans="1:17" x14ac:dyDescent="0.3">
      <c r="A2684" s="487" t="b">
        <v>0</v>
      </c>
      <c r="B2684" s="487" t="s">
        <v>7851</v>
      </c>
      <c r="C2684" s="502">
        <v>54</v>
      </c>
      <c r="D2684" s="487">
        <f t="shared" si="194"/>
        <v>-158</v>
      </c>
      <c r="E2684" s="487">
        <f t="shared" si="195"/>
        <v>4</v>
      </c>
      <c r="F2684" s="487">
        <f t="shared" ca="1" si="196"/>
        <v>62</v>
      </c>
      <c r="G2684" s="487" t="s">
        <v>7477</v>
      </c>
      <c r="H2684" s="493"/>
      <c r="I2684" s="493"/>
      <c r="J2684" s="493"/>
      <c r="K2684" s="493"/>
      <c r="L2684" s="487"/>
      <c r="M2684" s="487"/>
      <c r="N2684" s="487"/>
      <c r="O2684" s="487"/>
      <c r="P2684" s="487">
        <f t="shared" si="197"/>
        <v>322</v>
      </c>
      <c r="Q2684" s="487" t="b">
        <v>0</v>
      </c>
    </row>
    <row r="2685" spans="1:17" x14ac:dyDescent="0.3">
      <c r="A2685" s="487" t="b">
        <v>0</v>
      </c>
      <c r="B2685" s="487" t="s">
        <v>7852</v>
      </c>
      <c r="C2685" s="502">
        <v>54</v>
      </c>
      <c r="D2685" s="487">
        <f t="shared" si="194"/>
        <v>-157</v>
      </c>
      <c r="E2685" s="487">
        <f t="shared" si="195"/>
        <v>5</v>
      </c>
      <c r="F2685" s="487">
        <f t="shared" ca="1" si="196"/>
        <v>62</v>
      </c>
      <c r="G2685" s="487" t="s">
        <v>7477</v>
      </c>
      <c r="H2685" s="493"/>
      <c r="I2685" s="493"/>
      <c r="J2685" s="493"/>
      <c r="K2685" s="493"/>
      <c r="L2685" s="487"/>
      <c r="M2685" s="487"/>
      <c r="N2685" s="487"/>
      <c r="O2685" s="487"/>
      <c r="P2685" s="487">
        <f t="shared" si="197"/>
        <v>323</v>
      </c>
      <c r="Q2685" s="487" t="b">
        <v>0</v>
      </c>
    </row>
    <row r="2686" spans="1:17" x14ac:dyDescent="0.3">
      <c r="A2686" s="487" t="b">
        <v>0</v>
      </c>
      <c r="B2686" s="487" t="s">
        <v>7853</v>
      </c>
      <c r="C2686" s="502">
        <v>54</v>
      </c>
      <c r="D2686" s="487">
        <f t="shared" si="194"/>
        <v>-156</v>
      </c>
      <c r="E2686" s="487">
        <f t="shared" si="195"/>
        <v>6</v>
      </c>
      <c r="F2686" s="487">
        <f t="shared" ca="1" si="196"/>
        <v>62</v>
      </c>
      <c r="G2686" s="487" t="s">
        <v>7477</v>
      </c>
      <c r="H2686" s="493"/>
      <c r="I2686" s="493"/>
      <c r="J2686" s="493"/>
      <c r="K2686" s="493"/>
      <c r="L2686" s="487"/>
      <c r="M2686" s="487"/>
      <c r="N2686" s="487"/>
      <c r="O2686" s="487"/>
      <c r="P2686" s="487">
        <f t="shared" si="197"/>
        <v>324</v>
      </c>
      <c r="Q2686" s="487" t="b">
        <v>0</v>
      </c>
    </row>
    <row r="2687" spans="1:17" x14ac:dyDescent="0.3">
      <c r="A2687" s="487" t="b">
        <v>0</v>
      </c>
      <c r="B2687" s="487" t="s">
        <v>7854</v>
      </c>
      <c r="C2687" s="502">
        <v>55</v>
      </c>
      <c r="D2687" s="487">
        <f t="shared" si="194"/>
        <v>-155</v>
      </c>
      <c r="E2687" s="487">
        <f t="shared" si="195"/>
        <v>1</v>
      </c>
      <c r="F2687" s="487">
        <f t="shared" ca="1" si="196"/>
        <v>63</v>
      </c>
      <c r="G2687" s="487" t="s">
        <v>7479</v>
      </c>
      <c r="H2687" s="493"/>
      <c r="I2687" s="493"/>
      <c r="J2687" s="493"/>
      <c r="K2687" s="493"/>
      <c r="L2687" s="487"/>
      <c r="M2687" s="487"/>
      <c r="N2687" s="487"/>
      <c r="O2687" s="487"/>
      <c r="P2687" s="487">
        <f t="shared" si="197"/>
        <v>325</v>
      </c>
      <c r="Q2687" s="487" t="b">
        <v>0</v>
      </c>
    </row>
    <row r="2688" spans="1:17" x14ac:dyDescent="0.3">
      <c r="A2688" s="487" t="b">
        <v>0</v>
      </c>
      <c r="B2688" s="487" t="s">
        <v>7855</v>
      </c>
      <c r="C2688" s="502">
        <v>55</v>
      </c>
      <c r="D2688" s="487">
        <f t="shared" si="194"/>
        <v>-154</v>
      </c>
      <c r="E2688" s="487">
        <f t="shared" si="195"/>
        <v>2</v>
      </c>
      <c r="F2688" s="487">
        <f t="shared" ca="1" si="196"/>
        <v>63</v>
      </c>
      <c r="G2688" s="487" t="s">
        <v>7479</v>
      </c>
      <c r="H2688" s="493"/>
      <c r="I2688" s="493"/>
      <c r="J2688" s="493"/>
      <c r="K2688" s="493"/>
      <c r="L2688" s="487"/>
      <c r="M2688" s="487"/>
      <c r="N2688" s="487"/>
      <c r="O2688" s="487"/>
      <c r="P2688" s="487">
        <f t="shared" si="197"/>
        <v>326</v>
      </c>
      <c r="Q2688" s="487" t="b">
        <v>0</v>
      </c>
    </row>
    <row r="2689" spans="1:17" x14ac:dyDescent="0.3">
      <c r="A2689" s="487" t="b">
        <v>0</v>
      </c>
      <c r="B2689" s="487" t="s">
        <v>7856</v>
      </c>
      <c r="C2689" s="502">
        <v>55</v>
      </c>
      <c r="D2689" s="487">
        <f t="shared" si="194"/>
        <v>-153</v>
      </c>
      <c r="E2689" s="487">
        <f t="shared" si="195"/>
        <v>3</v>
      </c>
      <c r="F2689" s="487">
        <f t="shared" ca="1" si="196"/>
        <v>63</v>
      </c>
      <c r="G2689" s="487" t="s">
        <v>7479</v>
      </c>
      <c r="H2689" s="493"/>
      <c r="I2689" s="493"/>
      <c r="J2689" s="493"/>
      <c r="K2689" s="493"/>
      <c r="L2689" s="487"/>
      <c r="M2689" s="487"/>
      <c r="N2689" s="487"/>
      <c r="O2689" s="487"/>
      <c r="P2689" s="487">
        <f t="shared" si="197"/>
        <v>327</v>
      </c>
      <c r="Q2689" s="487" t="b">
        <v>0</v>
      </c>
    </row>
    <row r="2690" spans="1:17" x14ac:dyDescent="0.3">
      <c r="A2690" s="487" t="b">
        <v>0</v>
      </c>
      <c r="B2690" s="487" t="s">
        <v>7857</v>
      </c>
      <c r="C2690" s="502">
        <v>55</v>
      </c>
      <c r="D2690" s="487">
        <f t="shared" si="194"/>
        <v>-152</v>
      </c>
      <c r="E2690" s="487">
        <f t="shared" si="195"/>
        <v>4</v>
      </c>
      <c r="F2690" s="487">
        <f t="shared" ca="1" si="196"/>
        <v>63</v>
      </c>
      <c r="G2690" s="487" t="s">
        <v>7479</v>
      </c>
      <c r="H2690" s="493"/>
      <c r="I2690" s="493"/>
      <c r="J2690" s="493"/>
      <c r="K2690" s="493"/>
      <c r="L2690" s="487"/>
      <c r="M2690" s="487"/>
      <c r="N2690" s="487"/>
      <c r="O2690" s="487"/>
      <c r="P2690" s="487">
        <f t="shared" si="197"/>
        <v>328</v>
      </c>
      <c r="Q2690" s="487" t="b">
        <v>0</v>
      </c>
    </row>
    <row r="2691" spans="1:17" x14ac:dyDescent="0.3">
      <c r="A2691" s="487" t="b">
        <v>0</v>
      </c>
      <c r="B2691" s="487" t="s">
        <v>7858</v>
      </c>
      <c r="C2691" s="502">
        <v>55</v>
      </c>
      <c r="D2691" s="487">
        <f t="shared" si="194"/>
        <v>-151</v>
      </c>
      <c r="E2691" s="487">
        <f t="shared" si="195"/>
        <v>5</v>
      </c>
      <c r="F2691" s="487">
        <f t="shared" ca="1" si="196"/>
        <v>63</v>
      </c>
      <c r="G2691" s="487" t="s">
        <v>7479</v>
      </c>
      <c r="H2691" s="493"/>
      <c r="I2691" s="493"/>
      <c r="J2691" s="493"/>
      <c r="K2691" s="493"/>
      <c r="L2691" s="487"/>
      <c r="M2691" s="487"/>
      <c r="N2691" s="487"/>
      <c r="O2691" s="487"/>
      <c r="P2691" s="487">
        <f t="shared" si="197"/>
        <v>329</v>
      </c>
      <c r="Q2691" s="487" t="b">
        <v>0</v>
      </c>
    </row>
    <row r="2692" spans="1:17" x14ac:dyDescent="0.3">
      <c r="A2692" s="487" t="b">
        <v>0</v>
      </c>
      <c r="B2692" s="487" t="s">
        <v>7859</v>
      </c>
      <c r="C2692" s="502">
        <v>55</v>
      </c>
      <c r="D2692" s="487">
        <f t="shared" si="194"/>
        <v>-150</v>
      </c>
      <c r="E2692" s="487">
        <f t="shared" si="195"/>
        <v>6</v>
      </c>
      <c r="F2692" s="487">
        <f t="shared" ca="1" si="196"/>
        <v>63</v>
      </c>
      <c r="G2692" s="487" t="s">
        <v>7479</v>
      </c>
      <c r="H2692" s="493"/>
      <c r="I2692" s="493"/>
      <c r="J2692" s="493"/>
      <c r="K2692" s="493"/>
      <c r="L2692" s="487"/>
      <c r="M2692" s="487"/>
      <c r="N2692" s="487"/>
      <c r="O2692" s="487"/>
      <c r="P2692" s="487">
        <f t="shared" si="197"/>
        <v>330</v>
      </c>
      <c r="Q2692" s="487" t="b">
        <v>0</v>
      </c>
    </row>
    <row r="2693" spans="1:17" x14ac:dyDescent="0.3">
      <c r="A2693" s="487" t="b">
        <v>0</v>
      </c>
      <c r="B2693" s="487" t="s">
        <v>7860</v>
      </c>
      <c r="C2693" s="502">
        <v>56</v>
      </c>
      <c r="D2693" s="487">
        <f t="shared" si="194"/>
        <v>-149</v>
      </c>
      <c r="E2693" s="487">
        <f t="shared" si="195"/>
        <v>1</v>
      </c>
      <c r="F2693" s="487">
        <f t="shared" ca="1" si="196"/>
        <v>64</v>
      </c>
      <c r="G2693" s="487" t="s">
        <v>7481</v>
      </c>
      <c r="H2693" s="493"/>
      <c r="I2693" s="493"/>
      <c r="J2693" s="493"/>
      <c r="K2693" s="493"/>
      <c r="L2693" s="487"/>
      <c r="M2693" s="487"/>
      <c r="N2693" s="487"/>
      <c r="O2693" s="487"/>
      <c r="P2693" s="487">
        <f t="shared" si="197"/>
        <v>331</v>
      </c>
      <c r="Q2693" s="487" t="b">
        <v>0</v>
      </c>
    </row>
    <row r="2694" spans="1:17" x14ac:dyDescent="0.3">
      <c r="A2694" s="487" t="b">
        <v>0</v>
      </c>
      <c r="B2694" s="487" t="s">
        <v>7861</v>
      </c>
      <c r="C2694" s="502">
        <v>56</v>
      </c>
      <c r="D2694" s="487">
        <f t="shared" si="194"/>
        <v>-148</v>
      </c>
      <c r="E2694" s="487">
        <f t="shared" si="195"/>
        <v>2</v>
      </c>
      <c r="F2694" s="487">
        <f t="shared" ca="1" si="196"/>
        <v>64</v>
      </c>
      <c r="G2694" s="487" t="s">
        <v>7481</v>
      </c>
      <c r="H2694" s="493"/>
      <c r="I2694" s="493"/>
      <c r="J2694" s="493"/>
      <c r="K2694" s="493"/>
      <c r="L2694" s="487"/>
      <c r="M2694" s="487"/>
      <c r="N2694" s="487"/>
      <c r="O2694" s="487"/>
      <c r="P2694" s="487">
        <f t="shared" si="197"/>
        <v>332</v>
      </c>
      <c r="Q2694" s="487" t="b">
        <v>0</v>
      </c>
    </row>
    <row r="2695" spans="1:17" x14ac:dyDescent="0.3">
      <c r="A2695" s="487" t="b">
        <v>0</v>
      </c>
      <c r="B2695" s="487" t="s">
        <v>7862</v>
      </c>
      <c r="C2695" s="502">
        <v>56</v>
      </c>
      <c r="D2695" s="487">
        <f t="shared" si="194"/>
        <v>-147</v>
      </c>
      <c r="E2695" s="487">
        <f t="shared" si="195"/>
        <v>3</v>
      </c>
      <c r="F2695" s="487">
        <f t="shared" ca="1" si="196"/>
        <v>64</v>
      </c>
      <c r="G2695" s="487" t="s">
        <v>7481</v>
      </c>
      <c r="H2695" s="493"/>
      <c r="I2695" s="493"/>
      <c r="J2695" s="493"/>
      <c r="K2695" s="493"/>
      <c r="L2695" s="487"/>
      <c r="M2695" s="487"/>
      <c r="N2695" s="487"/>
      <c r="O2695" s="487"/>
      <c r="P2695" s="487">
        <f t="shared" si="197"/>
        <v>333</v>
      </c>
      <c r="Q2695" s="487" t="b">
        <v>0</v>
      </c>
    </row>
    <row r="2696" spans="1:17" x14ac:dyDescent="0.3">
      <c r="A2696" s="487" t="b">
        <v>0</v>
      </c>
      <c r="B2696" s="487" t="s">
        <v>7863</v>
      </c>
      <c r="C2696" s="502">
        <v>56</v>
      </c>
      <c r="D2696" s="487">
        <f t="shared" si="194"/>
        <v>-146</v>
      </c>
      <c r="E2696" s="487">
        <f t="shared" si="195"/>
        <v>4</v>
      </c>
      <c r="F2696" s="487">
        <f t="shared" ca="1" si="196"/>
        <v>64</v>
      </c>
      <c r="G2696" s="487" t="s">
        <v>7481</v>
      </c>
      <c r="H2696" s="493"/>
      <c r="I2696" s="493"/>
      <c r="J2696" s="493"/>
      <c r="K2696" s="493"/>
      <c r="L2696" s="487"/>
      <c r="M2696" s="487"/>
      <c r="N2696" s="487"/>
      <c r="O2696" s="487"/>
      <c r="P2696" s="487">
        <f t="shared" si="197"/>
        <v>334</v>
      </c>
      <c r="Q2696" s="487" t="b">
        <v>0</v>
      </c>
    </row>
    <row r="2697" spans="1:17" x14ac:dyDescent="0.3">
      <c r="A2697" s="487" t="b">
        <v>0</v>
      </c>
      <c r="B2697" s="487" t="s">
        <v>7864</v>
      </c>
      <c r="C2697" s="502">
        <v>56</v>
      </c>
      <c r="D2697" s="487">
        <f t="shared" si="194"/>
        <v>-145</v>
      </c>
      <c r="E2697" s="487">
        <f t="shared" si="195"/>
        <v>5</v>
      </c>
      <c r="F2697" s="487">
        <f t="shared" ca="1" si="196"/>
        <v>64</v>
      </c>
      <c r="G2697" s="487" t="s">
        <v>7481</v>
      </c>
      <c r="H2697" s="493"/>
      <c r="I2697" s="493"/>
      <c r="J2697" s="493"/>
      <c r="K2697" s="493"/>
      <c r="L2697" s="487"/>
      <c r="M2697" s="487"/>
      <c r="N2697" s="487"/>
      <c r="O2697" s="487"/>
      <c r="P2697" s="487">
        <f t="shared" si="197"/>
        <v>335</v>
      </c>
      <c r="Q2697" s="487" t="b">
        <v>0</v>
      </c>
    </row>
    <row r="2698" spans="1:17" x14ac:dyDescent="0.3">
      <c r="A2698" s="487" t="b">
        <v>0</v>
      </c>
      <c r="B2698" s="487" t="s">
        <v>7865</v>
      </c>
      <c r="C2698" s="502">
        <v>56</v>
      </c>
      <c r="D2698" s="487">
        <f t="shared" si="194"/>
        <v>-144</v>
      </c>
      <c r="E2698" s="487">
        <f t="shared" si="195"/>
        <v>6</v>
      </c>
      <c r="F2698" s="487">
        <f t="shared" ca="1" si="196"/>
        <v>64</v>
      </c>
      <c r="G2698" s="487" t="s">
        <v>7481</v>
      </c>
      <c r="H2698" s="493"/>
      <c r="I2698" s="493"/>
      <c r="J2698" s="493"/>
      <c r="K2698" s="493"/>
      <c r="L2698" s="487"/>
      <c r="M2698" s="487"/>
      <c r="N2698" s="487"/>
      <c r="O2698" s="487"/>
      <c r="P2698" s="487">
        <f t="shared" si="197"/>
        <v>336</v>
      </c>
      <c r="Q2698" s="487" t="b">
        <v>0</v>
      </c>
    </row>
    <row r="2699" spans="1:17" x14ac:dyDescent="0.3">
      <c r="A2699" s="487" t="b">
        <v>0</v>
      </c>
      <c r="B2699" s="487" t="s">
        <v>7866</v>
      </c>
      <c r="C2699" s="502">
        <v>57</v>
      </c>
      <c r="D2699" s="487">
        <f t="shared" si="194"/>
        <v>-143</v>
      </c>
      <c r="E2699" s="487">
        <f t="shared" si="195"/>
        <v>1</v>
      </c>
      <c r="F2699" s="487">
        <f t="shared" ca="1" si="196"/>
        <v>65</v>
      </c>
      <c r="G2699" s="487" t="s">
        <v>7483</v>
      </c>
      <c r="H2699" s="493"/>
      <c r="I2699" s="493"/>
      <c r="J2699" s="493"/>
      <c r="K2699" s="493"/>
      <c r="L2699" s="487"/>
      <c r="M2699" s="487"/>
      <c r="N2699" s="487"/>
      <c r="O2699" s="487"/>
      <c r="P2699" s="487">
        <f t="shared" si="197"/>
        <v>337</v>
      </c>
      <c r="Q2699" s="487" t="b">
        <v>0</v>
      </c>
    </row>
    <row r="2700" spans="1:17" x14ac:dyDescent="0.3">
      <c r="A2700" s="487" t="b">
        <v>0</v>
      </c>
      <c r="B2700" s="487" t="s">
        <v>7867</v>
      </c>
      <c r="C2700" s="502">
        <v>57</v>
      </c>
      <c r="D2700" s="487">
        <f t="shared" si="194"/>
        <v>-142</v>
      </c>
      <c r="E2700" s="487">
        <f t="shared" si="195"/>
        <v>2</v>
      </c>
      <c r="F2700" s="487">
        <f t="shared" ca="1" si="196"/>
        <v>65</v>
      </c>
      <c r="G2700" s="487" t="s">
        <v>7483</v>
      </c>
      <c r="H2700" s="493"/>
      <c r="I2700" s="493"/>
      <c r="J2700" s="493"/>
      <c r="K2700" s="493"/>
      <c r="L2700" s="487"/>
      <c r="M2700" s="487"/>
      <c r="N2700" s="487"/>
      <c r="O2700" s="487"/>
      <c r="P2700" s="487">
        <f t="shared" si="197"/>
        <v>338</v>
      </c>
      <c r="Q2700" s="487" t="b">
        <v>0</v>
      </c>
    </row>
    <row r="2701" spans="1:17" x14ac:dyDescent="0.3">
      <c r="A2701" s="487" t="b">
        <v>0</v>
      </c>
      <c r="B2701" s="487" t="s">
        <v>7868</v>
      </c>
      <c r="C2701" s="502">
        <v>57</v>
      </c>
      <c r="D2701" s="487">
        <f t="shared" si="194"/>
        <v>-141</v>
      </c>
      <c r="E2701" s="487">
        <f t="shared" si="195"/>
        <v>3</v>
      </c>
      <c r="F2701" s="487">
        <f t="shared" ca="1" si="196"/>
        <v>65</v>
      </c>
      <c r="G2701" s="487" t="s">
        <v>7483</v>
      </c>
      <c r="H2701" s="493"/>
      <c r="I2701" s="493"/>
      <c r="J2701" s="493"/>
      <c r="K2701" s="493"/>
      <c r="L2701" s="487"/>
      <c r="M2701" s="487"/>
      <c r="N2701" s="487"/>
      <c r="O2701" s="487"/>
      <c r="P2701" s="487">
        <f t="shared" si="197"/>
        <v>339</v>
      </c>
      <c r="Q2701" s="487" t="b">
        <v>0</v>
      </c>
    </row>
    <row r="2702" spans="1:17" x14ac:dyDescent="0.3">
      <c r="A2702" s="487" t="b">
        <v>0</v>
      </c>
      <c r="B2702" s="487" t="s">
        <v>7869</v>
      </c>
      <c r="C2702" s="502">
        <v>57</v>
      </c>
      <c r="D2702" s="487">
        <f t="shared" si="194"/>
        <v>-140</v>
      </c>
      <c r="E2702" s="487">
        <f t="shared" si="195"/>
        <v>4</v>
      </c>
      <c r="F2702" s="487">
        <f t="shared" ca="1" si="196"/>
        <v>65</v>
      </c>
      <c r="G2702" s="487" t="s">
        <v>7483</v>
      </c>
      <c r="H2702" s="493"/>
      <c r="I2702" s="493"/>
      <c r="J2702" s="493"/>
      <c r="K2702" s="493"/>
      <c r="L2702" s="487"/>
      <c r="M2702" s="487"/>
      <c r="N2702" s="487"/>
      <c r="O2702" s="487"/>
      <c r="P2702" s="487">
        <f t="shared" si="197"/>
        <v>340</v>
      </c>
      <c r="Q2702" s="487" t="b">
        <v>0</v>
      </c>
    </row>
    <row r="2703" spans="1:17" x14ac:dyDescent="0.3">
      <c r="A2703" s="487" t="b">
        <v>0</v>
      </c>
      <c r="B2703" s="487" t="s">
        <v>7870</v>
      </c>
      <c r="C2703" s="502">
        <v>57</v>
      </c>
      <c r="D2703" s="487">
        <f t="shared" si="194"/>
        <v>-139</v>
      </c>
      <c r="E2703" s="487">
        <f t="shared" si="195"/>
        <v>5</v>
      </c>
      <c r="F2703" s="487">
        <f t="shared" ca="1" si="196"/>
        <v>65</v>
      </c>
      <c r="G2703" s="487" t="s">
        <v>7483</v>
      </c>
      <c r="H2703" s="493"/>
      <c r="I2703" s="493"/>
      <c r="J2703" s="493"/>
      <c r="K2703" s="493"/>
      <c r="L2703" s="487"/>
      <c r="M2703" s="487"/>
      <c r="N2703" s="487"/>
      <c r="O2703" s="487"/>
      <c r="P2703" s="487">
        <f t="shared" si="197"/>
        <v>341</v>
      </c>
      <c r="Q2703" s="487" t="b">
        <v>0</v>
      </c>
    </row>
    <row r="2704" spans="1:17" x14ac:dyDescent="0.3">
      <c r="A2704" s="487" t="b">
        <v>0</v>
      </c>
      <c r="B2704" s="487" t="s">
        <v>7871</v>
      </c>
      <c r="C2704" s="502">
        <v>57</v>
      </c>
      <c r="D2704" s="487">
        <f t="shared" si="194"/>
        <v>-138</v>
      </c>
      <c r="E2704" s="487">
        <f t="shared" si="195"/>
        <v>6</v>
      </c>
      <c r="F2704" s="487">
        <f t="shared" ca="1" si="196"/>
        <v>65</v>
      </c>
      <c r="G2704" s="487" t="s">
        <v>7483</v>
      </c>
      <c r="H2704" s="493"/>
      <c r="I2704" s="493"/>
      <c r="J2704" s="493"/>
      <c r="K2704" s="493"/>
      <c r="L2704" s="487"/>
      <c r="M2704" s="487"/>
      <c r="N2704" s="487"/>
      <c r="O2704" s="487"/>
      <c r="P2704" s="487">
        <f t="shared" si="197"/>
        <v>342</v>
      </c>
      <c r="Q2704" s="487" t="b">
        <v>0</v>
      </c>
    </row>
    <row r="2705" spans="1:17" x14ac:dyDescent="0.3">
      <c r="A2705" s="487" t="b">
        <v>0</v>
      </c>
      <c r="B2705" s="487" t="s">
        <v>7872</v>
      </c>
      <c r="C2705" s="502">
        <v>58</v>
      </c>
      <c r="D2705" s="487">
        <f t="shared" si="194"/>
        <v>-137</v>
      </c>
      <c r="E2705" s="487">
        <f t="shared" si="195"/>
        <v>1</v>
      </c>
      <c r="F2705" s="487">
        <f t="shared" ca="1" si="196"/>
        <v>66</v>
      </c>
      <c r="G2705" s="487" t="s">
        <v>7485</v>
      </c>
      <c r="H2705" s="493"/>
      <c r="I2705" s="493"/>
      <c r="J2705" s="493"/>
      <c r="K2705" s="493"/>
      <c r="L2705" s="487"/>
      <c r="M2705" s="487"/>
      <c r="N2705" s="487"/>
      <c r="O2705" s="487"/>
      <c r="P2705" s="487">
        <f t="shared" si="197"/>
        <v>343</v>
      </c>
      <c r="Q2705" s="487" t="b">
        <v>0</v>
      </c>
    </row>
    <row r="2706" spans="1:17" x14ac:dyDescent="0.3">
      <c r="A2706" s="487" t="b">
        <v>0</v>
      </c>
      <c r="B2706" s="487" t="s">
        <v>7873</v>
      </c>
      <c r="C2706" s="502">
        <v>58</v>
      </c>
      <c r="D2706" s="487">
        <f t="shared" si="194"/>
        <v>-136</v>
      </c>
      <c r="E2706" s="487">
        <f t="shared" si="195"/>
        <v>2</v>
      </c>
      <c r="F2706" s="487">
        <f t="shared" ca="1" si="196"/>
        <v>66</v>
      </c>
      <c r="G2706" s="487" t="s">
        <v>7485</v>
      </c>
      <c r="H2706" s="493"/>
      <c r="I2706" s="493"/>
      <c r="J2706" s="493"/>
      <c r="K2706" s="493"/>
      <c r="L2706" s="487"/>
      <c r="M2706" s="487"/>
      <c r="N2706" s="487"/>
      <c r="O2706" s="487"/>
      <c r="P2706" s="487">
        <f t="shared" si="197"/>
        <v>344</v>
      </c>
      <c r="Q2706" s="487" t="b">
        <v>0</v>
      </c>
    </row>
    <row r="2707" spans="1:17" x14ac:dyDescent="0.3">
      <c r="A2707" s="487" t="b">
        <v>0</v>
      </c>
      <c r="B2707" s="487" t="s">
        <v>7874</v>
      </c>
      <c r="C2707" s="502">
        <v>58</v>
      </c>
      <c r="D2707" s="487">
        <f t="shared" si="194"/>
        <v>-135</v>
      </c>
      <c r="E2707" s="487">
        <f t="shared" si="195"/>
        <v>3</v>
      </c>
      <c r="F2707" s="487">
        <f t="shared" ca="1" si="196"/>
        <v>66</v>
      </c>
      <c r="G2707" s="487" t="s">
        <v>7485</v>
      </c>
      <c r="H2707" s="493"/>
      <c r="I2707" s="493"/>
      <c r="J2707" s="493"/>
      <c r="K2707" s="493"/>
      <c r="L2707" s="487"/>
      <c r="M2707" s="487"/>
      <c r="N2707" s="487"/>
      <c r="O2707" s="487"/>
      <c r="P2707" s="487">
        <f t="shared" si="197"/>
        <v>345</v>
      </c>
      <c r="Q2707" s="487" t="b">
        <v>0</v>
      </c>
    </row>
    <row r="2708" spans="1:17" x14ac:dyDescent="0.3">
      <c r="A2708" s="487" t="b">
        <v>0</v>
      </c>
      <c r="B2708" s="487" t="s">
        <v>7875</v>
      </c>
      <c r="C2708" s="502">
        <v>58</v>
      </c>
      <c r="D2708" s="487">
        <f t="shared" si="194"/>
        <v>-134</v>
      </c>
      <c r="E2708" s="487">
        <f t="shared" si="195"/>
        <v>4</v>
      </c>
      <c r="F2708" s="487">
        <f t="shared" ca="1" si="196"/>
        <v>66</v>
      </c>
      <c r="G2708" s="487" t="s">
        <v>7485</v>
      </c>
      <c r="H2708" s="493"/>
      <c r="I2708" s="493"/>
      <c r="J2708" s="493"/>
      <c r="K2708" s="493"/>
      <c r="L2708" s="487"/>
      <c r="M2708" s="487"/>
      <c r="N2708" s="487"/>
      <c r="O2708" s="487"/>
      <c r="P2708" s="487">
        <f t="shared" si="197"/>
        <v>346</v>
      </c>
      <c r="Q2708" s="487" t="b">
        <v>0</v>
      </c>
    </row>
    <row r="2709" spans="1:17" x14ac:dyDescent="0.3">
      <c r="A2709" s="487" t="b">
        <v>0</v>
      </c>
      <c r="B2709" s="487" t="s">
        <v>7876</v>
      </c>
      <c r="C2709" s="502">
        <v>58</v>
      </c>
      <c r="D2709" s="487">
        <f t="shared" si="194"/>
        <v>-133</v>
      </c>
      <c r="E2709" s="487">
        <f t="shared" si="195"/>
        <v>5</v>
      </c>
      <c r="F2709" s="487">
        <f t="shared" ca="1" si="196"/>
        <v>66</v>
      </c>
      <c r="G2709" s="487" t="s">
        <v>7485</v>
      </c>
      <c r="H2709" s="493"/>
      <c r="I2709" s="493"/>
      <c r="J2709" s="493"/>
      <c r="K2709" s="493"/>
      <c r="L2709" s="487"/>
      <c r="M2709" s="487"/>
      <c r="N2709" s="487"/>
      <c r="O2709" s="487"/>
      <c r="P2709" s="487">
        <f t="shared" si="197"/>
        <v>347</v>
      </c>
      <c r="Q2709" s="487" t="b">
        <v>0</v>
      </c>
    </row>
    <row r="2710" spans="1:17" x14ac:dyDescent="0.3">
      <c r="A2710" s="487" t="b">
        <v>0</v>
      </c>
      <c r="B2710" s="487" t="s">
        <v>7877</v>
      </c>
      <c r="C2710" s="502">
        <v>58</v>
      </c>
      <c r="D2710" s="487">
        <f t="shared" si="194"/>
        <v>-132</v>
      </c>
      <c r="E2710" s="487">
        <f t="shared" si="195"/>
        <v>6</v>
      </c>
      <c r="F2710" s="487">
        <f t="shared" ca="1" si="196"/>
        <v>66</v>
      </c>
      <c r="G2710" s="487" t="s">
        <v>7485</v>
      </c>
      <c r="H2710" s="493"/>
      <c r="I2710" s="493"/>
      <c r="J2710" s="493"/>
      <c r="K2710" s="493"/>
      <c r="L2710" s="487"/>
      <c r="M2710" s="487"/>
      <c r="N2710" s="487"/>
      <c r="O2710" s="487"/>
      <c r="P2710" s="487">
        <f t="shared" si="197"/>
        <v>348</v>
      </c>
      <c r="Q2710" s="487" t="b">
        <v>0</v>
      </c>
    </row>
    <row r="2711" spans="1:17" x14ac:dyDescent="0.3">
      <c r="A2711" s="487" t="b">
        <v>0</v>
      </c>
      <c r="B2711" s="487" t="s">
        <v>7878</v>
      </c>
      <c r="C2711" s="502">
        <v>59</v>
      </c>
      <c r="D2711" s="487">
        <f t="shared" si="194"/>
        <v>-131</v>
      </c>
      <c r="E2711" s="487">
        <f t="shared" si="195"/>
        <v>1</v>
      </c>
      <c r="F2711" s="487">
        <f t="shared" ca="1" si="196"/>
        <v>67</v>
      </c>
      <c r="G2711" s="487" t="s">
        <v>7487</v>
      </c>
      <c r="H2711" s="493"/>
      <c r="I2711" s="493"/>
      <c r="J2711" s="493"/>
      <c r="K2711" s="493"/>
      <c r="L2711" s="487"/>
      <c r="M2711" s="487"/>
      <c r="N2711" s="487"/>
      <c r="O2711" s="487"/>
      <c r="P2711" s="487">
        <f t="shared" si="197"/>
        <v>349</v>
      </c>
      <c r="Q2711" s="487" t="b">
        <v>0</v>
      </c>
    </row>
    <row r="2712" spans="1:17" x14ac:dyDescent="0.3">
      <c r="A2712" s="487" t="b">
        <v>0</v>
      </c>
      <c r="B2712" s="487" t="s">
        <v>7879</v>
      </c>
      <c r="C2712" s="502">
        <v>59</v>
      </c>
      <c r="D2712" s="487">
        <f t="shared" si="194"/>
        <v>-130</v>
      </c>
      <c r="E2712" s="487">
        <f t="shared" si="195"/>
        <v>2</v>
      </c>
      <c r="F2712" s="487">
        <f t="shared" ca="1" si="196"/>
        <v>67</v>
      </c>
      <c r="G2712" s="487" t="s">
        <v>7487</v>
      </c>
      <c r="H2712" s="493"/>
      <c r="I2712" s="493"/>
      <c r="J2712" s="493"/>
      <c r="K2712" s="493"/>
      <c r="L2712" s="487"/>
      <c r="M2712" s="487"/>
      <c r="N2712" s="487"/>
      <c r="O2712" s="487"/>
      <c r="P2712" s="487">
        <f t="shared" si="197"/>
        <v>350</v>
      </c>
      <c r="Q2712" s="487" t="b">
        <v>0</v>
      </c>
    </row>
    <row r="2713" spans="1:17" x14ac:dyDescent="0.3">
      <c r="A2713" s="487" t="b">
        <v>0</v>
      </c>
      <c r="B2713" s="487" t="s">
        <v>7880</v>
      </c>
      <c r="C2713" s="502">
        <v>59</v>
      </c>
      <c r="D2713" s="487">
        <f t="shared" si="194"/>
        <v>-129</v>
      </c>
      <c r="E2713" s="487">
        <f t="shared" si="195"/>
        <v>3</v>
      </c>
      <c r="F2713" s="487">
        <f t="shared" ca="1" si="196"/>
        <v>67</v>
      </c>
      <c r="G2713" s="487" t="s">
        <v>7487</v>
      </c>
      <c r="H2713" s="493"/>
      <c r="I2713" s="493"/>
      <c r="J2713" s="493"/>
      <c r="K2713" s="493"/>
      <c r="L2713" s="487"/>
      <c r="M2713" s="487"/>
      <c r="N2713" s="487"/>
      <c r="O2713" s="487"/>
      <c r="P2713" s="487">
        <f t="shared" si="197"/>
        <v>351</v>
      </c>
      <c r="Q2713" s="487" t="b">
        <v>0</v>
      </c>
    </row>
    <row r="2714" spans="1:17" x14ac:dyDescent="0.3">
      <c r="A2714" s="487" t="b">
        <v>0</v>
      </c>
      <c r="B2714" s="487" t="s">
        <v>7881</v>
      </c>
      <c r="C2714" s="502">
        <v>59</v>
      </c>
      <c r="D2714" s="487">
        <f t="shared" si="194"/>
        <v>-128</v>
      </c>
      <c r="E2714" s="487">
        <f t="shared" si="195"/>
        <v>4</v>
      </c>
      <c r="F2714" s="487">
        <f t="shared" ca="1" si="196"/>
        <v>67</v>
      </c>
      <c r="G2714" s="487" t="s">
        <v>7487</v>
      </c>
      <c r="H2714" s="493"/>
      <c r="I2714" s="493"/>
      <c r="J2714" s="493"/>
      <c r="K2714" s="493"/>
      <c r="L2714" s="487"/>
      <c r="M2714" s="487"/>
      <c r="N2714" s="487"/>
      <c r="O2714" s="487"/>
      <c r="P2714" s="487">
        <f t="shared" si="197"/>
        <v>352</v>
      </c>
      <c r="Q2714" s="487" t="b">
        <v>0</v>
      </c>
    </row>
    <row r="2715" spans="1:17" x14ac:dyDescent="0.3">
      <c r="A2715" s="487" t="b">
        <v>0</v>
      </c>
      <c r="B2715" s="487" t="s">
        <v>7882</v>
      </c>
      <c r="C2715" s="502">
        <v>59</v>
      </c>
      <c r="D2715" s="487">
        <f t="shared" si="194"/>
        <v>-127</v>
      </c>
      <c r="E2715" s="487">
        <f t="shared" si="195"/>
        <v>5</v>
      </c>
      <c r="F2715" s="487">
        <f t="shared" ca="1" si="196"/>
        <v>67</v>
      </c>
      <c r="G2715" s="487" t="s">
        <v>7487</v>
      </c>
      <c r="H2715" s="493"/>
      <c r="I2715" s="493"/>
      <c r="J2715" s="493"/>
      <c r="K2715" s="493"/>
      <c r="L2715" s="487"/>
      <c r="M2715" s="487"/>
      <c r="N2715" s="487"/>
      <c r="O2715" s="487"/>
      <c r="P2715" s="487">
        <f t="shared" si="197"/>
        <v>353</v>
      </c>
      <c r="Q2715" s="487" t="b">
        <v>0</v>
      </c>
    </row>
    <row r="2716" spans="1:17" x14ac:dyDescent="0.3">
      <c r="A2716" s="487" t="b">
        <v>0</v>
      </c>
      <c r="B2716" s="487" t="s">
        <v>7883</v>
      </c>
      <c r="C2716" s="502">
        <v>59</v>
      </c>
      <c r="D2716" s="487">
        <f t="shared" si="194"/>
        <v>-126</v>
      </c>
      <c r="E2716" s="487">
        <f t="shared" si="195"/>
        <v>6</v>
      </c>
      <c r="F2716" s="487">
        <f t="shared" ca="1" si="196"/>
        <v>67</v>
      </c>
      <c r="G2716" s="487" t="s">
        <v>7487</v>
      </c>
      <c r="H2716" s="493"/>
      <c r="I2716" s="493"/>
      <c r="J2716" s="493"/>
      <c r="K2716" s="493"/>
      <c r="L2716" s="487"/>
      <c r="M2716" s="487"/>
      <c r="N2716" s="487"/>
      <c r="O2716" s="487"/>
      <c r="P2716" s="487">
        <f t="shared" si="197"/>
        <v>354</v>
      </c>
      <c r="Q2716" s="487" t="b">
        <v>0</v>
      </c>
    </row>
    <row r="2717" spans="1:17" x14ac:dyDescent="0.3">
      <c r="A2717" s="487" t="b">
        <v>0</v>
      </c>
      <c r="B2717" s="487" t="s">
        <v>7884</v>
      </c>
      <c r="C2717" s="502">
        <v>60</v>
      </c>
      <c r="D2717" s="487">
        <f t="shared" si="194"/>
        <v>-125</v>
      </c>
      <c r="E2717" s="487">
        <f t="shared" si="195"/>
        <v>1</v>
      </c>
      <c r="F2717" s="487">
        <f t="shared" ca="1" si="196"/>
        <v>68</v>
      </c>
      <c r="G2717" s="487" t="s">
        <v>7489</v>
      </c>
      <c r="H2717" s="493"/>
      <c r="I2717" s="493"/>
      <c r="J2717" s="493"/>
      <c r="K2717" s="493"/>
      <c r="L2717" s="487"/>
      <c r="M2717" s="487"/>
      <c r="N2717" s="487"/>
      <c r="O2717" s="487"/>
      <c r="P2717" s="487">
        <f t="shared" si="197"/>
        <v>355</v>
      </c>
      <c r="Q2717" s="487" t="b">
        <v>0</v>
      </c>
    </row>
    <row r="2718" spans="1:17" x14ac:dyDescent="0.3">
      <c r="A2718" s="487" t="b">
        <v>0</v>
      </c>
      <c r="B2718" s="487" t="s">
        <v>7885</v>
      </c>
      <c r="C2718" s="502">
        <v>60</v>
      </c>
      <c r="D2718" s="487">
        <f t="shared" si="194"/>
        <v>-124</v>
      </c>
      <c r="E2718" s="487">
        <f t="shared" si="195"/>
        <v>2</v>
      </c>
      <c r="F2718" s="487">
        <f t="shared" ca="1" si="196"/>
        <v>68</v>
      </c>
      <c r="G2718" s="487" t="s">
        <v>7489</v>
      </c>
      <c r="H2718" s="493"/>
      <c r="I2718" s="493"/>
      <c r="J2718" s="493"/>
      <c r="K2718" s="493"/>
      <c r="L2718" s="487"/>
      <c r="M2718" s="487"/>
      <c r="N2718" s="487"/>
      <c r="O2718" s="487"/>
      <c r="P2718" s="487">
        <f t="shared" si="197"/>
        <v>356</v>
      </c>
      <c r="Q2718" s="487" t="b">
        <v>0</v>
      </c>
    </row>
    <row r="2719" spans="1:17" x14ac:dyDescent="0.3">
      <c r="A2719" s="487" t="b">
        <v>0</v>
      </c>
      <c r="B2719" s="487" t="s">
        <v>7886</v>
      </c>
      <c r="C2719" s="502">
        <v>60</v>
      </c>
      <c r="D2719" s="487">
        <f t="shared" si="194"/>
        <v>-123</v>
      </c>
      <c r="E2719" s="487">
        <f t="shared" si="195"/>
        <v>3</v>
      </c>
      <c r="F2719" s="487">
        <f t="shared" ca="1" si="196"/>
        <v>68</v>
      </c>
      <c r="G2719" s="487" t="s">
        <v>7489</v>
      </c>
      <c r="H2719" s="493"/>
      <c r="I2719" s="493"/>
      <c r="J2719" s="493"/>
      <c r="K2719" s="493"/>
      <c r="L2719" s="487"/>
      <c r="M2719" s="487"/>
      <c r="N2719" s="487"/>
      <c r="O2719" s="487"/>
      <c r="P2719" s="487">
        <f t="shared" si="197"/>
        <v>357</v>
      </c>
      <c r="Q2719" s="487" t="b">
        <v>0</v>
      </c>
    </row>
    <row r="2720" spans="1:17" x14ac:dyDescent="0.3">
      <c r="A2720" s="487" t="b">
        <v>0</v>
      </c>
      <c r="B2720" s="487" t="s">
        <v>7887</v>
      </c>
      <c r="C2720" s="502">
        <v>60</v>
      </c>
      <c r="D2720" s="487">
        <f t="shared" si="194"/>
        <v>-122</v>
      </c>
      <c r="E2720" s="487">
        <f t="shared" si="195"/>
        <v>4</v>
      </c>
      <c r="F2720" s="487">
        <f t="shared" ca="1" si="196"/>
        <v>68</v>
      </c>
      <c r="G2720" s="487" t="s">
        <v>7489</v>
      </c>
      <c r="H2720" s="493"/>
      <c r="I2720" s="493"/>
      <c r="J2720" s="493"/>
      <c r="K2720" s="493"/>
      <c r="L2720" s="487"/>
      <c r="M2720" s="487"/>
      <c r="N2720" s="487"/>
      <c r="O2720" s="487"/>
      <c r="P2720" s="487">
        <f t="shared" si="197"/>
        <v>358</v>
      </c>
      <c r="Q2720" s="487" t="b">
        <v>0</v>
      </c>
    </row>
    <row r="2721" spans="1:17" x14ac:dyDescent="0.3">
      <c r="A2721" s="487" t="b">
        <v>0</v>
      </c>
      <c r="B2721" s="487" t="s">
        <v>7888</v>
      </c>
      <c r="C2721" s="502">
        <v>60</v>
      </c>
      <c r="D2721" s="487">
        <f t="shared" si="194"/>
        <v>-121</v>
      </c>
      <c r="E2721" s="487">
        <f t="shared" si="195"/>
        <v>5</v>
      </c>
      <c r="F2721" s="487">
        <f t="shared" ca="1" si="196"/>
        <v>68</v>
      </c>
      <c r="G2721" s="487" t="s">
        <v>7489</v>
      </c>
      <c r="H2721" s="493"/>
      <c r="I2721" s="493"/>
      <c r="J2721" s="493"/>
      <c r="K2721" s="493"/>
      <c r="L2721" s="487"/>
      <c r="M2721" s="487"/>
      <c r="N2721" s="487"/>
      <c r="O2721" s="487"/>
      <c r="P2721" s="487">
        <f t="shared" si="197"/>
        <v>359</v>
      </c>
      <c r="Q2721" s="487" t="b">
        <v>0</v>
      </c>
    </row>
    <row r="2722" spans="1:17" x14ac:dyDescent="0.3">
      <c r="A2722" s="487" t="b">
        <v>0</v>
      </c>
      <c r="B2722" s="487" t="s">
        <v>7889</v>
      </c>
      <c r="C2722" s="502">
        <v>60</v>
      </c>
      <c r="D2722" s="487">
        <f t="shared" si="194"/>
        <v>-120</v>
      </c>
      <c r="E2722" s="487">
        <f t="shared" si="195"/>
        <v>6</v>
      </c>
      <c r="F2722" s="487">
        <f t="shared" ca="1" si="196"/>
        <v>68</v>
      </c>
      <c r="G2722" s="487" t="s">
        <v>7489</v>
      </c>
      <c r="H2722" s="493"/>
      <c r="I2722" s="493"/>
      <c r="J2722" s="493"/>
      <c r="K2722" s="493"/>
      <c r="L2722" s="487"/>
      <c r="M2722" s="487"/>
      <c r="N2722" s="487"/>
      <c r="O2722" s="487"/>
      <c r="P2722" s="487">
        <f t="shared" si="197"/>
        <v>360</v>
      </c>
      <c r="Q2722" s="487" t="b">
        <v>0</v>
      </c>
    </row>
    <row r="2723" spans="1:17" x14ac:dyDescent="0.3">
      <c r="A2723" s="487" t="b">
        <v>0</v>
      </c>
      <c r="B2723" s="487" t="s">
        <v>7890</v>
      </c>
      <c r="C2723" s="502">
        <v>61</v>
      </c>
      <c r="D2723" s="487">
        <f t="shared" si="194"/>
        <v>-119</v>
      </c>
      <c r="E2723" s="487">
        <f t="shared" si="195"/>
        <v>1</v>
      </c>
      <c r="F2723" s="487">
        <f t="shared" ca="1" si="196"/>
        <v>69</v>
      </c>
      <c r="G2723" s="487" t="s">
        <v>7491</v>
      </c>
      <c r="H2723" s="493"/>
      <c r="I2723" s="493"/>
      <c r="J2723" s="493"/>
      <c r="K2723" s="493"/>
      <c r="L2723" s="487"/>
      <c r="M2723" s="487"/>
      <c r="N2723" s="487"/>
      <c r="O2723" s="487"/>
      <c r="P2723" s="487">
        <f t="shared" si="197"/>
        <v>361</v>
      </c>
      <c r="Q2723" s="487" t="b">
        <v>0</v>
      </c>
    </row>
    <row r="2724" spans="1:17" x14ac:dyDescent="0.3">
      <c r="A2724" s="487" t="b">
        <v>0</v>
      </c>
      <c r="B2724" s="487" t="s">
        <v>7891</v>
      </c>
      <c r="C2724" s="502">
        <v>61</v>
      </c>
      <c r="D2724" s="487">
        <f t="shared" si="194"/>
        <v>-118</v>
      </c>
      <c r="E2724" s="487">
        <f t="shared" si="195"/>
        <v>2</v>
      </c>
      <c r="F2724" s="487">
        <f t="shared" ca="1" si="196"/>
        <v>69</v>
      </c>
      <c r="G2724" s="487" t="s">
        <v>7491</v>
      </c>
      <c r="H2724" s="493"/>
      <c r="I2724" s="493"/>
      <c r="J2724" s="493"/>
      <c r="K2724" s="493"/>
      <c r="L2724" s="487"/>
      <c r="M2724" s="487"/>
      <c r="N2724" s="487"/>
      <c r="O2724" s="487"/>
      <c r="P2724" s="487">
        <f t="shared" si="197"/>
        <v>362</v>
      </c>
      <c r="Q2724" s="487" t="b">
        <v>0</v>
      </c>
    </row>
    <row r="2725" spans="1:17" x14ac:dyDescent="0.3">
      <c r="A2725" s="487" t="b">
        <v>0</v>
      </c>
      <c r="B2725" s="487" t="s">
        <v>7892</v>
      </c>
      <c r="C2725" s="502">
        <v>61</v>
      </c>
      <c r="D2725" s="487">
        <f t="shared" si="194"/>
        <v>-117</v>
      </c>
      <c r="E2725" s="487">
        <f t="shared" si="195"/>
        <v>3</v>
      </c>
      <c r="F2725" s="487">
        <f t="shared" ca="1" si="196"/>
        <v>69</v>
      </c>
      <c r="G2725" s="487" t="s">
        <v>7491</v>
      </c>
      <c r="H2725" s="493"/>
      <c r="I2725" s="493"/>
      <c r="J2725" s="493"/>
      <c r="K2725" s="493"/>
      <c r="L2725" s="487"/>
      <c r="M2725" s="487"/>
      <c r="N2725" s="487"/>
      <c r="O2725" s="487"/>
      <c r="P2725" s="487">
        <f t="shared" si="197"/>
        <v>363</v>
      </c>
      <c r="Q2725" s="487" t="b">
        <v>0</v>
      </c>
    </row>
    <row r="2726" spans="1:17" x14ac:dyDescent="0.3">
      <c r="A2726" s="487" t="b">
        <v>0</v>
      </c>
      <c r="B2726" s="487" t="s">
        <v>7893</v>
      </c>
      <c r="C2726" s="502">
        <v>61</v>
      </c>
      <c r="D2726" s="487">
        <f t="shared" si="194"/>
        <v>-116</v>
      </c>
      <c r="E2726" s="487">
        <f t="shared" si="195"/>
        <v>4</v>
      </c>
      <c r="F2726" s="487">
        <f t="shared" ca="1" si="196"/>
        <v>69</v>
      </c>
      <c r="G2726" s="487" t="s">
        <v>7491</v>
      </c>
      <c r="H2726" s="493"/>
      <c r="I2726" s="493"/>
      <c r="J2726" s="493"/>
      <c r="K2726" s="493"/>
      <c r="L2726" s="487"/>
      <c r="M2726" s="487"/>
      <c r="N2726" s="487"/>
      <c r="O2726" s="487"/>
      <c r="P2726" s="487">
        <f t="shared" si="197"/>
        <v>364</v>
      </c>
      <c r="Q2726" s="487" t="b">
        <v>0</v>
      </c>
    </row>
    <row r="2727" spans="1:17" x14ac:dyDescent="0.3">
      <c r="A2727" s="487" t="b">
        <v>0</v>
      </c>
      <c r="B2727" s="487" t="s">
        <v>7894</v>
      </c>
      <c r="C2727" s="502">
        <v>61</v>
      </c>
      <c r="D2727" s="487">
        <f t="shared" si="194"/>
        <v>-115</v>
      </c>
      <c r="E2727" s="487">
        <f t="shared" si="195"/>
        <v>5</v>
      </c>
      <c r="F2727" s="487">
        <f t="shared" ca="1" si="196"/>
        <v>69</v>
      </c>
      <c r="G2727" s="487" t="s">
        <v>7491</v>
      </c>
      <c r="H2727" s="493"/>
      <c r="I2727" s="493"/>
      <c r="J2727" s="493"/>
      <c r="K2727" s="493"/>
      <c r="L2727" s="487"/>
      <c r="M2727" s="487"/>
      <c r="N2727" s="487"/>
      <c r="O2727" s="487"/>
      <c r="P2727" s="487">
        <f t="shared" si="197"/>
        <v>365</v>
      </c>
      <c r="Q2727" s="487" t="b">
        <v>0</v>
      </c>
    </row>
    <row r="2728" spans="1:17" x14ac:dyDescent="0.3">
      <c r="A2728" s="487" t="b">
        <v>0</v>
      </c>
      <c r="B2728" s="487" t="s">
        <v>7895</v>
      </c>
      <c r="C2728" s="502">
        <v>61</v>
      </c>
      <c r="D2728" s="487">
        <f t="shared" si="194"/>
        <v>-114</v>
      </c>
      <c r="E2728" s="487">
        <f t="shared" si="195"/>
        <v>6</v>
      </c>
      <c r="F2728" s="487">
        <f t="shared" ca="1" si="196"/>
        <v>69</v>
      </c>
      <c r="G2728" s="487" t="s">
        <v>7491</v>
      </c>
      <c r="H2728" s="493"/>
      <c r="I2728" s="493"/>
      <c r="J2728" s="493"/>
      <c r="K2728" s="493"/>
      <c r="L2728" s="487"/>
      <c r="M2728" s="487"/>
      <c r="N2728" s="487"/>
      <c r="O2728" s="487"/>
      <c r="P2728" s="487">
        <f t="shared" si="197"/>
        <v>366</v>
      </c>
      <c r="Q2728" s="487" t="b">
        <v>0</v>
      </c>
    </row>
    <row r="2729" spans="1:17" x14ac:dyDescent="0.3">
      <c r="A2729" s="487" t="b">
        <v>0</v>
      </c>
      <c r="B2729" s="487" t="s">
        <v>7896</v>
      </c>
      <c r="C2729" s="502">
        <v>62</v>
      </c>
      <c r="D2729" s="487">
        <f t="shared" si="194"/>
        <v>-113</v>
      </c>
      <c r="E2729" s="487">
        <f t="shared" si="195"/>
        <v>1</v>
      </c>
      <c r="F2729" s="487">
        <f t="shared" ca="1" si="196"/>
        <v>70</v>
      </c>
      <c r="G2729" s="487" t="s">
        <v>7493</v>
      </c>
      <c r="H2729" s="493"/>
      <c r="I2729" s="493"/>
      <c r="J2729" s="493"/>
      <c r="K2729" s="493"/>
      <c r="L2729" s="487"/>
      <c r="M2729" s="487"/>
      <c r="N2729" s="487"/>
      <c r="O2729" s="487"/>
      <c r="P2729" s="487">
        <f t="shared" si="197"/>
        <v>367</v>
      </c>
      <c r="Q2729" s="487" t="b">
        <v>0</v>
      </c>
    </row>
    <row r="2730" spans="1:17" x14ac:dyDescent="0.3">
      <c r="A2730" s="487" t="b">
        <v>0</v>
      </c>
      <c r="B2730" s="487" t="s">
        <v>7897</v>
      </c>
      <c r="C2730" s="502">
        <v>62</v>
      </c>
      <c r="D2730" s="487">
        <f t="shared" si="194"/>
        <v>-112</v>
      </c>
      <c r="E2730" s="487">
        <f t="shared" si="195"/>
        <v>2</v>
      </c>
      <c r="F2730" s="487">
        <f t="shared" ca="1" si="196"/>
        <v>70</v>
      </c>
      <c r="G2730" s="487" t="s">
        <v>7493</v>
      </c>
      <c r="H2730" s="493"/>
      <c r="I2730" s="493"/>
      <c r="J2730" s="493"/>
      <c r="K2730" s="493"/>
      <c r="L2730" s="487"/>
      <c r="M2730" s="487"/>
      <c r="N2730" s="487"/>
      <c r="O2730" s="487"/>
      <c r="P2730" s="487">
        <f t="shared" si="197"/>
        <v>368</v>
      </c>
      <c r="Q2730" s="487" t="b">
        <v>0</v>
      </c>
    </row>
    <row r="2731" spans="1:17" x14ac:dyDescent="0.3">
      <c r="A2731" s="487" t="b">
        <v>0</v>
      </c>
      <c r="B2731" s="487" t="s">
        <v>7898</v>
      </c>
      <c r="C2731" s="502">
        <v>62</v>
      </c>
      <c r="D2731" s="487">
        <f t="shared" si="194"/>
        <v>-111</v>
      </c>
      <c r="E2731" s="487">
        <f t="shared" si="195"/>
        <v>3</v>
      </c>
      <c r="F2731" s="487">
        <f t="shared" ca="1" si="196"/>
        <v>70</v>
      </c>
      <c r="G2731" s="487" t="s">
        <v>7493</v>
      </c>
      <c r="H2731" s="493"/>
      <c r="I2731" s="493"/>
      <c r="J2731" s="493"/>
      <c r="K2731" s="493"/>
      <c r="L2731" s="487"/>
      <c r="M2731" s="487"/>
      <c r="N2731" s="487"/>
      <c r="O2731" s="487"/>
      <c r="P2731" s="487">
        <f t="shared" si="197"/>
        <v>369</v>
      </c>
      <c r="Q2731" s="487" t="b">
        <v>0</v>
      </c>
    </row>
    <row r="2732" spans="1:17" x14ac:dyDescent="0.3">
      <c r="A2732" s="487" t="b">
        <v>0</v>
      </c>
      <c r="B2732" s="487" t="s">
        <v>7899</v>
      </c>
      <c r="C2732" s="502">
        <v>62</v>
      </c>
      <c r="D2732" s="487">
        <f t="shared" si="194"/>
        <v>-110</v>
      </c>
      <c r="E2732" s="487">
        <f t="shared" si="195"/>
        <v>4</v>
      </c>
      <c r="F2732" s="487">
        <f t="shared" ca="1" si="196"/>
        <v>70</v>
      </c>
      <c r="G2732" s="487" t="s">
        <v>7493</v>
      </c>
      <c r="H2732" s="493"/>
      <c r="I2732" s="493"/>
      <c r="J2732" s="493"/>
      <c r="K2732" s="493"/>
      <c r="L2732" s="487"/>
      <c r="M2732" s="487"/>
      <c r="N2732" s="487"/>
      <c r="O2732" s="487"/>
      <c r="P2732" s="487">
        <f t="shared" si="197"/>
        <v>370</v>
      </c>
      <c r="Q2732" s="487" t="b">
        <v>0</v>
      </c>
    </row>
    <row r="2733" spans="1:17" x14ac:dyDescent="0.3">
      <c r="A2733" s="487" t="b">
        <v>0</v>
      </c>
      <c r="B2733" s="487" t="s">
        <v>7900</v>
      </c>
      <c r="C2733" s="502">
        <v>62</v>
      </c>
      <c r="D2733" s="487">
        <f t="shared" si="194"/>
        <v>-109</v>
      </c>
      <c r="E2733" s="487">
        <f t="shared" si="195"/>
        <v>5</v>
      </c>
      <c r="F2733" s="487">
        <f t="shared" ca="1" si="196"/>
        <v>70</v>
      </c>
      <c r="G2733" s="487" t="s">
        <v>7493</v>
      </c>
      <c r="H2733" s="493"/>
      <c r="I2733" s="493"/>
      <c r="J2733" s="493"/>
      <c r="K2733" s="493"/>
      <c r="L2733" s="487"/>
      <c r="M2733" s="487"/>
      <c r="N2733" s="487"/>
      <c r="O2733" s="487"/>
      <c r="P2733" s="487">
        <f t="shared" si="197"/>
        <v>371</v>
      </c>
      <c r="Q2733" s="487" t="b">
        <v>0</v>
      </c>
    </row>
    <row r="2734" spans="1:17" x14ac:dyDescent="0.3">
      <c r="A2734" s="487" t="b">
        <v>0</v>
      </c>
      <c r="B2734" s="487" t="s">
        <v>7901</v>
      </c>
      <c r="C2734" s="502">
        <v>62</v>
      </c>
      <c r="D2734" s="487">
        <f t="shared" si="194"/>
        <v>-108</v>
      </c>
      <c r="E2734" s="487">
        <f t="shared" si="195"/>
        <v>6</v>
      </c>
      <c r="F2734" s="487">
        <f t="shared" ca="1" si="196"/>
        <v>70</v>
      </c>
      <c r="G2734" s="487" t="s">
        <v>7493</v>
      </c>
      <c r="H2734" s="493"/>
      <c r="I2734" s="493"/>
      <c r="J2734" s="493"/>
      <c r="K2734" s="493"/>
      <c r="L2734" s="487"/>
      <c r="M2734" s="487"/>
      <c r="N2734" s="487"/>
      <c r="O2734" s="487"/>
      <c r="P2734" s="487">
        <f t="shared" si="197"/>
        <v>372</v>
      </c>
      <c r="Q2734" s="487" t="b">
        <v>0</v>
      </c>
    </row>
    <row r="2735" spans="1:17" x14ac:dyDescent="0.3">
      <c r="A2735" s="487" t="b">
        <v>0</v>
      </c>
      <c r="B2735" s="487" t="s">
        <v>7902</v>
      </c>
      <c r="C2735" s="502">
        <v>63</v>
      </c>
      <c r="D2735" s="487">
        <f t="shared" si="194"/>
        <v>-107</v>
      </c>
      <c r="E2735" s="487">
        <f t="shared" si="195"/>
        <v>1</v>
      </c>
      <c r="F2735" s="487">
        <f t="shared" ca="1" si="196"/>
        <v>71</v>
      </c>
      <c r="G2735" s="487" t="s">
        <v>7495</v>
      </c>
      <c r="H2735" s="493"/>
      <c r="I2735" s="493"/>
      <c r="J2735" s="493"/>
      <c r="K2735" s="493"/>
      <c r="L2735" s="487"/>
      <c r="M2735" s="487"/>
      <c r="N2735" s="487"/>
      <c r="O2735" s="487"/>
      <c r="P2735" s="487">
        <f t="shared" si="197"/>
        <v>373</v>
      </c>
      <c r="Q2735" s="487" t="b">
        <v>0</v>
      </c>
    </row>
    <row r="2736" spans="1:17" x14ac:dyDescent="0.3">
      <c r="A2736" s="487" t="b">
        <v>0</v>
      </c>
      <c r="B2736" s="487" t="s">
        <v>7903</v>
      </c>
      <c r="C2736" s="502">
        <v>63</v>
      </c>
      <c r="D2736" s="487">
        <f t="shared" si="194"/>
        <v>-106</v>
      </c>
      <c r="E2736" s="487">
        <f t="shared" si="195"/>
        <v>2</v>
      </c>
      <c r="F2736" s="487">
        <f t="shared" ca="1" si="196"/>
        <v>71</v>
      </c>
      <c r="G2736" s="487" t="s">
        <v>7495</v>
      </c>
      <c r="H2736" s="493"/>
      <c r="I2736" s="493"/>
      <c r="J2736" s="493"/>
      <c r="K2736" s="493"/>
      <c r="L2736" s="487"/>
      <c r="M2736" s="487"/>
      <c r="N2736" s="487"/>
      <c r="O2736" s="487"/>
      <c r="P2736" s="487">
        <f t="shared" si="197"/>
        <v>374</v>
      </c>
      <c r="Q2736" s="487" t="b">
        <v>0</v>
      </c>
    </row>
    <row r="2737" spans="1:17" x14ac:dyDescent="0.3">
      <c r="A2737" s="487" t="b">
        <v>0</v>
      </c>
      <c r="B2737" s="487" t="s">
        <v>7904</v>
      </c>
      <c r="C2737" s="502">
        <v>63</v>
      </c>
      <c r="D2737" s="487">
        <f t="shared" si="194"/>
        <v>-105</v>
      </c>
      <c r="E2737" s="487">
        <f t="shared" si="195"/>
        <v>3</v>
      </c>
      <c r="F2737" s="487">
        <f t="shared" ca="1" si="196"/>
        <v>71</v>
      </c>
      <c r="G2737" s="487" t="s">
        <v>7495</v>
      </c>
      <c r="H2737" s="493"/>
      <c r="I2737" s="493"/>
      <c r="J2737" s="493"/>
      <c r="K2737" s="493"/>
      <c r="L2737" s="487"/>
      <c r="M2737" s="487"/>
      <c r="N2737" s="487"/>
      <c r="O2737" s="487"/>
      <c r="P2737" s="487">
        <f t="shared" si="197"/>
        <v>375</v>
      </c>
      <c r="Q2737" s="487" t="b">
        <v>0</v>
      </c>
    </row>
    <row r="2738" spans="1:17" x14ac:dyDescent="0.3">
      <c r="A2738" s="487" t="b">
        <v>0</v>
      </c>
      <c r="B2738" s="487" t="s">
        <v>7905</v>
      </c>
      <c r="C2738" s="502">
        <v>63</v>
      </c>
      <c r="D2738" s="487">
        <f t="shared" si="194"/>
        <v>-104</v>
      </c>
      <c r="E2738" s="487">
        <f t="shared" si="195"/>
        <v>4</v>
      </c>
      <c r="F2738" s="487">
        <f t="shared" ca="1" si="196"/>
        <v>71</v>
      </c>
      <c r="G2738" s="487" t="s">
        <v>7495</v>
      </c>
      <c r="H2738" s="493"/>
      <c r="I2738" s="493"/>
      <c r="J2738" s="493"/>
      <c r="K2738" s="493"/>
      <c r="L2738" s="487"/>
      <c r="M2738" s="487"/>
      <c r="N2738" s="487"/>
      <c r="O2738" s="487"/>
      <c r="P2738" s="487">
        <f t="shared" si="197"/>
        <v>376</v>
      </c>
      <c r="Q2738" s="487" t="b">
        <v>0</v>
      </c>
    </row>
    <row r="2739" spans="1:17" x14ac:dyDescent="0.3">
      <c r="A2739" s="487" t="b">
        <v>0</v>
      </c>
      <c r="B2739" s="487" t="s">
        <v>7906</v>
      </c>
      <c r="C2739" s="502">
        <v>63</v>
      </c>
      <c r="D2739" s="487">
        <f t="shared" si="194"/>
        <v>-103</v>
      </c>
      <c r="E2739" s="487">
        <f t="shared" si="195"/>
        <v>5</v>
      </c>
      <c r="F2739" s="487">
        <f t="shared" ca="1" si="196"/>
        <v>71</v>
      </c>
      <c r="G2739" s="487" t="s">
        <v>7495</v>
      </c>
      <c r="H2739" s="493"/>
      <c r="I2739" s="493"/>
      <c r="J2739" s="493"/>
      <c r="K2739" s="493"/>
      <c r="L2739" s="487"/>
      <c r="M2739" s="487"/>
      <c r="N2739" s="487"/>
      <c r="O2739" s="487"/>
      <c r="P2739" s="487">
        <f t="shared" si="197"/>
        <v>377</v>
      </c>
      <c r="Q2739" s="487" t="b">
        <v>0</v>
      </c>
    </row>
    <row r="2740" spans="1:17" x14ac:dyDescent="0.3">
      <c r="A2740" s="487" t="b">
        <v>0</v>
      </c>
      <c r="B2740" s="487" t="s">
        <v>7907</v>
      </c>
      <c r="C2740" s="502">
        <v>63</v>
      </c>
      <c r="D2740" s="487">
        <f t="shared" si="194"/>
        <v>-102</v>
      </c>
      <c r="E2740" s="487">
        <f t="shared" si="195"/>
        <v>6</v>
      </c>
      <c r="F2740" s="487">
        <f t="shared" ca="1" si="196"/>
        <v>71</v>
      </c>
      <c r="G2740" s="487" t="s">
        <v>7495</v>
      </c>
      <c r="H2740" s="493"/>
      <c r="I2740" s="493"/>
      <c r="J2740" s="493"/>
      <c r="K2740" s="493"/>
      <c r="L2740" s="487"/>
      <c r="M2740" s="487"/>
      <c r="N2740" s="487"/>
      <c r="O2740" s="487"/>
      <c r="P2740" s="487">
        <f t="shared" si="197"/>
        <v>378</v>
      </c>
      <c r="Q2740" s="487" t="b">
        <v>0</v>
      </c>
    </row>
    <row r="2741" spans="1:17" x14ac:dyDescent="0.3">
      <c r="A2741" s="487" t="b">
        <v>0</v>
      </c>
      <c r="B2741" s="487" t="s">
        <v>7908</v>
      </c>
      <c r="C2741" s="502">
        <v>64</v>
      </c>
      <c r="D2741" s="487">
        <f t="shared" si="194"/>
        <v>-101</v>
      </c>
      <c r="E2741" s="487">
        <f t="shared" si="195"/>
        <v>1</v>
      </c>
      <c r="F2741" s="487">
        <f t="shared" ca="1" si="196"/>
        <v>72</v>
      </c>
      <c r="G2741" s="487" t="s">
        <v>7497</v>
      </c>
      <c r="H2741" s="493"/>
      <c r="I2741" s="493"/>
      <c r="J2741" s="493"/>
      <c r="K2741" s="493"/>
      <c r="L2741" s="487"/>
      <c r="M2741" s="487"/>
      <c r="N2741" s="487"/>
      <c r="O2741" s="487"/>
      <c r="P2741" s="487">
        <f t="shared" si="197"/>
        <v>379</v>
      </c>
      <c r="Q2741" s="487" t="b">
        <v>0</v>
      </c>
    </row>
    <row r="2742" spans="1:17" x14ac:dyDescent="0.3">
      <c r="A2742" s="487" t="b">
        <v>0</v>
      </c>
      <c r="B2742" s="487" t="s">
        <v>7909</v>
      </c>
      <c r="C2742" s="502">
        <v>64</v>
      </c>
      <c r="D2742" s="487">
        <f t="shared" si="194"/>
        <v>-100</v>
      </c>
      <c r="E2742" s="487">
        <f t="shared" si="195"/>
        <v>2</v>
      </c>
      <c r="F2742" s="487">
        <f t="shared" ca="1" si="196"/>
        <v>72</v>
      </c>
      <c r="G2742" s="487" t="s">
        <v>7497</v>
      </c>
      <c r="H2742" s="493"/>
      <c r="I2742" s="493"/>
      <c r="J2742" s="493"/>
      <c r="K2742" s="493"/>
      <c r="L2742" s="487"/>
      <c r="M2742" s="487"/>
      <c r="N2742" s="487"/>
      <c r="O2742" s="487"/>
      <c r="P2742" s="487">
        <f t="shared" si="197"/>
        <v>380</v>
      </c>
      <c r="Q2742" s="487" t="b">
        <v>0</v>
      </c>
    </row>
    <row r="2743" spans="1:17" x14ac:dyDescent="0.3">
      <c r="A2743" s="487" t="b">
        <v>0</v>
      </c>
      <c r="B2743" s="487" t="s">
        <v>7910</v>
      </c>
      <c r="C2743" s="502">
        <v>64</v>
      </c>
      <c r="D2743" s="487">
        <f t="shared" si="194"/>
        <v>-99</v>
      </c>
      <c r="E2743" s="487">
        <f t="shared" si="195"/>
        <v>3</v>
      </c>
      <c r="F2743" s="487">
        <f t="shared" ca="1" si="196"/>
        <v>72</v>
      </c>
      <c r="G2743" s="487" t="s">
        <v>7497</v>
      </c>
      <c r="H2743" s="493"/>
      <c r="I2743" s="493"/>
      <c r="J2743" s="493"/>
      <c r="K2743" s="493"/>
      <c r="L2743" s="487"/>
      <c r="M2743" s="487"/>
      <c r="N2743" s="487"/>
      <c r="O2743" s="487"/>
      <c r="P2743" s="487">
        <f t="shared" si="197"/>
        <v>381</v>
      </c>
      <c r="Q2743" s="487" t="b">
        <v>0</v>
      </c>
    </row>
    <row r="2744" spans="1:17" x14ac:dyDescent="0.3">
      <c r="A2744" s="487" t="b">
        <v>0</v>
      </c>
      <c r="B2744" s="487" t="s">
        <v>7911</v>
      </c>
      <c r="C2744" s="502">
        <v>64</v>
      </c>
      <c r="D2744" s="487">
        <f t="shared" si="194"/>
        <v>-98</v>
      </c>
      <c r="E2744" s="487">
        <f t="shared" si="195"/>
        <v>4</v>
      </c>
      <c r="F2744" s="487">
        <f t="shared" ca="1" si="196"/>
        <v>72</v>
      </c>
      <c r="G2744" s="487" t="s">
        <v>7497</v>
      </c>
      <c r="H2744" s="493"/>
      <c r="I2744" s="493"/>
      <c r="J2744" s="493"/>
      <c r="K2744" s="493"/>
      <c r="L2744" s="487"/>
      <c r="M2744" s="487"/>
      <c r="N2744" s="487"/>
      <c r="O2744" s="487"/>
      <c r="P2744" s="487">
        <f t="shared" si="197"/>
        <v>382</v>
      </c>
      <c r="Q2744" s="487" t="b">
        <v>0</v>
      </c>
    </row>
    <row r="2745" spans="1:17" x14ac:dyDescent="0.3">
      <c r="A2745" s="487" t="b">
        <v>0</v>
      </c>
      <c r="B2745" s="487" t="s">
        <v>7912</v>
      </c>
      <c r="C2745" s="502">
        <v>64</v>
      </c>
      <c r="D2745" s="487">
        <f t="shared" si="194"/>
        <v>-97</v>
      </c>
      <c r="E2745" s="487">
        <f t="shared" si="195"/>
        <v>5</v>
      </c>
      <c r="F2745" s="487">
        <f t="shared" ca="1" si="196"/>
        <v>72</v>
      </c>
      <c r="G2745" s="487" t="s">
        <v>7497</v>
      </c>
      <c r="H2745" s="493"/>
      <c r="I2745" s="493"/>
      <c r="J2745" s="493"/>
      <c r="K2745" s="493"/>
      <c r="L2745" s="487"/>
      <c r="M2745" s="487"/>
      <c r="N2745" s="487"/>
      <c r="O2745" s="487"/>
      <c r="P2745" s="487">
        <f t="shared" si="197"/>
        <v>383</v>
      </c>
      <c r="Q2745" s="487" t="b">
        <v>0</v>
      </c>
    </row>
    <row r="2746" spans="1:17" x14ac:dyDescent="0.3">
      <c r="A2746" s="487" t="b">
        <v>0</v>
      </c>
      <c r="B2746" s="487" t="s">
        <v>7913</v>
      </c>
      <c r="C2746" s="502">
        <v>64</v>
      </c>
      <c r="D2746" s="487">
        <f t="shared" si="194"/>
        <v>-96</v>
      </c>
      <c r="E2746" s="487">
        <f t="shared" si="195"/>
        <v>6</v>
      </c>
      <c r="F2746" s="487">
        <f t="shared" ca="1" si="196"/>
        <v>72</v>
      </c>
      <c r="G2746" s="487" t="s">
        <v>7497</v>
      </c>
      <c r="H2746" s="493"/>
      <c r="I2746" s="493"/>
      <c r="J2746" s="493"/>
      <c r="K2746" s="493"/>
      <c r="L2746" s="487"/>
      <c r="M2746" s="487"/>
      <c r="N2746" s="487"/>
      <c r="O2746" s="487"/>
      <c r="P2746" s="487">
        <f t="shared" si="197"/>
        <v>384</v>
      </c>
      <c r="Q2746" s="487" t="b">
        <v>0</v>
      </c>
    </row>
    <row r="2747" spans="1:17" x14ac:dyDescent="0.3">
      <c r="A2747" s="487" t="b">
        <v>0</v>
      </c>
      <c r="B2747" s="487" t="s">
        <v>7914</v>
      </c>
      <c r="C2747" s="502">
        <v>65</v>
      </c>
      <c r="D2747" s="487">
        <f t="shared" ref="D2747:D2810" si="198">D2746+1</f>
        <v>-95</v>
      </c>
      <c r="E2747" s="487">
        <f t="shared" ref="E2747:E2810" si="199">COUNTIF(C2742:C2747,C2747)</f>
        <v>1</v>
      </c>
      <c r="F2747" s="487">
        <f t="shared" ref="F2747:F2810" ca="1" si="200">IF(C2747=1,9,IF(E2746=MAX(E2745:E2747),F2745+1,F2746))</f>
        <v>73</v>
      </c>
      <c r="G2747" s="487" t="s">
        <v>7499</v>
      </c>
      <c r="H2747" s="493"/>
      <c r="I2747" s="493"/>
      <c r="J2747" s="493"/>
      <c r="K2747" s="493"/>
      <c r="L2747" s="487"/>
      <c r="M2747" s="487"/>
      <c r="N2747" s="487"/>
      <c r="O2747" s="487"/>
      <c r="P2747" s="487">
        <f t="shared" ref="P2747:P2810" si="201">IF(NOT(_xlfn.ISFORMULA(I2747)),P2746+1,0)</f>
        <v>385</v>
      </c>
      <c r="Q2747" s="487" t="b">
        <v>0</v>
      </c>
    </row>
    <row r="2748" spans="1:17" x14ac:dyDescent="0.3">
      <c r="A2748" s="487" t="b">
        <v>0</v>
      </c>
      <c r="B2748" s="487" t="s">
        <v>7915</v>
      </c>
      <c r="C2748" s="502">
        <v>65</v>
      </c>
      <c r="D2748" s="487">
        <f t="shared" si="198"/>
        <v>-94</v>
      </c>
      <c r="E2748" s="487">
        <f t="shared" si="199"/>
        <v>2</v>
      </c>
      <c r="F2748" s="487">
        <f t="shared" ca="1" si="200"/>
        <v>73</v>
      </c>
      <c r="G2748" s="487" t="s">
        <v>7499</v>
      </c>
      <c r="H2748" s="493"/>
      <c r="I2748" s="493"/>
      <c r="J2748" s="493"/>
      <c r="K2748" s="493"/>
      <c r="L2748" s="487"/>
      <c r="M2748" s="487"/>
      <c r="N2748" s="487"/>
      <c r="O2748" s="487"/>
      <c r="P2748" s="487">
        <f t="shared" si="201"/>
        <v>386</v>
      </c>
      <c r="Q2748" s="487" t="b">
        <v>0</v>
      </c>
    </row>
    <row r="2749" spans="1:17" x14ac:dyDescent="0.3">
      <c r="A2749" s="487" t="b">
        <v>0</v>
      </c>
      <c r="B2749" s="487" t="s">
        <v>7916</v>
      </c>
      <c r="C2749" s="502">
        <v>65</v>
      </c>
      <c r="D2749" s="487">
        <f t="shared" si="198"/>
        <v>-93</v>
      </c>
      <c r="E2749" s="487">
        <f t="shared" si="199"/>
        <v>3</v>
      </c>
      <c r="F2749" s="487">
        <f t="shared" ca="1" si="200"/>
        <v>73</v>
      </c>
      <c r="G2749" s="487" t="s">
        <v>7499</v>
      </c>
      <c r="H2749" s="493"/>
      <c r="I2749" s="493"/>
      <c r="J2749" s="493"/>
      <c r="K2749" s="493"/>
      <c r="L2749" s="487"/>
      <c r="M2749" s="487"/>
      <c r="N2749" s="487"/>
      <c r="O2749" s="487"/>
      <c r="P2749" s="487">
        <f t="shared" si="201"/>
        <v>387</v>
      </c>
      <c r="Q2749" s="487" t="b">
        <v>0</v>
      </c>
    </row>
    <row r="2750" spans="1:17" x14ac:dyDescent="0.3">
      <c r="A2750" s="487" t="b">
        <v>0</v>
      </c>
      <c r="B2750" s="487" t="s">
        <v>7917</v>
      </c>
      <c r="C2750" s="502">
        <v>65</v>
      </c>
      <c r="D2750" s="487">
        <f t="shared" si="198"/>
        <v>-92</v>
      </c>
      <c r="E2750" s="487">
        <f t="shared" si="199"/>
        <v>4</v>
      </c>
      <c r="F2750" s="487">
        <f t="shared" ca="1" si="200"/>
        <v>73</v>
      </c>
      <c r="G2750" s="487" t="s">
        <v>7499</v>
      </c>
      <c r="H2750" s="493"/>
      <c r="I2750" s="493"/>
      <c r="J2750" s="493"/>
      <c r="K2750" s="493"/>
      <c r="L2750" s="487"/>
      <c r="M2750" s="487"/>
      <c r="N2750" s="487"/>
      <c r="O2750" s="487"/>
      <c r="P2750" s="487">
        <f t="shared" si="201"/>
        <v>388</v>
      </c>
      <c r="Q2750" s="487" t="b">
        <v>0</v>
      </c>
    </row>
    <row r="2751" spans="1:17" x14ac:dyDescent="0.3">
      <c r="A2751" s="487" t="b">
        <v>0</v>
      </c>
      <c r="B2751" s="487" t="s">
        <v>7918</v>
      </c>
      <c r="C2751" s="502">
        <v>65</v>
      </c>
      <c r="D2751" s="487">
        <f t="shared" si="198"/>
        <v>-91</v>
      </c>
      <c r="E2751" s="487">
        <f t="shared" si="199"/>
        <v>5</v>
      </c>
      <c r="F2751" s="487">
        <f t="shared" ca="1" si="200"/>
        <v>73</v>
      </c>
      <c r="G2751" s="487" t="s">
        <v>7499</v>
      </c>
      <c r="H2751" s="493"/>
      <c r="I2751" s="493"/>
      <c r="J2751" s="493"/>
      <c r="K2751" s="493"/>
      <c r="L2751" s="487"/>
      <c r="M2751" s="487"/>
      <c r="N2751" s="487"/>
      <c r="O2751" s="487"/>
      <c r="P2751" s="487">
        <f t="shared" si="201"/>
        <v>389</v>
      </c>
      <c r="Q2751" s="487" t="b">
        <v>0</v>
      </c>
    </row>
    <row r="2752" spans="1:17" x14ac:dyDescent="0.3">
      <c r="A2752" s="487" t="b">
        <v>0</v>
      </c>
      <c r="B2752" s="487" t="s">
        <v>7919</v>
      </c>
      <c r="C2752" s="502">
        <v>65</v>
      </c>
      <c r="D2752" s="487">
        <f t="shared" si="198"/>
        <v>-90</v>
      </c>
      <c r="E2752" s="487">
        <f t="shared" si="199"/>
        <v>6</v>
      </c>
      <c r="F2752" s="487">
        <f t="shared" ca="1" si="200"/>
        <v>73</v>
      </c>
      <c r="G2752" s="487" t="s">
        <v>7499</v>
      </c>
      <c r="H2752" s="493"/>
      <c r="I2752" s="493"/>
      <c r="J2752" s="493"/>
      <c r="K2752" s="493"/>
      <c r="L2752" s="487"/>
      <c r="M2752" s="487"/>
      <c r="N2752" s="487"/>
      <c r="O2752" s="487"/>
      <c r="P2752" s="487">
        <f t="shared" si="201"/>
        <v>390</v>
      </c>
      <c r="Q2752" s="487" t="b">
        <v>0</v>
      </c>
    </row>
    <row r="2753" spans="1:17" x14ac:dyDescent="0.3">
      <c r="A2753" s="487" t="b">
        <v>0</v>
      </c>
      <c r="B2753" s="487" t="s">
        <v>7920</v>
      </c>
      <c r="C2753" s="502">
        <v>66</v>
      </c>
      <c r="D2753" s="487">
        <f t="shared" si="198"/>
        <v>-89</v>
      </c>
      <c r="E2753" s="487">
        <f t="shared" si="199"/>
        <v>1</v>
      </c>
      <c r="F2753" s="487">
        <f t="shared" ca="1" si="200"/>
        <v>74</v>
      </c>
      <c r="G2753" s="487" t="s">
        <v>7501</v>
      </c>
      <c r="H2753" s="493"/>
      <c r="I2753" s="493"/>
      <c r="J2753" s="493"/>
      <c r="K2753" s="493"/>
      <c r="L2753" s="487"/>
      <c r="M2753" s="487"/>
      <c r="N2753" s="487"/>
      <c r="O2753" s="487"/>
      <c r="P2753" s="487">
        <f t="shared" si="201"/>
        <v>391</v>
      </c>
      <c r="Q2753" s="487" t="b">
        <v>0</v>
      </c>
    </row>
    <row r="2754" spans="1:17" x14ac:dyDescent="0.3">
      <c r="A2754" s="487" t="b">
        <v>0</v>
      </c>
      <c r="B2754" s="487" t="s">
        <v>7921</v>
      </c>
      <c r="C2754" s="502">
        <v>66</v>
      </c>
      <c r="D2754" s="487">
        <f t="shared" si="198"/>
        <v>-88</v>
      </c>
      <c r="E2754" s="487">
        <f t="shared" si="199"/>
        <v>2</v>
      </c>
      <c r="F2754" s="487">
        <f t="shared" ca="1" si="200"/>
        <v>74</v>
      </c>
      <c r="G2754" s="487" t="s">
        <v>7501</v>
      </c>
      <c r="H2754" s="493"/>
      <c r="I2754" s="493"/>
      <c r="J2754" s="493"/>
      <c r="K2754" s="493"/>
      <c r="L2754" s="487"/>
      <c r="M2754" s="487"/>
      <c r="N2754" s="487"/>
      <c r="O2754" s="487"/>
      <c r="P2754" s="487">
        <f t="shared" si="201"/>
        <v>392</v>
      </c>
      <c r="Q2754" s="487" t="b">
        <v>0</v>
      </c>
    </row>
    <row r="2755" spans="1:17" x14ac:dyDescent="0.3">
      <c r="A2755" s="487" t="b">
        <v>0</v>
      </c>
      <c r="B2755" s="487" t="s">
        <v>7922</v>
      </c>
      <c r="C2755" s="502">
        <v>66</v>
      </c>
      <c r="D2755" s="487">
        <f t="shared" si="198"/>
        <v>-87</v>
      </c>
      <c r="E2755" s="487">
        <f t="shared" si="199"/>
        <v>3</v>
      </c>
      <c r="F2755" s="487">
        <f t="shared" ca="1" si="200"/>
        <v>74</v>
      </c>
      <c r="G2755" s="487" t="s">
        <v>7501</v>
      </c>
      <c r="H2755" s="493"/>
      <c r="I2755" s="493"/>
      <c r="J2755" s="493"/>
      <c r="K2755" s="493"/>
      <c r="L2755" s="487"/>
      <c r="M2755" s="487"/>
      <c r="N2755" s="487"/>
      <c r="O2755" s="487"/>
      <c r="P2755" s="487">
        <f t="shared" si="201"/>
        <v>393</v>
      </c>
      <c r="Q2755" s="487" t="b">
        <v>0</v>
      </c>
    </row>
    <row r="2756" spans="1:17" x14ac:dyDescent="0.3">
      <c r="A2756" s="487" t="b">
        <v>0</v>
      </c>
      <c r="B2756" s="487" t="s">
        <v>7923</v>
      </c>
      <c r="C2756" s="502">
        <v>66</v>
      </c>
      <c r="D2756" s="487">
        <f t="shared" si="198"/>
        <v>-86</v>
      </c>
      <c r="E2756" s="487">
        <f t="shared" si="199"/>
        <v>4</v>
      </c>
      <c r="F2756" s="487">
        <f t="shared" ca="1" si="200"/>
        <v>74</v>
      </c>
      <c r="G2756" s="487" t="s">
        <v>7501</v>
      </c>
      <c r="H2756" s="493"/>
      <c r="I2756" s="493"/>
      <c r="J2756" s="493"/>
      <c r="K2756" s="493"/>
      <c r="L2756" s="487"/>
      <c r="M2756" s="487"/>
      <c r="N2756" s="487"/>
      <c r="O2756" s="487"/>
      <c r="P2756" s="487">
        <f t="shared" si="201"/>
        <v>394</v>
      </c>
      <c r="Q2756" s="487" t="b">
        <v>0</v>
      </c>
    </row>
    <row r="2757" spans="1:17" x14ac:dyDescent="0.3">
      <c r="A2757" s="487" t="b">
        <v>0</v>
      </c>
      <c r="B2757" s="487" t="s">
        <v>7924</v>
      </c>
      <c r="C2757" s="502">
        <v>66</v>
      </c>
      <c r="D2757" s="487">
        <f t="shared" si="198"/>
        <v>-85</v>
      </c>
      <c r="E2757" s="487">
        <f t="shared" si="199"/>
        <v>5</v>
      </c>
      <c r="F2757" s="487">
        <f t="shared" ca="1" si="200"/>
        <v>74</v>
      </c>
      <c r="G2757" s="487" t="s">
        <v>7501</v>
      </c>
      <c r="H2757" s="493"/>
      <c r="I2757" s="493"/>
      <c r="J2757" s="493"/>
      <c r="K2757" s="493"/>
      <c r="L2757" s="487"/>
      <c r="M2757" s="487"/>
      <c r="N2757" s="487"/>
      <c r="O2757" s="487"/>
      <c r="P2757" s="487">
        <f t="shared" si="201"/>
        <v>395</v>
      </c>
      <c r="Q2757" s="487" t="b">
        <v>0</v>
      </c>
    </row>
    <row r="2758" spans="1:17" x14ac:dyDescent="0.3">
      <c r="A2758" s="487" t="b">
        <v>0</v>
      </c>
      <c r="B2758" s="487" t="s">
        <v>7925</v>
      </c>
      <c r="C2758" s="502">
        <v>66</v>
      </c>
      <c r="D2758" s="487">
        <f t="shared" si="198"/>
        <v>-84</v>
      </c>
      <c r="E2758" s="487">
        <f t="shared" si="199"/>
        <v>6</v>
      </c>
      <c r="F2758" s="487">
        <f t="shared" ca="1" si="200"/>
        <v>74</v>
      </c>
      <c r="G2758" s="487" t="s">
        <v>7501</v>
      </c>
      <c r="H2758" s="493"/>
      <c r="I2758" s="493"/>
      <c r="J2758" s="493"/>
      <c r="K2758" s="493"/>
      <c r="L2758" s="487"/>
      <c r="M2758" s="487"/>
      <c r="N2758" s="487"/>
      <c r="O2758" s="487"/>
      <c r="P2758" s="487">
        <f t="shared" si="201"/>
        <v>396</v>
      </c>
      <c r="Q2758" s="487" t="b">
        <v>0</v>
      </c>
    </row>
    <row r="2759" spans="1:17" x14ac:dyDescent="0.3">
      <c r="A2759" s="487" t="b">
        <v>0</v>
      </c>
      <c r="B2759" s="487" t="s">
        <v>7926</v>
      </c>
      <c r="C2759" s="502">
        <v>67</v>
      </c>
      <c r="D2759" s="487">
        <f t="shared" si="198"/>
        <v>-83</v>
      </c>
      <c r="E2759" s="487">
        <f t="shared" si="199"/>
        <v>1</v>
      </c>
      <c r="F2759" s="487">
        <f t="shared" ca="1" si="200"/>
        <v>75</v>
      </c>
      <c r="G2759" s="487" t="s">
        <v>7503</v>
      </c>
      <c r="H2759" s="493"/>
      <c r="I2759" s="493"/>
      <c r="J2759" s="493"/>
      <c r="K2759" s="493"/>
      <c r="L2759" s="487"/>
      <c r="M2759" s="487"/>
      <c r="N2759" s="487"/>
      <c r="O2759" s="487"/>
      <c r="P2759" s="487">
        <f t="shared" si="201"/>
        <v>397</v>
      </c>
      <c r="Q2759" s="487" t="b">
        <v>0</v>
      </c>
    </row>
    <row r="2760" spans="1:17" x14ac:dyDescent="0.3">
      <c r="A2760" s="487" t="b">
        <v>0</v>
      </c>
      <c r="B2760" s="487" t="s">
        <v>7927</v>
      </c>
      <c r="C2760" s="502">
        <v>67</v>
      </c>
      <c r="D2760" s="487">
        <f t="shared" si="198"/>
        <v>-82</v>
      </c>
      <c r="E2760" s="487">
        <f t="shared" si="199"/>
        <v>2</v>
      </c>
      <c r="F2760" s="487">
        <f t="shared" ca="1" si="200"/>
        <v>75</v>
      </c>
      <c r="G2760" s="487" t="s">
        <v>7503</v>
      </c>
      <c r="H2760" s="493"/>
      <c r="I2760" s="493"/>
      <c r="J2760" s="493"/>
      <c r="K2760" s="493"/>
      <c r="L2760" s="487"/>
      <c r="M2760" s="487"/>
      <c r="N2760" s="487"/>
      <c r="O2760" s="487"/>
      <c r="P2760" s="487">
        <f t="shared" si="201"/>
        <v>398</v>
      </c>
      <c r="Q2760" s="487" t="b">
        <v>0</v>
      </c>
    </row>
    <row r="2761" spans="1:17" x14ac:dyDescent="0.3">
      <c r="A2761" s="487" t="b">
        <v>0</v>
      </c>
      <c r="B2761" s="487" t="s">
        <v>7928</v>
      </c>
      <c r="C2761" s="502">
        <v>67</v>
      </c>
      <c r="D2761" s="487">
        <f t="shared" si="198"/>
        <v>-81</v>
      </c>
      <c r="E2761" s="487">
        <f t="shared" si="199"/>
        <v>3</v>
      </c>
      <c r="F2761" s="487">
        <f t="shared" ca="1" si="200"/>
        <v>75</v>
      </c>
      <c r="G2761" s="487" t="s">
        <v>7503</v>
      </c>
      <c r="H2761" s="493"/>
      <c r="I2761" s="493"/>
      <c r="J2761" s="493"/>
      <c r="K2761" s="493"/>
      <c r="L2761" s="487"/>
      <c r="M2761" s="487"/>
      <c r="N2761" s="487"/>
      <c r="O2761" s="487"/>
      <c r="P2761" s="487">
        <f t="shared" si="201"/>
        <v>399</v>
      </c>
      <c r="Q2761" s="487" t="b">
        <v>0</v>
      </c>
    </row>
    <row r="2762" spans="1:17" x14ac:dyDescent="0.3">
      <c r="A2762" s="487" t="b">
        <v>0</v>
      </c>
      <c r="B2762" s="487" t="s">
        <v>7929</v>
      </c>
      <c r="C2762" s="502">
        <v>67</v>
      </c>
      <c r="D2762" s="487">
        <f t="shared" si="198"/>
        <v>-80</v>
      </c>
      <c r="E2762" s="487">
        <f t="shared" si="199"/>
        <v>4</v>
      </c>
      <c r="F2762" s="487">
        <f t="shared" ca="1" si="200"/>
        <v>75</v>
      </c>
      <c r="G2762" s="487" t="s">
        <v>7503</v>
      </c>
      <c r="H2762" s="493"/>
      <c r="I2762" s="493"/>
      <c r="J2762" s="493"/>
      <c r="K2762" s="493"/>
      <c r="L2762" s="487"/>
      <c r="M2762" s="487"/>
      <c r="N2762" s="487"/>
      <c r="O2762" s="487"/>
      <c r="P2762" s="487">
        <f t="shared" si="201"/>
        <v>400</v>
      </c>
      <c r="Q2762" s="487" t="b">
        <v>0</v>
      </c>
    </row>
    <row r="2763" spans="1:17" x14ac:dyDescent="0.3">
      <c r="A2763" s="487" t="b">
        <v>0</v>
      </c>
      <c r="B2763" s="487" t="s">
        <v>7930</v>
      </c>
      <c r="C2763" s="502">
        <v>67</v>
      </c>
      <c r="D2763" s="487">
        <f t="shared" si="198"/>
        <v>-79</v>
      </c>
      <c r="E2763" s="487">
        <f t="shared" si="199"/>
        <v>5</v>
      </c>
      <c r="F2763" s="487">
        <f t="shared" ca="1" si="200"/>
        <v>75</v>
      </c>
      <c r="G2763" s="487" t="s">
        <v>7503</v>
      </c>
      <c r="H2763" s="493"/>
      <c r="I2763" s="493"/>
      <c r="J2763" s="493"/>
      <c r="K2763" s="493"/>
      <c r="L2763" s="487"/>
      <c r="M2763" s="487"/>
      <c r="N2763" s="487"/>
      <c r="O2763" s="487"/>
      <c r="P2763" s="487">
        <f t="shared" si="201"/>
        <v>401</v>
      </c>
      <c r="Q2763" s="487" t="b">
        <v>0</v>
      </c>
    </row>
    <row r="2764" spans="1:17" x14ac:dyDescent="0.3">
      <c r="A2764" s="487" t="b">
        <v>0</v>
      </c>
      <c r="B2764" s="487" t="s">
        <v>7931</v>
      </c>
      <c r="C2764" s="502">
        <v>67</v>
      </c>
      <c r="D2764" s="487">
        <f t="shared" si="198"/>
        <v>-78</v>
      </c>
      <c r="E2764" s="487">
        <f t="shared" si="199"/>
        <v>6</v>
      </c>
      <c r="F2764" s="487">
        <f t="shared" ca="1" si="200"/>
        <v>75</v>
      </c>
      <c r="G2764" s="487" t="s">
        <v>7503</v>
      </c>
      <c r="H2764" s="493"/>
      <c r="I2764" s="493"/>
      <c r="J2764" s="493"/>
      <c r="K2764" s="493"/>
      <c r="L2764" s="487"/>
      <c r="M2764" s="487"/>
      <c r="N2764" s="487"/>
      <c r="O2764" s="487"/>
      <c r="P2764" s="487">
        <f t="shared" si="201"/>
        <v>402</v>
      </c>
      <c r="Q2764" s="487" t="b">
        <v>0</v>
      </c>
    </row>
    <row r="2765" spans="1:17" x14ac:dyDescent="0.3">
      <c r="A2765" s="487" t="b">
        <v>0</v>
      </c>
      <c r="B2765" s="487" t="s">
        <v>7932</v>
      </c>
      <c r="C2765" s="502">
        <v>68</v>
      </c>
      <c r="D2765" s="487">
        <f t="shared" si="198"/>
        <v>-77</v>
      </c>
      <c r="E2765" s="487">
        <f t="shared" si="199"/>
        <v>1</v>
      </c>
      <c r="F2765" s="487">
        <f t="shared" ca="1" si="200"/>
        <v>76</v>
      </c>
      <c r="G2765" s="487" t="s">
        <v>7505</v>
      </c>
      <c r="H2765" s="493"/>
      <c r="I2765" s="493"/>
      <c r="J2765" s="493"/>
      <c r="K2765" s="493"/>
      <c r="L2765" s="487"/>
      <c r="M2765" s="487"/>
      <c r="N2765" s="487"/>
      <c r="O2765" s="487"/>
      <c r="P2765" s="487">
        <f t="shared" si="201"/>
        <v>403</v>
      </c>
      <c r="Q2765" s="487" t="b">
        <v>0</v>
      </c>
    </row>
    <row r="2766" spans="1:17" x14ac:dyDescent="0.3">
      <c r="A2766" s="487" t="b">
        <v>0</v>
      </c>
      <c r="B2766" s="487" t="s">
        <v>7933</v>
      </c>
      <c r="C2766" s="502">
        <v>68</v>
      </c>
      <c r="D2766" s="487">
        <f t="shared" si="198"/>
        <v>-76</v>
      </c>
      <c r="E2766" s="487">
        <f t="shared" si="199"/>
        <v>2</v>
      </c>
      <c r="F2766" s="487">
        <f t="shared" ca="1" si="200"/>
        <v>76</v>
      </c>
      <c r="G2766" s="487" t="s">
        <v>7505</v>
      </c>
      <c r="H2766" s="493"/>
      <c r="I2766" s="493"/>
      <c r="J2766" s="493"/>
      <c r="K2766" s="493"/>
      <c r="L2766" s="487"/>
      <c r="M2766" s="487"/>
      <c r="N2766" s="487"/>
      <c r="O2766" s="487"/>
      <c r="P2766" s="487">
        <f t="shared" si="201"/>
        <v>404</v>
      </c>
      <c r="Q2766" s="487" t="b">
        <v>0</v>
      </c>
    </row>
    <row r="2767" spans="1:17" x14ac:dyDescent="0.3">
      <c r="A2767" s="487" t="b">
        <v>0</v>
      </c>
      <c r="B2767" s="487" t="s">
        <v>7934</v>
      </c>
      <c r="C2767" s="502">
        <v>68</v>
      </c>
      <c r="D2767" s="487">
        <f t="shared" si="198"/>
        <v>-75</v>
      </c>
      <c r="E2767" s="487">
        <f t="shared" si="199"/>
        <v>3</v>
      </c>
      <c r="F2767" s="487">
        <f t="shared" ca="1" si="200"/>
        <v>76</v>
      </c>
      <c r="G2767" s="487" t="s">
        <v>7505</v>
      </c>
      <c r="H2767" s="493"/>
      <c r="I2767" s="493"/>
      <c r="J2767" s="493"/>
      <c r="K2767" s="493"/>
      <c r="L2767" s="487"/>
      <c r="M2767" s="487"/>
      <c r="N2767" s="487"/>
      <c r="O2767" s="487"/>
      <c r="P2767" s="487">
        <f t="shared" si="201"/>
        <v>405</v>
      </c>
      <c r="Q2767" s="487" t="b">
        <v>0</v>
      </c>
    </row>
    <row r="2768" spans="1:17" x14ac:dyDescent="0.3">
      <c r="A2768" s="487" t="b">
        <v>0</v>
      </c>
      <c r="B2768" s="487" t="s">
        <v>7935</v>
      </c>
      <c r="C2768" s="502">
        <v>68</v>
      </c>
      <c r="D2768" s="487">
        <f t="shared" si="198"/>
        <v>-74</v>
      </c>
      <c r="E2768" s="487">
        <f t="shared" si="199"/>
        <v>4</v>
      </c>
      <c r="F2768" s="487">
        <f t="shared" ca="1" si="200"/>
        <v>76</v>
      </c>
      <c r="G2768" s="487" t="s">
        <v>7505</v>
      </c>
      <c r="H2768" s="493"/>
      <c r="I2768" s="493"/>
      <c r="J2768" s="493"/>
      <c r="K2768" s="493"/>
      <c r="L2768" s="487"/>
      <c r="M2768" s="487"/>
      <c r="N2768" s="487"/>
      <c r="O2768" s="487"/>
      <c r="P2768" s="487">
        <f t="shared" si="201"/>
        <v>406</v>
      </c>
      <c r="Q2768" s="487" t="b">
        <v>0</v>
      </c>
    </row>
    <row r="2769" spans="1:17" x14ac:dyDescent="0.3">
      <c r="A2769" s="487" t="b">
        <v>0</v>
      </c>
      <c r="B2769" s="487" t="s">
        <v>7936</v>
      </c>
      <c r="C2769" s="502">
        <v>68</v>
      </c>
      <c r="D2769" s="487">
        <f t="shared" si="198"/>
        <v>-73</v>
      </c>
      <c r="E2769" s="487">
        <f t="shared" si="199"/>
        <v>5</v>
      </c>
      <c r="F2769" s="487">
        <f t="shared" ca="1" si="200"/>
        <v>76</v>
      </c>
      <c r="G2769" s="487" t="s">
        <v>7505</v>
      </c>
      <c r="H2769" s="493"/>
      <c r="I2769" s="493"/>
      <c r="J2769" s="493"/>
      <c r="K2769" s="493"/>
      <c r="L2769" s="487"/>
      <c r="M2769" s="487"/>
      <c r="N2769" s="487"/>
      <c r="O2769" s="487"/>
      <c r="P2769" s="487">
        <f t="shared" si="201"/>
        <v>407</v>
      </c>
      <c r="Q2769" s="487" t="b">
        <v>0</v>
      </c>
    </row>
    <row r="2770" spans="1:17" x14ac:dyDescent="0.3">
      <c r="A2770" s="487" t="b">
        <v>0</v>
      </c>
      <c r="B2770" s="487" t="s">
        <v>7937</v>
      </c>
      <c r="C2770" s="502">
        <v>68</v>
      </c>
      <c r="D2770" s="487">
        <f t="shared" si="198"/>
        <v>-72</v>
      </c>
      <c r="E2770" s="487">
        <f t="shared" si="199"/>
        <v>6</v>
      </c>
      <c r="F2770" s="487">
        <f t="shared" ca="1" si="200"/>
        <v>76</v>
      </c>
      <c r="G2770" s="487" t="s">
        <v>7505</v>
      </c>
      <c r="H2770" s="493"/>
      <c r="I2770" s="493"/>
      <c r="J2770" s="493"/>
      <c r="K2770" s="493"/>
      <c r="L2770" s="487"/>
      <c r="M2770" s="487"/>
      <c r="N2770" s="487"/>
      <c r="O2770" s="487"/>
      <c r="P2770" s="487">
        <f t="shared" si="201"/>
        <v>408</v>
      </c>
      <c r="Q2770" s="487" t="b">
        <v>0</v>
      </c>
    </row>
    <row r="2771" spans="1:17" x14ac:dyDescent="0.3">
      <c r="A2771" s="487" t="b">
        <v>0</v>
      </c>
      <c r="B2771" s="487" t="s">
        <v>7938</v>
      </c>
      <c r="C2771" s="502">
        <v>69</v>
      </c>
      <c r="D2771" s="487">
        <f t="shared" si="198"/>
        <v>-71</v>
      </c>
      <c r="E2771" s="487">
        <f t="shared" si="199"/>
        <v>1</v>
      </c>
      <c r="F2771" s="487">
        <f t="shared" ca="1" si="200"/>
        <v>77</v>
      </c>
      <c r="G2771" s="487" t="s">
        <v>7507</v>
      </c>
      <c r="H2771" s="493"/>
      <c r="I2771" s="493"/>
      <c r="J2771" s="493"/>
      <c r="K2771" s="493"/>
      <c r="L2771" s="487"/>
      <c r="M2771" s="487"/>
      <c r="N2771" s="487"/>
      <c r="O2771" s="487"/>
      <c r="P2771" s="487">
        <f t="shared" si="201"/>
        <v>409</v>
      </c>
      <c r="Q2771" s="487" t="b">
        <v>0</v>
      </c>
    </row>
    <row r="2772" spans="1:17" x14ac:dyDescent="0.3">
      <c r="A2772" s="487" t="b">
        <v>0</v>
      </c>
      <c r="B2772" s="487" t="s">
        <v>7939</v>
      </c>
      <c r="C2772" s="502">
        <v>69</v>
      </c>
      <c r="D2772" s="487">
        <f t="shared" si="198"/>
        <v>-70</v>
      </c>
      <c r="E2772" s="487">
        <f t="shared" si="199"/>
        <v>2</v>
      </c>
      <c r="F2772" s="487">
        <f t="shared" ca="1" si="200"/>
        <v>77</v>
      </c>
      <c r="G2772" s="487" t="s">
        <v>7507</v>
      </c>
      <c r="H2772" s="493"/>
      <c r="I2772" s="493"/>
      <c r="J2772" s="493"/>
      <c r="K2772" s="493"/>
      <c r="L2772" s="487"/>
      <c r="M2772" s="487"/>
      <c r="N2772" s="487"/>
      <c r="O2772" s="487"/>
      <c r="P2772" s="487">
        <f t="shared" si="201"/>
        <v>410</v>
      </c>
      <c r="Q2772" s="487" t="b">
        <v>0</v>
      </c>
    </row>
    <row r="2773" spans="1:17" x14ac:dyDescent="0.3">
      <c r="A2773" s="487" t="b">
        <v>0</v>
      </c>
      <c r="B2773" s="487" t="s">
        <v>7940</v>
      </c>
      <c r="C2773" s="502">
        <v>69</v>
      </c>
      <c r="D2773" s="487">
        <f t="shared" si="198"/>
        <v>-69</v>
      </c>
      <c r="E2773" s="487">
        <f t="shared" si="199"/>
        <v>3</v>
      </c>
      <c r="F2773" s="487">
        <f t="shared" ca="1" si="200"/>
        <v>77</v>
      </c>
      <c r="G2773" s="487" t="s">
        <v>7507</v>
      </c>
      <c r="H2773" s="493"/>
      <c r="I2773" s="493"/>
      <c r="J2773" s="493"/>
      <c r="K2773" s="493"/>
      <c r="L2773" s="487"/>
      <c r="M2773" s="487"/>
      <c r="N2773" s="487"/>
      <c r="O2773" s="487"/>
      <c r="P2773" s="487">
        <f t="shared" si="201"/>
        <v>411</v>
      </c>
      <c r="Q2773" s="487" t="b">
        <v>0</v>
      </c>
    </row>
    <row r="2774" spans="1:17" x14ac:dyDescent="0.3">
      <c r="A2774" s="487" t="b">
        <v>0</v>
      </c>
      <c r="B2774" s="487" t="s">
        <v>7941</v>
      </c>
      <c r="C2774" s="502">
        <v>69</v>
      </c>
      <c r="D2774" s="487">
        <f t="shared" si="198"/>
        <v>-68</v>
      </c>
      <c r="E2774" s="487">
        <f t="shared" si="199"/>
        <v>4</v>
      </c>
      <c r="F2774" s="487">
        <f t="shared" ca="1" si="200"/>
        <v>77</v>
      </c>
      <c r="G2774" s="487" t="s">
        <v>7507</v>
      </c>
      <c r="H2774" s="493"/>
      <c r="I2774" s="493"/>
      <c r="J2774" s="493"/>
      <c r="K2774" s="493"/>
      <c r="L2774" s="487"/>
      <c r="M2774" s="487"/>
      <c r="N2774" s="487"/>
      <c r="O2774" s="487"/>
      <c r="P2774" s="487">
        <f t="shared" si="201"/>
        <v>412</v>
      </c>
      <c r="Q2774" s="487" t="b">
        <v>0</v>
      </c>
    </row>
    <row r="2775" spans="1:17" x14ac:dyDescent="0.3">
      <c r="A2775" s="487" t="b">
        <v>0</v>
      </c>
      <c r="B2775" s="487" t="s">
        <v>7942</v>
      </c>
      <c r="C2775" s="502">
        <v>69</v>
      </c>
      <c r="D2775" s="487">
        <f t="shared" si="198"/>
        <v>-67</v>
      </c>
      <c r="E2775" s="487">
        <f t="shared" si="199"/>
        <v>5</v>
      </c>
      <c r="F2775" s="487">
        <f t="shared" ca="1" si="200"/>
        <v>77</v>
      </c>
      <c r="G2775" s="487" t="s">
        <v>7507</v>
      </c>
      <c r="H2775" s="493"/>
      <c r="I2775" s="493"/>
      <c r="J2775" s="493"/>
      <c r="K2775" s="493"/>
      <c r="L2775" s="487"/>
      <c r="M2775" s="487"/>
      <c r="N2775" s="487"/>
      <c r="O2775" s="487"/>
      <c r="P2775" s="487">
        <f t="shared" si="201"/>
        <v>413</v>
      </c>
      <c r="Q2775" s="487" t="b">
        <v>0</v>
      </c>
    </row>
    <row r="2776" spans="1:17" x14ac:dyDescent="0.3">
      <c r="A2776" s="487" t="b">
        <v>0</v>
      </c>
      <c r="B2776" s="487" t="s">
        <v>7943</v>
      </c>
      <c r="C2776" s="502">
        <v>69</v>
      </c>
      <c r="D2776" s="487">
        <f t="shared" si="198"/>
        <v>-66</v>
      </c>
      <c r="E2776" s="487">
        <f t="shared" si="199"/>
        <v>6</v>
      </c>
      <c r="F2776" s="487">
        <f t="shared" ca="1" si="200"/>
        <v>77</v>
      </c>
      <c r="G2776" s="487" t="s">
        <v>7507</v>
      </c>
      <c r="H2776" s="493"/>
      <c r="I2776" s="493"/>
      <c r="J2776" s="493"/>
      <c r="K2776" s="493"/>
      <c r="L2776" s="487"/>
      <c r="M2776" s="487"/>
      <c r="N2776" s="487"/>
      <c r="O2776" s="487"/>
      <c r="P2776" s="487">
        <f t="shared" si="201"/>
        <v>414</v>
      </c>
      <c r="Q2776" s="487" t="b">
        <v>0</v>
      </c>
    </row>
    <row r="2777" spans="1:17" x14ac:dyDescent="0.3">
      <c r="A2777" s="487" t="b">
        <v>0</v>
      </c>
      <c r="B2777" s="487" t="s">
        <v>7944</v>
      </c>
      <c r="C2777" s="502">
        <v>70</v>
      </c>
      <c r="D2777" s="487">
        <f t="shared" si="198"/>
        <v>-65</v>
      </c>
      <c r="E2777" s="487">
        <f t="shared" si="199"/>
        <v>1</v>
      </c>
      <c r="F2777" s="487">
        <f t="shared" ca="1" si="200"/>
        <v>78</v>
      </c>
      <c r="G2777" s="487" t="s">
        <v>7509</v>
      </c>
      <c r="H2777" s="493"/>
      <c r="I2777" s="493"/>
      <c r="J2777" s="493"/>
      <c r="K2777" s="493"/>
      <c r="L2777" s="487"/>
      <c r="M2777" s="487"/>
      <c r="N2777" s="487"/>
      <c r="O2777" s="487"/>
      <c r="P2777" s="487">
        <f t="shared" si="201"/>
        <v>415</v>
      </c>
      <c r="Q2777" s="487" t="b">
        <v>0</v>
      </c>
    </row>
    <row r="2778" spans="1:17" x14ac:dyDescent="0.3">
      <c r="A2778" s="487" t="b">
        <v>0</v>
      </c>
      <c r="B2778" s="487" t="s">
        <v>7945</v>
      </c>
      <c r="C2778" s="502">
        <v>70</v>
      </c>
      <c r="D2778" s="487">
        <f t="shared" si="198"/>
        <v>-64</v>
      </c>
      <c r="E2778" s="487">
        <f t="shared" si="199"/>
        <v>2</v>
      </c>
      <c r="F2778" s="487">
        <f t="shared" ca="1" si="200"/>
        <v>78</v>
      </c>
      <c r="G2778" s="487" t="s">
        <v>7509</v>
      </c>
      <c r="H2778" s="493"/>
      <c r="I2778" s="493"/>
      <c r="J2778" s="493"/>
      <c r="K2778" s="493"/>
      <c r="L2778" s="487"/>
      <c r="M2778" s="487"/>
      <c r="N2778" s="487"/>
      <c r="O2778" s="487"/>
      <c r="P2778" s="487">
        <f t="shared" si="201"/>
        <v>416</v>
      </c>
      <c r="Q2778" s="487" t="b">
        <v>0</v>
      </c>
    </row>
    <row r="2779" spans="1:17" x14ac:dyDescent="0.3">
      <c r="A2779" s="487" t="b">
        <v>0</v>
      </c>
      <c r="B2779" s="487" t="s">
        <v>7946</v>
      </c>
      <c r="C2779" s="502">
        <v>70</v>
      </c>
      <c r="D2779" s="487">
        <f t="shared" si="198"/>
        <v>-63</v>
      </c>
      <c r="E2779" s="487">
        <f t="shared" si="199"/>
        <v>3</v>
      </c>
      <c r="F2779" s="487">
        <f t="shared" ca="1" si="200"/>
        <v>78</v>
      </c>
      <c r="G2779" s="487" t="s">
        <v>7509</v>
      </c>
      <c r="H2779" s="493"/>
      <c r="I2779" s="493"/>
      <c r="J2779" s="493"/>
      <c r="K2779" s="493"/>
      <c r="L2779" s="487"/>
      <c r="M2779" s="487"/>
      <c r="N2779" s="487"/>
      <c r="O2779" s="487"/>
      <c r="P2779" s="487">
        <f t="shared" si="201"/>
        <v>417</v>
      </c>
      <c r="Q2779" s="487" t="b">
        <v>0</v>
      </c>
    </row>
    <row r="2780" spans="1:17" x14ac:dyDescent="0.3">
      <c r="A2780" s="487" t="b">
        <v>0</v>
      </c>
      <c r="B2780" s="487" t="s">
        <v>7947</v>
      </c>
      <c r="C2780" s="502">
        <v>70</v>
      </c>
      <c r="D2780" s="487">
        <f t="shared" si="198"/>
        <v>-62</v>
      </c>
      <c r="E2780" s="487">
        <f t="shared" si="199"/>
        <v>4</v>
      </c>
      <c r="F2780" s="487">
        <f t="shared" ca="1" si="200"/>
        <v>78</v>
      </c>
      <c r="G2780" s="487" t="s">
        <v>7509</v>
      </c>
      <c r="H2780" s="493"/>
      <c r="I2780" s="493"/>
      <c r="J2780" s="493"/>
      <c r="K2780" s="493"/>
      <c r="L2780" s="487"/>
      <c r="M2780" s="487"/>
      <c r="N2780" s="487"/>
      <c r="O2780" s="487"/>
      <c r="P2780" s="487">
        <f t="shared" si="201"/>
        <v>418</v>
      </c>
      <c r="Q2780" s="487" t="b">
        <v>0</v>
      </c>
    </row>
    <row r="2781" spans="1:17" x14ac:dyDescent="0.3">
      <c r="A2781" s="487" t="b">
        <v>0</v>
      </c>
      <c r="B2781" s="487" t="s">
        <v>7948</v>
      </c>
      <c r="C2781" s="502">
        <v>70</v>
      </c>
      <c r="D2781" s="487">
        <f t="shared" si="198"/>
        <v>-61</v>
      </c>
      <c r="E2781" s="487">
        <f t="shared" si="199"/>
        <v>5</v>
      </c>
      <c r="F2781" s="487">
        <f t="shared" ca="1" si="200"/>
        <v>78</v>
      </c>
      <c r="G2781" s="487" t="s">
        <v>7509</v>
      </c>
      <c r="H2781" s="493"/>
      <c r="I2781" s="493"/>
      <c r="J2781" s="493"/>
      <c r="K2781" s="493"/>
      <c r="L2781" s="487"/>
      <c r="M2781" s="487"/>
      <c r="N2781" s="487"/>
      <c r="O2781" s="487"/>
      <c r="P2781" s="487">
        <f t="shared" si="201"/>
        <v>419</v>
      </c>
      <c r="Q2781" s="487" t="b">
        <v>0</v>
      </c>
    </row>
    <row r="2782" spans="1:17" x14ac:dyDescent="0.3">
      <c r="A2782" s="487" t="b">
        <v>0</v>
      </c>
      <c r="B2782" s="487" t="s">
        <v>7949</v>
      </c>
      <c r="C2782" s="502">
        <v>70</v>
      </c>
      <c r="D2782" s="487">
        <f t="shared" si="198"/>
        <v>-60</v>
      </c>
      <c r="E2782" s="487">
        <f t="shared" si="199"/>
        <v>6</v>
      </c>
      <c r="F2782" s="487">
        <f t="shared" ca="1" si="200"/>
        <v>78</v>
      </c>
      <c r="G2782" s="487" t="s">
        <v>7509</v>
      </c>
      <c r="H2782" s="493"/>
      <c r="I2782" s="493"/>
      <c r="J2782" s="493"/>
      <c r="K2782" s="493"/>
      <c r="L2782" s="487"/>
      <c r="M2782" s="487"/>
      <c r="N2782" s="487"/>
      <c r="O2782" s="487"/>
      <c r="P2782" s="487">
        <f t="shared" si="201"/>
        <v>420</v>
      </c>
      <c r="Q2782" s="487" t="b">
        <v>0</v>
      </c>
    </row>
    <row r="2783" spans="1:17" x14ac:dyDescent="0.3">
      <c r="A2783" s="487" t="b">
        <v>0</v>
      </c>
      <c r="B2783" s="487" t="s">
        <v>7950</v>
      </c>
      <c r="C2783" s="502">
        <v>71</v>
      </c>
      <c r="D2783" s="487">
        <f t="shared" si="198"/>
        <v>-59</v>
      </c>
      <c r="E2783" s="487">
        <f t="shared" si="199"/>
        <v>1</v>
      </c>
      <c r="F2783" s="487">
        <f t="shared" ca="1" si="200"/>
        <v>79</v>
      </c>
      <c r="G2783" s="487" t="s">
        <v>7511</v>
      </c>
      <c r="H2783" s="493"/>
      <c r="I2783" s="493"/>
      <c r="J2783" s="493"/>
      <c r="K2783" s="493"/>
      <c r="L2783" s="487"/>
      <c r="M2783" s="487"/>
      <c r="N2783" s="487"/>
      <c r="O2783" s="487"/>
      <c r="P2783" s="487">
        <f t="shared" si="201"/>
        <v>421</v>
      </c>
      <c r="Q2783" s="487" t="b">
        <v>0</v>
      </c>
    </row>
    <row r="2784" spans="1:17" x14ac:dyDescent="0.3">
      <c r="A2784" s="487" t="b">
        <v>0</v>
      </c>
      <c r="B2784" s="487" t="s">
        <v>7951</v>
      </c>
      <c r="C2784" s="502">
        <v>71</v>
      </c>
      <c r="D2784" s="487">
        <f t="shared" si="198"/>
        <v>-58</v>
      </c>
      <c r="E2784" s="487">
        <f t="shared" si="199"/>
        <v>2</v>
      </c>
      <c r="F2784" s="487">
        <f t="shared" ca="1" si="200"/>
        <v>79</v>
      </c>
      <c r="G2784" s="487" t="s">
        <v>7511</v>
      </c>
      <c r="H2784" s="493"/>
      <c r="I2784" s="493"/>
      <c r="J2784" s="493"/>
      <c r="K2784" s="493"/>
      <c r="L2784" s="487"/>
      <c r="M2784" s="487"/>
      <c r="N2784" s="487"/>
      <c r="O2784" s="487"/>
      <c r="P2784" s="487">
        <f t="shared" si="201"/>
        <v>422</v>
      </c>
      <c r="Q2784" s="487" t="b">
        <v>0</v>
      </c>
    </row>
    <row r="2785" spans="1:17" x14ac:dyDescent="0.3">
      <c r="A2785" s="487" t="b">
        <v>0</v>
      </c>
      <c r="B2785" s="487" t="s">
        <v>7952</v>
      </c>
      <c r="C2785" s="502">
        <v>71</v>
      </c>
      <c r="D2785" s="487">
        <f t="shared" si="198"/>
        <v>-57</v>
      </c>
      <c r="E2785" s="487">
        <f t="shared" si="199"/>
        <v>3</v>
      </c>
      <c r="F2785" s="487">
        <f t="shared" ca="1" si="200"/>
        <v>79</v>
      </c>
      <c r="G2785" s="487" t="s">
        <v>7511</v>
      </c>
      <c r="H2785" s="493"/>
      <c r="I2785" s="493"/>
      <c r="J2785" s="493"/>
      <c r="K2785" s="493"/>
      <c r="L2785" s="487"/>
      <c r="M2785" s="487"/>
      <c r="N2785" s="487"/>
      <c r="O2785" s="487"/>
      <c r="P2785" s="487">
        <f t="shared" si="201"/>
        <v>423</v>
      </c>
      <c r="Q2785" s="487" t="b">
        <v>0</v>
      </c>
    </row>
    <row r="2786" spans="1:17" x14ac:dyDescent="0.3">
      <c r="A2786" s="487" t="b">
        <v>0</v>
      </c>
      <c r="B2786" s="487" t="s">
        <v>7953</v>
      </c>
      <c r="C2786" s="502">
        <v>71</v>
      </c>
      <c r="D2786" s="487">
        <f t="shared" si="198"/>
        <v>-56</v>
      </c>
      <c r="E2786" s="487">
        <f t="shared" si="199"/>
        <v>4</v>
      </c>
      <c r="F2786" s="487">
        <f t="shared" ca="1" si="200"/>
        <v>79</v>
      </c>
      <c r="G2786" s="487" t="s">
        <v>7511</v>
      </c>
      <c r="H2786" s="493"/>
      <c r="I2786" s="493"/>
      <c r="J2786" s="493"/>
      <c r="K2786" s="493"/>
      <c r="L2786" s="487"/>
      <c r="M2786" s="487"/>
      <c r="N2786" s="487"/>
      <c r="O2786" s="487"/>
      <c r="P2786" s="487">
        <f t="shared" si="201"/>
        <v>424</v>
      </c>
      <c r="Q2786" s="487" t="b">
        <v>0</v>
      </c>
    </row>
    <row r="2787" spans="1:17" x14ac:dyDescent="0.3">
      <c r="A2787" s="487" t="b">
        <v>0</v>
      </c>
      <c r="B2787" s="487" t="s">
        <v>7954</v>
      </c>
      <c r="C2787" s="502">
        <v>71</v>
      </c>
      <c r="D2787" s="487">
        <f t="shared" si="198"/>
        <v>-55</v>
      </c>
      <c r="E2787" s="487">
        <f t="shared" si="199"/>
        <v>5</v>
      </c>
      <c r="F2787" s="487">
        <f t="shared" ca="1" si="200"/>
        <v>79</v>
      </c>
      <c r="G2787" s="487" t="s">
        <v>7511</v>
      </c>
      <c r="H2787" s="493"/>
      <c r="I2787" s="493"/>
      <c r="J2787" s="493"/>
      <c r="K2787" s="493"/>
      <c r="L2787" s="487"/>
      <c r="M2787" s="487"/>
      <c r="N2787" s="487"/>
      <c r="O2787" s="487"/>
      <c r="P2787" s="487">
        <f t="shared" si="201"/>
        <v>425</v>
      </c>
      <c r="Q2787" s="487" t="b">
        <v>0</v>
      </c>
    </row>
    <row r="2788" spans="1:17" x14ac:dyDescent="0.3">
      <c r="A2788" s="487" t="b">
        <v>0</v>
      </c>
      <c r="B2788" s="487" t="s">
        <v>7955</v>
      </c>
      <c r="C2788" s="502">
        <v>71</v>
      </c>
      <c r="D2788" s="487">
        <f t="shared" si="198"/>
        <v>-54</v>
      </c>
      <c r="E2788" s="487">
        <f t="shared" si="199"/>
        <v>6</v>
      </c>
      <c r="F2788" s="487">
        <f t="shared" ca="1" si="200"/>
        <v>79</v>
      </c>
      <c r="G2788" s="487" t="s">
        <v>7511</v>
      </c>
      <c r="H2788" s="493"/>
      <c r="I2788" s="493"/>
      <c r="J2788" s="493"/>
      <c r="K2788" s="493"/>
      <c r="L2788" s="487"/>
      <c r="M2788" s="487"/>
      <c r="N2788" s="487"/>
      <c r="O2788" s="487"/>
      <c r="P2788" s="487">
        <f t="shared" si="201"/>
        <v>426</v>
      </c>
      <c r="Q2788" s="487" t="b">
        <v>0</v>
      </c>
    </row>
    <row r="2789" spans="1:17" x14ac:dyDescent="0.3">
      <c r="A2789" s="487" t="b">
        <v>0</v>
      </c>
      <c r="B2789" s="487" t="s">
        <v>7956</v>
      </c>
      <c r="C2789" s="502">
        <v>72</v>
      </c>
      <c r="D2789" s="487">
        <f t="shared" si="198"/>
        <v>-53</v>
      </c>
      <c r="E2789" s="487">
        <f t="shared" si="199"/>
        <v>1</v>
      </c>
      <c r="F2789" s="487">
        <f t="shared" ca="1" si="200"/>
        <v>80</v>
      </c>
      <c r="G2789" s="487" t="s">
        <v>7513</v>
      </c>
      <c r="H2789" s="493"/>
      <c r="I2789" s="493"/>
      <c r="J2789" s="493"/>
      <c r="K2789" s="493"/>
      <c r="L2789" s="487"/>
      <c r="M2789" s="487"/>
      <c r="N2789" s="487"/>
      <c r="O2789" s="487"/>
      <c r="P2789" s="487">
        <f t="shared" si="201"/>
        <v>427</v>
      </c>
      <c r="Q2789" s="487" t="b">
        <v>0</v>
      </c>
    </row>
    <row r="2790" spans="1:17" x14ac:dyDescent="0.3">
      <c r="A2790" s="487" t="b">
        <v>0</v>
      </c>
      <c r="B2790" s="487" t="s">
        <v>7957</v>
      </c>
      <c r="C2790" s="502">
        <v>72</v>
      </c>
      <c r="D2790" s="487">
        <f t="shared" si="198"/>
        <v>-52</v>
      </c>
      <c r="E2790" s="487">
        <f t="shared" si="199"/>
        <v>2</v>
      </c>
      <c r="F2790" s="487">
        <f t="shared" ca="1" si="200"/>
        <v>80</v>
      </c>
      <c r="G2790" s="487" t="s">
        <v>7513</v>
      </c>
      <c r="H2790" s="493"/>
      <c r="I2790" s="493"/>
      <c r="J2790" s="493"/>
      <c r="K2790" s="493"/>
      <c r="L2790" s="487"/>
      <c r="M2790" s="487"/>
      <c r="N2790" s="487"/>
      <c r="O2790" s="487"/>
      <c r="P2790" s="487">
        <f t="shared" si="201"/>
        <v>428</v>
      </c>
      <c r="Q2790" s="487" t="b">
        <v>0</v>
      </c>
    </row>
    <row r="2791" spans="1:17" x14ac:dyDescent="0.3">
      <c r="A2791" s="487" t="b">
        <v>0</v>
      </c>
      <c r="B2791" s="487" t="s">
        <v>7958</v>
      </c>
      <c r="C2791" s="502">
        <v>72</v>
      </c>
      <c r="D2791" s="487">
        <f t="shared" si="198"/>
        <v>-51</v>
      </c>
      <c r="E2791" s="487">
        <f t="shared" si="199"/>
        <v>3</v>
      </c>
      <c r="F2791" s="487">
        <f t="shared" ca="1" si="200"/>
        <v>80</v>
      </c>
      <c r="G2791" s="487" t="s">
        <v>7513</v>
      </c>
      <c r="H2791" s="493"/>
      <c r="I2791" s="493"/>
      <c r="J2791" s="493"/>
      <c r="K2791" s="493"/>
      <c r="L2791" s="487"/>
      <c r="M2791" s="487"/>
      <c r="N2791" s="487"/>
      <c r="O2791" s="487"/>
      <c r="P2791" s="487">
        <f t="shared" si="201"/>
        <v>429</v>
      </c>
      <c r="Q2791" s="487" t="b">
        <v>0</v>
      </c>
    </row>
    <row r="2792" spans="1:17" x14ac:dyDescent="0.3">
      <c r="A2792" s="487" t="b">
        <v>0</v>
      </c>
      <c r="B2792" s="487" t="s">
        <v>7959</v>
      </c>
      <c r="C2792" s="502">
        <v>72</v>
      </c>
      <c r="D2792" s="487">
        <f t="shared" si="198"/>
        <v>-50</v>
      </c>
      <c r="E2792" s="487">
        <f t="shared" si="199"/>
        <v>4</v>
      </c>
      <c r="F2792" s="487">
        <f t="shared" ca="1" si="200"/>
        <v>80</v>
      </c>
      <c r="G2792" s="487" t="s">
        <v>7513</v>
      </c>
      <c r="H2792" s="493"/>
      <c r="I2792" s="493"/>
      <c r="J2792" s="493"/>
      <c r="K2792" s="493"/>
      <c r="L2792" s="487"/>
      <c r="M2792" s="487"/>
      <c r="N2792" s="487"/>
      <c r="O2792" s="487"/>
      <c r="P2792" s="487">
        <f t="shared" si="201"/>
        <v>430</v>
      </c>
      <c r="Q2792" s="487" t="b">
        <v>0</v>
      </c>
    </row>
    <row r="2793" spans="1:17" x14ac:dyDescent="0.3">
      <c r="A2793" s="487" t="b">
        <v>0</v>
      </c>
      <c r="B2793" s="487" t="s">
        <v>7960</v>
      </c>
      <c r="C2793" s="502">
        <v>72</v>
      </c>
      <c r="D2793" s="487">
        <f t="shared" si="198"/>
        <v>-49</v>
      </c>
      <c r="E2793" s="487">
        <f t="shared" si="199"/>
        <v>5</v>
      </c>
      <c r="F2793" s="487">
        <f t="shared" ca="1" si="200"/>
        <v>80</v>
      </c>
      <c r="G2793" s="487" t="s">
        <v>7513</v>
      </c>
      <c r="H2793" s="493"/>
      <c r="I2793" s="493"/>
      <c r="J2793" s="493"/>
      <c r="K2793" s="493"/>
      <c r="L2793" s="487"/>
      <c r="M2793" s="487"/>
      <c r="N2793" s="487"/>
      <c r="O2793" s="487"/>
      <c r="P2793" s="487">
        <f t="shared" si="201"/>
        <v>431</v>
      </c>
      <c r="Q2793" s="487" t="b">
        <v>0</v>
      </c>
    </row>
    <row r="2794" spans="1:17" x14ac:dyDescent="0.3">
      <c r="A2794" s="487" t="b">
        <v>0</v>
      </c>
      <c r="B2794" s="487" t="s">
        <v>7961</v>
      </c>
      <c r="C2794" s="502">
        <v>72</v>
      </c>
      <c r="D2794" s="487">
        <f t="shared" si="198"/>
        <v>-48</v>
      </c>
      <c r="E2794" s="487">
        <f t="shared" si="199"/>
        <v>6</v>
      </c>
      <c r="F2794" s="487">
        <f t="shared" ca="1" si="200"/>
        <v>80</v>
      </c>
      <c r="G2794" s="487" t="s">
        <v>7513</v>
      </c>
      <c r="H2794" s="493"/>
      <c r="I2794" s="493"/>
      <c r="J2794" s="493"/>
      <c r="K2794" s="493"/>
      <c r="L2794" s="487"/>
      <c r="M2794" s="487"/>
      <c r="N2794" s="487"/>
      <c r="O2794" s="487"/>
      <c r="P2794" s="487">
        <f t="shared" si="201"/>
        <v>432</v>
      </c>
      <c r="Q2794" s="487" t="b">
        <v>0</v>
      </c>
    </row>
    <row r="2795" spans="1:17" x14ac:dyDescent="0.3">
      <c r="A2795" s="487" t="b">
        <v>0</v>
      </c>
      <c r="B2795" s="487" t="s">
        <v>7962</v>
      </c>
      <c r="C2795" s="502">
        <v>73</v>
      </c>
      <c r="D2795" s="487">
        <f t="shared" si="198"/>
        <v>-47</v>
      </c>
      <c r="E2795" s="487">
        <f t="shared" si="199"/>
        <v>1</v>
      </c>
      <c r="F2795" s="487">
        <f t="shared" ca="1" si="200"/>
        <v>81</v>
      </c>
      <c r="G2795" s="487" t="s">
        <v>7515</v>
      </c>
      <c r="H2795" s="493"/>
      <c r="I2795" s="493"/>
      <c r="J2795" s="493"/>
      <c r="K2795" s="493"/>
      <c r="L2795" s="487"/>
      <c r="M2795" s="487"/>
      <c r="N2795" s="487"/>
      <c r="O2795" s="487"/>
      <c r="P2795" s="487">
        <f t="shared" si="201"/>
        <v>433</v>
      </c>
      <c r="Q2795" s="487" t="b">
        <v>0</v>
      </c>
    </row>
    <row r="2796" spans="1:17" x14ac:dyDescent="0.3">
      <c r="A2796" s="487" t="b">
        <v>0</v>
      </c>
      <c r="B2796" s="487" t="s">
        <v>7963</v>
      </c>
      <c r="C2796" s="502">
        <v>73</v>
      </c>
      <c r="D2796" s="487">
        <f t="shared" si="198"/>
        <v>-46</v>
      </c>
      <c r="E2796" s="487">
        <f t="shared" si="199"/>
        <v>2</v>
      </c>
      <c r="F2796" s="487">
        <f t="shared" ca="1" si="200"/>
        <v>81</v>
      </c>
      <c r="G2796" s="487" t="s">
        <v>7515</v>
      </c>
      <c r="H2796" s="493"/>
      <c r="I2796" s="493"/>
      <c r="J2796" s="493"/>
      <c r="K2796" s="493"/>
      <c r="L2796" s="487"/>
      <c r="M2796" s="487"/>
      <c r="N2796" s="487"/>
      <c r="O2796" s="487"/>
      <c r="P2796" s="487">
        <f t="shared" si="201"/>
        <v>434</v>
      </c>
      <c r="Q2796" s="487" t="b">
        <v>0</v>
      </c>
    </row>
    <row r="2797" spans="1:17" x14ac:dyDescent="0.3">
      <c r="A2797" s="487" t="b">
        <v>0</v>
      </c>
      <c r="B2797" s="487" t="s">
        <v>7964</v>
      </c>
      <c r="C2797" s="502">
        <v>73</v>
      </c>
      <c r="D2797" s="487">
        <f t="shared" si="198"/>
        <v>-45</v>
      </c>
      <c r="E2797" s="487">
        <f t="shared" si="199"/>
        <v>3</v>
      </c>
      <c r="F2797" s="487">
        <f t="shared" ca="1" si="200"/>
        <v>81</v>
      </c>
      <c r="G2797" s="487" t="s">
        <v>7515</v>
      </c>
      <c r="H2797" s="493"/>
      <c r="I2797" s="493"/>
      <c r="J2797" s="493"/>
      <c r="K2797" s="493"/>
      <c r="L2797" s="487"/>
      <c r="M2797" s="487"/>
      <c r="N2797" s="487"/>
      <c r="O2797" s="487"/>
      <c r="P2797" s="487">
        <f t="shared" si="201"/>
        <v>435</v>
      </c>
      <c r="Q2797" s="487" t="b">
        <v>0</v>
      </c>
    </row>
    <row r="2798" spans="1:17" x14ac:dyDescent="0.3">
      <c r="A2798" s="487" t="b">
        <v>0</v>
      </c>
      <c r="B2798" s="487" t="s">
        <v>7965</v>
      </c>
      <c r="C2798" s="502">
        <v>73</v>
      </c>
      <c r="D2798" s="487">
        <f t="shared" si="198"/>
        <v>-44</v>
      </c>
      <c r="E2798" s="487">
        <f t="shared" si="199"/>
        <v>4</v>
      </c>
      <c r="F2798" s="487">
        <f t="shared" ca="1" si="200"/>
        <v>81</v>
      </c>
      <c r="G2798" s="487" t="s">
        <v>7515</v>
      </c>
      <c r="H2798" s="493"/>
      <c r="I2798" s="493"/>
      <c r="J2798" s="493"/>
      <c r="K2798" s="493"/>
      <c r="L2798" s="487"/>
      <c r="M2798" s="487"/>
      <c r="N2798" s="487"/>
      <c r="O2798" s="487"/>
      <c r="P2798" s="487">
        <f t="shared" si="201"/>
        <v>436</v>
      </c>
      <c r="Q2798" s="487" t="b">
        <v>0</v>
      </c>
    </row>
    <row r="2799" spans="1:17" x14ac:dyDescent="0.3">
      <c r="A2799" s="487" t="b">
        <v>0</v>
      </c>
      <c r="B2799" s="487" t="s">
        <v>7966</v>
      </c>
      <c r="C2799" s="502">
        <v>73</v>
      </c>
      <c r="D2799" s="487">
        <f t="shared" si="198"/>
        <v>-43</v>
      </c>
      <c r="E2799" s="487">
        <f t="shared" si="199"/>
        <v>5</v>
      </c>
      <c r="F2799" s="487">
        <f t="shared" ca="1" si="200"/>
        <v>81</v>
      </c>
      <c r="G2799" s="487" t="s">
        <v>7515</v>
      </c>
      <c r="H2799" s="493"/>
      <c r="I2799" s="493"/>
      <c r="J2799" s="493"/>
      <c r="K2799" s="493"/>
      <c r="L2799" s="487"/>
      <c r="M2799" s="487"/>
      <c r="N2799" s="487"/>
      <c r="O2799" s="487"/>
      <c r="P2799" s="487">
        <f t="shared" si="201"/>
        <v>437</v>
      </c>
      <c r="Q2799" s="487" t="b">
        <v>0</v>
      </c>
    </row>
    <row r="2800" spans="1:17" x14ac:dyDescent="0.3">
      <c r="A2800" s="487" t="b">
        <v>0</v>
      </c>
      <c r="B2800" s="487" t="s">
        <v>7967</v>
      </c>
      <c r="C2800" s="502">
        <v>73</v>
      </c>
      <c r="D2800" s="487">
        <f t="shared" si="198"/>
        <v>-42</v>
      </c>
      <c r="E2800" s="487">
        <f t="shared" si="199"/>
        <v>6</v>
      </c>
      <c r="F2800" s="487">
        <f t="shared" ca="1" si="200"/>
        <v>81</v>
      </c>
      <c r="G2800" s="487" t="s">
        <v>7515</v>
      </c>
      <c r="H2800" s="493"/>
      <c r="I2800" s="493"/>
      <c r="J2800" s="493"/>
      <c r="K2800" s="493"/>
      <c r="L2800" s="487"/>
      <c r="M2800" s="487"/>
      <c r="N2800" s="487"/>
      <c r="O2800" s="487"/>
      <c r="P2800" s="487">
        <f t="shared" si="201"/>
        <v>438</v>
      </c>
      <c r="Q2800" s="487" t="b">
        <v>0</v>
      </c>
    </row>
    <row r="2801" spans="1:17" x14ac:dyDescent="0.3">
      <c r="A2801" s="487" t="b">
        <v>0</v>
      </c>
      <c r="B2801" s="487" t="s">
        <v>7968</v>
      </c>
      <c r="C2801" s="502">
        <v>74</v>
      </c>
      <c r="D2801" s="487">
        <f t="shared" si="198"/>
        <v>-41</v>
      </c>
      <c r="E2801" s="487">
        <f t="shared" si="199"/>
        <v>1</v>
      </c>
      <c r="F2801" s="487">
        <f t="shared" ca="1" si="200"/>
        <v>82</v>
      </c>
      <c r="G2801" s="487" t="s">
        <v>7517</v>
      </c>
      <c r="H2801" s="493"/>
      <c r="I2801" s="493"/>
      <c r="J2801" s="493"/>
      <c r="K2801" s="493"/>
      <c r="L2801" s="487"/>
      <c r="M2801" s="487"/>
      <c r="N2801" s="487"/>
      <c r="O2801" s="487"/>
      <c r="P2801" s="487">
        <f t="shared" si="201"/>
        <v>439</v>
      </c>
      <c r="Q2801" s="487" t="b">
        <v>0</v>
      </c>
    </row>
    <row r="2802" spans="1:17" x14ac:dyDescent="0.3">
      <c r="A2802" s="487" t="b">
        <v>0</v>
      </c>
      <c r="B2802" s="487" t="s">
        <v>7969</v>
      </c>
      <c r="C2802" s="502">
        <v>74</v>
      </c>
      <c r="D2802" s="487">
        <f t="shared" si="198"/>
        <v>-40</v>
      </c>
      <c r="E2802" s="487">
        <f t="shared" si="199"/>
        <v>2</v>
      </c>
      <c r="F2802" s="487">
        <f t="shared" ca="1" si="200"/>
        <v>82</v>
      </c>
      <c r="G2802" s="487" t="s">
        <v>7517</v>
      </c>
      <c r="H2802" s="493"/>
      <c r="I2802" s="493"/>
      <c r="J2802" s="493"/>
      <c r="K2802" s="493"/>
      <c r="L2802" s="487"/>
      <c r="M2802" s="487"/>
      <c r="N2802" s="487"/>
      <c r="O2802" s="487"/>
      <c r="P2802" s="487">
        <f t="shared" si="201"/>
        <v>440</v>
      </c>
      <c r="Q2802" s="487" t="b">
        <v>0</v>
      </c>
    </row>
    <row r="2803" spans="1:17" x14ac:dyDescent="0.3">
      <c r="A2803" s="487" t="b">
        <v>0</v>
      </c>
      <c r="B2803" s="487" t="s">
        <v>7970</v>
      </c>
      <c r="C2803" s="502">
        <v>74</v>
      </c>
      <c r="D2803" s="487">
        <f t="shared" si="198"/>
        <v>-39</v>
      </c>
      <c r="E2803" s="487">
        <f t="shared" si="199"/>
        <v>3</v>
      </c>
      <c r="F2803" s="487">
        <f t="shared" ca="1" si="200"/>
        <v>82</v>
      </c>
      <c r="G2803" s="487" t="s">
        <v>7517</v>
      </c>
      <c r="H2803" s="493"/>
      <c r="I2803" s="493"/>
      <c r="J2803" s="493"/>
      <c r="K2803" s="493"/>
      <c r="L2803" s="487"/>
      <c r="M2803" s="487"/>
      <c r="N2803" s="487"/>
      <c r="O2803" s="487"/>
      <c r="P2803" s="487">
        <f t="shared" si="201"/>
        <v>441</v>
      </c>
      <c r="Q2803" s="487" t="b">
        <v>0</v>
      </c>
    </row>
    <row r="2804" spans="1:17" x14ac:dyDescent="0.3">
      <c r="A2804" s="487" t="b">
        <v>0</v>
      </c>
      <c r="B2804" s="487" t="s">
        <v>7971</v>
      </c>
      <c r="C2804" s="502">
        <v>74</v>
      </c>
      <c r="D2804" s="487">
        <f t="shared" si="198"/>
        <v>-38</v>
      </c>
      <c r="E2804" s="487">
        <f t="shared" si="199"/>
        <v>4</v>
      </c>
      <c r="F2804" s="487">
        <f t="shared" ca="1" si="200"/>
        <v>82</v>
      </c>
      <c r="G2804" s="487" t="s">
        <v>7517</v>
      </c>
      <c r="H2804" s="493"/>
      <c r="I2804" s="493"/>
      <c r="J2804" s="493"/>
      <c r="K2804" s="493"/>
      <c r="L2804" s="487"/>
      <c r="M2804" s="487"/>
      <c r="N2804" s="487"/>
      <c r="O2804" s="487"/>
      <c r="P2804" s="487">
        <f t="shared" si="201"/>
        <v>442</v>
      </c>
      <c r="Q2804" s="487" t="b">
        <v>0</v>
      </c>
    </row>
    <row r="2805" spans="1:17" x14ac:dyDescent="0.3">
      <c r="A2805" s="487" t="b">
        <v>0</v>
      </c>
      <c r="B2805" s="487" t="s">
        <v>7972</v>
      </c>
      <c r="C2805" s="502">
        <v>74</v>
      </c>
      <c r="D2805" s="487">
        <f t="shared" si="198"/>
        <v>-37</v>
      </c>
      <c r="E2805" s="487">
        <f t="shared" si="199"/>
        <v>5</v>
      </c>
      <c r="F2805" s="487">
        <f t="shared" ca="1" si="200"/>
        <v>82</v>
      </c>
      <c r="G2805" s="487" t="s">
        <v>7517</v>
      </c>
      <c r="H2805" s="493"/>
      <c r="I2805" s="493"/>
      <c r="J2805" s="493"/>
      <c r="K2805" s="493"/>
      <c r="L2805" s="487"/>
      <c r="M2805" s="487"/>
      <c r="N2805" s="487"/>
      <c r="O2805" s="487"/>
      <c r="P2805" s="487">
        <f t="shared" si="201"/>
        <v>443</v>
      </c>
      <c r="Q2805" s="487" t="b">
        <v>0</v>
      </c>
    </row>
    <row r="2806" spans="1:17" x14ac:dyDescent="0.3">
      <c r="A2806" s="487" t="b">
        <v>0</v>
      </c>
      <c r="B2806" s="487" t="s">
        <v>7973</v>
      </c>
      <c r="C2806" s="502">
        <v>74</v>
      </c>
      <c r="D2806" s="487">
        <f t="shared" si="198"/>
        <v>-36</v>
      </c>
      <c r="E2806" s="487">
        <f t="shared" si="199"/>
        <v>6</v>
      </c>
      <c r="F2806" s="487">
        <f t="shared" ca="1" si="200"/>
        <v>82</v>
      </c>
      <c r="G2806" s="487" t="s">
        <v>7517</v>
      </c>
      <c r="H2806" s="493"/>
      <c r="I2806" s="493"/>
      <c r="J2806" s="493"/>
      <c r="K2806" s="493"/>
      <c r="L2806" s="487"/>
      <c r="M2806" s="487"/>
      <c r="N2806" s="487"/>
      <c r="O2806" s="487"/>
      <c r="P2806" s="487">
        <f t="shared" si="201"/>
        <v>444</v>
      </c>
      <c r="Q2806" s="487" t="b">
        <v>0</v>
      </c>
    </row>
    <row r="2807" spans="1:17" x14ac:dyDescent="0.3">
      <c r="A2807" s="487" t="b">
        <v>0</v>
      </c>
      <c r="B2807" s="487" t="s">
        <v>7974</v>
      </c>
      <c r="C2807" s="502">
        <v>75</v>
      </c>
      <c r="D2807" s="487">
        <f t="shared" si="198"/>
        <v>-35</v>
      </c>
      <c r="E2807" s="487">
        <f t="shared" si="199"/>
        <v>1</v>
      </c>
      <c r="F2807" s="487">
        <f t="shared" ca="1" si="200"/>
        <v>83</v>
      </c>
      <c r="G2807" s="487" t="s">
        <v>7519</v>
      </c>
      <c r="H2807" s="493"/>
      <c r="I2807" s="493"/>
      <c r="J2807" s="493"/>
      <c r="K2807" s="493"/>
      <c r="L2807" s="487"/>
      <c r="M2807" s="487"/>
      <c r="N2807" s="487"/>
      <c r="O2807" s="487"/>
      <c r="P2807" s="487">
        <f t="shared" si="201"/>
        <v>445</v>
      </c>
      <c r="Q2807" s="487" t="b">
        <v>0</v>
      </c>
    </row>
    <row r="2808" spans="1:17" x14ac:dyDescent="0.3">
      <c r="A2808" s="487" t="b">
        <v>0</v>
      </c>
      <c r="B2808" s="487" t="s">
        <v>7975</v>
      </c>
      <c r="C2808" s="502">
        <v>75</v>
      </c>
      <c r="D2808" s="487">
        <f t="shared" si="198"/>
        <v>-34</v>
      </c>
      <c r="E2808" s="487">
        <f t="shared" si="199"/>
        <v>2</v>
      </c>
      <c r="F2808" s="487">
        <f t="shared" ca="1" si="200"/>
        <v>83</v>
      </c>
      <c r="G2808" s="487" t="s">
        <v>7519</v>
      </c>
      <c r="H2808" s="493"/>
      <c r="I2808" s="493"/>
      <c r="J2808" s="493"/>
      <c r="K2808" s="493"/>
      <c r="L2808" s="487"/>
      <c r="M2808" s="487"/>
      <c r="N2808" s="487"/>
      <c r="O2808" s="487"/>
      <c r="P2808" s="487">
        <f t="shared" si="201"/>
        <v>446</v>
      </c>
      <c r="Q2808" s="487" t="b">
        <v>0</v>
      </c>
    </row>
    <row r="2809" spans="1:17" x14ac:dyDescent="0.3">
      <c r="A2809" s="487" t="b">
        <v>0</v>
      </c>
      <c r="B2809" s="487" t="s">
        <v>7976</v>
      </c>
      <c r="C2809" s="502">
        <v>75</v>
      </c>
      <c r="D2809" s="487">
        <f t="shared" si="198"/>
        <v>-33</v>
      </c>
      <c r="E2809" s="487">
        <f t="shared" si="199"/>
        <v>3</v>
      </c>
      <c r="F2809" s="487">
        <f t="shared" ca="1" si="200"/>
        <v>83</v>
      </c>
      <c r="G2809" s="487" t="s">
        <v>7519</v>
      </c>
      <c r="H2809" s="493"/>
      <c r="I2809" s="493"/>
      <c r="J2809" s="493"/>
      <c r="K2809" s="493"/>
      <c r="L2809" s="487"/>
      <c r="M2809" s="487"/>
      <c r="N2809" s="487"/>
      <c r="O2809" s="487"/>
      <c r="P2809" s="487">
        <f t="shared" si="201"/>
        <v>447</v>
      </c>
      <c r="Q2809" s="487" t="b">
        <v>0</v>
      </c>
    </row>
    <row r="2810" spans="1:17" x14ac:dyDescent="0.3">
      <c r="A2810" s="487" t="b">
        <v>0</v>
      </c>
      <c r="B2810" s="487" t="s">
        <v>7977</v>
      </c>
      <c r="C2810" s="502">
        <v>75</v>
      </c>
      <c r="D2810" s="487">
        <f t="shared" si="198"/>
        <v>-32</v>
      </c>
      <c r="E2810" s="487">
        <f t="shared" si="199"/>
        <v>4</v>
      </c>
      <c r="F2810" s="487">
        <f t="shared" ca="1" si="200"/>
        <v>83</v>
      </c>
      <c r="G2810" s="487" t="s">
        <v>7519</v>
      </c>
      <c r="H2810" s="493"/>
      <c r="I2810" s="493"/>
      <c r="J2810" s="493"/>
      <c r="K2810" s="493"/>
      <c r="L2810" s="487"/>
      <c r="M2810" s="487"/>
      <c r="N2810" s="487"/>
      <c r="O2810" s="487"/>
      <c r="P2810" s="487">
        <f t="shared" si="201"/>
        <v>448</v>
      </c>
      <c r="Q2810" s="487" t="b">
        <v>0</v>
      </c>
    </row>
    <row r="2811" spans="1:17" x14ac:dyDescent="0.3">
      <c r="A2811" s="487" t="b">
        <v>0</v>
      </c>
      <c r="B2811" s="487" t="s">
        <v>7978</v>
      </c>
      <c r="C2811" s="502">
        <v>75</v>
      </c>
      <c r="D2811" s="487">
        <f t="shared" ref="D2811:D2874" si="202">D2810+1</f>
        <v>-31</v>
      </c>
      <c r="E2811" s="487">
        <f t="shared" ref="E2811:E2874" si="203">COUNTIF(C2806:C2811,C2811)</f>
        <v>5</v>
      </c>
      <c r="F2811" s="487">
        <f t="shared" ref="F2811:F2874" ca="1" si="204">IF(C2811=1,9,IF(E2810=MAX(E2809:E2811),F2809+1,F2810))</f>
        <v>83</v>
      </c>
      <c r="G2811" s="487" t="s">
        <v>7519</v>
      </c>
      <c r="H2811" s="493"/>
      <c r="I2811" s="493"/>
      <c r="J2811" s="493"/>
      <c r="K2811" s="493"/>
      <c r="L2811" s="487"/>
      <c r="M2811" s="487"/>
      <c r="N2811" s="487"/>
      <c r="O2811" s="487"/>
      <c r="P2811" s="487">
        <f t="shared" ref="P2811:P2874" si="205">IF(NOT(_xlfn.ISFORMULA(I2811)),P2810+1,0)</f>
        <v>449</v>
      </c>
      <c r="Q2811" s="487" t="b">
        <v>0</v>
      </c>
    </row>
    <row r="2812" spans="1:17" x14ac:dyDescent="0.3">
      <c r="A2812" s="487" t="b">
        <v>0</v>
      </c>
      <c r="B2812" s="487" t="s">
        <v>7979</v>
      </c>
      <c r="C2812" s="502">
        <v>75</v>
      </c>
      <c r="D2812" s="487">
        <f t="shared" si="202"/>
        <v>-30</v>
      </c>
      <c r="E2812" s="487">
        <f t="shared" si="203"/>
        <v>6</v>
      </c>
      <c r="F2812" s="487">
        <f t="shared" ca="1" si="204"/>
        <v>83</v>
      </c>
      <c r="G2812" s="487" t="s">
        <v>7519</v>
      </c>
      <c r="H2812" s="493"/>
      <c r="I2812" s="493"/>
      <c r="J2812" s="493"/>
      <c r="K2812" s="493"/>
      <c r="L2812" s="487"/>
      <c r="M2812" s="487"/>
      <c r="N2812" s="487"/>
      <c r="O2812" s="487"/>
      <c r="P2812" s="487">
        <f t="shared" si="205"/>
        <v>450</v>
      </c>
      <c r="Q2812" s="487" t="b">
        <v>0</v>
      </c>
    </row>
    <row r="2813" spans="1:17" x14ac:dyDescent="0.3">
      <c r="A2813" s="487" t="b">
        <v>0</v>
      </c>
      <c r="B2813" s="487" t="s">
        <v>7980</v>
      </c>
      <c r="C2813" s="502">
        <v>76</v>
      </c>
      <c r="D2813" s="487">
        <f t="shared" si="202"/>
        <v>-29</v>
      </c>
      <c r="E2813" s="487">
        <f t="shared" si="203"/>
        <v>1</v>
      </c>
      <c r="F2813" s="487">
        <f t="shared" ca="1" si="204"/>
        <v>84</v>
      </c>
      <c r="G2813" s="487" t="s">
        <v>7521</v>
      </c>
      <c r="H2813" s="493"/>
      <c r="I2813" s="493"/>
      <c r="J2813" s="493"/>
      <c r="K2813" s="493"/>
      <c r="L2813" s="487"/>
      <c r="M2813" s="487"/>
      <c r="N2813" s="487"/>
      <c r="O2813" s="487"/>
      <c r="P2813" s="487">
        <f t="shared" si="205"/>
        <v>451</v>
      </c>
      <c r="Q2813" s="487" t="b">
        <v>0</v>
      </c>
    </row>
    <row r="2814" spans="1:17" x14ac:dyDescent="0.3">
      <c r="A2814" s="487" t="b">
        <v>0</v>
      </c>
      <c r="B2814" s="487" t="s">
        <v>7981</v>
      </c>
      <c r="C2814" s="502">
        <v>76</v>
      </c>
      <c r="D2814" s="487">
        <f t="shared" si="202"/>
        <v>-28</v>
      </c>
      <c r="E2814" s="487">
        <f t="shared" si="203"/>
        <v>2</v>
      </c>
      <c r="F2814" s="487">
        <f t="shared" ca="1" si="204"/>
        <v>84</v>
      </c>
      <c r="G2814" s="487" t="s">
        <v>7521</v>
      </c>
      <c r="H2814" s="493"/>
      <c r="I2814" s="493"/>
      <c r="J2814" s="493"/>
      <c r="K2814" s="493"/>
      <c r="L2814" s="487"/>
      <c r="M2814" s="487"/>
      <c r="N2814" s="487"/>
      <c r="O2814" s="487"/>
      <c r="P2814" s="487">
        <f t="shared" si="205"/>
        <v>452</v>
      </c>
      <c r="Q2814" s="487" t="b">
        <v>0</v>
      </c>
    </row>
    <row r="2815" spans="1:17" x14ac:dyDescent="0.3">
      <c r="A2815" s="487" t="b">
        <v>0</v>
      </c>
      <c r="B2815" s="487" t="s">
        <v>7982</v>
      </c>
      <c r="C2815" s="502">
        <v>76</v>
      </c>
      <c r="D2815" s="487">
        <f t="shared" si="202"/>
        <v>-27</v>
      </c>
      <c r="E2815" s="487">
        <f t="shared" si="203"/>
        <v>3</v>
      </c>
      <c r="F2815" s="487">
        <f t="shared" ca="1" si="204"/>
        <v>84</v>
      </c>
      <c r="G2815" s="487" t="s">
        <v>7521</v>
      </c>
      <c r="H2815" s="493"/>
      <c r="I2815" s="493"/>
      <c r="J2815" s="493"/>
      <c r="K2815" s="493"/>
      <c r="L2815" s="487"/>
      <c r="M2815" s="487"/>
      <c r="N2815" s="487"/>
      <c r="O2815" s="487"/>
      <c r="P2815" s="487">
        <f t="shared" si="205"/>
        <v>453</v>
      </c>
      <c r="Q2815" s="487" t="b">
        <v>0</v>
      </c>
    </row>
    <row r="2816" spans="1:17" x14ac:dyDescent="0.3">
      <c r="A2816" s="487" t="b">
        <v>0</v>
      </c>
      <c r="B2816" s="487" t="s">
        <v>7983</v>
      </c>
      <c r="C2816" s="502">
        <v>76</v>
      </c>
      <c r="D2816" s="487">
        <f t="shared" si="202"/>
        <v>-26</v>
      </c>
      <c r="E2816" s="487">
        <f t="shared" si="203"/>
        <v>4</v>
      </c>
      <c r="F2816" s="487">
        <f t="shared" ca="1" si="204"/>
        <v>84</v>
      </c>
      <c r="G2816" s="487" t="s">
        <v>7521</v>
      </c>
      <c r="H2816" s="493"/>
      <c r="I2816" s="493"/>
      <c r="J2816" s="493"/>
      <c r="K2816" s="493"/>
      <c r="L2816" s="487"/>
      <c r="M2816" s="487"/>
      <c r="N2816" s="487"/>
      <c r="O2816" s="487"/>
      <c r="P2816" s="487">
        <f t="shared" si="205"/>
        <v>454</v>
      </c>
      <c r="Q2816" s="487" t="b">
        <v>0</v>
      </c>
    </row>
    <row r="2817" spans="1:17" x14ac:dyDescent="0.3">
      <c r="A2817" s="487" t="b">
        <v>0</v>
      </c>
      <c r="B2817" s="487" t="s">
        <v>7984</v>
      </c>
      <c r="C2817" s="502">
        <v>76</v>
      </c>
      <c r="D2817" s="487">
        <f t="shared" si="202"/>
        <v>-25</v>
      </c>
      <c r="E2817" s="487">
        <f t="shared" si="203"/>
        <v>5</v>
      </c>
      <c r="F2817" s="487">
        <f t="shared" ca="1" si="204"/>
        <v>84</v>
      </c>
      <c r="G2817" s="487" t="s">
        <v>7521</v>
      </c>
      <c r="H2817" s="493"/>
      <c r="I2817" s="493"/>
      <c r="J2817" s="493"/>
      <c r="K2817" s="493"/>
      <c r="L2817" s="487"/>
      <c r="M2817" s="487"/>
      <c r="N2817" s="487"/>
      <c r="O2817" s="487"/>
      <c r="P2817" s="487">
        <f t="shared" si="205"/>
        <v>455</v>
      </c>
      <c r="Q2817" s="487" t="b">
        <v>0</v>
      </c>
    </row>
    <row r="2818" spans="1:17" x14ac:dyDescent="0.3">
      <c r="A2818" s="487" t="b">
        <v>0</v>
      </c>
      <c r="B2818" s="487" t="s">
        <v>7985</v>
      </c>
      <c r="C2818" s="502">
        <v>76</v>
      </c>
      <c r="D2818" s="487">
        <f t="shared" si="202"/>
        <v>-24</v>
      </c>
      <c r="E2818" s="487">
        <f t="shared" si="203"/>
        <v>6</v>
      </c>
      <c r="F2818" s="487">
        <f t="shared" ca="1" si="204"/>
        <v>84</v>
      </c>
      <c r="G2818" s="487" t="s">
        <v>7521</v>
      </c>
      <c r="H2818" s="493"/>
      <c r="I2818" s="493"/>
      <c r="J2818" s="493"/>
      <c r="K2818" s="493"/>
      <c r="L2818" s="487"/>
      <c r="M2818" s="487"/>
      <c r="N2818" s="487"/>
      <c r="O2818" s="487"/>
      <c r="P2818" s="487">
        <f t="shared" si="205"/>
        <v>456</v>
      </c>
      <c r="Q2818" s="487" t="b">
        <v>0</v>
      </c>
    </row>
    <row r="2819" spans="1:17" x14ac:dyDescent="0.3">
      <c r="A2819" s="487" t="b">
        <v>0</v>
      </c>
      <c r="B2819" s="487" t="s">
        <v>7986</v>
      </c>
      <c r="C2819" s="502">
        <v>77</v>
      </c>
      <c r="D2819" s="487">
        <f t="shared" si="202"/>
        <v>-23</v>
      </c>
      <c r="E2819" s="487">
        <f t="shared" si="203"/>
        <v>1</v>
      </c>
      <c r="F2819" s="487">
        <f t="shared" ca="1" si="204"/>
        <v>85</v>
      </c>
      <c r="G2819" s="487" t="s">
        <v>7523</v>
      </c>
      <c r="H2819" s="493"/>
      <c r="I2819" s="493"/>
      <c r="J2819" s="493"/>
      <c r="K2819" s="493"/>
      <c r="L2819" s="487"/>
      <c r="M2819" s="487"/>
      <c r="N2819" s="487"/>
      <c r="O2819" s="487"/>
      <c r="P2819" s="487">
        <f t="shared" si="205"/>
        <v>457</v>
      </c>
      <c r="Q2819" s="487" t="b">
        <v>0</v>
      </c>
    </row>
    <row r="2820" spans="1:17" x14ac:dyDescent="0.3">
      <c r="A2820" s="487" t="b">
        <v>0</v>
      </c>
      <c r="B2820" s="487" t="s">
        <v>7987</v>
      </c>
      <c r="C2820" s="502">
        <v>77</v>
      </c>
      <c r="D2820" s="487">
        <f t="shared" si="202"/>
        <v>-22</v>
      </c>
      <c r="E2820" s="487">
        <f t="shared" si="203"/>
        <v>2</v>
      </c>
      <c r="F2820" s="487">
        <f t="shared" ca="1" si="204"/>
        <v>85</v>
      </c>
      <c r="G2820" s="487" t="s">
        <v>7523</v>
      </c>
      <c r="H2820" s="493"/>
      <c r="I2820" s="493"/>
      <c r="J2820" s="493"/>
      <c r="K2820" s="493"/>
      <c r="L2820" s="487"/>
      <c r="M2820" s="487"/>
      <c r="N2820" s="487"/>
      <c r="O2820" s="487"/>
      <c r="P2820" s="487">
        <f t="shared" si="205"/>
        <v>458</v>
      </c>
      <c r="Q2820" s="487" t="b">
        <v>0</v>
      </c>
    </row>
    <row r="2821" spans="1:17" x14ac:dyDescent="0.3">
      <c r="A2821" s="487" t="b">
        <v>0</v>
      </c>
      <c r="B2821" s="487" t="s">
        <v>7988</v>
      </c>
      <c r="C2821" s="502">
        <v>77</v>
      </c>
      <c r="D2821" s="487">
        <f t="shared" si="202"/>
        <v>-21</v>
      </c>
      <c r="E2821" s="487">
        <f t="shared" si="203"/>
        <v>3</v>
      </c>
      <c r="F2821" s="487">
        <f t="shared" ca="1" si="204"/>
        <v>85</v>
      </c>
      <c r="G2821" s="487" t="s">
        <v>7523</v>
      </c>
      <c r="H2821" s="493"/>
      <c r="I2821" s="493"/>
      <c r="J2821" s="493"/>
      <c r="K2821" s="493"/>
      <c r="L2821" s="487"/>
      <c r="M2821" s="487"/>
      <c r="N2821" s="487"/>
      <c r="O2821" s="487"/>
      <c r="P2821" s="487">
        <f t="shared" si="205"/>
        <v>459</v>
      </c>
      <c r="Q2821" s="487" t="b">
        <v>0</v>
      </c>
    </row>
    <row r="2822" spans="1:17" x14ac:dyDescent="0.3">
      <c r="A2822" s="487" t="b">
        <v>0</v>
      </c>
      <c r="B2822" s="487" t="s">
        <v>7989</v>
      </c>
      <c r="C2822" s="502">
        <v>77</v>
      </c>
      <c r="D2822" s="487">
        <f t="shared" si="202"/>
        <v>-20</v>
      </c>
      <c r="E2822" s="487">
        <f t="shared" si="203"/>
        <v>4</v>
      </c>
      <c r="F2822" s="487">
        <f t="shared" ca="1" si="204"/>
        <v>85</v>
      </c>
      <c r="G2822" s="487" t="s">
        <v>7523</v>
      </c>
      <c r="H2822" s="493"/>
      <c r="I2822" s="493"/>
      <c r="J2822" s="493"/>
      <c r="K2822" s="493"/>
      <c r="L2822" s="487"/>
      <c r="M2822" s="487"/>
      <c r="N2822" s="487"/>
      <c r="O2822" s="487"/>
      <c r="P2822" s="487">
        <f t="shared" si="205"/>
        <v>460</v>
      </c>
      <c r="Q2822" s="487" t="b">
        <v>0</v>
      </c>
    </row>
    <row r="2823" spans="1:17" x14ac:dyDescent="0.3">
      <c r="A2823" s="487" t="b">
        <v>0</v>
      </c>
      <c r="B2823" s="487" t="s">
        <v>7990</v>
      </c>
      <c r="C2823" s="502">
        <v>77</v>
      </c>
      <c r="D2823" s="487">
        <f t="shared" si="202"/>
        <v>-19</v>
      </c>
      <c r="E2823" s="487">
        <f t="shared" si="203"/>
        <v>5</v>
      </c>
      <c r="F2823" s="487">
        <f t="shared" ca="1" si="204"/>
        <v>85</v>
      </c>
      <c r="G2823" s="487" t="s">
        <v>7523</v>
      </c>
      <c r="H2823" s="493"/>
      <c r="I2823" s="493"/>
      <c r="J2823" s="493"/>
      <c r="K2823" s="493"/>
      <c r="L2823" s="487"/>
      <c r="M2823" s="487"/>
      <c r="N2823" s="487"/>
      <c r="O2823" s="487"/>
      <c r="P2823" s="487">
        <f t="shared" si="205"/>
        <v>461</v>
      </c>
      <c r="Q2823" s="487" t="b">
        <v>0</v>
      </c>
    </row>
    <row r="2824" spans="1:17" x14ac:dyDescent="0.3">
      <c r="A2824" s="487" t="b">
        <v>0</v>
      </c>
      <c r="B2824" s="487" t="s">
        <v>7991</v>
      </c>
      <c r="C2824" s="502">
        <v>77</v>
      </c>
      <c r="D2824" s="487">
        <f t="shared" si="202"/>
        <v>-18</v>
      </c>
      <c r="E2824" s="487">
        <f t="shared" si="203"/>
        <v>6</v>
      </c>
      <c r="F2824" s="487">
        <f t="shared" ca="1" si="204"/>
        <v>85</v>
      </c>
      <c r="G2824" s="487" t="s">
        <v>7523</v>
      </c>
      <c r="H2824" s="493"/>
      <c r="I2824" s="493"/>
      <c r="J2824" s="493"/>
      <c r="K2824" s="493"/>
      <c r="L2824" s="487"/>
      <c r="M2824" s="487"/>
      <c r="N2824" s="487"/>
      <c r="O2824" s="487"/>
      <c r="P2824" s="487">
        <f t="shared" si="205"/>
        <v>462</v>
      </c>
      <c r="Q2824" s="487" t="b">
        <v>0</v>
      </c>
    </row>
    <row r="2825" spans="1:17" x14ac:dyDescent="0.3">
      <c r="A2825" s="487" t="b">
        <v>0</v>
      </c>
      <c r="B2825" s="487" t="s">
        <v>7992</v>
      </c>
      <c r="C2825" s="502">
        <v>78</v>
      </c>
      <c r="D2825" s="487">
        <f t="shared" si="202"/>
        <v>-17</v>
      </c>
      <c r="E2825" s="487">
        <f t="shared" si="203"/>
        <v>1</v>
      </c>
      <c r="F2825" s="487">
        <f t="shared" ca="1" si="204"/>
        <v>86</v>
      </c>
      <c r="G2825" s="487" t="s">
        <v>7525</v>
      </c>
      <c r="H2825" s="493"/>
      <c r="I2825" s="493"/>
      <c r="J2825" s="493"/>
      <c r="K2825" s="493"/>
      <c r="L2825" s="487"/>
      <c r="M2825" s="487"/>
      <c r="N2825" s="487"/>
      <c r="O2825" s="487"/>
      <c r="P2825" s="487">
        <f t="shared" si="205"/>
        <v>463</v>
      </c>
      <c r="Q2825" s="487" t="b">
        <v>0</v>
      </c>
    </row>
    <row r="2826" spans="1:17" x14ac:dyDescent="0.3">
      <c r="A2826" s="487" t="b">
        <v>0</v>
      </c>
      <c r="B2826" s="487" t="s">
        <v>7993</v>
      </c>
      <c r="C2826" s="502">
        <v>78</v>
      </c>
      <c r="D2826" s="487">
        <f t="shared" si="202"/>
        <v>-16</v>
      </c>
      <c r="E2826" s="487">
        <f t="shared" si="203"/>
        <v>2</v>
      </c>
      <c r="F2826" s="487">
        <f t="shared" ca="1" si="204"/>
        <v>86</v>
      </c>
      <c r="G2826" s="487" t="s">
        <v>7525</v>
      </c>
      <c r="H2826" s="493"/>
      <c r="I2826" s="493"/>
      <c r="J2826" s="493"/>
      <c r="K2826" s="493"/>
      <c r="L2826" s="487"/>
      <c r="M2826" s="487"/>
      <c r="N2826" s="487"/>
      <c r="O2826" s="487"/>
      <c r="P2826" s="487">
        <f t="shared" si="205"/>
        <v>464</v>
      </c>
      <c r="Q2826" s="487" t="b">
        <v>0</v>
      </c>
    </row>
    <row r="2827" spans="1:17" x14ac:dyDescent="0.3">
      <c r="A2827" s="487" t="b">
        <v>0</v>
      </c>
      <c r="B2827" s="487" t="s">
        <v>7994</v>
      </c>
      <c r="C2827" s="502">
        <v>78</v>
      </c>
      <c r="D2827" s="487">
        <f t="shared" si="202"/>
        <v>-15</v>
      </c>
      <c r="E2827" s="487">
        <f t="shared" si="203"/>
        <v>3</v>
      </c>
      <c r="F2827" s="487">
        <f t="shared" ca="1" si="204"/>
        <v>86</v>
      </c>
      <c r="G2827" s="487" t="s">
        <v>7525</v>
      </c>
      <c r="H2827" s="493"/>
      <c r="I2827" s="493"/>
      <c r="J2827" s="493"/>
      <c r="K2827" s="493"/>
      <c r="L2827" s="487"/>
      <c r="M2827" s="487"/>
      <c r="N2827" s="487"/>
      <c r="O2827" s="487"/>
      <c r="P2827" s="487">
        <f t="shared" si="205"/>
        <v>465</v>
      </c>
      <c r="Q2827" s="487" t="b">
        <v>0</v>
      </c>
    </row>
    <row r="2828" spans="1:17" x14ac:dyDescent="0.3">
      <c r="A2828" s="487" t="b">
        <v>0</v>
      </c>
      <c r="B2828" s="487" t="s">
        <v>7995</v>
      </c>
      <c r="C2828" s="502">
        <v>78</v>
      </c>
      <c r="D2828" s="487">
        <f t="shared" si="202"/>
        <v>-14</v>
      </c>
      <c r="E2828" s="487">
        <f t="shared" si="203"/>
        <v>4</v>
      </c>
      <c r="F2828" s="487">
        <f t="shared" ca="1" si="204"/>
        <v>86</v>
      </c>
      <c r="G2828" s="487" t="s">
        <v>7525</v>
      </c>
      <c r="H2828" s="493"/>
      <c r="I2828" s="493"/>
      <c r="J2828" s="493"/>
      <c r="K2828" s="493"/>
      <c r="L2828" s="487"/>
      <c r="M2828" s="487"/>
      <c r="N2828" s="487"/>
      <c r="O2828" s="487"/>
      <c r="P2828" s="487">
        <f t="shared" si="205"/>
        <v>466</v>
      </c>
      <c r="Q2828" s="487" t="b">
        <v>0</v>
      </c>
    </row>
    <row r="2829" spans="1:17" x14ac:dyDescent="0.3">
      <c r="A2829" s="487" t="b">
        <v>0</v>
      </c>
      <c r="B2829" s="487" t="s">
        <v>7996</v>
      </c>
      <c r="C2829" s="502">
        <v>78</v>
      </c>
      <c r="D2829" s="487">
        <f t="shared" si="202"/>
        <v>-13</v>
      </c>
      <c r="E2829" s="487">
        <f t="shared" si="203"/>
        <v>5</v>
      </c>
      <c r="F2829" s="487">
        <f t="shared" ca="1" si="204"/>
        <v>86</v>
      </c>
      <c r="G2829" s="487" t="s">
        <v>7525</v>
      </c>
      <c r="H2829" s="493"/>
      <c r="I2829" s="493"/>
      <c r="J2829" s="493"/>
      <c r="K2829" s="493"/>
      <c r="L2829" s="487"/>
      <c r="M2829" s="487"/>
      <c r="N2829" s="487"/>
      <c r="O2829" s="487"/>
      <c r="P2829" s="487">
        <f t="shared" si="205"/>
        <v>467</v>
      </c>
      <c r="Q2829" s="487" t="b">
        <v>0</v>
      </c>
    </row>
    <row r="2830" spans="1:17" x14ac:dyDescent="0.3">
      <c r="A2830" s="487" t="b">
        <v>0</v>
      </c>
      <c r="B2830" s="487" t="s">
        <v>7997</v>
      </c>
      <c r="C2830" s="502">
        <v>78</v>
      </c>
      <c r="D2830" s="487">
        <f t="shared" si="202"/>
        <v>-12</v>
      </c>
      <c r="E2830" s="487">
        <f t="shared" si="203"/>
        <v>6</v>
      </c>
      <c r="F2830" s="487">
        <f t="shared" ca="1" si="204"/>
        <v>86</v>
      </c>
      <c r="G2830" s="487" t="s">
        <v>7525</v>
      </c>
      <c r="H2830" s="493"/>
      <c r="I2830" s="493"/>
      <c r="J2830" s="493"/>
      <c r="K2830" s="493"/>
      <c r="L2830" s="487"/>
      <c r="M2830" s="487"/>
      <c r="N2830" s="487"/>
      <c r="O2830" s="487"/>
      <c r="P2830" s="487">
        <f t="shared" si="205"/>
        <v>468</v>
      </c>
      <c r="Q2830" s="487" t="b">
        <v>0</v>
      </c>
    </row>
    <row r="2831" spans="1:17" x14ac:dyDescent="0.3">
      <c r="A2831" s="487" t="b">
        <v>0</v>
      </c>
      <c r="B2831" s="487" t="s">
        <v>7998</v>
      </c>
      <c r="C2831" s="502">
        <v>79</v>
      </c>
      <c r="D2831" s="487">
        <f t="shared" si="202"/>
        <v>-11</v>
      </c>
      <c r="E2831" s="487">
        <f t="shared" si="203"/>
        <v>1</v>
      </c>
      <c r="F2831" s="487">
        <f t="shared" ca="1" si="204"/>
        <v>87</v>
      </c>
      <c r="G2831" s="487" t="s">
        <v>7527</v>
      </c>
      <c r="H2831" s="493"/>
      <c r="I2831" s="493"/>
      <c r="J2831" s="493"/>
      <c r="K2831" s="493"/>
      <c r="L2831" s="487"/>
      <c r="M2831" s="487"/>
      <c r="N2831" s="487"/>
      <c r="O2831" s="487"/>
      <c r="P2831" s="487">
        <f t="shared" si="205"/>
        <v>469</v>
      </c>
      <c r="Q2831" s="487" t="b">
        <v>0</v>
      </c>
    </row>
    <row r="2832" spans="1:17" x14ac:dyDescent="0.3">
      <c r="A2832" s="487" t="b">
        <v>0</v>
      </c>
      <c r="B2832" s="487" t="s">
        <v>7999</v>
      </c>
      <c r="C2832" s="502">
        <v>79</v>
      </c>
      <c r="D2832" s="487">
        <f t="shared" si="202"/>
        <v>-10</v>
      </c>
      <c r="E2832" s="487">
        <f t="shared" si="203"/>
        <v>2</v>
      </c>
      <c r="F2832" s="487">
        <f t="shared" ca="1" si="204"/>
        <v>87</v>
      </c>
      <c r="G2832" s="487" t="s">
        <v>7527</v>
      </c>
      <c r="H2832" s="493"/>
      <c r="I2832" s="493"/>
      <c r="J2832" s="493"/>
      <c r="K2832" s="493"/>
      <c r="L2832" s="487"/>
      <c r="M2832" s="487"/>
      <c r="N2832" s="487"/>
      <c r="O2832" s="487"/>
      <c r="P2832" s="487">
        <f t="shared" si="205"/>
        <v>470</v>
      </c>
      <c r="Q2832" s="487" t="b">
        <v>0</v>
      </c>
    </row>
    <row r="2833" spans="1:17" x14ac:dyDescent="0.3">
      <c r="A2833" s="487" t="b">
        <v>0</v>
      </c>
      <c r="B2833" s="487" t="s">
        <v>8000</v>
      </c>
      <c r="C2833" s="502">
        <v>79</v>
      </c>
      <c r="D2833" s="487">
        <f t="shared" si="202"/>
        <v>-9</v>
      </c>
      <c r="E2833" s="487">
        <f t="shared" si="203"/>
        <v>3</v>
      </c>
      <c r="F2833" s="487">
        <f t="shared" ca="1" si="204"/>
        <v>87</v>
      </c>
      <c r="G2833" s="487" t="s">
        <v>7527</v>
      </c>
      <c r="H2833" s="493"/>
      <c r="I2833" s="493"/>
      <c r="J2833" s="493"/>
      <c r="K2833" s="493"/>
      <c r="L2833" s="487"/>
      <c r="M2833" s="487"/>
      <c r="N2833" s="487"/>
      <c r="O2833" s="487"/>
      <c r="P2833" s="487">
        <f t="shared" si="205"/>
        <v>471</v>
      </c>
      <c r="Q2833" s="487" t="b">
        <v>0</v>
      </c>
    </row>
    <row r="2834" spans="1:17" x14ac:dyDescent="0.3">
      <c r="A2834" s="487" t="b">
        <v>0</v>
      </c>
      <c r="B2834" s="487" t="s">
        <v>8001</v>
      </c>
      <c r="C2834" s="502">
        <v>79</v>
      </c>
      <c r="D2834" s="487">
        <f t="shared" si="202"/>
        <v>-8</v>
      </c>
      <c r="E2834" s="487">
        <f t="shared" si="203"/>
        <v>4</v>
      </c>
      <c r="F2834" s="487">
        <f t="shared" ca="1" si="204"/>
        <v>87</v>
      </c>
      <c r="G2834" s="487" t="s">
        <v>7527</v>
      </c>
      <c r="H2834" s="493"/>
      <c r="I2834" s="493"/>
      <c r="J2834" s="493"/>
      <c r="K2834" s="493"/>
      <c r="L2834" s="487"/>
      <c r="M2834" s="487"/>
      <c r="N2834" s="487"/>
      <c r="O2834" s="487"/>
      <c r="P2834" s="487">
        <f t="shared" si="205"/>
        <v>472</v>
      </c>
      <c r="Q2834" s="487" t="b">
        <v>0</v>
      </c>
    </row>
    <row r="2835" spans="1:17" x14ac:dyDescent="0.3">
      <c r="A2835" s="487" t="b">
        <v>0</v>
      </c>
      <c r="B2835" s="487" t="s">
        <v>8002</v>
      </c>
      <c r="C2835" s="502">
        <v>79</v>
      </c>
      <c r="D2835" s="487">
        <f t="shared" si="202"/>
        <v>-7</v>
      </c>
      <c r="E2835" s="487">
        <f t="shared" si="203"/>
        <v>5</v>
      </c>
      <c r="F2835" s="487">
        <f t="shared" ca="1" si="204"/>
        <v>87</v>
      </c>
      <c r="G2835" s="487" t="s">
        <v>7527</v>
      </c>
      <c r="H2835" s="493"/>
      <c r="I2835" s="493"/>
      <c r="J2835" s="493"/>
      <c r="K2835" s="493"/>
      <c r="L2835" s="487"/>
      <c r="M2835" s="487"/>
      <c r="N2835" s="487"/>
      <c r="O2835" s="487"/>
      <c r="P2835" s="487">
        <f t="shared" si="205"/>
        <v>473</v>
      </c>
      <c r="Q2835" s="487" t="b">
        <v>0</v>
      </c>
    </row>
    <row r="2836" spans="1:17" x14ac:dyDescent="0.3">
      <c r="A2836" s="487" t="b">
        <v>0</v>
      </c>
      <c r="B2836" s="487" t="s">
        <v>8003</v>
      </c>
      <c r="C2836" s="502">
        <v>79</v>
      </c>
      <c r="D2836" s="487">
        <f t="shared" si="202"/>
        <v>-6</v>
      </c>
      <c r="E2836" s="487">
        <f t="shared" si="203"/>
        <v>6</v>
      </c>
      <c r="F2836" s="487">
        <f t="shared" ca="1" si="204"/>
        <v>87</v>
      </c>
      <c r="G2836" s="487" t="s">
        <v>7527</v>
      </c>
      <c r="H2836" s="493"/>
      <c r="I2836" s="493"/>
      <c r="J2836" s="493"/>
      <c r="K2836" s="493"/>
      <c r="L2836" s="487"/>
      <c r="M2836" s="487"/>
      <c r="N2836" s="487"/>
      <c r="O2836" s="487"/>
      <c r="P2836" s="487">
        <f t="shared" si="205"/>
        <v>474</v>
      </c>
      <c r="Q2836" s="487" t="b">
        <v>0</v>
      </c>
    </row>
    <row r="2837" spans="1:17" x14ac:dyDescent="0.3">
      <c r="A2837" s="487" t="b">
        <v>0</v>
      </c>
      <c r="B2837" s="487" t="s">
        <v>8004</v>
      </c>
      <c r="C2837" s="502">
        <v>80</v>
      </c>
      <c r="D2837" s="487">
        <f t="shared" si="202"/>
        <v>-5</v>
      </c>
      <c r="E2837" s="487">
        <f t="shared" si="203"/>
        <v>1</v>
      </c>
      <c r="F2837" s="487">
        <f t="shared" ca="1" si="204"/>
        <v>88</v>
      </c>
      <c r="G2837" s="487" t="s">
        <v>7529</v>
      </c>
      <c r="H2837" s="493"/>
      <c r="I2837" s="493"/>
      <c r="J2837" s="493"/>
      <c r="K2837" s="493"/>
      <c r="L2837" s="487"/>
      <c r="M2837" s="487"/>
      <c r="N2837" s="487"/>
      <c r="O2837" s="487"/>
      <c r="P2837" s="487">
        <f t="shared" si="205"/>
        <v>475</v>
      </c>
      <c r="Q2837" s="487" t="b">
        <v>0</v>
      </c>
    </row>
    <row r="2838" spans="1:17" x14ac:dyDescent="0.3">
      <c r="A2838" s="487" t="b">
        <v>0</v>
      </c>
      <c r="B2838" s="487" t="s">
        <v>8005</v>
      </c>
      <c r="C2838" s="502">
        <v>80</v>
      </c>
      <c r="D2838" s="487">
        <f t="shared" si="202"/>
        <v>-4</v>
      </c>
      <c r="E2838" s="487">
        <f t="shared" si="203"/>
        <v>2</v>
      </c>
      <c r="F2838" s="487">
        <f t="shared" ca="1" si="204"/>
        <v>88</v>
      </c>
      <c r="G2838" s="487" t="s">
        <v>7529</v>
      </c>
      <c r="H2838" s="493"/>
      <c r="I2838" s="493"/>
      <c r="J2838" s="493"/>
      <c r="K2838" s="493"/>
      <c r="L2838" s="487"/>
      <c r="M2838" s="487"/>
      <c r="N2838" s="487"/>
      <c r="O2838" s="487"/>
      <c r="P2838" s="487">
        <f t="shared" si="205"/>
        <v>476</v>
      </c>
      <c r="Q2838" s="487" t="b">
        <v>0</v>
      </c>
    </row>
    <row r="2839" spans="1:17" x14ac:dyDescent="0.3">
      <c r="A2839" s="487" t="b">
        <v>0</v>
      </c>
      <c r="B2839" s="487" t="s">
        <v>8006</v>
      </c>
      <c r="C2839" s="502">
        <v>80</v>
      </c>
      <c r="D2839" s="487">
        <f t="shared" si="202"/>
        <v>-3</v>
      </c>
      <c r="E2839" s="487">
        <f t="shared" si="203"/>
        <v>3</v>
      </c>
      <c r="F2839" s="487">
        <f t="shared" ca="1" si="204"/>
        <v>88</v>
      </c>
      <c r="G2839" s="487" t="s">
        <v>7529</v>
      </c>
      <c r="H2839" s="493"/>
      <c r="I2839" s="493"/>
      <c r="J2839" s="493"/>
      <c r="K2839" s="493"/>
      <c r="L2839" s="487"/>
      <c r="M2839" s="487"/>
      <c r="N2839" s="487"/>
      <c r="O2839" s="487"/>
      <c r="P2839" s="487">
        <f t="shared" si="205"/>
        <v>477</v>
      </c>
      <c r="Q2839" s="487" t="b">
        <v>0</v>
      </c>
    </row>
    <row r="2840" spans="1:17" x14ac:dyDescent="0.3">
      <c r="A2840" s="487" t="b">
        <v>0</v>
      </c>
      <c r="B2840" s="487" t="s">
        <v>8007</v>
      </c>
      <c r="C2840" s="502">
        <v>80</v>
      </c>
      <c r="D2840" s="487">
        <f t="shared" si="202"/>
        <v>-2</v>
      </c>
      <c r="E2840" s="487">
        <f t="shared" si="203"/>
        <v>4</v>
      </c>
      <c r="F2840" s="487">
        <f t="shared" ca="1" si="204"/>
        <v>88</v>
      </c>
      <c r="G2840" s="487" t="s">
        <v>7529</v>
      </c>
      <c r="H2840" s="493"/>
      <c r="I2840" s="493"/>
      <c r="J2840" s="493"/>
      <c r="K2840" s="493"/>
      <c r="L2840" s="487"/>
      <c r="M2840" s="487"/>
      <c r="N2840" s="487"/>
      <c r="O2840" s="487"/>
      <c r="P2840" s="487">
        <f t="shared" si="205"/>
        <v>478</v>
      </c>
      <c r="Q2840" s="487" t="b">
        <v>0</v>
      </c>
    </row>
    <row r="2841" spans="1:17" x14ac:dyDescent="0.3">
      <c r="A2841" s="487" t="b">
        <v>0</v>
      </c>
      <c r="B2841" s="487" t="s">
        <v>8008</v>
      </c>
      <c r="C2841" s="502">
        <v>80</v>
      </c>
      <c r="D2841" s="487">
        <f t="shared" si="202"/>
        <v>-1</v>
      </c>
      <c r="E2841" s="487">
        <f t="shared" si="203"/>
        <v>5</v>
      </c>
      <c r="F2841" s="487">
        <f t="shared" ca="1" si="204"/>
        <v>88</v>
      </c>
      <c r="G2841" s="487" t="s">
        <v>7529</v>
      </c>
      <c r="H2841" s="493"/>
      <c r="I2841" s="493"/>
      <c r="J2841" s="493"/>
      <c r="K2841" s="493"/>
      <c r="L2841" s="487"/>
      <c r="M2841" s="487"/>
      <c r="N2841" s="487"/>
      <c r="O2841" s="487"/>
      <c r="P2841" s="487">
        <f t="shared" si="205"/>
        <v>479</v>
      </c>
      <c r="Q2841" s="487" t="b">
        <v>0</v>
      </c>
    </row>
    <row r="2842" spans="1:17" x14ac:dyDescent="0.3">
      <c r="A2842" s="487" t="b">
        <v>0</v>
      </c>
      <c r="B2842" s="487" t="s">
        <v>8009</v>
      </c>
      <c r="C2842" s="502">
        <v>80</v>
      </c>
      <c r="D2842" s="487">
        <f t="shared" si="202"/>
        <v>0</v>
      </c>
      <c r="E2842" s="487">
        <f t="shared" si="203"/>
        <v>6</v>
      </c>
      <c r="F2842" s="487">
        <f t="shared" ca="1" si="204"/>
        <v>88</v>
      </c>
      <c r="G2842" s="487" t="s">
        <v>7529</v>
      </c>
      <c r="H2842" s="493"/>
      <c r="I2842" s="493"/>
      <c r="J2842" s="493"/>
      <c r="K2842" s="493"/>
      <c r="L2842" s="487"/>
      <c r="M2842" s="487"/>
      <c r="N2842" s="487"/>
      <c r="O2842" s="487"/>
      <c r="P2842" s="487">
        <f t="shared" si="205"/>
        <v>480</v>
      </c>
      <c r="Q2842" s="487" t="b">
        <v>0</v>
      </c>
    </row>
    <row r="2843" spans="1:17" x14ac:dyDescent="0.3">
      <c r="A2843" s="487" t="b">
        <f t="shared" ref="A2843:A2906" ca="1" si="206">IF(OR(H2843&lt;&gt;"",I2843&lt;&gt;""),TRUE,FALSE)</f>
        <v>0</v>
      </c>
      <c r="B2843" s="500" t="str">
        <f ca="1">IF(COUNTA(G$2360:G2842)=1,"",OFFSET(B2843,-COUNTA(G$2360:G2842)+1,0))</f>
        <v>a1b3p000003dxZnAAI</v>
      </c>
      <c r="C2843" s="502">
        <f ca="1">IF(COUNTA(G$2360:G2842)=1,"",OFFSET(C2843,-COUNTA(G$2360:G2842)+1,0))</f>
        <v>1</v>
      </c>
      <c r="D2843" s="487">
        <f t="shared" si="202"/>
        <v>1</v>
      </c>
      <c r="E2843" s="487">
        <f t="shared" ca="1" si="203"/>
        <v>1</v>
      </c>
      <c r="F2843" s="487">
        <f t="shared" ca="1" si="204"/>
        <v>9</v>
      </c>
      <c r="G2843" s="487"/>
      <c r="H2843" s="493" t="str">
        <f t="shared" ref="H2843:H2906" ca="1" si="207">CHOOSE(E2843,IFERROR(IF(INDIRECT("'WPTM - Section F'!K"&amp;F2843)=0,"",INDIRECT("'WPTM - Section F'!K"&amp;$F2843)),""),IFERROR(IF(INDIRECT("'WPTM - Section F'!O"&amp;F2843)=0,"",INDIRECT("'WPTM - Section F'!O"&amp;$F2843)),""),IFERROR(IF(INDIRECT("'WPTM - Section F'!S"&amp;F2843)=0,"",INDIRECT("'WPTM - Section F'!S"&amp;$F2843)),""),IFERROR(IF(INDIRECT("'WPTM - Section F'!W"&amp;F2843)=0,"",INDIRECT("'WPTM - Section F'!W"&amp;$F2843)),""),IFERROR(IF(INDIRECT("'WPTM - Section F'!AA"&amp;F2843)=0,"",INDIRECT("'WPTM - Section F'!AA"&amp;$F2843)),""),IFERROR(IF(INDIRECT("'WPTM - Section F'!AE"&amp;F2843)=0,"",INDIRECT("'WPTM - Section F'!AE"&amp;$F2843)),""),IFERROR(IF(INDIRECT("'WPTM - Section F'!AI"&amp;F2843)=0,"",INDIRECT("'WPTM - Section F'!AI"&amp;$F2843)),""),IFERROR(IF(INDIRECT("'WPTM - Section F'!AM"&amp;F2843)=0,"",INDIRECT("'WPTM - Section F'!AM"&amp;$F2843)),""),)</f>
        <v/>
      </c>
      <c r="I2843" s="493" t="str">
        <f t="shared" ref="I2843:I2906" ca="1" si="208">CHOOSE(E2843,IFERROR(IF(INDIRECT("'WPTM - Section F'!J"&amp;F2843)=0,"",INDIRECT("'WPTM - Section F'!J"&amp;$F2843)),""),IFERROR(IF(INDIRECT("'WPTM - Section F'!N"&amp;F2843)=0,"",INDIRECT("'WPTM - Section F'!N"&amp;$F2843)),""),IFERROR(IF(INDIRECT("'WPTM - Section F'!R"&amp;F2843)=0,"",INDIRECT("'WPTM - Section F'!R"&amp;$F2843)),""),IFERROR(IF(INDIRECT("'WPTM - Section F'!V"&amp;F2843)=0,"",INDIRECT("'WPTM - Section F'!V"&amp;$F2843)),""),IFERROR(IF(INDIRECT("'WPTM - Section F'!Z"&amp;F2843)=0,"",INDIRECT("'WPTM - Section F'!Z"&amp;$F2843)),""),IFERROR(IF(INDIRECT("'WPTM - Section F'!AD"&amp;F2843)=0,"",INDIRECT("'WPTM - Section F'!AD"&amp;$F2843)),""),IFERROR(IF(INDIRECT("'WPTM - Section F'!AH"&amp;F2843)=0,"",INDIRECT("'WPTM - Section F'!AH"&amp;$F2843)),""),IFERROR(IF(INDIRECT("'WPTM - Section F'!AL"&amp;F2843)=0,"",INDIRECT("'WPTM - Section F'!AL"&amp;$F2843)),""),)</f>
        <v/>
      </c>
      <c r="J2843" s="493" t="str">
        <f t="shared" ref="J2843:J2906" ca="1" si="209">CHOOSE(E2843,IFERROR(IF(INDIRECT("'WPTM - Section F'!H"&amp;F2843)=0,"",INDIRECT("'WPTM - Section F'!H"&amp;$F2843)),""),IFERROR(IF(INDIRECT("'WPTM - Section F'!L"&amp;F2843)=0,"",INDIRECT("'WPTM - Section F'!L"&amp;$F2843)),""),IFERROR(IF(INDIRECT("'WPTM - Section F'!P"&amp;F2843)=0,"",INDIRECT("'WPTM - Section F'!P"&amp;$F2843)),""),IFERROR(IF(INDIRECT("'WPTM - Section F'!T"&amp;F2843)=0,"",INDIRECT("'WPTM - Section F'!T"&amp;$F2843)),""),IFERROR(IF(INDIRECT("'WPTM - Section F'!X"&amp;F2843)=0,"",INDIRECT("'WPTM - Section F'!X"&amp;$F2843)),""),IFERROR(IF(INDIRECT("'WPTM - Section F'!AB"&amp;F2843)=0,"",INDIRECT("'WPTM - Section F'!AB"&amp;$F2843)),""),IFERROR(IF(INDIRECT("'WPTM - Section F'!AF"&amp;F2843)=0,"",INDIRECT("'WPTM - Section F'!AF"&amp;$F2843)),""),IFERROR(IF(INDIRECT("'WPTM - Section F'!AJ"&amp;F2843)=0,"",INDIRECT("'WPTM - Section F'!AJ"&amp;$F2843)),""),)</f>
        <v/>
      </c>
      <c r="K2843" s="493" t="str">
        <f t="shared" ref="K2843:K2906" ca="1" si="210">CHOOSE(E2843,IFERROR(IF(INDIRECT("'WPTM - Section F'!I"&amp;F2843)=0,"",INDIRECT("'WPTM - Section F'!I"&amp;$F2843)),""),IFERROR(IF(INDIRECT("'WPTM - Section F'!M"&amp;F2843)=0,"",INDIRECT("'WPTM - Section F'!M"&amp;$F2843)),""),IFERROR(IF(INDIRECT("'WPTM - Section F'!Q"&amp;F2843)=0,"",INDIRECT("'WPTM - Section F'!Q"&amp;$F2843)),""),IFERROR(IF(INDIRECT("'WPTM - Section F'!U"&amp;F2843)=0,"",INDIRECT("'WPTM - Section F'!U"&amp;$F2843)),""),IFERROR(IF(INDIRECT("'WPTM - Section F'!Y"&amp;F2843)=0,"",INDIRECT("'WPTM - Section F'!Y"&amp;$F2843)),""),IFERROR(IF(INDIRECT("'WPTM - Section F'!AC"&amp;F2843)=0,"",INDIRECT("'WPTM - Section F'!AC"&amp;$F2843)),""),IFERROR(IF(INDIRECT("'WPTM - Section F'!AG"&amp;F2843)=0,"",INDIRECT("'WPTM - Section F'!AG"&amp;$F2843)),""),IFERROR(IF(INDIRECT("'WPTM - Section F'!AK"&amp;F2843)=0,"",INDIRECT("'WPTM - Section F'!AK"&amp;$F2843)),""),)</f>
        <v/>
      </c>
      <c r="L2843" s="487"/>
      <c r="M2843" s="487"/>
      <c r="N2843" s="487"/>
      <c r="O2843" s="487"/>
      <c r="P2843" s="487">
        <f t="shared" si="205"/>
        <v>0</v>
      </c>
      <c r="Q2843" s="487"/>
    </row>
    <row r="2844" spans="1:17" x14ac:dyDescent="0.3">
      <c r="A2844" s="487" t="b">
        <f t="shared" ca="1" si="206"/>
        <v>0</v>
      </c>
      <c r="B2844" s="500" t="str">
        <f ca="1">IF(COUNTA(G$2360:G2843)=1,"",OFFSET(B2844,-COUNTA(G$2360:G2843)+1,0))</f>
        <v>a1b3p000003dxb5AAA</v>
      </c>
      <c r="C2844" s="502">
        <f ca="1">IF(COUNTA(G$2360:G2843)=1,"",OFFSET(C2844,-COUNTA(G$2360:G2843)+1,0))</f>
        <v>1</v>
      </c>
      <c r="D2844" s="487">
        <f t="shared" si="202"/>
        <v>2</v>
      </c>
      <c r="E2844" s="487">
        <f t="shared" ca="1" si="203"/>
        <v>2</v>
      </c>
      <c r="F2844" s="487">
        <f t="shared" ca="1" si="204"/>
        <v>9</v>
      </c>
      <c r="G2844" s="487"/>
      <c r="H2844" s="493" t="str">
        <f t="shared" ca="1" si="207"/>
        <v/>
      </c>
      <c r="I2844" s="493" t="str">
        <f t="shared" ca="1" si="208"/>
        <v/>
      </c>
      <c r="J2844" s="493" t="str">
        <f t="shared" ca="1" si="209"/>
        <v/>
      </c>
      <c r="K2844" s="493" t="str">
        <f t="shared" ca="1" si="210"/>
        <v/>
      </c>
      <c r="L2844" s="487"/>
      <c r="M2844" s="487"/>
      <c r="N2844" s="487"/>
      <c r="O2844" s="487"/>
      <c r="P2844" s="487">
        <f t="shared" si="205"/>
        <v>0</v>
      </c>
      <c r="Q2844" s="487"/>
    </row>
    <row r="2845" spans="1:17" x14ac:dyDescent="0.3">
      <c r="A2845" s="487" t="b">
        <f t="shared" ca="1" si="206"/>
        <v>0</v>
      </c>
      <c r="B2845" s="500" t="str">
        <f ca="1">IF(COUNTA(G$2360:G2844)=1,"",OFFSET(B2845,-COUNTA(G$2360:G2844)+1,0))</f>
        <v>a1b3p000003dxcNAAQ</v>
      </c>
      <c r="C2845" s="502">
        <f ca="1">IF(COUNTA(G$2360:G2844)=1,"",OFFSET(C2845,-COUNTA(G$2360:G2844)+1,0))</f>
        <v>1</v>
      </c>
      <c r="D2845" s="487">
        <f t="shared" si="202"/>
        <v>3</v>
      </c>
      <c r="E2845" s="487">
        <f t="shared" ca="1" si="203"/>
        <v>3</v>
      </c>
      <c r="F2845" s="487">
        <f t="shared" ca="1" si="204"/>
        <v>9</v>
      </c>
      <c r="G2845" s="487"/>
      <c r="H2845" s="493" t="str">
        <f t="shared" ca="1" si="207"/>
        <v/>
      </c>
      <c r="I2845" s="493" t="str">
        <f t="shared" ca="1" si="208"/>
        <v/>
      </c>
      <c r="J2845" s="493" t="str">
        <f t="shared" ca="1" si="209"/>
        <v/>
      </c>
      <c r="K2845" s="493" t="str">
        <f t="shared" ca="1" si="210"/>
        <v/>
      </c>
      <c r="L2845" s="487"/>
      <c r="M2845" s="487"/>
      <c r="N2845" s="487"/>
      <c r="O2845" s="487"/>
      <c r="P2845" s="487">
        <f t="shared" si="205"/>
        <v>0</v>
      </c>
      <c r="Q2845" s="487"/>
    </row>
    <row r="2846" spans="1:17" x14ac:dyDescent="0.3">
      <c r="A2846" s="487" t="b">
        <f t="shared" ca="1" si="206"/>
        <v>0</v>
      </c>
      <c r="B2846" s="500" t="str">
        <f ca="1">IF(COUNTA(G$2360:G2845)=1,"",OFFSET(B2846,-COUNTA(G$2360:G2845)+1,0))</f>
        <v>a1b3p000003dxdfAAA</v>
      </c>
      <c r="C2846" s="502">
        <f ca="1">IF(COUNTA(G$2360:G2845)=1,"",OFFSET(C2846,-COUNTA(G$2360:G2845)+1,0))</f>
        <v>1</v>
      </c>
      <c r="D2846" s="487">
        <f t="shared" si="202"/>
        <v>4</v>
      </c>
      <c r="E2846" s="487">
        <f t="shared" ca="1" si="203"/>
        <v>4</v>
      </c>
      <c r="F2846" s="487">
        <f t="shared" ca="1" si="204"/>
        <v>9</v>
      </c>
      <c r="G2846" s="487"/>
      <c r="H2846" s="493" t="str">
        <f t="shared" ca="1" si="207"/>
        <v/>
      </c>
      <c r="I2846" s="493" t="str">
        <f t="shared" ca="1" si="208"/>
        <v/>
      </c>
      <c r="J2846" s="493" t="str">
        <f t="shared" ca="1" si="209"/>
        <v/>
      </c>
      <c r="K2846" s="493" t="str">
        <f t="shared" ca="1" si="210"/>
        <v/>
      </c>
      <c r="L2846" s="487"/>
      <c r="M2846" s="487"/>
      <c r="N2846" s="487"/>
      <c r="O2846" s="487"/>
      <c r="P2846" s="487">
        <f t="shared" si="205"/>
        <v>0</v>
      </c>
      <c r="Q2846" s="487"/>
    </row>
    <row r="2847" spans="1:17" x14ac:dyDescent="0.3">
      <c r="A2847" s="487" t="b">
        <f t="shared" ca="1" si="206"/>
        <v>0</v>
      </c>
      <c r="B2847" s="500" t="str">
        <f ca="1">IF(COUNTA(G$2360:G2846)=1,"",OFFSET(B2847,-COUNTA(G$2360:G2846)+1,0))</f>
        <v>a1b3p000003dxexAAA</v>
      </c>
      <c r="C2847" s="502">
        <f ca="1">IF(COUNTA(G$2360:G2846)=1,"",OFFSET(C2847,-COUNTA(G$2360:G2846)+1,0))</f>
        <v>1</v>
      </c>
      <c r="D2847" s="487">
        <f t="shared" si="202"/>
        <v>5</v>
      </c>
      <c r="E2847" s="487">
        <f t="shared" ca="1" si="203"/>
        <v>5</v>
      </c>
      <c r="F2847" s="487">
        <f t="shared" ca="1" si="204"/>
        <v>9</v>
      </c>
      <c r="G2847" s="487"/>
      <c r="H2847" s="493" t="str">
        <f t="shared" ca="1" si="207"/>
        <v/>
      </c>
      <c r="I2847" s="493" t="str">
        <f t="shared" ca="1" si="208"/>
        <v/>
      </c>
      <c r="J2847" s="493" t="str">
        <f t="shared" ca="1" si="209"/>
        <v/>
      </c>
      <c r="K2847" s="493" t="str">
        <f t="shared" ca="1" si="210"/>
        <v/>
      </c>
      <c r="L2847" s="487"/>
      <c r="M2847" s="487"/>
      <c r="N2847" s="487"/>
      <c r="O2847" s="487"/>
      <c r="P2847" s="487">
        <f t="shared" si="205"/>
        <v>0</v>
      </c>
      <c r="Q2847" s="487"/>
    </row>
    <row r="2848" spans="1:17" x14ac:dyDescent="0.3">
      <c r="A2848" s="487" t="b">
        <f t="shared" ca="1" si="206"/>
        <v>0</v>
      </c>
      <c r="B2848" s="500" t="str">
        <f ca="1">IF(COUNTA(G$2360:G2847)=1,"",OFFSET(B2848,-COUNTA(G$2360:G2847)+1,0))</f>
        <v>a1b3p000003dxgFAAQ</v>
      </c>
      <c r="C2848" s="502">
        <f ca="1">IF(COUNTA(G$2360:G2847)=1,"",OFFSET(C2848,-COUNTA(G$2360:G2847)+1,0))</f>
        <v>1</v>
      </c>
      <c r="D2848" s="487">
        <f t="shared" si="202"/>
        <v>6</v>
      </c>
      <c r="E2848" s="487">
        <f t="shared" ca="1" si="203"/>
        <v>6</v>
      </c>
      <c r="F2848" s="487">
        <f t="shared" ca="1" si="204"/>
        <v>9</v>
      </c>
      <c r="G2848" s="487"/>
      <c r="H2848" s="493" t="str">
        <f t="shared" ca="1" si="207"/>
        <v/>
      </c>
      <c r="I2848" s="493" t="str">
        <f t="shared" ca="1" si="208"/>
        <v/>
      </c>
      <c r="J2848" s="493" t="str">
        <f t="shared" ca="1" si="209"/>
        <v/>
      </c>
      <c r="K2848" s="493" t="str">
        <f t="shared" ca="1" si="210"/>
        <v/>
      </c>
      <c r="L2848" s="487"/>
      <c r="M2848" s="487"/>
      <c r="N2848" s="487"/>
      <c r="O2848" s="487"/>
      <c r="P2848" s="487">
        <f t="shared" si="205"/>
        <v>0</v>
      </c>
      <c r="Q2848" s="487"/>
    </row>
    <row r="2849" spans="1:17" x14ac:dyDescent="0.3">
      <c r="A2849" s="487" t="b">
        <f t="shared" ca="1" si="206"/>
        <v>0</v>
      </c>
      <c r="B2849" s="500" t="str">
        <f ca="1">IF(COUNTA(G$2360:G2848)=1,"",OFFSET(B2849,-COUNTA(G$2360:G2848)+1,0))</f>
        <v>a1b3p000003dxZoAAI</v>
      </c>
      <c r="C2849" s="502">
        <f ca="1">IF(COUNTA(G$2360:G2848)=1,"",OFFSET(C2849,-COUNTA(G$2360:G2848)+1,0))</f>
        <v>2</v>
      </c>
      <c r="D2849" s="487">
        <f t="shared" si="202"/>
        <v>7</v>
      </c>
      <c r="E2849" s="487">
        <f t="shared" ca="1" si="203"/>
        <v>1</v>
      </c>
      <c r="F2849" s="487">
        <f t="shared" ca="1" si="204"/>
        <v>10</v>
      </c>
      <c r="G2849" s="487"/>
      <c r="H2849" s="493" t="str">
        <f t="shared" ca="1" si="207"/>
        <v/>
      </c>
      <c r="I2849" s="493" t="str">
        <f t="shared" ca="1" si="208"/>
        <v/>
      </c>
      <c r="J2849" s="493" t="str">
        <f t="shared" ca="1" si="209"/>
        <v/>
      </c>
      <c r="K2849" s="493" t="str">
        <f t="shared" ca="1" si="210"/>
        <v/>
      </c>
      <c r="L2849" s="487"/>
      <c r="M2849" s="487"/>
      <c r="N2849" s="487"/>
      <c r="O2849" s="487"/>
      <c r="P2849" s="487">
        <f t="shared" si="205"/>
        <v>0</v>
      </c>
      <c r="Q2849" s="487"/>
    </row>
    <row r="2850" spans="1:17" x14ac:dyDescent="0.3">
      <c r="A2850" s="487" t="b">
        <f t="shared" ca="1" si="206"/>
        <v>0</v>
      </c>
      <c r="B2850" s="500" t="str">
        <f ca="1">IF(COUNTA(G$2360:G2849)=1,"",OFFSET(B2850,-COUNTA(G$2360:G2849)+1,0))</f>
        <v>a1b3p000003dxb6AAA</v>
      </c>
      <c r="C2850" s="502">
        <f ca="1">IF(COUNTA(G$2360:G2849)=1,"",OFFSET(C2850,-COUNTA(G$2360:G2849)+1,0))</f>
        <v>2</v>
      </c>
      <c r="D2850" s="487">
        <f t="shared" si="202"/>
        <v>8</v>
      </c>
      <c r="E2850" s="487">
        <f t="shared" ca="1" si="203"/>
        <v>2</v>
      </c>
      <c r="F2850" s="487">
        <f t="shared" ca="1" si="204"/>
        <v>10</v>
      </c>
      <c r="G2850" s="487"/>
      <c r="H2850" s="493" t="str">
        <f t="shared" ca="1" si="207"/>
        <v/>
      </c>
      <c r="I2850" s="493" t="str">
        <f t="shared" ca="1" si="208"/>
        <v/>
      </c>
      <c r="J2850" s="493" t="str">
        <f t="shared" ca="1" si="209"/>
        <v/>
      </c>
      <c r="K2850" s="493" t="str">
        <f t="shared" ca="1" si="210"/>
        <v/>
      </c>
      <c r="L2850" s="487"/>
      <c r="M2850" s="487"/>
      <c r="N2850" s="487"/>
      <c r="O2850" s="487"/>
      <c r="P2850" s="487">
        <f t="shared" si="205"/>
        <v>0</v>
      </c>
      <c r="Q2850" s="487"/>
    </row>
    <row r="2851" spans="1:17" x14ac:dyDescent="0.3">
      <c r="A2851" s="487" t="b">
        <f t="shared" ca="1" si="206"/>
        <v>0</v>
      </c>
      <c r="B2851" s="500" t="str">
        <f ca="1">IF(COUNTA(G$2360:G2850)=1,"",OFFSET(B2851,-COUNTA(G$2360:G2850)+1,0))</f>
        <v>a1b3p000003dxcOAAQ</v>
      </c>
      <c r="C2851" s="502">
        <f ca="1">IF(COUNTA(G$2360:G2850)=1,"",OFFSET(C2851,-COUNTA(G$2360:G2850)+1,0))</f>
        <v>2</v>
      </c>
      <c r="D2851" s="487">
        <f t="shared" si="202"/>
        <v>9</v>
      </c>
      <c r="E2851" s="487">
        <f t="shared" ca="1" si="203"/>
        <v>3</v>
      </c>
      <c r="F2851" s="487">
        <f t="shared" ca="1" si="204"/>
        <v>10</v>
      </c>
      <c r="G2851" s="487"/>
      <c r="H2851" s="493" t="str">
        <f t="shared" ca="1" si="207"/>
        <v/>
      </c>
      <c r="I2851" s="493" t="str">
        <f t="shared" ca="1" si="208"/>
        <v/>
      </c>
      <c r="J2851" s="493" t="str">
        <f t="shared" ca="1" si="209"/>
        <v/>
      </c>
      <c r="K2851" s="493" t="str">
        <f t="shared" ca="1" si="210"/>
        <v/>
      </c>
      <c r="L2851" s="487"/>
      <c r="M2851" s="487"/>
      <c r="N2851" s="487"/>
      <c r="O2851" s="487"/>
      <c r="P2851" s="487">
        <f t="shared" si="205"/>
        <v>0</v>
      </c>
      <c r="Q2851" s="487"/>
    </row>
    <row r="2852" spans="1:17" x14ac:dyDescent="0.3">
      <c r="A2852" s="487" t="b">
        <f t="shared" ca="1" si="206"/>
        <v>0</v>
      </c>
      <c r="B2852" s="500" t="str">
        <f ca="1">IF(COUNTA(G$2360:G2851)=1,"",OFFSET(B2852,-COUNTA(G$2360:G2851)+1,0))</f>
        <v>a1b3p000003dxdgAAA</v>
      </c>
      <c r="C2852" s="502">
        <f ca="1">IF(COUNTA(G$2360:G2851)=1,"",OFFSET(C2852,-COUNTA(G$2360:G2851)+1,0))</f>
        <v>2</v>
      </c>
      <c r="D2852" s="487">
        <f t="shared" si="202"/>
        <v>10</v>
      </c>
      <c r="E2852" s="487">
        <f t="shared" ca="1" si="203"/>
        <v>4</v>
      </c>
      <c r="F2852" s="487">
        <f t="shared" ca="1" si="204"/>
        <v>10</v>
      </c>
      <c r="G2852" s="487"/>
      <c r="H2852" s="493" t="str">
        <f t="shared" ca="1" si="207"/>
        <v/>
      </c>
      <c r="I2852" s="493" t="str">
        <f t="shared" ca="1" si="208"/>
        <v/>
      </c>
      <c r="J2852" s="493" t="str">
        <f t="shared" ca="1" si="209"/>
        <v/>
      </c>
      <c r="K2852" s="493" t="str">
        <f t="shared" ca="1" si="210"/>
        <v/>
      </c>
      <c r="L2852" s="487"/>
      <c r="M2852" s="487"/>
      <c r="N2852" s="487"/>
      <c r="O2852" s="487"/>
      <c r="P2852" s="487">
        <f t="shared" si="205"/>
        <v>0</v>
      </c>
      <c r="Q2852" s="487"/>
    </row>
    <row r="2853" spans="1:17" x14ac:dyDescent="0.3">
      <c r="A2853" s="487" t="b">
        <f t="shared" ca="1" si="206"/>
        <v>0</v>
      </c>
      <c r="B2853" s="500" t="str">
        <f ca="1">IF(COUNTA(G$2360:G2852)=1,"",OFFSET(B2853,-COUNTA(G$2360:G2852)+1,0))</f>
        <v>a1b3p000003dxeyAAA</v>
      </c>
      <c r="C2853" s="502">
        <f ca="1">IF(COUNTA(G$2360:G2852)=1,"",OFFSET(C2853,-COUNTA(G$2360:G2852)+1,0))</f>
        <v>2</v>
      </c>
      <c r="D2853" s="487">
        <f t="shared" si="202"/>
        <v>11</v>
      </c>
      <c r="E2853" s="487">
        <f t="shared" ca="1" si="203"/>
        <v>5</v>
      </c>
      <c r="F2853" s="487">
        <f t="shared" ca="1" si="204"/>
        <v>10</v>
      </c>
      <c r="G2853" s="487"/>
      <c r="H2853" s="493" t="str">
        <f t="shared" ca="1" si="207"/>
        <v/>
      </c>
      <c r="I2853" s="493" t="str">
        <f t="shared" ca="1" si="208"/>
        <v/>
      </c>
      <c r="J2853" s="493" t="str">
        <f t="shared" ca="1" si="209"/>
        <v/>
      </c>
      <c r="K2853" s="493" t="str">
        <f t="shared" ca="1" si="210"/>
        <v/>
      </c>
      <c r="L2853" s="487"/>
      <c r="M2853" s="487"/>
      <c r="N2853" s="487"/>
      <c r="O2853" s="487"/>
      <c r="P2853" s="487">
        <f t="shared" si="205"/>
        <v>0</v>
      </c>
      <c r="Q2853" s="487"/>
    </row>
    <row r="2854" spans="1:17" x14ac:dyDescent="0.3">
      <c r="A2854" s="487" t="b">
        <f t="shared" ca="1" si="206"/>
        <v>0</v>
      </c>
      <c r="B2854" s="500" t="str">
        <f ca="1">IF(COUNTA(G$2360:G2853)=1,"",OFFSET(B2854,-COUNTA(G$2360:G2853)+1,0))</f>
        <v>a1b3p000003dxgGAAQ</v>
      </c>
      <c r="C2854" s="502">
        <f ca="1">IF(COUNTA(G$2360:G2853)=1,"",OFFSET(C2854,-COUNTA(G$2360:G2853)+1,0))</f>
        <v>2</v>
      </c>
      <c r="D2854" s="487">
        <f t="shared" si="202"/>
        <v>12</v>
      </c>
      <c r="E2854" s="487">
        <f t="shared" ca="1" si="203"/>
        <v>6</v>
      </c>
      <c r="F2854" s="487">
        <f t="shared" ca="1" si="204"/>
        <v>10</v>
      </c>
      <c r="G2854" s="487"/>
      <c r="H2854" s="493" t="str">
        <f t="shared" ca="1" si="207"/>
        <v/>
      </c>
      <c r="I2854" s="493" t="str">
        <f t="shared" ca="1" si="208"/>
        <v/>
      </c>
      <c r="J2854" s="493" t="str">
        <f t="shared" ca="1" si="209"/>
        <v/>
      </c>
      <c r="K2854" s="493" t="str">
        <f t="shared" ca="1" si="210"/>
        <v/>
      </c>
      <c r="L2854" s="487"/>
      <c r="M2854" s="487"/>
      <c r="N2854" s="487"/>
      <c r="O2854" s="487"/>
      <c r="P2854" s="487">
        <f t="shared" si="205"/>
        <v>0</v>
      </c>
      <c r="Q2854" s="487"/>
    </row>
    <row r="2855" spans="1:17" x14ac:dyDescent="0.3">
      <c r="A2855" s="487" t="b">
        <f t="shared" ca="1" si="206"/>
        <v>0</v>
      </c>
      <c r="B2855" s="500" t="str">
        <f ca="1">IF(COUNTA(G$2360:G2854)=1,"",OFFSET(B2855,-COUNTA(G$2360:G2854)+1,0))</f>
        <v>a1b3p000003dxZpAAI</v>
      </c>
      <c r="C2855" s="502">
        <f ca="1">IF(COUNTA(G$2360:G2854)=1,"",OFFSET(C2855,-COUNTA(G$2360:G2854)+1,0))</f>
        <v>3</v>
      </c>
      <c r="D2855" s="487">
        <f t="shared" si="202"/>
        <v>13</v>
      </c>
      <c r="E2855" s="487">
        <f t="shared" ca="1" si="203"/>
        <v>1</v>
      </c>
      <c r="F2855" s="487">
        <f t="shared" ca="1" si="204"/>
        <v>11</v>
      </c>
      <c r="G2855" s="487"/>
      <c r="H2855" s="493" t="str">
        <f t="shared" ca="1" si="207"/>
        <v/>
      </c>
      <c r="I2855" s="493" t="str">
        <f t="shared" ca="1" si="208"/>
        <v/>
      </c>
      <c r="J2855" s="493" t="str">
        <f t="shared" ca="1" si="209"/>
        <v/>
      </c>
      <c r="K2855" s="493" t="str">
        <f t="shared" ca="1" si="210"/>
        <v/>
      </c>
      <c r="L2855" s="487"/>
      <c r="M2855" s="487"/>
      <c r="N2855" s="487"/>
      <c r="O2855" s="487"/>
      <c r="P2855" s="487">
        <f t="shared" si="205"/>
        <v>0</v>
      </c>
      <c r="Q2855" s="487"/>
    </row>
    <row r="2856" spans="1:17" x14ac:dyDescent="0.3">
      <c r="A2856" s="487" t="b">
        <f t="shared" ca="1" si="206"/>
        <v>0</v>
      </c>
      <c r="B2856" s="500" t="str">
        <f ca="1">IF(COUNTA(G$2360:G2855)=1,"",OFFSET(B2856,-COUNTA(G$2360:G2855)+1,0))</f>
        <v>a1b3p000003dxb7AAA</v>
      </c>
      <c r="C2856" s="502">
        <f ca="1">IF(COUNTA(G$2360:G2855)=1,"",OFFSET(C2856,-COUNTA(G$2360:G2855)+1,0))</f>
        <v>3</v>
      </c>
      <c r="D2856" s="487">
        <f t="shared" si="202"/>
        <v>14</v>
      </c>
      <c r="E2856" s="487">
        <f t="shared" ca="1" si="203"/>
        <v>2</v>
      </c>
      <c r="F2856" s="487">
        <f t="shared" ca="1" si="204"/>
        <v>11</v>
      </c>
      <c r="G2856" s="487"/>
      <c r="H2856" s="493" t="str">
        <f t="shared" ca="1" si="207"/>
        <v/>
      </c>
      <c r="I2856" s="493" t="str">
        <f t="shared" ca="1" si="208"/>
        <v/>
      </c>
      <c r="J2856" s="493" t="str">
        <f t="shared" ca="1" si="209"/>
        <v/>
      </c>
      <c r="K2856" s="493" t="str">
        <f t="shared" ca="1" si="210"/>
        <v/>
      </c>
      <c r="L2856" s="487"/>
      <c r="M2856" s="487"/>
      <c r="N2856" s="487"/>
      <c r="O2856" s="487"/>
      <c r="P2856" s="487">
        <f t="shared" si="205"/>
        <v>0</v>
      </c>
      <c r="Q2856" s="487"/>
    </row>
    <row r="2857" spans="1:17" x14ac:dyDescent="0.3">
      <c r="A2857" s="487" t="b">
        <f t="shared" ca="1" si="206"/>
        <v>0</v>
      </c>
      <c r="B2857" s="500" t="str">
        <f ca="1">IF(COUNTA(G$2360:G2856)=1,"",OFFSET(B2857,-COUNTA(G$2360:G2856)+1,0))</f>
        <v>a1b3p000003dxcPAAQ</v>
      </c>
      <c r="C2857" s="502">
        <f ca="1">IF(COUNTA(G$2360:G2856)=1,"",OFFSET(C2857,-COUNTA(G$2360:G2856)+1,0))</f>
        <v>3</v>
      </c>
      <c r="D2857" s="487">
        <f t="shared" si="202"/>
        <v>15</v>
      </c>
      <c r="E2857" s="487">
        <f t="shared" ca="1" si="203"/>
        <v>3</v>
      </c>
      <c r="F2857" s="487">
        <f t="shared" ca="1" si="204"/>
        <v>11</v>
      </c>
      <c r="G2857" s="487"/>
      <c r="H2857" s="493" t="str">
        <f t="shared" ca="1" si="207"/>
        <v/>
      </c>
      <c r="I2857" s="493" t="str">
        <f t="shared" ca="1" si="208"/>
        <v/>
      </c>
      <c r="J2857" s="493" t="str">
        <f t="shared" ca="1" si="209"/>
        <v/>
      </c>
      <c r="K2857" s="493" t="str">
        <f t="shared" ca="1" si="210"/>
        <v/>
      </c>
      <c r="L2857" s="487"/>
      <c r="M2857" s="487"/>
      <c r="N2857" s="487"/>
      <c r="O2857" s="487"/>
      <c r="P2857" s="487">
        <f t="shared" si="205"/>
        <v>0</v>
      </c>
      <c r="Q2857" s="487"/>
    </row>
    <row r="2858" spans="1:17" x14ac:dyDescent="0.3">
      <c r="A2858" s="487" t="b">
        <f t="shared" ca="1" si="206"/>
        <v>0</v>
      </c>
      <c r="B2858" s="500" t="str">
        <f ca="1">IF(COUNTA(G$2360:G2857)=1,"",OFFSET(B2858,-COUNTA(G$2360:G2857)+1,0))</f>
        <v>a1b3p000003dxdhAAA</v>
      </c>
      <c r="C2858" s="502">
        <f ca="1">IF(COUNTA(G$2360:G2857)=1,"",OFFSET(C2858,-COUNTA(G$2360:G2857)+1,0))</f>
        <v>3</v>
      </c>
      <c r="D2858" s="487">
        <f t="shared" si="202"/>
        <v>16</v>
      </c>
      <c r="E2858" s="487">
        <f t="shared" ca="1" si="203"/>
        <v>4</v>
      </c>
      <c r="F2858" s="487">
        <f t="shared" ca="1" si="204"/>
        <v>11</v>
      </c>
      <c r="G2858" s="487"/>
      <c r="H2858" s="493" t="str">
        <f t="shared" ca="1" si="207"/>
        <v/>
      </c>
      <c r="I2858" s="493" t="str">
        <f t="shared" ca="1" si="208"/>
        <v/>
      </c>
      <c r="J2858" s="493" t="str">
        <f t="shared" ca="1" si="209"/>
        <v/>
      </c>
      <c r="K2858" s="493" t="str">
        <f t="shared" ca="1" si="210"/>
        <v/>
      </c>
      <c r="L2858" s="487"/>
      <c r="M2858" s="487"/>
      <c r="N2858" s="487"/>
      <c r="O2858" s="487"/>
      <c r="P2858" s="487">
        <f t="shared" si="205"/>
        <v>0</v>
      </c>
      <c r="Q2858" s="487"/>
    </row>
    <row r="2859" spans="1:17" x14ac:dyDescent="0.3">
      <c r="A2859" s="487" t="b">
        <f t="shared" ca="1" si="206"/>
        <v>0</v>
      </c>
      <c r="B2859" s="500" t="str">
        <f ca="1">IF(COUNTA(G$2360:G2858)=1,"",OFFSET(B2859,-COUNTA(G$2360:G2858)+1,0))</f>
        <v>a1b3p000003dxezAAA</v>
      </c>
      <c r="C2859" s="502">
        <f ca="1">IF(COUNTA(G$2360:G2858)=1,"",OFFSET(C2859,-COUNTA(G$2360:G2858)+1,0))</f>
        <v>3</v>
      </c>
      <c r="D2859" s="487">
        <f t="shared" si="202"/>
        <v>17</v>
      </c>
      <c r="E2859" s="487">
        <f t="shared" ca="1" si="203"/>
        <v>5</v>
      </c>
      <c r="F2859" s="487">
        <f t="shared" ca="1" si="204"/>
        <v>11</v>
      </c>
      <c r="G2859" s="487"/>
      <c r="H2859" s="493" t="str">
        <f t="shared" ca="1" si="207"/>
        <v/>
      </c>
      <c r="I2859" s="493" t="str">
        <f t="shared" ca="1" si="208"/>
        <v/>
      </c>
      <c r="J2859" s="493" t="str">
        <f t="shared" ca="1" si="209"/>
        <v/>
      </c>
      <c r="K2859" s="493" t="str">
        <f t="shared" ca="1" si="210"/>
        <v/>
      </c>
      <c r="L2859" s="487"/>
      <c r="M2859" s="487"/>
      <c r="N2859" s="487"/>
      <c r="O2859" s="487"/>
      <c r="P2859" s="487">
        <f t="shared" si="205"/>
        <v>0</v>
      </c>
      <c r="Q2859" s="487"/>
    </row>
    <row r="2860" spans="1:17" x14ac:dyDescent="0.3">
      <c r="A2860" s="487" t="b">
        <f t="shared" ca="1" si="206"/>
        <v>0</v>
      </c>
      <c r="B2860" s="500" t="str">
        <f ca="1">IF(COUNTA(G$2360:G2859)=1,"",OFFSET(B2860,-COUNTA(G$2360:G2859)+1,0))</f>
        <v>a1b3p000003dxgHAAQ</v>
      </c>
      <c r="C2860" s="502">
        <f ca="1">IF(COUNTA(G$2360:G2859)=1,"",OFFSET(C2860,-COUNTA(G$2360:G2859)+1,0))</f>
        <v>3</v>
      </c>
      <c r="D2860" s="487">
        <f t="shared" si="202"/>
        <v>18</v>
      </c>
      <c r="E2860" s="487">
        <f t="shared" ca="1" si="203"/>
        <v>6</v>
      </c>
      <c r="F2860" s="487">
        <f t="shared" ca="1" si="204"/>
        <v>11</v>
      </c>
      <c r="G2860" s="487"/>
      <c r="H2860" s="493" t="str">
        <f t="shared" ca="1" si="207"/>
        <v/>
      </c>
      <c r="I2860" s="493" t="str">
        <f t="shared" ca="1" si="208"/>
        <v/>
      </c>
      <c r="J2860" s="493" t="str">
        <f t="shared" ca="1" si="209"/>
        <v/>
      </c>
      <c r="K2860" s="493" t="str">
        <f t="shared" ca="1" si="210"/>
        <v/>
      </c>
      <c r="L2860" s="487"/>
      <c r="M2860" s="487"/>
      <c r="N2860" s="487"/>
      <c r="O2860" s="487"/>
      <c r="P2860" s="487">
        <f t="shared" si="205"/>
        <v>0</v>
      </c>
      <c r="Q2860" s="487"/>
    </row>
    <row r="2861" spans="1:17" x14ac:dyDescent="0.3">
      <c r="A2861" s="487" t="b">
        <f t="shared" ca="1" si="206"/>
        <v>0</v>
      </c>
      <c r="B2861" s="500" t="str">
        <f ca="1">IF(COUNTA(G$2360:G2860)=1,"",OFFSET(B2861,-COUNTA(G$2360:G2860)+1,0))</f>
        <v>a1b3p000003dxZqAAI</v>
      </c>
      <c r="C2861" s="502">
        <f ca="1">IF(COUNTA(G$2360:G2860)=1,"",OFFSET(C2861,-COUNTA(G$2360:G2860)+1,0))</f>
        <v>4</v>
      </c>
      <c r="D2861" s="487">
        <f t="shared" si="202"/>
        <v>19</v>
      </c>
      <c r="E2861" s="487">
        <f t="shared" ca="1" si="203"/>
        <v>1</v>
      </c>
      <c r="F2861" s="487">
        <f t="shared" ca="1" si="204"/>
        <v>12</v>
      </c>
      <c r="G2861" s="487"/>
      <c r="H2861" s="493" t="str">
        <f t="shared" ca="1" si="207"/>
        <v/>
      </c>
      <c r="I2861" s="493" t="str">
        <f t="shared" ca="1" si="208"/>
        <v/>
      </c>
      <c r="J2861" s="493" t="str">
        <f t="shared" ca="1" si="209"/>
        <v/>
      </c>
      <c r="K2861" s="493" t="str">
        <f t="shared" ca="1" si="210"/>
        <v/>
      </c>
      <c r="L2861" s="487"/>
      <c r="M2861" s="487"/>
      <c r="N2861" s="487"/>
      <c r="O2861" s="487"/>
      <c r="P2861" s="487">
        <f t="shared" si="205"/>
        <v>0</v>
      </c>
      <c r="Q2861" s="487"/>
    </row>
    <row r="2862" spans="1:17" x14ac:dyDescent="0.3">
      <c r="A2862" s="487" t="b">
        <f t="shared" ca="1" si="206"/>
        <v>0</v>
      </c>
      <c r="B2862" s="500" t="str">
        <f ca="1">IF(COUNTA(G$2360:G2861)=1,"",OFFSET(B2862,-COUNTA(G$2360:G2861)+1,0))</f>
        <v>a1b3p000003dxb8AAA</v>
      </c>
      <c r="C2862" s="502">
        <f ca="1">IF(COUNTA(G$2360:G2861)=1,"",OFFSET(C2862,-COUNTA(G$2360:G2861)+1,0))</f>
        <v>4</v>
      </c>
      <c r="D2862" s="487">
        <f t="shared" si="202"/>
        <v>20</v>
      </c>
      <c r="E2862" s="487">
        <f t="shared" ca="1" si="203"/>
        <v>2</v>
      </c>
      <c r="F2862" s="487">
        <f t="shared" ca="1" si="204"/>
        <v>12</v>
      </c>
      <c r="G2862" s="487"/>
      <c r="H2862" s="493" t="str">
        <f t="shared" ca="1" si="207"/>
        <v/>
      </c>
      <c r="I2862" s="493" t="str">
        <f t="shared" ca="1" si="208"/>
        <v/>
      </c>
      <c r="J2862" s="493" t="str">
        <f t="shared" ca="1" si="209"/>
        <v/>
      </c>
      <c r="K2862" s="493" t="str">
        <f t="shared" ca="1" si="210"/>
        <v/>
      </c>
      <c r="L2862" s="487"/>
      <c r="M2862" s="487"/>
      <c r="N2862" s="487"/>
      <c r="O2862" s="487"/>
      <c r="P2862" s="487">
        <f t="shared" si="205"/>
        <v>0</v>
      </c>
      <c r="Q2862" s="487"/>
    </row>
    <row r="2863" spans="1:17" x14ac:dyDescent="0.3">
      <c r="A2863" s="487" t="b">
        <f t="shared" ca="1" si="206"/>
        <v>0</v>
      </c>
      <c r="B2863" s="500" t="str">
        <f ca="1">IF(COUNTA(G$2360:G2862)=1,"",OFFSET(B2863,-COUNTA(G$2360:G2862)+1,0))</f>
        <v>a1b3p000003dxcQAAQ</v>
      </c>
      <c r="C2863" s="502">
        <f ca="1">IF(COUNTA(G$2360:G2862)=1,"",OFFSET(C2863,-COUNTA(G$2360:G2862)+1,0))</f>
        <v>4</v>
      </c>
      <c r="D2863" s="487">
        <f t="shared" si="202"/>
        <v>21</v>
      </c>
      <c r="E2863" s="487">
        <f t="shared" ca="1" si="203"/>
        <v>3</v>
      </c>
      <c r="F2863" s="487">
        <f t="shared" ca="1" si="204"/>
        <v>12</v>
      </c>
      <c r="G2863" s="487"/>
      <c r="H2863" s="493" t="str">
        <f t="shared" ca="1" si="207"/>
        <v/>
      </c>
      <c r="I2863" s="493" t="str">
        <f t="shared" ca="1" si="208"/>
        <v/>
      </c>
      <c r="J2863" s="493" t="str">
        <f t="shared" ca="1" si="209"/>
        <v/>
      </c>
      <c r="K2863" s="493" t="str">
        <f t="shared" ca="1" si="210"/>
        <v/>
      </c>
      <c r="L2863" s="487"/>
      <c r="M2863" s="487"/>
      <c r="N2863" s="487"/>
      <c r="O2863" s="487"/>
      <c r="P2863" s="487">
        <f t="shared" si="205"/>
        <v>0</v>
      </c>
      <c r="Q2863" s="487"/>
    </row>
    <row r="2864" spans="1:17" x14ac:dyDescent="0.3">
      <c r="A2864" s="487" t="b">
        <f t="shared" ca="1" si="206"/>
        <v>0</v>
      </c>
      <c r="B2864" s="500" t="str">
        <f ca="1">IF(COUNTA(G$2360:G2863)=1,"",OFFSET(B2864,-COUNTA(G$2360:G2863)+1,0))</f>
        <v>a1b3p000003dxdiAAA</v>
      </c>
      <c r="C2864" s="502">
        <f ca="1">IF(COUNTA(G$2360:G2863)=1,"",OFFSET(C2864,-COUNTA(G$2360:G2863)+1,0))</f>
        <v>4</v>
      </c>
      <c r="D2864" s="487">
        <f t="shared" si="202"/>
        <v>22</v>
      </c>
      <c r="E2864" s="487">
        <f t="shared" ca="1" si="203"/>
        <v>4</v>
      </c>
      <c r="F2864" s="487">
        <f t="shared" ca="1" si="204"/>
        <v>12</v>
      </c>
      <c r="G2864" s="487"/>
      <c r="H2864" s="493" t="str">
        <f t="shared" ca="1" si="207"/>
        <v/>
      </c>
      <c r="I2864" s="493" t="str">
        <f t="shared" ca="1" si="208"/>
        <v/>
      </c>
      <c r="J2864" s="493" t="str">
        <f t="shared" ca="1" si="209"/>
        <v/>
      </c>
      <c r="K2864" s="493" t="str">
        <f t="shared" ca="1" si="210"/>
        <v/>
      </c>
      <c r="L2864" s="487"/>
      <c r="M2864" s="487"/>
      <c r="N2864" s="487"/>
      <c r="O2864" s="487"/>
      <c r="P2864" s="487">
        <f t="shared" si="205"/>
        <v>0</v>
      </c>
      <c r="Q2864" s="487"/>
    </row>
    <row r="2865" spans="1:17" x14ac:dyDescent="0.3">
      <c r="A2865" s="487" t="b">
        <f t="shared" ca="1" si="206"/>
        <v>0</v>
      </c>
      <c r="B2865" s="500" t="str">
        <f ca="1">IF(COUNTA(G$2360:G2864)=1,"",OFFSET(B2865,-COUNTA(G$2360:G2864)+1,0))</f>
        <v>a1b3p000003dxf0AAA</v>
      </c>
      <c r="C2865" s="502">
        <f ca="1">IF(COUNTA(G$2360:G2864)=1,"",OFFSET(C2865,-COUNTA(G$2360:G2864)+1,0))</f>
        <v>4</v>
      </c>
      <c r="D2865" s="487">
        <f t="shared" si="202"/>
        <v>23</v>
      </c>
      <c r="E2865" s="487">
        <f t="shared" ca="1" si="203"/>
        <v>5</v>
      </c>
      <c r="F2865" s="487">
        <f t="shared" ca="1" si="204"/>
        <v>12</v>
      </c>
      <c r="G2865" s="487"/>
      <c r="H2865" s="493" t="str">
        <f t="shared" ca="1" si="207"/>
        <v/>
      </c>
      <c r="I2865" s="493" t="str">
        <f t="shared" ca="1" si="208"/>
        <v/>
      </c>
      <c r="J2865" s="493" t="str">
        <f t="shared" ca="1" si="209"/>
        <v/>
      </c>
      <c r="K2865" s="493" t="str">
        <f t="shared" ca="1" si="210"/>
        <v/>
      </c>
      <c r="L2865" s="487"/>
      <c r="M2865" s="487"/>
      <c r="N2865" s="487"/>
      <c r="O2865" s="487"/>
      <c r="P2865" s="487">
        <f t="shared" si="205"/>
        <v>0</v>
      </c>
      <c r="Q2865" s="487"/>
    </row>
    <row r="2866" spans="1:17" x14ac:dyDescent="0.3">
      <c r="A2866" s="487" t="b">
        <f t="shared" ca="1" si="206"/>
        <v>0</v>
      </c>
      <c r="B2866" s="500" t="str">
        <f ca="1">IF(COUNTA(G$2360:G2865)=1,"",OFFSET(B2866,-COUNTA(G$2360:G2865)+1,0))</f>
        <v>a1b3p000003dxgIAAQ</v>
      </c>
      <c r="C2866" s="502">
        <f ca="1">IF(COUNTA(G$2360:G2865)=1,"",OFFSET(C2866,-COUNTA(G$2360:G2865)+1,0))</f>
        <v>4</v>
      </c>
      <c r="D2866" s="487">
        <f t="shared" si="202"/>
        <v>24</v>
      </c>
      <c r="E2866" s="487">
        <f t="shared" ca="1" si="203"/>
        <v>6</v>
      </c>
      <c r="F2866" s="487">
        <f t="shared" ca="1" si="204"/>
        <v>12</v>
      </c>
      <c r="G2866" s="487"/>
      <c r="H2866" s="493" t="str">
        <f t="shared" ca="1" si="207"/>
        <v/>
      </c>
      <c r="I2866" s="493" t="str">
        <f t="shared" ca="1" si="208"/>
        <v/>
      </c>
      <c r="J2866" s="493" t="str">
        <f t="shared" ca="1" si="209"/>
        <v/>
      </c>
      <c r="K2866" s="493" t="str">
        <f t="shared" ca="1" si="210"/>
        <v/>
      </c>
      <c r="L2866" s="487"/>
      <c r="M2866" s="487"/>
      <c r="N2866" s="487"/>
      <c r="O2866" s="487"/>
      <c r="P2866" s="487">
        <f t="shared" si="205"/>
        <v>0</v>
      </c>
      <c r="Q2866" s="487"/>
    </row>
    <row r="2867" spans="1:17" x14ac:dyDescent="0.3">
      <c r="A2867" s="487" t="b">
        <f t="shared" ca="1" si="206"/>
        <v>0</v>
      </c>
      <c r="B2867" s="500" t="str">
        <f ca="1">IF(COUNTA(G$2360:G2866)=1,"",OFFSET(B2867,-COUNTA(G$2360:G2866)+1,0))</f>
        <v>a1b3p000003dxZrAAI</v>
      </c>
      <c r="C2867" s="502">
        <f ca="1">IF(COUNTA(G$2360:G2866)=1,"",OFFSET(C2867,-COUNTA(G$2360:G2866)+1,0))</f>
        <v>5</v>
      </c>
      <c r="D2867" s="487">
        <f t="shared" si="202"/>
        <v>25</v>
      </c>
      <c r="E2867" s="487">
        <f t="shared" ca="1" si="203"/>
        <v>1</v>
      </c>
      <c r="F2867" s="487">
        <f t="shared" ca="1" si="204"/>
        <v>13</v>
      </c>
      <c r="G2867" s="487"/>
      <c r="H2867" s="493" t="str">
        <f t="shared" ca="1" si="207"/>
        <v/>
      </c>
      <c r="I2867" s="493" t="str">
        <f t="shared" ca="1" si="208"/>
        <v/>
      </c>
      <c r="J2867" s="493" t="str">
        <f t="shared" ca="1" si="209"/>
        <v/>
      </c>
      <c r="K2867" s="493" t="str">
        <f t="shared" ca="1" si="210"/>
        <v/>
      </c>
      <c r="L2867" s="487"/>
      <c r="M2867" s="487"/>
      <c r="N2867" s="487"/>
      <c r="O2867" s="487"/>
      <c r="P2867" s="487">
        <f t="shared" si="205"/>
        <v>0</v>
      </c>
      <c r="Q2867" s="487"/>
    </row>
    <row r="2868" spans="1:17" x14ac:dyDescent="0.3">
      <c r="A2868" s="487" t="b">
        <f t="shared" ca="1" si="206"/>
        <v>0</v>
      </c>
      <c r="B2868" s="500" t="str">
        <f ca="1">IF(COUNTA(G$2360:G2867)=1,"",OFFSET(B2868,-COUNTA(G$2360:G2867)+1,0))</f>
        <v>a1b3p000003dxb9AAA</v>
      </c>
      <c r="C2868" s="502">
        <f ca="1">IF(COUNTA(G$2360:G2867)=1,"",OFFSET(C2868,-COUNTA(G$2360:G2867)+1,0))</f>
        <v>5</v>
      </c>
      <c r="D2868" s="487">
        <f t="shared" si="202"/>
        <v>26</v>
      </c>
      <c r="E2868" s="487">
        <f t="shared" ca="1" si="203"/>
        <v>2</v>
      </c>
      <c r="F2868" s="487">
        <f t="shared" ca="1" si="204"/>
        <v>13</v>
      </c>
      <c r="G2868" s="487"/>
      <c r="H2868" s="493" t="str">
        <f t="shared" ca="1" si="207"/>
        <v/>
      </c>
      <c r="I2868" s="493" t="str">
        <f t="shared" ca="1" si="208"/>
        <v/>
      </c>
      <c r="J2868" s="493" t="str">
        <f t="shared" ca="1" si="209"/>
        <v/>
      </c>
      <c r="K2868" s="493" t="str">
        <f t="shared" ca="1" si="210"/>
        <v/>
      </c>
      <c r="L2868" s="487"/>
      <c r="M2868" s="487"/>
      <c r="N2868" s="487"/>
      <c r="O2868" s="487"/>
      <c r="P2868" s="487">
        <f t="shared" si="205"/>
        <v>0</v>
      </c>
      <c r="Q2868" s="487"/>
    </row>
    <row r="2869" spans="1:17" x14ac:dyDescent="0.3">
      <c r="A2869" s="487" t="b">
        <f t="shared" ca="1" si="206"/>
        <v>0</v>
      </c>
      <c r="B2869" s="500" t="str">
        <f ca="1">IF(COUNTA(G$2360:G2868)=1,"",OFFSET(B2869,-COUNTA(G$2360:G2868)+1,0))</f>
        <v>a1b3p000003dxcRAAQ</v>
      </c>
      <c r="C2869" s="502">
        <f ca="1">IF(COUNTA(G$2360:G2868)=1,"",OFFSET(C2869,-COUNTA(G$2360:G2868)+1,0))</f>
        <v>5</v>
      </c>
      <c r="D2869" s="487">
        <f t="shared" si="202"/>
        <v>27</v>
      </c>
      <c r="E2869" s="487">
        <f t="shared" ca="1" si="203"/>
        <v>3</v>
      </c>
      <c r="F2869" s="487">
        <f t="shared" ca="1" si="204"/>
        <v>13</v>
      </c>
      <c r="G2869" s="487"/>
      <c r="H2869" s="493" t="str">
        <f t="shared" ca="1" si="207"/>
        <v/>
      </c>
      <c r="I2869" s="493" t="str">
        <f t="shared" ca="1" si="208"/>
        <v/>
      </c>
      <c r="J2869" s="493" t="str">
        <f t="shared" ca="1" si="209"/>
        <v/>
      </c>
      <c r="K2869" s="493" t="str">
        <f t="shared" ca="1" si="210"/>
        <v/>
      </c>
      <c r="L2869" s="487"/>
      <c r="M2869" s="487"/>
      <c r="N2869" s="487"/>
      <c r="O2869" s="487"/>
      <c r="P2869" s="487">
        <f t="shared" si="205"/>
        <v>0</v>
      </c>
      <c r="Q2869" s="487"/>
    </row>
    <row r="2870" spans="1:17" x14ac:dyDescent="0.3">
      <c r="A2870" s="487" t="b">
        <f t="shared" ca="1" si="206"/>
        <v>0</v>
      </c>
      <c r="B2870" s="500" t="str">
        <f ca="1">IF(COUNTA(G$2360:G2869)=1,"",OFFSET(B2870,-COUNTA(G$2360:G2869)+1,0))</f>
        <v>a1b3p000003dxdjAAA</v>
      </c>
      <c r="C2870" s="502">
        <f ca="1">IF(COUNTA(G$2360:G2869)=1,"",OFFSET(C2870,-COUNTA(G$2360:G2869)+1,0))</f>
        <v>5</v>
      </c>
      <c r="D2870" s="487">
        <f t="shared" si="202"/>
        <v>28</v>
      </c>
      <c r="E2870" s="487">
        <f t="shared" ca="1" si="203"/>
        <v>4</v>
      </c>
      <c r="F2870" s="487">
        <f t="shared" ca="1" si="204"/>
        <v>13</v>
      </c>
      <c r="G2870" s="487"/>
      <c r="H2870" s="493" t="str">
        <f t="shared" ca="1" si="207"/>
        <v/>
      </c>
      <c r="I2870" s="493" t="str">
        <f t="shared" ca="1" si="208"/>
        <v/>
      </c>
      <c r="J2870" s="493" t="str">
        <f t="shared" ca="1" si="209"/>
        <v/>
      </c>
      <c r="K2870" s="493" t="str">
        <f t="shared" ca="1" si="210"/>
        <v/>
      </c>
      <c r="L2870" s="487"/>
      <c r="M2870" s="487"/>
      <c r="N2870" s="487"/>
      <c r="O2870" s="487"/>
      <c r="P2870" s="487">
        <f t="shared" si="205"/>
        <v>0</v>
      </c>
      <c r="Q2870" s="487"/>
    </row>
    <row r="2871" spans="1:17" x14ac:dyDescent="0.3">
      <c r="A2871" s="487" t="b">
        <f t="shared" ca="1" si="206"/>
        <v>0</v>
      </c>
      <c r="B2871" s="500" t="str">
        <f ca="1">IF(COUNTA(G$2360:G2870)=1,"",OFFSET(B2871,-COUNTA(G$2360:G2870)+1,0))</f>
        <v>a1b3p000003dxf1AAA</v>
      </c>
      <c r="C2871" s="502">
        <f ca="1">IF(COUNTA(G$2360:G2870)=1,"",OFFSET(C2871,-COUNTA(G$2360:G2870)+1,0))</f>
        <v>5</v>
      </c>
      <c r="D2871" s="487">
        <f t="shared" si="202"/>
        <v>29</v>
      </c>
      <c r="E2871" s="487">
        <f t="shared" ca="1" si="203"/>
        <v>5</v>
      </c>
      <c r="F2871" s="487">
        <f t="shared" ca="1" si="204"/>
        <v>13</v>
      </c>
      <c r="G2871" s="487"/>
      <c r="H2871" s="493" t="str">
        <f t="shared" ca="1" si="207"/>
        <v/>
      </c>
      <c r="I2871" s="493" t="str">
        <f t="shared" ca="1" si="208"/>
        <v/>
      </c>
      <c r="J2871" s="493" t="str">
        <f t="shared" ca="1" si="209"/>
        <v/>
      </c>
      <c r="K2871" s="493" t="str">
        <f t="shared" ca="1" si="210"/>
        <v/>
      </c>
      <c r="L2871" s="487"/>
      <c r="M2871" s="487"/>
      <c r="N2871" s="487"/>
      <c r="O2871" s="487"/>
      <c r="P2871" s="487">
        <f t="shared" si="205"/>
        <v>0</v>
      </c>
      <c r="Q2871" s="487"/>
    </row>
    <row r="2872" spans="1:17" x14ac:dyDescent="0.3">
      <c r="A2872" s="487" t="b">
        <f t="shared" ca="1" si="206"/>
        <v>0</v>
      </c>
      <c r="B2872" s="500" t="str">
        <f ca="1">IF(COUNTA(G$2360:G2871)=1,"",OFFSET(B2872,-COUNTA(G$2360:G2871)+1,0))</f>
        <v>a1b3p000003dxgJAAQ</v>
      </c>
      <c r="C2872" s="502">
        <f ca="1">IF(COUNTA(G$2360:G2871)=1,"",OFFSET(C2872,-COUNTA(G$2360:G2871)+1,0))</f>
        <v>5</v>
      </c>
      <c r="D2872" s="487">
        <f t="shared" si="202"/>
        <v>30</v>
      </c>
      <c r="E2872" s="487">
        <f t="shared" ca="1" si="203"/>
        <v>6</v>
      </c>
      <c r="F2872" s="487">
        <f t="shared" ca="1" si="204"/>
        <v>13</v>
      </c>
      <c r="G2872" s="487"/>
      <c r="H2872" s="493" t="str">
        <f t="shared" ca="1" si="207"/>
        <v/>
      </c>
      <c r="I2872" s="493" t="str">
        <f t="shared" ca="1" si="208"/>
        <v/>
      </c>
      <c r="J2872" s="493" t="str">
        <f t="shared" ca="1" si="209"/>
        <v/>
      </c>
      <c r="K2872" s="493" t="str">
        <f t="shared" ca="1" si="210"/>
        <v/>
      </c>
      <c r="L2872" s="487"/>
      <c r="M2872" s="487"/>
      <c r="N2872" s="487"/>
      <c r="O2872" s="487"/>
      <c r="P2872" s="487">
        <f t="shared" si="205"/>
        <v>0</v>
      </c>
      <c r="Q2872" s="487"/>
    </row>
    <row r="2873" spans="1:17" x14ac:dyDescent="0.3">
      <c r="A2873" s="487" t="b">
        <f t="shared" ca="1" si="206"/>
        <v>0</v>
      </c>
      <c r="B2873" s="500" t="str">
        <f ca="1">IF(COUNTA(G$2360:G2872)=1,"",OFFSET(B2873,-COUNTA(G$2360:G2872)+1,0))</f>
        <v>a1b3p000003dxZsAAI</v>
      </c>
      <c r="C2873" s="502">
        <f ca="1">IF(COUNTA(G$2360:G2872)=1,"",OFFSET(C2873,-COUNTA(G$2360:G2872)+1,0))</f>
        <v>6</v>
      </c>
      <c r="D2873" s="487">
        <f t="shared" si="202"/>
        <v>31</v>
      </c>
      <c r="E2873" s="487">
        <f t="shared" ca="1" si="203"/>
        <v>1</v>
      </c>
      <c r="F2873" s="487">
        <f t="shared" ca="1" si="204"/>
        <v>14</v>
      </c>
      <c r="G2873" s="487"/>
      <c r="H2873" s="493" t="str">
        <f t="shared" ca="1" si="207"/>
        <v/>
      </c>
      <c r="I2873" s="493" t="str">
        <f t="shared" ca="1" si="208"/>
        <v/>
      </c>
      <c r="J2873" s="493" t="str">
        <f t="shared" ca="1" si="209"/>
        <v/>
      </c>
      <c r="K2873" s="493" t="str">
        <f t="shared" ca="1" si="210"/>
        <v/>
      </c>
      <c r="L2873" s="487"/>
      <c r="M2873" s="487"/>
      <c r="N2873" s="487"/>
      <c r="O2873" s="487"/>
      <c r="P2873" s="487">
        <f t="shared" si="205"/>
        <v>0</v>
      </c>
      <c r="Q2873" s="487"/>
    </row>
    <row r="2874" spans="1:17" x14ac:dyDescent="0.3">
      <c r="A2874" s="487" t="b">
        <f t="shared" ca="1" si="206"/>
        <v>0</v>
      </c>
      <c r="B2874" s="500" t="str">
        <f ca="1">IF(COUNTA(G$2360:G2873)=1,"",OFFSET(B2874,-COUNTA(G$2360:G2873)+1,0))</f>
        <v>a1b3p000003dxbAAAQ</v>
      </c>
      <c r="C2874" s="502">
        <f ca="1">IF(COUNTA(G$2360:G2873)=1,"",OFFSET(C2874,-COUNTA(G$2360:G2873)+1,0))</f>
        <v>6</v>
      </c>
      <c r="D2874" s="487">
        <f t="shared" si="202"/>
        <v>32</v>
      </c>
      <c r="E2874" s="487">
        <f t="shared" ca="1" si="203"/>
        <v>2</v>
      </c>
      <c r="F2874" s="487">
        <f t="shared" ca="1" si="204"/>
        <v>14</v>
      </c>
      <c r="G2874" s="487"/>
      <c r="H2874" s="493" t="str">
        <f t="shared" ca="1" si="207"/>
        <v/>
      </c>
      <c r="I2874" s="493" t="str">
        <f t="shared" ca="1" si="208"/>
        <v/>
      </c>
      <c r="J2874" s="493" t="str">
        <f t="shared" ca="1" si="209"/>
        <v/>
      </c>
      <c r="K2874" s="493" t="str">
        <f t="shared" ca="1" si="210"/>
        <v/>
      </c>
      <c r="L2874" s="487"/>
      <c r="M2874" s="487"/>
      <c r="N2874" s="487"/>
      <c r="O2874" s="487"/>
      <c r="P2874" s="487">
        <f t="shared" si="205"/>
        <v>0</v>
      </c>
      <c r="Q2874" s="487"/>
    </row>
    <row r="2875" spans="1:17" x14ac:dyDescent="0.3">
      <c r="A2875" s="487" t="b">
        <f t="shared" ca="1" si="206"/>
        <v>0</v>
      </c>
      <c r="B2875" s="500" t="str">
        <f ca="1">IF(COUNTA(G$2360:G2874)=1,"",OFFSET(B2875,-COUNTA(G$2360:G2874)+1,0))</f>
        <v>a1b3p000003dxcSAAQ</v>
      </c>
      <c r="C2875" s="502">
        <f ca="1">IF(COUNTA(G$2360:G2874)=1,"",OFFSET(C2875,-COUNTA(G$2360:G2874)+1,0))</f>
        <v>6</v>
      </c>
      <c r="D2875" s="487">
        <f t="shared" ref="D2875:D2938" si="211">D2874+1</f>
        <v>33</v>
      </c>
      <c r="E2875" s="487">
        <f t="shared" ref="E2875:E2938" ca="1" si="212">COUNTIF(C2870:C2875,C2875)</f>
        <v>3</v>
      </c>
      <c r="F2875" s="487">
        <f t="shared" ref="F2875:F2938" ca="1" si="213">IF(C2875=1,9,IF(E2874=MAX(E2873:E2875),F2873+1,F2874))</f>
        <v>14</v>
      </c>
      <c r="G2875" s="487"/>
      <c r="H2875" s="493" t="str">
        <f t="shared" ca="1" si="207"/>
        <v/>
      </c>
      <c r="I2875" s="493" t="str">
        <f t="shared" ca="1" si="208"/>
        <v/>
      </c>
      <c r="J2875" s="493" t="str">
        <f t="shared" ca="1" si="209"/>
        <v/>
      </c>
      <c r="K2875" s="493" t="str">
        <f t="shared" ca="1" si="210"/>
        <v/>
      </c>
      <c r="L2875" s="487"/>
      <c r="M2875" s="487"/>
      <c r="N2875" s="487"/>
      <c r="O2875" s="487"/>
      <c r="P2875" s="487">
        <f t="shared" ref="P2875:P2938" si="214">IF(NOT(_xlfn.ISFORMULA(I2875)),P2874+1,0)</f>
        <v>0</v>
      </c>
      <c r="Q2875" s="487"/>
    </row>
    <row r="2876" spans="1:17" x14ac:dyDescent="0.3">
      <c r="A2876" s="487" t="b">
        <f t="shared" ca="1" si="206"/>
        <v>0</v>
      </c>
      <c r="B2876" s="500" t="str">
        <f ca="1">IF(COUNTA(G$2360:G2875)=1,"",OFFSET(B2876,-COUNTA(G$2360:G2875)+1,0))</f>
        <v>a1b3p000003dxdkAAA</v>
      </c>
      <c r="C2876" s="502">
        <f ca="1">IF(COUNTA(G$2360:G2875)=1,"",OFFSET(C2876,-COUNTA(G$2360:G2875)+1,0))</f>
        <v>6</v>
      </c>
      <c r="D2876" s="487">
        <f t="shared" si="211"/>
        <v>34</v>
      </c>
      <c r="E2876" s="487">
        <f t="shared" ca="1" si="212"/>
        <v>4</v>
      </c>
      <c r="F2876" s="487">
        <f t="shared" ca="1" si="213"/>
        <v>14</v>
      </c>
      <c r="G2876" s="487"/>
      <c r="H2876" s="493" t="str">
        <f t="shared" ca="1" si="207"/>
        <v/>
      </c>
      <c r="I2876" s="493" t="str">
        <f t="shared" ca="1" si="208"/>
        <v/>
      </c>
      <c r="J2876" s="493" t="str">
        <f t="shared" ca="1" si="209"/>
        <v/>
      </c>
      <c r="K2876" s="493" t="str">
        <f t="shared" ca="1" si="210"/>
        <v/>
      </c>
      <c r="L2876" s="487"/>
      <c r="M2876" s="487"/>
      <c r="N2876" s="487"/>
      <c r="O2876" s="487"/>
      <c r="P2876" s="487">
        <f t="shared" si="214"/>
        <v>0</v>
      </c>
      <c r="Q2876" s="487"/>
    </row>
    <row r="2877" spans="1:17" x14ac:dyDescent="0.3">
      <c r="A2877" s="487" t="b">
        <f t="shared" ca="1" si="206"/>
        <v>0</v>
      </c>
      <c r="B2877" s="500" t="str">
        <f ca="1">IF(COUNTA(G$2360:G2876)=1,"",OFFSET(B2877,-COUNTA(G$2360:G2876)+1,0))</f>
        <v>a1b3p000003dxf2AAA</v>
      </c>
      <c r="C2877" s="502">
        <f ca="1">IF(COUNTA(G$2360:G2876)=1,"",OFFSET(C2877,-COUNTA(G$2360:G2876)+1,0))</f>
        <v>6</v>
      </c>
      <c r="D2877" s="487">
        <f t="shared" si="211"/>
        <v>35</v>
      </c>
      <c r="E2877" s="487">
        <f t="shared" ca="1" si="212"/>
        <v>5</v>
      </c>
      <c r="F2877" s="487">
        <f t="shared" ca="1" si="213"/>
        <v>14</v>
      </c>
      <c r="G2877" s="487"/>
      <c r="H2877" s="493" t="str">
        <f t="shared" ca="1" si="207"/>
        <v/>
      </c>
      <c r="I2877" s="493" t="str">
        <f t="shared" ca="1" si="208"/>
        <v/>
      </c>
      <c r="J2877" s="493" t="str">
        <f t="shared" ca="1" si="209"/>
        <v/>
      </c>
      <c r="K2877" s="493" t="str">
        <f t="shared" ca="1" si="210"/>
        <v/>
      </c>
      <c r="L2877" s="487"/>
      <c r="M2877" s="487"/>
      <c r="N2877" s="487"/>
      <c r="O2877" s="487"/>
      <c r="P2877" s="487">
        <f t="shared" si="214"/>
        <v>0</v>
      </c>
      <c r="Q2877" s="487"/>
    </row>
    <row r="2878" spans="1:17" x14ac:dyDescent="0.3">
      <c r="A2878" s="487" t="b">
        <f t="shared" ca="1" si="206"/>
        <v>0</v>
      </c>
      <c r="B2878" s="500" t="str">
        <f ca="1">IF(COUNTA(G$2360:G2877)=1,"",OFFSET(B2878,-COUNTA(G$2360:G2877)+1,0))</f>
        <v>a1b3p000003dxgKAAQ</v>
      </c>
      <c r="C2878" s="502">
        <f ca="1">IF(COUNTA(G$2360:G2877)=1,"",OFFSET(C2878,-COUNTA(G$2360:G2877)+1,0))</f>
        <v>6</v>
      </c>
      <c r="D2878" s="487">
        <f t="shared" si="211"/>
        <v>36</v>
      </c>
      <c r="E2878" s="487">
        <f t="shared" ca="1" si="212"/>
        <v>6</v>
      </c>
      <c r="F2878" s="487">
        <f t="shared" ca="1" si="213"/>
        <v>14</v>
      </c>
      <c r="G2878" s="487"/>
      <c r="H2878" s="493" t="str">
        <f t="shared" ca="1" si="207"/>
        <v/>
      </c>
      <c r="I2878" s="493" t="str">
        <f t="shared" ca="1" si="208"/>
        <v/>
      </c>
      <c r="J2878" s="493" t="str">
        <f t="shared" ca="1" si="209"/>
        <v/>
      </c>
      <c r="K2878" s="493" t="str">
        <f t="shared" ca="1" si="210"/>
        <v/>
      </c>
      <c r="L2878" s="487"/>
      <c r="M2878" s="487"/>
      <c r="N2878" s="487"/>
      <c r="O2878" s="487"/>
      <c r="P2878" s="487">
        <f t="shared" si="214"/>
        <v>0</v>
      </c>
      <c r="Q2878" s="487"/>
    </row>
    <row r="2879" spans="1:17" x14ac:dyDescent="0.3">
      <c r="A2879" s="487" t="b">
        <f t="shared" ca="1" si="206"/>
        <v>0</v>
      </c>
      <c r="B2879" s="500" t="str">
        <f ca="1">IF(COUNTA(G$2360:G2878)=1,"",OFFSET(B2879,-COUNTA(G$2360:G2878)+1,0))</f>
        <v>a1b3p000003dxZtAAI</v>
      </c>
      <c r="C2879" s="502">
        <f ca="1">IF(COUNTA(G$2360:G2878)=1,"",OFFSET(C2879,-COUNTA(G$2360:G2878)+1,0))</f>
        <v>7</v>
      </c>
      <c r="D2879" s="487">
        <f t="shared" si="211"/>
        <v>37</v>
      </c>
      <c r="E2879" s="487">
        <f t="shared" ca="1" si="212"/>
        <v>1</v>
      </c>
      <c r="F2879" s="487">
        <f t="shared" ca="1" si="213"/>
        <v>15</v>
      </c>
      <c r="G2879" s="487"/>
      <c r="H2879" s="493" t="str">
        <f t="shared" ca="1" si="207"/>
        <v/>
      </c>
      <c r="I2879" s="493" t="str">
        <f t="shared" ca="1" si="208"/>
        <v/>
      </c>
      <c r="J2879" s="493" t="str">
        <f t="shared" ca="1" si="209"/>
        <v/>
      </c>
      <c r="K2879" s="493" t="str">
        <f t="shared" ca="1" si="210"/>
        <v/>
      </c>
      <c r="L2879" s="487"/>
      <c r="M2879" s="487"/>
      <c r="N2879" s="487"/>
      <c r="O2879" s="487"/>
      <c r="P2879" s="487">
        <f t="shared" si="214"/>
        <v>0</v>
      </c>
      <c r="Q2879" s="487"/>
    </row>
    <row r="2880" spans="1:17" x14ac:dyDescent="0.3">
      <c r="A2880" s="487" t="b">
        <f t="shared" ca="1" si="206"/>
        <v>0</v>
      </c>
      <c r="B2880" s="500" t="str">
        <f ca="1">IF(COUNTA(G$2360:G2879)=1,"",OFFSET(B2880,-COUNTA(G$2360:G2879)+1,0))</f>
        <v>a1b3p000003dxbBAAQ</v>
      </c>
      <c r="C2880" s="502">
        <f ca="1">IF(COUNTA(G$2360:G2879)=1,"",OFFSET(C2880,-COUNTA(G$2360:G2879)+1,0))</f>
        <v>7</v>
      </c>
      <c r="D2880" s="487">
        <f t="shared" si="211"/>
        <v>38</v>
      </c>
      <c r="E2880" s="487">
        <f t="shared" ca="1" si="212"/>
        <v>2</v>
      </c>
      <c r="F2880" s="487">
        <f t="shared" ca="1" si="213"/>
        <v>15</v>
      </c>
      <c r="G2880" s="487"/>
      <c r="H2880" s="493" t="str">
        <f t="shared" ca="1" si="207"/>
        <v/>
      </c>
      <c r="I2880" s="493" t="str">
        <f t="shared" ca="1" si="208"/>
        <v/>
      </c>
      <c r="J2880" s="493" t="str">
        <f t="shared" ca="1" si="209"/>
        <v/>
      </c>
      <c r="K2880" s="493" t="str">
        <f t="shared" ca="1" si="210"/>
        <v/>
      </c>
      <c r="L2880" s="487"/>
      <c r="M2880" s="487"/>
      <c r="N2880" s="487"/>
      <c r="O2880" s="487"/>
      <c r="P2880" s="487">
        <f t="shared" si="214"/>
        <v>0</v>
      </c>
      <c r="Q2880" s="487"/>
    </row>
    <row r="2881" spans="1:17" x14ac:dyDescent="0.3">
      <c r="A2881" s="487" t="b">
        <f t="shared" ca="1" si="206"/>
        <v>0</v>
      </c>
      <c r="B2881" s="500" t="str">
        <f ca="1">IF(COUNTA(G$2360:G2880)=1,"",OFFSET(B2881,-COUNTA(G$2360:G2880)+1,0))</f>
        <v>a1b3p000003dxcTAAQ</v>
      </c>
      <c r="C2881" s="502">
        <f ca="1">IF(COUNTA(G$2360:G2880)=1,"",OFFSET(C2881,-COUNTA(G$2360:G2880)+1,0))</f>
        <v>7</v>
      </c>
      <c r="D2881" s="487">
        <f t="shared" si="211"/>
        <v>39</v>
      </c>
      <c r="E2881" s="487">
        <f t="shared" ca="1" si="212"/>
        <v>3</v>
      </c>
      <c r="F2881" s="487">
        <f t="shared" ca="1" si="213"/>
        <v>15</v>
      </c>
      <c r="G2881" s="487"/>
      <c r="H2881" s="493" t="str">
        <f t="shared" ca="1" si="207"/>
        <v/>
      </c>
      <c r="I2881" s="493" t="str">
        <f t="shared" ca="1" si="208"/>
        <v/>
      </c>
      <c r="J2881" s="493" t="str">
        <f t="shared" ca="1" si="209"/>
        <v/>
      </c>
      <c r="K2881" s="493" t="str">
        <f t="shared" ca="1" si="210"/>
        <v/>
      </c>
      <c r="L2881" s="487"/>
      <c r="M2881" s="487"/>
      <c r="N2881" s="487"/>
      <c r="O2881" s="487"/>
      <c r="P2881" s="487">
        <f t="shared" si="214"/>
        <v>0</v>
      </c>
      <c r="Q2881" s="487"/>
    </row>
    <row r="2882" spans="1:17" x14ac:dyDescent="0.3">
      <c r="A2882" s="487" t="b">
        <f t="shared" ca="1" si="206"/>
        <v>0</v>
      </c>
      <c r="B2882" s="500" t="str">
        <f ca="1">IF(COUNTA(G$2360:G2881)=1,"",OFFSET(B2882,-COUNTA(G$2360:G2881)+1,0))</f>
        <v>a1b3p000003dxdlAAA</v>
      </c>
      <c r="C2882" s="502">
        <f ca="1">IF(COUNTA(G$2360:G2881)=1,"",OFFSET(C2882,-COUNTA(G$2360:G2881)+1,0))</f>
        <v>7</v>
      </c>
      <c r="D2882" s="487">
        <f t="shared" si="211"/>
        <v>40</v>
      </c>
      <c r="E2882" s="487">
        <f t="shared" ca="1" si="212"/>
        <v>4</v>
      </c>
      <c r="F2882" s="487">
        <f t="shared" ca="1" si="213"/>
        <v>15</v>
      </c>
      <c r="G2882" s="487"/>
      <c r="H2882" s="493" t="str">
        <f t="shared" ca="1" si="207"/>
        <v/>
      </c>
      <c r="I2882" s="493" t="str">
        <f t="shared" ca="1" si="208"/>
        <v/>
      </c>
      <c r="J2882" s="493" t="str">
        <f t="shared" ca="1" si="209"/>
        <v/>
      </c>
      <c r="K2882" s="493" t="str">
        <f t="shared" ca="1" si="210"/>
        <v/>
      </c>
      <c r="L2882" s="487"/>
      <c r="M2882" s="487"/>
      <c r="N2882" s="487"/>
      <c r="O2882" s="487"/>
      <c r="P2882" s="487">
        <f t="shared" si="214"/>
        <v>0</v>
      </c>
      <c r="Q2882" s="487"/>
    </row>
    <row r="2883" spans="1:17" x14ac:dyDescent="0.3">
      <c r="A2883" s="487" t="b">
        <f t="shared" ca="1" si="206"/>
        <v>0</v>
      </c>
      <c r="B2883" s="500" t="str">
        <f ca="1">IF(COUNTA(G$2360:G2882)=1,"",OFFSET(B2883,-COUNTA(G$2360:G2882)+1,0))</f>
        <v>a1b3p000003dxf3AAA</v>
      </c>
      <c r="C2883" s="502">
        <f ca="1">IF(COUNTA(G$2360:G2882)=1,"",OFFSET(C2883,-COUNTA(G$2360:G2882)+1,0))</f>
        <v>7</v>
      </c>
      <c r="D2883" s="487">
        <f t="shared" si="211"/>
        <v>41</v>
      </c>
      <c r="E2883" s="487">
        <f t="shared" ca="1" si="212"/>
        <v>5</v>
      </c>
      <c r="F2883" s="487">
        <f t="shared" ca="1" si="213"/>
        <v>15</v>
      </c>
      <c r="G2883" s="487"/>
      <c r="H2883" s="493" t="str">
        <f t="shared" ca="1" si="207"/>
        <v/>
      </c>
      <c r="I2883" s="493" t="str">
        <f t="shared" ca="1" si="208"/>
        <v/>
      </c>
      <c r="J2883" s="493" t="str">
        <f t="shared" ca="1" si="209"/>
        <v/>
      </c>
      <c r="K2883" s="493" t="str">
        <f t="shared" ca="1" si="210"/>
        <v/>
      </c>
      <c r="L2883" s="487"/>
      <c r="M2883" s="487"/>
      <c r="N2883" s="487"/>
      <c r="O2883" s="487"/>
      <c r="P2883" s="487">
        <f t="shared" si="214"/>
        <v>0</v>
      </c>
      <c r="Q2883" s="487"/>
    </row>
    <row r="2884" spans="1:17" x14ac:dyDescent="0.3">
      <c r="A2884" s="487" t="b">
        <f t="shared" ca="1" si="206"/>
        <v>0</v>
      </c>
      <c r="B2884" s="500" t="str">
        <f ca="1">IF(COUNTA(G$2360:G2883)=1,"",OFFSET(B2884,-COUNTA(G$2360:G2883)+1,0))</f>
        <v>a1b3p000003dxgLAAQ</v>
      </c>
      <c r="C2884" s="502">
        <f ca="1">IF(COUNTA(G$2360:G2883)=1,"",OFFSET(C2884,-COUNTA(G$2360:G2883)+1,0))</f>
        <v>7</v>
      </c>
      <c r="D2884" s="487">
        <f t="shared" si="211"/>
        <v>42</v>
      </c>
      <c r="E2884" s="487">
        <f t="shared" ca="1" si="212"/>
        <v>6</v>
      </c>
      <c r="F2884" s="487">
        <f t="shared" ca="1" si="213"/>
        <v>15</v>
      </c>
      <c r="G2884" s="487"/>
      <c r="H2884" s="493" t="str">
        <f t="shared" ca="1" si="207"/>
        <v/>
      </c>
      <c r="I2884" s="493" t="str">
        <f t="shared" ca="1" si="208"/>
        <v/>
      </c>
      <c r="J2884" s="493" t="str">
        <f t="shared" ca="1" si="209"/>
        <v/>
      </c>
      <c r="K2884" s="493" t="str">
        <f t="shared" ca="1" si="210"/>
        <v/>
      </c>
      <c r="L2884" s="487"/>
      <c r="M2884" s="487"/>
      <c r="N2884" s="487"/>
      <c r="O2884" s="487"/>
      <c r="P2884" s="487">
        <f t="shared" si="214"/>
        <v>0</v>
      </c>
      <c r="Q2884" s="487"/>
    </row>
    <row r="2885" spans="1:17" x14ac:dyDescent="0.3">
      <c r="A2885" s="487" t="b">
        <f t="shared" ca="1" si="206"/>
        <v>0</v>
      </c>
      <c r="B2885" s="500" t="str">
        <f ca="1">IF(COUNTA(G$2360:G2884)=1,"",OFFSET(B2885,-COUNTA(G$2360:G2884)+1,0))</f>
        <v>a1b3p000003dxZuAAI</v>
      </c>
      <c r="C2885" s="502">
        <f ca="1">IF(COUNTA(G$2360:G2884)=1,"",OFFSET(C2885,-COUNTA(G$2360:G2884)+1,0))</f>
        <v>8</v>
      </c>
      <c r="D2885" s="487">
        <f t="shared" si="211"/>
        <v>43</v>
      </c>
      <c r="E2885" s="487">
        <f t="shared" ca="1" si="212"/>
        <v>1</v>
      </c>
      <c r="F2885" s="487">
        <f t="shared" ca="1" si="213"/>
        <v>16</v>
      </c>
      <c r="G2885" s="487"/>
      <c r="H2885" s="493" t="str">
        <f t="shared" ca="1" si="207"/>
        <v/>
      </c>
      <c r="I2885" s="493" t="str">
        <f t="shared" ca="1" si="208"/>
        <v/>
      </c>
      <c r="J2885" s="493" t="str">
        <f t="shared" ca="1" si="209"/>
        <v/>
      </c>
      <c r="K2885" s="493" t="str">
        <f t="shared" ca="1" si="210"/>
        <v/>
      </c>
      <c r="L2885" s="487"/>
      <c r="M2885" s="487"/>
      <c r="N2885" s="487"/>
      <c r="O2885" s="487"/>
      <c r="P2885" s="487">
        <f t="shared" si="214"/>
        <v>0</v>
      </c>
      <c r="Q2885" s="487"/>
    </row>
    <row r="2886" spans="1:17" x14ac:dyDescent="0.3">
      <c r="A2886" s="487" t="b">
        <f t="shared" ca="1" si="206"/>
        <v>0</v>
      </c>
      <c r="B2886" s="500" t="str">
        <f ca="1">IF(COUNTA(G$2360:G2885)=1,"",OFFSET(B2886,-COUNTA(G$2360:G2885)+1,0))</f>
        <v>a1b3p000003dxbCAAQ</v>
      </c>
      <c r="C2886" s="502">
        <f ca="1">IF(COUNTA(G$2360:G2885)=1,"",OFFSET(C2886,-COUNTA(G$2360:G2885)+1,0))</f>
        <v>8</v>
      </c>
      <c r="D2886" s="487">
        <f t="shared" si="211"/>
        <v>44</v>
      </c>
      <c r="E2886" s="487">
        <f t="shared" ca="1" si="212"/>
        <v>2</v>
      </c>
      <c r="F2886" s="487">
        <f t="shared" ca="1" si="213"/>
        <v>16</v>
      </c>
      <c r="G2886" s="487"/>
      <c r="H2886" s="493" t="str">
        <f t="shared" ca="1" si="207"/>
        <v/>
      </c>
      <c r="I2886" s="493" t="str">
        <f t="shared" ca="1" si="208"/>
        <v/>
      </c>
      <c r="J2886" s="493" t="str">
        <f t="shared" ca="1" si="209"/>
        <v/>
      </c>
      <c r="K2886" s="493" t="str">
        <f t="shared" ca="1" si="210"/>
        <v/>
      </c>
      <c r="L2886" s="487"/>
      <c r="M2886" s="487"/>
      <c r="N2886" s="487"/>
      <c r="O2886" s="487"/>
      <c r="P2886" s="487">
        <f t="shared" si="214"/>
        <v>0</v>
      </c>
      <c r="Q2886" s="487"/>
    </row>
    <row r="2887" spans="1:17" x14ac:dyDescent="0.3">
      <c r="A2887" s="487" t="b">
        <f t="shared" ca="1" si="206"/>
        <v>0</v>
      </c>
      <c r="B2887" s="500" t="str">
        <f ca="1">IF(COUNTA(G$2360:G2886)=1,"",OFFSET(B2887,-COUNTA(G$2360:G2886)+1,0))</f>
        <v>a1b3p000003dxcUAAQ</v>
      </c>
      <c r="C2887" s="502">
        <f ca="1">IF(COUNTA(G$2360:G2886)=1,"",OFFSET(C2887,-COUNTA(G$2360:G2886)+1,0))</f>
        <v>8</v>
      </c>
      <c r="D2887" s="487">
        <f t="shared" si="211"/>
        <v>45</v>
      </c>
      <c r="E2887" s="487">
        <f t="shared" ca="1" si="212"/>
        <v>3</v>
      </c>
      <c r="F2887" s="487">
        <f t="shared" ca="1" si="213"/>
        <v>16</v>
      </c>
      <c r="G2887" s="487"/>
      <c r="H2887" s="493" t="str">
        <f t="shared" ca="1" si="207"/>
        <v/>
      </c>
      <c r="I2887" s="493" t="str">
        <f t="shared" ca="1" si="208"/>
        <v/>
      </c>
      <c r="J2887" s="493" t="str">
        <f t="shared" ca="1" si="209"/>
        <v/>
      </c>
      <c r="K2887" s="493" t="str">
        <f t="shared" ca="1" si="210"/>
        <v/>
      </c>
      <c r="L2887" s="487"/>
      <c r="M2887" s="487"/>
      <c r="N2887" s="487"/>
      <c r="O2887" s="487"/>
      <c r="P2887" s="487">
        <f t="shared" si="214"/>
        <v>0</v>
      </c>
      <c r="Q2887" s="487"/>
    </row>
    <row r="2888" spans="1:17" x14ac:dyDescent="0.3">
      <c r="A2888" s="487" t="b">
        <f t="shared" ca="1" si="206"/>
        <v>0</v>
      </c>
      <c r="B2888" s="500" t="str">
        <f ca="1">IF(COUNTA(G$2360:G2887)=1,"",OFFSET(B2888,-COUNTA(G$2360:G2887)+1,0))</f>
        <v>a1b3p000003dxdmAAA</v>
      </c>
      <c r="C2888" s="502">
        <f ca="1">IF(COUNTA(G$2360:G2887)=1,"",OFFSET(C2888,-COUNTA(G$2360:G2887)+1,0))</f>
        <v>8</v>
      </c>
      <c r="D2888" s="487">
        <f t="shared" si="211"/>
        <v>46</v>
      </c>
      <c r="E2888" s="487">
        <f t="shared" ca="1" si="212"/>
        <v>4</v>
      </c>
      <c r="F2888" s="487">
        <f t="shared" ca="1" si="213"/>
        <v>16</v>
      </c>
      <c r="G2888" s="487"/>
      <c r="H2888" s="493" t="str">
        <f t="shared" ca="1" si="207"/>
        <v/>
      </c>
      <c r="I2888" s="493" t="str">
        <f t="shared" ca="1" si="208"/>
        <v/>
      </c>
      <c r="J2888" s="493" t="str">
        <f t="shared" ca="1" si="209"/>
        <v/>
      </c>
      <c r="K2888" s="493" t="str">
        <f t="shared" ca="1" si="210"/>
        <v/>
      </c>
      <c r="L2888" s="487"/>
      <c r="M2888" s="487"/>
      <c r="N2888" s="487"/>
      <c r="O2888" s="487"/>
      <c r="P2888" s="487">
        <f t="shared" si="214"/>
        <v>0</v>
      </c>
      <c r="Q2888" s="487"/>
    </row>
    <row r="2889" spans="1:17" x14ac:dyDescent="0.3">
      <c r="A2889" s="487" t="b">
        <f t="shared" ca="1" si="206"/>
        <v>0</v>
      </c>
      <c r="B2889" s="500" t="str">
        <f ca="1">IF(COUNTA(G$2360:G2888)=1,"",OFFSET(B2889,-COUNTA(G$2360:G2888)+1,0))</f>
        <v>a1b3p000003dxf4AAA</v>
      </c>
      <c r="C2889" s="502">
        <f ca="1">IF(COUNTA(G$2360:G2888)=1,"",OFFSET(C2889,-COUNTA(G$2360:G2888)+1,0))</f>
        <v>8</v>
      </c>
      <c r="D2889" s="487">
        <f t="shared" si="211"/>
        <v>47</v>
      </c>
      <c r="E2889" s="487">
        <f t="shared" ca="1" si="212"/>
        <v>5</v>
      </c>
      <c r="F2889" s="487">
        <f t="shared" ca="1" si="213"/>
        <v>16</v>
      </c>
      <c r="G2889" s="487"/>
      <c r="H2889" s="493" t="str">
        <f t="shared" ca="1" si="207"/>
        <v/>
      </c>
      <c r="I2889" s="493" t="str">
        <f t="shared" ca="1" si="208"/>
        <v/>
      </c>
      <c r="J2889" s="493" t="str">
        <f t="shared" ca="1" si="209"/>
        <v/>
      </c>
      <c r="K2889" s="493" t="str">
        <f t="shared" ca="1" si="210"/>
        <v/>
      </c>
      <c r="L2889" s="487"/>
      <c r="M2889" s="487"/>
      <c r="N2889" s="487"/>
      <c r="O2889" s="487"/>
      <c r="P2889" s="487">
        <f t="shared" si="214"/>
        <v>0</v>
      </c>
      <c r="Q2889" s="487"/>
    </row>
    <row r="2890" spans="1:17" x14ac:dyDescent="0.3">
      <c r="A2890" s="487" t="b">
        <f t="shared" ca="1" si="206"/>
        <v>0</v>
      </c>
      <c r="B2890" s="500" t="str">
        <f ca="1">IF(COUNTA(G$2360:G2889)=1,"",OFFSET(B2890,-COUNTA(G$2360:G2889)+1,0))</f>
        <v>a1b3p000003dxgMAAQ</v>
      </c>
      <c r="C2890" s="502">
        <f ca="1">IF(COUNTA(G$2360:G2889)=1,"",OFFSET(C2890,-COUNTA(G$2360:G2889)+1,0))</f>
        <v>8</v>
      </c>
      <c r="D2890" s="487">
        <f t="shared" si="211"/>
        <v>48</v>
      </c>
      <c r="E2890" s="487">
        <f t="shared" ca="1" si="212"/>
        <v>6</v>
      </c>
      <c r="F2890" s="487">
        <f t="shared" ca="1" si="213"/>
        <v>16</v>
      </c>
      <c r="G2890" s="487"/>
      <c r="H2890" s="493" t="str">
        <f t="shared" ca="1" si="207"/>
        <v/>
      </c>
      <c r="I2890" s="493" t="str">
        <f t="shared" ca="1" si="208"/>
        <v/>
      </c>
      <c r="J2890" s="493" t="str">
        <f t="shared" ca="1" si="209"/>
        <v/>
      </c>
      <c r="K2890" s="493" t="str">
        <f t="shared" ca="1" si="210"/>
        <v/>
      </c>
      <c r="L2890" s="487"/>
      <c r="M2890" s="487"/>
      <c r="N2890" s="487"/>
      <c r="O2890" s="487"/>
      <c r="P2890" s="487">
        <f t="shared" si="214"/>
        <v>0</v>
      </c>
      <c r="Q2890" s="487"/>
    </row>
    <row r="2891" spans="1:17" x14ac:dyDescent="0.3">
      <c r="A2891" s="487" t="b">
        <f t="shared" ca="1" si="206"/>
        <v>0</v>
      </c>
      <c r="B2891" s="500" t="str">
        <f ca="1">IF(COUNTA(G$2360:G2890)=1,"",OFFSET(B2891,-COUNTA(G$2360:G2890)+1,0))</f>
        <v>a1b3p000003dxZvAAI</v>
      </c>
      <c r="C2891" s="502">
        <f ca="1">IF(COUNTA(G$2360:G2890)=1,"",OFFSET(C2891,-COUNTA(G$2360:G2890)+1,0))</f>
        <v>9</v>
      </c>
      <c r="D2891" s="487">
        <f t="shared" si="211"/>
        <v>49</v>
      </c>
      <c r="E2891" s="487">
        <f t="shared" ca="1" si="212"/>
        <v>1</v>
      </c>
      <c r="F2891" s="487">
        <f t="shared" ca="1" si="213"/>
        <v>17</v>
      </c>
      <c r="G2891" s="487"/>
      <c r="H2891" s="493" t="str">
        <f t="shared" ca="1" si="207"/>
        <v/>
      </c>
      <c r="I2891" s="493" t="str">
        <f t="shared" ca="1" si="208"/>
        <v/>
      </c>
      <c r="J2891" s="493" t="str">
        <f t="shared" ca="1" si="209"/>
        <v/>
      </c>
      <c r="K2891" s="493" t="str">
        <f t="shared" ca="1" si="210"/>
        <v/>
      </c>
      <c r="L2891" s="487"/>
      <c r="M2891" s="487"/>
      <c r="N2891" s="487"/>
      <c r="O2891" s="487"/>
      <c r="P2891" s="487">
        <f t="shared" si="214"/>
        <v>0</v>
      </c>
      <c r="Q2891" s="487"/>
    </row>
    <row r="2892" spans="1:17" x14ac:dyDescent="0.3">
      <c r="A2892" s="487" t="b">
        <f t="shared" ca="1" si="206"/>
        <v>0</v>
      </c>
      <c r="B2892" s="500" t="str">
        <f ca="1">IF(COUNTA(G$2360:G2891)=1,"",OFFSET(B2892,-COUNTA(G$2360:G2891)+1,0))</f>
        <v>a1b3p000003dxbDAAQ</v>
      </c>
      <c r="C2892" s="502">
        <f ca="1">IF(COUNTA(G$2360:G2891)=1,"",OFFSET(C2892,-COUNTA(G$2360:G2891)+1,0))</f>
        <v>9</v>
      </c>
      <c r="D2892" s="487">
        <f t="shared" si="211"/>
        <v>50</v>
      </c>
      <c r="E2892" s="487">
        <f t="shared" ca="1" si="212"/>
        <v>2</v>
      </c>
      <c r="F2892" s="487">
        <f t="shared" ca="1" si="213"/>
        <v>17</v>
      </c>
      <c r="G2892" s="487"/>
      <c r="H2892" s="493" t="str">
        <f t="shared" ca="1" si="207"/>
        <v/>
      </c>
      <c r="I2892" s="493" t="str">
        <f t="shared" ca="1" si="208"/>
        <v/>
      </c>
      <c r="J2892" s="493" t="str">
        <f t="shared" ca="1" si="209"/>
        <v/>
      </c>
      <c r="K2892" s="493" t="str">
        <f t="shared" ca="1" si="210"/>
        <v/>
      </c>
      <c r="L2892" s="487"/>
      <c r="M2892" s="487"/>
      <c r="N2892" s="487"/>
      <c r="O2892" s="487"/>
      <c r="P2892" s="487">
        <f t="shared" si="214"/>
        <v>0</v>
      </c>
      <c r="Q2892" s="487"/>
    </row>
    <row r="2893" spans="1:17" x14ac:dyDescent="0.3">
      <c r="A2893" s="487" t="b">
        <f t="shared" ca="1" si="206"/>
        <v>0</v>
      </c>
      <c r="B2893" s="500" t="str">
        <f ca="1">IF(COUNTA(G$2360:G2892)=1,"",OFFSET(B2893,-COUNTA(G$2360:G2892)+1,0))</f>
        <v>a1b3p000003dxcVAAQ</v>
      </c>
      <c r="C2893" s="502">
        <f ca="1">IF(COUNTA(G$2360:G2892)=1,"",OFFSET(C2893,-COUNTA(G$2360:G2892)+1,0))</f>
        <v>9</v>
      </c>
      <c r="D2893" s="487">
        <f t="shared" si="211"/>
        <v>51</v>
      </c>
      <c r="E2893" s="487">
        <f t="shared" ca="1" si="212"/>
        <v>3</v>
      </c>
      <c r="F2893" s="487">
        <f t="shared" ca="1" si="213"/>
        <v>17</v>
      </c>
      <c r="G2893" s="487"/>
      <c r="H2893" s="493" t="str">
        <f t="shared" ca="1" si="207"/>
        <v/>
      </c>
      <c r="I2893" s="493" t="str">
        <f t="shared" ca="1" si="208"/>
        <v/>
      </c>
      <c r="J2893" s="493" t="str">
        <f t="shared" ca="1" si="209"/>
        <v/>
      </c>
      <c r="K2893" s="493" t="str">
        <f t="shared" ca="1" si="210"/>
        <v/>
      </c>
      <c r="L2893" s="487"/>
      <c r="M2893" s="487"/>
      <c r="N2893" s="487"/>
      <c r="O2893" s="487"/>
      <c r="P2893" s="487">
        <f t="shared" si="214"/>
        <v>0</v>
      </c>
      <c r="Q2893" s="487"/>
    </row>
    <row r="2894" spans="1:17" x14ac:dyDescent="0.3">
      <c r="A2894" s="487" t="b">
        <f t="shared" ca="1" si="206"/>
        <v>0</v>
      </c>
      <c r="B2894" s="500" t="str">
        <f ca="1">IF(COUNTA(G$2360:G2893)=1,"",OFFSET(B2894,-COUNTA(G$2360:G2893)+1,0))</f>
        <v>a1b3p000003dxdnAAA</v>
      </c>
      <c r="C2894" s="502">
        <f ca="1">IF(COUNTA(G$2360:G2893)=1,"",OFFSET(C2894,-COUNTA(G$2360:G2893)+1,0))</f>
        <v>9</v>
      </c>
      <c r="D2894" s="487">
        <f t="shared" si="211"/>
        <v>52</v>
      </c>
      <c r="E2894" s="487">
        <f t="shared" ca="1" si="212"/>
        <v>4</v>
      </c>
      <c r="F2894" s="487">
        <f t="shared" ca="1" si="213"/>
        <v>17</v>
      </c>
      <c r="G2894" s="487"/>
      <c r="H2894" s="493" t="str">
        <f t="shared" ca="1" si="207"/>
        <v/>
      </c>
      <c r="I2894" s="493" t="str">
        <f t="shared" ca="1" si="208"/>
        <v/>
      </c>
      <c r="J2894" s="493" t="str">
        <f t="shared" ca="1" si="209"/>
        <v/>
      </c>
      <c r="K2894" s="493" t="str">
        <f t="shared" ca="1" si="210"/>
        <v/>
      </c>
      <c r="L2894" s="487"/>
      <c r="M2894" s="487"/>
      <c r="N2894" s="487"/>
      <c r="O2894" s="487"/>
      <c r="P2894" s="487">
        <f t="shared" si="214"/>
        <v>0</v>
      </c>
      <c r="Q2894" s="487"/>
    </row>
    <row r="2895" spans="1:17" x14ac:dyDescent="0.3">
      <c r="A2895" s="487" t="b">
        <f t="shared" ca="1" si="206"/>
        <v>0</v>
      </c>
      <c r="B2895" s="500" t="str">
        <f ca="1">IF(COUNTA(G$2360:G2894)=1,"",OFFSET(B2895,-COUNTA(G$2360:G2894)+1,0))</f>
        <v>a1b3p000003dxf5AAA</v>
      </c>
      <c r="C2895" s="502">
        <f ca="1">IF(COUNTA(G$2360:G2894)=1,"",OFFSET(C2895,-COUNTA(G$2360:G2894)+1,0))</f>
        <v>9</v>
      </c>
      <c r="D2895" s="487">
        <f t="shared" si="211"/>
        <v>53</v>
      </c>
      <c r="E2895" s="487">
        <f t="shared" ca="1" si="212"/>
        <v>5</v>
      </c>
      <c r="F2895" s="487">
        <f t="shared" ca="1" si="213"/>
        <v>17</v>
      </c>
      <c r="G2895" s="487"/>
      <c r="H2895" s="493" t="str">
        <f t="shared" ca="1" si="207"/>
        <v/>
      </c>
      <c r="I2895" s="493" t="str">
        <f t="shared" ca="1" si="208"/>
        <v/>
      </c>
      <c r="J2895" s="493" t="str">
        <f t="shared" ca="1" si="209"/>
        <v/>
      </c>
      <c r="K2895" s="493" t="str">
        <f t="shared" ca="1" si="210"/>
        <v/>
      </c>
      <c r="L2895" s="487"/>
      <c r="M2895" s="487"/>
      <c r="N2895" s="487"/>
      <c r="O2895" s="487"/>
      <c r="P2895" s="487">
        <f t="shared" si="214"/>
        <v>0</v>
      </c>
      <c r="Q2895" s="487"/>
    </row>
    <row r="2896" spans="1:17" x14ac:dyDescent="0.3">
      <c r="A2896" s="487" t="b">
        <f t="shared" ca="1" si="206"/>
        <v>0</v>
      </c>
      <c r="B2896" s="500" t="str">
        <f ca="1">IF(COUNTA(G$2360:G2895)=1,"",OFFSET(B2896,-COUNTA(G$2360:G2895)+1,0))</f>
        <v>a1b3p000003dxgNAAQ</v>
      </c>
      <c r="C2896" s="502">
        <f ca="1">IF(COUNTA(G$2360:G2895)=1,"",OFFSET(C2896,-COUNTA(G$2360:G2895)+1,0))</f>
        <v>9</v>
      </c>
      <c r="D2896" s="487">
        <f t="shared" si="211"/>
        <v>54</v>
      </c>
      <c r="E2896" s="487">
        <f t="shared" ca="1" si="212"/>
        <v>6</v>
      </c>
      <c r="F2896" s="487">
        <f t="shared" ca="1" si="213"/>
        <v>17</v>
      </c>
      <c r="G2896" s="487"/>
      <c r="H2896" s="493" t="str">
        <f t="shared" ca="1" si="207"/>
        <v/>
      </c>
      <c r="I2896" s="493" t="str">
        <f t="shared" ca="1" si="208"/>
        <v/>
      </c>
      <c r="J2896" s="493" t="str">
        <f t="shared" ca="1" si="209"/>
        <v/>
      </c>
      <c r="K2896" s="493" t="str">
        <f t="shared" ca="1" si="210"/>
        <v/>
      </c>
      <c r="L2896" s="487"/>
      <c r="M2896" s="487"/>
      <c r="N2896" s="487"/>
      <c r="O2896" s="487"/>
      <c r="P2896" s="487">
        <f t="shared" si="214"/>
        <v>0</v>
      </c>
      <c r="Q2896" s="487"/>
    </row>
    <row r="2897" spans="1:17" x14ac:dyDescent="0.3">
      <c r="A2897" s="487" t="b">
        <f t="shared" ca="1" si="206"/>
        <v>0</v>
      </c>
      <c r="B2897" s="500" t="str">
        <f ca="1">IF(COUNTA(G$2360:G2896)=1,"",OFFSET(B2897,-COUNTA(G$2360:G2896)+1,0))</f>
        <v>a1b3p000003dxZwAAI</v>
      </c>
      <c r="C2897" s="502">
        <f ca="1">IF(COUNTA(G$2360:G2896)=1,"",OFFSET(C2897,-COUNTA(G$2360:G2896)+1,0))</f>
        <v>10</v>
      </c>
      <c r="D2897" s="487">
        <f t="shared" si="211"/>
        <v>55</v>
      </c>
      <c r="E2897" s="487">
        <f t="shared" ca="1" si="212"/>
        <v>1</v>
      </c>
      <c r="F2897" s="487">
        <f t="shared" ca="1" si="213"/>
        <v>18</v>
      </c>
      <c r="G2897" s="487"/>
      <c r="H2897" s="493" t="str">
        <f t="shared" ca="1" si="207"/>
        <v/>
      </c>
      <c r="I2897" s="493" t="str">
        <f t="shared" ca="1" si="208"/>
        <v/>
      </c>
      <c r="J2897" s="493" t="str">
        <f t="shared" ca="1" si="209"/>
        <v/>
      </c>
      <c r="K2897" s="493" t="str">
        <f t="shared" ca="1" si="210"/>
        <v/>
      </c>
      <c r="L2897" s="487"/>
      <c r="M2897" s="487"/>
      <c r="N2897" s="487"/>
      <c r="O2897" s="487"/>
      <c r="P2897" s="487">
        <f t="shared" si="214"/>
        <v>0</v>
      </c>
      <c r="Q2897" s="487"/>
    </row>
    <row r="2898" spans="1:17" x14ac:dyDescent="0.3">
      <c r="A2898" s="487" t="b">
        <f t="shared" ca="1" si="206"/>
        <v>0</v>
      </c>
      <c r="B2898" s="500" t="str">
        <f ca="1">IF(COUNTA(G$2360:G2897)=1,"",OFFSET(B2898,-COUNTA(G$2360:G2897)+1,0))</f>
        <v>a1b3p000003dxbEAAQ</v>
      </c>
      <c r="C2898" s="502">
        <f ca="1">IF(COUNTA(G$2360:G2897)=1,"",OFFSET(C2898,-COUNTA(G$2360:G2897)+1,0))</f>
        <v>10</v>
      </c>
      <c r="D2898" s="487">
        <f t="shared" si="211"/>
        <v>56</v>
      </c>
      <c r="E2898" s="487">
        <f t="shared" ca="1" si="212"/>
        <v>2</v>
      </c>
      <c r="F2898" s="487">
        <f t="shared" ca="1" si="213"/>
        <v>18</v>
      </c>
      <c r="G2898" s="487"/>
      <c r="H2898" s="493" t="str">
        <f t="shared" ca="1" si="207"/>
        <v/>
      </c>
      <c r="I2898" s="493" t="str">
        <f t="shared" ca="1" si="208"/>
        <v/>
      </c>
      <c r="J2898" s="493" t="str">
        <f t="shared" ca="1" si="209"/>
        <v/>
      </c>
      <c r="K2898" s="493" t="str">
        <f t="shared" ca="1" si="210"/>
        <v/>
      </c>
      <c r="L2898" s="487"/>
      <c r="M2898" s="487"/>
      <c r="N2898" s="487"/>
      <c r="O2898" s="487"/>
      <c r="P2898" s="487">
        <f t="shared" si="214"/>
        <v>0</v>
      </c>
      <c r="Q2898" s="487"/>
    </row>
    <row r="2899" spans="1:17" x14ac:dyDescent="0.3">
      <c r="A2899" s="487" t="b">
        <f t="shared" ca="1" si="206"/>
        <v>0</v>
      </c>
      <c r="B2899" s="500" t="str">
        <f ca="1">IF(COUNTA(G$2360:G2898)=1,"",OFFSET(B2899,-COUNTA(G$2360:G2898)+1,0))</f>
        <v>a1b3p000003dxcWAAQ</v>
      </c>
      <c r="C2899" s="502">
        <f ca="1">IF(COUNTA(G$2360:G2898)=1,"",OFFSET(C2899,-COUNTA(G$2360:G2898)+1,0))</f>
        <v>10</v>
      </c>
      <c r="D2899" s="487">
        <f t="shared" si="211"/>
        <v>57</v>
      </c>
      <c r="E2899" s="487">
        <f t="shared" ca="1" si="212"/>
        <v>3</v>
      </c>
      <c r="F2899" s="487">
        <f t="shared" ca="1" si="213"/>
        <v>18</v>
      </c>
      <c r="G2899" s="487"/>
      <c r="H2899" s="493" t="str">
        <f t="shared" ca="1" si="207"/>
        <v/>
      </c>
      <c r="I2899" s="493" t="str">
        <f t="shared" ca="1" si="208"/>
        <v/>
      </c>
      <c r="J2899" s="493" t="str">
        <f t="shared" ca="1" si="209"/>
        <v/>
      </c>
      <c r="K2899" s="493" t="str">
        <f t="shared" ca="1" si="210"/>
        <v/>
      </c>
      <c r="L2899" s="487"/>
      <c r="M2899" s="487"/>
      <c r="N2899" s="487"/>
      <c r="O2899" s="487"/>
      <c r="P2899" s="487">
        <f t="shared" si="214"/>
        <v>0</v>
      </c>
      <c r="Q2899" s="487"/>
    </row>
    <row r="2900" spans="1:17" x14ac:dyDescent="0.3">
      <c r="A2900" s="487" t="b">
        <f t="shared" ca="1" si="206"/>
        <v>0</v>
      </c>
      <c r="B2900" s="500" t="str">
        <f ca="1">IF(COUNTA(G$2360:G2899)=1,"",OFFSET(B2900,-COUNTA(G$2360:G2899)+1,0))</f>
        <v>a1b3p000003dxdoAAA</v>
      </c>
      <c r="C2900" s="502">
        <f ca="1">IF(COUNTA(G$2360:G2899)=1,"",OFFSET(C2900,-COUNTA(G$2360:G2899)+1,0))</f>
        <v>10</v>
      </c>
      <c r="D2900" s="487">
        <f t="shared" si="211"/>
        <v>58</v>
      </c>
      <c r="E2900" s="487">
        <f t="shared" ca="1" si="212"/>
        <v>4</v>
      </c>
      <c r="F2900" s="487">
        <f t="shared" ca="1" si="213"/>
        <v>18</v>
      </c>
      <c r="G2900" s="487"/>
      <c r="H2900" s="493" t="str">
        <f t="shared" ca="1" si="207"/>
        <v/>
      </c>
      <c r="I2900" s="493" t="str">
        <f t="shared" ca="1" si="208"/>
        <v/>
      </c>
      <c r="J2900" s="493" t="str">
        <f t="shared" ca="1" si="209"/>
        <v/>
      </c>
      <c r="K2900" s="493" t="str">
        <f t="shared" ca="1" si="210"/>
        <v/>
      </c>
      <c r="L2900" s="487"/>
      <c r="M2900" s="487"/>
      <c r="N2900" s="487"/>
      <c r="O2900" s="487"/>
      <c r="P2900" s="487">
        <f t="shared" si="214"/>
        <v>0</v>
      </c>
      <c r="Q2900" s="487"/>
    </row>
    <row r="2901" spans="1:17" x14ac:dyDescent="0.3">
      <c r="A2901" s="487" t="b">
        <f t="shared" ca="1" si="206"/>
        <v>0</v>
      </c>
      <c r="B2901" s="500" t="str">
        <f ca="1">IF(COUNTA(G$2360:G2900)=1,"",OFFSET(B2901,-COUNTA(G$2360:G2900)+1,0))</f>
        <v>a1b3p000003dxf6AAA</v>
      </c>
      <c r="C2901" s="502">
        <f ca="1">IF(COUNTA(G$2360:G2900)=1,"",OFFSET(C2901,-COUNTA(G$2360:G2900)+1,0))</f>
        <v>10</v>
      </c>
      <c r="D2901" s="487">
        <f t="shared" si="211"/>
        <v>59</v>
      </c>
      <c r="E2901" s="487">
        <f t="shared" ca="1" si="212"/>
        <v>5</v>
      </c>
      <c r="F2901" s="487">
        <f t="shared" ca="1" si="213"/>
        <v>18</v>
      </c>
      <c r="G2901" s="487"/>
      <c r="H2901" s="493" t="str">
        <f t="shared" ca="1" si="207"/>
        <v/>
      </c>
      <c r="I2901" s="493" t="str">
        <f t="shared" ca="1" si="208"/>
        <v/>
      </c>
      <c r="J2901" s="493" t="str">
        <f t="shared" ca="1" si="209"/>
        <v/>
      </c>
      <c r="K2901" s="493" t="str">
        <f t="shared" ca="1" si="210"/>
        <v/>
      </c>
      <c r="L2901" s="487"/>
      <c r="M2901" s="487"/>
      <c r="N2901" s="487"/>
      <c r="O2901" s="487"/>
      <c r="P2901" s="487">
        <f t="shared" si="214"/>
        <v>0</v>
      </c>
      <c r="Q2901" s="487"/>
    </row>
    <row r="2902" spans="1:17" x14ac:dyDescent="0.3">
      <c r="A2902" s="487" t="b">
        <f t="shared" ca="1" si="206"/>
        <v>0</v>
      </c>
      <c r="B2902" s="500" t="str">
        <f ca="1">IF(COUNTA(G$2360:G2901)=1,"",OFFSET(B2902,-COUNTA(G$2360:G2901)+1,0))</f>
        <v>a1b3p000003dxgOAAQ</v>
      </c>
      <c r="C2902" s="502">
        <f ca="1">IF(COUNTA(G$2360:G2901)=1,"",OFFSET(C2902,-COUNTA(G$2360:G2901)+1,0))</f>
        <v>10</v>
      </c>
      <c r="D2902" s="487">
        <f t="shared" si="211"/>
        <v>60</v>
      </c>
      <c r="E2902" s="487">
        <f t="shared" ca="1" si="212"/>
        <v>6</v>
      </c>
      <c r="F2902" s="487">
        <f t="shared" ca="1" si="213"/>
        <v>18</v>
      </c>
      <c r="G2902" s="487"/>
      <c r="H2902" s="493" t="str">
        <f t="shared" ca="1" si="207"/>
        <v/>
      </c>
      <c r="I2902" s="493" t="str">
        <f t="shared" ca="1" si="208"/>
        <v/>
      </c>
      <c r="J2902" s="493" t="str">
        <f t="shared" ca="1" si="209"/>
        <v/>
      </c>
      <c r="K2902" s="493" t="str">
        <f t="shared" ca="1" si="210"/>
        <v/>
      </c>
      <c r="L2902" s="487"/>
      <c r="M2902" s="487"/>
      <c r="N2902" s="487"/>
      <c r="O2902" s="487"/>
      <c r="P2902" s="487">
        <f t="shared" si="214"/>
        <v>0</v>
      </c>
      <c r="Q2902" s="487"/>
    </row>
    <row r="2903" spans="1:17" x14ac:dyDescent="0.3">
      <c r="A2903" s="487" t="b">
        <f t="shared" ca="1" si="206"/>
        <v>0</v>
      </c>
      <c r="B2903" s="500" t="str">
        <f ca="1">IF(COUNTA(G$2360:G2902)=1,"",OFFSET(B2903,-COUNTA(G$2360:G2902)+1,0))</f>
        <v>a1b3p000003dxZxAAI</v>
      </c>
      <c r="C2903" s="502">
        <f ca="1">IF(COUNTA(G$2360:G2902)=1,"",OFFSET(C2903,-COUNTA(G$2360:G2902)+1,0))</f>
        <v>11</v>
      </c>
      <c r="D2903" s="487">
        <f t="shared" si="211"/>
        <v>61</v>
      </c>
      <c r="E2903" s="487">
        <f t="shared" ca="1" si="212"/>
        <v>1</v>
      </c>
      <c r="F2903" s="487">
        <f t="shared" ca="1" si="213"/>
        <v>19</v>
      </c>
      <c r="G2903" s="487"/>
      <c r="H2903" s="493" t="str">
        <f t="shared" ca="1" si="207"/>
        <v/>
      </c>
      <c r="I2903" s="493" t="str">
        <f t="shared" ca="1" si="208"/>
        <v/>
      </c>
      <c r="J2903" s="493" t="str">
        <f t="shared" ca="1" si="209"/>
        <v/>
      </c>
      <c r="K2903" s="493" t="str">
        <f t="shared" ca="1" si="210"/>
        <v/>
      </c>
      <c r="L2903" s="487"/>
      <c r="M2903" s="487"/>
      <c r="N2903" s="487"/>
      <c r="O2903" s="487"/>
      <c r="P2903" s="487">
        <f t="shared" si="214"/>
        <v>0</v>
      </c>
      <c r="Q2903" s="487"/>
    </row>
    <row r="2904" spans="1:17" x14ac:dyDescent="0.3">
      <c r="A2904" s="487" t="b">
        <f t="shared" ca="1" si="206"/>
        <v>0</v>
      </c>
      <c r="B2904" s="500" t="str">
        <f ca="1">IF(COUNTA(G$2360:G2903)=1,"",OFFSET(B2904,-COUNTA(G$2360:G2903)+1,0))</f>
        <v>a1b3p000003dxbFAAQ</v>
      </c>
      <c r="C2904" s="502">
        <f ca="1">IF(COUNTA(G$2360:G2903)=1,"",OFFSET(C2904,-COUNTA(G$2360:G2903)+1,0))</f>
        <v>11</v>
      </c>
      <c r="D2904" s="487">
        <f t="shared" si="211"/>
        <v>62</v>
      </c>
      <c r="E2904" s="487">
        <f t="shared" ca="1" si="212"/>
        <v>2</v>
      </c>
      <c r="F2904" s="487">
        <f t="shared" ca="1" si="213"/>
        <v>19</v>
      </c>
      <c r="G2904" s="487"/>
      <c r="H2904" s="493" t="str">
        <f t="shared" ca="1" si="207"/>
        <v/>
      </c>
      <c r="I2904" s="493" t="str">
        <f t="shared" ca="1" si="208"/>
        <v/>
      </c>
      <c r="J2904" s="493" t="str">
        <f t="shared" ca="1" si="209"/>
        <v/>
      </c>
      <c r="K2904" s="493" t="str">
        <f t="shared" ca="1" si="210"/>
        <v/>
      </c>
      <c r="L2904" s="487"/>
      <c r="M2904" s="487"/>
      <c r="N2904" s="487"/>
      <c r="O2904" s="487"/>
      <c r="P2904" s="487">
        <f t="shared" si="214"/>
        <v>0</v>
      </c>
      <c r="Q2904" s="487"/>
    </row>
    <row r="2905" spans="1:17" x14ac:dyDescent="0.3">
      <c r="A2905" s="487" t="b">
        <f t="shared" ca="1" si="206"/>
        <v>0</v>
      </c>
      <c r="B2905" s="500" t="str">
        <f ca="1">IF(COUNTA(G$2360:G2904)=1,"",OFFSET(B2905,-COUNTA(G$2360:G2904)+1,0))</f>
        <v>a1b3p000003dxcXAAQ</v>
      </c>
      <c r="C2905" s="502">
        <f ca="1">IF(COUNTA(G$2360:G2904)=1,"",OFFSET(C2905,-COUNTA(G$2360:G2904)+1,0))</f>
        <v>11</v>
      </c>
      <c r="D2905" s="487">
        <f t="shared" si="211"/>
        <v>63</v>
      </c>
      <c r="E2905" s="487">
        <f t="shared" ca="1" si="212"/>
        <v>3</v>
      </c>
      <c r="F2905" s="487">
        <f t="shared" ca="1" si="213"/>
        <v>19</v>
      </c>
      <c r="G2905" s="487"/>
      <c r="H2905" s="493" t="str">
        <f t="shared" ca="1" si="207"/>
        <v/>
      </c>
      <c r="I2905" s="493" t="str">
        <f t="shared" ca="1" si="208"/>
        <v/>
      </c>
      <c r="J2905" s="493" t="str">
        <f t="shared" ca="1" si="209"/>
        <v/>
      </c>
      <c r="K2905" s="493" t="str">
        <f t="shared" ca="1" si="210"/>
        <v/>
      </c>
      <c r="L2905" s="487"/>
      <c r="M2905" s="487"/>
      <c r="N2905" s="487"/>
      <c r="O2905" s="487"/>
      <c r="P2905" s="487">
        <f t="shared" si="214"/>
        <v>0</v>
      </c>
      <c r="Q2905" s="487"/>
    </row>
    <row r="2906" spans="1:17" x14ac:dyDescent="0.3">
      <c r="A2906" s="487" t="b">
        <f t="shared" ca="1" si="206"/>
        <v>0</v>
      </c>
      <c r="B2906" s="500" t="str">
        <f ca="1">IF(COUNTA(G$2360:G2905)=1,"",OFFSET(B2906,-COUNTA(G$2360:G2905)+1,0))</f>
        <v>a1b3p000003dxdpAAA</v>
      </c>
      <c r="C2906" s="502">
        <f ca="1">IF(COUNTA(G$2360:G2905)=1,"",OFFSET(C2906,-COUNTA(G$2360:G2905)+1,0))</f>
        <v>11</v>
      </c>
      <c r="D2906" s="487">
        <f t="shared" si="211"/>
        <v>64</v>
      </c>
      <c r="E2906" s="487">
        <f t="shared" ca="1" si="212"/>
        <v>4</v>
      </c>
      <c r="F2906" s="487">
        <f t="shared" ca="1" si="213"/>
        <v>19</v>
      </c>
      <c r="G2906" s="487"/>
      <c r="H2906" s="493" t="str">
        <f t="shared" ca="1" si="207"/>
        <v/>
      </c>
      <c r="I2906" s="493" t="str">
        <f t="shared" ca="1" si="208"/>
        <v/>
      </c>
      <c r="J2906" s="493" t="str">
        <f t="shared" ca="1" si="209"/>
        <v/>
      </c>
      <c r="K2906" s="493" t="str">
        <f t="shared" ca="1" si="210"/>
        <v/>
      </c>
      <c r="L2906" s="487"/>
      <c r="M2906" s="487"/>
      <c r="N2906" s="487"/>
      <c r="O2906" s="487"/>
      <c r="P2906" s="487">
        <f t="shared" si="214"/>
        <v>0</v>
      </c>
      <c r="Q2906" s="487"/>
    </row>
    <row r="2907" spans="1:17" x14ac:dyDescent="0.3">
      <c r="A2907" s="487" t="b">
        <f t="shared" ref="A2907:A2970" ca="1" si="215">IF(OR(H2907&lt;&gt;"",I2907&lt;&gt;""),TRUE,FALSE)</f>
        <v>0</v>
      </c>
      <c r="B2907" s="500" t="str">
        <f ca="1">IF(COUNTA(G$2360:G2906)=1,"",OFFSET(B2907,-COUNTA(G$2360:G2906)+1,0))</f>
        <v>a1b3p000003dxf7AAA</v>
      </c>
      <c r="C2907" s="502">
        <f ca="1">IF(COUNTA(G$2360:G2906)=1,"",OFFSET(C2907,-COUNTA(G$2360:G2906)+1,0))</f>
        <v>11</v>
      </c>
      <c r="D2907" s="487">
        <f t="shared" si="211"/>
        <v>65</v>
      </c>
      <c r="E2907" s="487">
        <f t="shared" ca="1" si="212"/>
        <v>5</v>
      </c>
      <c r="F2907" s="487">
        <f t="shared" ca="1" si="213"/>
        <v>19</v>
      </c>
      <c r="G2907" s="487"/>
      <c r="H2907" s="493" t="str">
        <f t="shared" ref="H2907:H2970" ca="1" si="216">CHOOSE(E2907,IFERROR(IF(INDIRECT("'WPTM - Section F'!K"&amp;F2907)=0,"",INDIRECT("'WPTM - Section F'!K"&amp;$F2907)),""),IFERROR(IF(INDIRECT("'WPTM - Section F'!O"&amp;F2907)=0,"",INDIRECT("'WPTM - Section F'!O"&amp;$F2907)),""),IFERROR(IF(INDIRECT("'WPTM - Section F'!S"&amp;F2907)=0,"",INDIRECT("'WPTM - Section F'!S"&amp;$F2907)),""),IFERROR(IF(INDIRECT("'WPTM - Section F'!W"&amp;F2907)=0,"",INDIRECT("'WPTM - Section F'!W"&amp;$F2907)),""),IFERROR(IF(INDIRECT("'WPTM - Section F'!AA"&amp;F2907)=0,"",INDIRECT("'WPTM - Section F'!AA"&amp;$F2907)),""),IFERROR(IF(INDIRECT("'WPTM - Section F'!AE"&amp;F2907)=0,"",INDIRECT("'WPTM - Section F'!AE"&amp;$F2907)),""),IFERROR(IF(INDIRECT("'WPTM - Section F'!AI"&amp;F2907)=0,"",INDIRECT("'WPTM - Section F'!AI"&amp;$F2907)),""),IFERROR(IF(INDIRECT("'WPTM - Section F'!AM"&amp;F2907)=0,"",INDIRECT("'WPTM - Section F'!AM"&amp;$F2907)),""),)</f>
        <v/>
      </c>
      <c r="I2907" s="493" t="str">
        <f t="shared" ref="I2907:I2970" ca="1" si="217">CHOOSE(E2907,IFERROR(IF(INDIRECT("'WPTM - Section F'!J"&amp;F2907)=0,"",INDIRECT("'WPTM - Section F'!J"&amp;$F2907)),""),IFERROR(IF(INDIRECT("'WPTM - Section F'!N"&amp;F2907)=0,"",INDIRECT("'WPTM - Section F'!N"&amp;$F2907)),""),IFERROR(IF(INDIRECT("'WPTM - Section F'!R"&amp;F2907)=0,"",INDIRECT("'WPTM - Section F'!R"&amp;$F2907)),""),IFERROR(IF(INDIRECT("'WPTM - Section F'!V"&amp;F2907)=0,"",INDIRECT("'WPTM - Section F'!V"&amp;$F2907)),""),IFERROR(IF(INDIRECT("'WPTM - Section F'!Z"&amp;F2907)=0,"",INDIRECT("'WPTM - Section F'!Z"&amp;$F2907)),""),IFERROR(IF(INDIRECT("'WPTM - Section F'!AD"&amp;F2907)=0,"",INDIRECT("'WPTM - Section F'!AD"&amp;$F2907)),""),IFERROR(IF(INDIRECT("'WPTM - Section F'!AH"&amp;F2907)=0,"",INDIRECT("'WPTM - Section F'!AH"&amp;$F2907)),""),IFERROR(IF(INDIRECT("'WPTM - Section F'!AL"&amp;F2907)=0,"",INDIRECT("'WPTM - Section F'!AL"&amp;$F2907)),""),)</f>
        <v/>
      </c>
      <c r="J2907" s="493" t="str">
        <f t="shared" ref="J2907:J2970" ca="1" si="218">CHOOSE(E2907,IFERROR(IF(INDIRECT("'WPTM - Section F'!H"&amp;F2907)=0,"",INDIRECT("'WPTM - Section F'!H"&amp;$F2907)),""),IFERROR(IF(INDIRECT("'WPTM - Section F'!L"&amp;F2907)=0,"",INDIRECT("'WPTM - Section F'!L"&amp;$F2907)),""),IFERROR(IF(INDIRECT("'WPTM - Section F'!P"&amp;F2907)=0,"",INDIRECT("'WPTM - Section F'!P"&amp;$F2907)),""),IFERROR(IF(INDIRECT("'WPTM - Section F'!T"&amp;F2907)=0,"",INDIRECT("'WPTM - Section F'!T"&amp;$F2907)),""),IFERROR(IF(INDIRECT("'WPTM - Section F'!X"&amp;F2907)=0,"",INDIRECT("'WPTM - Section F'!X"&amp;$F2907)),""),IFERROR(IF(INDIRECT("'WPTM - Section F'!AB"&amp;F2907)=0,"",INDIRECT("'WPTM - Section F'!AB"&amp;$F2907)),""),IFERROR(IF(INDIRECT("'WPTM - Section F'!AF"&amp;F2907)=0,"",INDIRECT("'WPTM - Section F'!AF"&amp;$F2907)),""),IFERROR(IF(INDIRECT("'WPTM - Section F'!AJ"&amp;F2907)=0,"",INDIRECT("'WPTM - Section F'!AJ"&amp;$F2907)),""),)</f>
        <v/>
      </c>
      <c r="K2907" s="493" t="str">
        <f t="shared" ref="K2907:K2970" ca="1" si="219">CHOOSE(E2907,IFERROR(IF(INDIRECT("'WPTM - Section F'!I"&amp;F2907)=0,"",INDIRECT("'WPTM - Section F'!I"&amp;$F2907)),""),IFERROR(IF(INDIRECT("'WPTM - Section F'!M"&amp;F2907)=0,"",INDIRECT("'WPTM - Section F'!M"&amp;$F2907)),""),IFERROR(IF(INDIRECT("'WPTM - Section F'!Q"&amp;F2907)=0,"",INDIRECT("'WPTM - Section F'!Q"&amp;$F2907)),""),IFERROR(IF(INDIRECT("'WPTM - Section F'!U"&amp;F2907)=0,"",INDIRECT("'WPTM - Section F'!U"&amp;$F2907)),""),IFERROR(IF(INDIRECT("'WPTM - Section F'!Y"&amp;F2907)=0,"",INDIRECT("'WPTM - Section F'!Y"&amp;$F2907)),""),IFERROR(IF(INDIRECT("'WPTM - Section F'!AC"&amp;F2907)=0,"",INDIRECT("'WPTM - Section F'!AC"&amp;$F2907)),""),IFERROR(IF(INDIRECT("'WPTM - Section F'!AG"&amp;F2907)=0,"",INDIRECT("'WPTM - Section F'!AG"&amp;$F2907)),""),IFERROR(IF(INDIRECT("'WPTM - Section F'!AK"&amp;F2907)=0,"",INDIRECT("'WPTM - Section F'!AK"&amp;$F2907)),""),)</f>
        <v/>
      </c>
      <c r="L2907" s="487"/>
      <c r="M2907" s="487"/>
      <c r="N2907" s="487"/>
      <c r="O2907" s="487"/>
      <c r="P2907" s="487">
        <f t="shared" si="214"/>
        <v>0</v>
      </c>
      <c r="Q2907" s="487"/>
    </row>
    <row r="2908" spans="1:17" x14ac:dyDescent="0.3">
      <c r="A2908" s="487" t="b">
        <f t="shared" ca="1" si="215"/>
        <v>0</v>
      </c>
      <c r="B2908" s="500" t="str">
        <f ca="1">IF(COUNTA(G$2360:G2907)=1,"",OFFSET(B2908,-COUNTA(G$2360:G2907)+1,0))</f>
        <v>a1b3p000003dxgPAAQ</v>
      </c>
      <c r="C2908" s="502">
        <f ca="1">IF(COUNTA(G$2360:G2907)=1,"",OFFSET(C2908,-COUNTA(G$2360:G2907)+1,0))</f>
        <v>11</v>
      </c>
      <c r="D2908" s="487">
        <f t="shared" si="211"/>
        <v>66</v>
      </c>
      <c r="E2908" s="487">
        <f t="shared" ca="1" si="212"/>
        <v>6</v>
      </c>
      <c r="F2908" s="487">
        <f t="shared" ca="1" si="213"/>
        <v>19</v>
      </c>
      <c r="G2908" s="487"/>
      <c r="H2908" s="493" t="str">
        <f t="shared" ca="1" si="216"/>
        <v/>
      </c>
      <c r="I2908" s="493" t="str">
        <f t="shared" ca="1" si="217"/>
        <v/>
      </c>
      <c r="J2908" s="493" t="str">
        <f t="shared" ca="1" si="218"/>
        <v/>
      </c>
      <c r="K2908" s="493" t="str">
        <f t="shared" ca="1" si="219"/>
        <v/>
      </c>
      <c r="L2908" s="487"/>
      <c r="M2908" s="487"/>
      <c r="N2908" s="487"/>
      <c r="O2908" s="487"/>
      <c r="P2908" s="487">
        <f t="shared" si="214"/>
        <v>0</v>
      </c>
      <c r="Q2908" s="487"/>
    </row>
    <row r="2909" spans="1:17" x14ac:dyDescent="0.3">
      <c r="A2909" s="487" t="b">
        <f t="shared" ca="1" si="215"/>
        <v>0</v>
      </c>
      <c r="B2909" s="500" t="str">
        <f ca="1">IF(COUNTA(G$2360:G2908)=1,"",OFFSET(B2909,-COUNTA(G$2360:G2908)+1,0))</f>
        <v>a1b3p000003dxZyAAI</v>
      </c>
      <c r="C2909" s="502">
        <f ca="1">IF(COUNTA(G$2360:G2908)=1,"",OFFSET(C2909,-COUNTA(G$2360:G2908)+1,0))</f>
        <v>12</v>
      </c>
      <c r="D2909" s="487">
        <f t="shared" si="211"/>
        <v>67</v>
      </c>
      <c r="E2909" s="487">
        <f t="shared" ca="1" si="212"/>
        <v>1</v>
      </c>
      <c r="F2909" s="487">
        <f t="shared" ca="1" si="213"/>
        <v>20</v>
      </c>
      <c r="G2909" s="487"/>
      <c r="H2909" s="493" t="str">
        <f t="shared" ca="1" si="216"/>
        <v/>
      </c>
      <c r="I2909" s="493" t="str">
        <f t="shared" ca="1" si="217"/>
        <v/>
      </c>
      <c r="J2909" s="493" t="str">
        <f t="shared" ca="1" si="218"/>
        <v/>
      </c>
      <c r="K2909" s="493" t="str">
        <f t="shared" ca="1" si="219"/>
        <v/>
      </c>
      <c r="L2909" s="487"/>
      <c r="M2909" s="487"/>
      <c r="N2909" s="487"/>
      <c r="O2909" s="487"/>
      <c r="P2909" s="487">
        <f t="shared" si="214"/>
        <v>0</v>
      </c>
      <c r="Q2909" s="487"/>
    </row>
    <row r="2910" spans="1:17" x14ac:dyDescent="0.3">
      <c r="A2910" s="487" t="b">
        <f t="shared" ca="1" si="215"/>
        <v>0</v>
      </c>
      <c r="B2910" s="500" t="str">
        <f ca="1">IF(COUNTA(G$2360:G2909)=1,"",OFFSET(B2910,-COUNTA(G$2360:G2909)+1,0))</f>
        <v>a1b3p000003dxbGAAQ</v>
      </c>
      <c r="C2910" s="502">
        <f ca="1">IF(COUNTA(G$2360:G2909)=1,"",OFFSET(C2910,-COUNTA(G$2360:G2909)+1,0))</f>
        <v>12</v>
      </c>
      <c r="D2910" s="487">
        <f t="shared" si="211"/>
        <v>68</v>
      </c>
      <c r="E2910" s="487">
        <f t="shared" ca="1" si="212"/>
        <v>2</v>
      </c>
      <c r="F2910" s="487">
        <f t="shared" ca="1" si="213"/>
        <v>20</v>
      </c>
      <c r="G2910" s="487"/>
      <c r="H2910" s="493" t="str">
        <f t="shared" ca="1" si="216"/>
        <v/>
      </c>
      <c r="I2910" s="493" t="str">
        <f t="shared" ca="1" si="217"/>
        <v/>
      </c>
      <c r="J2910" s="493" t="str">
        <f t="shared" ca="1" si="218"/>
        <v/>
      </c>
      <c r="K2910" s="493" t="str">
        <f t="shared" ca="1" si="219"/>
        <v/>
      </c>
      <c r="L2910" s="487"/>
      <c r="M2910" s="487"/>
      <c r="N2910" s="487"/>
      <c r="O2910" s="487"/>
      <c r="P2910" s="487">
        <f t="shared" si="214"/>
        <v>0</v>
      </c>
      <c r="Q2910" s="487"/>
    </row>
    <row r="2911" spans="1:17" x14ac:dyDescent="0.3">
      <c r="A2911" s="487" t="b">
        <f t="shared" ca="1" si="215"/>
        <v>0</v>
      </c>
      <c r="B2911" s="500" t="str">
        <f ca="1">IF(COUNTA(G$2360:G2910)=1,"",OFFSET(B2911,-COUNTA(G$2360:G2910)+1,0))</f>
        <v>a1b3p000003dxcYAAQ</v>
      </c>
      <c r="C2911" s="502">
        <f ca="1">IF(COUNTA(G$2360:G2910)=1,"",OFFSET(C2911,-COUNTA(G$2360:G2910)+1,0))</f>
        <v>12</v>
      </c>
      <c r="D2911" s="487">
        <f t="shared" si="211"/>
        <v>69</v>
      </c>
      <c r="E2911" s="487">
        <f t="shared" ca="1" si="212"/>
        <v>3</v>
      </c>
      <c r="F2911" s="487">
        <f t="shared" ca="1" si="213"/>
        <v>20</v>
      </c>
      <c r="G2911" s="487"/>
      <c r="H2911" s="493" t="str">
        <f t="shared" ca="1" si="216"/>
        <v/>
      </c>
      <c r="I2911" s="493" t="str">
        <f t="shared" ca="1" si="217"/>
        <v/>
      </c>
      <c r="J2911" s="493" t="str">
        <f t="shared" ca="1" si="218"/>
        <v/>
      </c>
      <c r="K2911" s="493" t="str">
        <f t="shared" ca="1" si="219"/>
        <v/>
      </c>
      <c r="L2911" s="487"/>
      <c r="M2911" s="487"/>
      <c r="N2911" s="487"/>
      <c r="O2911" s="487"/>
      <c r="P2911" s="487">
        <f t="shared" si="214"/>
        <v>0</v>
      </c>
      <c r="Q2911" s="487"/>
    </row>
    <row r="2912" spans="1:17" x14ac:dyDescent="0.3">
      <c r="A2912" s="487" t="b">
        <f t="shared" ca="1" si="215"/>
        <v>0</v>
      </c>
      <c r="B2912" s="500" t="str">
        <f ca="1">IF(COUNTA(G$2360:G2911)=1,"",OFFSET(B2912,-COUNTA(G$2360:G2911)+1,0))</f>
        <v>a1b3p000003dxdqAAA</v>
      </c>
      <c r="C2912" s="502">
        <f ca="1">IF(COUNTA(G$2360:G2911)=1,"",OFFSET(C2912,-COUNTA(G$2360:G2911)+1,0))</f>
        <v>12</v>
      </c>
      <c r="D2912" s="487">
        <f t="shared" si="211"/>
        <v>70</v>
      </c>
      <c r="E2912" s="487">
        <f t="shared" ca="1" si="212"/>
        <v>4</v>
      </c>
      <c r="F2912" s="487">
        <f t="shared" ca="1" si="213"/>
        <v>20</v>
      </c>
      <c r="G2912" s="487"/>
      <c r="H2912" s="493" t="str">
        <f t="shared" ca="1" si="216"/>
        <v/>
      </c>
      <c r="I2912" s="493" t="str">
        <f t="shared" ca="1" si="217"/>
        <v/>
      </c>
      <c r="J2912" s="493" t="str">
        <f t="shared" ca="1" si="218"/>
        <v/>
      </c>
      <c r="K2912" s="493" t="str">
        <f t="shared" ca="1" si="219"/>
        <v/>
      </c>
      <c r="L2912" s="487"/>
      <c r="M2912" s="487"/>
      <c r="N2912" s="487"/>
      <c r="O2912" s="487"/>
      <c r="P2912" s="487">
        <f t="shared" si="214"/>
        <v>0</v>
      </c>
      <c r="Q2912" s="487"/>
    </row>
    <row r="2913" spans="1:17" x14ac:dyDescent="0.3">
      <c r="A2913" s="487" t="b">
        <f t="shared" ca="1" si="215"/>
        <v>0</v>
      </c>
      <c r="B2913" s="500" t="str">
        <f ca="1">IF(COUNTA(G$2360:G2912)=1,"",OFFSET(B2913,-COUNTA(G$2360:G2912)+1,0))</f>
        <v>a1b3p000003dxf8AAA</v>
      </c>
      <c r="C2913" s="502">
        <f ca="1">IF(COUNTA(G$2360:G2912)=1,"",OFFSET(C2913,-COUNTA(G$2360:G2912)+1,0))</f>
        <v>12</v>
      </c>
      <c r="D2913" s="487">
        <f t="shared" si="211"/>
        <v>71</v>
      </c>
      <c r="E2913" s="487">
        <f t="shared" ca="1" si="212"/>
        <v>5</v>
      </c>
      <c r="F2913" s="487">
        <f t="shared" ca="1" si="213"/>
        <v>20</v>
      </c>
      <c r="G2913" s="487"/>
      <c r="H2913" s="493" t="str">
        <f t="shared" ca="1" si="216"/>
        <v/>
      </c>
      <c r="I2913" s="493" t="str">
        <f t="shared" ca="1" si="217"/>
        <v/>
      </c>
      <c r="J2913" s="493" t="str">
        <f t="shared" ca="1" si="218"/>
        <v/>
      </c>
      <c r="K2913" s="493" t="str">
        <f t="shared" ca="1" si="219"/>
        <v/>
      </c>
      <c r="L2913" s="487"/>
      <c r="M2913" s="487"/>
      <c r="N2913" s="487"/>
      <c r="O2913" s="487"/>
      <c r="P2913" s="487">
        <f t="shared" si="214"/>
        <v>0</v>
      </c>
      <c r="Q2913" s="487"/>
    </row>
    <row r="2914" spans="1:17" x14ac:dyDescent="0.3">
      <c r="A2914" s="487" t="b">
        <f t="shared" ca="1" si="215"/>
        <v>0</v>
      </c>
      <c r="B2914" s="500" t="str">
        <f ca="1">IF(COUNTA(G$2360:G2913)=1,"",OFFSET(B2914,-COUNTA(G$2360:G2913)+1,0))</f>
        <v>a1b3p000003dxgQAAQ</v>
      </c>
      <c r="C2914" s="502">
        <f ca="1">IF(COUNTA(G$2360:G2913)=1,"",OFFSET(C2914,-COUNTA(G$2360:G2913)+1,0))</f>
        <v>12</v>
      </c>
      <c r="D2914" s="487">
        <f t="shared" si="211"/>
        <v>72</v>
      </c>
      <c r="E2914" s="487">
        <f t="shared" ca="1" si="212"/>
        <v>6</v>
      </c>
      <c r="F2914" s="487">
        <f t="shared" ca="1" si="213"/>
        <v>20</v>
      </c>
      <c r="G2914" s="487"/>
      <c r="H2914" s="493" t="str">
        <f t="shared" ca="1" si="216"/>
        <v/>
      </c>
      <c r="I2914" s="493" t="str">
        <f t="shared" ca="1" si="217"/>
        <v/>
      </c>
      <c r="J2914" s="493" t="str">
        <f t="shared" ca="1" si="218"/>
        <v/>
      </c>
      <c r="K2914" s="493" t="str">
        <f t="shared" ca="1" si="219"/>
        <v/>
      </c>
      <c r="L2914" s="487"/>
      <c r="M2914" s="487"/>
      <c r="N2914" s="487"/>
      <c r="O2914" s="487"/>
      <c r="P2914" s="487">
        <f t="shared" si="214"/>
        <v>0</v>
      </c>
      <c r="Q2914" s="487"/>
    </row>
    <row r="2915" spans="1:17" x14ac:dyDescent="0.3">
      <c r="A2915" s="487" t="b">
        <f t="shared" ca="1" si="215"/>
        <v>0</v>
      </c>
      <c r="B2915" s="500" t="str">
        <f ca="1">IF(COUNTA(G$2360:G2914)=1,"",OFFSET(B2915,-COUNTA(G$2360:G2914)+1,0))</f>
        <v>a1b3p000003dxZzAAI</v>
      </c>
      <c r="C2915" s="502">
        <f ca="1">IF(COUNTA(G$2360:G2914)=1,"",OFFSET(C2915,-COUNTA(G$2360:G2914)+1,0))</f>
        <v>13</v>
      </c>
      <c r="D2915" s="487">
        <f t="shared" si="211"/>
        <v>73</v>
      </c>
      <c r="E2915" s="487">
        <f t="shared" ca="1" si="212"/>
        <v>1</v>
      </c>
      <c r="F2915" s="487">
        <f t="shared" ca="1" si="213"/>
        <v>21</v>
      </c>
      <c r="G2915" s="487"/>
      <c r="H2915" s="493" t="str">
        <f t="shared" ca="1" si="216"/>
        <v/>
      </c>
      <c r="I2915" s="493" t="str">
        <f t="shared" ca="1" si="217"/>
        <v/>
      </c>
      <c r="J2915" s="493" t="str">
        <f t="shared" ca="1" si="218"/>
        <v/>
      </c>
      <c r="K2915" s="493" t="str">
        <f t="shared" ca="1" si="219"/>
        <v/>
      </c>
      <c r="L2915" s="487"/>
      <c r="M2915" s="487"/>
      <c r="N2915" s="487"/>
      <c r="O2915" s="487"/>
      <c r="P2915" s="487">
        <f t="shared" si="214"/>
        <v>0</v>
      </c>
      <c r="Q2915" s="487"/>
    </row>
    <row r="2916" spans="1:17" x14ac:dyDescent="0.3">
      <c r="A2916" s="487" t="b">
        <f t="shared" ca="1" si="215"/>
        <v>0</v>
      </c>
      <c r="B2916" s="500" t="str">
        <f ca="1">IF(COUNTA(G$2360:G2915)=1,"",OFFSET(B2916,-COUNTA(G$2360:G2915)+1,0))</f>
        <v>a1b3p000003dxbHAAQ</v>
      </c>
      <c r="C2916" s="502">
        <f ca="1">IF(COUNTA(G$2360:G2915)=1,"",OFFSET(C2916,-COUNTA(G$2360:G2915)+1,0))</f>
        <v>13</v>
      </c>
      <c r="D2916" s="487">
        <f t="shared" si="211"/>
        <v>74</v>
      </c>
      <c r="E2916" s="487">
        <f t="shared" ca="1" si="212"/>
        <v>2</v>
      </c>
      <c r="F2916" s="487">
        <f t="shared" ca="1" si="213"/>
        <v>21</v>
      </c>
      <c r="G2916" s="487"/>
      <c r="H2916" s="493" t="str">
        <f t="shared" ca="1" si="216"/>
        <v/>
      </c>
      <c r="I2916" s="493" t="str">
        <f t="shared" ca="1" si="217"/>
        <v/>
      </c>
      <c r="J2916" s="493" t="str">
        <f t="shared" ca="1" si="218"/>
        <v/>
      </c>
      <c r="K2916" s="493" t="str">
        <f t="shared" ca="1" si="219"/>
        <v/>
      </c>
      <c r="L2916" s="487"/>
      <c r="M2916" s="487"/>
      <c r="N2916" s="487"/>
      <c r="O2916" s="487"/>
      <c r="P2916" s="487">
        <f t="shared" si="214"/>
        <v>0</v>
      </c>
      <c r="Q2916" s="487"/>
    </row>
    <row r="2917" spans="1:17" x14ac:dyDescent="0.3">
      <c r="A2917" s="487" t="b">
        <f t="shared" ca="1" si="215"/>
        <v>0</v>
      </c>
      <c r="B2917" s="500" t="str">
        <f ca="1">IF(COUNTA(G$2360:G2916)=1,"",OFFSET(B2917,-COUNTA(G$2360:G2916)+1,0))</f>
        <v>a1b3p000003dxcZAAQ</v>
      </c>
      <c r="C2917" s="502">
        <f ca="1">IF(COUNTA(G$2360:G2916)=1,"",OFFSET(C2917,-COUNTA(G$2360:G2916)+1,0))</f>
        <v>13</v>
      </c>
      <c r="D2917" s="487">
        <f t="shared" si="211"/>
        <v>75</v>
      </c>
      <c r="E2917" s="487">
        <f t="shared" ca="1" si="212"/>
        <v>3</v>
      </c>
      <c r="F2917" s="487">
        <f t="shared" ca="1" si="213"/>
        <v>21</v>
      </c>
      <c r="G2917" s="487"/>
      <c r="H2917" s="493" t="str">
        <f t="shared" ca="1" si="216"/>
        <v/>
      </c>
      <c r="I2917" s="493" t="str">
        <f t="shared" ca="1" si="217"/>
        <v/>
      </c>
      <c r="J2917" s="493" t="str">
        <f t="shared" ca="1" si="218"/>
        <v/>
      </c>
      <c r="K2917" s="493" t="str">
        <f t="shared" ca="1" si="219"/>
        <v/>
      </c>
      <c r="L2917" s="487"/>
      <c r="M2917" s="487"/>
      <c r="N2917" s="487"/>
      <c r="O2917" s="487"/>
      <c r="P2917" s="487">
        <f t="shared" si="214"/>
        <v>0</v>
      </c>
      <c r="Q2917" s="487"/>
    </row>
    <row r="2918" spans="1:17" x14ac:dyDescent="0.3">
      <c r="A2918" s="487" t="b">
        <f t="shared" ca="1" si="215"/>
        <v>0</v>
      </c>
      <c r="B2918" s="500" t="str">
        <f ca="1">IF(COUNTA(G$2360:G2917)=1,"",OFFSET(B2918,-COUNTA(G$2360:G2917)+1,0))</f>
        <v>a1b3p000003dxdrAAA</v>
      </c>
      <c r="C2918" s="502">
        <f ca="1">IF(COUNTA(G$2360:G2917)=1,"",OFFSET(C2918,-COUNTA(G$2360:G2917)+1,0))</f>
        <v>13</v>
      </c>
      <c r="D2918" s="487">
        <f t="shared" si="211"/>
        <v>76</v>
      </c>
      <c r="E2918" s="487">
        <f t="shared" ca="1" si="212"/>
        <v>4</v>
      </c>
      <c r="F2918" s="487">
        <f t="shared" ca="1" si="213"/>
        <v>21</v>
      </c>
      <c r="G2918" s="487"/>
      <c r="H2918" s="493" t="str">
        <f t="shared" ca="1" si="216"/>
        <v/>
      </c>
      <c r="I2918" s="493" t="str">
        <f t="shared" ca="1" si="217"/>
        <v/>
      </c>
      <c r="J2918" s="493" t="str">
        <f t="shared" ca="1" si="218"/>
        <v/>
      </c>
      <c r="K2918" s="493" t="str">
        <f t="shared" ca="1" si="219"/>
        <v/>
      </c>
      <c r="L2918" s="487"/>
      <c r="M2918" s="487"/>
      <c r="N2918" s="487"/>
      <c r="O2918" s="487"/>
      <c r="P2918" s="487">
        <f t="shared" si="214"/>
        <v>0</v>
      </c>
      <c r="Q2918" s="487"/>
    </row>
    <row r="2919" spans="1:17" x14ac:dyDescent="0.3">
      <c r="A2919" s="487" t="b">
        <f t="shared" ca="1" si="215"/>
        <v>0</v>
      </c>
      <c r="B2919" s="500" t="str">
        <f ca="1">IF(COUNTA(G$2360:G2918)=1,"",OFFSET(B2919,-COUNTA(G$2360:G2918)+1,0))</f>
        <v>a1b3p000003dxf9AAA</v>
      </c>
      <c r="C2919" s="502">
        <f ca="1">IF(COUNTA(G$2360:G2918)=1,"",OFFSET(C2919,-COUNTA(G$2360:G2918)+1,0))</f>
        <v>13</v>
      </c>
      <c r="D2919" s="487">
        <f t="shared" si="211"/>
        <v>77</v>
      </c>
      <c r="E2919" s="487">
        <f t="shared" ca="1" si="212"/>
        <v>5</v>
      </c>
      <c r="F2919" s="487">
        <f t="shared" ca="1" si="213"/>
        <v>21</v>
      </c>
      <c r="G2919" s="487"/>
      <c r="H2919" s="493" t="str">
        <f t="shared" ca="1" si="216"/>
        <v/>
      </c>
      <c r="I2919" s="493" t="str">
        <f t="shared" ca="1" si="217"/>
        <v/>
      </c>
      <c r="J2919" s="493" t="str">
        <f t="shared" ca="1" si="218"/>
        <v/>
      </c>
      <c r="K2919" s="493" t="str">
        <f t="shared" ca="1" si="219"/>
        <v/>
      </c>
      <c r="L2919" s="487"/>
      <c r="M2919" s="487"/>
      <c r="N2919" s="487"/>
      <c r="O2919" s="487"/>
      <c r="P2919" s="487">
        <f t="shared" si="214"/>
        <v>0</v>
      </c>
      <c r="Q2919" s="487"/>
    </row>
    <row r="2920" spans="1:17" x14ac:dyDescent="0.3">
      <c r="A2920" s="487" t="b">
        <f t="shared" ca="1" si="215"/>
        <v>0</v>
      </c>
      <c r="B2920" s="500" t="str">
        <f ca="1">IF(COUNTA(G$2360:G2919)=1,"",OFFSET(B2920,-COUNTA(G$2360:G2919)+1,0))</f>
        <v>a1b3p000003dxgRAAQ</v>
      </c>
      <c r="C2920" s="502">
        <f ca="1">IF(COUNTA(G$2360:G2919)=1,"",OFFSET(C2920,-COUNTA(G$2360:G2919)+1,0))</f>
        <v>13</v>
      </c>
      <c r="D2920" s="487">
        <f t="shared" si="211"/>
        <v>78</v>
      </c>
      <c r="E2920" s="487">
        <f t="shared" ca="1" si="212"/>
        <v>6</v>
      </c>
      <c r="F2920" s="487">
        <f t="shared" ca="1" si="213"/>
        <v>21</v>
      </c>
      <c r="G2920" s="487"/>
      <c r="H2920" s="493" t="str">
        <f t="shared" ca="1" si="216"/>
        <v/>
      </c>
      <c r="I2920" s="493" t="str">
        <f t="shared" ca="1" si="217"/>
        <v/>
      </c>
      <c r="J2920" s="493" t="str">
        <f t="shared" ca="1" si="218"/>
        <v/>
      </c>
      <c r="K2920" s="493" t="str">
        <f t="shared" ca="1" si="219"/>
        <v/>
      </c>
      <c r="L2920" s="487"/>
      <c r="M2920" s="487"/>
      <c r="N2920" s="487"/>
      <c r="O2920" s="487"/>
      <c r="P2920" s="487">
        <f t="shared" si="214"/>
        <v>0</v>
      </c>
      <c r="Q2920" s="487"/>
    </row>
    <row r="2921" spans="1:17" x14ac:dyDescent="0.3">
      <c r="A2921" s="487" t="b">
        <f t="shared" ca="1" si="215"/>
        <v>0</v>
      </c>
      <c r="B2921" s="500" t="str">
        <f ca="1">IF(COUNTA(G$2360:G2920)=1,"",OFFSET(B2921,-COUNTA(G$2360:G2920)+1,0))</f>
        <v>a1b3p000003dxa0AAA</v>
      </c>
      <c r="C2921" s="502">
        <f ca="1">IF(COUNTA(G$2360:G2920)=1,"",OFFSET(C2921,-COUNTA(G$2360:G2920)+1,0))</f>
        <v>14</v>
      </c>
      <c r="D2921" s="487">
        <f t="shared" si="211"/>
        <v>79</v>
      </c>
      <c r="E2921" s="487">
        <f t="shared" ca="1" si="212"/>
        <v>1</v>
      </c>
      <c r="F2921" s="487">
        <f t="shared" ca="1" si="213"/>
        <v>22</v>
      </c>
      <c r="G2921" s="487"/>
      <c r="H2921" s="493" t="str">
        <f t="shared" ca="1" si="216"/>
        <v/>
      </c>
      <c r="I2921" s="493" t="str">
        <f t="shared" ca="1" si="217"/>
        <v/>
      </c>
      <c r="J2921" s="493" t="str">
        <f t="shared" ca="1" si="218"/>
        <v/>
      </c>
      <c r="K2921" s="493" t="str">
        <f t="shared" ca="1" si="219"/>
        <v/>
      </c>
      <c r="L2921" s="487"/>
      <c r="M2921" s="487"/>
      <c r="N2921" s="487"/>
      <c r="O2921" s="487"/>
      <c r="P2921" s="487">
        <f t="shared" si="214"/>
        <v>0</v>
      </c>
      <c r="Q2921" s="487"/>
    </row>
    <row r="2922" spans="1:17" x14ac:dyDescent="0.3">
      <c r="A2922" s="487" t="b">
        <f t="shared" ca="1" si="215"/>
        <v>0</v>
      </c>
      <c r="B2922" s="500" t="str">
        <f ca="1">IF(COUNTA(G$2360:G2921)=1,"",OFFSET(B2922,-COUNTA(G$2360:G2921)+1,0))</f>
        <v>a1b3p000003dxbIAAQ</v>
      </c>
      <c r="C2922" s="502">
        <f ca="1">IF(COUNTA(G$2360:G2921)=1,"",OFFSET(C2922,-COUNTA(G$2360:G2921)+1,0))</f>
        <v>14</v>
      </c>
      <c r="D2922" s="487">
        <f t="shared" si="211"/>
        <v>80</v>
      </c>
      <c r="E2922" s="487">
        <f t="shared" ca="1" si="212"/>
        <v>2</v>
      </c>
      <c r="F2922" s="487">
        <f t="shared" ca="1" si="213"/>
        <v>22</v>
      </c>
      <c r="G2922" s="487"/>
      <c r="H2922" s="493" t="str">
        <f t="shared" ca="1" si="216"/>
        <v/>
      </c>
      <c r="I2922" s="493" t="str">
        <f t="shared" ca="1" si="217"/>
        <v/>
      </c>
      <c r="J2922" s="493" t="str">
        <f t="shared" ca="1" si="218"/>
        <v/>
      </c>
      <c r="K2922" s="493" t="str">
        <f t="shared" ca="1" si="219"/>
        <v/>
      </c>
      <c r="L2922" s="487"/>
      <c r="M2922" s="487"/>
      <c r="N2922" s="487"/>
      <c r="O2922" s="487"/>
      <c r="P2922" s="487">
        <f t="shared" si="214"/>
        <v>0</v>
      </c>
      <c r="Q2922" s="487"/>
    </row>
    <row r="2923" spans="1:17" x14ac:dyDescent="0.3">
      <c r="A2923" s="487" t="b">
        <f t="shared" ca="1" si="215"/>
        <v>0</v>
      </c>
      <c r="B2923" s="500" t="str">
        <f ca="1">IF(COUNTA(G$2360:G2922)=1,"",OFFSET(B2923,-COUNTA(G$2360:G2922)+1,0))</f>
        <v>a1b3p000003dxcaAAA</v>
      </c>
      <c r="C2923" s="502">
        <f ca="1">IF(COUNTA(G$2360:G2922)=1,"",OFFSET(C2923,-COUNTA(G$2360:G2922)+1,0))</f>
        <v>14</v>
      </c>
      <c r="D2923" s="487">
        <f t="shared" si="211"/>
        <v>81</v>
      </c>
      <c r="E2923" s="487">
        <f t="shared" ca="1" si="212"/>
        <v>3</v>
      </c>
      <c r="F2923" s="487">
        <f t="shared" ca="1" si="213"/>
        <v>22</v>
      </c>
      <c r="G2923" s="487"/>
      <c r="H2923" s="493" t="str">
        <f t="shared" ca="1" si="216"/>
        <v/>
      </c>
      <c r="I2923" s="493" t="str">
        <f t="shared" ca="1" si="217"/>
        <v/>
      </c>
      <c r="J2923" s="493" t="str">
        <f t="shared" ca="1" si="218"/>
        <v/>
      </c>
      <c r="K2923" s="493" t="str">
        <f t="shared" ca="1" si="219"/>
        <v/>
      </c>
      <c r="L2923" s="487"/>
      <c r="M2923" s="487"/>
      <c r="N2923" s="487"/>
      <c r="O2923" s="487"/>
      <c r="P2923" s="487">
        <f t="shared" si="214"/>
        <v>0</v>
      </c>
      <c r="Q2923" s="487"/>
    </row>
    <row r="2924" spans="1:17" x14ac:dyDescent="0.3">
      <c r="A2924" s="487" t="b">
        <f t="shared" ca="1" si="215"/>
        <v>0</v>
      </c>
      <c r="B2924" s="500" t="str">
        <f ca="1">IF(COUNTA(G$2360:G2923)=1,"",OFFSET(B2924,-COUNTA(G$2360:G2923)+1,0))</f>
        <v>a1b3p000003dxdsAAA</v>
      </c>
      <c r="C2924" s="502">
        <f ca="1">IF(COUNTA(G$2360:G2923)=1,"",OFFSET(C2924,-COUNTA(G$2360:G2923)+1,0))</f>
        <v>14</v>
      </c>
      <c r="D2924" s="487">
        <f t="shared" si="211"/>
        <v>82</v>
      </c>
      <c r="E2924" s="487">
        <f t="shared" ca="1" si="212"/>
        <v>4</v>
      </c>
      <c r="F2924" s="487">
        <f t="shared" ca="1" si="213"/>
        <v>22</v>
      </c>
      <c r="G2924" s="487"/>
      <c r="H2924" s="493" t="str">
        <f t="shared" ca="1" si="216"/>
        <v/>
      </c>
      <c r="I2924" s="493" t="str">
        <f t="shared" ca="1" si="217"/>
        <v/>
      </c>
      <c r="J2924" s="493" t="str">
        <f t="shared" ca="1" si="218"/>
        <v/>
      </c>
      <c r="K2924" s="493" t="str">
        <f t="shared" ca="1" si="219"/>
        <v/>
      </c>
      <c r="L2924" s="487"/>
      <c r="M2924" s="487"/>
      <c r="N2924" s="487"/>
      <c r="O2924" s="487"/>
      <c r="P2924" s="487">
        <f t="shared" si="214"/>
        <v>0</v>
      </c>
      <c r="Q2924" s="487"/>
    </row>
    <row r="2925" spans="1:17" x14ac:dyDescent="0.3">
      <c r="A2925" s="487" t="b">
        <f t="shared" ca="1" si="215"/>
        <v>0</v>
      </c>
      <c r="B2925" s="500" t="str">
        <f ca="1">IF(COUNTA(G$2360:G2924)=1,"",OFFSET(B2925,-COUNTA(G$2360:G2924)+1,0))</f>
        <v>a1b3p000003dxfAAAQ</v>
      </c>
      <c r="C2925" s="502">
        <f ca="1">IF(COUNTA(G$2360:G2924)=1,"",OFFSET(C2925,-COUNTA(G$2360:G2924)+1,0))</f>
        <v>14</v>
      </c>
      <c r="D2925" s="487">
        <f t="shared" si="211"/>
        <v>83</v>
      </c>
      <c r="E2925" s="487">
        <f t="shared" ca="1" si="212"/>
        <v>5</v>
      </c>
      <c r="F2925" s="487">
        <f t="shared" ca="1" si="213"/>
        <v>22</v>
      </c>
      <c r="G2925" s="487"/>
      <c r="H2925" s="493" t="str">
        <f t="shared" ca="1" si="216"/>
        <v/>
      </c>
      <c r="I2925" s="493" t="str">
        <f t="shared" ca="1" si="217"/>
        <v/>
      </c>
      <c r="J2925" s="493" t="str">
        <f t="shared" ca="1" si="218"/>
        <v/>
      </c>
      <c r="K2925" s="493" t="str">
        <f t="shared" ca="1" si="219"/>
        <v/>
      </c>
      <c r="L2925" s="487"/>
      <c r="M2925" s="487"/>
      <c r="N2925" s="487"/>
      <c r="O2925" s="487"/>
      <c r="P2925" s="487">
        <f t="shared" si="214"/>
        <v>0</v>
      </c>
      <c r="Q2925" s="487"/>
    </row>
    <row r="2926" spans="1:17" x14ac:dyDescent="0.3">
      <c r="A2926" s="487" t="b">
        <f t="shared" ca="1" si="215"/>
        <v>0</v>
      </c>
      <c r="B2926" s="500" t="str">
        <f ca="1">IF(COUNTA(G$2360:G2925)=1,"",OFFSET(B2926,-COUNTA(G$2360:G2925)+1,0))</f>
        <v>a1b3p000003dxgSAAQ</v>
      </c>
      <c r="C2926" s="502">
        <f ca="1">IF(COUNTA(G$2360:G2925)=1,"",OFFSET(C2926,-COUNTA(G$2360:G2925)+1,0))</f>
        <v>14</v>
      </c>
      <c r="D2926" s="487">
        <f t="shared" si="211"/>
        <v>84</v>
      </c>
      <c r="E2926" s="487">
        <f t="shared" ca="1" si="212"/>
        <v>6</v>
      </c>
      <c r="F2926" s="487">
        <f t="shared" ca="1" si="213"/>
        <v>22</v>
      </c>
      <c r="G2926" s="487"/>
      <c r="H2926" s="493" t="str">
        <f t="shared" ca="1" si="216"/>
        <v/>
      </c>
      <c r="I2926" s="493" t="str">
        <f t="shared" ca="1" si="217"/>
        <v/>
      </c>
      <c r="J2926" s="493" t="str">
        <f t="shared" ca="1" si="218"/>
        <v/>
      </c>
      <c r="K2926" s="493" t="str">
        <f t="shared" ca="1" si="219"/>
        <v/>
      </c>
      <c r="L2926" s="487"/>
      <c r="M2926" s="487"/>
      <c r="N2926" s="487"/>
      <c r="O2926" s="487"/>
      <c r="P2926" s="487">
        <f t="shared" si="214"/>
        <v>0</v>
      </c>
      <c r="Q2926" s="487"/>
    </row>
    <row r="2927" spans="1:17" x14ac:dyDescent="0.3">
      <c r="A2927" s="487" t="b">
        <f t="shared" ca="1" si="215"/>
        <v>0</v>
      </c>
      <c r="B2927" s="500" t="str">
        <f ca="1">IF(COUNTA(G$2360:G2926)=1,"",OFFSET(B2927,-COUNTA(G$2360:G2926)+1,0))</f>
        <v>a1b3p000003dxa1AAA</v>
      </c>
      <c r="C2927" s="502">
        <f ca="1">IF(COUNTA(G$2360:G2926)=1,"",OFFSET(C2927,-COUNTA(G$2360:G2926)+1,0))</f>
        <v>15</v>
      </c>
      <c r="D2927" s="487">
        <f t="shared" si="211"/>
        <v>85</v>
      </c>
      <c r="E2927" s="487">
        <f t="shared" ca="1" si="212"/>
        <v>1</v>
      </c>
      <c r="F2927" s="487">
        <f t="shared" ca="1" si="213"/>
        <v>23</v>
      </c>
      <c r="G2927" s="487"/>
      <c r="H2927" s="493" t="str">
        <f t="shared" ca="1" si="216"/>
        <v/>
      </c>
      <c r="I2927" s="493" t="str">
        <f t="shared" ca="1" si="217"/>
        <v/>
      </c>
      <c r="J2927" s="493" t="str">
        <f t="shared" ca="1" si="218"/>
        <v/>
      </c>
      <c r="K2927" s="493" t="str">
        <f t="shared" ca="1" si="219"/>
        <v/>
      </c>
      <c r="L2927" s="487"/>
      <c r="M2927" s="487"/>
      <c r="N2927" s="487"/>
      <c r="O2927" s="487"/>
      <c r="P2927" s="487">
        <f t="shared" si="214"/>
        <v>0</v>
      </c>
      <c r="Q2927" s="487"/>
    </row>
    <row r="2928" spans="1:17" x14ac:dyDescent="0.3">
      <c r="A2928" s="487" t="b">
        <f t="shared" ca="1" si="215"/>
        <v>0</v>
      </c>
      <c r="B2928" s="500" t="str">
        <f ca="1">IF(COUNTA(G$2360:G2927)=1,"",OFFSET(B2928,-COUNTA(G$2360:G2927)+1,0))</f>
        <v>a1b3p000003dxbJAAQ</v>
      </c>
      <c r="C2928" s="502">
        <f ca="1">IF(COUNTA(G$2360:G2927)=1,"",OFFSET(C2928,-COUNTA(G$2360:G2927)+1,0))</f>
        <v>15</v>
      </c>
      <c r="D2928" s="487">
        <f t="shared" si="211"/>
        <v>86</v>
      </c>
      <c r="E2928" s="487">
        <f t="shared" ca="1" si="212"/>
        <v>2</v>
      </c>
      <c r="F2928" s="487">
        <f t="shared" ca="1" si="213"/>
        <v>23</v>
      </c>
      <c r="G2928" s="487"/>
      <c r="H2928" s="493" t="str">
        <f t="shared" ca="1" si="216"/>
        <v/>
      </c>
      <c r="I2928" s="493" t="str">
        <f t="shared" ca="1" si="217"/>
        <v/>
      </c>
      <c r="J2928" s="493" t="str">
        <f t="shared" ca="1" si="218"/>
        <v/>
      </c>
      <c r="K2928" s="493" t="str">
        <f t="shared" ca="1" si="219"/>
        <v/>
      </c>
      <c r="L2928" s="487"/>
      <c r="M2928" s="487"/>
      <c r="N2928" s="487"/>
      <c r="O2928" s="487"/>
      <c r="P2928" s="487">
        <f t="shared" si="214"/>
        <v>0</v>
      </c>
      <c r="Q2928" s="487"/>
    </row>
    <row r="2929" spans="1:17" x14ac:dyDescent="0.3">
      <c r="A2929" s="487" t="b">
        <f t="shared" ca="1" si="215"/>
        <v>0</v>
      </c>
      <c r="B2929" s="500" t="str">
        <f ca="1">IF(COUNTA(G$2360:G2928)=1,"",OFFSET(B2929,-COUNTA(G$2360:G2928)+1,0))</f>
        <v>a1b3p000003dxcbAAA</v>
      </c>
      <c r="C2929" s="502">
        <f ca="1">IF(COUNTA(G$2360:G2928)=1,"",OFFSET(C2929,-COUNTA(G$2360:G2928)+1,0))</f>
        <v>15</v>
      </c>
      <c r="D2929" s="487">
        <f t="shared" si="211"/>
        <v>87</v>
      </c>
      <c r="E2929" s="487">
        <f t="shared" ca="1" si="212"/>
        <v>3</v>
      </c>
      <c r="F2929" s="487">
        <f t="shared" ca="1" si="213"/>
        <v>23</v>
      </c>
      <c r="G2929" s="487"/>
      <c r="H2929" s="493" t="str">
        <f t="shared" ca="1" si="216"/>
        <v/>
      </c>
      <c r="I2929" s="493" t="str">
        <f t="shared" ca="1" si="217"/>
        <v/>
      </c>
      <c r="J2929" s="493" t="str">
        <f t="shared" ca="1" si="218"/>
        <v/>
      </c>
      <c r="K2929" s="493" t="str">
        <f t="shared" ca="1" si="219"/>
        <v/>
      </c>
      <c r="L2929" s="487"/>
      <c r="M2929" s="487"/>
      <c r="N2929" s="487"/>
      <c r="O2929" s="487"/>
      <c r="P2929" s="487">
        <f t="shared" si="214"/>
        <v>0</v>
      </c>
      <c r="Q2929" s="487"/>
    </row>
    <row r="2930" spans="1:17" x14ac:dyDescent="0.3">
      <c r="A2930" s="487" t="b">
        <f t="shared" ca="1" si="215"/>
        <v>0</v>
      </c>
      <c r="B2930" s="500" t="str">
        <f ca="1">IF(COUNTA(G$2360:G2929)=1,"",OFFSET(B2930,-COUNTA(G$2360:G2929)+1,0))</f>
        <v>a1b3p000003dxdtAAA</v>
      </c>
      <c r="C2930" s="502">
        <f ca="1">IF(COUNTA(G$2360:G2929)=1,"",OFFSET(C2930,-COUNTA(G$2360:G2929)+1,0))</f>
        <v>15</v>
      </c>
      <c r="D2930" s="487">
        <f t="shared" si="211"/>
        <v>88</v>
      </c>
      <c r="E2930" s="487">
        <f t="shared" ca="1" si="212"/>
        <v>4</v>
      </c>
      <c r="F2930" s="487">
        <f t="shared" ca="1" si="213"/>
        <v>23</v>
      </c>
      <c r="G2930" s="487"/>
      <c r="H2930" s="493" t="str">
        <f t="shared" ca="1" si="216"/>
        <v/>
      </c>
      <c r="I2930" s="493" t="str">
        <f t="shared" ca="1" si="217"/>
        <v/>
      </c>
      <c r="J2930" s="493" t="str">
        <f t="shared" ca="1" si="218"/>
        <v/>
      </c>
      <c r="K2930" s="493" t="str">
        <f t="shared" ca="1" si="219"/>
        <v/>
      </c>
      <c r="L2930" s="487"/>
      <c r="M2930" s="487"/>
      <c r="N2930" s="487"/>
      <c r="O2930" s="487"/>
      <c r="P2930" s="487">
        <f t="shared" si="214"/>
        <v>0</v>
      </c>
      <c r="Q2930" s="487"/>
    </row>
    <row r="2931" spans="1:17" x14ac:dyDescent="0.3">
      <c r="A2931" s="487" t="b">
        <f t="shared" ca="1" si="215"/>
        <v>0</v>
      </c>
      <c r="B2931" s="500" t="str">
        <f ca="1">IF(COUNTA(G$2360:G2930)=1,"",OFFSET(B2931,-COUNTA(G$2360:G2930)+1,0))</f>
        <v>a1b3p000003dxfBAAQ</v>
      </c>
      <c r="C2931" s="502">
        <f ca="1">IF(COUNTA(G$2360:G2930)=1,"",OFFSET(C2931,-COUNTA(G$2360:G2930)+1,0))</f>
        <v>15</v>
      </c>
      <c r="D2931" s="487">
        <f t="shared" si="211"/>
        <v>89</v>
      </c>
      <c r="E2931" s="487">
        <f t="shared" ca="1" si="212"/>
        <v>5</v>
      </c>
      <c r="F2931" s="487">
        <f t="shared" ca="1" si="213"/>
        <v>23</v>
      </c>
      <c r="G2931" s="487"/>
      <c r="H2931" s="493" t="str">
        <f t="shared" ca="1" si="216"/>
        <v/>
      </c>
      <c r="I2931" s="493" t="str">
        <f t="shared" ca="1" si="217"/>
        <v/>
      </c>
      <c r="J2931" s="493" t="str">
        <f t="shared" ca="1" si="218"/>
        <v/>
      </c>
      <c r="K2931" s="493" t="str">
        <f t="shared" ca="1" si="219"/>
        <v/>
      </c>
      <c r="L2931" s="487"/>
      <c r="M2931" s="487"/>
      <c r="N2931" s="487"/>
      <c r="O2931" s="487"/>
      <c r="P2931" s="487">
        <f t="shared" si="214"/>
        <v>0</v>
      </c>
      <c r="Q2931" s="487"/>
    </row>
    <row r="2932" spans="1:17" x14ac:dyDescent="0.3">
      <c r="A2932" s="487" t="b">
        <f t="shared" ca="1" si="215"/>
        <v>0</v>
      </c>
      <c r="B2932" s="500" t="str">
        <f ca="1">IF(COUNTA(G$2360:G2931)=1,"",OFFSET(B2932,-COUNTA(G$2360:G2931)+1,0))</f>
        <v>a1b3p000003dxgTAAQ</v>
      </c>
      <c r="C2932" s="502">
        <f ca="1">IF(COUNTA(G$2360:G2931)=1,"",OFFSET(C2932,-COUNTA(G$2360:G2931)+1,0))</f>
        <v>15</v>
      </c>
      <c r="D2932" s="487">
        <f t="shared" si="211"/>
        <v>90</v>
      </c>
      <c r="E2932" s="487">
        <f t="shared" ca="1" si="212"/>
        <v>6</v>
      </c>
      <c r="F2932" s="487">
        <f t="shared" ca="1" si="213"/>
        <v>23</v>
      </c>
      <c r="G2932" s="487"/>
      <c r="H2932" s="493" t="str">
        <f t="shared" ca="1" si="216"/>
        <v/>
      </c>
      <c r="I2932" s="493" t="str">
        <f t="shared" ca="1" si="217"/>
        <v/>
      </c>
      <c r="J2932" s="493" t="str">
        <f t="shared" ca="1" si="218"/>
        <v/>
      </c>
      <c r="K2932" s="493" t="str">
        <f t="shared" ca="1" si="219"/>
        <v/>
      </c>
      <c r="L2932" s="487"/>
      <c r="M2932" s="487"/>
      <c r="N2932" s="487"/>
      <c r="O2932" s="487"/>
      <c r="P2932" s="487">
        <f t="shared" si="214"/>
        <v>0</v>
      </c>
      <c r="Q2932" s="487"/>
    </row>
    <row r="2933" spans="1:17" x14ac:dyDescent="0.3">
      <c r="A2933" s="487" t="b">
        <f t="shared" ca="1" si="215"/>
        <v>0</v>
      </c>
      <c r="B2933" s="500" t="str">
        <f ca="1">IF(COUNTA(G$2360:G2932)=1,"",OFFSET(B2933,-COUNTA(G$2360:G2932)+1,0))</f>
        <v>a1b3p000003dxa2AAA</v>
      </c>
      <c r="C2933" s="502">
        <f ca="1">IF(COUNTA(G$2360:G2932)=1,"",OFFSET(C2933,-COUNTA(G$2360:G2932)+1,0))</f>
        <v>16</v>
      </c>
      <c r="D2933" s="487">
        <f t="shared" si="211"/>
        <v>91</v>
      </c>
      <c r="E2933" s="487">
        <f t="shared" ca="1" si="212"/>
        <v>1</v>
      </c>
      <c r="F2933" s="487">
        <f t="shared" ca="1" si="213"/>
        <v>24</v>
      </c>
      <c r="G2933" s="487"/>
      <c r="H2933" s="493" t="str">
        <f t="shared" ca="1" si="216"/>
        <v/>
      </c>
      <c r="I2933" s="493" t="str">
        <f t="shared" ca="1" si="217"/>
        <v/>
      </c>
      <c r="J2933" s="493" t="str">
        <f t="shared" ca="1" si="218"/>
        <v/>
      </c>
      <c r="K2933" s="493" t="str">
        <f t="shared" ca="1" si="219"/>
        <v/>
      </c>
      <c r="L2933" s="487"/>
      <c r="M2933" s="487"/>
      <c r="N2933" s="487"/>
      <c r="O2933" s="487"/>
      <c r="P2933" s="487">
        <f t="shared" si="214"/>
        <v>0</v>
      </c>
      <c r="Q2933" s="487"/>
    </row>
    <row r="2934" spans="1:17" x14ac:dyDescent="0.3">
      <c r="A2934" s="487" t="b">
        <f t="shared" ca="1" si="215"/>
        <v>0</v>
      </c>
      <c r="B2934" s="500" t="str">
        <f ca="1">IF(COUNTA(G$2360:G2933)=1,"",OFFSET(B2934,-COUNTA(G$2360:G2933)+1,0))</f>
        <v>a1b3p000003dxbKAAQ</v>
      </c>
      <c r="C2934" s="502">
        <f ca="1">IF(COUNTA(G$2360:G2933)=1,"",OFFSET(C2934,-COUNTA(G$2360:G2933)+1,0))</f>
        <v>16</v>
      </c>
      <c r="D2934" s="487">
        <f t="shared" si="211"/>
        <v>92</v>
      </c>
      <c r="E2934" s="487">
        <f t="shared" ca="1" si="212"/>
        <v>2</v>
      </c>
      <c r="F2934" s="487">
        <f t="shared" ca="1" si="213"/>
        <v>24</v>
      </c>
      <c r="G2934" s="487"/>
      <c r="H2934" s="493" t="str">
        <f t="shared" ca="1" si="216"/>
        <v/>
      </c>
      <c r="I2934" s="493" t="str">
        <f t="shared" ca="1" si="217"/>
        <v/>
      </c>
      <c r="J2934" s="493" t="str">
        <f t="shared" ca="1" si="218"/>
        <v/>
      </c>
      <c r="K2934" s="493" t="str">
        <f t="shared" ca="1" si="219"/>
        <v/>
      </c>
      <c r="L2934" s="487"/>
      <c r="M2934" s="487"/>
      <c r="N2934" s="487"/>
      <c r="O2934" s="487"/>
      <c r="P2934" s="487">
        <f t="shared" si="214"/>
        <v>0</v>
      </c>
      <c r="Q2934" s="487"/>
    </row>
    <row r="2935" spans="1:17" x14ac:dyDescent="0.3">
      <c r="A2935" s="487" t="b">
        <f t="shared" ca="1" si="215"/>
        <v>0</v>
      </c>
      <c r="B2935" s="500" t="str">
        <f ca="1">IF(COUNTA(G$2360:G2934)=1,"",OFFSET(B2935,-COUNTA(G$2360:G2934)+1,0))</f>
        <v>a1b3p000003dxccAAA</v>
      </c>
      <c r="C2935" s="502">
        <f ca="1">IF(COUNTA(G$2360:G2934)=1,"",OFFSET(C2935,-COUNTA(G$2360:G2934)+1,0))</f>
        <v>16</v>
      </c>
      <c r="D2935" s="487">
        <f t="shared" si="211"/>
        <v>93</v>
      </c>
      <c r="E2935" s="487">
        <f t="shared" ca="1" si="212"/>
        <v>3</v>
      </c>
      <c r="F2935" s="487">
        <f t="shared" ca="1" si="213"/>
        <v>24</v>
      </c>
      <c r="G2935" s="487"/>
      <c r="H2935" s="493" t="str">
        <f t="shared" ca="1" si="216"/>
        <v/>
      </c>
      <c r="I2935" s="493" t="str">
        <f t="shared" ca="1" si="217"/>
        <v/>
      </c>
      <c r="J2935" s="493" t="str">
        <f t="shared" ca="1" si="218"/>
        <v/>
      </c>
      <c r="K2935" s="493" t="str">
        <f t="shared" ca="1" si="219"/>
        <v/>
      </c>
      <c r="L2935" s="487"/>
      <c r="M2935" s="487"/>
      <c r="N2935" s="487"/>
      <c r="O2935" s="487"/>
      <c r="P2935" s="487">
        <f t="shared" si="214"/>
        <v>0</v>
      </c>
      <c r="Q2935" s="487"/>
    </row>
    <row r="2936" spans="1:17" x14ac:dyDescent="0.3">
      <c r="A2936" s="487" t="b">
        <f t="shared" ca="1" si="215"/>
        <v>0</v>
      </c>
      <c r="B2936" s="500" t="str">
        <f ca="1">IF(COUNTA(G$2360:G2935)=1,"",OFFSET(B2936,-COUNTA(G$2360:G2935)+1,0))</f>
        <v>a1b3p000003dxduAAA</v>
      </c>
      <c r="C2936" s="502">
        <f ca="1">IF(COUNTA(G$2360:G2935)=1,"",OFFSET(C2936,-COUNTA(G$2360:G2935)+1,0))</f>
        <v>16</v>
      </c>
      <c r="D2936" s="487">
        <f t="shared" si="211"/>
        <v>94</v>
      </c>
      <c r="E2936" s="487">
        <f t="shared" ca="1" si="212"/>
        <v>4</v>
      </c>
      <c r="F2936" s="487">
        <f t="shared" ca="1" si="213"/>
        <v>24</v>
      </c>
      <c r="G2936" s="487"/>
      <c r="H2936" s="493" t="str">
        <f t="shared" ca="1" si="216"/>
        <v/>
      </c>
      <c r="I2936" s="493" t="str">
        <f t="shared" ca="1" si="217"/>
        <v/>
      </c>
      <c r="J2936" s="493" t="str">
        <f t="shared" ca="1" si="218"/>
        <v/>
      </c>
      <c r="K2936" s="493" t="str">
        <f t="shared" ca="1" si="219"/>
        <v/>
      </c>
      <c r="L2936" s="487"/>
      <c r="M2936" s="487"/>
      <c r="N2936" s="487"/>
      <c r="O2936" s="487"/>
      <c r="P2936" s="487">
        <f t="shared" si="214"/>
        <v>0</v>
      </c>
      <c r="Q2936" s="487"/>
    </row>
    <row r="2937" spans="1:17" x14ac:dyDescent="0.3">
      <c r="A2937" s="487" t="b">
        <f t="shared" ca="1" si="215"/>
        <v>0</v>
      </c>
      <c r="B2937" s="500" t="str">
        <f ca="1">IF(COUNTA(G$2360:G2936)=1,"",OFFSET(B2937,-COUNTA(G$2360:G2936)+1,0))</f>
        <v>a1b3p000003dxfCAAQ</v>
      </c>
      <c r="C2937" s="502">
        <f ca="1">IF(COUNTA(G$2360:G2936)=1,"",OFFSET(C2937,-COUNTA(G$2360:G2936)+1,0))</f>
        <v>16</v>
      </c>
      <c r="D2937" s="487">
        <f t="shared" si="211"/>
        <v>95</v>
      </c>
      <c r="E2937" s="487">
        <f t="shared" ca="1" si="212"/>
        <v>5</v>
      </c>
      <c r="F2937" s="487">
        <f t="shared" ca="1" si="213"/>
        <v>24</v>
      </c>
      <c r="G2937" s="487"/>
      <c r="H2937" s="493" t="str">
        <f t="shared" ca="1" si="216"/>
        <v/>
      </c>
      <c r="I2937" s="493" t="str">
        <f t="shared" ca="1" si="217"/>
        <v/>
      </c>
      <c r="J2937" s="493" t="str">
        <f t="shared" ca="1" si="218"/>
        <v/>
      </c>
      <c r="K2937" s="493" t="str">
        <f t="shared" ca="1" si="219"/>
        <v/>
      </c>
      <c r="L2937" s="487"/>
      <c r="M2937" s="487"/>
      <c r="N2937" s="487"/>
      <c r="O2937" s="487"/>
      <c r="P2937" s="487">
        <f t="shared" si="214"/>
        <v>0</v>
      </c>
      <c r="Q2937" s="487"/>
    </row>
    <row r="2938" spans="1:17" x14ac:dyDescent="0.3">
      <c r="A2938" s="487" t="b">
        <f t="shared" ca="1" si="215"/>
        <v>0</v>
      </c>
      <c r="B2938" s="500" t="str">
        <f ca="1">IF(COUNTA(G$2360:G2937)=1,"",OFFSET(B2938,-COUNTA(G$2360:G2937)+1,0))</f>
        <v>a1b3p000003dxgUAAQ</v>
      </c>
      <c r="C2938" s="502">
        <f ca="1">IF(COUNTA(G$2360:G2937)=1,"",OFFSET(C2938,-COUNTA(G$2360:G2937)+1,0))</f>
        <v>16</v>
      </c>
      <c r="D2938" s="487">
        <f t="shared" si="211"/>
        <v>96</v>
      </c>
      <c r="E2938" s="487">
        <f t="shared" ca="1" si="212"/>
        <v>6</v>
      </c>
      <c r="F2938" s="487">
        <f t="shared" ca="1" si="213"/>
        <v>24</v>
      </c>
      <c r="G2938" s="487"/>
      <c r="H2938" s="493" t="str">
        <f t="shared" ca="1" si="216"/>
        <v/>
      </c>
      <c r="I2938" s="493" t="str">
        <f t="shared" ca="1" si="217"/>
        <v/>
      </c>
      <c r="J2938" s="493" t="str">
        <f t="shared" ca="1" si="218"/>
        <v/>
      </c>
      <c r="K2938" s="493" t="str">
        <f t="shared" ca="1" si="219"/>
        <v/>
      </c>
      <c r="L2938" s="487"/>
      <c r="M2938" s="487"/>
      <c r="N2938" s="487"/>
      <c r="O2938" s="487"/>
      <c r="P2938" s="487">
        <f t="shared" si="214"/>
        <v>0</v>
      </c>
      <c r="Q2938" s="487"/>
    </row>
    <row r="2939" spans="1:17" x14ac:dyDescent="0.3">
      <c r="A2939" s="487" t="b">
        <f t="shared" ca="1" si="215"/>
        <v>0</v>
      </c>
      <c r="B2939" s="500" t="str">
        <f ca="1">IF(COUNTA(G$2360:G2938)=1,"",OFFSET(B2939,-COUNTA(G$2360:G2938)+1,0))</f>
        <v>a1b3p000003dxa3AAA</v>
      </c>
      <c r="C2939" s="502">
        <f ca="1">IF(COUNTA(G$2360:G2938)=1,"",OFFSET(C2939,-COUNTA(G$2360:G2938)+1,0))</f>
        <v>17</v>
      </c>
      <c r="D2939" s="487">
        <f t="shared" ref="D2939:D3002" si="220">D2938+1</f>
        <v>97</v>
      </c>
      <c r="E2939" s="487">
        <f t="shared" ref="E2939:E3002" ca="1" si="221">COUNTIF(C2934:C2939,C2939)</f>
        <v>1</v>
      </c>
      <c r="F2939" s="487">
        <f t="shared" ref="F2939:F3002" ca="1" si="222">IF(C2939=1,9,IF(E2938=MAX(E2937:E2939),F2937+1,F2938))</f>
        <v>25</v>
      </c>
      <c r="G2939" s="487"/>
      <c r="H2939" s="493" t="str">
        <f t="shared" ca="1" si="216"/>
        <v/>
      </c>
      <c r="I2939" s="493" t="str">
        <f t="shared" ca="1" si="217"/>
        <v/>
      </c>
      <c r="J2939" s="493" t="str">
        <f t="shared" ca="1" si="218"/>
        <v/>
      </c>
      <c r="K2939" s="493" t="str">
        <f t="shared" ca="1" si="219"/>
        <v/>
      </c>
      <c r="L2939" s="487"/>
      <c r="M2939" s="487"/>
      <c r="N2939" s="487"/>
      <c r="O2939" s="487"/>
      <c r="P2939" s="487">
        <f t="shared" ref="P2939:P3002" si="223">IF(NOT(_xlfn.ISFORMULA(I2939)),P2938+1,0)</f>
        <v>0</v>
      </c>
      <c r="Q2939" s="487"/>
    </row>
    <row r="2940" spans="1:17" x14ac:dyDescent="0.3">
      <c r="A2940" s="487" t="b">
        <f t="shared" ca="1" si="215"/>
        <v>0</v>
      </c>
      <c r="B2940" s="500" t="str">
        <f ca="1">IF(COUNTA(G$2360:G2939)=1,"",OFFSET(B2940,-COUNTA(G$2360:G2939)+1,0))</f>
        <v>a1b3p000003dxbLAAQ</v>
      </c>
      <c r="C2940" s="502">
        <f ca="1">IF(COUNTA(G$2360:G2939)=1,"",OFFSET(C2940,-COUNTA(G$2360:G2939)+1,0))</f>
        <v>17</v>
      </c>
      <c r="D2940" s="487">
        <f t="shared" si="220"/>
        <v>98</v>
      </c>
      <c r="E2940" s="487">
        <f t="shared" ca="1" si="221"/>
        <v>2</v>
      </c>
      <c r="F2940" s="487">
        <f t="shared" ca="1" si="222"/>
        <v>25</v>
      </c>
      <c r="G2940" s="487"/>
      <c r="H2940" s="493" t="str">
        <f t="shared" ca="1" si="216"/>
        <v/>
      </c>
      <c r="I2940" s="493" t="str">
        <f t="shared" ca="1" si="217"/>
        <v/>
      </c>
      <c r="J2940" s="493" t="str">
        <f t="shared" ca="1" si="218"/>
        <v/>
      </c>
      <c r="K2940" s="493" t="str">
        <f t="shared" ca="1" si="219"/>
        <v/>
      </c>
      <c r="L2940" s="487"/>
      <c r="M2940" s="487"/>
      <c r="N2940" s="487"/>
      <c r="O2940" s="487"/>
      <c r="P2940" s="487">
        <f t="shared" si="223"/>
        <v>0</v>
      </c>
      <c r="Q2940" s="487"/>
    </row>
    <row r="2941" spans="1:17" x14ac:dyDescent="0.3">
      <c r="A2941" s="487" t="b">
        <f t="shared" ca="1" si="215"/>
        <v>0</v>
      </c>
      <c r="B2941" s="500" t="str">
        <f ca="1">IF(COUNTA(G$2360:G2940)=1,"",OFFSET(B2941,-COUNTA(G$2360:G2940)+1,0))</f>
        <v>a1b3p000003dxcdAAA</v>
      </c>
      <c r="C2941" s="502">
        <f ca="1">IF(COUNTA(G$2360:G2940)=1,"",OFFSET(C2941,-COUNTA(G$2360:G2940)+1,0))</f>
        <v>17</v>
      </c>
      <c r="D2941" s="487">
        <f t="shared" si="220"/>
        <v>99</v>
      </c>
      <c r="E2941" s="487">
        <f t="shared" ca="1" si="221"/>
        <v>3</v>
      </c>
      <c r="F2941" s="487">
        <f t="shared" ca="1" si="222"/>
        <v>25</v>
      </c>
      <c r="G2941" s="487"/>
      <c r="H2941" s="493" t="str">
        <f t="shared" ca="1" si="216"/>
        <v/>
      </c>
      <c r="I2941" s="493" t="str">
        <f t="shared" ca="1" si="217"/>
        <v/>
      </c>
      <c r="J2941" s="493" t="str">
        <f t="shared" ca="1" si="218"/>
        <v/>
      </c>
      <c r="K2941" s="493" t="str">
        <f t="shared" ca="1" si="219"/>
        <v/>
      </c>
      <c r="L2941" s="487"/>
      <c r="M2941" s="487"/>
      <c r="N2941" s="487"/>
      <c r="O2941" s="487"/>
      <c r="P2941" s="487">
        <f t="shared" si="223"/>
        <v>0</v>
      </c>
      <c r="Q2941" s="487"/>
    </row>
    <row r="2942" spans="1:17" x14ac:dyDescent="0.3">
      <c r="A2942" s="487" t="b">
        <f t="shared" ca="1" si="215"/>
        <v>0</v>
      </c>
      <c r="B2942" s="500" t="str">
        <f ca="1">IF(COUNTA(G$2360:G2941)=1,"",OFFSET(B2942,-COUNTA(G$2360:G2941)+1,0))</f>
        <v>a1b3p000003dxdvAAA</v>
      </c>
      <c r="C2942" s="502">
        <f ca="1">IF(COUNTA(G$2360:G2941)=1,"",OFFSET(C2942,-COUNTA(G$2360:G2941)+1,0))</f>
        <v>17</v>
      </c>
      <c r="D2942" s="487">
        <f t="shared" si="220"/>
        <v>100</v>
      </c>
      <c r="E2942" s="487">
        <f t="shared" ca="1" si="221"/>
        <v>4</v>
      </c>
      <c r="F2942" s="487">
        <f t="shared" ca="1" si="222"/>
        <v>25</v>
      </c>
      <c r="G2942" s="487"/>
      <c r="H2942" s="493" t="str">
        <f t="shared" ca="1" si="216"/>
        <v/>
      </c>
      <c r="I2942" s="493" t="str">
        <f t="shared" ca="1" si="217"/>
        <v/>
      </c>
      <c r="J2942" s="493" t="str">
        <f t="shared" ca="1" si="218"/>
        <v/>
      </c>
      <c r="K2942" s="493" t="str">
        <f t="shared" ca="1" si="219"/>
        <v/>
      </c>
      <c r="L2942" s="487"/>
      <c r="M2942" s="487"/>
      <c r="N2942" s="487"/>
      <c r="O2942" s="487"/>
      <c r="P2942" s="487">
        <f t="shared" si="223"/>
        <v>0</v>
      </c>
      <c r="Q2942" s="487"/>
    </row>
    <row r="2943" spans="1:17" x14ac:dyDescent="0.3">
      <c r="A2943" s="487" t="b">
        <f t="shared" ca="1" si="215"/>
        <v>0</v>
      </c>
      <c r="B2943" s="500" t="str">
        <f ca="1">IF(COUNTA(G$2360:G2942)=1,"",OFFSET(B2943,-COUNTA(G$2360:G2942)+1,0))</f>
        <v>a1b3p000003dxfDAAQ</v>
      </c>
      <c r="C2943" s="502">
        <f ca="1">IF(COUNTA(G$2360:G2942)=1,"",OFFSET(C2943,-COUNTA(G$2360:G2942)+1,0))</f>
        <v>17</v>
      </c>
      <c r="D2943" s="487">
        <f t="shared" si="220"/>
        <v>101</v>
      </c>
      <c r="E2943" s="487">
        <f t="shared" ca="1" si="221"/>
        <v>5</v>
      </c>
      <c r="F2943" s="487">
        <f t="shared" ca="1" si="222"/>
        <v>25</v>
      </c>
      <c r="G2943" s="487"/>
      <c r="H2943" s="493" t="str">
        <f t="shared" ca="1" si="216"/>
        <v/>
      </c>
      <c r="I2943" s="493" t="str">
        <f t="shared" ca="1" si="217"/>
        <v/>
      </c>
      <c r="J2943" s="493" t="str">
        <f t="shared" ca="1" si="218"/>
        <v/>
      </c>
      <c r="K2943" s="493" t="str">
        <f t="shared" ca="1" si="219"/>
        <v/>
      </c>
      <c r="L2943" s="487"/>
      <c r="M2943" s="487"/>
      <c r="N2943" s="487"/>
      <c r="O2943" s="487"/>
      <c r="P2943" s="487">
        <f t="shared" si="223"/>
        <v>0</v>
      </c>
      <c r="Q2943" s="487"/>
    </row>
    <row r="2944" spans="1:17" x14ac:dyDescent="0.3">
      <c r="A2944" s="487" t="b">
        <f t="shared" ca="1" si="215"/>
        <v>0</v>
      </c>
      <c r="B2944" s="500" t="str">
        <f ca="1">IF(COUNTA(G$2360:G2943)=1,"",OFFSET(B2944,-COUNTA(G$2360:G2943)+1,0))</f>
        <v>a1b3p000003dxgVAAQ</v>
      </c>
      <c r="C2944" s="502">
        <f ca="1">IF(COUNTA(G$2360:G2943)=1,"",OFFSET(C2944,-COUNTA(G$2360:G2943)+1,0))</f>
        <v>17</v>
      </c>
      <c r="D2944" s="487">
        <f t="shared" si="220"/>
        <v>102</v>
      </c>
      <c r="E2944" s="487">
        <f t="shared" ca="1" si="221"/>
        <v>6</v>
      </c>
      <c r="F2944" s="487">
        <f t="shared" ca="1" si="222"/>
        <v>25</v>
      </c>
      <c r="G2944" s="487"/>
      <c r="H2944" s="493" t="str">
        <f t="shared" ca="1" si="216"/>
        <v/>
      </c>
      <c r="I2944" s="493" t="str">
        <f t="shared" ca="1" si="217"/>
        <v/>
      </c>
      <c r="J2944" s="493" t="str">
        <f t="shared" ca="1" si="218"/>
        <v/>
      </c>
      <c r="K2944" s="493" t="str">
        <f t="shared" ca="1" si="219"/>
        <v/>
      </c>
      <c r="L2944" s="487"/>
      <c r="M2944" s="487"/>
      <c r="N2944" s="487"/>
      <c r="O2944" s="487"/>
      <c r="P2944" s="487">
        <f t="shared" si="223"/>
        <v>0</v>
      </c>
      <c r="Q2944" s="487"/>
    </row>
    <row r="2945" spans="1:17" x14ac:dyDescent="0.3">
      <c r="A2945" s="487" t="b">
        <f t="shared" ca="1" si="215"/>
        <v>0</v>
      </c>
      <c r="B2945" s="500" t="str">
        <f ca="1">IF(COUNTA(G$2360:G2944)=1,"",OFFSET(B2945,-COUNTA(G$2360:G2944)+1,0))</f>
        <v>a1b3p000003dxa4AAA</v>
      </c>
      <c r="C2945" s="502">
        <f ca="1">IF(COUNTA(G$2360:G2944)=1,"",OFFSET(C2945,-COUNTA(G$2360:G2944)+1,0))</f>
        <v>18</v>
      </c>
      <c r="D2945" s="487">
        <f t="shared" si="220"/>
        <v>103</v>
      </c>
      <c r="E2945" s="487">
        <f t="shared" ca="1" si="221"/>
        <v>1</v>
      </c>
      <c r="F2945" s="487">
        <f t="shared" ca="1" si="222"/>
        <v>26</v>
      </c>
      <c r="G2945" s="487"/>
      <c r="H2945" s="493" t="str">
        <f t="shared" ca="1" si="216"/>
        <v/>
      </c>
      <c r="I2945" s="493" t="str">
        <f t="shared" ca="1" si="217"/>
        <v/>
      </c>
      <c r="J2945" s="493" t="str">
        <f t="shared" ca="1" si="218"/>
        <v/>
      </c>
      <c r="K2945" s="493" t="str">
        <f t="shared" ca="1" si="219"/>
        <v/>
      </c>
      <c r="L2945" s="487"/>
      <c r="M2945" s="487"/>
      <c r="N2945" s="487"/>
      <c r="O2945" s="487"/>
      <c r="P2945" s="487">
        <f t="shared" si="223"/>
        <v>0</v>
      </c>
      <c r="Q2945" s="487"/>
    </row>
    <row r="2946" spans="1:17" x14ac:dyDescent="0.3">
      <c r="A2946" s="487" t="b">
        <f t="shared" ca="1" si="215"/>
        <v>0</v>
      </c>
      <c r="B2946" s="500" t="str">
        <f ca="1">IF(COUNTA(G$2360:G2945)=1,"",OFFSET(B2946,-COUNTA(G$2360:G2945)+1,0))</f>
        <v>a1b3p000003dxbMAAQ</v>
      </c>
      <c r="C2946" s="502">
        <f ca="1">IF(COUNTA(G$2360:G2945)=1,"",OFFSET(C2946,-COUNTA(G$2360:G2945)+1,0))</f>
        <v>18</v>
      </c>
      <c r="D2946" s="487">
        <f t="shared" si="220"/>
        <v>104</v>
      </c>
      <c r="E2946" s="487">
        <f t="shared" ca="1" si="221"/>
        <v>2</v>
      </c>
      <c r="F2946" s="487">
        <f t="shared" ca="1" si="222"/>
        <v>26</v>
      </c>
      <c r="G2946" s="487"/>
      <c r="H2946" s="493" t="str">
        <f t="shared" ca="1" si="216"/>
        <v/>
      </c>
      <c r="I2946" s="493" t="str">
        <f t="shared" ca="1" si="217"/>
        <v/>
      </c>
      <c r="J2946" s="493" t="str">
        <f t="shared" ca="1" si="218"/>
        <v/>
      </c>
      <c r="K2946" s="493" t="str">
        <f t="shared" ca="1" si="219"/>
        <v/>
      </c>
      <c r="L2946" s="487"/>
      <c r="M2946" s="487"/>
      <c r="N2946" s="487"/>
      <c r="O2946" s="487"/>
      <c r="P2946" s="487">
        <f t="shared" si="223"/>
        <v>0</v>
      </c>
      <c r="Q2946" s="487"/>
    </row>
    <row r="2947" spans="1:17" x14ac:dyDescent="0.3">
      <c r="A2947" s="487" t="b">
        <f t="shared" ca="1" si="215"/>
        <v>0</v>
      </c>
      <c r="B2947" s="500" t="str">
        <f ca="1">IF(COUNTA(G$2360:G2946)=1,"",OFFSET(B2947,-COUNTA(G$2360:G2946)+1,0))</f>
        <v>a1b3p000003dxceAAA</v>
      </c>
      <c r="C2947" s="502">
        <f ca="1">IF(COUNTA(G$2360:G2946)=1,"",OFFSET(C2947,-COUNTA(G$2360:G2946)+1,0))</f>
        <v>18</v>
      </c>
      <c r="D2947" s="487">
        <f t="shared" si="220"/>
        <v>105</v>
      </c>
      <c r="E2947" s="487">
        <f t="shared" ca="1" si="221"/>
        <v>3</v>
      </c>
      <c r="F2947" s="487">
        <f t="shared" ca="1" si="222"/>
        <v>26</v>
      </c>
      <c r="G2947" s="487"/>
      <c r="H2947" s="493" t="str">
        <f t="shared" ca="1" si="216"/>
        <v/>
      </c>
      <c r="I2947" s="493" t="str">
        <f t="shared" ca="1" si="217"/>
        <v/>
      </c>
      <c r="J2947" s="493" t="str">
        <f t="shared" ca="1" si="218"/>
        <v/>
      </c>
      <c r="K2947" s="493" t="str">
        <f t="shared" ca="1" si="219"/>
        <v/>
      </c>
      <c r="L2947" s="487"/>
      <c r="M2947" s="487"/>
      <c r="N2947" s="487"/>
      <c r="O2947" s="487"/>
      <c r="P2947" s="487">
        <f t="shared" si="223"/>
        <v>0</v>
      </c>
      <c r="Q2947" s="487"/>
    </row>
    <row r="2948" spans="1:17" x14ac:dyDescent="0.3">
      <c r="A2948" s="487" t="b">
        <f t="shared" ca="1" si="215"/>
        <v>0</v>
      </c>
      <c r="B2948" s="500" t="str">
        <f ca="1">IF(COUNTA(G$2360:G2947)=1,"",OFFSET(B2948,-COUNTA(G$2360:G2947)+1,0))</f>
        <v>a1b3p000003dxdwAAA</v>
      </c>
      <c r="C2948" s="502">
        <f ca="1">IF(COUNTA(G$2360:G2947)=1,"",OFFSET(C2948,-COUNTA(G$2360:G2947)+1,0))</f>
        <v>18</v>
      </c>
      <c r="D2948" s="487">
        <f t="shared" si="220"/>
        <v>106</v>
      </c>
      <c r="E2948" s="487">
        <f t="shared" ca="1" si="221"/>
        <v>4</v>
      </c>
      <c r="F2948" s="487">
        <f t="shared" ca="1" si="222"/>
        <v>26</v>
      </c>
      <c r="G2948" s="487"/>
      <c r="H2948" s="493" t="str">
        <f t="shared" ca="1" si="216"/>
        <v/>
      </c>
      <c r="I2948" s="493" t="str">
        <f t="shared" ca="1" si="217"/>
        <v/>
      </c>
      <c r="J2948" s="493" t="str">
        <f t="shared" ca="1" si="218"/>
        <v/>
      </c>
      <c r="K2948" s="493" t="str">
        <f t="shared" ca="1" si="219"/>
        <v/>
      </c>
      <c r="L2948" s="487"/>
      <c r="M2948" s="487"/>
      <c r="N2948" s="487"/>
      <c r="O2948" s="487"/>
      <c r="P2948" s="487">
        <f t="shared" si="223"/>
        <v>0</v>
      </c>
      <c r="Q2948" s="487"/>
    </row>
    <row r="2949" spans="1:17" x14ac:dyDescent="0.3">
      <c r="A2949" s="487" t="b">
        <f t="shared" ca="1" si="215"/>
        <v>0</v>
      </c>
      <c r="B2949" s="500" t="str">
        <f ca="1">IF(COUNTA(G$2360:G2948)=1,"",OFFSET(B2949,-COUNTA(G$2360:G2948)+1,0))</f>
        <v>a1b3p000003dxfEAAQ</v>
      </c>
      <c r="C2949" s="502">
        <f ca="1">IF(COUNTA(G$2360:G2948)=1,"",OFFSET(C2949,-COUNTA(G$2360:G2948)+1,0))</f>
        <v>18</v>
      </c>
      <c r="D2949" s="487">
        <f t="shared" si="220"/>
        <v>107</v>
      </c>
      <c r="E2949" s="487">
        <f t="shared" ca="1" si="221"/>
        <v>5</v>
      </c>
      <c r="F2949" s="487">
        <f t="shared" ca="1" si="222"/>
        <v>26</v>
      </c>
      <c r="G2949" s="487"/>
      <c r="H2949" s="493" t="str">
        <f t="shared" ca="1" si="216"/>
        <v/>
      </c>
      <c r="I2949" s="493" t="str">
        <f t="shared" ca="1" si="217"/>
        <v/>
      </c>
      <c r="J2949" s="493" t="str">
        <f t="shared" ca="1" si="218"/>
        <v/>
      </c>
      <c r="K2949" s="493" t="str">
        <f t="shared" ca="1" si="219"/>
        <v/>
      </c>
      <c r="L2949" s="487"/>
      <c r="M2949" s="487"/>
      <c r="N2949" s="487"/>
      <c r="O2949" s="487"/>
      <c r="P2949" s="487">
        <f t="shared" si="223"/>
        <v>0</v>
      </c>
      <c r="Q2949" s="487"/>
    </row>
    <row r="2950" spans="1:17" x14ac:dyDescent="0.3">
      <c r="A2950" s="487" t="b">
        <f t="shared" ca="1" si="215"/>
        <v>0</v>
      </c>
      <c r="B2950" s="500" t="str">
        <f ca="1">IF(COUNTA(G$2360:G2949)=1,"",OFFSET(B2950,-COUNTA(G$2360:G2949)+1,0))</f>
        <v>a1b3p000003dxgWAAQ</v>
      </c>
      <c r="C2950" s="502">
        <f ca="1">IF(COUNTA(G$2360:G2949)=1,"",OFFSET(C2950,-COUNTA(G$2360:G2949)+1,0))</f>
        <v>18</v>
      </c>
      <c r="D2950" s="487">
        <f t="shared" si="220"/>
        <v>108</v>
      </c>
      <c r="E2950" s="487">
        <f t="shared" ca="1" si="221"/>
        <v>6</v>
      </c>
      <c r="F2950" s="487">
        <f t="shared" ca="1" si="222"/>
        <v>26</v>
      </c>
      <c r="G2950" s="487"/>
      <c r="H2950" s="493" t="str">
        <f t="shared" ca="1" si="216"/>
        <v/>
      </c>
      <c r="I2950" s="493" t="str">
        <f t="shared" ca="1" si="217"/>
        <v/>
      </c>
      <c r="J2950" s="493" t="str">
        <f t="shared" ca="1" si="218"/>
        <v/>
      </c>
      <c r="K2950" s="493" t="str">
        <f t="shared" ca="1" si="219"/>
        <v/>
      </c>
      <c r="L2950" s="487"/>
      <c r="M2950" s="487"/>
      <c r="N2950" s="487"/>
      <c r="O2950" s="487"/>
      <c r="P2950" s="487">
        <f t="shared" si="223"/>
        <v>0</v>
      </c>
      <c r="Q2950" s="487"/>
    </row>
    <row r="2951" spans="1:17" x14ac:dyDescent="0.3">
      <c r="A2951" s="487" t="b">
        <f t="shared" ca="1" si="215"/>
        <v>0</v>
      </c>
      <c r="B2951" s="500" t="str">
        <f ca="1">IF(COUNTA(G$2360:G2950)=1,"",OFFSET(B2951,-COUNTA(G$2360:G2950)+1,0))</f>
        <v>a1b3p000003dxa5AAA</v>
      </c>
      <c r="C2951" s="502">
        <f ca="1">IF(COUNTA(G$2360:G2950)=1,"",OFFSET(C2951,-COUNTA(G$2360:G2950)+1,0))</f>
        <v>19</v>
      </c>
      <c r="D2951" s="487">
        <f t="shared" si="220"/>
        <v>109</v>
      </c>
      <c r="E2951" s="487">
        <f t="shared" ca="1" si="221"/>
        <v>1</v>
      </c>
      <c r="F2951" s="487">
        <f t="shared" ca="1" si="222"/>
        <v>27</v>
      </c>
      <c r="G2951" s="487"/>
      <c r="H2951" s="493" t="str">
        <f t="shared" ca="1" si="216"/>
        <v/>
      </c>
      <c r="I2951" s="493" t="str">
        <f t="shared" ca="1" si="217"/>
        <v/>
      </c>
      <c r="J2951" s="493" t="str">
        <f t="shared" ca="1" si="218"/>
        <v/>
      </c>
      <c r="K2951" s="493" t="str">
        <f t="shared" ca="1" si="219"/>
        <v/>
      </c>
      <c r="L2951" s="487"/>
      <c r="M2951" s="487"/>
      <c r="N2951" s="487"/>
      <c r="O2951" s="487"/>
      <c r="P2951" s="487">
        <f t="shared" si="223"/>
        <v>0</v>
      </c>
      <c r="Q2951" s="487"/>
    </row>
    <row r="2952" spans="1:17" x14ac:dyDescent="0.3">
      <c r="A2952" s="487" t="b">
        <f t="shared" ca="1" si="215"/>
        <v>0</v>
      </c>
      <c r="B2952" s="500" t="str">
        <f ca="1">IF(COUNTA(G$2360:G2951)=1,"",OFFSET(B2952,-COUNTA(G$2360:G2951)+1,0))</f>
        <v>a1b3p000003dxbNAAQ</v>
      </c>
      <c r="C2952" s="502">
        <f ca="1">IF(COUNTA(G$2360:G2951)=1,"",OFFSET(C2952,-COUNTA(G$2360:G2951)+1,0))</f>
        <v>19</v>
      </c>
      <c r="D2952" s="487">
        <f t="shared" si="220"/>
        <v>110</v>
      </c>
      <c r="E2952" s="487">
        <f t="shared" ca="1" si="221"/>
        <v>2</v>
      </c>
      <c r="F2952" s="487">
        <f t="shared" ca="1" si="222"/>
        <v>27</v>
      </c>
      <c r="G2952" s="487"/>
      <c r="H2952" s="493" t="str">
        <f t="shared" ca="1" si="216"/>
        <v/>
      </c>
      <c r="I2952" s="493" t="str">
        <f t="shared" ca="1" si="217"/>
        <v/>
      </c>
      <c r="J2952" s="493" t="str">
        <f t="shared" ca="1" si="218"/>
        <v/>
      </c>
      <c r="K2952" s="493" t="str">
        <f t="shared" ca="1" si="219"/>
        <v/>
      </c>
      <c r="L2952" s="487"/>
      <c r="M2952" s="487"/>
      <c r="N2952" s="487"/>
      <c r="O2952" s="487"/>
      <c r="P2952" s="487">
        <f t="shared" si="223"/>
        <v>0</v>
      </c>
      <c r="Q2952" s="487"/>
    </row>
    <row r="2953" spans="1:17" x14ac:dyDescent="0.3">
      <c r="A2953" s="487" t="b">
        <f t="shared" ca="1" si="215"/>
        <v>0</v>
      </c>
      <c r="B2953" s="500" t="str">
        <f ca="1">IF(COUNTA(G$2360:G2952)=1,"",OFFSET(B2953,-COUNTA(G$2360:G2952)+1,0))</f>
        <v>a1b3p000003dxcfAAA</v>
      </c>
      <c r="C2953" s="502">
        <f ca="1">IF(COUNTA(G$2360:G2952)=1,"",OFFSET(C2953,-COUNTA(G$2360:G2952)+1,0))</f>
        <v>19</v>
      </c>
      <c r="D2953" s="487">
        <f t="shared" si="220"/>
        <v>111</v>
      </c>
      <c r="E2953" s="487">
        <f t="shared" ca="1" si="221"/>
        <v>3</v>
      </c>
      <c r="F2953" s="487">
        <f t="shared" ca="1" si="222"/>
        <v>27</v>
      </c>
      <c r="G2953" s="487"/>
      <c r="H2953" s="493" t="str">
        <f t="shared" ca="1" si="216"/>
        <v/>
      </c>
      <c r="I2953" s="493" t="str">
        <f t="shared" ca="1" si="217"/>
        <v/>
      </c>
      <c r="J2953" s="493" t="str">
        <f t="shared" ca="1" si="218"/>
        <v/>
      </c>
      <c r="K2953" s="493" t="str">
        <f t="shared" ca="1" si="219"/>
        <v/>
      </c>
      <c r="L2953" s="487"/>
      <c r="M2953" s="487"/>
      <c r="N2953" s="487"/>
      <c r="O2953" s="487"/>
      <c r="P2953" s="487">
        <f t="shared" si="223"/>
        <v>0</v>
      </c>
      <c r="Q2953" s="487"/>
    </row>
    <row r="2954" spans="1:17" x14ac:dyDescent="0.3">
      <c r="A2954" s="487" t="b">
        <f t="shared" ca="1" si="215"/>
        <v>0</v>
      </c>
      <c r="B2954" s="500" t="str">
        <f ca="1">IF(COUNTA(G$2360:G2953)=1,"",OFFSET(B2954,-COUNTA(G$2360:G2953)+1,0))</f>
        <v>a1b3p000003dxdxAAA</v>
      </c>
      <c r="C2954" s="502">
        <f ca="1">IF(COUNTA(G$2360:G2953)=1,"",OFFSET(C2954,-COUNTA(G$2360:G2953)+1,0))</f>
        <v>19</v>
      </c>
      <c r="D2954" s="487">
        <f t="shared" si="220"/>
        <v>112</v>
      </c>
      <c r="E2954" s="487">
        <f t="shared" ca="1" si="221"/>
        <v>4</v>
      </c>
      <c r="F2954" s="487">
        <f t="shared" ca="1" si="222"/>
        <v>27</v>
      </c>
      <c r="G2954" s="487"/>
      <c r="H2954" s="493" t="str">
        <f t="shared" ca="1" si="216"/>
        <v/>
      </c>
      <c r="I2954" s="493" t="str">
        <f t="shared" ca="1" si="217"/>
        <v/>
      </c>
      <c r="J2954" s="493" t="str">
        <f t="shared" ca="1" si="218"/>
        <v/>
      </c>
      <c r="K2954" s="493" t="str">
        <f t="shared" ca="1" si="219"/>
        <v/>
      </c>
      <c r="L2954" s="487"/>
      <c r="M2954" s="487"/>
      <c r="N2954" s="487"/>
      <c r="O2954" s="487"/>
      <c r="P2954" s="487">
        <f t="shared" si="223"/>
        <v>0</v>
      </c>
      <c r="Q2954" s="487"/>
    </row>
    <row r="2955" spans="1:17" x14ac:dyDescent="0.3">
      <c r="A2955" s="487" t="b">
        <f t="shared" ca="1" si="215"/>
        <v>0</v>
      </c>
      <c r="B2955" s="500" t="str">
        <f ca="1">IF(COUNTA(G$2360:G2954)=1,"",OFFSET(B2955,-COUNTA(G$2360:G2954)+1,0))</f>
        <v>a1b3p000003dxfFAAQ</v>
      </c>
      <c r="C2955" s="502">
        <f ca="1">IF(COUNTA(G$2360:G2954)=1,"",OFFSET(C2955,-COUNTA(G$2360:G2954)+1,0))</f>
        <v>19</v>
      </c>
      <c r="D2955" s="487">
        <f t="shared" si="220"/>
        <v>113</v>
      </c>
      <c r="E2955" s="487">
        <f t="shared" ca="1" si="221"/>
        <v>5</v>
      </c>
      <c r="F2955" s="487">
        <f t="shared" ca="1" si="222"/>
        <v>27</v>
      </c>
      <c r="G2955" s="487"/>
      <c r="H2955" s="493" t="str">
        <f t="shared" ca="1" si="216"/>
        <v/>
      </c>
      <c r="I2955" s="493" t="str">
        <f t="shared" ca="1" si="217"/>
        <v/>
      </c>
      <c r="J2955" s="493" t="str">
        <f t="shared" ca="1" si="218"/>
        <v/>
      </c>
      <c r="K2955" s="493" t="str">
        <f t="shared" ca="1" si="219"/>
        <v/>
      </c>
      <c r="L2955" s="487"/>
      <c r="M2955" s="487"/>
      <c r="N2955" s="487"/>
      <c r="O2955" s="487"/>
      <c r="P2955" s="487">
        <f t="shared" si="223"/>
        <v>0</v>
      </c>
      <c r="Q2955" s="487"/>
    </row>
    <row r="2956" spans="1:17" x14ac:dyDescent="0.3">
      <c r="A2956" s="487" t="b">
        <f t="shared" ca="1" si="215"/>
        <v>0</v>
      </c>
      <c r="B2956" s="500" t="str">
        <f ca="1">IF(COUNTA(G$2360:G2955)=1,"",OFFSET(B2956,-COUNTA(G$2360:G2955)+1,0))</f>
        <v>a1b3p000003dxgXAAQ</v>
      </c>
      <c r="C2956" s="502">
        <f ca="1">IF(COUNTA(G$2360:G2955)=1,"",OFFSET(C2956,-COUNTA(G$2360:G2955)+1,0))</f>
        <v>19</v>
      </c>
      <c r="D2956" s="487">
        <f t="shared" si="220"/>
        <v>114</v>
      </c>
      <c r="E2956" s="487">
        <f t="shared" ca="1" si="221"/>
        <v>6</v>
      </c>
      <c r="F2956" s="487">
        <f t="shared" ca="1" si="222"/>
        <v>27</v>
      </c>
      <c r="G2956" s="487"/>
      <c r="H2956" s="493" t="str">
        <f t="shared" ca="1" si="216"/>
        <v/>
      </c>
      <c r="I2956" s="493" t="str">
        <f t="shared" ca="1" si="217"/>
        <v/>
      </c>
      <c r="J2956" s="493" t="str">
        <f t="shared" ca="1" si="218"/>
        <v/>
      </c>
      <c r="K2956" s="493" t="str">
        <f t="shared" ca="1" si="219"/>
        <v/>
      </c>
      <c r="L2956" s="487"/>
      <c r="M2956" s="487"/>
      <c r="N2956" s="487"/>
      <c r="O2956" s="487"/>
      <c r="P2956" s="487">
        <f t="shared" si="223"/>
        <v>0</v>
      </c>
      <c r="Q2956" s="487"/>
    </row>
    <row r="2957" spans="1:17" x14ac:dyDescent="0.3">
      <c r="A2957" s="487" t="b">
        <f t="shared" ca="1" si="215"/>
        <v>0</v>
      </c>
      <c r="B2957" s="500" t="str">
        <f ca="1">IF(COUNTA(G$2360:G2956)=1,"",OFFSET(B2957,-COUNTA(G$2360:G2956)+1,0))</f>
        <v>a1b3p000003dxa6AAA</v>
      </c>
      <c r="C2957" s="502">
        <f ca="1">IF(COUNTA(G$2360:G2956)=1,"",OFFSET(C2957,-COUNTA(G$2360:G2956)+1,0))</f>
        <v>20</v>
      </c>
      <c r="D2957" s="487">
        <f t="shared" si="220"/>
        <v>115</v>
      </c>
      <c r="E2957" s="487">
        <f t="shared" ca="1" si="221"/>
        <v>1</v>
      </c>
      <c r="F2957" s="487">
        <f t="shared" ca="1" si="222"/>
        <v>28</v>
      </c>
      <c r="G2957" s="487"/>
      <c r="H2957" s="493" t="str">
        <f t="shared" ca="1" si="216"/>
        <v/>
      </c>
      <c r="I2957" s="493" t="str">
        <f t="shared" ca="1" si="217"/>
        <v/>
      </c>
      <c r="J2957" s="493" t="str">
        <f t="shared" ca="1" si="218"/>
        <v/>
      </c>
      <c r="K2957" s="493" t="str">
        <f t="shared" ca="1" si="219"/>
        <v/>
      </c>
      <c r="L2957" s="487"/>
      <c r="M2957" s="487"/>
      <c r="N2957" s="487"/>
      <c r="O2957" s="487"/>
      <c r="P2957" s="487">
        <f t="shared" si="223"/>
        <v>0</v>
      </c>
      <c r="Q2957" s="487"/>
    </row>
    <row r="2958" spans="1:17" x14ac:dyDescent="0.3">
      <c r="A2958" s="487" t="b">
        <f t="shared" ca="1" si="215"/>
        <v>0</v>
      </c>
      <c r="B2958" s="500" t="str">
        <f ca="1">IF(COUNTA(G$2360:G2957)=1,"",OFFSET(B2958,-COUNTA(G$2360:G2957)+1,0))</f>
        <v>a1b3p000003dxbOAAQ</v>
      </c>
      <c r="C2958" s="502">
        <f ca="1">IF(COUNTA(G$2360:G2957)=1,"",OFFSET(C2958,-COUNTA(G$2360:G2957)+1,0))</f>
        <v>20</v>
      </c>
      <c r="D2958" s="487">
        <f t="shared" si="220"/>
        <v>116</v>
      </c>
      <c r="E2958" s="487">
        <f t="shared" ca="1" si="221"/>
        <v>2</v>
      </c>
      <c r="F2958" s="487">
        <f t="shared" ca="1" si="222"/>
        <v>28</v>
      </c>
      <c r="G2958" s="487"/>
      <c r="H2958" s="493" t="str">
        <f t="shared" ca="1" si="216"/>
        <v/>
      </c>
      <c r="I2958" s="493" t="str">
        <f t="shared" ca="1" si="217"/>
        <v/>
      </c>
      <c r="J2958" s="493" t="str">
        <f t="shared" ca="1" si="218"/>
        <v/>
      </c>
      <c r="K2958" s="493" t="str">
        <f t="shared" ca="1" si="219"/>
        <v/>
      </c>
      <c r="L2958" s="487"/>
      <c r="M2958" s="487"/>
      <c r="N2958" s="487"/>
      <c r="O2958" s="487"/>
      <c r="P2958" s="487">
        <f t="shared" si="223"/>
        <v>0</v>
      </c>
      <c r="Q2958" s="487"/>
    </row>
    <row r="2959" spans="1:17" x14ac:dyDescent="0.3">
      <c r="A2959" s="487" t="b">
        <f t="shared" ca="1" si="215"/>
        <v>0</v>
      </c>
      <c r="B2959" s="500" t="str">
        <f ca="1">IF(COUNTA(G$2360:G2958)=1,"",OFFSET(B2959,-COUNTA(G$2360:G2958)+1,0))</f>
        <v>a1b3p000003dxcgAAA</v>
      </c>
      <c r="C2959" s="502">
        <f ca="1">IF(COUNTA(G$2360:G2958)=1,"",OFFSET(C2959,-COUNTA(G$2360:G2958)+1,0))</f>
        <v>20</v>
      </c>
      <c r="D2959" s="487">
        <f t="shared" si="220"/>
        <v>117</v>
      </c>
      <c r="E2959" s="487">
        <f t="shared" ca="1" si="221"/>
        <v>3</v>
      </c>
      <c r="F2959" s="487">
        <f t="shared" ca="1" si="222"/>
        <v>28</v>
      </c>
      <c r="G2959" s="487"/>
      <c r="H2959" s="493" t="str">
        <f t="shared" ca="1" si="216"/>
        <v/>
      </c>
      <c r="I2959" s="493" t="str">
        <f t="shared" ca="1" si="217"/>
        <v/>
      </c>
      <c r="J2959" s="493" t="str">
        <f t="shared" ca="1" si="218"/>
        <v/>
      </c>
      <c r="K2959" s="493" t="str">
        <f t="shared" ca="1" si="219"/>
        <v/>
      </c>
      <c r="L2959" s="487"/>
      <c r="M2959" s="487"/>
      <c r="N2959" s="487"/>
      <c r="O2959" s="487"/>
      <c r="P2959" s="487">
        <f t="shared" si="223"/>
        <v>0</v>
      </c>
      <c r="Q2959" s="487"/>
    </row>
    <row r="2960" spans="1:17" x14ac:dyDescent="0.3">
      <c r="A2960" s="487" t="b">
        <f t="shared" ca="1" si="215"/>
        <v>0</v>
      </c>
      <c r="B2960" s="500" t="str">
        <f ca="1">IF(COUNTA(G$2360:G2959)=1,"",OFFSET(B2960,-COUNTA(G$2360:G2959)+1,0))</f>
        <v>a1b3p000003dxdyAAA</v>
      </c>
      <c r="C2960" s="502">
        <f ca="1">IF(COUNTA(G$2360:G2959)=1,"",OFFSET(C2960,-COUNTA(G$2360:G2959)+1,0))</f>
        <v>20</v>
      </c>
      <c r="D2960" s="487">
        <f t="shared" si="220"/>
        <v>118</v>
      </c>
      <c r="E2960" s="487">
        <f t="shared" ca="1" si="221"/>
        <v>4</v>
      </c>
      <c r="F2960" s="487">
        <f t="shared" ca="1" si="222"/>
        <v>28</v>
      </c>
      <c r="G2960" s="487"/>
      <c r="H2960" s="493" t="str">
        <f t="shared" ca="1" si="216"/>
        <v/>
      </c>
      <c r="I2960" s="493" t="str">
        <f t="shared" ca="1" si="217"/>
        <v/>
      </c>
      <c r="J2960" s="493" t="str">
        <f t="shared" ca="1" si="218"/>
        <v/>
      </c>
      <c r="K2960" s="493" t="str">
        <f t="shared" ca="1" si="219"/>
        <v/>
      </c>
      <c r="L2960" s="487"/>
      <c r="M2960" s="487"/>
      <c r="N2960" s="487"/>
      <c r="O2960" s="487"/>
      <c r="P2960" s="487">
        <f t="shared" si="223"/>
        <v>0</v>
      </c>
      <c r="Q2960" s="487"/>
    </row>
    <row r="2961" spans="1:17" x14ac:dyDescent="0.3">
      <c r="A2961" s="487" t="b">
        <f t="shared" ca="1" si="215"/>
        <v>0</v>
      </c>
      <c r="B2961" s="500" t="str">
        <f ca="1">IF(COUNTA(G$2360:G2960)=1,"",OFFSET(B2961,-COUNTA(G$2360:G2960)+1,0))</f>
        <v>a1b3p000003dxfGAAQ</v>
      </c>
      <c r="C2961" s="502">
        <f ca="1">IF(COUNTA(G$2360:G2960)=1,"",OFFSET(C2961,-COUNTA(G$2360:G2960)+1,0))</f>
        <v>20</v>
      </c>
      <c r="D2961" s="487">
        <f t="shared" si="220"/>
        <v>119</v>
      </c>
      <c r="E2961" s="487">
        <f t="shared" ca="1" si="221"/>
        <v>5</v>
      </c>
      <c r="F2961" s="487">
        <f t="shared" ca="1" si="222"/>
        <v>28</v>
      </c>
      <c r="G2961" s="487"/>
      <c r="H2961" s="493" t="str">
        <f t="shared" ca="1" si="216"/>
        <v/>
      </c>
      <c r="I2961" s="493" t="str">
        <f t="shared" ca="1" si="217"/>
        <v/>
      </c>
      <c r="J2961" s="493" t="str">
        <f t="shared" ca="1" si="218"/>
        <v/>
      </c>
      <c r="K2961" s="493" t="str">
        <f t="shared" ca="1" si="219"/>
        <v/>
      </c>
      <c r="L2961" s="487"/>
      <c r="M2961" s="487"/>
      <c r="N2961" s="487"/>
      <c r="O2961" s="487"/>
      <c r="P2961" s="487">
        <f t="shared" si="223"/>
        <v>0</v>
      </c>
      <c r="Q2961" s="487"/>
    </row>
    <row r="2962" spans="1:17" x14ac:dyDescent="0.3">
      <c r="A2962" s="487" t="b">
        <f t="shared" ca="1" si="215"/>
        <v>0</v>
      </c>
      <c r="B2962" s="500" t="str">
        <f ca="1">IF(COUNTA(G$2360:G2961)=1,"",OFFSET(B2962,-COUNTA(G$2360:G2961)+1,0))</f>
        <v>a1b3p000003dxgYAAQ</v>
      </c>
      <c r="C2962" s="502">
        <f ca="1">IF(COUNTA(G$2360:G2961)=1,"",OFFSET(C2962,-COUNTA(G$2360:G2961)+1,0))</f>
        <v>20</v>
      </c>
      <c r="D2962" s="487">
        <f t="shared" si="220"/>
        <v>120</v>
      </c>
      <c r="E2962" s="487">
        <f t="shared" ca="1" si="221"/>
        <v>6</v>
      </c>
      <c r="F2962" s="487">
        <f t="shared" ca="1" si="222"/>
        <v>28</v>
      </c>
      <c r="G2962" s="487"/>
      <c r="H2962" s="493" t="str">
        <f t="shared" ca="1" si="216"/>
        <v/>
      </c>
      <c r="I2962" s="493" t="str">
        <f t="shared" ca="1" si="217"/>
        <v/>
      </c>
      <c r="J2962" s="493" t="str">
        <f t="shared" ca="1" si="218"/>
        <v/>
      </c>
      <c r="K2962" s="493" t="str">
        <f t="shared" ca="1" si="219"/>
        <v/>
      </c>
      <c r="L2962" s="487"/>
      <c r="M2962" s="487"/>
      <c r="N2962" s="487"/>
      <c r="O2962" s="487"/>
      <c r="P2962" s="487">
        <f t="shared" si="223"/>
        <v>0</v>
      </c>
      <c r="Q2962" s="487"/>
    </row>
    <row r="2963" spans="1:17" x14ac:dyDescent="0.3">
      <c r="A2963" s="487" t="b">
        <f t="shared" ca="1" si="215"/>
        <v>0</v>
      </c>
      <c r="B2963" s="500" t="str">
        <f ca="1">IF(COUNTA(G$2360:G2962)=1,"",OFFSET(B2963,-COUNTA(G$2360:G2962)+1,0))</f>
        <v>a1b3p000003dxa7AAA</v>
      </c>
      <c r="C2963" s="502">
        <f ca="1">IF(COUNTA(G$2360:G2962)=1,"",OFFSET(C2963,-COUNTA(G$2360:G2962)+1,0))</f>
        <v>21</v>
      </c>
      <c r="D2963" s="487">
        <f t="shared" si="220"/>
        <v>121</v>
      </c>
      <c r="E2963" s="487">
        <f t="shared" ca="1" si="221"/>
        <v>1</v>
      </c>
      <c r="F2963" s="487">
        <f t="shared" ca="1" si="222"/>
        <v>29</v>
      </c>
      <c r="G2963" s="487"/>
      <c r="H2963" s="493" t="str">
        <f t="shared" ca="1" si="216"/>
        <v/>
      </c>
      <c r="I2963" s="493" t="str">
        <f t="shared" ca="1" si="217"/>
        <v/>
      </c>
      <c r="J2963" s="493" t="str">
        <f t="shared" ca="1" si="218"/>
        <v/>
      </c>
      <c r="K2963" s="493" t="str">
        <f t="shared" ca="1" si="219"/>
        <v/>
      </c>
      <c r="L2963" s="487"/>
      <c r="M2963" s="487"/>
      <c r="N2963" s="487"/>
      <c r="O2963" s="487"/>
      <c r="P2963" s="487">
        <f t="shared" si="223"/>
        <v>0</v>
      </c>
      <c r="Q2963" s="487"/>
    </row>
    <row r="2964" spans="1:17" x14ac:dyDescent="0.3">
      <c r="A2964" s="487" t="b">
        <f t="shared" ca="1" si="215"/>
        <v>0</v>
      </c>
      <c r="B2964" s="500" t="str">
        <f ca="1">IF(COUNTA(G$2360:G2963)=1,"",OFFSET(B2964,-COUNTA(G$2360:G2963)+1,0))</f>
        <v>a1b3p000003dxbPAAQ</v>
      </c>
      <c r="C2964" s="502">
        <f ca="1">IF(COUNTA(G$2360:G2963)=1,"",OFFSET(C2964,-COUNTA(G$2360:G2963)+1,0))</f>
        <v>21</v>
      </c>
      <c r="D2964" s="487">
        <f t="shared" si="220"/>
        <v>122</v>
      </c>
      <c r="E2964" s="487">
        <f t="shared" ca="1" si="221"/>
        <v>2</v>
      </c>
      <c r="F2964" s="487">
        <f t="shared" ca="1" si="222"/>
        <v>29</v>
      </c>
      <c r="G2964" s="487"/>
      <c r="H2964" s="493" t="str">
        <f t="shared" ca="1" si="216"/>
        <v/>
      </c>
      <c r="I2964" s="493" t="str">
        <f t="shared" ca="1" si="217"/>
        <v/>
      </c>
      <c r="J2964" s="493" t="str">
        <f t="shared" ca="1" si="218"/>
        <v/>
      </c>
      <c r="K2964" s="493" t="str">
        <f t="shared" ca="1" si="219"/>
        <v/>
      </c>
      <c r="L2964" s="487"/>
      <c r="M2964" s="487"/>
      <c r="N2964" s="487"/>
      <c r="O2964" s="487"/>
      <c r="P2964" s="487">
        <f t="shared" si="223"/>
        <v>0</v>
      </c>
      <c r="Q2964" s="487"/>
    </row>
    <row r="2965" spans="1:17" x14ac:dyDescent="0.3">
      <c r="A2965" s="487" t="b">
        <f t="shared" ca="1" si="215"/>
        <v>0</v>
      </c>
      <c r="B2965" s="500" t="str">
        <f ca="1">IF(COUNTA(G$2360:G2964)=1,"",OFFSET(B2965,-COUNTA(G$2360:G2964)+1,0))</f>
        <v>a1b3p000003dxchAAA</v>
      </c>
      <c r="C2965" s="502">
        <f ca="1">IF(COUNTA(G$2360:G2964)=1,"",OFFSET(C2965,-COUNTA(G$2360:G2964)+1,0))</f>
        <v>21</v>
      </c>
      <c r="D2965" s="487">
        <f t="shared" si="220"/>
        <v>123</v>
      </c>
      <c r="E2965" s="487">
        <f t="shared" ca="1" si="221"/>
        <v>3</v>
      </c>
      <c r="F2965" s="487">
        <f t="shared" ca="1" si="222"/>
        <v>29</v>
      </c>
      <c r="G2965" s="487"/>
      <c r="H2965" s="493" t="str">
        <f t="shared" ca="1" si="216"/>
        <v/>
      </c>
      <c r="I2965" s="493" t="str">
        <f t="shared" ca="1" si="217"/>
        <v/>
      </c>
      <c r="J2965" s="493" t="str">
        <f t="shared" ca="1" si="218"/>
        <v/>
      </c>
      <c r="K2965" s="493" t="str">
        <f t="shared" ca="1" si="219"/>
        <v/>
      </c>
      <c r="L2965" s="487"/>
      <c r="M2965" s="487"/>
      <c r="N2965" s="487"/>
      <c r="O2965" s="487"/>
      <c r="P2965" s="487">
        <f t="shared" si="223"/>
        <v>0</v>
      </c>
      <c r="Q2965" s="487"/>
    </row>
    <row r="2966" spans="1:17" x14ac:dyDescent="0.3">
      <c r="A2966" s="487" t="b">
        <f t="shared" ca="1" si="215"/>
        <v>0</v>
      </c>
      <c r="B2966" s="500" t="str">
        <f ca="1">IF(COUNTA(G$2360:G2965)=1,"",OFFSET(B2966,-COUNTA(G$2360:G2965)+1,0))</f>
        <v>a1b3p000003dxdzAAA</v>
      </c>
      <c r="C2966" s="502">
        <f ca="1">IF(COUNTA(G$2360:G2965)=1,"",OFFSET(C2966,-COUNTA(G$2360:G2965)+1,0))</f>
        <v>21</v>
      </c>
      <c r="D2966" s="487">
        <f t="shared" si="220"/>
        <v>124</v>
      </c>
      <c r="E2966" s="487">
        <f t="shared" ca="1" si="221"/>
        <v>4</v>
      </c>
      <c r="F2966" s="487">
        <f t="shared" ca="1" si="222"/>
        <v>29</v>
      </c>
      <c r="G2966" s="487"/>
      <c r="H2966" s="493" t="str">
        <f t="shared" ca="1" si="216"/>
        <v/>
      </c>
      <c r="I2966" s="493" t="str">
        <f t="shared" ca="1" si="217"/>
        <v/>
      </c>
      <c r="J2966" s="493" t="str">
        <f t="shared" ca="1" si="218"/>
        <v/>
      </c>
      <c r="K2966" s="493" t="str">
        <f t="shared" ca="1" si="219"/>
        <v/>
      </c>
      <c r="L2966" s="487"/>
      <c r="M2966" s="487"/>
      <c r="N2966" s="487"/>
      <c r="O2966" s="487"/>
      <c r="P2966" s="487">
        <f t="shared" si="223"/>
        <v>0</v>
      </c>
      <c r="Q2966" s="487"/>
    </row>
    <row r="2967" spans="1:17" x14ac:dyDescent="0.3">
      <c r="A2967" s="487" t="b">
        <f t="shared" ca="1" si="215"/>
        <v>0</v>
      </c>
      <c r="B2967" s="500" t="str">
        <f ca="1">IF(COUNTA(G$2360:G2966)=1,"",OFFSET(B2967,-COUNTA(G$2360:G2966)+1,0))</f>
        <v>a1b3p000003dxfHAAQ</v>
      </c>
      <c r="C2967" s="502">
        <f ca="1">IF(COUNTA(G$2360:G2966)=1,"",OFFSET(C2967,-COUNTA(G$2360:G2966)+1,0))</f>
        <v>21</v>
      </c>
      <c r="D2967" s="487">
        <f t="shared" si="220"/>
        <v>125</v>
      </c>
      <c r="E2967" s="487">
        <f t="shared" ca="1" si="221"/>
        <v>5</v>
      </c>
      <c r="F2967" s="487">
        <f t="shared" ca="1" si="222"/>
        <v>29</v>
      </c>
      <c r="G2967" s="487"/>
      <c r="H2967" s="493" t="str">
        <f t="shared" ca="1" si="216"/>
        <v/>
      </c>
      <c r="I2967" s="493" t="str">
        <f t="shared" ca="1" si="217"/>
        <v/>
      </c>
      <c r="J2967" s="493" t="str">
        <f t="shared" ca="1" si="218"/>
        <v/>
      </c>
      <c r="K2967" s="493" t="str">
        <f t="shared" ca="1" si="219"/>
        <v/>
      </c>
      <c r="L2967" s="487"/>
      <c r="M2967" s="487"/>
      <c r="N2967" s="487"/>
      <c r="O2967" s="487"/>
      <c r="P2967" s="487">
        <f t="shared" si="223"/>
        <v>0</v>
      </c>
      <c r="Q2967" s="487"/>
    </row>
    <row r="2968" spans="1:17" x14ac:dyDescent="0.3">
      <c r="A2968" s="487" t="b">
        <f t="shared" ca="1" si="215"/>
        <v>0</v>
      </c>
      <c r="B2968" s="500" t="str">
        <f ca="1">IF(COUNTA(G$2360:G2967)=1,"",OFFSET(B2968,-COUNTA(G$2360:G2967)+1,0))</f>
        <v>a1b3p000003dxgZAAQ</v>
      </c>
      <c r="C2968" s="502">
        <f ca="1">IF(COUNTA(G$2360:G2967)=1,"",OFFSET(C2968,-COUNTA(G$2360:G2967)+1,0))</f>
        <v>21</v>
      </c>
      <c r="D2968" s="487">
        <f t="shared" si="220"/>
        <v>126</v>
      </c>
      <c r="E2968" s="487">
        <f t="shared" ca="1" si="221"/>
        <v>6</v>
      </c>
      <c r="F2968" s="487">
        <f t="shared" ca="1" si="222"/>
        <v>29</v>
      </c>
      <c r="G2968" s="487"/>
      <c r="H2968" s="493" t="str">
        <f t="shared" ca="1" si="216"/>
        <v/>
      </c>
      <c r="I2968" s="493" t="str">
        <f t="shared" ca="1" si="217"/>
        <v/>
      </c>
      <c r="J2968" s="493" t="str">
        <f t="shared" ca="1" si="218"/>
        <v/>
      </c>
      <c r="K2968" s="493" t="str">
        <f t="shared" ca="1" si="219"/>
        <v/>
      </c>
      <c r="L2968" s="487"/>
      <c r="M2968" s="487"/>
      <c r="N2968" s="487"/>
      <c r="O2968" s="487"/>
      <c r="P2968" s="487">
        <f t="shared" si="223"/>
        <v>0</v>
      </c>
      <c r="Q2968" s="487"/>
    </row>
    <row r="2969" spans="1:17" x14ac:dyDescent="0.3">
      <c r="A2969" s="487" t="b">
        <f t="shared" ca="1" si="215"/>
        <v>0</v>
      </c>
      <c r="B2969" s="500" t="str">
        <f ca="1">IF(COUNTA(G$2360:G2968)=1,"",OFFSET(B2969,-COUNTA(G$2360:G2968)+1,0))</f>
        <v>a1b3p000003dxa8AAA</v>
      </c>
      <c r="C2969" s="502">
        <f ca="1">IF(COUNTA(G$2360:G2968)=1,"",OFFSET(C2969,-COUNTA(G$2360:G2968)+1,0))</f>
        <v>22</v>
      </c>
      <c r="D2969" s="487">
        <f t="shared" si="220"/>
        <v>127</v>
      </c>
      <c r="E2969" s="487">
        <f t="shared" ca="1" si="221"/>
        <v>1</v>
      </c>
      <c r="F2969" s="487">
        <f t="shared" ca="1" si="222"/>
        <v>30</v>
      </c>
      <c r="G2969" s="487"/>
      <c r="H2969" s="493" t="str">
        <f t="shared" ca="1" si="216"/>
        <v/>
      </c>
      <c r="I2969" s="493" t="str">
        <f t="shared" ca="1" si="217"/>
        <v/>
      </c>
      <c r="J2969" s="493" t="str">
        <f t="shared" ca="1" si="218"/>
        <v/>
      </c>
      <c r="K2969" s="493" t="str">
        <f t="shared" ca="1" si="219"/>
        <v/>
      </c>
      <c r="L2969" s="487"/>
      <c r="M2969" s="487"/>
      <c r="N2969" s="487"/>
      <c r="O2969" s="487"/>
      <c r="P2969" s="487">
        <f t="shared" si="223"/>
        <v>0</v>
      </c>
      <c r="Q2969" s="487"/>
    </row>
    <row r="2970" spans="1:17" x14ac:dyDescent="0.3">
      <c r="A2970" s="487" t="b">
        <f t="shared" ca="1" si="215"/>
        <v>0</v>
      </c>
      <c r="B2970" s="500" t="str">
        <f ca="1">IF(COUNTA(G$2360:G2969)=1,"",OFFSET(B2970,-COUNTA(G$2360:G2969)+1,0))</f>
        <v>a1b3p000003dxbQAAQ</v>
      </c>
      <c r="C2970" s="502">
        <f ca="1">IF(COUNTA(G$2360:G2969)=1,"",OFFSET(C2970,-COUNTA(G$2360:G2969)+1,0))</f>
        <v>22</v>
      </c>
      <c r="D2970" s="487">
        <f t="shared" si="220"/>
        <v>128</v>
      </c>
      <c r="E2970" s="487">
        <f t="shared" ca="1" si="221"/>
        <v>2</v>
      </c>
      <c r="F2970" s="487">
        <f t="shared" ca="1" si="222"/>
        <v>30</v>
      </c>
      <c r="G2970" s="487"/>
      <c r="H2970" s="493" t="str">
        <f t="shared" ca="1" si="216"/>
        <v/>
      </c>
      <c r="I2970" s="493" t="str">
        <f t="shared" ca="1" si="217"/>
        <v/>
      </c>
      <c r="J2970" s="493" t="str">
        <f t="shared" ca="1" si="218"/>
        <v/>
      </c>
      <c r="K2970" s="493" t="str">
        <f t="shared" ca="1" si="219"/>
        <v/>
      </c>
      <c r="L2970" s="487"/>
      <c r="M2970" s="487"/>
      <c r="N2970" s="487"/>
      <c r="O2970" s="487"/>
      <c r="P2970" s="487">
        <f t="shared" si="223"/>
        <v>0</v>
      </c>
      <c r="Q2970" s="487"/>
    </row>
    <row r="2971" spans="1:17" x14ac:dyDescent="0.3">
      <c r="A2971" s="487" t="b">
        <f t="shared" ref="A2971:A3034" ca="1" si="224">IF(OR(H2971&lt;&gt;"",I2971&lt;&gt;""),TRUE,FALSE)</f>
        <v>0</v>
      </c>
      <c r="B2971" s="500" t="str">
        <f ca="1">IF(COUNTA(G$2360:G2970)=1,"",OFFSET(B2971,-COUNTA(G$2360:G2970)+1,0))</f>
        <v>a1b3p000003dxciAAA</v>
      </c>
      <c r="C2971" s="502">
        <f ca="1">IF(COUNTA(G$2360:G2970)=1,"",OFFSET(C2971,-COUNTA(G$2360:G2970)+1,0))</f>
        <v>22</v>
      </c>
      <c r="D2971" s="487">
        <f t="shared" si="220"/>
        <v>129</v>
      </c>
      <c r="E2971" s="487">
        <f t="shared" ca="1" si="221"/>
        <v>3</v>
      </c>
      <c r="F2971" s="487">
        <f t="shared" ca="1" si="222"/>
        <v>30</v>
      </c>
      <c r="G2971" s="487"/>
      <c r="H2971" s="493" t="str">
        <f t="shared" ref="H2971:H3034" ca="1" si="225">CHOOSE(E2971,IFERROR(IF(INDIRECT("'WPTM - Section F'!K"&amp;F2971)=0,"",INDIRECT("'WPTM - Section F'!K"&amp;$F2971)),""),IFERROR(IF(INDIRECT("'WPTM - Section F'!O"&amp;F2971)=0,"",INDIRECT("'WPTM - Section F'!O"&amp;$F2971)),""),IFERROR(IF(INDIRECT("'WPTM - Section F'!S"&amp;F2971)=0,"",INDIRECT("'WPTM - Section F'!S"&amp;$F2971)),""),IFERROR(IF(INDIRECT("'WPTM - Section F'!W"&amp;F2971)=0,"",INDIRECT("'WPTM - Section F'!W"&amp;$F2971)),""),IFERROR(IF(INDIRECT("'WPTM - Section F'!AA"&amp;F2971)=0,"",INDIRECT("'WPTM - Section F'!AA"&amp;$F2971)),""),IFERROR(IF(INDIRECT("'WPTM - Section F'!AE"&amp;F2971)=0,"",INDIRECT("'WPTM - Section F'!AE"&amp;$F2971)),""),IFERROR(IF(INDIRECT("'WPTM - Section F'!AI"&amp;F2971)=0,"",INDIRECT("'WPTM - Section F'!AI"&amp;$F2971)),""),IFERROR(IF(INDIRECT("'WPTM - Section F'!AM"&amp;F2971)=0,"",INDIRECT("'WPTM - Section F'!AM"&amp;$F2971)),""),)</f>
        <v/>
      </c>
      <c r="I2971" s="493" t="str">
        <f t="shared" ref="I2971:I3034" ca="1" si="226">CHOOSE(E2971,IFERROR(IF(INDIRECT("'WPTM - Section F'!J"&amp;F2971)=0,"",INDIRECT("'WPTM - Section F'!J"&amp;$F2971)),""),IFERROR(IF(INDIRECT("'WPTM - Section F'!N"&amp;F2971)=0,"",INDIRECT("'WPTM - Section F'!N"&amp;$F2971)),""),IFERROR(IF(INDIRECT("'WPTM - Section F'!R"&amp;F2971)=0,"",INDIRECT("'WPTM - Section F'!R"&amp;$F2971)),""),IFERROR(IF(INDIRECT("'WPTM - Section F'!V"&amp;F2971)=0,"",INDIRECT("'WPTM - Section F'!V"&amp;$F2971)),""),IFERROR(IF(INDIRECT("'WPTM - Section F'!Z"&amp;F2971)=0,"",INDIRECT("'WPTM - Section F'!Z"&amp;$F2971)),""),IFERROR(IF(INDIRECT("'WPTM - Section F'!AD"&amp;F2971)=0,"",INDIRECT("'WPTM - Section F'!AD"&amp;$F2971)),""),IFERROR(IF(INDIRECT("'WPTM - Section F'!AH"&amp;F2971)=0,"",INDIRECT("'WPTM - Section F'!AH"&amp;$F2971)),""),IFERROR(IF(INDIRECT("'WPTM - Section F'!AL"&amp;F2971)=0,"",INDIRECT("'WPTM - Section F'!AL"&amp;$F2971)),""),)</f>
        <v/>
      </c>
      <c r="J2971" s="493" t="str">
        <f t="shared" ref="J2971:J3034" ca="1" si="227">CHOOSE(E2971,IFERROR(IF(INDIRECT("'WPTM - Section F'!H"&amp;F2971)=0,"",INDIRECT("'WPTM - Section F'!H"&amp;$F2971)),""),IFERROR(IF(INDIRECT("'WPTM - Section F'!L"&amp;F2971)=0,"",INDIRECT("'WPTM - Section F'!L"&amp;$F2971)),""),IFERROR(IF(INDIRECT("'WPTM - Section F'!P"&amp;F2971)=0,"",INDIRECT("'WPTM - Section F'!P"&amp;$F2971)),""),IFERROR(IF(INDIRECT("'WPTM - Section F'!T"&amp;F2971)=0,"",INDIRECT("'WPTM - Section F'!T"&amp;$F2971)),""),IFERROR(IF(INDIRECT("'WPTM - Section F'!X"&amp;F2971)=0,"",INDIRECT("'WPTM - Section F'!X"&amp;$F2971)),""),IFERROR(IF(INDIRECT("'WPTM - Section F'!AB"&amp;F2971)=0,"",INDIRECT("'WPTM - Section F'!AB"&amp;$F2971)),""),IFERROR(IF(INDIRECT("'WPTM - Section F'!AF"&amp;F2971)=0,"",INDIRECT("'WPTM - Section F'!AF"&amp;$F2971)),""),IFERROR(IF(INDIRECT("'WPTM - Section F'!AJ"&amp;F2971)=0,"",INDIRECT("'WPTM - Section F'!AJ"&amp;$F2971)),""),)</f>
        <v/>
      </c>
      <c r="K2971" s="493" t="str">
        <f t="shared" ref="K2971:K3034" ca="1" si="228">CHOOSE(E2971,IFERROR(IF(INDIRECT("'WPTM - Section F'!I"&amp;F2971)=0,"",INDIRECT("'WPTM - Section F'!I"&amp;$F2971)),""),IFERROR(IF(INDIRECT("'WPTM - Section F'!M"&amp;F2971)=0,"",INDIRECT("'WPTM - Section F'!M"&amp;$F2971)),""),IFERROR(IF(INDIRECT("'WPTM - Section F'!Q"&amp;F2971)=0,"",INDIRECT("'WPTM - Section F'!Q"&amp;$F2971)),""),IFERROR(IF(INDIRECT("'WPTM - Section F'!U"&amp;F2971)=0,"",INDIRECT("'WPTM - Section F'!U"&amp;$F2971)),""),IFERROR(IF(INDIRECT("'WPTM - Section F'!Y"&amp;F2971)=0,"",INDIRECT("'WPTM - Section F'!Y"&amp;$F2971)),""),IFERROR(IF(INDIRECT("'WPTM - Section F'!AC"&amp;F2971)=0,"",INDIRECT("'WPTM - Section F'!AC"&amp;$F2971)),""),IFERROR(IF(INDIRECT("'WPTM - Section F'!AG"&amp;F2971)=0,"",INDIRECT("'WPTM - Section F'!AG"&amp;$F2971)),""),IFERROR(IF(INDIRECT("'WPTM - Section F'!AK"&amp;F2971)=0,"",INDIRECT("'WPTM - Section F'!AK"&amp;$F2971)),""),)</f>
        <v/>
      </c>
      <c r="L2971" s="487"/>
      <c r="M2971" s="487"/>
      <c r="N2971" s="487"/>
      <c r="O2971" s="487"/>
      <c r="P2971" s="487">
        <f t="shared" si="223"/>
        <v>0</v>
      </c>
      <c r="Q2971" s="487"/>
    </row>
    <row r="2972" spans="1:17" x14ac:dyDescent="0.3">
      <c r="A2972" s="487" t="b">
        <f t="shared" ca="1" si="224"/>
        <v>0</v>
      </c>
      <c r="B2972" s="500" t="str">
        <f ca="1">IF(COUNTA(G$2360:G2971)=1,"",OFFSET(B2972,-COUNTA(G$2360:G2971)+1,0))</f>
        <v>a1b3p000003dxe0AAA</v>
      </c>
      <c r="C2972" s="502">
        <f ca="1">IF(COUNTA(G$2360:G2971)=1,"",OFFSET(C2972,-COUNTA(G$2360:G2971)+1,0))</f>
        <v>22</v>
      </c>
      <c r="D2972" s="487">
        <f t="shared" si="220"/>
        <v>130</v>
      </c>
      <c r="E2972" s="487">
        <f t="shared" ca="1" si="221"/>
        <v>4</v>
      </c>
      <c r="F2972" s="487">
        <f t="shared" ca="1" si="222"/>
        <v>30</v>
      </c>
      <c r="G2972" s="487"/>
      <c r="H2972" s="493" t="str">
        <f t="shared" ca="1" si="225"/>
        <v/>
      </c>
      <c r="I2972" s="493" t="str">
        <f t="shared" ca="1" si="226"/>
        <v/>
      </c>
      <c r="J2972" s="493" t="str">
        <f t="shared" ca="1" si="227"/>
        <v/>
      </c>
      <c r="K2972" s="493" t="str">
        <f t="shared" ca="1" si="228"/>
        <v/>
      </c>
      <c r="L2972" s="487"/>
      <c r="M2972" s="487"/>
      <c r="N2972" s="487"/>
      <c r="O2972" s="487"/>
      <c r="P2972" s="487">
        <f t="shared" si="223"/>
        <v>0</v>
      </c>
      <c r="Q2972" s="487"/>
    </row>
    <row r="2973" spans="1:17" x14ac:dyDescent="0.3">
      <c r="A2973" s="487" t="b">
        <f t="shared" ca="1" si="224"/>
        <v>0</v>
      </c>
      <c r="B2973" s="500" t="str">
        <f ca="1">IF(COUNTA(G$2360:G2972)=1,"",OFFSET(B2973,-COUNTA(G$2360:G2972)+1,0))</f>
        <v>a1b3p000003dxfIAAQ</v>
      </c>
      <c r="C2973" s="502">
        <f ca="1">IF(COUNTA(G$2360:G2972)=1,"",OFFSET(C2973,-COUNTA(G$2360:G2972)+1,0))</f>
        <v>22</v>
      </c>
      <c r="D2973" s="487">
        <f t="shared" si="220"/>
        <v>131</v>
      </c>
      <c r="E2973" s="487">
        <f t="shared" ca="1" si="221"/>
        <v>5</v>
      </c>
      <c r="F2973" s="487">
        <f t="shared" ca="1" si="222"/>
        <v>30</v>
      </c>
      <c r="G2973" s="487"/>
      <c r="H2973" s="493" t="str">
        <f t="shared" ca="1" si="225"/>
        <v/>
      </c>
      <c r="I2973" s="493" t="str">
        <f t="shared" ca="1" si="226"/>
        <v/>
      </c>
      <c r="J2973" s="493" t="str">
        <f t="shared" ca="1" si="227"/>
        <v/>
      </c>
      <c r="K2973" s="493" t="str">
        <f t="shared" ca="1" si="228"/>
        <v/>
      </c>
      <c r="L2973" s="487"/>
      <c r="M2973" s="487"/>
      <c r="N2973" s="487"/>
      <c r="O2973" s="487"/>
      <c r="P2973" s="487">
        <f t="shared" si="223"/>
        <v>0</v>
      </c>
      <c r="Q2973" s="487"/>
    </row>
    <row r="2974" spans="1:17" x14ac:dyDescent="0.3">
      <c r="A2974" s="487" t="b">
        <f t="shared" ca="1" si="224"/>
        <v>0</v>
      </c>
      <c r="B2974" s="500" t="str">
        <f ca="1">IF(COUNTA(G$2360:G2973)=1,"",OFFSET(B2974,-COUNTA(G$2360:G2973)+1,0))</f>
        <v>a1b3p000003dxgaAAA</v>
      </c>
      <c r="C2974" s="502">
        <f ca="1">IF(COUNTA(G$2360:G2973)=1,"",OFFSET(C2974,-COUNTA(G$2360:G2973)+1,0))</f>
        <v>22</v>
      </c>
      <c r="D2974" s="487">
        <f t="shared" si="220"/>
        <v>132</v>
      </c>
      <c r="E2974" s="487">
        <f t="shared" ca="1" si="221"/>
        <v>6</v>
      </c>
      <c r="F2974" s="487">
        <f t="shared" ca="1" si="222"/>
        <v>30</v>
      </c>
      <c r="G2974" s="487"/>
      <c r="H2974" s="493" t="str">
        <f t="shared" ca="1" si="225"/>
        <v/>
      </c>
      <c r="I2974" s="493" t="str">
        <f t="shared" ca="1" si="226"/>
        <v/>
      </c>
      <c r="J2974" s="493" t="str">
        <f t="shared" ca="1" si="227"/>
        <v/>
      </c>
      <c r="K2974" s="493" t="str">
        <f t="shared" ca="1" si="228"/>
        <v/>
      </c>
      <c r="L2974" s="487"/>
      <c r="M2974" s="487"/>
      <c r="N2974" s="487"/>
      <c r="O2974" s="487"/>
      <c r="P2974" s="487">
        <f t="shared" si="223"/>
        <v>0</v>
      </c>
      <c r="Q2974" s="487"/>
    </row>
    <row r="2975" spans="1:17" x14ac:dyDescent="0.3">
      <c r="A2975" s="487" t="b">
        <f t="shared" ca="1" si="224"/>
        <v>0</v>
      </c>
      <c r="B2975" s="500" t="str">
        <f ca="1">IF(COUNTA(G$2360:G2974)=1,"",OFFSET(B2975,-COUNTA(G$2360:G2974)+1,0))</f>
        <v>a1b3p000003dxa9AAA</v>
      </c>
      <c r="C2975" s="502">
        <f ca="1">IF(COUNTA(G$2360:G2974)=1,"",OFFSET(C2975,-COUNTA(G$2360:G2974)+1,0))</f>
        <v>23</v>
      </c>
      <c r="D2975" s="487">
        <f t="shared" si="220"/>
        <v>133</v>
      </c>
      <c r="E2975" s="487">
        <f t="shared" ca="1" si="221"/>
        <v>1</v>
      </c>
      <c r="F2975" s="487">
        <f t="shared" ca="1" si="222"/>
        <v>31</v>
      </c>
      <c r="G2975" s="487"/>
      <c r="H2975" s="493" t="str">
        <f t="shared" ca="1" si="225"/>
        <v/>
      </c>
      <c r="I2975" s="493" t="str">
        <f t="shared" ca="1" si="226"/>
        <v/>
      </c>
      <c r="J2975" s="493" t="str">
        <f t="shared" ca="1" si="227"/>
        <v/>
      </c>
      <c r="K2975" s="493" t="str">
        <f t="shared" ca="1" si="228"/>
        <v/>
      </c>
      <c r="L2975" s="487"/>
      <c r="M2975" s="487"/>
      <c r="N2975" s="487"/>
      <c r="O2975" s="487"/>
      <c r="P2975" s="487">
        <f t="shared" si="223"/>
        <v>0</v>
      </c>
      <c r="Q2975" s="487"/>
    </row>
    <row r="2976" spans="1:17" x14ac:dyDescent="0.3">
      <c r="A2976" s="487" t="b">
        <f t="shared" ca="1" si="224"/>
        <v>0</v>
      </c>
      <c r="B2976" s="500" t="str">
        <f ca="1">IF(COUNTA(G$2360:G2975)=1,"",OFFSET(B2976,-COUNTA(G$2360:G2975)+1,0))</f>
        <v>a1b3p000003dxbRAAQ</v>
      </c>
      <c r="C2976" s="502">
        <f ca="1">IF(COUNTA(G$2360:G2975)=1,"",OFFSET(C2976,-COUNTA(G$2360:G2975)+1,0))</f>
        <v>23</v>
      </c>
      <c r="D2976" s="487">
        <f t="shared" si="220"/>
        <v>134</v>
      </c>
      <c r="E2976" s="487">
        <f t="shared" ca="1" si="221"/>
        <v>2</v>
      </c>
      <c r="F2976" s="487">
        <f t="shared" ca="1" si="222"/>
        <v>31</v>
      </c>
      <c r="G2976" s="487"/>
      <c r="H2976" s="493" t="str">
        <f t="shared" ca="1" si="225"/>
        <v/>
      </c>
      <c r="I2976" s="493" t="str">
        <f t="shared" ca="1" si="226"/>
        <v/>
      </c>
      <c r="J2976" s="493" t="str">
        <f t="shared" ca="1" si="227"/>
        <v/>
      </c>
      <c r="K2976" s="493" t="str">
        <f t="shared" ca="1" si="228"/>
        <v/>
      </c>
      <c r="L2976" s="487"/>
      <c r="M2976" s="487"/>
      <c r="N2976" s="487"/>
      <c r="O2976" s="487"/>
      <c r="P2976" s="487">
        <f t="shared" si="223"/>
        <v>0</v>
      </c>
      <c r="Q2976" s="487"/>
    </row>
    <row r="2977" spans="1:17" x14ac:dyDescent="0.3">
      <c r="A2977" s="487" t="b">
        <f t="shared" ca="1" si="224"/>
        <v>0</v>
      </c>
      <c r="B2977" s="500" t="str">
        <f ca="1">IF(COUNTA(G$2360:G2976)=1,"",OFFSET(B2977,-COUNTA(G$2360:G2976)+1,0))</f>
        <v>a1b3p000003dxcjAAA</v>
      </c>
      <c r="C2977" s="502">
        <f ca="1">IF(COUNTA(G$2360:G2976)=1,"",OFFSET(C2977,-COUNTA(G$2360:G2976)+1,0))</f>
        <v>23</v>
      </c>
      <c r="D2977" s="487">
        <f t="shared" si="220"/>
        <v>135</v>
      </c>
      <c r="E2977" s="487">
        <f t="shared" ca="1" si="221"/>
        <v>3</v>
      </c>
      <c r="F2977" s="487">
        <f t="shared" ca="1" si="222"/>
        <v>31</v>
      </c>
      <c r="G2977" s="487"/>
      <c r="H2977" s="493" t="str">
        <f t="shared" ca="1" si="225"/>
        <v/>
      </c>
      <c r="I2977" s="493" t="str">
        <f t="shared" ca="1" si="226"/>
        <v/>
      </c>
      <c r="J2977" s="493" t="str">
        <f t="shared" ca="1" si="227"/>
        <v/>
      </c>
      <c r="K2977" s="493" t="str">
        <f t="shared" ca="1" si="228"/>
        <v/>
      </c>
      <c r="L2977" s="487"/>
      <c r="M2977" s="487"/>
      <c r="N2977" s="487"/>
      <c r="O2977" s="487"/>
      <c r="P2977" s="487">
        <f t="shared" si="223"/>
        <v>0</v>
      </c>
      <c r="Q2977" s="487"/>
    </row>
    <row r="2978" spans="1:17" x14ac:dyDescent="0.3">
      <c r="A2978" s="487" t="b">
        <f t="shared" ca="1" si="224"/>
        <v>0</v>
      </c>
      <c r="B2978" s="500" t="str">
        <f ca="1">IF(COUNTA(G$2360:G2977)=1,"",OFFSET(B2978,-COUNTA(G$2360:G2977)+1,0))</f>
        <v>a1b3p000003dxe1AAA</v>
      </c>
      <c r="C2978" s="502">
        <f ca="1">IF(COUNTA(G$2360:G2977)=1,"",OFFSET(C2978,-COUNTA(G$2360:G2977)+1,0))</f>
        <v>23</v>
      </c>
      <c r="D2978" s="487">
        <f t="shared" si="220"/>
        <v>136</v>
      </c>
      <c r="E2978" s="487">
        <f t="shared" ca="1" si="221"/>
        <v>4</v>
      </c>
      <c r="F2978" s="487">
        <f t="shared" ca="1" si="222"/>
        <v>31</v>
      </c>
      <c r="G2978" s="487"/>
      <c r="H2978" s="493" t="str">
        <f t="shared" ca="1" si="225"/>
        <v/>
      </c>
      <c r="I2978" s="493" t="str">
        <f t="shared" ca="1" si="226"/>
        <v/>
      </c>
      <c r="J2978" s="493" t="str">
        <f t="shared" ca="1" si="227"/>
        <v/>
      </c>
      <c r="K2978" s="493" t="str">
        <f t="shared" ca="1" si="228"/>
        <v/>
      </c>
      <c r="L2978" s="487"/>
      <c r="M2978" s="487"/>
      <c r="N2978" s="487"/>
      <c r="O2978" s="487"/>
      <c r="P2978" s="487">
        <f t="shared" si="223"/>
        <v>0</v>
      </c>
      <c r="Q2978" s="487"/>
    </row>
    <row r="2979" spans="1:17" x14ac:dyDescent="0.3">
      <c r="A2979" s="487" t="b">
        <f t="shared" ca="1" si="224"/>
        <v>0</v>
      </c>
      <c r="B2979" s="500" t="str">
        <f ca="1">IF(COUNTA(G$2360:G2978)=1,"",OFFSET(B2979,-COUNTA(G$2360:G2978)+1,0))</f>
        <v>a1b3p000003dxfJAAQ</v>
      </c>
      <c r="C2979" s="502">
        <f ca="1">IF(COUNTA(G$2360:G2978)=1,"",OFFSET(C2979,-COUNTA(G$2360:G2978)+1,0))</f>
        <v>23</v>
      </c>
      <c r="D2979" s="487">
        <f t="shared" si="220"/>
        <v>137</v>
      </c>
      <c r="E2979" s="487">
        <f t="shared" ca="1" si="221"/>
        <v>5</v>
      </c>
      <c r="F2979" s="487">
        <f t="shared" ca="1" si="222"/>
        <v>31</v>
      </c>
      <c r="G2979" s="487"/>
      <c r="H2979" s="493" t="str">
        <f t="shared" ca="1" si="225"/>
        <v/>
      </c>
      <c r="I2979" s="493" t="str">
        <f t="shared" ca="1" si="226"/>
        <v/>
      </c>
      <c r="J2979" s="493" t="str">
        <f t="shared" ca="1" si="227"/>
        <v/>
      </c>
      <c r="K2979" s="493" t="str">
        <f t="shared" ca="1" si="228"/>
        <v/>
      </c>
      <c r="L2979" s="487"/>
      <c r="M2979" s="487"/>
      <c r="N2979" s="487"/>
      <c r="O2979" s="487"/>
      <c r="P2979" s="487">
        <f t="shared" si="223"/>
        <v>0</v>
      </c>
      <c r="Q2979" s="487"/>
    </row>
    <row r="2980" spans="1:17" x14ac:dyDescent="0.3">
      <c r="A2980" s="487" t="b">
        <f t="shared" ca="1" si="224"/>
        <v>0</v>
      </c>
      <c r="B2980" s="500" t="str">
        <f ca="1">IF(COUNTA(G$2360:G2979)=1,"",OFFSET(B2980,-COUNTA(G$2360:G2979)+1,0))</f>
        <v>a1b3p000003dxgbAAA</v>
      </c>
      <c r="C2980" s="502">
        <f ca="1">IF(COUNTA(G$2360:G2979)=1,"",OFFSET(C2980,-COUNTA(G$2360:G2979)+1,0))</f>
        <v>23</v>
      </c>
      <c r="D2980" s="487">
        <f t="shared" si="220"/>
        <v>138</v>
      </c>
      <c r="E2980" s="487">
        <f t="shared" ca="1" si="221"/>
        <v>6</v>
      </c>
      <c r="F2980" s="487">
        <f t="shared" ca="1" si="222"/>
        <v>31</v>
      </c>
      <c r="G2980" s="487"/>
      <c r="H2980" s="493" t="str">
        <f t="shared" ca="1" si="225"/>
        <v/>
      </c>
      <c r="I2980" s="493" t="str">
        <f t="shared" ca="1" si="226"/>
        <v/>
      </c>
      <c r="J2980" s="493" t="str">
        <f t="shared" ca="1" si="227"/>
        <v/>
      </c>
      <c r="K2980" s="493" t="str">
        <f t="shared" ca="1" si="228"/>
        <v/>
      </c>
      <c r="L2980" s="487"/>
      <c r="M2980" s="487"/>
      <c r="N2980" s="487"/>
      <c r="O2980" s="487"/>
      <c r="P2980" s="487">
        <f t="shared" si="223"/>
        <v>0</v>
      </c>
      <c r="Q2980" s="487"/>
    </row>
    <row r="2981" spans="1:17" x14ac:dyDescent="0.3">
      <c r="A2981" s="487" t="b">
        <f t="shared" ca="1" si="224"/>
        <v>0</v>
      </c>
      <c r="B2981" s="500" t="str">
        <f ca="1">IF(COUNTA(G$2360:G2980)=1,"",OFFSET(B2981,-COUNTA(G$2360:G2980)+1,0))</f>
        <v>a1b3p000003dxaAAAQ</v>
      </c>
      <c r="C2981" s="502">
        <f ca="1">IF(COUNTA(G$2360:G2980)=1,"",OFFSET(C2981,-COUNTA(G$2360:G2980)+1,0))</f>
        <v>24</v>
      </c>
      <c r="D2981" s="487">
        <f t="shared" si="220"/>
        <v>139</v>
      </c>
      <c r="E2981" s="487">
        <f t="shared" ca="1" si="221"/>
        <v>1</v>
      </c>
      <c r="F2981" s="487">
        <f t="shared" ca="1" si="222"/>
        <v>32</v>
      </c>
      <c r="G2981" s="487"/>
      <c r="H2981" s="493" t="str">
        <f t="shared" ca="1" si="225"/>
        <v/>
      </c>
      <c r="I2981" s="493" t="str">
        <f t="shared" ca="1" si="226"/>
        <v/>
      </c>
      <c r="J2981" s="493" t="str">
        <f t="shared" ca="1" si="227"/>
        <v/>
      </c>
      <c r="K2981" s="493" t="str">
        <f t="shared" ca="1" si="228"/>
        <v/>
      </c>
      <c r="L2981" s="487"/>
      <c r="M2981" s="487"/>
      <c r="N2981" s="487"/>
      <c r="O2981" s="487"/>
      <c r="P2981" s="487">
        <f t="shared" si="223"/>
        <v>0</v>
      </c>
      <c r="Q2981" s="487"/>
    </row>
    <row r="2982" spans="1:17" x14ac:dyDescent="0.3">
      <c r="A2982" s="487" t="b">
        <f t="shared" ca="1" si="224"/>
        <v>0</v>
      </c>
      <c r="B2982" s="500" t="str">
        <f ca="1">IF(COUNTA(G$2360:G2981)=1,"",OFFSET(B2982,-COUNTA(G$2360:G2981)+1,0))</f>
        <v>a1b3p000003dxbSAAQ</v>
      </c>
      <c r="C2982" s="502">
        <f ca="1">IF(COUNTA(G$2360:G2981)=1,"",OFFSET(C2982,-COUNTA(G$2360:G2981)+1,0))</f>
        <v>24</v>
      </c>
      <c r="D2982" s="487">
        <f t="shared" si="220"/>
        <v>140</v>
      </c>
      <c r="E2982" s="487">
        <f t="shared" ca="1" si="221"/>
        <v>2</v>
      </c>
      <c r="F2982" s="487">
        <f t="shared" ca="1" si="222"/>
        <v>32</v>
      </c>
      <c r="G2982" s="487"/>
      <c r="H2982" s="493" t="str">
        <f t="shared" ca="1" si="225"/>
        <v/>
      </c>
      <c r="I2982" s="493" t="str">
        <f t="shared" ca="1" si="226"/>
        <v/>
      </c>
      <c r="J2982" s="493" t="str">
        <f t="shared" ca="1" si="227"/>
        <v/>
      </c>
      <c r="K2982" s="493" t="str">
        <f t="shared" ca="1" si="228"/>
        <v/>
      </c>
      <c r="L2982" s="487"/>
      <c r="M2982" s="487"/>
      <c r="N2982" s="487"/>
      <c r="O2982" s="487"/>
      <c r="P2982" s="487">
        <f t="shared" si="223"/>
        <v>0</v>
      </c>
      <c r="Q2982" s="487"/>
    </row>
    <row r="2983" spans="1:17" x14ac:dyDescent="0.3">
      <c r="A2983" s="487" t="b">
        <f t="shared" ca="1" si="224"/>
        <v>0</v>
      </c>
      <c r="B2983" s="500" t="str">
        <f ca="1">IF(COUNTA(G$2360:G2982)=1,"",OFFSET(B2983,-COUNTA(G$2360:G2982)+1,0))</f>
        <v>a1b3p000003dxckAAA</v>
      </c>
      <c r="C2983" s="502">
        <f ca="1">IF(COUNTA(G$2360:G2982)=1,"",OFFSET(C2983,-COUNTA(G$2360:G2982)+1,0))</f>
        <v>24</v>
      </c>
      <c r="D2983" s="487">
        <f t="shared" si="220"/>
        <v>141</v>
      </c>
      <c r="E2983" s="487">
        <f t="shared" ca="1" si="221"/>
        <v>3</v>
      </c>
      <c r="F2983" s="487">
        <f t="shared" ca="1" si="222"/>
        <v>32</v>
      </c>
      <c r="G2983" s="487"/>
      <c r="H2983" s="493" t="str">
        <f t="shared" ca="1" si="225"/>
        <v/>
      </c>
      <c r="I2983" s="493" t="str">
        <f t="shared" ca="1" si="226"/>
        <v/>
      </c>
      <c r="J2983" s="493" t="str">
        <f t="shared" ca="1" si="227"/>
        <v/>
      </c>
      <c r="K2983" s="493" t="str">
        <f t="shared" ca="1" si="228"/>
        <v/>
      </c>
      <c r="L2983" s="487"/>
      <c r="M2983" s="487"/>
      <c r="N2983" s="487"/>
      <c r="O2983" s="487"/>
      <c r="P2983" s="487">
        <f t="shared" si="223"/>
        <v>0</v>
      </c>
      <c r="Q2983" s="487"/>
    </row>
    <row r="2984" spans="1:17" x14ac:dyDescent="0.3">
      <c r="A2984" s="487" t="b">
        <f t="shared" ca="1" si="224"/>
        <v>0</v>
      </c>
      <c r="B2984" s="500" t="str">
        <f ca="1">IF(COUNTA(G$2360:G2983)=1,"",OFFSET(B2984,-COUNTA(G$2360:G2983)+1,0))</f>
        <v>a1b3p000003dxe2AAA</v>
      </c>
      <c r="C2984" s="502">
        <f ca="1">IF(COUNTA(G$2360:G2983)=1,"",OFFSET(C2984,-COUNTA(G$2360:G2983)+1,0))</f>
        <v>24</v>
      </c>
      <c r="D2984" s="487">
        <f t="shared" si="220"/>
        <v>142</v>
      </c>
      <c r="E2984" s="487">
        <f t="shared" ca="1" si="221"/>
        <v>4</v>
      </c>
      <c r="F2984" s="487">
        <f t="shared" ca="1" si="222"/>
        <v>32</v>
      </c>
      <c r="G2984" s="487"/>
      <c r="H2984" s="493" t="str">
        <f t="shared" ca="1" si="225"/>
        <v/>
      </c>
      <c r="I2984" s="493" t="str">
        <f t="shared" ca="1" si="226"/>
        <v/>
      </c>
      <c r="J2984" s="493" t="str">
        <f t="shared" ca="1" si="227"/>
        <v/>
      </c>
      <c r="K2984" s="493" t="str">
        <f t="shared" ca="1" si="228"/>
        <v/>
      </c>
      <c r="L2984" s="487"/>
      <c r="M2984" s="487"/>
      <c r="N2984" s="487"/>
      <c r="O2984" s="487"/>
      <c r="P2984" s="487">
        <f t="shared" si="223"/>
        <v>0</v>
      </c>
      <c r="Q2984" s="487"/>
    </row>
    <row r="2985" spans="1:17" x14ac:dyDescent="0.3">
      <c r="A2985" s="487" t="b">
        <f t="shared" ca="1" si="224"/>
        <v>0</v>
      </c>
      <c r="B2985" s="500" t="str">
        <f ca="1">IF(COUNTA(G$2360:G2984)=1,"",OFFSET(B2985,-COUNTA(G$2360:G2984)+1,0))</f>
        <v>a1b3p000003dxfKAAQ</v>
      </c>
      <c r="C2985" s="502">
        <f ca="1">IF(COUNTA(G$2360:G2984)=1,"",OFFSET(C2985,-COUNTA(G$2360:G2984)+1,0))</f>
        <v>24</v>
      </c>
      <c r="D2985" s="487">
        <f t="shared" si="220"/>
        <v>143</v>
      </c>
      <c r="E2985" s="487">
        <f t="shared" ca="1" si="221"/>
        <v>5</v>
      </c>
      <c r="F2985" s="487">
        <f t="shared" ca="1" si="222"/>
        <v>32</v>
      </c>
      <c r="G2985" s="487"/>
      <c r="H2985" s="493" t="str">
        <f t="shared" ca="1" si="225"/>
        <v/>
      </c>
      <c r="I2985" s="493" t="str">
        <f t="shared" ca="1" si="226"/>
        <v/>
      </c>
      <c r="J2985" s="493" t="str">
        <f t="shared" ca="1" si="227"/>
        <v/>
      </c>
      <c r="K2985" s="493" t="str">
        <f t="shared" ca="1" si="228"/>
        <v/>
      </c>
      <c r="L2985" s="487"/>
      <c r="M2985" s="487"/>
      <c r="N2985" s="487"/>
      <c r="O2985" s="487"/>
      <c r="P2985" s="487">
        <f t="shared" si="223"/>
        <v>0</v>
      </c>
      <c r="Q2985" s="487"/>
    </row>
    <row r="2986" spans="1:17" x14ac:dyDescent="0.3">
      <c r="A2986" s="487" t="b">
        <f t="shared" ca="1" si="224"/>
        <v>0</v>
      </c>
      <c r="B2986" s="500" t="str">
        <f ca="1">IF(COUNTA(G$2360:G2985)=1,"",OFFSET(B2986,-COUNTA(G$2360:G2985)+1,0))</f>
        <v>a1b3p000003dxgcAAA</v>
      </c>
      <c r="C2986" s="502">
        <f ca="1">IF(COUNTA(G$2360:G2985)=1,"",OFFSET(C2986,-COUNTA(G$2360:G2985)+1,0))</f>
        <v>24</v>
      </c>
      <c r="D2986" s="487">
        <f t="shared" si="220"/>
        <v>144</v>
      </c>
      <c r="E2986" s="487">
        <f t="shared" ca="1" si="221"/>
        <v>6</v>
      </c>
      <c r="F2986" s="487">
        <f t="shared" ca="1" si="222"/>
        <v>32</v>
      </c>
      <c r="G2986" s="487"/>
      <c r="H2986" s="493" t="str">
        <f t="shared" ca="1" si="225"/>
        <v/>
      </c>
      <c r="I2986" s="493" t="str">
        <f t="shared" ca="1" si="226"/>
        <v/>
      </c>
      <c r="J2986" s="493" t="str">
        <f t="shared" ca="1" si="227"/>
        <v/>
      </c>
      <c r="K2986" s="493" t="str">
        <f t="shared" ca="1" si="228"/>
        <v/>
      </c>
      <c r="L2986" s="487"/>
      <c r="M2986" s="487"/>
      <c r="N2986" s="487"/>
      <c r="O2986" s="487"/>
      <c r="P2986" s="487">
        <f t="shared" si="223"/>
        <v>0</v>
      </c>
      <c r="Q2986" s="487"/>
    </row>
    <row r="2987" spans="1:17" x14ac:dyDescent="0.3">
      <c r="A2987" s="487" t="b">
        <f t="shared" ca="1" si="224"/>
        <v>0</v>
      </c>
      <c r="B2987" s="500" t="str">
        <f ca="1">IF(COUNTA(G$2360:G2986)=1,"",OFFSET(B2987,-COUNTA(G$2360:G2986)+1,0))</f>
        <v>a1b3p000003dxaBAAQ</v>
      </c>
      <c r="C2987" s="502">
        <f ca="1">IF(COUNTA(G$2360:G2986)=1,"",OFFSET(C2987,-COUNTA(G$2360:G2986)+1,0))</f>
        <v>25</v>
      </c>
      <c r="D2987" s="487">
        <f t="shared" si="220"/>
        <v>145</v>
      </c>
      <c r="E2987" s="487">
        <f t="shared" ca="1" si="221"/>
        <v>1</v>
      </c>
      <c r="F2987" s="487">
        <f t="shared" ca="1" si="222"/>
        <v>33</v>
      </c>
      <c r="G2987" s="487"/>
      <c r="H2987" s="493" t="str">
        <f t="shared" ca="1" si="225"/>
        <v/>
      </c>
      <c r="I2987" s="493" t="str">
        <f t="shared" ca="1" si="226"/>
        <v/>
      </c>
      <c r="J2987" s="493" t="str">
        <f t="shared" ca="1" si="227"/>
        <v/>
      </c>
      <c r="K2987" s="493" t="str">
        <f t="shared" ca="1" si="228"/>
        <v/>
      </c>
      <c r="L2987" s="487"/>
      <c r="M2987" s="487"/>
      <c r="N2987" s="487"/>
      <c r="O2987" s="487"/>
      <c r="P2987" s="487">
        <f t="shared" si="223"/>
        <v>0</v>
      </c>
      <c r="Q2987" s="487"/>
    </row>
    <row r="2988" spans="1:17" x14ac:dyDescent="0.3">
      <c r="A2988" s="487" t="b">
        <f t="shared" ca="1" si="224"/>
        <v>0</v>
      </c>
      <c r="B2988" s="500" t="str">
        <f ca="1">IF(COUNTA(G$2360:G2987)=1,"",OFFSET(B2988,-COUNTA(G$2360:G2987)+1,0))</f>
        <v>a1b3p000003dxbTAAQ</v>
      </c>
      <c r="C2988" s="502">
        <f ca="1">IF(COUNTA(G$2360:G2987)=1,"",OFFSET(C2988,-COUNTA(G$2360:G2987)+1,0))</f>
        <v>25</v>
      </c>
      <c r="D2988" s="487">
        <f t="shared" si="220"/>
        <v>146</v>
      </c>
      <c r="E2988" s="487">
        <f t="shared" ca="1" si="221"/>
        <v>2</v>
      </c>
      <c r="F2988" s="487">
        <f t="shared" ca="1" si="222"/>
        <v>33</v>
      </c>
      <c r="G2988" s="487"/>
      <c r="H2988" s="493" t="str">
        <f t="shared" ca="1" si="225"/>
        <v/>
      </c>
      <c r="I2988" s="493" t="str">
        <f t="shared" ca="1" si="226"/>
        <v/>
      </c>
      <c r="J2988" s="493" t="str">
        <f t="shared" ca="1" si="227"/>
        <v/>
      </c>
      <c r="K2988" s="493" t="str">
        <f t="shared" ca="1" si="228"/>
        <v/>
      </c>
      <c r="L2988" s="487"/>
      <c r="M2988" s="487"/>
      <c r="N2988" s="487"/>
      <c r="O2988" s="487"/>
      <c r="P2988" s="487">
        <f t="shared" si="223"/>
        <v>0</v>
      </c>
      <c r="Q2988" s="487"/>
    </row>
    <row r="2989" spans="1:17" x14ac:dyDescent="0.3">
      <c r="A2989" s="487" t="b">
        <f t="shared" ca="1" si="224"/>
        <v>0</v>
      </c>
      <c r="B2989" s="500" t="str">
        <f ca="1">IF(COUNTA(G$2360:G2988)=1,"",OFFSET(B2989,-COUNTA(G$2360:G2988)+1,0))</f>
        <v>a1b3p000003dxclAAA</v>
      </c>
      <c r="C2989" s="502">
        <f ca="1">IF(COUNTA(G$2360:G2988)=1,"",OFFSET(C2989,-COUNTA(G$2360:G2988)+1,0))</f>
        <v>25</v>
      </c>
      <c r="D2989" s="487">
        <f t="shared" si="220"/>
        <v>147</v>
      </c>
      <c r="E2989" s="487">
        <f t="shared" ca="1" si="221"/>
        <v>3</v>
      </c>
      <c r="F2989" s="487">
        <f t="shared" ca="1" si="222"/>
        <v>33</v>
      </c>
      <c r="G2989" s="487"/>
      <c r="H2989" s="493" t="str">
        <f t="shared" ca="1" si="225"/>
        <v/>
      </c>
      <c r="I2989" s="493" t="str">
        <f t="shared" ca="1" si="226"/>
        <v/>
      </c>
      <c r="J2989" s="493" t="str">
        <f t="shared" ca="1" si="227"/>
        <v/>
      </c>
      <c r="K2989" s="493" t="str">
        <f t="shared" ca="1" si="228"/>
        <v/>
      </c>
      <c r="L2989" s="487"/>
      <c r="M2989" s="487"/>
      <c r="N2989" s="487"/>
      <c r="O2989" s="487"/>
      <c r="P2989" s="487">
        <f t="shared" si="223"/>
        <v>0</v>
      </c>
      <c r="Q2989" s="487"/>
    </row>
    <row r="2990" spans="1:17" x14ac:dyDescent="0.3">
      <c r="A2990" s="487" t="b">
        <f t="shared" ca="1" si="224"/>
        <v>0</v>
      </c>
      <c r="B2990" s="500" t="str">
        <f ca="1">IF(COUNTA(G$2360:G2989)=1,"",OFFSET(B2990,-COUNTA(G$2360:G2989)+1,0))</f>
        <v>a1b3p000003dxe3AAA</v>
      </c>
      <c r="C2990" s="502">
        <f ca="1">IF(COUNTA(G$2360:G2989)=1,"",OFFSET(C2990,-COUNTA(G$2360:G2989)+1,0))</f>
        <v>25</v>
      </c>
      <c r="D2990" s="487">
        <f t="shared" si="220"/>
        <v>148</v>
      </c>
      <c r="E2990" s="487">
        <f t="shared" ca="1" si="221"/>
        <v>4</v>
      </c>
      <c r="F2990" s="487">
        <f t="shared" ca="1" si="222"/>
        <v>33</v>
      </c>
      <c r="G2990" s="487"/>
      <c r="H2990" s="493" t="str">
        <f t="shared" ca="1" si="225"/>
        <v/>
      </c>
      <c r="I2990" s="493" t="str">
        <f t="shared" ca="1" si="226"/>
        <v/>
      </c>
      <c r="J2990" s="493" t="str">
        <f t="shared" ca="1" si="227"/>
        <v/>
      </c>
      <c r="K2990" s="493" t="str">
        <f t="shared" ca="1" si="228"/>
        <v/>
      </c>
      <c r="L2990" s="487"/>
      <c r="M2990" s="487"/>
      <c r="N2990" s="487"/>
      <c r="O2990" s="487"/>
      <c r="P2990" s="487">
        <f t="shared" si="223"/>
        <v>0</v>
      </c>
      <c r="Q2990" s="487"/>
    </row>
    <row r="2991" spans="1:17" x14ac:dyDescent="0.3">
      <c r="A2991" s="487" t="b">
        <f t="shared" ca="1" si="224"/>
        <v>0</v>
      </c>
      <c r="B2991" s="500" t="str">
        <f ca="1">IF(COUNTA(G$2360:G2990)=1,"",OFFSET(B2991,-COUNTA(G$2360:G2990)+1,0))</f>
        <v>a1b3p000003dxfLAAQ</v>
      </c>
      <c r="C2991" s="502">
        <f ca="1">IF(COUNTA(G$2360:G2990)=1,"",OFFSET(C2991,-COUNTA(G$2360:G2990)+1,0))</f>
        <v>25</v>
      </c>
      <c r="D2991" s="487">
        <f t="shared" si="220"/>
        <v>149</v>
      </c>
      <c r="E2991" s="487">
        <f t="shared" ca="1" si="221"/>
        <v>5</v>
      </c>
      <c r="F2991" s="487">
        <f t="shared" ca="1" si="222"/>
        <v>33</v>
      </c>
      <c r="G2991" s="487"/>
      <c r="H2991" s="493" t="str">
        <f t="shared" ca="1" si="225"/>
        <v/>
      </c>
      <c r="I2991" s="493" t="str">
        <f t="shared" ca="1" si="226"/>
        <v/>
      </c>
      <c r="J2991" s="493" t="str">
        <f t="shared" ca="1" si="227"/>
        <v/>
      </c>
      <c r="K2991" s="493" t="str">
        <f t="shared" ca="1" si="228"/>
        <v/>
      </c>
      <c r="L2991" s="487"/>
      <c r="M2991" s="487"/>
      <c r="N2991" s="487"/>
      <c r="O2991" s="487"/>
      <c r="P2991" s="487">
        <f t="shared" si="223"/>
        <v>0</v>
      </c>
      <c r="Q2991" s="487"/>
    </row>
    <row r="2992" spans="1:17" x14ac:dyDescent="0.3">
      <c r="A2992" s="487" t="b">
        <f t="shared" ca="1" si="224"/>
        <v>0</v>
      </c>
      <c r="B2992" s="500" t="str">
        <f ca="1">IF(COUNTA(G$2360:G2991)=1,"",OFFSET(B2992,-COUNTA(G$2360:G2991)+1,0))</f>
        <v>a1b3p000003dxgdAAA</v>
      </c>
      <c r="C2992" s="502">
        <f ca="1">IF(COUNTA(G$2360:G2991)=1,"",OFFSET(C2992,-COUNTA(G$2360:G2991)+1,0))</f>
        <v>25</v>
      </c>
      <c r="D2992" s="487">
        <f t="shared" si="220"/>
        <v>150</v>
      </c>
      <c r="E2992" s="487">
        <f t="shared" ca="1" si="221"/>
        <v>6</v>
      </c>
      <c r="F2992" s="487">
        <f t="shared" ca="1" si="222"/>
        <v>33</v>
      </c>
      <c r="G2992" s="487"/>
      <c r="H2992" s="493" t="str">
        <f t="shared" ca="1" si="225"/>
        <v/>
      </c>
      <c r="I2992" s="493" t="str">
        <f t="shared" ca="1" si="226"/>
        <v/>
      </c>
      <c r="J2992" s="493" t="str">
        <f t="shared" ca="1" si="227"/>
        <v/>
      </c>
      <c r="K2992" s="493" t="str">
        <f t="shared" ca="1" si="228"/>
        <v/>
      </c>
      <c r="L2992" s="487"/>
      <c r="M2992" s="487"/>
      <c r="N2992" s="487"/>
      <c r="O2992" s="487"/>
      <c r="P2992" s="487">
        <f t="shared" si="223"/>
        <v>0</v>
      </c>
      <c r="Q2992" s="487"/>
    </row>
    <row r="2993" spans="1:17" x14ac:dyDescent="0.3">
      <c r="A2993" s="487" t="b">
        <f t="shared" ca="1" si="224"/>
        <v>0</v>
      </c>
      <c r="B2993" s="500" t="str">
        <f ca="1">IF(COUNTA(G$2360:G2992)=1,"",OFFSET(B2993,-COUNTA(G$2360:G2992)+1,0))</f>
        <v>a1b3p000003dxaCAAQ</v>
      </c>
      <c r="C2993" s="502">
        <f ca="1">IF(COUNTA(G$2360:G2992)=1,"",OFFSET(C2993,-COUNTA(G$2360:G2992)+1,0))</f>
        <v>26</v>
      </c>
      <c r="D2993" s="487">
        <f t="shared" si="220"/>
        <v>151</v>
      </c>
      <c r="E2993" s="487">
        <f t="shared" ca="1" si="221"/>
        <v>1</v>
      </c>
      <c r="F2993" s="487">
        <f t="shared" ca="1" si="222"/>
        <v>34</v>
      </c>
      <c r="G2993" s="487"/>
      <c r="H2993" s="493" t="str">
        <f t="shared" ca="1" si="225"/>
        <v/>
      </c>
      <c r="I2993" s="493" t="str">
        <f t="shared" ca="1" si="226"/>
        <v/>
      </c>
      <c r="J2993" s="493" t="str">
        <f t="shared" ca="1" si="227"/>
        <v/>
      </c>
      <c r="K2993" s="493" t="str">
        <f t="shared" ca="1" si="228"/>
        <v/>
      </c>
      <c r="L2993" s="487"/>
      <c r="M2993" s="487"/>
      <c r="N2993" s="487"/>
      <c r="O2993" s="487"/>
      <c r="P2993" s="487">
        <f t="shared" si="223"/>
        <v>0</v>
      </c>
      <c r="Q2993" s="487"/>
    </row>
    <row r="2994" spans="1:17" x14ac:dyDescent="0.3">
      <c r="A2994" s="487" t="b">
        <f t="shared" ca="1" si="224"/>
        <v>0</v>
      </c>
      <c r="B2994" s="500" t="str">
        <f ca="1">IF(COUNTA(G$2360:G2993)=1,"",OFFSET(B2994,-COUNTA(G$2360:G2993)+1,0))</f>
        <v>a1b3p000003dxbUAAQ</v>
      </c>
      <c r="C2994" s="502">
        <f ca="1">IF(COUNTA(G$2360:G2993)=1,"",OFFSET(C2994,-COUNTA(G$2360:G2993)+1,0))</f>
        <v>26</v>
      </c>
      <c r="D2994" s="487">
        <f t="shared" si="220"/>
        <v>152</v>
      </c>
      <c r="E2994" s="487">
        <f t="shared" ca="1" si="221"/>
        <v>2</v>
      </c>
      <c r="F2994" s="487">
        <f t="shared" ca="1" si="222"/>
        <v>34</v>
      </c>
      <c r="G2994" s="487"/>
      <c r="H2994" s="493" t="str">
        <f t="shared" ca="1" si="225"/>
        <v/>
      </c>
      <c r="I2994" s="493" t="str">
        <f t="shared" ca="1" si="226"/>
        <v/>
      </c>
      <c r="J2994" s="493" t="str">
        <f t="shared" ca="1" si="227"/>
        <v/>
      </c>
      <c r="K2994" s="493" t="str">
        <f t="shared" ca="1" si="228"/>
        <v/>
      </c>
      <c r="L2994" s="487"/>
      <c r="M2994" s="487"/>
      <c r="N2994" s="487"/>
      <c r="O2994" s="487"/>
      <c r="P2994" s="487">
        <f t="shared" si="223"/>
        <v>0</v>
      </c>
      <c r="Q2994" s="487"/>
    </row>
    <row r="2995" spans="1:17" x14ac:dyDescent="0.3">
      <c r="A2995" s="487" t="b">
        <f t="shared" ca="1" si="224"/>
        <v>0</v>
      </c>
      <c r="B2995" s="500" t="str">
        <f ca="1">IF(COUNTA(G$2360:G2994)=1,"",OFFSET(B2995,-COUNTA(G$2360:G2994)+1,0))</f>
        <v>a1b3p000003dxcmAAA</v>
      </c>
      <c r="C2995" s="502">
        <f ca="1">IF(COUNTA(G$2360:G2994)=1,"",OFFSET(C2995,-COUNTA(G$2360:G2994)+1,0))</f>
        <v>26</v>
      </c>
      <c r="D2995" s="487">
        <f t="shared" si="220"/>
        <v>153</v>
      </c>
      <c r="E2995" s="487">
        <f t="shared" ca="1" si="221"/>
        <v>3</v>
      </c>
      <c r="F2995" s="487">
        <f t="shared" ca="1" si="222"/>
        <v>34</v>
      </c>
      <c r="G2995" s="487"/>
      <c r="H2995" s="493" t="str">
        <f t="shared" ca="1" si="225"/>
        <v/>
      </c>
      <c r="I2995" s="493" t="str">
        <f t="shared" ca="1" si="226"/>
        <v/>
      </c>
      <c r="J2995" s="493" t="str">
        <f t="shared" ca="1" si="227"/>
        <v/>
      </c>
      <c r="K2995" s="493" t="str">
        <f t="shared" ca="1" si="228"/>
        <v/>
      </c>
      <c r="L2995" s="487"/>
      <c r="M2995" s="487"/>
      <c r="N2995" s="487"/>
      <c r="O2995" s="487"/>
      <c r="P2995" s="487">
        <f t="shared" si="223"/>
        <v>0</v>
      </c>
      <c r="Q2995" s="487"/>
    </row>
    <row r="2996" spans="1:17" x14ac:dyDescent="0.3">
      <c r="A2996" s="487" t="b">
        <f t="shared" ca="1" si="224"/>
        <v>0</v>
      </c>
      <c r="B2996" s="500" t="str">
        <f ca="1">IF(COUNTA(G$2360:G2995)=1,"",OFFSET(B2996,-COUNTA(G$2360:G2995)+1,0))</f>
        <v>a1b3p000003dxe4AAA</v>
      </c>
      <c r="C2996" s="502">
        <f ca="1">IF(COUNTA(G$2360:G2995)=1,"",OFFSET(C2996,-COUNTA(G$2360:G2995)+1,0))</f>
        <v>26</v>
      </c>
      <c r="D2996" s="487">
        <f t="shared" si="220"/>
        <v>154</v>
      </c>
      <c r="E2996" s="487">
        <f t="shared" ca="1" si="221"/>
        <v>4</v>
      </c>
      <c r="F2996" s="487">
        <f t="shared" ca="1" si="222"/>
        <v>34</v>
      </c>
      <c r="G2996" s="487"/>
      <c r="H2996" s="493" t="str">
        <f t="shared" ca="1" si="225"/>
        <v/>
      </c>
      <c r="I2996" s="493" t="str">
        <f t="shared" ca="1" si="226"/>
        <v/>
      </c>
      <c r="J2996" s="493" t="str">
        <f t="shared" ca="1" si="227"/>
        <v/>
      </c>
      <c r="K2996" s="493" t="str">
        <f t="shared" ca="1" si="228"/>
        <v/>
      </c>
      <c r="L2996" s="487"/>
      <c r="M2996" s="487"/>
      <c r="N2996" s="487"/>
      <c r="O2996" s="487"/>
      <c r="P2996" s="487">
        <f t="shared" si="223"/>
        <v>0</v>
      </c>
      <c r="Q2996" s="487"/>
    </row>
    <row r="2997" spans="1:17" x14ac:dyDescent="0.3">
      <c r="A2997" s="487" t="b">
        <f t="shared" ca="1" si="224"/>
        <v>0</v>
      </c>
      <c r="B2997" s="500" t="str">
        <f ca="1">IF(COUNTA(G$2360:G2996)=1,"",OFFSET(B2997,-COUNTA(G$2360:G2996)+1,0))</f>
        <v>a1b3p000003dxfMAAQ</v>
      </c>
      <c r="C2997" s="502">
        <f ca="1">IF(COUNTA(G$2360:G2996)=1,"",OFFSET(C2997,-COUNTA(G$2360:G2996)+1,0))</f>
        <v>26</v>
      </c>
      <c r="D2997" s="487">
        <f t="shared" si="220"/>
        <v>155</v>
      </c>
      <c r="E2997" s="487">
        <f t="shared" ca="1" si="221"/>
        <v>5</v>
      </c>
      <c r="F2997" s="487">
        <f t="shared" ca="1" si="222"/>
        <v>34</v>
      </c>
      <c r="G2997" s="487"/>
      <c r="H2997" s="493" t="str">
        <f t="shared" ca="1" si="225"/>
        <v/>
      </c>
      <c r="I2997" s="493" t="str">
        <f t="shared" ca="1" si="226"/>
        <v/>
      </c>
      <c r="J2997" s="493" t="str">
        <f t="shared" ca="1" si="227"/>
        <v/>
      </c>
      <c r="K2997" s="493" t="str">
        <f t="shared" ca="1" si="228"/>
        <v/>
      </c>
      <c r="L2997" s="487"/>
      <c r="M2997" s="487"/>
      <c r="N2997" s="487"/>
      <c r="O2997" s="487"/>
      <c r="P2997" s="487">
        <f t="shared" si="223"/>
        <v>0</v>
      </c>
      <c r="Q2997" s="487"/>
    </row>
    <row r="2998" spans="1:17" x14ac:dyDescent="0.3">
      <c r="A2998" s="487" t="b">
        <f t="shared" ca="1" si="224"/>
        <v>0</v>
      </c>
      <c r="B2998" s="500" t="str">
        <f ca="1">IF(COUNTA(G$2360:G2997)=1,"",OFFSET(B2998,-COUNTA(G$2360:G2997)+1,0))</f>
        <v>a1b3p000003dxgeAAA</v>
      </c>
      <c r="C2998" s="502">
        <f ca="1">IF(COUNTA(G$2360:G2997)=1,"",OFFSET(C2998,-COUNTA(G$2360:G2997)+1,0))</f>
        <v>26</v>
      </c>
      <c r="D2998" s="487">
        <f t="shared" si="220"/>
        <v>156</v>
      </c>
      <c r="E2998" s="487">
        <f t="shared" ca="1" si="221"/>
        <v>6</v>
      </c>
      <c r="F2998" s="487">
        <f t="shared" ca="1" si="222"/>
        <v>34</v>
      </c>
      <c r="G2998" s="487"/>
      <c r="H2998" s="493" t="str">
        <f t="shared" ca="1" si="225"/>
        <v/>
      </c>
      <c r="I2998" s="493" t="str">
        <f t="shared" ca="1" si="226"/>
        <v/>
      </c>
      <c r="J2998" s="493" t="str">
        <f t="shared" ca="1" si="227"/>
        <v/>
      </c>
      <c r="K2998" s="493" t="str">
        <f t="shared" ca="1" si="228"/>
        <v/>
      </c>
      <c r="L2998" s="487"/>
      <c r="M2998" s="487"/>
      <c r="N2998" s="487"/>
      <c r="O2998" s="487"/>
      <c r="P2998" s="487">
        <f t="shared" si="223"/>
        <v>0</v>
      </c>
      <c r="Q2998" s="487"/>
    </row>
    <row r="2999" spans="1:17" x14ac:dyDescent="0.3">
      <c r="A2999" s="487" t="b">
        <f t="shared" ca="1" si="224"/>
        <v>0</v>
      </c>
      <c r="B2999" s="500" t="str">
        <f ca="1">IF(COUNTA(G$2360:G2998)=1,"",OFFSET(B2999,-COUNTA(G$2360:G2998)+1,0))</f>
        <v>a1b3p000003dxaDAAQ</v>
      </c>
      <c r="C2999" s="502">
        <f ca="1">IF(COUNTA(G$2360:G2998)=1,"",OFFSET(C2999,-COUNTA(G$2360:G2998)+1,0))</f>
        <v>27</v>
      </c>
      <c r="D2999" s="487">
        <f t="shared" si="220"/>
        <v>157</v>
      </c>
      <c r="E2999" s="487">
        <f t="shared" ca="1" si="221"/>
        <v>1</v>
      </c>
      <c r="F2999" s="487">
        <f t="shared" ca="1" si="222"/>
        <v>35</v>
      </c>
      <c r="G2999" s="487"/>
      <c r="H2999" s="493" t="str">
        <f t="shared" ca="1" si="225"/>
        <v/>
      </c>
      <c r="I2999" s="493" t="str">
        <f t="shared" ca="1" si="226"/>
        <v/>
      </c>
      <c r="J2999" s="493" t="str">
        <f t="shared" ca="1" si="227"/>
        <v/>
      </c>
      <c r="K2999" s="493" t="str">
        <f t="shared" ca="1" si="228"/>
        <v/>
      </c>
      <c r="L2999" s="487"/>
      <c r="M2999" s="487"/>
      <c r="N2999" s="487"/>
      <c r="O2999" s="487"/>
      <c r="P2999" s="487">
        <f t="shared" si="223"/>
        <v>0</v>
      </c>
      <c r="Q2999" s="487"/>
    </row>
    <row r="3000" spans="1:17" x14ac:dyDescent="0.3">
      <c r="A3000" s="487" t="b">
        <f t="shared" ca="1" si="224"/>
        <v>0</v>
      </c>
      <c r="B3000" s="500" t="str">
        <f ca="1">IF(COUNTA(G$2360:G2999)=1,"",OFFSET(B3000,-COUNTA(G$2360:G2999)+1,0))</f>
        <v>a1b3p000003dxbVAAQ</v>
      </c>
      <c r="C3000" s="502">
        <f ca="1">IF(COUNTA(G$2360:G2999)=1,"",OFFSET(C3000,-COUNTA(G$2360:G2999)+1,0))</f>
        <v>27</v>
      </c>
      <c r="D3000" s="487">
        <f t="shared" si="220"/>
        <v>158</v>
      </c>
      <c r="E3000" s="487">
        <f t="shared" ca="1" si="221"/>
        <v>2</v>
      </c>
      <c r="F3000" s="487">
        <f t="shared" ca="1" si="222"/>
        <v>35</v>
      </c>
      <c r="G3000" s="487"/>
      <c r="H3000" s="493" t="str">
        <f t="shared" ca="1" si="225"/>
        <v/>
      </c>
      <c r="I3000" s="493" t="str">
        <f t="shared" ca="1" si="226"/>
        <v/>
      </c>
      <c r="J3000" s="493" t="str">
        <f t="shared" ca="1" si="227"/>
        <v/>
      </c>
      <c r="K3000" s="493" t="str">
        <f t="shared" ca="1" si="228"/>
        <v/>
      </c>
      <c r="L3000" s="487"/>
      <c r="M3000" s="487"/>
      <c r="N3000" s="487"/>
      <c r="O3000" s="487"/>
      <c r="P3000" s="487">
        <f t="shared" si="223"/>
        <v>0</v>
      </c>
      <c r="Q3000" s="487"/>
    </row>
    <row r="3001" spans="1:17" x14ac:dyDescent="0.3">
      <c r="A3001" s="487" t="b">
        <f t="shared" ca="1" si="224"/>
        <v>0</v>
      </c>
      <c r="B3001" s="500" t="str">
        <f ca="1">IF(COUNTA(G$2360:G3000)=1,"",OFFSET(B3001,-COUNTA(G$2360:G3000)+1,0))</f>
        <v>a1b3p000003dxcnAAA</v>
      </c>
      <c r="C3001" s="502">
        <f ca="1">IF(COUNTA(G$2360:G3000)=1,"",OFFSET(C3001,-COUNTA(G$2360:G3000)+1,0))</f>
        <v>27</v>
      </c>
      <c r="D3001" s="487">
        <f t="shared" si="220"/>
        <v>159</v>
      </c>
      <c r="E3001" s="487">
        <f t="shared" ca="1" si="221"/>
        <v>3</v>
      </c>
      <c r="F3001" s="487">
        <f t="shared" ca="1" si="222"/>
        <v>35</v>
      </c>
      <c r="G3001" s="487"/>
      <c r="H3001" s="493" t="str">
        <f t="shared" ca="1" si="225"/>
        <v/>
      </c>
      <c r="I3001" s="493" t="str">
        <f t="shared" ca="1" si="226"/>
        <v/>
      </c>
      <c r="J3001" s="493" t="str">
        <f t="shared" ca="1" si="227"/>
        <v/>
      </c>
      <c r="K3001" s="493" t="str">
        <f t="shared" ca="1" si="228"/>
        <v/>
      </c>
      <c r="L3001" s="487"/>
      <c r="M3001" s="487"/>
      <c r="N3001" s="487"/>
      <c r="O3001" s="487"/>
      <c r="P3001" s="487">
        <f t="shared" si="223"/>
        <v>0</v>
      </c>
      <c r="Q3001" s="487"/>
    </row>
    <row r="3002" spans="1:17" x14ac:dyDescent="0.3">
      <c r="A3002" s="487" t="b">
        <f t="shared" ca="1" si="224"/>
        <v>0</v>
      </c>
      <c r="B3002" s="500" t="str">
        <f ca="1">IF(COUNTA(G$2360:G3001)=1,"",OFFSET(B3002,-COUNTA(G$2360:G3001)+1,0))</f>
        <v>a1b3p000003dxe5AAA</v>
      </c>
      <c r="C3002" s="502">
        <f ca="1">IF(COUNTA(G$2360:G3001)=1,"",OFFSET(C3002,-COUNTA(G$2360:G3001)+1,0))</f>
        <v>27</v>
      </c>
      <c r="D3002" s="487">
        <f t="shared" si="220"/>
        <v>160</v>
      </c>
      <c r="E3002" s="487">
        <f t="shared" ca="1" si="221"/>
        <v>4</v>
      </c>
      <c r="F3002" s="487">
        <f t="shared" ca="1" si="222"/>
        <v>35</v>
      </c>
      <c r="G3002" s="487"/>
      <c r="H3002" s="493" t="str">
        <f t="shared" ca="1" si="225"/>
        <v/>
      </c>
      <c r="I3002" s="493" t="str">
        <f t="shared" ca="1" si="226"/>
        <v/>
      </c>
      <c r="J3002" s="493" t="str">
        <f t="shared" ca="1" si="227"/>
        <v/>
      </c>
      <c r="K3002" s="493" t="str">
        <f t="shared" ca="1" si="228"/>
        <v/>
      </c>
      <c r="L3002" s="487"/>
      <c r="M3002" s="487"/>
      <c r="N3002" s="487"/>
      <c r="O3002" s="487"/>
      <c r="P3002" s="487">
        <f t="shared" si="223"/>
        <v>0</v>
      </c>
      <c r="Q3002" s="487"/>
    </row>
    <row r="3003" spans="1:17" x14ac:dyDescent="0.3">
      <c r="A3003" s="487" t="b">
        <f t="shared" ca="1" si="224"/>
        <v>0</v>
      </c>
      <c r="B3003" s="500" t="str">
        <f ca="1">IF(COUNTA(G$2360:G3002)=1,"",OFFSET(B3003,-COUNTA(G$2360:G3002)+1,0))</f>
        <v>a1b3p000003dxfNAAQ</v>
      </c>
      <c r="C3003" s="502">
        <f ca="1">IF(COUNTA(G$2360:G3002)=1,"",OFFSET(C3003,-COUNTA(G$2360:G3002)+1,0))</f>
        <v>27</v>
      </c>
      <c r="D3003" s="487">
        <f t="shared" ref="D3003:D3066" si="229">D3002+1</f>
        <v>161</v>
      </c>
      <c r="E3003" s="487">
        <f t="shared" ref="E3003:E3066" ca="1" si="230">COUNTIF(C2998:C3003,C3003)</f>
        <v>5</v>
      </c>
      <c r="F3003" s="487">
        <f t="shared" ref="F3003:F3066" ca="1" si="231">IF(C3003=1,9,IF(E3002=MAX(E3001:E3003),F3001+1,F3002))</f>
        <v>35</v>
      </c>
      <c r="G3003" s="487"/>
      <c r="H3003" s="493" t="str">
        <f t="shared" ca="1" si="225"/>
        <v/>
      </c>
      <c r="I3003" s="493" t="str">
        <f t="shared" ca="1" si="226"/>
        <v/>
      </c>
      <c r="J3003" s="493" t="str">
        <f t="shared" ca="1" si="227"/>
        <v/>
      </c>
      <c r="K3003" s="493" t="str">
        <f t="shared" ca="1" si="228"/>
        <v/>
      </c>
      <c r="L3003" s="487"/>
      <c r="M3003" s="487"/>
      <c r="N3003" s="487"/>
      <c r="O3003" s="487"/>
      <c r="P3003" s="487">
        <f t="shared" ref="P3003:P3066" si="232">IF(NOT(_xlfn.ISFORMULA(I3003)),P3002+1,0)</f>
        <v>0</v>
      </c>
      <c r="Q3003" s="487"/>
    </row>
    <row r="3004" spans="1:17" x14ac:dyDescent="0.3">
      <c r="A3004" s="487" t="b">
        <f t="shared" ca="1" si="224"/>
        <v>0</v>
      </c>
      <c r="B3004" s="500" t="str">
        <f ca="1">IF(COUNTA(G$2360:G3003)=1,"",OFFSET(B3004,-COUNTA(G$2360:G3003)+1,0))</f>
        <v>a1b3p000003dxgfAAA</v>
      </c>
      <c r="C3004" s="502">
        <f ca="1">IF(COUNTA(G$2360:G3003)=1,"",OFFSET(C3004,-COUNTA(G$2360:G3003)+1,0))</f>
        <v>27</v>
      </c>
      <c r="D3004" s="487">
        <f t="shared" si="229"/>
        <v>162</v>
      </c>
      <c r="E3004" s="487">
        <f t="shared" ca="1" si="230"/>
        <v>6</v>
      </c>
      <c r="F3004" s="487">
        <f t="shared" ca="1" si="231"/>
        <v>35</v>
      </c>
      <c r="G3004" s="487"/>
      <c r="H3004" s="493" t="str">
        <f t="shared" ca="1" si="225"/>
        <v/>
      </c>
      <c r="I3004" s="493" t="str">
        <f t="shared" ca="1" si="226"/>
        <v/>
      </c>
      <c r="J3004" s="493" t="str">
        <f t="shared" ca="1" si="227"/>
        <v/>
      </c>
      <c r="K3004" s="493" t="str">
        <f t="shared" ca="1" si="228"/>
        <v/>
      </c>
      <c r="L3004" s="487"/>
      <c r="M3004" s="487"/>
      <c r="N3004" s="487"/>
      <c r="O3004" s="487"/>
      <c r="P3004" s="487">
        <f t="shared" si="232"/>
        <v>0</v>
      </c>
      <c r="Q3004" s="487"/>
    </row>
    <row r="3005" spans="1:17" x14ac:dyDescent="0.3">
      <c r="A3005" s="487" t="b">
        <f t="shared" ca="1" si="224"/>
        <v>0</v>
      </c>
      <c r="B3005" s="500" t="str">
        <f ca="1">IF(COUNTA(G$2360:G3004)=1,"",OFFSET(B3005,-COUNTA(G$2360:G3004)+1,0))</f>
        <v>a1b3p000003dxaEAAQ</v>
      </c>
      <c r="C3005" s="502">
        <f ca="1">IF(COUNTA(G$2360:G3004)=1,"",OFFSET(C3005,-COUNTA(G$2360:G3004)+1,0))</f>
        <v>28</v>
      </c>
      <c r="D3005" s="487">
        <f t="shared" si="229"/>
        <v>163</v>
      </c>
      <c r="E3005" s="487">
        <f t="shared" ca="1" si="230"/>
        <v>1</v>
      </c>
      <c r="F3005" s="487">
        <f t="shared" ca="1" si="231"/>
        <v>36</v>
      </c>
      <c r="G3005" s="487"/>
      <c r="H3005" s="493" t="str">
        <f t="shared" ca="1" si="225"/>
        <v/>
      </c>
      <c r="I3005" s="493" t="str">
        <f t="shared" ca="1" si="226"/>
        <v/>
      </c>
      <c r="J3005" s="493" t="str">
        <f t="shared" ca="1" si="227"/>
        <v/>
      </c>
      <c r="K3005" s="493" t="str">
        <f t="shared" ca="1" si="228"/>
        <v/>
      </c>
      <c r="L3005" s="487"/>
      <c r="M3005" s="487"/>
      <c r="N3005" s="487"/>
      <c r="O3005" s="487"/>
      <c r="P3005" s="487">
        <f t="shared" si="232"/>
        <v>0</v>
      </c>
      <c r="Q3005" s="487"/>
    </row>
    <row r="3006" spans="1:17" x14ac:dyDescent="0.3">
      <c r="A3006" s="487" t="b">
        <f t="shared" ca="1" si="224"/>
        <v>0</v>
      </c>
      <c r="B3006" s="500" t="str">
        <f ca="1">IF(COUNTA(G$2360:G3005)=1,"",OFFSET(B3006,-COUNTA(G$2360:G3005)+1,0))</f>
        <v>a1b3p000003dxbWAAQ</v>
      </c>
      <c r="C3006" s="502">
        <f ca="1">IF(COUNTA(G$2360:G3005)=1,"",OFFSET(C3006,-COUNTA(G$2360:G3005)+1,0))</f>
        <v>28</v>
      </c>
      <c r="D3006" s="487">
        <f t="shared" si="229"/>
        <v>164</v>
      </c>
      <c r="E3006" s="487">
        <f t="shared" ca="1" si="230"/>
        <v>2</v>
      </c>
      <c r="F3006" s="487">
        <f t="shared" ca="1" si="231"/>
        <v>36</v>
      </c>
      <c r="G3006" s="487"/>
      <c r="H3006" s="493" t="str">
        <f t="shared" ca="1" si="225"/>
        <v/>
      </c>
      <c r="I3006" s="493" t="str">
        <f t="shared" ca="1" si="226"/>
        <v/>
      </c>
      <c r="J3006" s="493" t="str">
        <f t="shared" ca="1" si="227"/>
        <v/>
      </c>
      <c r="K3006" s="493" t="str">
        <f t="shared" ca="1" si="228"/>
        <v/>
      </c>
      <c r="L3006" s="487"/>
      <c r="M3006" s="487"/>
      <c r="N3006" s="487"/>
      <c r="O3006" s="487"/>
      <c r="P3006" s="487">
        <f t="shared" si="232"/>
        <v>0</v>
      </c>
      <c r="Q3006" s="487"/>
    </row>
    <row r="3007" spans="1:17" x14ac:dyDescent="0.3">
      <c r="A3007" s="487" t="b">
        <f t="shared" ca="1" si="224"/>
        <v>0</v>
      </c>
      <c r="B3007" s="500" t="str">
        <f ca="1">IF(COUNTA(G$2360:G3006)=1,"",OFFSET(B3007,-COUNTA(G$2360:G3006)+1,0))</f>
        <v>a1b3p000003dxcoAAA</v>
      </c>
      <c r="C3007" s="502">
        <f ca="1">IF(COUNTA(G$2360:G3006)=1,"",OFFSET(C3007,-COUNTA(G$2360:G3006)+1,0))</f>
        <v>28</v>
      </c>
      <c r="D3007" s="487">
        <f t="shared" si="229"/>
        <v>165</v>
      </c>
      <c r="E3007" s="487">
        <f t="shared" ca="1" si="230"/>
        <v>3</v>
      </c>
      <c r="F3007" s="487">
        <f t="shared" ca="1" si="231"/>
        <v>36</v>
      </c>
      <c r="G3007" s="487"/>
      <c r="H3007" s="493" t="str">
        <f t="shared" ca="1" si="225"/>
        <v/>
      </c>
      <c r="I3007" s="493" t="str">
        <f t="shared" ca="1" si="226"/>
        <v/>
      </c>
      <c r="J3007" s="493" t="str">
        <f t="shared" ca="1" si="227"/>
        <v/>
      </c>
      <c r="K3007" s="493" t="str">
        <f t="shared" ca="1" si="228"/>
        <v/>
      </c>
      <c r="L3007" s="487"/>
      <c r="M3007" s="487"/>
      <c r="N3007" s="487"/>
      <c r="O3007" s="487"/>
      <c r="P3007" s="487">
        <f t="shared" si="232"/>
        <v>0</v>
      </c>
      <c r="Q3007" s="487"/>
    </row>
    <row r="3008" spans="1:17" x14ac:dyDescent="0.3">
      <c r="A3008" s="487" t="b">
        <f t="shared" ca="1" si="224"/>
        <v>0</v>
      </c>
      <c r="B3008" s="500" t="str">
        <f ca="1">IF(COUNTA(G$2360:G3007)=1,"",OFFSET(B3008,-COUNTA(G$2360:G3007)+1,0))</f>
        <v>a1b3p000003dxe6AAA</v>
      </c>
      <c r="C3008" s="502">
        <f ca="1">IF(COUNTA(G$2360:G3007)=1,"",OFFSET(C3008,-COUNTA(G$2360:G3007)+1,0))</f>
        <v>28</v>
      </c>
      <c r="D3008" s="487">
        <f t="shared" si="229"/>
        <v>166</v>
      </c>
      <c r="E3008" s="487">
        <f t="shared" ca="1" si="230"/>
        <v>4</v>
      </c>
      <c r="F3008" s="487">
        <f t="shared" ca="1" si="231"/>
        <v>36</v>
      </c>
      <c r="G3008" s="487"/>
      <c r="H3008" s="493" t="str">
        <f t="shared" ca="1" si="225"/>
        <v/>
      </c>
      <c r="I3008" s="493" t="str">
        <f t="shared" ca="1" si="226"/>
        <v/>
      </c>
      <c r="J3008" s="493" t="str">
        <f t="shared" ca="1" si="227"/>
        <v/>
      </c>
      <c r="K3008" s="493" t="str">
        <f t="shared" ca="1" si="228"/>
        <v/>
      </c>
      <c r="L3008" s="487"/>
      <c r="M3008" s="487"/>
      <c r="N3008" s="487"/>
      <c r="O3008" s="487"/>
      <c r="P3008" s="487">
        <f t="shared" si="232"/>
        <v>0</v>
      </c>
      <c r="Q3008" s="487"/>
    </row>
    <row r="3009" spans="1:17" x14ac:dyDescent="0.3">
      <c r="A3009" s="487" t="b">
        <f t="shared" ca="1" si="224"/>
        <v>0</v>
      </c>
      <c r="B3009" s="500" t="str">
        <f ca="1">IF(COUNTA(G$2360:G3008)=1,"",OFFSET(B3009,-COUNTA(G$2360:G3008)+1,0))</f>
        <v>a1b3p000003dxfOAAQ</v>
      </c>
      <c r="C3009" s="502">
        <f ca="1">IF(COUNTA(G$2360:G3008)=1,"",OFFSET(C3009,-COUNTA(G$2360:G3008)+1,0))</f>
        <v>28</v>
      </c>
      <c r="D3009" s="487">
        <f t="shared" si="229"/>
        <v>167</v>
      </c>
      <c r="E3009" s="487">
        <f t="shared" ca="1" si="230"/>
        <v>5</v>
      </c>
      <c r="F3009" s="487">
        <f t="shared" ca="1" si="231"/>
        <v>36</v>
      </c>
      <c r="G3009" s="487"/>
      <c r="H3009" s="493" t="str">
        <f t="shared" ca="1" si="225"/>
        <v/>
      </c>
      <c r="I3009" s="493" t="str">
        <f t="shared" ca="1" si="226"/>
        <v/>
      </c>
      <c r="J3009" s="493" t="str">
        <f t="shared" ca="1" si="227"/>
        <v/>
      </c>
      <c r="K3009" s="493" t="str">
        <f t="shared" ca="1" si="228"/>
        <v/>
      </c>
      <c r="L3009" s="487"/>
      <c r="M3009" s="487"/>
      <c r="N3009" s="487"/>
      <c r="O3009" s="487"/>
      <c r="P3009" s="487">
        <f t="shared" si="232"/>
        <v>0</v>
      </c>
      <c r="Q3009" s="487"/>
    </row>
    <row r="3010" spans="1:17" x14ac:dyDescent="0.3">
      <c r="A3010" s="487" t="b">
        <f t="shared" ca="1" si="224"/>
        <v>0</v>
      </c>
      <c r="B3010" s="500" t="str">
        <f ca="1">IF(COUNTA(G$2360:G3009)=1,"",OFFSET(B3010,-COUNTA(G$2360:G3009)+1,0))</f>
        <v>a1b3p000003dxggAAA</v>
      </c>
      <c r="C3010" s="502">
        <f ca="1">IF(COUNTA(G$2360:G3009)=1,"",OFFSET(C3010,-COUNTA(G$2360:G3009)+1,0))</f>
        <v>28</v>
      </c>
      <c r="D3010" s="487">
        <f t="shared" si="229"/>
        <v>168</v>
      </c>
      <c r="E3010" s="487">
        <f t="shared" ca="1" si="230"/>
        <v>6</v>
      </c>
      <c r="F3010" s="487">
        <f t="shared" ca="1" si="231"/>
        <v>36</v>
      </c>
      <c r="G3010" s="487"/>
      <c r="H3010" s="493" t="str">
        <f t="shared" ca="1" si="225"/>
        <v/>
      </c>
      <c r="I3010" s="493" t="str">
        <f t="shared" ca="1" si="226"/>
        <v/>
      </c>
      <c r="J3010" s="493" t="str">
        <f t="shared" ca="1" si="227"/>
        <v/>
      </c>
      <c r="K3010" s="493" t="str">
        <f t="shared" ca="1" si="228"/>
        <v/>
      </c>
      <c r="L3010" s="487"/>
      <c r="M3010" s="487"/>
      <c r="N3010" s="487"/>
      <c r="O3010" s="487"/>
      <c r="P3010" s="487">
        <f t="shared" si="232"/>
        <v>0</v>
      </c>
      <c r="Q3010" s="487"/>
    </row>
    <row r="3011" spans="1:17" x14ac:dyDescent="0.3">
      <c r="A3011" s="487" t="b">
        <f t="shared" ca="1" si="224"/>
        <v>0</v>
      </c>
      <c r="B3011" s="500" t="str">
        <f ca="1">IF(COUNTA(G$2360:G3010)=1,"",OFFSET(B3011,-COUNTA(G$2360:G3010)+1,0))</f>
        <v>a1b3p000003dxaFAAQ</v>
      </c>
      <c r="C3011" s="502">
        <f ca="1">IF(COUNTA(G$2360:G3010)=1,"",OFFSET(C3011,-COUNTA(G$2360:G3010)+1,0))</f>
        <v>29</v>
      </c>
      <c r="D3011" s="487">
        <f t="shared" si="229"/>
        <v>169</v>
      </c>
      <c r="E3011" s="487">
        <f t="shared" ca="1" si="230"/>
        <v>1</v>
      </c>
      <c r="F3011" s="487">
        <f t="shared" ca="1" si="231"/>
        <v>37</v>
      </c>
      <c r="G3011" s="487"/>
      <c r="H3011" s="493" t="str">
        <f t="shared" ca="1" si="225"/>
        <v/>
      </c>
      <c r="I3011" s="493" t="str">
        <f t="shared" ca="1" si="226"/>
        <v/>
      </c>
      <c r="J3011" s="493" t="str">
        <f t="shared" ca="1" si="227"/>
        <v/>
      </c>
      <c r="K3011" s="493" t="str">
        <f t="shared" ca="1" si="228"/>
        <v/>
      </c>
      <c r="L3011" s="487"/>
      <c r="M3011" s="487"/>
      <c r="N3011" s="487"/>
      <c r="O3011" s="487"/>
      <c r="P3011" s="487">
        <f t="shared" si="232"/>
        <v>0</v>
      </c>
      <c r="Q3011" s="487"/>
    </row>
    <row r="3012" spans="1:17" x14ac:dyDescent="0.3">
      <c r="A3012" s="487" t="b">
        <f t="shared" ca="1" si="224"/>
        <v>0</v>
      </c>
      <c r="B3012" s="500" t="str">
        <f ca="1">IF(COUNTA(G$2360:G3011)=1,"",OFFSET(B3012,-COUNTA(G$2360:G3011)+1,0))</f>
        <v>a1b3p000003dxbXAAQ</v>
      </c>
      <c r="C3012" s="502">
        <f ca="1">IF(COUNTA(G$2360:G3011)=1,"",OFFSET(C3012,-COUNTA(G$2360:G3011)+1,0))</f>
        <v>29</v>
      </c>
      <c r="D3012" s="487">
        <f t="shared" si="229"/>
        <v>170</v>
      </c>
      <c r="E3012" s="487">
        <f t="shared" ca="1" si="230"/>
        <v>2</v>
      </c>
      <c r="F3012" s="487">
        <f t="shared" ca="1" si="231"/>
        <v>37</v>
      </c>
      <c r="G3012" s="487"/>
      <c r="H3012" s="493" t="str">
        <f t="shared" ca="1" si="225"/>
        <v/>
      </c>
      <c r="I3012" s="493" t="str">
        <f t="shared" ca="1" si="226"/>
        <v/>
      </c>
      <c r="J3012" s="493" t="str">
        <f t="shared" ca="1" si="227"/>
        <v/>
      </c>
      <c r="K3012" s="493" t="str">
        <f t="shared" ca="1" si="228"/>
        <v/>
      </c>
      <c r="L3012" s="487"/>
      <c r="M3012" s="487"/>
      <c r="N3012" s="487"/>
      <c r="O3012" s="487"/>
      <c r="P3012" s="487">
        <f t="shared" si="232"/>
        <v>0</v>
      </c>
      <c r="Q3012" s="487"/>
    </row>
    <row r="3013" spans="1:17" x14ac:dyDescent="0.3">
      <c r="A3013" s="487" t="b">
        <f t="shared" ca="1" si="224"/>
        <v>0</v>
      </c>
      <c r="B3013" s="500" t="str">
        <f ca="1">IF(COUNTA(G$2360:G3012)=1,"",OFFSET(B3013,-COUNTA(G$2360:G3012)+1,0))</f>
        <v>a1b3p000003dxcpAAA</v>
      </c>
      <c r="C3013" s="502">
        <f ca="1">IF(COUNTA(G$2360:G3012)=1,"",OFFSET(C3013,-COUNTA(G$2360:G3012)+1,0))</f>
        <v>29</v>
      </c>
      <c r="D3013" s="487">
        <f t="shared" si="229"/>
        <v>171</v>
      </c>
      <c r="E3013" s="487">
        <f t="shared" ca="1" si="230"/>
        <v>3</v>
      </c>
      <c r="F3013" s="487">
        <f t="shared" ca="1" si="231"/>
        <v>37</v>
      </c>
      <c r="G3013" s="487"/>
      <c r="H3013" s="493" t="str">
        <f t="shared" ca="1" si="225"/>
        <v/>
      </c>
      <c r="I3013" s="493" t="str">
        <f t="shared" ca="1" si="226"/>
        <v/>
      </c>
      <c r="J3013" s="493" t="str">
        <f t="shared" ca="1" si="227"/>
        <v/>
      </c>
      <c r="K3013" s="493" t="str">
        <f t="shared" ca="1" si="228"/>
        <v/>
      </c>
      <c r="L3013" s="487"/>
      <c r="M3013" s="487"/>
      <c r="N3013" s="487"/>
      <c r="O3013" s="487"/>
      <c r="P3013" s="487">
        <f t="shared" si="232"/>
        <v>0</v>
      </c>
      <c r="Q3013" s="487"/>
    </row>
    <row r="3014" spans="1:17" x14ac:dyDescent="0.3">
      <c r="A3014" s="487" t="b">
        <f t="shared" ca="1" si="224"/>
        <v>0</v>
      </c>
      <c r="B3014" s="500" t="str">
        <f ca="1">IF(COUNTA(G$2360:G3013)=1,"",OFFSET(B3014,-COUNTA(G$2360:G3013)+1,0))</f>
        <v>a1b3p000003dxe7AAA</v>
      </c>
      <c r="C3014" s="502">
        <f ca="1">IF(COUNTA(G$2360:G3013)=1,"",OFFSET(C3014,-COUNTA(G$2360:G3013)+1,0))</f>
        <v>29</v>
      </c>
      <c r="D3014" s="487">
        <f t="shared" si="229"/>
        <v>172</v>
      </c>
      <c r="E3014" s="487">
        <f t="shared" ca="1" si="230"/>
        <v>4</v>
      </c>
      <c r="F3014" s="487">
        <f t="shared" ca="1" si="231"/>
        <v>37</v>
      </c>
      <c r="G3014" s="487"/>
      <c r="H3014" s="493" t="str">
        <f t="shared" ca="1" si="225"/>
        <v/>
      </c>
      <c r="I3014" s="493" t="str">
        <f t="shared" ca="1" si="226"/>
        <v/>
      </c>
      <c r="J3014" s="493" t="str">
        <f t="shared" ca="1" si="227"/>
        <v/>
      </c>
      <c r="K3014" s="493" t="str">
        <f t="shared" ca="1" si="228"/>
        <v/>
      </c>
      <c r="L3014" s="487"/>
      <c r="M3014" s="487"/>
      <c r="N3014" s="487"/>
      <c r="O3014" s="487"/>
      <c r="P3014" s="487">
        <f t="shared" si="232"/>
        <v>0</v>
      </c>
      <c r="Q3014" s="487"/>
    </row>
    <row r="3015" spans="1:17" x14ac:dyDescent="0.3">
      <c r="A3015" s="487" t="b">
        <f t="shared" ca="1" si="224"/>
        <v>0</v>
      </c>
      <c r="B3015" s="500" t="str">
        <f ca="1">IF(COUNTA(G$2360:G3014)=1,"",OFFSET(B3015,-COUNTA(G$2360:G3014)+1,0))</f>
        <v>a1b3p000003dxfPAAQ</v>
      </c>
      <c r="C3015" s="502">
        <f ca="1">IF(COUNTA(G$2360:G3014)=1,"",OFFSET(C3015,-COUNTA(G$2360:G3014)+1,0))</f>
        <v>29</v>
      </c>
      <c r="D3015" s="487">
        <f t="shared" si="229"/>
        <v>173</v>
      </c>
      <c r="E3015" s="487">
        <f t="shared" ca="1" si="230"/>
        <v>5</v>
      </c>
      <c r="F3015" s="487">
        <f t="shared" ca="1" si="231"/>
        <v>37</v>
      </c>
      <c r="G3015" s="487"/>
      <c r="H3015" s="493" t="str">
        <f t="shared" ca="1" si="225"/>
        <v/>
      </c>
      <c r="I3015" s="493" t="str">
        <f t="shared" ca="1" si="226"/>
        <v/>
      </c>
      <c r="J3015" s="493" t="str">
        <f t="shared" ca="1" si="227"/>
        <v/>
      </c>
      <c r="K3015" s="493" t="str">
        <f t="shared" ca="1" si="228"/>
        <v/>
      </c>
      <c r="L3015" s="487"/>
      <c r="M3015" s="487"/>
      <c r="N3015" s="487"/>
      <c r="O3015" s="487"/>
      <c r="P3015" s="487">
        <f t="shared" si="232"/>
        <v>0</v>
      </c>
      <c r="Q3015" s="487"/>
    </row>
    <row r="3016" spans="1:17" x14ac:dyDescent="0.3">
      <c r="A3016" s="487" t="b">
        <f t="shared" ca="1" si="224"/>
        <v>0</v>
      </c>
      <c r="B3016" s="500" t="str">
        <f ca="1">IF(COUNTA(G$2360:G3015)=1,"",OFFSET(B3016,-COUNTA(G$2360:G3015)+1,0))</f>
        <v>a1b3p000003dxghAAA</v>
      </c>
      <c r="C3016" s="502">
        <f ca="1">IF(COUNTA(G$2360:G3015)=1,"",OFFSET(C3016,-COUNTA(G$2360:G3015)+1,0))</f>
        <v>29</v>
      </c>
      <c r="D3016" s="487">
        <f t="shared" si="229"/>
        <v>174</v>
      </c>
      <c r="E3016" s="487">
        <f t="shared" ca="1" si="230"/>
        <v>6</v>
      </c>
      <c r="F3016" s="487">
        <f t="shared" ca="1" si="231"/>
        <v>37</v>
      </c>
      <c r="G3016" s="487"/>
      <c r="H3016" s="493" t="str">
        <f t="shared" ca="1" si="225"/>
        <v/>
      </c>
      <c r="I3016" s="493" t="str">
        <f t="shared" ca="1" si="226"/>
        <v/>
      </c>
      <c r="J3016" s="493" t="str">
        <f t="shared" ca="1" si="227"/>
        <v/>
      </c>
      <c r="K3016" s="493" t="str">
        <f t="shared" ca="1" si="228"/>
        <v/>
      </c>
      <c r="L3016" s="487"/>
      <c r="M3016" s="487"/>
      <c r="N3016" s="487"/>
      <c r="O3016" s="487"/>
      <c r="P3016" s="487">
        <f t="shared" si="232"/>
        <v>0</v>
      </c>
      <c r="Q3016" s="487"/>
    </row>
    <row r="3017" spans="1:17" x14ac:dyDescent="0.3">
      <c r="A3017" s="487" t="b">
        <f t="shared" ca="1" si="224"/>
        <v>0</v>
      </c>
      <c r="B3017" s="500" t="str">
        <f ca="1">IF(COUNTA(G$2360:G3016)=1,"",OFFSET(B3017,-COUNTA(G$2360:G3016)+1,0))</f>
        <v>a1b3p000003dxaGAAQ</v>
      </c>
      <c r="C3017" s="502">
        <f ca="1">IF(COUNTA(G$2360:G3016)=1,"",OFFSET(C3017,-COUNTA(G$2360:G3016)+1,0))</f>
        <v>30</v>
      </c>
      <c r="D3017" s="487">
        <f t="shared" si="229"/>
        <v>175</v>
      </c>
      <c r="E3017" s="487">
        <f t="shared" ca="1" si="230"/>
        <v>1</v>
      </c>
      <c r="F3017" s="487">
        <f t="shared" ca="1" si="231"/>
        <v>38</v>
      </c>
      <c r="G3017" s="487"/>
      <c r="H3017" s="493" t="str">
        <f t="shared" ca="1" si="225"/>
        <v/>
      </c>
      <c r="I3017" s="493" t="str">
        <f t="shared" ca="1" si="226"/>
        <v/>
      </c>
      <c r="J3017" s="493" t="str">
        <f t="shared" ca="1" si="227"/>
        <v/>
      </c>
      <c r="K3017" s="493" t="str">
        <f t="shared" ca="1" si="228"/>
        <v/>
      </c>
      <c r="L3017" s="487"/>
      <c r="M3017" s="487"/>
      <c r="N3017" s="487"/>
      <c r="O3017" s="487"/>
      <c r="P3017" s="487">
        <f t="shared" si="232"/>
        <v>0</v>
      </c>
      <c r="Q3017" s="487"/>
    </row>
    <row r="3018" spans="1:17" x14ac:dyDescent="0.3">
      <c r="A3018" s="487" t="b">
        <f t="shared" ca="1" si="224"/>
        <v>0</v>
      </c>
      <c r="B3018" s="500" t="str">
        <f ca="1">IF(COUNTA(G$2360:G3017)=1,"",OFFSET(B3018,-COUNTA(G$2360:G3017)+1,0))</f>
        <v>a1b3p000003dxbYAAQ</v>
      </c>
      <c r="C3018" s="502">
        <f ca="1">IF(COUNTA(G$2360:G3017)=1,"",OFFSET(C3018,-COUNTA(G$2360:G3017)+1,0))</f>
        <v>30</v>
      </c>
      <c r="D3018" s="487">
        <f t="shared" si="229"/>
        <v>176</v>
      </c>
      <c r="E3018" s="487">
        <f t="shared" ca="1" si="230"/>
        <v>2</v>
      </c>
      <c r="F3018" s="487">
        <f t="shared" ca="1" si="231"/>
        <v>38</v>
      </c>
      <c r="G3018" s="487"/>
      <c r="H3018" s="493" t="str">
        <f t="shared" ca="1" si="225"/>
        <v/>
      </c>
      <c r="I3018" s="493" t="str">
        <f t="shared" ca="1" si="226"/>
        <v/>
      </c>
      <c r="J3018" s="493" t="str">
        <f t="shared" ca="1" si="227"/>
        <v/>
      </c>
      <c r="K3018" s="493" t="str">
        <f t="shared" ca="1" si="228"/>
        <v/>
      </c>
      <c r="L3018" s="487"/>
      <c r="M3018" s="487"/>
      <c r="N3018" s="487"/>
      <c r="O3018" s="487"/>
      <c r="P3018" s="487">
        <f t="shared" si="232"/>
        <v>0</v>
      </c>
      <c r="Q3018" s="487"/>
    </row>
    <row r="3019" spans="1:17" x14ac:dyDescent="0.3">
      <c r="A3019" s="487" t="b">
        <f t="shared" ca="1" si="224"/>
        <v>0</v>
      </c>
      <c r="B3019" s="500" t="str">
        <f ca="1">IF(COUNTA(G$2360:G3018)=1,"",OFFSET(B3019,-COUNTA(G$2360:G3018)+1,0))</f>
        <v>a1b3p000003dxcqAAA</v>
      </c>
      <c r="C3019" s="502">
        <f ca="1">IF(COUNTA(G$2360:G3018)=1,"",OFFSET(C3019,-COUNTA(G$2360:G3018)+1,0))</f>
        <v>30</v>
      </c>
      <c r="D3019" s="487">
        <f t="shared" si="229"/>
        <v>177</v>
      </c>
      <c r="E3019" s="487">
        <f t="shared" ca="1" si="230"/>
        <v>3</v>
      </c>
      <c r="F3019" s="487">
        <f t="shared" ca="1" si="231"/>
        <v>38</v>
      </c>
      <c r="G3019" s="487"/>
      <c r="H3019" s="493" t="str">
        <f t="shared" ca="1" si="225"/>
        <v/>
      </c>
      <c r="I3019" s="493" t="str">
        <f t="shared" ca="1" si="226"/>
        <v/>
      </c>
      <c r="J3019" s="493" t="str">
        <f t="shared" ca="1" si="227"/>
        <v/>
      </c>
      <c r="K3019" s="493" t="str">
        <f t="shared" ca="1" si="228"/>
        <v/>
      </c>
      <c r="L3019" s="487"/>
      <c r="M3019" s="487"/>
      <c r="N3019" s="487"/>
      <c r="O3019" s="487"/>
      <c r="P3019" s="487">
        <f t="shared" si="232"/>
        <v>0</v>
      </c>
      <c r="Q3019" s="487"/>
    </row>
    <row r="3020" spans="1:17" x14ac:dyDescent="0.3">
      <c r="A3020" s="487" t="b">
        <f t="shared" ca="1" si="224"/>
        <v>0</v>
      </c>
      <c r="B3020" s="500" t="str">
        <f ca="1">IF(COUNTA(G$2360:G3019)=1,"",OFFSET(B3020,-COUNTA(G$2360:G3019)+1,0))</f>
        <v>a1b3p000003dxe8AAA</v>
      </c>
      <c r="C3020" s="502">
        <f ca="1">IF(COUNTA(G$2360:G3019)=1,"",OFFSET(C3020,-COUNTA(G$2360:G3019)+1,0))</f>
        <v>30</v>
      </c>
      <c r="D3020" s="487">
        <f t="shared" si="229"/>
        <v>178</v>
      </c>
      <c r="E3020" s="487">
        <f t="shared" ca="1" si="230"/>
        <v>4</v>
      </c>
      <c r="F3020" s="487">
        <f t="shared" ca="1" si="231"/>
        <v>38</v>
      </c>
      <c r="G3020" s="487"/>
      <c r="H3020" s="493" t="str">
        <f t="shared" ca="1" si="225"/>
        <v/>
      </c>
      <c r="I3020" s="493" t="str">
        <f t="shared" ca="1" si="226"/>
        <v/>
      </c>
      <c r="J3020" s="493" t="str">
        <f t="shared" ca="1" si="227"/>
        <v/>
      </c>
      <c r="K3020" s="493" t="str">
        <f t="shared" ca="1" si="228"/>
        <v/>
      </c>
      <c r="L3020" s="487"/>
      <c r="M3020" s="487"/>
      <c r="N3020" s="487"/>
      <c r="O3020" s="487"/>
      <c r="P3020" s="487">
        <f t="shared" si="232"/>
        <v>0</v>
      </c>
      <c r="Q3020" s="487"/>
    </row>
    <row r="3021" spans="1:17" x14ac:dyDescent="0.3">
      <c r="A3021" s="487" t="b">
        <f t="shared" ca="1" si="224"/>
        <v>0</v>
      </c>
      <c r="B3021" s="500" t="str">
        <f ca="1">IF(COUNTA(G$2360:G3020)=1,"",OFFSET(B3021,-COUNTA(G$2360:G3020)+1,0))</f>
        <v>a1b3p000003dxfQAAQ</v>
      </c>
      <c r="C3021" s="502">
        <f ca="1">IF(COUNTA(G$2360:G3020)=1,"",OFFSET(C3021,-COUNTA(G$2360:G3020)+1,0))</f>
        <v>30</v>
      </c>
      <c r="D3021" s="487">
        <f t="shared" si="229"/>
        <v>179</v>
      </c>
      <c r="E3021" s="487">
        <f t="shared" ca="1" si="230"/>
        <v>5</v>
      </c>
      <c r="F3021" s="487">
        <f t="shared" ca="1" si="231"/>
        <v>38</v>
      </c>
      <c r="G3021" s="487"/>
      <c r="H3021" s="493" t="str">
        <f t="shared" ca="1" si="225"/>
        <v/>
      </c>
      <c r="I3021" s="493" t="str">
        <f t="shared" ca="1" si="226"/>
        <v/>
      </c>
      <c r="J3021" s="493" t="str">
        <f t="shared" ca="1" si="227"/>
        <v/>
      </c>
      <c r="K3021" s="493" t="str">
        <f t="shared" ca="1" si="228"/>
        <v/>
      </c>
      <c r="L3021" s="487"/>
      <c r="M3021" s="487"/>
      <c r="N3021" s="487"/>
      <c r="O3021" s="487"/>
      <c r="P3021" s="487">
        <f t="shared" si="232"/>
        <v>0</v>
      </c>
      <c r="Q3021" s="487"/>
    </row>
    <row r="3022" spans="1:17" x14ac:dyDescent="0.3">
      <c r="A3022" s="487" t="b">
        <f t="shared" ca="1" si="224"/>
        <v>0</v>
      </c>
      <c r="B3022" s="500" t="str">
        <f ca="1">IF(COUNTA(G$2360:G3021)=1,"",OFFSET(B3022,-COUNTA(G$2360:G3021)+1,0))</f>
        <v>a1b3p000003dxgiAAA</v>
      </c>
      <c r="C3022" s="502">
        <f ca="1">IF(COUNTA(G$2360:G3021)=1,"",OFFSET(C3022,-COUNTA(G$2360:G3021)+1,0))</f>
        <v>30</v>
      </c>
      <c r="D3022" s="487">
        <f t="shared" si="229"/>
        <v>180</v>
      </c>
      <c r="E3022" s="487">
        <f t="shared" ca="1" si="230"/>
        <v>6</v>
      </c>
      <c r="F3022" s="487">
        <f t="shared" ca="1" si="231"/>
        <v>38</v>
      </c>
      <c r="G3022" s="487"/>
      <c r="H3022" s="493" t="str">
        <f t="shared" ca="1" si="225"/>
        <v/>
      </c>
      <c r="I3022" s="493" t="str">
        <f t="shared" ca="1" si="226"/>
        <v/>
      </c>
      <c r="J3022" s="493" t="str">
        <f t="shared" ca="1" si="227"/>
        <v/>
      </c>
      <c r="K3022" s="493" t="str">
        <f t="shared" ca="1" si="228"/>
        <v/>
      </c>
      <c r="L3022" s="487"/>
      <c r="M3022" s="487"/>
      <c r="N3022" s="487"/>
      <c r="O3022" s="487"/>
      <c r="P3022" s="487">
        <f t="shared" si="232"/>
        <v>0</v>
      </c>
      <c r="Q3022" s="487"/>
    </row>
    <row r="3023" spans="1:17" x14ac:dyDescent="0.3">
      <c r="A3023" s="487" t="b">
        <f t="shared" ca="1" si="224"/>
        <v>0</v>
      </c>
      <c r="B3023" s="500" t="str">
        <f ca="1">IF(COUNTA(G$2360:G3022)=1,"",OFFSET(B3023,-COUNTA(G$2360:G3022)+1,0))</f>
        <v>a1b3p000003dxaHAAQ</v>
      </c>
      <c r="C3023" s="502">
        <f ca="1">IF(COUNTA(G$2360:G3022)=1,"",OFFSET(C3023,-COUNTA(G$2360:G3022)+1,0))</f>
        <v>31</v>
      </c>
      <c r="D3023" s="487">
        <f t="shared" si="229"/>
        <v>181</v>
      </c>
      <c r="E3023" s="487">
        <f t="shared" ca="1" si="230"/>
        <v>1</v>
      </c>
      <c r="F3023" s="487">
        <f t="shared" ca="1" si="231"/>
        <v>39</v>
      </c>
      <c r="G3023" s="487"/>
      <c r="H3023" s="493" t="str">
        <f t="shared" ca="1" si="225"/>
        <v/>
      </c>
      <c r="I3023" s="493" t="str">
        <f t="shared" ca="1" si="226"/>
        <v/>
      </c>
      <c r="J3023" s="493" t="str">
        <f t="shared" ca="1" si="227"/>
        <v/>
      </c>
      <c r="K3023" s="493" t="str">
        <f t="shared" ca="1" si="228"/>
        <v/>
      </c>
      <c r="L3023" s="487"/>
      <c r="M3023" s="487"/>
      <c r="N3023" s="487"/>
      <c r="O3023" s="487"/>
      <c r="P3023" s="487">
        <f t="shared" si="232"/>
        <v>0</v>
      </c>
      <c r="Q3023" s="487"/>
    </row>
    <row r="3024" spans="1:17" x14ac:dyDescent="0.3">
      <c r="A3024" s="487" t="b">
        <f t="shared" ca="1" si="224"/>
        <v>0</v>
      </c>
      <c r="B3024" s="500" t="str">
        <f ca="1">IF(COUNTA(G$2360:G3023)=1,"",OFFSET(B3024,-COUNTA(G$2360:G3023)+1,0))</f>
        <v>a1b3p000003dxbZAAQ</v>
      </c>
      <c r="C3024" s="502">
        <f ca="1">IF(COUNTA(G$2360:G3023)=1,"",OFFSET(C3024,-COUNTA(G$2360:G3023)+1,0))</f>
        <v>31</v>
      </c>
      <c r="D3024" s="487">
        <f t="shared" si="229"/>
        <v>182</v>
      </c>
      <c r="E3024" s="487">
        <f t="shared" ca="1" si="230"/>
        <v>2</v>
      </c>
      <c r="F3024" s="487">
        <f t="shared" ca="1" si="231"/>
        <v>39</v>
      </c>
      <c r="G3024" s="487"/>
      <c r="H3024" s="493" t="str">
        <f t="shared" ca="1" si="225"/>
        <v/>
      </c>
      <c r="I3024" s="493" t="str">
        <f t="shared" ca="1" si="226"/>
        <v/>
      </c>
      <c r="J3024" s="493" t="str">
        <f t="shared" ca="1" si="227"/>
        <v/>
      </c>
      <c r="K3024" s="493" t="str">
        <f t="shared" ca="1" si="228"/>
        <v/>
      </c>
      <c r="L3024" s="487"/>
      <c r="M3024" s="487"/>
      <c r="N3024" s="487"/>
      <c r="O3024" s="487"/>
      <c r="P3024" s="487">
        <f t="shared" si="232"/>
        <v>0</v>
      </c>
      <c r="Q3024" s="487"/>
    </row>
    <row r="3025" spans="1:17" x14ac:dyDescent="0.3">
      <c r="A3025" s="487" t="b">
        <f t="shared" ca="1" si="224"/>
        <v>0</v>
      </c>
      <c r="B3025" s="500" t="str">
        <f ca="1">IF(COUNTA(G$2360:G3024)=1,"",OFFSET(B3025,-COUNTA(G$2360:G3024)+1,0))</f>
        <v>a1b3p000003dxcrAAA</v>
      </c>
      <c r="C3025" s="502">
        <f ca="1">IF(COUNTA(G$2360:G3024)=1,"",OFFSET(C3025,-COUNTA(G$2360:G3024)+1,0))</f>
        <v>31</v>
      </c>
      <c r="D3025" s="487">
        <f t="shared" si="229"/>
        <v>183</v>
      </c>
      <c r="E3025" s="487">
        <f t="shared" ca="1" si="230"/>
        <v>3</v>
      </c>
      <c r="F3025" s="487">
        <f t="shared" ca="1" si="231"/>
        <v>39</v>
      </c>
      <c r="G3025" s="487"/>
      <c r="H3025" s="493" t="str">
        <f t="shared" ca="1" si="225"/>
        <v/>
      </c>
      <c r="I3025" s="493" t="str">
        <f t="shared" ca="1" si="226"/>
        <v/>
      </c>
      <c r="J3025" s="493" t="str">
        <f t="shared" ca="1" si="227"/>
        <v/>
      </c>
      <c r="K3025" s="493" t="str">
        <f t="shared" ca="1" si="228"/>
        <v/>
      </c>
      <c r="L3025" s="487"/>
      <c r="M3025" s="487"/>
      <c r="N3025" s="487"/>
      <c r="O3025" s="487"/>
      <c r="P3025" s="487">
        <f t="shared" si="232"/>
        <v>0</v>
      </c>
      <c r="Q3025" s="487"/>
    </row>
    <row r="3026" spans="1:17" x14ac:dyDescent="0.3">
      <c r="A3026" s="487" t="b">
        <f t="shared" ca="1" si="224"/>
        <v>0</v>
      </c>
      <c r="B3026" s="500" t="str">
        <f ca="1">IF(COUNTA(G$2360:G3025)=1,"",OFFSET(B3026,-COUNTA(G$2360:G3025)+1,0))</f>
        <v>a1b3p000003dxe9AAA</v>
      </c>
      <c r="C3026" s="502">
        <f ca="1">IF(COUNTA(G$2360:G3025)=1,"",OFFSET(C3026,-COUNTA(G$2360:G3025)+1,0))</f>
        <v>31</v>
      </c>
      <c r="D3026" s="487">
        <f t="shared" si="229"/>
        <v>184</v>
      </c>
      <c r="E3026" s="487">
        <f t="shared" ca="1" si="230"/>
        <v>4</v>
      </c>
      <c r="F3026" s="487">
        <f t="shared" ca="1" si="231"/>
        <v>39</v>
      </c>
      <c r="G3026" s="487"/>
      <c r="H3026" s="493" t="str">
        <f t="shared" ca="1" si="225"/>
        <v/>
      </c>
      <c r="I3026" s="493" t="str">
        <f t="shared" ca="1" si="226"/>
        <v/>
      </c>
      <c r="J3026" s="493" t="str">
        <f t="shared" ca="1" si="227"/>
        <v/>
      </c>
      <c r="K3026" s="493" t="str">
        <f t="shared" ca="1" si="228"/>
        <v/>
      </c>
      <c r="L3026" s="487"/>
      <c r="M3026" s="487"/>
      <c r="N3026" s="487"/>
      <c r="O3026" s="487"/>
      <c r="P3026" s="487">
        <f t="shared" si="232"/>
        <v>0</v>
      </c>
      <c r="Q3026" s="487"/>
    </row>
    <row r="3027" spans="1:17" x14ac:dyDescent="0.3">
      <c r="A3027" s="487" t="b">
        <f t="shared" ca="1" si="224"/>
        <v>0</v>
      </c>
      <c r="B3027" s="500" t="str">
        <f ca="1">IF(COUNTA(G$2360:G3026)=1,"",OFFSET(B3027,-COUNTA(G$2360:G3026)+1,0))</f>
        <v>a1b3p000003dxfRAAQ</v>
      </c>
      <c r="C3027" s="502">
        <f ca="1">IF(COUNTA(G$2360:G3026)=1,"",OFFSET(C3027,-COUNTA(G$2360:G3026)+1,0))</f>
        <v>31</v>
      </c>
      <c r="D3027" s="487">
        <f t="shared" si="229"/>
        <v>185</v>
      </c>
      <c r="E3027" s="487">
        <f t="shared" ca="1" si="230"/>
        <v>5</v>
      </c>
      <c r="F3027" s="487">
        <f t="shared" ca="1" si="231"/>
        <v>39</v>
      </c>
      <c r="G3027" s="487"/>
      <c r="H3027" s="493" t="str">
        <f t="shared" ca="1" si="225"/>
        <v/>
      </c>
      <c r="I3027" s="493" t="str">
        <f t="shared" ca="1" si="226"/>
        <v/>
      </c>
      <c r="J3027" s="493" t="str">
        <f t="shared" ca="1" si="227"/>
        <v/>
      </c>
      <c r="K3027" s="493" t="str">
        <f t="shared" ca="1" si="228"/>
        <v/>
      </c>
      <c r="L3027" s="487"/>
      <c r="M3027" s="487"/>
      <c r="N3027" s="487"/>
      <c r="O3027" s="487"/>
      <c r="P3027" s="487">
        <f t="shared" si="232"/>
        <v>0</v>
      </c>
      <c r="Q3027" s="487"/>
    </row>
    <row r="3028" spans="1:17" x14ac:dyDescent="0.3">
      <c r="A3028" s="487" t="b">
        <f t="shared" ca="1" si="224"/>
        <v>0</v>
      </c>
      <c r="B3028" s="500" t="str">
        <f ca="1">IF(COUNTA(G$2360:G3027)=1,"",OFFSET(B3028,-COUNTA(G$2360:G3027)+1,0))</f>
        <v>a1b3p000003dxgjAAA</v>
      </c>
      <c r="C3028" s="502">
        <f ca="1">IF(COUNTA(G$2360:G3027)=1,"",OFFSET(C3028,-COUNTA(G$2360:G3027)+1,0))</f>
        <v>31</v>
      </c>
      <c r="D3028" s="487">
        <f t="shared" si="229"/>
        <v>186</v>
      </c>
      <c r="E3028" s="487">
        <f t="shared" ca="1" si="230"/>
        <v>6</v>
      </c>
      <c r="F3028" s="487">
        <f t="shared" ca="1" si="231"/>
        <v>39</v>
      </c>
      <c r="G3028" s="487"/>
      <c r="H3028" s="493" t="str">
        <f t="shared" ca="1" si="225"/>
        <v/>
      </c>
      <c r="I3028" s="493" t="str">
        <f t="shared" ca="1" si="226"/>
        <v/>
      </c>
      <c r="J3028" s="493" t="str">
        <f t="shared" ca="1" si="227"/>
        <v/>
      </c>
      <c r="K3028" s="493" t="str">
        <f t="shared" ca="1" si="228"/>
        <v/>
      </c>
      <c r="L3028" s="487"/>
      <c r="M3028" s="487"/>
      <c r="N3028" s="487"/>
      <c r="O3028" s="487"/>
      <c r="P3028" s="487">
        <f t="shared" si="232"/>
        <v>0</v>
      </c>
      <c r="Q3028" s="487"/>
    </row>
    <row r="3029" spans="1:17" x14ac:dyDescent="0.3">
      <c r="A3029" s="487" t="b">
        <f t="shared" ca="1" si="224"/>
        <v>0</v>
      </c>
      <c r="B3029" s="500" t="str">
        <f ca="1">IF(COUNTA(G$2360:G3028)=1,"",OFFSET(B3029,-COUNTA(G$2360:G3028)+1,0))</f>
        <v>a1b3p000003dxaIAAQ</v>
      </c>
      <c r="C3029" s="502">
        <f ca="1">IF(COUNTA(G$2360:G3028)=1,"",OFFSET(C3029,-COUNTA(G$2360:G3028)+1,0))</f>
        <v>32</v>
      </c>
      <c r="D3029" s="487">
        <f t="shared" si="229"/>
        <v>187</v>
      </c>
      <c r="E3029" s="487">
        <f t="shared" ca="1" si="230"/>
        <v>1</v>
      </c>
      <c r="F3029" s="487">
        <f t="shared" ca="1" si="231"/>
        <v>40</v>
      </c>
      <c r="G3029" s="487"/>
      <c r="H3029" s="493" t="str">
        <f t="shared" ca="1" si="225"/>
        <v/>
      </c>
      <c r="I3029" s="493" t="str">
        <f t="shared" ca="1" si="226"/>
        <v/>
      </c>
      <c r="J3029" s="493" t="str">
        <f t="shared" ca="1" si="227"/>
        <v/>
      </c>
      <c r="K3029" s="493" t="str">
        <f t="shared" ca="1" si="228"/>
        <v/>
      </c>
      <c r="L3029" s="487"/>
      <c r="M3029" s="487"/>
      <c r="N3029" s="487"/>
      <c r="O3029" s="487"/>
      <c r="P3029" s="487">
        <f t="shared" si="232"/>
        <v>0</v>
      </c>
      <c r="Q3029" s="487"/>
    </row>
    <row r="3030" spans="1:17" x14ac:dyDescent="0.3">
      <c r="A3030" s="487" t="b">
        <f t="shared" ca="1" si="224"/>
        <v>0</v>
      </c>
      <c r="B3030" s="500" t="str">
        <f ca="1">IF(COUNTA(G$2360:G3029)=1,"",OFFSET(B3030,-COUNTA(G$2360:G3029)+1,0))</f>
        <v>a1b3p000003dxbaAAA</v>
      </c>
      <c r="C3030" s="502">
        <f ca="1">IF(COUNTA(G$2360:G3029)=1,"",OFFSET(C3030,-COUNTA(G$2360:G3029)+1,0))</f>
        <v>32</v>
      </c>
      <c r="D3030" s="487">
        <f t="shared" si="229"/>
        <v>188</v>
      </c>
      <c r="E3030" s="487">
        <f t="shared" ca="1" si="230"/>
        <v>2</v>
      </c>
      <c r="F3030" s="487">
        <f t="shared" ca="1" si="231"/>
        <v>40</v>
      </c>
      <c r="G3030" s="487"/>
      <c r="H3030" s="493" t="str">
        <f t="shared" ca="1" si="225"/>
        <v/>
      </c>
      <c r="I3030" s="493" t="str">
        <f t="shared" ca="1" si="226"/>
        <v/>
      </c>
      <c r="J3030" s="493" t="str">
        <f t="shared" ca="1" si="227"/>
        <v/>
      </c>
      <c r="K3030" s="493" t="str">
        <f t="shared" ca="1" si="228"/>
        <v/>
      </c>
      <c r="L3030" s="487"/>
      <c r="M3030" s="487"/>
      <c r="N3030" s="487"/>
      <c r="O3030" s="487"/>
      <c r="P3030" s="487">
        <f t="shared" si="232"/>
        <v>0</v>
      </c>
      <c r="Q3030" s="487"/>
    </row>
    <row r="3031" spans="1:17" x14ac:dyDescent="0.3">
      <c r="A3031" s="487" t="b">
        <f t="shared" ca="1" si="224"/>
        <v>0</v>
      </c>
      <c r="B3031" s="500" t="str">
        <f ca="1">IF(COUNTA(G$2360:G3030)=1,"",OFFSET(B3031,-COUNTA(G$2360:G3030)+1,0))</f>
        <v>a1b3p000003dxcsAAA</v>
      </c>
      <c r="C3031" s="502">
        <f ca="1">IF(COUNTA(G$2360:G3030)=1,"",OFFSET(C3031,-COUNTA(G$2360:G3030)+1,0))</f>
        <v>32</v>
      </c>
      <c r="D3031" s="487">
        <f t="shared" si="229"/>
        <v>189</v>
      </c>
      <c r="E3031" s="487">
        <f t="shared" ca="1" si="230"/>
        <v>3</v>
      </c>
      <c r="F3031" s="487">
        <f t="shared" ca="1" si="231"/>
        <v>40</v>
      </c>
      <c r="G3031" s="487"/>
      <c r="H3031" s="493" t="str">
        <f t="shared" ca="1" si="225"/>
        <v/>
      </c>
      <c r="I3031" s="493" t="str">
        <f t="shared" ca="1" si="226"/>
        <v/>
      </c>
      <c r="J3031" s="493" t="str">
        <f t="shared" ca="1" si="227"/>
        <v/>
      </c>
      <c r="K3031" s="493" t="str">
        <f t="shared" ca="1" si="228"/>
        <v/>
      </c>
      <c r="L3031" s="487"/>
      <c r="M3031" s="487"/>
      <c r="N3031" s="487"/>
      <c r="O3031" s="487"/>
      <c r="P3031" s="487">
        <f t="shared" si="232"/>
        <v>0</v>
      </c>
      <c r="Q3031" s="487"/>
    </row>
    <row r="3032" spans="1:17" x14ac:dyDescent="0.3">
      <c r="A3032" s="487" t="b">
        <f t="shared" ca="1" si="224"/>
        <v>0</v>
      </c>
      <c r="B3032" s="500" t="str">
        <f ca="1">IF(COUNTA(G$2360:G3031)=1,"",OFFSET(B3032,-COUNTA(G$2360:G3031)+1,0))</f>
        <v>a1b3p000003dxeAAAQ</v>
      </c>
      <c r="C3032" s="502">
        <f ca="1">IF(COUNTA(G$2360:G3031)=1,"",OFFSET(C3032,-COUNTA(G$2360:G3031)+1,0))</f>
        <v>32</v>
      </c>
      <c r="D3032" s="487">
        <f t="shared" si="229"/>
        <v>190</v>
      </c>
      <c r="E3032" s="487">
        <f t="shared" ca="1" si="230"/>
        <v>4</v>
      </c>
      <c r="F3032" s="487">
        <f t="shared" ca="1" si="231"/>
        <v>40</v>
      </c>
      <c r="G3032" s="487"/>
      <c r="H3032" s="493" t="str">
        <f t="shared" ca="1" si="225"/>
        <v/>
      </c>
      <c r="I3032" s="493" t="str">
        <f t="shared" ca="1" si="226"/>
        <v/>
      </c>
      <c r="J3032" s="493" t="str">
        <f t="shared" ca="1" si="227"/>
        <v/>
      </c>
      <c r="K3032" s="493" t="str">
        <f t="shared" ca="1" si="228"/>
        <v/>
      </c>
      <c r="L3032" s="487"/>
      <c r="M3032" s="487"/>
      <c r="N3032" s="487"/>
      <c r="O3032" s="487"/>
      <c r="P3032" s="487">
        <f t="shared" si="232"/>
        <v>0</v>
      </c>
      <c r="Q3032" s="487"/>
    </row>
    <row r="3033" spans="1:17" x14ac:dyDescent="0.3">
      <c r="A3033" s="487" t="b">
        <f t="shared" ca="1" si="224"/>
        <v>0</v>
      </c>
      <c r="B3033" s="500" t="str">
        <f ca="1">IF(COUNTA(G$2360:G3032)=1,"",OFFSET(B3033,-COUNTA(G$2360:G3032)+1,0))</f>
        <v>a1b3p000003dxfSAAQ</v>
      </c>
      <c r="C3033" s="502">
        <f ca="1">IF(COUNTA(G$2360:G3032)=1,"",OFFSET(C3033,-COUNTA(G$2360:G3032)+1,0))</f>
        <v>32</v>
      </c>
      <c r="D3033" s="487">
        <f t="shared" si="229"/>
        <v>191</v>
      </c>
      <c r="E3033" s="487">
        <f t="shared" ca="1" si="230"/>
        <v>5</v>
      </c>
      <c r="F3033" s="487">
        <f t="shared" ca="1" si="231"/>
        <v>40</v>
      </c>
      <c r="G3033" s="487"/>
      <c r="H3033" s="493" t="str">
        <f t="shared" ca="1" si="225"/>
        <v/>
      </c>
      <c r="I3033" s="493" t="str">
        <f t="shared" ca="1" si="226"/>
        <v/>
      </c>
      <c r="J3033" s="493" t="str">
        <f t="shared" ca="1" si="227"/>
        <v/>
      </c>
      <c r="K3033" s="493" t="str">
        <f t="shared" ca="1" si="228"/>
        <v/>
      </c>
      <c r="L3033" s="487"/>
      <c r="M3033" s="487"/>
      <c r="N3033" s="487"/>
      <c r="O3033" s="487"/>
      <c r="P3033" s="487">
        <f t="shared" si="232"/>
        <v>0</v>
      </c>
      <c r="Q3033" s="487"/>
    </row>
    <row r="3034" spans="1:17" x14ac:dyDescent="0.3">
      <c r="A3034" s="487" t="b">
        <f t="shared" ca="1" si="224"/>
        <v>0</v>
      </c>
      <c r="B3034" s="500" t="str">
        <f ca="1">IF(COUNTA(G$2360:G3033)=1,"",OFFSET(B3034,-COUNTA(G$2360:G3033)+1,0))</f>
        <v>a1b3p000003dxgkAAA</v>
      </c>
      <c r="C3034" s="502">
        <f ca="1">IF(COUNTA(G$2360:G3033)=1,"",OFFSET(C3034,-COUNTA(G$2360:G3033)+1,0))</f>
        <v>32</v>
      </c>
      <c r="D3034" s="487">
        <f t="shared" si="229"/>
        <v>192</v>
      </c>
      <c r="E3034" s="487">
        <f t="shared" ca="1" si="230"/>
        <v>6</v>
      </c>
      <c r="F3034" s="487">
        <f t="shared" ca="1" si="231"/>
        <v>40</v>
      </c>
      <c r="G3034" s="487"/>
      <c r="H3034" s="493" t="str">
        <f t="shared" ca="1" si="225"/>
        <v/>
      </c>
      <c r="I3034" s="493" t="str">
        <f t="shared" ca="1" si="226"/>
        <v/>
      </c>
      <c r="J3034" s="493" t="str">
        <f t="shared" ca="1" si="227"/>
        <v/>
      </c>
      <c r="K3034" s="493" t="str">
        <f t="shared" ca="1" si="228"/>
        <v/>
      </c>
      <c r="L3034" s="487"/>
      <c r="M3034" s="487"/>
      <c r="N3034" s="487"/>
      <c r="O3034" s="487"/>
      <c r="P3034" s="487">
        <f t="shared" si="232"/>
        <v>0</v>
      </c>
      <c r="Q3034" s="487"/>
    </row>
    <row r="3035" spans="1:17" x14ac:dyDescent="0.3">
      <c r="A3035" s="487" t="b">
        <f t="shared" ref="A3035:A3098" ca="1" si="233">IF(OR(H3035&lt;&gt;"",I3035&lt;&gt;""),TRUE,FALSE)</f>
        <v>0</v>
      </c>
      <c r="B3035" s="500" t="str">
        <f ca="1">IF(COUNTA(G$2360:G3034)=1,"",OFFSET(B3035,-COUNTA(G$2360:G3034)+1,0))</f>
        <v>a1b3p000003dxaJAAQ</v>
      </c>
      <c r="C3035" s="502">
        <f ca="1">IF(COUNTA(G$2360:G3034)=1,"",OFFSET(C3035,-COUNTA(G$2360:G3034)+1,0))</f>
        <v>33</v>
      </c>
      <c r="D3035" s="487">
        <f t="shared" si="229"/>
        <v>193</v>
      </c>
      <c r="E3035" s="487">
        <f t="shared" ca="1" si="230"/>
        <v>1</v>
      </c>
      <c r="F3035" s="487">
        <f t="shared" ca="1" si="231"/>
        <v>41</v>
      </c>
      <c r="G3035" s="487"/>
      <c r="H3035" s="493" t="str">
        <f t="shared" ref="H3035:H3098" ca="1" si="234">CHOOSE(E3035,IFERROR(IF(INDIRECT("'WPTM - Section F'!K"&amp;F3035)=0,"",INDIRECT("'WPTM - Section F'!K"&amp;$F3035)),""),IFERROR(IF(INDIRECT("'WPTM - Section F'!O"&amp;F3035)=0,"",INDIRECT("'WPTM - Section F'!O"&amp;$F3035)),""),IFERROR(IF(INDIRECT("'WPTM - Section F'!S"&amp;F3035)=0,"",INDIRECT("'WPTM - Section F'!S"&amp;$F3035)),""),IFERROR(IF(INDIRECT("'WPTM - Section F'!W"&amp;F3035)=0,"",INDIRECT("'WPTM - Section F'!W"&amp;$F3035)),""),IFERROR(IF(INDIRECT("'WPTM - Section F'!AA"&amp;F3035)=0,"",INDIRECT("'WPTM - Section F'!AA"&amp;$F3035)),""),IFERROR(IF(INDIRECT("'WPTM - Section F'!AE"&amp;F3035)=0,"",INDIRECT("'WPTM - Section F'!AE"&amp;$F3035)),""),IFERROR(IF(INDIRECT("'WPTM - Section F'!AI"&amp;F3035)=0,"",INDIRECT("'WPTM - Section F'!AI"&amp;$F3035)),""),IFERROR(IF(INDIRECT("'WPTM - Section F'!AM"&amp;F3035)=0,"",INDIRECT("'WPTM - Section F'!AM"&amp;$F3035)),""),)</f>
        <v/>
      </c>
      <c r="I3035" s="493" t="str">
        <f t="shared" ref="I3035:I3098" ca="1" si="235">CHOOSE(E3035,IFERROR(IF(INDIRECT("'WPTM - Section F'!J"&amp;F3035)=0,"",INDIRECT("'WPTM - Section F'!J"&amp;$F3035)),""),IFERROR(IF(INDIRECT("'WPTM - Section F'!N"&amp;F3035)=0,"",INDIRECT("'WPTM - Section F'!N"&amp;$F3035)),""),IFERROR(IF(INDIRECT("'WPTM - Section F'!R"&amp;F3035)=0,"",INDIRECT("'WPTM - Section F'!R"&amp;$F3035)),""),IFERROR(IF(INDIRECT("'WPTM - Section F'!V"&amp;F3035)=0,"",INDIRECT("'WPTM - Section F'!V"&amp;$F3035)),""),IFERROR(IF(INDIRECT("'WPTM - Section F'!Z"&amp;F3035)=0,"",INDIRECT("'WPTM - Section F'!Z"&amp;$F3035)),""),IFERROR(IF(INDIRECT("'WPTM - Section F'!AD"&amp;F3035)=0,"",INDIRECT("'WPTM - Section F'!AD"&amp;$F3035)),""),IFERROR(IF(INDIRECT("'WPTM - Section F'!AH"&amp;F3035)=0,"",INDIRECT("'WPTM - Section F'!AH"&amp;$F3035)),""),IFERROR(IF(INDIRECT("'WPTM - Section F'!AL"&amp;F3035)=0,"",INDIRECT("'WPTM - Section F'!AL"&amp;$F3035)),""),)</f>
        <v/>
      </c>
      <c r="J3035" s="493" t="str">
        <f t="shared" ref="J3035:J3098" ca="1" si="236">CHOOSE(E3035,IFERROR(IF(INDIRECT("'WPTM - Section F'!H"&amp;F3035)=0,"",INDIRECT("'WPTM - Section F'!H"&amp;$F3035)),""),IFERROR(IF(INDIRECT("'WPTM - Section F'!L"&amp;F3035)=0,"",INDIRECT("'WPTM - Section F'!L"&amp;$F3035)),""),IFERROR(IF(INDIRECT("'WPTM - Section F'!P"&amp;F3035)=0,"",INDIRECT("'WPTM - Section F'!P"&amp;$F3035)),""),IFERROR(IF(INDIRECT("'WPTM - Section F'!T"&amp;F3035)=0,"",INDIRECT("'WPTM - Section F'!T"&amp;$F3035)),""),IFERROR(IF(INDIRECT("'WPTM - Section F'!X"&amp;F3035)=0,"",INDIRECT("'WPTM - Section F'!X"&amp;$F3035)),""),IFERROR(IF(INDIRECT("'WPTM - Section F'!AB"&amp;F3035)=0,"",INDIRECT("'WPTM - Section F'!AB"&amp;$F3035)),""),IFERROR(IF(INDIRECT("'WPTM - Section F'!AF"&amp;F3035)=0,"",INDIRECT("'WPTM - Section F'!AF"&amp;$F3035)),""),IFERROR(IF(INDIRECT("'WPTM - Section F'!AJ"&amp;F3035)=0,"",INDIRECT("'WPTM - Section F'!AJ"&amp;$F3035)),""),)</f>
        <v/>
      </c>
      <c r="K3035" s="493" t="str">
        <f t="shared" ref="K3035:K3098" ca="1" si="237">CHOOSE(E3035,IFERROR(IF(INDIRECT("'WPTM - Section F'!I"&amp;F3035)=0,"",INDIRECT("'WPTM - Section F'!I"&amp;$F3035)),""),IFERROR(IF(INDIRECT("'WPTM - Section F'!M"&amp;F3035)=0,"",INDIRECT("'WPTM - Section F'!M"&amp;$F3035)),""),IFERROR(IF(INDIRECT("'WPTM - Section F'!Q"&amp;F3035)=0,"",INDIRECT("'WPTM - Section F'!Q"&amp;$F3035)),""),IFERROR(IF(INDIRECT("'WPTM - Section F'!U"&amp;F3035)=0,"",INDIRECT("'WPTM - Section F'!U"&amp;$F3035)),""),IFERROR(IF(INDIRECT("'WPTM - Section F'!Y"&amp;F3035)=0,"",INDIRECT("'WPTM - Section F'!Y"&amp;$F3035)),""),IFERROR(IF(INDIRECT("'WPTM - Section F'!AC"&amp;F3035)=0,"",INDIRECT("'WPTM - Section F'!AC"&amp;$F3035)),""),IFERROR(IF(INDIRECT("'WPTM - Section F'!AG"&amp;F3035)=0,"",INDIRECT("'WPTM - Section F'!AG"&amp;$F3035)),""),IFERROR(IF(INDIRECT("'WPTM - Section F'!AK"&amp;F3035)=0,"",INDIRECT("'WPTM - Section F'!AK"&amp;$F3035)),""),)</f>
        <v/>
      </c>
      <c r="L3035" s="487"/>
      <c r="M3035" s="487"/>
      <c r="N3035" s="487"/>
      <c r="O3035" s="487"/>
      <c r="P3035" s="487">
        <f t="shared" si="232"/>
        <v>0</v>
      </c>
      <c r="Q3035" s="487"/>
    </row>
    <row r="3036" spans="1:17" x14ac:dyDescent="0.3">
      <c r="A3036" s="487" t="b">
        <f t="shared" ca="1" si="233"/>
        <v>0</v>
      </c>
      <c r="B3036" s="500" t="str">
        <f ca="1">IF(COUNTA(G$2360:G3035)=1,"",OFFSET(B3036,-COUNTA(G$2360:G3035)+1,0))</f>
        <v>a1b3p000003dxbbAAA</v>
      </c>
      <c r="C3036" s="502">
        <f ca="1">IF(COUNTA(G$2360:G3035)=1,"",OFFSET(C3036,-COUNTA(G$2360:G3035)+1,0))</f>
        <v>33</v>
      </c>
      <c r="D3036" s="487">
        <f t="shared" si="229"/>
        <v>194</v>
      </c>
      <c r="E3036" s="487">
        <f t="shared" ca="1" si="230"/>
        <v>2</v>
      </c>
      <c r="F3036" s="487">
        <f t="shared" ca="1" si="231"/>
        <v>41</v>
      </c>
      <c r="G3036" s="487"/>
      <c r="H3036" s="493" t="str">
        <f t="shared" ca="1" si="234"/>
        <v/>
      </c>
      <c r="I3036" s="493" t="str">
        <f t="shared" ca="1" si="235"/>
        <v/>
      </c>
      <c r="J3036" s="493" t="str">
        <f t="shared" ca="1" si="236"/>
        <v/>
      </c>
      <c r="K3036" s="493" t="str">
        <f t="shared" ca="1" si="237"/>
        <v/>
      </c>
      <c r="L3036" s="487"/>
      <c r="M3036" s="487"/>
      <c r="N3036" s="487"/>
      <c r="O3036" s="487"/>
      <c r="P3036" s="487">
        <f t="shared" si="232"/>
        <v>0</v>
      </c>
      <c r="Q3036" s="487"/>
    </row>
    <row r="3037" spans="1:17" x14ac:dyDescent="0.3">
      <c r="A3037" s="487" t="b">
        <f t="shared" ca="1" si="233"/>
        <v>0</v>
      </c>
      <c r="B3037" s="500" t="str">
        <f ca="1">IF(COUNTA(G$2360:G3036)=1,"",OFFSET(B3037,-COUNTA(G$2360:G3036)+1,0))</f>
        <v>a1b3p000003dxctAAA</v>
      </c>
      <c r="C3037" s="502">
        <f ca="1">IF(COUNTA(G$2360:G3036)=1,"",OFFSET(C3037,-COUNTA(G$2360:G3036)+1,0))</f>
        <v>33</v>
      </c>
      <c r="D3037" s="487">
        <f t="shared" si="229"/>
        <v>195</v>
      </c>
      <c r="E3037" s="487">
        <f t="shared" ca="1" si="230"/>
        <v>3</v>
      </c>
      <c r="F3037" s="487">
        <f t="shared" ca="1" si="231"/>
        <v>41</v>
      </c>
      <c r="G3037" s="487"/>
      <c r="H3037" s="493" t="str">
        <f t="shared" ca="1" si="234"/>
        <v/>
      </c>
      <c r="I3037" s="493" t="str">
        <f t="shared" ca="1" si="235"/>
        <v/>
      </c>
      <c r="J3037" s="493" t="str">
        <f t="shared" ca="1" si="236"/>
        <v/>
      </c>
      <c r="K3037" s="493" t="str">
        <f t="shared" ca="1" si="237"/>
        <v/>
      </c>
      <c r="L3037" s="487"/>
      <c r="M3037" s="487"/>
      <c r="N3037" s="487"/>
      <c r="O3037" s="487"/>
      <c r="P3037" s="487">
        <f t="shared" si="232"/>
        <v>0</v>
      </c>
      <c r="Q3037" s="487"/>
    </row>
    <row r="3038" spans="1:17" x14ac:dyDescent="0.3">
      <c r="A3038" s="487" t="b">
        <f t="shared" ca="1" si="233"/>
        <v>0</v>
      </c>
      <c r="B3038" s="500" t="str">
        <f ca="1">IF(COUNTA(G$2360:G3037)=1,"",OFFSET(B3038,-COUNTA(G$2360:G3037)+1,0))</f>
        <v>a1b3p000003dxeBAAQ</v>
      </c>
      <c r="C3038" s="502">
        <f ca="1">IF(COUNTA(G$2360:G3037)=1,"",OFFSET(C3038,-COUNTA(G$2360:G3037)+1,0))</f>
        <v>33</v>
      </c>
      <c r="D3038" s="487">
        <f t="shared" si="229"/>
        <v>196</v>
      </c>
      <c r="E3038" s="487">
        <f t="shared" ca="1" si="230"/>
        <v>4</v>
      </c>
      <c r="F3038" s="487">
        <f t="shared" ca="1" si="231"/>
        <v>41</v>
      </c>
      <c r="G3038" s="487"/>
      <c r="H3038" s="493" t="str">
        <f t="shared" ca="1" si="234"/>
        <v/>
      </c>
      <c r="I3038" s="493" t="str">
        <f t="shared" ca="1" si="235"/>
        <v/>
      </c>
      <c r="J3038" s="493" t="str">
        <f t="shared" ca="1" si="236"/>
        <v/>
      </c>
      <c r="K3038" s="493" t="str">
        <f t="shared" ca="1" si="237"/>
        <v/>
      </c>
      <c r="L3038" s="487"/>
      <c r="M3038" s="487"/>
      <c r="N3038" s="487"/>
      <c r="O3038" s="487"/>
      <c r="P3038" s="487">
        <f t="shared" si="232"/>
        <v>0</v>
      </c>
      <c r="Q3038" s="487"/>
    </row>
    <row r="3039" spans="1:17" x14ac:dyDescent="0.3">
      <c r="A3039" s="487" t="b">
        <f t="shared" ca="1" si="233"/>
        <v>0</v>
      </c>
      <c r="B3039" s="500" t="str">
        <f ca="1">IF(COUNTA(G$2360:G3038)=1,"",OFFSET(B3039,-COUNTA(G$2360:G3038)+1,0))</f>
        <v>a1b3p000003dxfTAAQ</v>
      </c>
      <c r="C3039" s="502">
        <f ca="1">IF(COUNTA(G$2360:G3038)=1,"",OFFSET(C3039,-COUNTA(G$2360:G3038)+1,0))</f>
        <v>33</v>
      </c>
      <c r="D3039" s="487">
        <f t="shared" si="229"/>
        <v>197</v>
      </c>
      <c r="E3039" s="487">
        <f t="shared" ca="1" si="230"/>
        <v>5</v>
      </c>
      <c r="F3039" s="487">
        <f t="shared" ca="1" si="231"/>
        <v>41</v>
      </c>
      <c r="G3039" s="487"/>
      <c r="H3039" s="493" t="str">
        <f t="shared" ca="1" si="234"/>
        <v/>
      </c>
      <c r="I3039" s="493" t="str">
        <f t="shared" ca="1" si="235"/>
        <v/>
      </c>
      <c r="J3039" s="493" t="str">
        <f t="shared" ca="1" si="236"/>
        <v/>
      </c>
      <c r="K3039" s="493" t="str">
        <f t="shared" ca="1" si="237"/>
        <v/>
      </c>
      <c r="L3039" s="487"/>
      <c r="M3039" s="487"/>
      <c r="N3039" s="487"/>
      <c r="O3039" s="487"/>
      <c r="P3039" s="487">
        <f t="shared" si="232"/>
        <v>0</v>
      </c>
      <c r="Q3039" s="487"/>
    </row>
    <row r="3040" spans="1:17" x14ac:dyDescent="0.3">
      <c r="A3040" s="487" t="b">
        <f t="shared" ca="1" si="233"/>
        <v>0</v>
      </c>
      <c r="B3040" s="500" t="str">
        <f ca="1">IF(COUNTA(G$2360:G3039)=1,"",OFFSET(B3040,-COUNTA(G$2360:G3039)+1,0))</f>
        <v>a1b3p000003dxglAAA</v>
      </c>
      <c r="C3040" s="502">
        <f ca="1">IF(COUNTA(G$2360:G3039)=1,"",OFFSET(C3040,-COUNTA(G$2360:G3039)+1,0))</f>
        <v>33</v>
      </c>
      <c r="D3040" s="487">
        <f t="shared" si="229"/>
        <v>198</v>
      </c>
      <c r="E3040" s="487">
        <f t="shared" ca="1" si="230"/>
        <v>6</v>
      </c>
      <c r="F3040" s="487">
        <f t="shared" ca="1" si="231"/>
        <v>41</v>
      </c>
      <c r="G3040" s="487"/>
      <c r="H3040" s="493" t="str">
        <f t="shared" ca="1" si="234"/>
        <v/>
      </c>
      <c r="I3040" s="493" t="str">
        <f t="shared" ca="1" si="235"/>
        <v/>
      </c>
      <c r="J3040" s="493" t="str">
        <f t="shared" ca="1" si="236"/>
        <v/>
      </c>
      <c r="K3040" s="493" t="str">
        <f t="shared" ca="1" si="237"/>
        <v/>
      </c>
      <c r="L3040" s="487"/>
      <c r="M3040" s="487"/>
      <c r="N3040" s="487"/>
      <c r="O3040" s="487"/>
      <c r="P3040" s="487">
        <f t="shared" si="232"/>
        <v>0</v>
      </c>
      <c r="Q3040" s="487"/>
    </row>
    <row r="3041" spans="1:17" x14ac:dyDescent="0.3">
      <c r="A3041" s="487" t="b">
        <f t="shared" ca="1" si="233"/>
        <v>0</v>
      </c>
      <c r="B3041" s="500" t="str">
        <f ca="1">IF(COUNTA(G$2360:G3040)=1,"",OFFSET(B3041,-COUNTA(G$2360:G3040)+1,0))</f>
        <v>a1b3p000003dxaKAAQ</v>
      </c>
      <c r="C3041" s="502">
        <f ca="1">IF(COUNTA(G$2360:G3040)=1,"",OFFSET(C3041,-COUNTA(G$2360:G3040)+1,0))</f>
        <v>34</v>
      </c>
      <c r="D3041" s="487">
        <f t="shared" si="229"/>
        <v>199</v>
      </c>
      <c r="E3041" s="487">
        <f t="shared" ca="1" si="230"/>
        <v>1</v>
      </c>
      <c r="F3041" s="487">
        <f t="shared" ca="1" si="231"/>
        <v>42</v>
      </c>
      <c r="G3041" s="487"/>
      <c r="H3041" s="493" t="str">
        <f t="shared" ca="1" si="234"/>
        <v/>
      </c>
      <c r="I3041" s="493" t="str">
        <f t="shared" ca="1" si="235"/>
        <v/>
      </c>
      <c r="J3041" s="493" t="str">
        <f t="shared" ca="1" si="236"/>
        <v/>
      </c>
      <c r="K3041" s="493" t="str">
        <f t="shared" ca="1" si="237"/>
        <v/>
      </c>
      <c r="L3041" s="487"/>
      <c r="M3041" s="487"/>
      <c r="N3041" s="487"/>
      <c r="O3041" s="487"/>
      <c r="P3041" s="487">
        <f t="shared" si="232"/>
        <v>0</v>
      </c>
      <c r="Q3041" s="487"/>
    </row>
    <row r="3042" spans="1:17" x14ac:dyDescent="0.3">
      <c r="A3042" s="487" t="b">
        <f t="shared" ca="1" si="233"/>
        <v>0</v>
      </c>
      <c r="B3042" s="500" t="str">
        <f ca="1">IF(COUNTA(G$2360:G3041)=1,"",OFFSET(B3042,-COUNTA(G$2360:G3041)+1,0))</f>
        <v>a1b3p000003dxbcAAA</v>
      </c>
      <c r="C3042" s="502">
        <f ca="1">IF(COUNTA(G$2360:G3041)=1,"",OFFSET(C3042,-COUNTA(G$2360:G3041)+1,0))</f>
        <v>34</v>
      </c>
      <c r="D3042" s="487">
        <f t="shared" si="229"/>
        <v>200</v>
      </c>
      <c r="E3042" s="487">
        <f t="shared" ca="1" si="230"/>
        <v>2</v>
      </c>
      <c r="F3042" s="487">
        <f t="shared" ca="1" si="231"/>
        <v>42</v>
      </c>
      <c r="G3042" s="487"/>
      <c r="H3042" s="493" t="str">
        <f t="shared" ca="1" si="234"/>
        <v/>
      </c>
      <c r="I3042" s="493" t="str">
        <f t="shared" ca="1" si="235"/>
        <v/>
      </c>
      <c r="J3042" s="493" t="str">
        <f t="shared" ca="1" si="236"/>
        <v/>
      </c>
      <c r="K3042" s="493" t="str">
        <f t="shared" ca="1" si="237"/>
        <v/>
      </c>
      <c r="L3042" s="487"/>
      <c r="M3042" s="487"/>
      <c r="N3042" s="487"/>
      <c r="O3042" s="487"/>
      <c r="P3042" s="487">
        <f t="shared" si="232"/>
        <v>0</v>
      </c>
      <c r="Q3042" s="487"/>
    </row>
    <row r="3043" spans="1:17" x14ac:dyDescent="0.3">
      <c r="A3043" s="487" t="b">
        <f t="shared" ca="1" si="233"/>
        <v>0</v>
      </c>
      <c r="B3043" s="500" t="str">
        <f ca="1">IF(COUNTA(G$2360:G3042)=1,"",OFFSET(B3043,-COUNTA(G$2360:G3042)+1,0))</f>
        <v>a1b3p000003dxcuAAA</v>
      </c>
      <c r="C3043" s="502">
        <f ca="1">IF(COUNTA(G$2360:G3042)=1,"",OFFSET(C3043,-COUNTA(G$2360:G3042)+1,0))</f>
        <v>34</v>
      </c>
      <c r="D3043" s="487">
        <f t="shared" si="229"/>
        <v>201</v>
      </c>
      <c r="E3043" s="487">
        <f t="shared" ca="1" si="230"/>
        <v>3</v>
      </c>
      <c r="F3043" s="487">
        <f t="shared" ca="1" si="231"/>
        <v>42</v>
      </c>
      <c r="G3043" s="487"/>
      <c r="H3043" s="493" t="str">
        <f t="shared" ca="1" si="234"/>
        <v/>
      </c>
      <c r="I3043" s="493" t="str">
        <f t="shared" ca="1" si="235"/>
        <v/>
      </c>
      <c r="J3043" s="493" t="str">
        <f t="shared" ca="1" si="236"/>
        <v/>
      </c>
      <c r="K3043" s="493" t="str">
        <f t="shared" ca="1" si="237"/>
        <v/>
      </c>
      <c r="L3043" s="487"/>
      <c r="M3043" s="487"/>
      <c r="N3043" s="487"/>
      <c r="O3043" s="487"/>
      <c r="P3043" s="487">
        <f t="shared" si="232"/>
        <v>0</v>
      </c>
      <c r="Q3043" s="487"/>
    </row>
    <row r="3044" spans="1:17" x14ac:dyDescent="0.3">
      <c r="A3044" s="487" t="b">
        <f t="shared" ca="1" si="233"/>
        <v>0</v>
      </c>
      <c r="B3044" s="500" t="str">
        <f ca="1">IF(COUNTA(G$2360:G3043)=1,"",OFFSET(B3044,-COUNTA(G$2360:G3043)+1,0))</f>
        <v>a1b3p000003dxeCAAQ</v>
      </c>
      <c r="C3044" s="502">
        <f ca="1">IF(COUNTA(G$2360:G3043)=1,"",OFFSET(C3044,-COUNTA(G$2360:G3043)+1,0))</f>
        <v>34</v>
      </c>
      <c r="D3044" s="487">
        <f t="shared" si="229"/>
        <v>202</v>
      </c>
      <c r="E3044" s="487">
        <f t="shared" ca="1" si="230"/>
        <v>4</v>
      </c>
      <c r="F3044" s="487">
        <f t="shared" ca="1" si="231"/>
        <v>42</v>
      </c>
      <c r="G3044" s="487"/>
      <c r="H3044" s="493" t="str">
        <f t="shared" ca="1" si="234"/>
        <v/>
      </c>
      <c r="I3044" s="493" t="str">
        <f t="shared" ca="1" si="235"/>
        <v/>
      </c>
      <c r="J3044" s="493" t="str">
        <f t="shared" ca="1" si="236"/>
        <v/>
      </c>
      <c r="K3044" s="493" t="str">
        <f t="shared" ca="1" si="237"/>
        <v/>
      </c>
      <c r="L3044" s="487"/>
      <c r="M3044" s="487"/>
      <c r="N3044" s="487"/>
      <c r="O3044" s="487"/>
      <c r="P3044" s="487">
        <f t="shared" si="232"/>
        <v>0</v>
      </c>
      <c r="Q3044" s="487"/>
    </row>
    <row r="3045" spans="1:17" x14ac:dyDescent="0.3">
      <c r="A3045" s="487" t="b">
        <f t="shared" ca="1" si="233"/>
        <v>0</v>
      </c>
      <c r="B3045" s="500" t="str">
        <f ca="1">IF(COUNTA(G$2360:G3044)=1,"",OFFSET(B3045,-COUNTA(G$2360:G3044)+1,0))</f>
        <v>a1b3p000003dxfUAAQ</v>
      </c>
      <c r="C3045" s="502">
        <f ca="1">IF(COUNTA(G$2360:G3044)=1,"",OFFSET(C3045,-COUNTA(G$2360:G3044)+1,0))</f>
        <v>34</v>
      </c>
      <c r="D3045" s="487">
        <f t="shared" si="229"/>
        <v>203</v>
      </c>
      <c r="E3045" s="487">
        <f t="shared" ca="1" si="230"/>
        <v>5</v>
      </c>
      <c r="F3045" s="487">
        <f t="shared" ca="1" si="231"/>
        <v>42</v>
      </c>
      <c r="G3045" s="487"/>
      <c r="H3045" s="493" t="str">
        <f t="shared" ca="1" si="234"/>
        <v/>
      </c>
      <c r="I3045" s="493" t="str">
        <f t="shared" ca="1" si="235"/>
        <v/>
      </c>
      <c r="J3045" s="493" t="str">
        <f t="shared" ca="1" si="236"/>
        <v/>
      </c>
      <c r="K3045" s="493" t="str">
        <f t="shared" ca="1" si="237"/>
        <v/>
      </c>
      <c r="L3045" s="487"/>
      <c r="M3045" s="487"/>
      <c r="N3045" s="487"/>
      <c r="O3045" s="487"/>
      <c r="P3045" s="487">
        <f t="shared" si="232"/>
        <v>0</v>
      </c>
      <c r="Q3045" s="487"/>
    </row>
    <row r="3046" spans="1:17" x14ac:dyDescent="0.3">
      <c r="A3046" s="487" t="b">
        <f t="shared" ca="1" si="233"/>
        <v>0</v>
      </c>
      <c r="B3046" s="500" t="str">
        <f ca="1">IF(COUNTA(G$2360:G3045)=1,"",OFFSET(B3046,-COUNTA(G$2360:G3045)+1,0))</f>
        <v>a1b3p000003dxgmAAA</v>
      </c>
      <c r="C3046" s="502">
        <f ca="1">IF(COUNTA(G$2360:G3045)=1,"",OFFSET(C3046,-COUNTA(G$2360:G3045)+1,0))</f>
        <v>34</v>
      </c>
      <c r="D3046" s="487">
        <f t="shared" si="229"/>
        <v>204</v>
      </c>
      <c r="E3046" s="487">
        <f t="shared" ca="1" si="230"/>
        <v>6</v>
      </c>
      <c r="F3046" s="487">
        <f t="shared" ca="1" si="231"/>
        <v>42</v>
      </c>
      <c r="G3046" s="487"/>
      <c r="H3046" s="493" t="str">
        <f t="shared" ca="1" si="234"/>
        <v/>
      </c>
      <c r="I3046" s="493" t="str">
        <f t="shared" ca="1" si="235"/>
        <v/>
      </c>
      <c r="J3046" s="493" t="str">
        <f t="shared" ca="1" si="236"/>
        <v/>
      </c>
      <c r="K3046" s="493" t="str">
        <f t="shared" ca="1" si="237"/>
        <v/>
      </c>
      <c r="L3046" s="487"/>
      <c r="M3046" s="487"/>
      <c r="N3046" s="487"/>
      <c r="O3046" s="487"/>
      <c r="P3046" s="487">
        <f t="shared" si="232"/>
        <v>0</v>
      </c>
      <c r="Q3046" s="487"/>
    </row>
    <row r="3047" spans="1:17" x14ac:dyDescent="0.3">
      <c r="A3047" s="487" t="b">
        <f t="shared" ca="1" si="233"/>
        <v>0</v>
      </c>
      <c r="B3047" s="500" t="str">
        <f ca="1">IF(COUNTA(G$2360:G3046)=1,"",OFFSET(B3047,-COUNTA(G$2360:G3046)+1,0))</f>
        <v>a1b3p000003dxaLAAQ</v>
      </c>
      <c r="C3047" s="502">
        <f ca="1">IF(COUNTA(G$2360:G3046)=1,"",OFFSET(C3047,-COUNTA(G$2360:G3046)+1,0))</f>
        <v>35</v>
      </c>
      <c r="D3047" s="487">
        <f t="shared" si="229"/>
        <v>205</v>
      </c>
      <c r="E3047" s="487">
        <f t="shared" ca="1" si="230"/>
        <v>1</v>
      </c>
      <c r="F3047" s="487">
        <f t="shared" ca="1" si="231"/>
        <v>43</v>
      </c>
      <c r="G3047" s="487"/>
      <c r="H3047" s="493" t="str">
        <f t="shared" ca="1" si="234"/>
        <v/>
      </c>
      <c r="I3047" s="493" t="str">
        <f t="shared" ca="1" si="235"/>
        <v/>
      </c>
      <c r="J3047" s="493" t="str">
        <f t="shared" ca="1" si="236"/>
        <v/>
      </c>
      <c r="K3047" s="493" t="str">
        <f t="shared" ca="1" si="237"/>
        <v/>
      </c>
      <c r="L3047" s="487"/>
      <c r="M3047" s="487"/>
      <c r="N3047" s="487"/>
      <c r="O3047" s="487"/>
      <c r="P3047" s="487">
        <f t="shared" si="232"/>
        <v>0</v>
      </c>
      <c r="Q3047" s="487"/>
    </row>
    <row r="3048" spans="1:17" x14ac:dyDescent="0.3">
      <c r="A3048" s="487" t="b">
        <f t="shared" ca="1" si="233"/>
        <v>0</v>
      </c>
      <c r="B3048" s="500" t="str">
        <f ca="1">IF(COUNTA(G$2360:G3047)=1,"",OFFSET(B3048,-COUNTA(G$2360:G3047)+1,0))</f>
        <v>a1b3p000003dxbdAAA</v>
      </c>
      <c r="C3048" s="502">
        <f ca="1">IF(COUNTA(G$2360:G3047)=1,"",OFFSET(C3048,-COUNTA(G$2360:G3047)+1,0))</f>
        <v>35</v>
      </c>
      <c r="D3048" s="487">
        <f t="shared" si="229"/>
        <v>206</v>
      </c>
      <c r="E3048" s="487">
        <f t="shared" ca="1" si="230"/>
        <v>2</v>
      </c>
      <c r="F3048" s="487">
        <f t="shared" ca="1" si="231"/>
        <v>43</v>
      </c>
      <c r="G3048" s="487"/>
      <c r="H3048" s="493" t="str">
        <f t="shared" ca="1" si="234"/>
        <v/>
      </c>
      <c r="I3048" s="493" t="str">
        <f t="shared" ca="1" si="235"/>
        <v/>
      </c>
      <c r="J3048" s="493" t="str">
        <f t="shared" ca="1" si="236"/>
        <v/>
      </c>
      <c r="K3048" s="493" t="str">
        <f t="shared" ca="1" si="237"/>
        <v/>
      </c>
      <c r="L3048" s="487"/>
      <c r="M3048" s="487"/>
      <c r="N3048" s="487"/>
      <c r="O3048" s="487"/>
      <c r="P3048" s="487">
        <f t="shared" si="232"/>
        <v>0</v>
      </c>
      <c r="Q3048" s="487"/>
    </row>
    <row r="3049" spans="1:17" x14ac:dyDescent="0.3">
      <c r="A3049" s="487" t="b">
        <f t="shared" ca="1" si="233"/>
        <v>0</v>
      </c>
      <c r="B3049" s="500" t="str">
        <f ca="1">IF(COUNTA(G$2360:G3048)=1,"",OFFSET(B3049,-COUNTA(G$2360:G3048)+1,0))</f>
        <v>a1b3p000003dxcvAAA</v>
      </c>
      <c r="C3049" s="502">
        <f ca="1">IF(COUNTA(G$2360:G3048)=1,"",OFFSET(C3049,-COUNTA(G$2360:G3048)+1,0))</f>
        <v>35</v>
      </c>
      <c r="D3049" s="487">
        <f t="shared" si="229"/>
        <v>207</v>
      </c>
      <c r="E3049" s="487">
        <f t="shared" ca="1" si="230"/>
        <v>3</v>
      </c>
      <c r="F3049" s="487">
        <f t="shared" ca="1" si="231"/>
        <v>43</v>
      </c>
      <c r="G3049" s="487"/>
      <c r="H3049" s="493" t="str">
        <f t="shared" ca="1" si="234"/>
        <v/>
      </c>
      <c r="I3049" s="493" t="str">
        <f t="shared" ca="1" si="235"/>
        <v/>
      </c>
      <c r="J3049" s="493" t="str">
        <f t="shared" ca="1" si="236"/>
        <v/>
      </c>
      <c r="K3049" s="493" t="str">
        <f t="shared" ca="1" si="237"/>
        <v/>
      </c>
      <c r="L3049" s="487"/>
      <c r="M3049" s="487"/>
      <c r="N3049" s="487"/>
      <c r="O3049" s="487"/>
      <c r="P3049" s="487">
        <f t="shared" si="232"/>
        <v>0</v>
      </c>
      <c r="Q3049" s="487"/>
    </row>
    <row r="3050" spans="1:17" x14ac:dyDescent="0.3">
      <c r="A3050" s="487" t="b">
        <f t="shared" ca="1" si="233"/>
        <v>0</v>
      </c>
      <c r="B3050" s="500" t="str">
        <f ca="1">IF(COUNTA(G$2360:G3049)=1,"",OFFSET(B3050,-COUNTA(G$2360:G3049)+1,0))</f>
        <v>a1b3p000003dxeDAAQ</v>
      </c>
      <c r="C3050" s="502">
        <f ca="1">IF(COUNTA(G$2360:G3049)=1,"",OFFSET(C3050,-COUNTA(G$2360:G3049)+1,0))</f>
        <v>35</v>
      </c>
      <c r="D3050" s="487">
        <f t="shared" si="229"/>
        <v>208</v>
      </c>
      <c r="E3050" s="487">
        <f t="shared" ca="1" si="230"/>
        <v>4</v>
      </c>
      <c r="F3050" s="487">
        <f t="shared" ca="1" si="231"/>
        <v>43</v>
      </c>
      <c r="G3050" s="487"/>
      <c r="H3050" s="493" t="str">
        <f t="shared" ca="1" si="234"/>
        <v/>
      </c>
      <c r="I3050" s="493" t="str">
        <f t="shared" ca="1" si="235"/>
        <v/>
      </c>
      <c r="J3050" s="493" t="str">
        <f t="shared" ca="1" si="236"/>
        <v/>
      </c>
      <c r="K3050" s="493" t="str">
        <f t="shared" ca="1" si="237"/>
        <v/>
      </c>
      <c r="L3050" s="487"/>
      <c r="M3050" s="487"/>
      <c r="N3050" s="487"/>
      <c r="O3050" s="487"/>
      <c r="P3050" s="487">
        <f t="shared" si="232"/>
        <v>0</v>
      </c>
      <c r="Q3050" s="487"/>
    </row>
    <row r="3051" spans="1:17" x14ac:dyDescent="0.3">
      <c r="A3051" s="487" t="b">
        <f t="shared" ca="1" si="233"/>
        <v>0</v>
      </c>
      <c r="B3051" s="500" t="str">
        <f ca="1">IF(COUNTA(G$2360:G3050)=1,"",OFFSET(B3051,-COUNTA(G$2360:G3050)+1,0))</f>
        <v>a1b3p000003dxfVAAQ</v>
      </c>
      <c r="C3051" s="502">
        <f ca="1">IF(COUNTA(G$2360:G3050)=1,"",OFFSET(C3051,-COUNTA(G$2360:G3050)+1,0))</f>
        <v>35</v>
      </c>
      <c r="D3051" s="487">
        <f t="shared" si="229"/>
        <v>209</v>
      </c>
      <c r="E3051" s="487">
        <f t="shared" ca="1" si="230"/>
        <v>5</v>
      </c>
      <c r="F3051" s="487">
        <f t="shared" ca="1" si="231"/>
        <v>43</v>
      </c>
      <c r="G3051" s="487"/>
      <c r="H3051" s="493" t="str">
        <f t="shared" ca="1" si="234"/>
        <v/>
      </c>
      <c r="I3051" s="493" t="str">
        <f t="shared" ca="1" si="235"/>
        <v/>
      </c>
      <c r="J3051" s="493" t="str">
        <f t="shared" ca="1" si="236"/>
        <v/>
      </c>
      <c r="K3051" s="493" t="str">
        <f t="shared" ca="1" si="237"/>
        <v/>
      </c>
      <c r="L3051" s="487"/>
      <c r="M3051" s="487"/>
      <c r="N3051" s="487"/>
      <c r="O3051" s="487"/>
      <c r="P3051" s="487">
        <f t="shared" si="232"/>
        <v>0</v>
      </c>
      <c r="Q3051" s="487"/>
    </row>
    <row r="3052" spans="1:17" x14ac:dyDescent="0.3">
      <c r="A3052" s="487" t="b">
        <f t="shared" ca="1" si="233"/>
        <v>0</v>
      </c>
      <c r="B3052" s="500" t="str">
        <f ca="1">IF(COUNTA(G$2360:G3051)=1,"",OFFSET(B3052,-COUNTA(G$2360:G3051)+1,0))</f>
        <v>a1b3p000003dxgnAAA</v>
      </c>
      <c r="C3052" s="502">
        <f ca="1">IF(COUNTA(G$2360:G3051)=1,"",OFFSET(C3052,-COUNTA(G$2360:G3051)+1,0))</f>
        <v>35</v>
      </c>
      <c r="D3052" s="487">
        <f t="shared" si="229"/>
        <v>210</v>
      </c>
      <c r="E3052" s="487">
        <f t="shared" ca="1" si="230"/>
        <v>6</v>
      </c>
      <c r="F3052" s="487">
        <f t="shared" ca="1" si="231"/>
        <v>43</v>
      </c>
      <c r="G3052" s="487"/>
      <c r="H3052" s="493" t="str">
        <f t="shared" ca="1" si="234"/>
        <v/>
      </c>
      <c r="I3052" s="493" t="str">
        <f t="shared" ca="1" si="235"/>
        <v/>
      </c>
      <c r="J3052" s="493" t="str">
        <f t="shared" ca="1" si="236"/>
        <v/>
      </c>
      <c r="K3052" s="493" t="str">
        <f t="shared" ca="1" si="237"/>
        <v/>
      </c>
      <c r="L3052" s="487"/>
      <c r="M3052" s="487"/>
      <c r="N3052" s="487"/>
      <c r="O3052" s="487"/>
      <c r="P3052" s="487">
        <f t="shared" si="232"/>
        <v>0</v>
      </c>
      <c r="Q3052" s="487"/>
    </row>
    <row r="3053" spans="1:17" x14ac:dyDescent="0.3">
      <c r="A3053" s="487" t="b">
        <f t="shared" ca="1" si="233"/>
        <v>0</v>
      </c>
      <c r="B3053" s="500" t="str">
        <f ca="1">IF(COUNTA(G$2360:G3052)=1,"",OFFSET(B3053,-COUNTA(G$2360:G3052)+1,0))</f>
        <v>a1b3p000003dxaMAAQ</v>
      </c>
      <c r="C3053" s="502">
        <f ca="1">IF(COUNTA(G$2360:G3052)=1,"",OFFSET(C3053,-COUNTA(G$2360:G3052)+1,0))</f>
        <v>36</v>
      </c>
      <c r="D3053" s="487">
        <f t="shared" si="229"/>
        <v>211</v>
      </c>
      <c r="E3053" s="487">
        <f t="shared" ca="1" si="230"/>
        <v>1</v>
      </c>
      <c r="F3053" s="487">
        <f t="shared" ca="1" si="231"/>
        <v>44</v>
      </c>
      <c r="G3053" s="487"/>
      <c r="H3053" s="493" t="str">
        <f t="shared" ca="1" si="234"/>
        <v/>
      </c>
      <c r="I3053" s="493" t="str">
        <f t="shared" ca="1" si="235"/>
        <v/>
      </c>
      <c r="J3053" s="493" t="str">
        <f t="shared" ca="1" si="236"/>
        <v/>
      </c>
      <c r="K3053" s="493" t="str">
        <f t="shared" ca="1" si="237"/>
        <v/>
      </c>
      <c r="L3053" s="487"/>
      <c r="M3053" s="487"/>
      <c r="N3053" s="487"/>
      <c r="O3053" s="487"/>
      <c r="P3053" s="487">
        <f t="shared" si="232"/>
        <v>0</v>
      </c>
      <c r="Q3053" s="487"/>
    </row>
    <row r="3054" spans="1:17" x14ac:dyDescent="0.3">
      <c r="A3054" s="487" t="b">
        <f t="shared" ca="1" si="233"/>
        <v>0</v>
      </c>
      <c r="B3054" s="500" t="str">
        <f ca="1">IF(COUNTA(G$2360:G3053)=1,"",OFFSET(B3054,-COUNTA(G$2360:G3053)+1,0))</f>
        <v>a1b3p000003dxbeAAA</v>
      </c>
      <c r="C3054" s="502">
        <f ca="1">IF(COUNTA(G$2360:G3053)=1,"",OFFSET(C3054,-COUNTA(G$2360:G3053)+1,0))</f>
        <v>36</v>
      </c>
      <c r="D3054" s="487">
        <f t="shared" si="229"/>
        <v>212</v>
      </c>
      <c r="E3054" s="487">
        <f t="shared" ca="1" si="230"/>
        <v>2</v>
      </c>
      <c r="F3054" s="487">
        <f t="shared" ca="1" si="231"/>
        <v>44</v>
      </c>
      <c r="G3054" s="487"/>
      <c r="H3054" s="493" t="str">
        <f t="shared" ca="1" si="234"/>
        <v/>
      </c>
      <c r="I3054" s="493" t="str">
        <f t="shared" ca="1" si="235"/>
        <v/>
      </c>
      <c r="J3054" s="493" t="str">
        <f t="shared" ca="1" si="236"/>
        <v/>
      </c>
      <c r="K3054" s="493" t="str">
        <f t="shared" ca="1" si="237"/>
        <v/>
      </c>
      <c r="L3054" s="487"/>
      <c r="M3054" s="487"/>
      <c r="N3054" s="487"/>
      <c r="O3054" s="487"/>
      <c r="P3054" s="487">
        <f t="shared" si="232"/>
        <v>0</v>
      </c>
      <c r="Q3054" s="487"/>
    </row>
    <row r="3055" spans="1:17" x14ac:dyDescent="0.3">
      <c r="A3055" s="487" t="b">
        <f t="shared" ca="1" si="233"/>
        <v>0</v>
      </c>
      <c r="B3055" s="500" t="str">
        <f ca="1">IF(COUNTA(G$2360:G3054)=1,"",OFFSET(B3055,-COUNTA(G$2360:G3054)+1,0))</f>
        <v>a1b3p000003dxcwAAA</v>
      </c>
      <c r="C3055" s="502">
        <f ca="1">IF(COUNTA(G$2360:G3054)=1,"",OFFSET(C3055,-COUNTA(G$2360:G3054)+1,0))</f>
        <v>36</v>
      </c>
      <c r="D3055" s="487">
        <f t="shared" si="229"/>
        <v>213</v>
      </c>
      <c r="E3055" s="487">
        <f t="shared" ca="1" si="230"/>
        <v>3</v>
      </c>
      <c r="F3055" s="487">
        <f t="shared" ca="1" si="231"/>
        <v>44</v>
      </c>
      <c r="G3055" s="487"/>
      <c r="H3055" s="493" t="str">
        <f t="shared" ca="1" si="234"/>
        <v/>
      </c>
      <c r="I3055" s="493" t="str">
        <f t="shared" ca="1" si="235"/>
        <v/>
      </c>
      <c r="J3055" s="493" t="str">
        <f t="shared" ca="1" si="236"/>
        <v/>
      </c>
      <c r="K3055" s="493" t="str">
        <f t="shared" ca="1" si="237"/>
        <v/>
      </c>
      <c r="L3055" s="487"/>
      <c r="M3055" s="487"/>
      <c r="N3055" s="487"/>
      <c r="O3055" s="487"/>
      <c r="P3055" s="487">
        <f t="shared" si="232"/>
        <v>0</v>
      </c>
      <c r="Q3055" s="487"/>
    </row>
    <row r="3056" spans="1:17" x14ac:dyDescent="0.3">
      <c r="A3056" s="487" t="b">
        <f t="shared" ca="1" si="233"/>
        <v>0</v>
      </c>
      <c r="B3056" s="500" t="str">
        <f ca="1">IF(COUNTA(G$2360:G3055)=1,"",OFFSET(B3056,-COUNTA(G$2360:G3055)+1,0))</f>
        <v>a1b3p000003dxeEAAQ</v>
      </c>
      <c r="C3056" s="502">
        <f ca="1">IF(COUNTA(G$2360:G3055)=1,"",OFFSET(C3056,-COUNTA(G$2360:G3055)+1,0))</f>
        <v>36</v>
      </c>
      <c r="D3056" s="487">
        <f t="shared" si="229"/>
        <v>214</v>
      </c>
      <c r="E3056" s="487">
        <f t="shared" ca="1" si="230"/>
        <v>4</v>
      </c>
      <c r="F3056" s="487">
        <f t="shared" ca="1" si="231"/>
        <v>44</v>
      </c>
      <c r="G3056" s="487"/>
      <c r="H3056" s="493" t="str">
        <f t="shared" ca="1" si="234"/>
        <v/>
      </c>
      <c r="I3056" s="493" t="str">
        <f t="shared" ca="1" si="235"/>
        <v/>
      </c>
      <c r="J3056" s="493" t="str">
        <f t="shared" ca="1" si="236"/>
        <v/>
      </c>
      <c r="K3056" s="493" t="str">
        <f t="shared" ca="1" si="237"/>
        <v/>
      </c>
      <c r="L3056" s="487"/>
      <c r="M3056" s="487"/>
      <c r="N3056" s="487"/>
      <c r="O3056" s="487"/>
      <c r="P3056" s="487">
        <f t="shared" si="232"/>
        <v>0</v>
      </c>
      <c r="Q3056" s="487"/>
    </row>
    <row r="3057" spans="1:17" x14ac:dyDescent="0.3">
      <c r="A3057" s="487" t="b">
        <f t="shared" ca="1" si="233"/>
        <v>0</v>
      </c>
      <c r="B3057" s="500" t="str">
        <f ca="1">IF(COUNTA(G$2360:G3056)=1,"",OFFSET(B3057,-COUNTA(G$2360:G3056)+1,0))</f>
        <v>a1b3p000003dxfWAAQ</v>
      </c>
      <c r="C3057" s="502">
        <f ca="1">IF(COUNTA(G$2360:G3056)=1,"",OFFSET(C3057,-COUNTA(G$2360:G3056)+1,0))</f>
        <v>36</v>
      </c>
      <c r="D3057" s="487">
        <f t="shared" si="229"/>
        <v>215</v>
      </c>
      <c r="E3057" s="487">
        <f t="shared" ca="1" si="230"/>
        <v>5</v>
      </c>
      <c r="F3057" s="487">
        <f t="shared" ca="1" si="231"/>
        <v>44</v>
      </c>
      <c r="G3057" s="487"/>
      <c r="H3057" s="493" t="str">
        <f t="shared" ca="1" si="234"/>
        <v/>
      </c>
      <c r="I3057" s="493" t="str">
        <f t="shared" ca="1" si="235"/>
        <v/>
      </c>
      <c r="J3057" s="493" t="str">
        <f t="shared" ca="1" si="236"/>
        <v/>
      </c>
      <c r="K3057" s="493" t="str">
        <f t="shared" ca="1" si="237"/>
        <v/>
      </c>
      <c r="L3057" s="487"/>
      <c r="M3057" s="487"/>
      <c r="N3057" s="487"/>
      <c r="O3057" s="487"/>
      <c r="P3057" s="487">
        <f t="shared" si="232"/>
        <v>0</v>
      </c>
      <c r="Q3057" s="487"/>
    </row>
    <row r="3058" spans="1:17" x14ac:dyDescent="0.3">
      <c r="A3058" s="487" t="b">
        <f t="shared" ca="1" si="233"/>
        <v>0</v>
      </c>
      <c r="B3058" s="500" t="str">
        <f ca="1">IF(COUNTA(G$2360:G3057)=1,"",OFFSET(B3058,-COUNTA(G$2360:G3057)+1,0))</f>
        <v>a1b3p000003dxgoAAA</v>
      </c>
      <c r="C3058" s="502">
        <f ca="1">IF(COUNTA(G$2360:G3057)=1,"",OFFSET(C3058,-COUNTA(G$2360:G3057)+1,0))</f>
        <v>36</v>
      </c>
      <c r="D3058" s="487">
        <f t="shared" si="229"/>
        <v>216</v>
      </c>
      <c r="E3058" s="487">
        <f t="shared" ca="1" si="230"/>
        <v>6</v>
      </c>
      <c r="F3058" s="487">
        <f t="shared" ca="1" si="231"/>
        <v>44</v>
      </c>
      <c r="G3058" s="487"/>
      <c r="H3058" s="493" t="str">
        <f t="shared" ca="1" si="234"/>
        <v/>
      </c>
      <c r="I3058" s="493" t="str">
        <f t="shared" ca="1" si="235"/>
        <v/>
      </c>
      <c r="J3058" s="493" t="str">
        <f t="shared" ca="1" si="236"/>
        <v/>
      </c>
      <c r="K3058" s="493" t="str">
        <f t="shared" ca="1" si="237"/>
        <v/>
      </c>
      <c r="L3058" s="487"/>
      <c r="M3058" s="487"/>
      <c r="N3058" s="487"/>
      <c r="O3058" s="487"/>
      <c r="P3058" s="487">
        <f t="shared" si="232"/>
        <v>0</v>
      </c>
      <c r="Q3058" s="487"/>
    </row>
    <row r="3059" spans="1:17" x14ac:dyDescent="0.3">
      <c r="A3059" s="487" t="b">
        <f t="shared" ca="1" si="233"/>
        <v>0</v>
      </c>
      <c r="B3059" s="500" t="str">
        <f ca="1">IF(COUNTA(G$2360:G3058)=1,"",OFFSET(B3059,-COUNTA(G$2360:G3058)+1,0))</f>
        <v>a1b3p000003dxaNAAQ</v>
      </c>
      <c r="C3059" s="502">
        <f ca="1">IF(COUNTA(G$2360:G3058)=1,"",OFFSET(C3059,-COUNTA(G$2360:G3058)+1,0))</f>
        <v>37</v>
      </c>
      <c r="D3059" s="487">
        <f t="shared" si="229"/>
        <v>217</v>
      </c>
      <c r="E3059" s="487">
        <f t="shared" ca="1" si="230"/>
        <v>1</v>
      </c>
      <c r="F3059" s="487">
        <f t="shared" ca="1" si="231"/>
        <v>45</v>
      </c>
      <c r="G3059" s="487"/>
      <c r="H3059" s="493" t="str">
        <f t="shared" ca="1" si="234"/>
        <v/>
      </c>
      <c r="I3059" s="493" t="str">
        <f t="shared" ca="1" si="235"/>
        <v/>
      </c>
      <c r="J3059" s="493" t="str">
        <f t="shared" ca="1" si="236"/>
        <v/>
      </c>
      <c r="K3059" s="493" t="str">
        <f t="shared" ca="1" si="237"/>
        <v/>
      </c>
      <c r="L3059" s="487"/>
      <c r="M3059" s="487"/>
      <c r="N3059" s="487"/>
      <c r="O3059" s="487"/>
      <c r="P3059" s="487">
        <f t="shared" si="232"/>
        <v>0</v>
      </c>
      <c r="Q3059" s="487"/>
    </row>
    <row r="3060" spans="1:17" x14ac:dyDescent="0.3">
      <c r="A3060" s="487" t="b">
        <f t="shared" ca="1" si="233"/>
        <v>0</v>
      </c>
      <c r="B3060" s="500" t="str">
        <f ca="1">IF(COUNTA(G$2360:G3059)=1,"",OFFSET(B3060,-COUNTA(G$2360:G3059)+1,0))</f>
        <v>a1b3p000003dxbfAAA</v>
      </c>
      <c r="C3060" s="502">
        <f ca="1">IF(COUNTA(G$2360:G3059)=1,"",OFFSET(C3060,-COUNTA(G$2360:G3059)+1,0))</f>
        <v>37</v>
      </c>
      <c r="D3060" s="487">
        <f t="shared" si="229"/>
        <v>218</v>
      </c>
      <c r="E3060" s="487">
        <f t="shared" ca="1" si="230"/>
        <v>2</v>
      </c>
      <c r="F3060" s="487">
        <f t="shared" ca="1" si="231"/>
        <v>45</v>
      </c>
      <c r="G3060" s="487"/>
      <c r="H3060" s="493" t="str">
        <f t="shared" ca="1" si="234"/>
        <v/>
      </c>
      <c r="I3060" s="493" t="str">
        <f t="shared" ca="1" si="235"/>
        <v/>
      </c>
      <c r="J3060" s="493" t="str">
        <f t="shared" ca="1" si="236"/>
        <v/>
      </c>
      <c r="K3060" s="493" t="str">
        <f t="shared" ca="1" si="237"/>
        <v/>
      </c>
      <c r="L3060" s="487"/>
      <c r="M3060" s="487"/>
      <c r="N3060" s="487"/>
      <c r="O3060" s="487"/>
      <c r="P3060" s="487">
        <f t="shared" si="232"/>
        <v>0</v>
      </c>
      <c r="Q3060" s="487"/>
    </row>
    <row r="3061" spans="1:17" x14ac:dyDescent="0.3">
      <c r="A3061" s="487" t="b">
        <f t="shared" ca="1" si="233"/>
        <v>0</v>
      </c>
      <c r="B3061" s="500" t="str">
        <f ca="1">IF(COUNTA(G$2360:G3060)=1,"",OFFSET(B3061,-COUNTA(G$2360:G3060)+1,0))</f>
        <v>a1b3p000003dxcxAAA</v>
      </c>
      <c r="C3061" s="502">
        <f ca="1">IF(COUNTA(G$2360:G3060)=1,"",OFFSET(C3061,-COUNTA(G$2360:G3060)+1,0))</f>
        <v>37</v>
      </c>
      <c r="D3061" s="487">
        <f t="shared" si="229"/>
        <v>219</v>
      </c>
      <c r="E3061" s="487">
        <f t="shared" ca="1" si="230"/>
        <v>3</v>
      </c>
      <c r="F3061" s="487">
        <f t="shared" ca="1" si="231"/>
        <v>45</v>
      </c>
      <c r="G3061" s="487"/>
      <c r="H3061" s="493" t="str">
        <f t="shared" ca="1" si="234"/>
        <v/>
      </c>
      <c r="I3061" s="493" t="str">
        <f t="shared" ca="1" si="235"/>
        <v/>
      </c>
      <c r="J3061" s="493" t="str">
        <f t="shared" ca="1" si="236"/>
        <v/>
      </c>
      <c r="K3061" s="493" t="str">
        <f t="shared" ca="1" si="237"/>
        <v/>
      </c>
      <c r="L3061" s="487"/>
      <c r="M3061" s="487"/>
      <c r="N3061" s="487"/>
      <c r="O3061" s="487"/>
      <c r="P3061" s="487">
        <f t="shared" si="232"/>
        <v>0</v>
      </c>
      <c r="Q3061" s="487"/>
    </row>
    <row r="3062" spans="1:17" x14ac:dyDescent="0.3">
      <c r="A3062" s="487" t="b">
        <f t="shared" ca="1" si="233"/>
        <v>0</v>
      </c>
      <c r="B3062" s="500" t="str">
        <f ca="1">IF(COUNTA(G$2360:G3061)=1,"",OFFSET(B3062,-COUNTA(G$2360:G3061)+1,0))</f>
        <v>a1b3p000003dxeFAAQ</v>
      </c>
      <c r="C3062" s="502">
        <f ca="1">IF(COUNTA(G$2360:G3061)=1,"",OFFSET(C3062,-COUNTA(G$2360:G3061)+1,0))</f>
        <v>37</v>
      </c>
      <c r="D3062" s="487">
        <f t="shared" si="229"/>
        <v>220</v>
      </c>
      <c r="E3062" s="487">
        <f t="shared" ca="1" si="230"/>
        <v>4</v>
      </c>
      <c r="F3062" s="487">
        <f t="shared" ca="1" si="231"/>
        <v>45</v>
      </c>
      <c r="G3062" s="487"/>
      <c r="H3062" s="493" t="str">
        <f t="shared" ca="1" si="234"/>
        <v/>
      </c>
      <c r="I3062" s="493" t="str">
        <f t="shared" ca="1" si="235"/>
        <v/>
      </c>
      <c r="J3062" s="493" t="str">
        <f t="shared" ca="1" si="236"/>
        <v/>
      </c>
      <c r="K3062" s="493" t="str">
        <f t="shared" ca="1" si="237"/>
        <v/>
      </c>
      <c r="L3062" s="487"/>
      <c r="M3062" s="487"/>
      <c r="N3062" s="487"/>
      <c r="O3062" s="487"/>
      <c r="P3062" s="487">
        <f t="shared" si="232"/>
        <v>0</v>
      </c>
      <c r="Q3062" s="487"/>
    </row>
    <row r="3063" spans="1:17" x14ac:dyDescent="0.3">
      <c r="A3063" s="487" t="b">
        <f t="shared" ca="1" si="233"/>
        <v>0</v>
      </c>
      <c r="B3063" s="500" t="str">
        <f ca="1">IF(COUNTA(G$2360:G3062)=1,"",OFFSET(B3063,-COUNTA(G$2360:G3062)+1,0))</f>
        <v>a1b3p000003dxfXAAQ</v>
      </c>
      <c r="C3063" s="502">
        <f ca="1">IF(COUNTA(G$2360:G3062)=1,"",OFFSET(C3063,-COUNTA(G$2360:G3062)+1,0))</f>
        <v>37</v>
      </c>
      <c r="D3063" s="487">
        <f t="shared" si="229"/>
        <v>221</v>
      </c>
      <c r="E3063" s="487">
        <f t="shared" ca="1" si="230"/>
        <v>5</v>
      </c>
      <c r="F3063" s="487">
        <f t="shared" ca="1" si="231"/>
        <v>45</v>
      </c>
      <c r="G3063" s="487"/>
      <c r="H3063" s="493" t="str">
        <f t="shared" ca="1" si="234"/>
        <v/>
      </c>
      <c r="I3063" s="493" t="str">
        <f t="shared" ca="1" si="235"/>
        <v/>
      </c>
      <c r="J3063" s="493" t="str">
        <f t="shared" ca="1" si="236"/>
        <v/>
      </c>
      <c r="K3063" s="493" t="str">
        <f t="shared" ca="1" si="237"/>
        <v/>
      </c>
      <c r="L3063" s="487"/>
      <c r="M3063" s="487"/>
      <c r="N3063" s="487"/>
      <c r="O3063" s="487"/>
      <c r="P3063" s="487">
        <f t="shared" si="232"/>
        <v>0</v>
      </c>
      <c r="Q3063" s="487"/>
    </row>
    <row r="3064" spans="1:17" x14ac:dyDescent="0.3">
      <c r="A3064" s="487" t="b">
        <f t="shared" ca="1" si="233"/>
        <v>0</v>
      </c>
      <c r="B3064" s="500" t="str">
        <f ca="1">IF(COUNTA(G$2360:G3063)=1,"",OFFSET(B3064,-COUNTA(G$2360:G3063)+1,0))</f>
        <v>a1b3p000003dxgpAAA</v>
      </c>
      <c r="C3064" s="502">
        <f ca="1">IF(COUNTA(G$2360:G3063)=1,"",OFFSET(C3064,-COUNTA(G$2360:G3063)+1,0))</f>
        <v>37</v>
      </c>
      <c r="D3064" s="487">
        <f t="shared" si="229"/>
        <v>222</v>
      </c>
      <c r="E3064" s="487">
        <f t="shared" ca="1" si="230"/>
        <v>6</v>
      </c>
      <c r="F3064" s="487">
        <f t="shared" ca="1" si="231"/>
        <v>45</v>
      </c>
      <c r="G3064" s="487"/>
      <c r="H3064" s="493" t="str">
        <f t="shared" ca="1" si="234"/>
        <v/>
      </c>
      <c r="I3064" s="493" t="str">
        <f t="shared" ca="1" si="235"/>
        <v/>
      </c>
      <c r="J3064" s="493" t="str">
        <f t="shared" ca="1" si="236"/>
        <v/>
      </c>
      <c r="K3064" s="493" t="str">
        <f t="shared" ca="1" si="237"/>
        <v/>
      </c>
      <c r="L3064" s="487"/>
      <c r="M3064" s="487"/>
      <c r="N3064" s="487"/>
      <c r="O3064" s="487"/>
      <c r="P3064" s="487">
        <f t="shared" si="232"/>
        <v>0</v>
      </c>
      <c r="Q3064" s="487"/>
    </row>
    <row r="3065" spans="1:17" x14ac:dyDescent="0.3">
      <c r="A3065" s="487" t="b">
        <f t="shared" ca="1" si="233"/>
        <v>0</v>
      </c>
      <c r="B3065" s="500" t="str">
        <f ca="1">IF(COUNTA(G$2360:G3064)=1,"",OFFSET(B3065,-COUNTA(G$2360:G3064)+1,0))</f>
        <v>a1b3p000003dxaOAAQ</v>
      </c>
      <c r="C3065" s="502">
        <f ca="1">IF(COUNTA(G$2360:G3064)=1,"",OFFSET(C3065,-COUNTA(G$2360:G3064)+1,0))</f>
        <v>38</v>
      </c>
      <c r="D3065" s="487">
        <f t="shared" si="229"/>
        <v>223</v>
      </c>
      <c r="E3065" s="487">
        <f t="shared" ca="1" si="230"/>
        <v>1</v>
      </c>
      <c r="F3065" s="487">
        <f t="shared" ca="1" si="231"/>
        <v>46</v>
      </c>
      <c r="G3065" s="487"/>
      <c r="H3065" s="493" t="str">
        <f t="shared" ca="1" si="234"/>
        <v/>
      </c>
      <c r="I3065" s="493" t="str">
        <f t="shared" ca="1" si="235"/>
        <v/>
      </c>
      <c r="J3065" s="493" t="str">
        <f t="shared" ca="1" si="236"/>
        <v/>
      </c>
      <c r="K3065" s="493" t="str">
        <f t="shared" ca="1" si="237"/>
        <v/>
      </c>
      <c r="L3065" s="487"/>
      <c r="M3065" s="487"/>
      <c r="N3065" s="487"/>
      <c r="O3065" s="487"/>
      <c r="P3065" s="487">
        <f t="shared" si="232"/>
        <v>0</v>
      </c>
      <c r="Q3065" s="487"/>
    </row>
    <row r="3066" spans="1:17" x14ac:dyDescent="0.3">
      <c r="A3066" s="487" t="b">
        <f t="shared" ca="1" si="233"/>
        <v>0</v>
      </c>
      <c r="B3066" s="500" t="str">
        <f ca="1">IF(COUNTA(G$2360:G3065)=1,"",OFFSET(B3066,-COUNTA(G$2360:G3065)+1,0))</f>
        <v>a1b3p000003dxbgAAA</v>
      </c>
      <c r="C3066" s="502">
        <f ca="1">IF(COUNTA(G$2360:G3065)=1,"",OFFSET(C3066,-COUNTA(G$2360:G3065)+1,0))</f>
        <v>38</v>
      </c>
      <c r="D3066" s="487">
        <f t="shared" si="229"/>
        <v>224</v>
      </c>
      <c r="E3066" s="487">
        <f t="shared" ca="1" si="230"/>
        <v>2</v>
      </c>
      <c r="F3066" s="487">
        <f t="shared" ca="1" si="231"/>
        <v>46</v>
      </c>
      <c r="G3066" s="487"/>
      <c r="H3066" s="493" t="str">
        <f t="shared" ca="1" si="234"/>
        <v/>
      </c>
      <c r="I3066" s="493" t="str">
        <f t="shared" ca="1" si="235"/>
        <v/>
      </c>
      <c r="J3066" s="493" t="str">
        <f t="shared" ca="1" si="236"/>
        <v/>
      </c>
      <c r="K3066" s="493" t="str">
        <f t="shared" ca="1" si="237"/>
        <v/>
      </c>
      <c r="L3066" s="487"/>
      <c r="M3066" s="487"/>
      <c r="N3066" s="487"/>
      <c r="O3066" s="487"/>
      <c r="P3066" s="487">
        <f t="shared" si="232"/>
        <v>0</v>
      </c>
      <c r="Q3066" s="487"/>
    </row>
    <row r="3067" spans="1:17" x14ac:dyDescent="0.3">
      <c r="A3067" s="487" t="b">
        <f t="shared" ca="1" si="233"/>
        <v>0</v>
      </c>
      <c r="B3067" s="500" t="str">
        <f ca="1">IF(COUNTA(G$2360:G3066)=1,"",OFFSET(B3067,-COUNTA(G$2360:G3066)+1,0))</f>
        <v>a1b3p000003dxcyAAA</v>
      </c>
      <c r="C3067" s="502">
        <f ca="1">IF(COUNTA(G$2360:G3066)=1,"",OFFSET(C3067,-COUNTA(G$2360:G3066)+1,0))</f>
        <v>38</v>
      </c>
      <c r="D3067" s="487">
        <f t="shared" ref="D3067:D3130" si="238">D3066+1</f>
        <v>225</v>
      </c>
      <c r="E3067" s="487">
        <f t="shared" ref="E3067:E3130" ca="1" si="239">COUNTIF(C3062:C3067,C3067)</f>
        <v>3</v>
      </c>
      <c r="F3067" s="487">
        <f t="shared" ref="F3067:F3130" ca="1" si="240">IF(C3067=1,9,IF(E3066=MAX(E3065:E3067),F3065+1,F3066))</f>
        <v>46</v>
      </c>
      <c r="G3067" s="487"/>
      <c r="H3067" s="493" t="str">
        <f t="shared" ca="1" si="234"/>
        <v/>
      </c>
      <c r="I3067" s="493" t="str">
        <f t="shared" ca="1" si="235"/>
        <v/>
      </c>
      <c r="J3067" s="493" t="str">
        <f t="shared" ca="1" si="236"/>
        <v/>
      </c>
      <c r="K3067" s="493" t="str">
        <f t="shared" ca="1" si="237"/>
        <v/>
      </c>
      <c r="L3067" s="487"/>
      <c r="M3067" s="487"/>
      <c r="N3067" s="487"/>
      <c r="O3067" s="487"/>
      <c r="P3067" s="487">
        <f t="shared" ref="P3067:P3130" si="241">IF(NOT(_xlfn.ISFORMULA(I3067)),P3066+1,0)</f>
        <v>0</v>
      </c>
      <c r="Q3067" s="487"/>
    </row>
    <row r="3068" spans="1:17" x14ac:dyDescent="0.3">
      <c r="A3068" s="487" t="b">
        <f t="shared" ca="1" si="233"/>
        <v>0</v>
      </c>
      <c r="B3068" s="500" t="str">
        <f ca="1">IF(COUNTA(G$2360:G3067)=1,"",OFFSET(B3068,-COUNTA(G$2360:G3067)+1,0))</f>
        <v>a1b3p000003dxeGAAQ</v>
      </c>
      <c r="C3068" s="502">
        <f ca="1">IF(COUNTA(G$2360:G3067)=1,"",OFFSET(C3068,-COUNTA(G$2360:G3067)+1,0))</f>
        <v>38</v>
      </c>
      <c r="D3068" s="487">
        <f t="shared" si="238"/>
        <v>226</v>
      </c>
      <c r="E3068" s="487">
        <f t="shared" ca="1" si="239"/>
        <v>4</v>
      </c>
      <c r="F3068" s="487">
        <f t="shared" ca="1" si="240"/>
        <v>46</v>
      </c>
      <c r="G3068" s="487"/>
      <c r="H3068" s="493" t="str">
        <f t="shared" ca="1" si="234"/>
        <v/>
      </c>
      <c r="I3068" s="493" t="str">
        <f t="shared" ca="1" si="235"/>
        <v/>
      </c>
      <c r="J3068" s="493" t="str">
        <f t="shared" ca="1" si="236"/>
        <v/>
      </c>
      <c r="K3068" s="493" t="str">
        <f t="shared" ca="1" si="237"/>
        <v/>
      </c>
      <c r="L3068" s="487"/>
      <c r="M3068" s="487"/>
      <c r="N3068" s="487"/>
      <c r="O3068" s="487"/>
      <c r="P3068" s="487">
        <f t="shared" si="241"/>
        <v>0</v>
      </c>
      <c r="Q3068" s="487"/>
    </row>
    <row r="3069" spans="1:17" x14ac:dyDescent="0.3">
      <c r="A3069" s="487" t="b">
        <f t="shared" ca="1" si="233"/>
        <v>0</v>
      </c>
      <c r="B3069" s="500" t="str">
        <f ca="1">IF(COUNTA(G$2360:G3068)=1,"",OFFSET(B3069,-COUNTA(G$2360:G3068)+1,0))</f>
        <v>a1b3p000003dxfYAAQ</v>
      </c>
      <c r="C3069" s="502">
        <f ca="1">IF(COUNTA(G$2360:G3068)=1,"",OFFSET(C3069,-COUNTA(G$2360:G3068)+1,0))</f>
        <v>38</v>
      </c>
      <c r="D3069" s="487">
        <f t="shared" si="238"/>
        <v>227</v>
      </c>
      <c r="E3069" s="487">
        <f t="shared" ca="1" si="239"/>
        <v>5</v>
      </c>
      <c r="F3069" s="487">
        <f t="shared" ca="1" si="240"/>
        <v>46</v>
      </c>
      <c r="G3069" s="487"/>
      <c r="H3069" s="493" t="str">
        <f t="shared" ca="1" si="234"/>
        <v/>
      </c>
      <c r="I3069" s="493" t="str">
        <f t="shared" ca="1" si="235"/>
        <v/>
      </c>
      <c r="J3069" s="493" t="str">
        <f t="shared" ca="1" si="236"/>
        <v/>
      </c>
      <c r="K3069" s="493" t="str">
        <f t="shared" ca="1" si="237"/>
        <v/>
      </c>
      <c r="L3069" s="487"/>
      <c r="M3069" s="487"/>
      <c r="N3069" s="487"/>
      <c r="O3069" s="487"/>
      <c r="P3069" s="487">
        <f t="shared" si="241"/>
        <v>0</v>
      </c>
      <c r="Q3069" s="487"/>
    </row>
    <row r="3070" spans="1:17" x14ac:dyDescent="0.3">
      <c r="A3070" s="487" t="b">
        <f t="shared" ca="1" si="233"/>
        <v>0</v>
      </c>
      <c r="B3070" s="500" t="str">
        <f ca="1">IF(COUNTA(G$2360:G3069)=1,"",OFFSET(B3070,-COUNTA(G$2360:G3069)+1,0))</f>
        <v>a1b3p000003dxgqAAA</v>
      </c>
      <c r="C3070" s="502">
        <f ca="1">IF(COUNTA(G$2360:G3069)=1,"",OFFSET(C3070,-COUNTA(G$2360:G3069)+1,0))</f>
        <v>38</v>
      </c>
      <c r="D3070" s="487">
        <f t="shared" si="238"/>
        <v>228</v>
      </c>
      <c r="E3070" s="487">
        <f t="shared" ca="1" si="239"/>
        <v>6</v>
      </c>
      <c r="F3070" s="487">
        <f t="shared" ca="1" si="240"/>
        <v>46</v>
      </c>
      <c r="G3070" s="487"/>
      <c r="H3070" s="493" t="str">
        <f t="shared" ca="1" si="234"/>
        <v/>
      </c>
      <c r="I3070" s="493" t="str">
        <f t="shared" ca="1" si="235"/>
        <v/>
      </c>
      <c r="J3070" s="493" t="str">
        <f t="shared" ca="1" si="236"/>
        <v/>
      </c>
      <c r="K3070" s="493" t="str">
        <f t="shared" ca="1" si="237"/>
        <v/>
      </c>
      <c r="L3070" s="487"/>
      <c r="M3070" s="487"/>
      <c r="N3070" s="487"/>
      <c r="O3070" s="487"/>
      <c r="P3070" s="487">
        <f t="shared" si="241"/>
        <v>0</v>
      </c>
      <c r="Q3070" s="487"/>
    </row>
    <row r="3071" spans="1:17" x14ac:dyDescent="0.3">
      <c r="A3071" s="487" t="b">
        <f t="shared" ca="1" si="233"/>
        <v>0</v>
      </c>
      <c r="B3071" s="500" t="str">
        <f ca="1">IF(COUNTA(G$2360:G3070)=1,"",OFFSET(B3071,-COUNTA(G$2360:G3070)+1,0))</f>
        <v>a1b3p000003dxaPAAQ</v>
      </c>
      <c r="C3071" s="502">
        <f ca="1">IF(COUNTA(G$2360:G3070)=1,"",OFFSET(C3071,-COUNTA(G$2360:G3070)+1,0))</f>
        <v>39</v>
      </c>
      <c r="D3071" s="487">
        <f t="shared" si="238"/>
        <v>229</v>
      </c>
      <c r="E3071" s="487">
        <f t="shared" ca="1" si="239"/>
        <v>1</v>
      </c>
      <c r="F3071" s="487">
        <f t="shared" ca="1" si="240"/>
        <v>47</v>
      </c>
      <c r="G3071" s="487"/>
      <c r="H3071" s="493" t="str">
        <f t="shared" ca="1" si="234"/>
        <v/>
      </c>
      <c r="I3071" s="493" t="str">
        <f t="shared" ca="1" si="235"/>
        <v/>
      </c>
      <c r="J3071" s="493" t="str">
        <f t="shared" ca="1" si="236"/>
        <v/>
      </c>
      <c r="K3071" s="493" t="str">
        <f t="shared" ca="1" si="237"/>
        <v/>
      </c>
      <c r="L3071" s="487"/>
      <c r="M3071" s="487"/>
      <c r="N3071" s="487"/>
      <c r="O3071" s="487"/>
      <c r="P3071" s="487">
        <f t="shared" si="241"/>
        <v>0</v>
      </c>
      <c r="Q3071" s="487"/>
    </row>
    <row r="3072" spans="1:17" x14ac:dyDescent="0.3">
      <c r="A3072" s="487" t="b">
        <f t="shared" ca="1" si="233"/>
        <v>0</v>
      </c>
      <c r="B3072" s="500" t="str">
        <f ca="1">IF(COUNTA(G$2360:G3071)=1,"",OFFSET(B3072,-COUNTA(G$2360:G3071)+1,0))</f>
        <v>a1b3p000003dxbhAAA</v>
      </c>
      <c r="C3072" s="502">
        <f ca="1">IF(COUNTA(G$2360:G3071)=1,"",OFFSET(C3072,-COUNTA(G$2360:G3071)+1,0))</f>
        <v>39</v>
      </c>
      <c r="D3072" s="487">
        <f t="shared" si="238"/>
        <v>230</v>
      </c>
      <c r="E3072" s="487">
        <f t="shared" ca="1" si="239"/>
        <v>2</v>
      </c>
      <c r="F3072" s="487">
        <f t="shared" ca="1" si="240"/>
        <v>47</v>
      </c>
      <c r="G3072" s="487"/>
      <c r="H3072" s="493" t="str">
        <f t="shared" ca="1" si="234"/>
        <v/>
      </c>
      <c r="I3072" s="493" t="str">
        <f t="shared" ca="1" si="235"/>
        <v/>
      </c>
      <c r="J3072" s="493" t="str">
        <f t="shared" ca="1" si="236"/>
        <v/>
      </c>
      <c r="K3072" s="493" t="str">
        <f t="shared" ca="1" si="237"/>
        <v/>
      </c>
      <c r="L3072" s="487"/>
      <c r="M3072" s="487"/>
      <c r="N3072" s="487"/>
      <c r="O3072" s="487"/>
      <c r="P3072" s="487">
        <f t="shared" si="241"/>
        <v>0</v>
      </c>
      <c r="Q3072" s="487"/>
    </row>
    <row r="3073" spans="1:17" x14ac:dyDescent="0.3">
      <c r="A3073" s="487" t="b">
        <f t="shared" ca="1" si="233"/>
        <v>0</v>
      </c>
      <c r="B3073" s="500" t="str">
        <f ca="1">IF(COUNTA(G$2360:G3072)=1,"",OFFSET(B3073,-COUNTA(G$2360:G3072)+1,0))</f>
        <v>a1b3p000003dxczAAA</v>
      </c>
      <c r="C3073" s="502">
        <f ca="1">IF(COUNTA(G$2360:G3072)=1,"",OFFSET(C3073,-COUNTA(G$2360:G3072)+1,0))</f>
        <v>39</v>
      </c>
      <c r="D3073" s="487">
        <f t="shared" si="238"/>
        <v>231</v>
      </c>
      <c r="E3073" s="487">
        <f t="shared" ca="1" si="239"/>
        <v>3</v>
      </c>
      <c r="F3073" s="487">
        <f t="shared" ca="1" si="240"/>
        <v>47</v>
      </c>
      <c r="G3073" s="487"/>
      <c r="H3073" s="493" t="str">
        <f t="shared" ca="1" si="234"/>
        <v/>
      </c>
      <c r="I3073" s="493" t="str">
        <f t="shared" ca="1" si="235"/>
        <v/>
      </c>
      <c r="J3073" s="493" t="str">
        <f t="shared" ca="1" si="236"/>
        <v/>
      </c>
      <c r="K3073" s="493" t="str">
        <f t="shared" ca="1" si="237"/>
        <v/>
      </c>
      <c r="L3073" s="487"/>
      <c r="M3073" s="487"/>
      <c r="N3073" s="487"/>
      <c r="O3073" s="487"/>
      <c r="P3073" s="487">
        <f t="shared" si="241"/>
        <v>0</v>
      </c>
      <c r="Q3073" s="487"/>
    </row>
    <row r="3074" spans="1:17" x14ac:dyDescent="0.3">
      <c r="A3074" s="487" t="b">
        <f t="shared" ca="1" si="233"/>
        <v>0</v>
      </c>
      <c r="B3074" s="500" t="str">
        <f ca="1">IF(COUNTA(G$2360:G3073)=1,"",OFFSET(B3074,-COUNTA(G$2360:G3073)+1,0))</f>
        <v>a1b3p000003dxeHAAQ</v>
      </c>
      <c r="C3074" s="502">
        <f ca="1">IF(COUNTA(G$2360:G3073)=1,"",OFFSET(C3074,-COUNTA(G$2360:G3073)+1,0))</f>
        <v>39</v>
      </c>
      <c r="D3074" s="487">
        <f t="shared" si="238"/>
        <v>232</v>
      </c>
      <c r="E3074" s="487">
        <f t="shared" ca="1" si="239"/>
        <v>4</v>
      </c>
      <c r="F3074" s="487">
        <f t="shared" ca="1" si="240"/>
        <v>47</v>
      </c>
      <c r="G3074" s="487"/>
      <c r="H3074" s="493" t="str">
        <f t="shared" ca="1" si="234"/>
        <v/>
      </c>
      <c r="I3074" s="493" t="str">
        <f t="shared" ca="1" si="235"/>
        <v/>
      </c>
      <c r="J3074" s="493" t="str">
        <f t="shared" ca="1" si="236"/>
        <v/>
      </c>
      <c r="K3074" s="493" t="str">
        <f t="shared" ca="1" si="237"/>
        <v/>
      </c>
      <c r="L3074" s="487"/>
      <c r="M3074" s="487"/>
      <c r="N3074" s="487"/>
      <c r="O3074" s="487"/>
      <c r="P3074" s="487">
        <f t="shared" si="241"/>
        <v>0</v>
      </c>
      <c r="Q3074" s="487"/>
    </row>
    <row r="3075" spans="1:17" x14ac:dyDescent="0.3">
      <c r="A3075" s="487" t="b">
        <f t="shared" ca="1" si="233"/>
        <v>0</v>
      </c>
      <c r="B3075" s="500" t="str">
        <f ca="1">IF(COUNTA(G$2360:G3074)=1,"",OFFSET(B3075,-COUNTA(G$2360:G3074)+1,0))</f>
        <v>a1b3p000003dxfZAAQ</v>
      </c>
      <c r="C3075" s="502">
        <f ca="1">IF(COUNTA(G$2360:G3074)=1,"",OFFSET(C3075,-COUNTA(G$2360:G3074)+1,0))</f>
        <v>39</v>
      </c>
      <c r="D3075" s="487">
        <f t="shared" si="238"/>
        <v>233</v>
      </c>
      <c r="E3075" s="487">
        <f t="shared" ca="1" si="239"/>
        <v>5</v>
      </c>
      <c r="F3075" s="487">
        <f t="shared" ca="1" si="240"/>
        <v>47</v>
      </c>
      <c r="G3075" s="487"/>
      <c r="H3075" s="493" t="str">
        <f t="shared" ca="1" si="234"/>
        <v/>
      </c>
      <c r="I3075" s="493" t="str">
        <f t="shared" ca="1" si="235"/>
        <v/>
      </c>
      <c r="J3075" s="493" t="str">
        <f t="shared" ca="1" si="236"/>
        <v/>
      </c>
      <c r="K3075" s="493" t="str">
        <f t="shared" ca="1" si="237"/>
        <v/>
      </c>
      <c r="L3075" s="487"/>
      <c r="M3075" s="487"/>
      <c r="N3075" s="487"/>
      <c r="O3075" s="487"/>
      <c r="P3075" s="487">
        <f t="shared" si="241"/>
        <v>0</v>
      </c>
      <c r="Q3075" s="487"/>
    </row>
    <row r="3076" spans="1:17" x14ac:dyDescent="0.3">
      <c r="A3076" s="487" t="b">
        <f t="shared" ca="1" si="233"/>
        <v>0</v>
      </c>
      <c r="B3076" s="500" t="str">
        <f ca="1">IF(COUNTA(G$2360:G3075)=1,"",OFFSET(B3076,-COUNTA(G$2360:G3075)+1,0))</f>
        <v>a1b3p000003dxgrAAA</v>
      </c>
      <c r="C3076" s="502">
        <f ca="1">IF(COUNTA(G$2360:G3075)=1,"",OFFSET(C3076,-COUNTA(G$2360:G3075)+1,0))</f>
        <v>39</v>
      </c>
      <c r="D3076" s="487">
        <f t="shared" si="238"/>
        <v>234</v>
      </c>
      <c r="E3076" s="487">
        <f t="shared" ca="1" si="239"/>
        <v>6</v>
      </c>
      <c r="F3076" s="487">
        <f t="shared" ca="1" si="240"/>
        <v>47</v>
      </c>
      <c r="G3076" s="487"/>
      <c r="H3076" s="493" t="str">
        <f t="shared" ca="1" si="234"/>
        <v/>
      </c>
      <c r="I3076" s="493" t="str">
        <f t="shared" ca="1" si="235"/>
        <v/>
      </c>
      <c r="J3076" s="493" t="str">
        <f t="shared" ca="1" si="236"/>
        <v/>
      </c>
      <c r="K3076" s="493" t="str">
        <f t="shared" ca="1" si="237"/>
        <v/>
      </c>
      <c r="L3076" s="487"/>
      <c r="M3076" s="487"/>
      <c r="N3076" s="487"/>
      <c r="O3076" s="487"/>
      <c r="P3076" s="487">
        <f t="shared" si="241"/>
        <v>0</v>
      </c>
      <c r="Q3076" s="487"/>
    </row>
    <row r="3077" spans="1:17" x14ac:dyDescent="0.3">
      <c r="A3077" s="487" t="b">
        <f t="shared" ca="1" si="233"/>
        <v>0</v>
      </c>
      <c r="B3077" s="500" t="str">
        <f ca="1">IF(COUNTA(G$2360:G3076)=1,"",OFFSET(B3077,-COUNTA(G$2360:G3076)+1,0))</f>
        <v>a1b3p000003dxaQAAQ</v>
      </c>
      <c r="C3077" s="502">
        <f ca="1">IF(COUNTA(G$2360:G3076)=1,"",OFFSET(C3077,-COUNTA(G$2360:G3076)+1,0))</f>
        <v>40</v>
      </c>
      <c r="D3077" s="487">
        <f t="shared" si="238"/>
        <v>235</v>
      </c>
      <c r="E3077" s="487">
        <f t="shared" ca="1" si="239"/>
        <v>1</v>
      </c>
      <c r="F3077" s="487">
        <f t="shared" ca="1" si="240"/>
        <v>48</v>
      </c>
      <c r="G3077" s="487"/>
      <c r="H3077" s="493" t="str">
        <f t="shared" ca="1" si="234"/>
        <v/>
      </c>
      <c r="I3077" s="493" t="str">
        <f t="shared" ca="1" si="235"/>
        <v/>
      </c>
      <c r="J3077" s="493" t="str">
        <f t="shared" ca="1" si="236"/>
        <v/>
      </c>
      <c r="K3077" s="493" t="str">
        <f t="shared" ca="1" si="237"/>
        <v/>
      </c>
      <c r="L3077" s="487"/>
      <c r="M3077" s="487"/>
      <c r="N3077" s="487"/>
      <c r="O3077" s="487"/>
      <c r="P3077" s="487">
        <f t="shared" si="241"/>
        <v>0</v>
      </c>
      <c r="Q3077" s="487"/>
    </row>
    <row r="3078" spans="1:17" x14ac:dyDescent="0.3">
      <c r="A3078" s="487" t="b">
        <f t="shared" ca="1" si="233"/>
        <v>0</v>
      </c>
      <c r="B3078" s="500" t="str">
        <f ca="1">IF(COUNTA(G$2360:G3077)=1,"",OFFSET(B3078,-COUNTA(G$2360:G3077)+1,0))</f>
        <v>a1b3p000003dxbiAAA</v>
      </c>
      <c r="C3078" s="502">
        <f ca="1">IF(COUNTA(G$2360:G3077)=1,"",OFFSET(C3078,-COUNTA(G$2360:G3077)+1,0))</f>
        <v>40</v>
      </c>
      <c r="D3078" s="487">
        <f t="shared" si="238"/>
        <v>236</v>
      </c>
      <c r="E3078" s="487">
        <f t="shared" ca="1" si="239"/>
        <v>2</v>
      </c>
      <c r="F3078" s="487">
        <f t="shared" ca="1" si="240"/>
        <v>48</v>
      </c>
      <c r="G3078" s="487"/>
      <c r="H3078" s="493" t="str">
        <f t="shared" ca="1" si="234"/>
        <v/>
      </c>
      <c r="I3078" s="493" t="str">
        <f t="shared" ca="1" si="235"/>
        <v/>
      </c>
      <c r="J3078" s="493" t="str">
        <f t="shared" ca="1" si="236"/>
        <v/>
      </c>
      <c r="K3078" s="493" t="str">
        <f t="shared" ca="1" si="237"/>
        <v/>
      </c>
      <c r="L3078" s="487"/>
      <c r="M3078" s="487"/>
      <c r="N3078" s="487"/>
      <c r="O3078" s="487"/>
      <c r="P3078" s="487">
        <f t="shared" si="241"/>
        <v>0</v>
      </c>
      <c r="Q3078" s="487"/>
    </row>
    <row r="3079" spans="1:17" x14ac:dyDescent="0.3">
      <c r="A3079" s="487" t="b">
        <f t="shared" ca="1" si="233"/>
        <v>0</v>
      </c>
      <c r="B3079" s="500" t="str">
        <f ca="1">IF(COUNTA(G$2360:G3078)=1,"",OFFSET(B3079,-COUNTA(G$2360:G3078)+1,0))</f>
        <v>a1b3p000003dxd0AAA</v>
      </c>
      <c r="C3079" s="502">
        <f ca="1">IF(COUNTA(G$2360:G3078)=1,"",OFFSET(C3079,-COUNTA(G$2360:G3078)+1,0))</f>
        <v>40</v>
      </c>
      <c r="D3079" s="487">
        <f t="shared" si="238"/>
        <v>237</v>
      </c>
      <c r="E3079" s="487">
        <f t="shared" ca="1" si="239"/>
        <v>3</v>
      </c>
      <c r="F3079" s="487">
        <f t="shared" ca="1" si="240"/>
        <v>48</v>
      </c>
      <c r="G3079" s="487"/>
      <c r="H3079" s="493" t="str">
        <f t="shared" ca="1" si="234"/>
        <v/>
      </c>
      <c r="I3079" s="493" t="str">
        <f t="shared" ca="1" si="235"/>
        <v/>
      </c>
      <c r="J3079" s="493" t="str">
        <f t="shared" ca="1" si="236"/>
        <v/>
      </c>
      <c r="K3079" s="493" t="str">
        <f t="shared" ca="1" si="237"/>
        <v/>
      </c>
      <c r="L3079" s="487"/>
      <c r="M3079" s="487"/>
      <c r="N3079" s="487"/>
      <c r="O3079" s="487"/>
      <c r="P3079" s="487">
        <f t="shared" si="241"/>
        <v>0</v>
      </c>
      <c r="Q3079" s="487"/>
    </row>
    <row r="3080" spans="1:17" x14ac:dyDescent="0.3">
      <c r="A3080" s="487" t="b">
        <f t="shared" ca="1" si="233"/>
        <v>0</v>
      </c>
      <c r="B3080" s="500" t="str">
        <f ca="1">IF(COUNTA(G$2360:G3079)=1,"",OFFSET(B3080,-COUNTA(G$2360:G3079)+1,0))</f>
        <v>a1b3p000003dxeIAAQ</v>
      </c>
      <c r="C3080" s="502">
        <f ca="1">IF(COUNTA(G$2360:G3079)=1,"",OFFSET(C3080,-COUNTA(G$2360:G3079)+1,0))</f>
        <v>40</v>
      </c>
      <c r="D3080" s="487">
        <f t="shared" si="238"/>
        <v>238</v>
      </c>
      <c r="E3080" s="487">
        <f t="shared" ca="1" si="239"/>
        <v>4</v>
      </c>
      <c r="F3080" s="487">
        <f t="shared" ca="1" si="240"/>
        <v>48</v>
      </c>
      <c r="G3080" s="487"/>
      <c r="H3080" s="493" t="str">
        <f t="shared" ca="1" si="234"/>
        <v/>
      </c>
      <c r="I3080" s="493" t="str">
        <f t="shared" ca="1" si="235"/>
        <v/>
      </c>
      <c r="J3080" s="493" t="str">
        <f t="shared" ca="1" si="236"/>
        <v/>
      </c>
      <c r="K3080" s="493" t="str">
        <f t="shared" ca="1" si="237"/>
        <v/>
      </c>
      <c r="L3080" s="487"/>
      <c r="M3080" s="487"/>
      <c r="N3080" s="487"/>
      <c r="O3080" s="487"/>
      <c r="P3080" s="487">
        <f t="shared" si="241"/>
        <v>0</v>
      </c>
      <c r="Q3080" s="487"/>
    </row>
    <row r="3081" spans="1:17" x14ac:dyDescent="0.3">
      <c r="A3081" s="487" t="b">
        <f t="shared" ca="1" si="233"/>
        <v>0</v>
      </c>
      <c r="B3081" s="500" t="str">
        <f ca="1">IF(COUNTA(G$2360:G3080)=1,"",OFFSET(B3081,-COUNTA(G$2360:G3080)+1,0))</f>
        <v>a1b3p000003dxfaAAA</v>
      </c>
      <c r="C3081" s="502">
        <f ca="1">IF(COUNTA(G$2360:G3080)=1,"",OFFSET(C3081,-COUNTA(G$2360:G3080)+1,0))</f>
        <v>40</v>
      </c>
      <c r="D3081" s="487">
        <f t="shared" si="238"/>
        <v>239</v>
      </c>
      <c r="E3081" s="487">
        <f t="shared" ca="1" si="239"/>
        <v>5</v>
      </c>
      <c r="F3081" s="487">
        <f t="shared" ca="1" si="240"/>
        <v>48</v>
      </c>
      <c r="G3081" s="487"/>
      <c r="H3081" s="493" t="str">
        <f t="shared" ca="1" si="234"/>
        <v/>
      </c>
      <c r="I3081" s="493" t="str">
        <f t="shared" ca="1" si="235"/>
        <v/>
      </c>
      <c r="J3081" s="493" t="str">
        <f t="shared" ca="1" si="236"/>
        <v/>
      </c>
      <c r="K3081" s="493" t="str">
        <f t="shared" ca="1" si="237"/>
        <v/>
      </c>
      <c r="L3081" s="487"/>
      <c r="M3081" s="487"/>
      <c r="N3081" s="487"/>
      <c r="O3081" s="487"/>
      <c r="P3081" s="487">
        <f t="shared" si="241"/>
        <v>0</v>
      </c>
      <c r="Q3081" s="487"/>
    </row>
    <row r="3082" spans="1:17" x14ac:dyDescent="0.3">
      <c r="A3082" s="487" t="b">
        <f t="shared" ca="1" si="233"/>
        <v>0</v>
      </c>
      <c r="B3082" s="500" t="str">
        <f ca="1">IF(COUNTA(G$2360:G3081)=1,"",OFFSET(B3082,-COUNTA(G$2360:G3081)+1,0))</f>
        <v>a1b3p000003dxgsAAA</v>
      </c>
      <c r="C3082" s="502">
        <f ca="1">IF(COUNTA(G$2360:G3081)=1,"",OFFSET(C3082,-COUNTA(G$2360:G3081)+1,0))</f>
        <v>40</v>
      </c>
      <c r="D3082" s="487">
        <f t="shared" si="238"/>
        <v>240</v>
      </c>
      <c r="E3082" s="487">
        <f t="shared" ca="1" si="239"/>
        <v>6</v>
      </c>
      <c r="F3082" s="487">
        <f t="shared" ca="1" si="240"/>
        <v>48</v>
      </c>
      <c r="G3082" s="487"/>
      <c r="H3082" s="493" t="str">
        <f t="shared" ca="1" si="234"/>
        <v/>
      </c>
      <c r="I3082" s="493" t="str">
        <f t="shared" ca="1" si="235"/>
        <v/>
      </c>
      <c r="J3082" s="493" t="str">
        <f t="shared" ca="1" si="236"/>
        <v/>
      </c>
      <c r="K3082" s="493" t="str">
        <f t="shared" ca="1" si="237"/>
        <v/>
      </c>
      <c r="L3082" s="487"/>
      <c r="M3082" s="487"/>
      <c r="N3082" s="487"/>
      <c r="O3082" s="487"/>
      <c r="P3082" s="487">
        <f t="shared" si="241"/>
        <v>0</v>
      </c>
      <c r="Q3082" s="487"/>
    </row>
    <row r="3083" spans="1:17" x14ac:dyDescent="0.3">
      <c r="A3083" s="487" t="b">
        <f t="shared" ca="1" si="233"/>
        <v>0</v>
      </c>
      <c r="B3083" s="500" t="str">
        <f ca="1">IF(COUNTA(G$2360:G3082)=1,"",OFFSET(B3083,-COUNTA(G$2360:G3082)+1,0))</f>
        <v>a1b3p000003dxaRAAQ</v>
      </c>
      <c r="C3083" s="502">
        <f ca="1">IF(COUNTA(G$2360:G3082)=1,"",OFFSET(C3083,-COUNTA(G$2360:G3082)+1,0))</f>
        <v>41</v>
      </c>
      <c r="D3083" s="487">
        <f t="shared" si="238"/>
        <v>241</v>
      </c>
      <c r="E3083" s="487">
        <f t="shared" ca="1" si="239"/>
        <v>1</v>
      </c>
      <c r="F3083" s="487">
        <f t="shared" ca="1" si="240"/>
        <v>49</v>
      </c>
      <c r="G3083" s="487"/>
      <c r="H3083" s="493" t="str">
        <f t="shared" ca="1" si="234"/>
        <v/>
      </c>
      <c r="I3083" s="493" t="str">
        <f t="shared" ca="1" si="235"/>
        <v/>
      </c>
      <c r="J3083" s="493" t="str">
        <f t="shared" ca="1" si="236"/>
        <v/>
      </c>
      <c r="K3083" s="493" t="str">
        <f t="shared" ca="1" si="237"/>
        <v/>
      </c>
      <c r="L3083" s="487"/>
      <c r="M3083" s="487"/>
      <c r="N3083" s="487"/>
      <c r="O3083" s="487"/>
      <c r="P3083" s="487">
        <f t="shared" si="241"/>
        <v>0</v>
      </c>
      <c r="Q3083" s="487"/>
    </row>
    <row r="3084" spans="1:17" x14ac:dyDescent="0.3">
      <c r="A3084" s="487" t="b">
        <f t="shared" ca="1" si="233"/>
        <v>0</v>
      </c>
      <c r="B3084" s="500" t="str">
        <f ca="1">IF(COUNTA(G$2360:G3083)=1,"",OFFSET(B3084,-COUNTA(G$2360:G3083)+1,0))</f>
        <v>a1b3p000003dxbjAAA</v>
      </c>
      <c r="C3084" s="502">
        <f ca="1">IF(COUNTA(G$2360:G3083)=1,"",OFFSET(C3084,-COUNTA(G$2360:G3083)+1,0))</f>
        <v>41</v>
      </c>
      <c r="D3084" s="487">
        <f t="shared" si="238"/>
        <v>242</v>
      </c>
      <c r="E3084" s="487">
        <f t="shared" ca="1" si="239"/>
        <v>2</v>
      </c>
      <c r="F3084" s="487">
        <f t="shared" ca="1" si="240"/>
        <v>49</v>
      </c>
      <c r="G3084" s="487"/>
      <c r="H3084" s="493" t="str">
        <f t="shared" ca="1" si="234"/>
        <v/>
      </c>
      <c r="I3084" s="493" t="str">
        <f t="shared" ca="1" si="235"/>
        <v/>
      </c>
      <c r="J3084" s="493" t="str">
        <f t="shared" ca="1" si="236"/>
        <v/>
      </c>
      <c r="K3084" s="493" t="str">
        <f t="shared" ca="1" si="237"/>
        <v/>
      </c>
      <c r="L3084" s="487"/>
      <c r="M3084" s="487"/>
      <c r="N3084" s="487"/>
      <c r="O3084" s="487"/>
      <c r="P3084" s="487">
        <f t="shared" si="241"/>
        <v>0</v>
      </c>
      <c r="Q3084" s="487"/>
    </row>
    <row r="3085" spans="1:17" x14ac:dyDescent="0.3">
      <c r="A3085" s="487" t="b">
        <f t="shared" ca="1" si="233"/>
        <v>0</v>
      </c>
      <c r="B3085" s="500" t="str">
        <f ca="1">IF(COUNTA(G$2360:G3084)=1,"",OFFSET(B3085,-COUNTA(G$2360:G3084)+1,0))</f>
        <v>a1b3p000003dxd1AAA</v>
      </c>
      <c r="C3085" s="502">
        <f ca="1">IF(COUNTA(G$2360:G3084)=1,"",OFFSET(C3085,-COUNTA(G$2360:G3084)+1,0))</f>
        <v>41</v>
      </c>
      <c r="D3085" s="487">
        <f t="shared" si="238"/>
        <v>243</v>
      </c>
      <c r="E3085" s="487">
        <f t="shared" ca="1" si="239"/>
        <v>3</v>
      </c>
      <c r="F3085" s="487">
        <f t="shared" ca="1" si="240"/>
        <v>49</v>
      </c>
      <c r="G3085" s="487"/>
      <c r="H3085" s="493" t="str">
        <f t="shared" ca="1" si="234"/>
        <v/>
      </c>
      <c r="I3085" s="493" t="str">
        <f t="shared" ca="1" si="235"/>
        <v/>
      </c>
      <c r="J3085" s="493" t="str">
        <f t="shared" ca="1" si="236"/>
        <v/>
      </c>
      <c r="K3085" s="493" t="str">
        <f t="shared" ca="1" si="237"/>
        <v/>
      </c>
      <c r="L3085" s="487"/>
      <c r="M3085" s="487"/>
      <c r="N3085" s="487"/>
      <c r="O3085" s="487"/>
      <c r="P3085" s="487">
        <f t="shared" si="241"/>
        <v>0</v>
      </c>
      <c r="Q3085" s="487"/>
    </row>
    <row r="3086" spans="1:17" x14ac:dyDescent="0.3">
      <c r="A3086" s="487" t="b">
        <f t="shared" ca="1" si="233"/>
        <v>0</v>
      </c>
      <c r="B3086" s="500" t="str">
        <f ca="1">IF(COUNTA(G$2360:G3085)=1,"",OFFSET(B3086,-COUNTA(G$2360:G3085)+1,0))</f>
        <v>a1b3p000003dxeJAAQ</v>
      </c>
      <c r="C3086" s="502">
        <f ca="1">IF(COUNTA(G$2360:G3085)=1,"",OFFSET(C3086,-COUNTA(G$2360:G3085)+1,0))</f>
        <v>41</v>
      </c>
      <c r="D3086" s="487">
        <f t="shared" si="238"/>
        <v>244</v>
      </c>
      <c r="E3086" s="487">
        <f t="shared" ca="1" si="239"/>
        <v>4</v>
      </c>
      <c r="F3086" s="487">
        <f t="shared" ca="1" si="240"/>
        <v>49</v>
      </c>
      <c r="G3086" s="487"/>
      <c r="H3086" s="493" t="str">
        <f t="shared" ca="1" si="234"/>
        <v/>
      </c>
      <c r="I3086" s="493" t="str">
        <f t="shared" ca="1" si="235"/>
        <v/>
      </c>
      <c r="J3086" s="493" t="str">
        <f t="shared" ca="1" si="236"/>
        <v/>
      </c>
      <c r="K3086" s="493" t="str">
        <f t="shared" ca="1" si="237"/>
        <v/>
      </c>
      <c r="L3086" s="487"/>
      <c r="M3086" s="487"/>
      <c r="N3086" s="487"/>
      <c r="O3086" s="487"/>
      <c r="P3086" s="487">
        <f t="shared" si="241"/>
        <v>0</v>
      </c>
      <c r="Q3086" s="487"/>
    </row>
    <row r="3087" spans="1:17" x14ac:dyDescent="0.3">
      <c r="A3087" s="487" t="b">
        <f t="shared" ca="1" si="233"/>
        <v>0</v>
      </c>
      <c r="B3087" s="500" t="str">
        <f ca="1">IF(COUNTA(G$2360:G3086)=1,"",OFFSET(B3087,-COUNTA(G$2360:G3086)+1,0))</f>
        <v>a1b3p000003dxfbAAA</v>
      </c>
      <c r="C3087" s="502">
        <f ca="1">IF(COUNTA(G$2360:G3086)=1,"",OFFSET(C3087,-COUNTA(G$2360:G3086)+1,0))</f>
        <v>41</v>
      </c>
      <c r="D3087" s="487">
        <f t="shared" si="238"/>
        <v>245</v>
      </c>
      <c r="E3087" s="487">
        <f t="shared" ca="1" si="239"/>
        <v>5</v>
      </c>
      <c r="F3087" s="487">
        <f t="shared" ca="1" si="240"/>
        <v>49</v>
      </c>
      <c r="G3087" s="487"/>
      <c r="H3087" s="493" t="str">
        <f t="shared" ca="1" si="234"/>
        <v/>
      </c>
      <c r="I3087" s="493" t="str">
        <f t="shared" ca="1" si="235"/>
        <v/>
      </c>
      <c r="J3087" s="493" t="str">
        <f t="shared" ca="1" si="236"/>
        <v/>
      </c>
      <c r="K3087" s="493" t="str">
        <f t="shared" ca="1" si="237"/>
        <v/>
      </c>
      <c r="L3087" s="487"/>
      <c r="M3087" s="487"/>
      <c r="N3087" s="487"/>
      <c r="O3087" s="487"/>
      <c r="P3087" s="487">
        <f t="shared" si="241"/>
        <v>0</v>
      </c>
      <c r="Q3087" s="487"/>
    </row>
    <row r="3088" spans="1:17" x14ac:dyDescent="0.3">
      <c r="A3088" s="487" t="b">
        <f t="shared" ca="1" si="233"/>
        <v>0</v>
      </c>
      <c r="B3088" s="500" t="str">
        <f ca="1">IF(COUNTA(G$2360:G3087)=1,"",OFFSET(B3088,-COUNTA(G$2360:G3087)+1,0))</f>
        <v>a1b3p000003dxgtAAA</v>
      </c>
      <c r="C3088" s="502">
        <f ca="1">IF(COUNTA(G$2360:G3087)=1,"",OFFSET(C3088,-COUNTA(G$2360:G3087)+1,0))</f>
        <v>41</v>
      </c>
      <c r="D3088" s="487">
        <f t="shared" si="238"/>
        <v>246</v>
      </c>
      <c r="E3088" s="487">
        <f t="shared" ca="1" si="239"/>
        <v>6</v>
      </c>
      <c r="F3088" s="487">
        <f t="shared" ca="1" si="240"/>
        <v>49</v>
      </c>
      <c r="G3088" s="487"/>
      <c r="H3088" s="493" t="str">
        <f t="shared" ca="1" si="234"/>
        <v/>
      </c>
      <c r="I3088" s="493" t="str">
        <f t="shared" ca="1" si="235"/>
        <v/>
      </c>
      <c r="J3088" s="493" t="str">
        <f t="shared" ca="1" si="236"/>
        <v/>
      </c>
      <c r="K3088" s="493" t="str">
        <f t="shared" ca="1" si="237"/>
        <v/>
      </c>
      <c r="L3088" s="487"/>
      <c r="M3088" s="487"/>
      <c r="N3088" s="487"/>
      <c r="O3088" s="487"/>
      <c r="P3088" s="487">
        <f t="shared" si="241"/>
        <v>0</v>
      </c>
      <c r="Q3088" s="487"/>
    </row>
    <row r="3089" spans="1:17" x14ac:dyDescent="0.3">
      <c r="A3089" s="487" t="b">
        <f t="shared" ca="1" si="233"/>
        <v>0</v>
      </c>
      <c r="B3089" s="500" t="str">
        <f ca="1">IF(COUNTA(G$2360:G3088)=1,"",OFFSET(B3089,-COUNTA(G$2360:G3088)+1,0))</f>
        <v>a1b3p000003dxaSAAQ</v>
      </c>
      <c r="C3089" s="502">
        <f ca="1">IF(COUNTA(G$2360:G3088)=1,"",OFFSET(C3089,-COUNTA(G$2360:G3088)+1,0))</f>
        <v>42</v>
      </c>
      <c r="D3089" s="487">
        <f t="shared" si="238"/>
        <v>247</v>
      </c>
      <c r="E3089" s="487">
        <f t="shared" ca="1" si="239"/>
        <v>1</v>
      </c>
      <c r="F3089" s="487">
        <f t="shared" ca="1" si="240"/>
        <v>50</v>
      </c>
      <c r="G3089" s="487"/>
      <c r="H3089" s="493" t="str">
        <f t="shared" ca="1" si="234"/>
        <v/>
      </c>
      <c r="I3089" s="493" t="str">
        <f t="shared" ca="1" si="235"/>
        <v/>
      </c>
      <c r="J3089" s="493" t="str">
        <f t="shared" ca="1" si="236"/>
        <v/>
      </c>
      <c r="K3089" s="493" t="str">
        <f t="shared" ca="1" si="237"/>
        <v/>
      </c>
      <c r="L3089" s="487"/>
      <c r="M3089" s="487"/>
      <c r="N3089" s="487"/>
      <c r="O3089" s="487"/>
      <c r="P3089" s="487">
        <f t="shared" si="241"/>
        <v>0</v>
      </c>
      <c r="Q3089" s="487"/>
    </row>
    <row r="3090" spans="1:17" x14ac:dyDescent="0.3">
      <c r="A3090" s="487" t="b">
        <f t="shared" ca="1" si="233"/>
        <v>0</v>
      </c>
      <c r="B3090" s="500" t="str">
        <f ca="1">IF(COUNTA(G$2360:G3089)=1,"",OFFSET(B3090,-COUNTA(G$2360:G3089)+1,0))</f>
        <v>a1b3p000003dxbkAAA</v>
      </c>
      <c r="C3090" s="502">
        <f ca="1">IF(COUNTA(G$2360:G3089)=1,"",OFFSET(C3090,-COUNTA(G$2360:G3089)+1,0))</f>
        <v>42</v>
      </c>
      <c r="D3090" s="487">
        <f t="shared" si="238"/>
        <v>248</v>
      </c>
      <c r="E3090" s="487">
        <f t="shared" ca="1" si="239"/>
        <v>2</v>
      </c>
      <c r="F3090" s="487">
        <f t="shared" ca="1" si="240"/>
        <v>50</v>
      </c>
      <c r="G3090" s="487"/>
      <c r="H3090" s="493" t="str">
        <f t="shared" ca="1" si="234"/>
        <v/>
      </c>
      <c r="I3090" s="493" t="str">
        <f t="shared" ca="1" si="235"/>
        <v/>
      </c>
      <c r="J3090" s="493" t="str">
        <f t="shared" ca="1" si="236"/>
        <v/>
      </c>
      <c r="K3090" s="493" t="str">
        <f t="shared" ca="1" si="237"/>
        <v/>
      </c>
      <c r="L3090" s="487"/>
      <c r="M3090" s="487"/>
      <c r="N3090" s="487"/>
      <c r="O3090" s="487"/>
      <c r="P3090" s="487">
        <f t="shared" si="241"/>
        <v>0</v>
      </c>
      <c r="Q3090" s="487"/>
    </row>
    <row r="3091" spans="1:17" x14ac:dyDescent="0.3">
      <c r="A3091" s="487" t="b">
        <f t="shared" ca="1" si="233"/>
        <v>0</v>
      </c>
      <c r="B3091" s="500" t="str">
        <f ca="1">IF(COUNTA(G$2360:G3090)=1,"",OFFSET(B3091,-COUNTA(G$2360:G3090)+1,0))</f>
        <v>a1b3p000003dxd2AAA</v>
      </c>
      <c r="C3091" s="502">
        <f ca="1">IF(COUNTA(G$2360:G3090)=1,"",OFFSET(C3091,-COUNTA(G$2360:G3090)+1,0))</f>
        <v>42</v>
      </c>
      <c r="D3091" s="487">
        <f t="shared" si="238"/>
        <v>249</v>
      </c>
      <c r="E3091" s="487">
        <f t="shared" ca="1" si="239"/>
        <v>3</v>
      </c>
      <c r="F3091" s="487">
        <f t="shared" ca="1" si="240"/>
        <v>50</v>
      </c>
      <c r="G3091" s="487"/>
      <c r="H3091" s="493" t="str">
        <f t="shared" ca="1" si="234"/>
        <v/>
      </c>
      <c r="I3091" s="493" t="str">
        <f t="shared" ca="1" si="235"/>
        <v/>
      </c>
      <c r="J3091" s="493" t="str">
        <f t="shared" ca="1" si="236"/>
        <v/>
      </c>
      <c r="K3091" s="493" t="str">
        <f t="shared" ca="1" si="237"/>
        <v/>
      </c>
      <c r="L3091" s="487"/>
      <c r="M3091" s="487"/>
      <c r="N3091" s="487"/>
      <c r="O3091" s="487"/>
      <c r="P3091" s="487">
        <f t="shared" si="241"/>
        <v>0</v>
      </c>
      <c r="Q3091" s="487"/>
    </row>
    <row r="3092" spans="1:17" x14ac:dyDescent="0.3">
      <c r="A3092" s="487" t="b">
        <f t="shared" ca="1" si="233"/>
        <v>0</v>
      </c>
      <c r="B3092" s="500" t="str">
        <f ca="1">IF(COUNTA(G$2360:G3091)=1,"",OFFSET(B3092,-COUNTA(G$2360:G3091)+1,0))</f>
        <v>a1b3p000003dxeKAAQ</v>
      </c>
      <c r="C3092" s="502">
        <f ca="1">IF(COUNTA(G$2360:G3091)=1,"",OFFSET(C3092,-COUNTA(G$2360:G3091)+1,0))</f>
        <v>42</v>
      </c>
      <c r="D3092" s="487">
        <f t="shared" si="238"/>
        <v>250</v>
      </c>
      <c r="E3092" s="487">
        <f t="shared" ca="1" si="239"/>
        <v>4</v>
      </c>
      <c r="F3092" s="487">
        <f t="shared" ca="1" si="240"/>
        <v>50</v>
      </c>
      <c r="G3092" s="487"/>
      <c r="H3092" s="493" t="str">
        <f t="shared" ca="1" si="234"/>
        <v/>
      </c>
      <c r="I3092" s="493" t="str">
        <f t="shared" ca="1" si="235"/>
        <v/>
      </c>
      <c r="J3092" s="493" t="str">
        <f t="shared" ca="1" si="236"/>
        <v/>
      </c>
      <c r="K3092" s="493" t="str">
        <f t="shared" ca="1" si="237"/>
        <v/>
      </c>
      <c r="L3092" s="487"/>
      <c r="M3092" s="487"/>
      <c r="N3092" s="487"/>
      <c r="O3092" s="487"/>
      <c r="P3092" s="487">
        <f t="shared" si="241"/>
        <v>0</v>
      </c>
      <c r="Q3092" s="487"/>
    </row>
    <row r="3093" spans="1:17" x14ac:dyDescent="0.3">
      <c r="A3093" s="487" t="b">
        <f t="shared" ca="1" si="233"/>
        <v>0</v>
      </c>
      <c r="B3093" s="500" t="str">
        <f ca="1">IF(COUNTA(G$2360:G3092)=1,"",OFFSET(B3093,-COUNTA(G$2360:G3092)+1,0))</f>
        <v>a1b3p000003dxfcAAA</v>
      </c>
      <c r="C3093" s="502">
        <f ca="1">IF(COUNTA(G$2360:G3092)=1,"",OFFSET(C3093,-COUNTA(G$2360:G3092)+1,0))</f>
        <v>42</v>
      </c>
      <c r="D3093" s="487">
        <f t="shared" si="238"/>
        <v>251</v>
      </c>
      <c r="E3093" s="487">
        <f t="shared" ca="1" si="239"/>
        <v>5</v>
      </c>
      <c r="F3093" s="487">
        <f t="shared" ca="1" si="240"/>
        <v>50</v>
      </c>
      <c r="G3093" s="487"/>
      <c r="H3093" s="493" t="str">
        <f t="shared" ca="1" si="234"/>
        <v/>
      </c>
      <c r="I3093" s="493" t="str">
        <f t="shared" ca="1" si="235"/>
        <v/>
      </c>
      <c r="J3093" s="493" t="str">
        <f t="shared" ca="1" si="236"/>
        <v/>
      </c>
      <c r="K3093" s="493" t="str">
        <f t="shared" ca="1" si="237"/>
        <v/>
      </c>
      <c r="L3093" s="487"/>
      <c r="M3093" s="487"/>
      <c r="N3093" s="487"/>
      <c r="O3093" s="487"/>
      <c r="P3093" s="487">
        <f t="shared" si="241"/>
        <v>0</v>
      </c>
      <c r="Q3093" s="487"/>
    </row>
    <row r="3094" spans="1:17" x14ac:dyDescent="0.3">
      <c r="A3094" s="487" t="b">
        <f t="shared" ca="1" si="233"/>
        <v>0</v>
      </c>
      <c r="B3094" s="500" t="str">
        <f ca="1">IF(COUNTA(G$2360:G3093)=1,"",OFFSET(B3094,-COUNTA(G$2360:G3093)+1,0))</f>
        <v>a1b3p000003dxguAAA</v>
      </c>
      <c r="C3094" s="502">
        <f ca="1">IF(COUNTA(G$2360:G3093)=1,"",OFFSET(C3094,-COUNTA(G$2360:G3093)+1,0))</f>
        <v>42</v>
      </c>
      <c r="D3094" s="487">
        <f t="shared" si="238"/>
        <v>252</v>
      </c>
      <c r="E3094" s="487">
        <f t="shared" ca="1" si="239"/>
        <v>6</v>
      </c>
      <c r="F3094" s="487">
        <f t="shared" ca="1" si="240"/>
        <v>50</v>
      </c>
      <c r="G3094" s="487"/>
      <c r="H3094" s="493" t="str">
        <f t="shared" ca="1" si="234"/>
        <v/>
      </c>
      <c r="I3094" s="493" t="str">
        <f t="shared" ca="1" si="235"/>
        <v/>
      </c>
      <c r="J3094" s="493" t="str">
        <f t="shared" ca="1" si="236"/>
        <v/>
      </c>
      <c r="K3094" s="493" t="str">
        <f t="shared" ca="1" si="237"/>
        <v/>
      </c>
      <c r="L3094" s="487"/>
      <c r="M3094" s="487"/>
      <c r="N3094" s="487"/>
      <c r="O3094" s="487"/>
      <c r="P3094" s="487">
        <f t="shared" si="241"/>
        <v>0</v>
      </c>
      <c r="Q3094" s="487"/>
    </row>
    <row r="3095" spans="1:17" x14ac:dyDescent="0.3">
      <c r="A3095" s="487" t="b">
        <f t="shared" ca="1" si="233"/>
        <v>0</v>
      </c>
      <c r="B3095" s="500" t="str">
        <f ca="1">IF(COUNTA(G$2360:G3094)=1,"",OFFSET(B3095,-COUNTA(G$2360:G3094)+1,0))</f>
        <v>a1b3p000003dxaTAAQ</v>
      </c>
      <c r="C3095" s="502">
        <f ca="1">IF(COUNTA(G$2360:G3094)=1,"",OFFSET(C3095,-COUNTA(G$2360:G3094)+1,0))</f>
        <v>43</v>
      </c>
      <c r="D3095" s="487">
        <f t="shared" si="238"/>
        <v>253</v>
      </c>
      <c r="E3095" s="487">
        <f t="shared" ca="1" si="239"/>
        <v>1</v>
      </c>
      <c r="F3095" s="487">
        <f t="shared" ca="1" si="240"/>
        <v>51</v>
      </c>
      <c r="G3095" s="487"/>
      <c r="H3095" s="493" t="str">
        <f t="shared" ca="1" si="234"/>
        <v/>
      </c>
      <c r="I3095" s="493" t="str">
        <f t="shared" ca="1" si="235"/>
        <v/>
      </c>
      <c r="J3095" s="493" t="str">
        <f t="shared" ca="1" si="236"/>
        <v/>
      </c>
      <c r="K3095" s="493" t="str">
        <f t="shared" ca="1" si="237"/>
        <v/>
      </c>
      <c r="L3095" s="487"/>
      <c r="M3095" s="487"/>
      <c r="N3095" s="487"/>
      <c r="O3095" s="487"/>
      <c r="P3095" s="487">
        <f t="shared" si="241"/>
        <v>0</v>
      </c>
      <c r="Q3095" s="487"/>
    </row>
    <row r="3096" spans="1:17" x14ac:dyDescent="0.3">
      <c r="A3096" s="487" t="b">
        <f t="shared" ca="1" si="233"/>
        <v>0</v>
      </c>
      <c r="B3096" s="500" t="str">
        <f ca="1">IF(COUNTA(G$2360:G3095)=1,"",OFFSET(B3096,-COUNTA(G$2360:G3095)+1,0))</f>
        <v>a1b3p000003dxblAAA</v>
      </c>
      <c r="C3096" s="502">
        <f ca="1">IF(COUNTA(G$2360:G3095)=1,"",OFFSET(C3096,-COUNTA(G$2360:G3095)+1,0))</f>
        <v>43</v>
      </c>
      <c r="D3096" s="487">
        <f t="shared" si="238"/>
        <v>254</v>
      </c>
      <c r="E3096" s="487">
        <f t="shared" ca="1" si="239"/>
        <v>2</v>
      </c>
      <c r="F3096" s="487">
        <f t="shared" ca="1" si="240"/>
        <v>51</v>
      </c>
      <c r="G3096" s="487"/>
      <c r="H3096" s="493" t="str">
        <f t="shared" ca="1" si="234"/>
        <v/>
      </c>
      <c r="I3096" s="493" t="str">
        <f t="shared" ca="1" si="235"/>
        <v/>
      </c>
      <c r="J3096" s="493" t="str">
        <f t="shared" ca="1" si="236"/>
        <v/>
      </c>
      <c r="K3096" s="493" t="str">
        <f t="shared" ca="1" si="237"/>
        <v/>
      </c>
      <c r="L3096" s="487"/>
      <c r="M3096" s="487"/>
      <c r="N3096" s="487"/>
      <c r="O3096" s="487"/>
      <c r="P3096" s="487">
        <f t="shared" si="241"/>
        <v>0</v>
      </c>
      <c r="Q3096" s="487"/>
    </row>
    <row r="3097" spans="1:17" x14ac:dyDescent="0.3">
      <c r="A3097" s="487" t="b">
        <f t="shared" ca="1" si="233"/>
        <v>0</v>
      </c>
      <c r="B3097" s="500" t="str">
        <f ca="1">IF(COUNTA(G$2360:G3096)=1,"",OFFSET(B3097,-COUNTA(G$2360:G3096)+1,0))</f>
        <v>a1b3p000003dxd3AAA</v>
      </c>
      <c r="C3097" s="502">
        <f ca="1">IF(COUNTA(G$2360:G3096)=1,"",OFFSET(C3097,-COUNTA(G$2360:G3096)+1,0))</f>
        <v>43</v>
      </c>
      <c r="D3097" s="487">
        <f t="shared" si="238"/>
        <v>255</v>
      </c>
      <c r="E3097" s="487">
        <f t="shared" ca="1" si="239"/>
        <v>3</v>
      </c>
      <c r="F3097" s="487">
        <f t="shared" ca="1" si="240"/>
        <v>51</v>
      </c>
      <c r="G3097" s="487"/>
      <c r="H3097" s="493" t="str">
        <f t="shared" ca="1" si="234"/>
        <v/>
      </c>
      <c r="I3097" s="493" t="str">
        <f t="shared" ca="1" si="235"/>
        <v/>
      </c>
      <c r="J3097" s="493" t="str">
        <f t="shared" ca="1" si="236"/>
        <v/>
      </c>
      <c r="K3097" s="493" t="str">
        <f t="shared" ca="1" si="237"/>
        <v/>
      </c>
      <c r="L3097" s="487"/>
      <c r="M3097" s="487"/>
      <c r="N3097" s="487"/>
      <c r="O3097" s="487"/>
      <c r="P3097" s="487">
        <f t="shared" si="241"/>
        <v>0</v>
      </c>
      <c r="Q3097" s="487"/>
    </row>
    <row r="3098" spans="1:17" x14ac:dyDescent="0.3">
      <c r="A3098" s="487" t="b">
        <f t="shared" ca="1" si="233"/>
        <v>0</v>
      </c>
      <c r="B3098" s="500" t="str">
        <f ca="1">IF(COUNTA(G$2360:G3097)=1,"",OFFSET(B3098,-COUNTA(G$2360:G3097)+1,0))</f>
        <v>a1b3p000003dxeLAAQ</v>
      </c>
      <c r="C3098" s="502">
        <f ca="1">IF(COUNTA(G$2360:G3097)=1,"",OFFSET(C3098,-COUNTA(G$2360:G3097)+1,0))</f>
        <v>43</v>
      </c>
      <c r="D3098" s="487">
        <f t="shared" si="238"/>
        <v>256</v>
      </c>
      <c r="E3098" s="487">
        <f t="shared" ca="1" si="239"/>
        <v>4</v>
      </c>
      <c r="F3098" s="487">
        <f t="shared" ca="1" si="240"/>
        <v>51</v>
      </c>
      <c r="G3098" s="487"/>
      <c r="H3098" s="493" t="str">
        <f t="shared" ca="1" si="234"/>
        <v/>
      </c>
      <c r="I3098" s="493" t="str">
        <f t="shared" ca="1" si="235"/>
        <v/>
      </c>
      <c r="J3098" s="493" t="str">
        <f t="shared" ca="1" si="236"/>
        <v/>
      </c>
      <c r="K3098" s="493" t="str">
        <f t="shared" ca="1" si="237"/>
        <v/>
      </c>
      <c r="L3098" s="487"/>
      <c r="M3098" s="487"/>
      <c r="N3098" s="487"/>
      <c r="O3098" s="487"/>
      <c r="P3098" s="487">
        <f t="shared" si="241"/>
        <v>0</v>
      </c>
      <c r="Q3098" s="487"/>
    </row>
    <row r="3099" spans="1:17" x14ac:dyDescent="0.3">
      <c r="A3099" s="487" t="b">
        <f t="shared" ref="A3099:A3162" ca="1" si="242">IF(OR(H3099&lt;&gt;"",I3099&lt;&gt;""),TRUE,FALSE)</f>
        <v>0</v>
      </c>
      <c r="B3099" s="500" t="str">
        <f ca="1">IF(COUNTA(G$2360:G3098)=1,"",OFFSET(B3099,-COUNTA(G$2360:G3098)+1,0))</f>
        <v>a1b3p000003dxfdAAA</v>
      </c>
      <c r="C3099" s="502">
        <f ca="1">IF(COUNTA(G$2360:G3098)=1,"",OFFSET(C3099,-COUNTA(G$2360:G3098)+1,0))</f>
        <v>43</v>
      </c>
      <c r="D3099" s="487">
        <f t="shared" si="238"/>
        <v>257</v>
      </c>
      <c r="E3099" s="487">
        <f t="shared" ca="1" si="239"/>
        <v>5</v>
      </c>
      <c r="F3099" s="487">
        <f t="shared" ca="1" si="240"/>
        <v>51</v>
      </c>
      <c r="G3099" s="487"/>
      <c r="H3099" s="493" t="str">
        <f t="shared" ref="H3099:H3162" ca="1" si="243">CHOOSE(E3099,IFERROR(IF(INDIRECT("'WPTM - Section F'!K"&amp;F3099)=0,"",INDIRECT("'WPTM - Section F'!K"&amp;$F3099)),""),IFERROR(IF(INDIRECT("'WPTM - Section F'!O"&amp;F3099)=0,"",INDIRECT("'WPTM - Section F'!O"&amp;$F3099)),""),IFERROR(IF(INDIRECT("'WPTM - Section F'!S"&amp;F3099)=0,"",INDIRECT("'WPTM - Section F'!S"&amp;$F3099)),""),IFERROR(IF(INDIRECT("'WPTM - Section F'!W"&amp;F3099)=0,"",INDIRECT("'WPTM - Section F'!W"&amp;$F3099)),""),IFERROR(IF(INDIRECT("'WPTM - Section F'!AA"&amp;F3099)=0,"",INDIRECT("'WPTM - Section F'!AA"&amp;$F3099)),""),IFERROR(IF(INDIRECT("'WPTM - Section F'!AE"&amp;F3099)=0,"",INDIRECT("'WPTM - Section F'!AE"&amp;$F3099)),""),IFERROR(IF(INDIRECT("'WPTM - Section F'!AI"&amp;F3099)=0,"",INDIRECT("'WPTM - Section F'!AI"&amp;$F3099)),""),IFERROR(IF(INDIRECT("'WPTM - Section F'!AM"&amp;F3099)=0,"",INDIRECT("'WPTM - Section F'!AM"&amp;$F3099)),""),)</f>
        <v/>
      </c>
      <c r="I3099" s="493" t="str">
        <f t="shared" ref="I3099:I3162" ca="1" si="244">CHOOSE(E3099,IFERROR(IF(INDIRECT("'WPTM - Section F'!J"&amp;F3099)=0,"",INDIRECT("'WPTM - Section F'!J"&amp;$F3099)),""),IFERROR(IF(INDIRECT("'WPTM - Section F'!N"&amp;F3099)=0,"",INDIRECT("'WPTM - Section F'!N"&amp;$F3099)),""),IFERROR(IF(INDIRECT("'WPTM - Section F'!R"&amp;F3099)=0,"",INDIRECT("'WPTM - Section F'!R"&amp;$F3099)),""),IFERROR(IF(INDIRECT("'WPTM - Section F'!V"&amp;F3099)=0,"",INDIRECT("'WPTM - Section F'!V"&amp;$F3099)),""),IFERROR(IF(INDIRECT("'WPTM - Section F'!Z"&amp;F3099)=0,"",INDIRECT("'WPTM - Section F'!Z"&amp;$F3099)),""),IFERROR(IF(INDIRECT("'WPTM - Section F'!AD"&amp;F3099)=0,"",INDIRECT("'WPTM - Section F'!AD"&amp;$F3099)),""),IFERROR(IF(INDIRECT("'WPTM - Section F'!AH"&amp;F3099)=0,"",INDIRECT("'WPTM - Section F'!AH"&amp;$F3099)),""),IFERROR(IF(INDIRECT("'WPTM - Section F'!AL"&amp;F3099)=0,"",INDIRECT("'WPTM - Section F'!AL"&amp;$F3099)),""),)</f>
        <v/>
      </c>
      <c r="J3099" s="493" t="str">
        <f t="shared" ref="J3099:J3162" ca="1" si="245">CHOOSE(E3099,IFERROR(IF(INDIRECT("'WPTM - Section F'!H"&amp;F3099)=0,"",INDIRECT("'WPTM - Section F'!H"&amp;$F3099)),""),IFERROR(IF(INDIRECT("'WPTM - Section F'!L"&amp;F3099)=0,"",INDIRECT("'WPTM - Section F'!L"&amp;$F3099)),""),IFERROR(IF(INDIRECT("'WPTM - Section F'!P"&amp;F3099)=0,"",INDIRECT("'WPTM - Section F'!P"&amp;$F3099)),""),IFERROR(IF(INDIRECT("'WPTM - Section F'!T"&amp;F3099)=0,"",INDIRECT("'WPTM - Section F'!T"&amp;$F3099)),""),IFERROR(IF(INDIRECT("'WPTM - Section F'!X"&amp;F3099)=0,"",INDIRECT("'WPTM - Section F'!X"&amp;$F3099)),""),IFERROR(IF(INDIRECT("'WPTM - Section F'!AB"&amp;F3099)=0,"",INDIRECT("'WPTM - Section F'!AB"&amp;$F3099)),""),IFERROR(IF(INDIRECT("'WPTM - Section F'!AF"&amp;F3099)=0,"",INDIRECT("'WPTM - Section F'!AF"&amp;$F3099)),""),IFERROR(IF(INDIRECT("'WPTM - Section F'!AJ"&amp;F3099)=0,"",INDIRECT("'WPTM - Section F'!AJ"&amp;$F3099)),""),)</f>
        <v/>
      </c>
      <c r="K3099" s="493" t="str">
        <f t="shared" ref="K3099:K3162" ca="1" si="246">CHOOSE(E3099,IFERROR(IF(INDIRECT("'WPTM - Section F'!I"&amp;F3099)=0,"",INDIRECT("'WPTM - Section F'!I"&amp;$F3099)),""),IFERROR(IF(INDIRECT("'WPTM - Section F'!M"&amp;F3099)=0,"",INDIRECT("'WPTM - Section F'!M"&amp;$F3099)),""),IFERROR(IF(INDIRECT("'WPTM - Section F'!Q"&amp;F3099)=0,"",INDIRECT("'WPTM - Section F'!Q"&amp;$F3099)),""),IFERROR(IF(INDIRECT("'WPTM - Section F'!U"&amp;F3099)=0,"",INDIRECT("'WPTM - Section F'!U"&amp;$F3099)),""),IFERROR(IF(INDIRECT("'WPTM - Section F'!Y"&amp;F3099)=0,"",INDIRECT("'WPTM - Section F'!Y"&amp;$F3099)),""),IFERROR(IF(INDIRECT("'WPTM - Section F'!AC"&amp;F3099)=0,"",INDIRECT("'WPTM - Section F'!AC"&amp;$F3099)),""),IFERROR(IF(INDIRECT("'WPTM - Section F'!AG"&amp;F3099)=0,"",INDIRECT("'WPTM - Section F'!AG"&amp;$F3099)),""),IFERROR(IF(INDIRECT("'WPTM - Section F'!AK"&amp;F3099)=0,"",INDIRECT("'WPTM - Section F'!AK"&amp;$F3099)),""),)</f>
        <v/>
      </c>
      <c r="L3099" s="487"/>
      <c r="M3099" s="487"/>
      <c r="N3099" s="487"/>
      <c r="O3099" s="487"/>
      <c r="P3099" s="487">
        <f t="shared" si="241"/>
        <v>0</v>
      </c>
      <c r="Q3099" s="487"/>
    </row>
    <row r="3100" spans="1:17" x14ac:dyDescent="0.3">
      <c r="A3100" s="487" t="b">
        <f t="shared" ca="1" si="242"/>
        <v>0</v>
      </c>
      <c r="B3100" s="500" t="str">
        <f ca="1">IF(COUNTA(G$2360:G3099)=1,"",OFFSET(B3100,-COUNTA(G$2360:G3099)+1,0))</f>
        <v>a1b3p000003dxgvAAA</v>
      </c>
      <c r="C3100" s="502">
        <f ca="1">IF(COUNTA(G$2360:G3099)=1,"",OFFSET(C3100,-COUNTA(G$2360:G3099)+1,0))</f>
        <v>43</v>
      </c>
      <c r="D3100" s="487">
        <f t="shared" si="238"/>
        <v>258</v>
      </c>
      <c r="E3100" s="487">
        <f t="shared" ca="1" si="239"/>
        <v>6</v>
      </c>
      <c r="F3100" s="487">
        <f t="shared" ca="1" si="240"/>
        <v>51</v>
      </c>
      <c r="G3100" s="487"/>
      <c r="H3100" s="493" t="str">
        <f t="shared" ca="1" si="243"/>
        <v/>
      </c>
      <c r="I3100" s="493" t="str">
        <f t="shared" ca="1" si="244"/>
        <v/>
      </c>
      <c r="J3100" s="493" t="str">
        <f t="shared" ca="1" si="245"/>
        <v/>
      </c>
      <c r="K3100" s="493" t="str">
        <f t="shared" ca="1" si="246"/>
        <v/>
      </c>
      <c r="L3100" s="487"/>
      <c r="M3100" s="487"/>
      <c r="N3100" s="487"/>
      <c r="O3100" s="487"/>
      <c r="P3100" s="487">
        <f t="shared" si="241"/>
        <v>0</v>
      </c>
      <c r="Q3100" s="487"/>
    </row>
    <row r="3101" spans="1:17" x14ac:dyDescent="0.3">
      <c r="A3101" s="487" t="b">
        <f t="shared" ca="1" si="242"/>
        <v>0</v>
      </c>
      <c r="B3101" s="500" t="str">
        <f ca="1">IF(COUNTA(G$2360:G3100)=1,"",OFFSET(B3101,-COUNTA(G$2360:G3100)+1,0))</f>
        <v>a1b3p000003dxaUAAQ</v>
      </c>
      <c r="C3101" s="502">
        <f ca="1">IF(COUNTA(G$2360:G3100)=1,"",OFFSET(C3101,-COUNTA(G$2360:G3100)+1,0))</f>
        <v>44</v>
      </c>
      <c r="D3101" s="487">
        <f t="shared" si="238"/>
        <v>259</v>
      </c>
      <c r="E3101" s="487">
        <f t="shared" ca="1" si="239"/>
        <v>1</v>
      </c>
      <c r="F3101" s="487">
        <f t="shared" ca="1" si="240"/>
        <v>52</v>
      </c>
      <c r="G3101" s="487"/>
      <c r="H3101" s="493" t="str">
        <f t="shared" ca="1" si="243"/>
        <v/>
      </c>
      <c r="I3101" s="493" t="str">
        <f t="shared" ca="1" si="244"/>
        <v/>
      </c>
      <c r="J3101" s="493" t="str">
        <f t="shared" ca="1" si="245"/>
        <v/>
      </c>
      <c r="K3101" s="493" t="str">
        <f t="shared" ca="1" si="246"/>
        <v/>
      </c>
      <c r="L3101" s="487"/>
      <c r="M3101" s="487"/>
      <c r="N3101" s="487"/>
      <c r="O3101" s="487"/>
      <c r="P3101" s="487">
        <f t="shared" si="241"/>
        <v>0</v>
      </c>
      <c r="Q3101" s="487"/>
    </row>
    <row r="3102" spans="1:17" x14ac:dyDescent="0.3">
      <c r="A3102" s="487" t="b">
        <f t="shared" ca="1" si="242"/>
        <v>0</v>
      </c>
      <c r="B3102" s="500" t="str">
        <f ca="1">IF(COUNTA(G$2360:G3101)=1,"",OFFSET(B3102,-COUNTA(G$2360:G3101)+1,0))</f>
        <v>a1b3p000003dxbmAAA</v>
      </c>
      <c r="C3102" s="502">
        <f ca="1">IF(COUNTA(G$2360:G3101)=1,"",OFFSET(C3102,-COUNTA(G$2360:G3101)+1,0))</f>
        <v>44</v>
      </c>
      <c r="D3102" s="487">
        <f t="shared" si="238"/>
        <v>260</v>
      </c>
      <c r="E3102" s="487">
        <f t="shared" ca="1" si="239"/>
        <v>2</v>
      </c>
      <c r="F3102" s="487">
        <f t="shared" ca="1" si="240"/>
        <v>52</v>
      </c>
      <c r="G3102" s="487"/>
      <c r="H3102" s="493" t="str">
        <f t="shared" ca="1" si="243"/>
        <v/>
      </c>
      <c r="I3102" s="493" t="str">
        <f t="shared" ca="1" si="244"/>
        <v/>
      </c>
      <c r="J3102" s="493" t="str">
        <f t="shared" ca="1" si="245"/>
        <v/>
      </c>
      <c r="K3102" s="493" t="str">
        <f t="shared" ca="1" si="246"/>
        <v/>
      </c>
      <c r="L3102" s="487"/>
      <c r="M3102" s="487"/>
      <c r="N3102" s="487"/>
      <c r="O3102" s="487"/>
      <c r="P3102" s="487">
        <f t="shared" si="241"/>
        <v>0</v>
      </c>
      <c r="Q3102" s="487"/>
    </row>
    <row r="3103" spans="1:17" x14ac:dyDescent="0.3">
      <c r="A3103" s="487" t="b">
        <f t="shared" ca="1" si="242"/>
        <v>0</v>
      </c>
      <c r="B3103" s="500" t="str">
        <f ca="1">IF(COUNTA(G$2360:G3102)=1,"",OFFSET(B3103,-COUNTA(G$2360:G3102)+1,0))</f>
        <v>a1b3p000003dxd4AAA</v>
      </c>
      <c r="C3103" s="502">
        <f ca="1">IF(COUNTA(G$2360:G3102)=1,"",OFFSET(C3103,-COUNTA(G$2360:G3102)+1,0))</f>
        <v>44</v>
      </c>
      <c r="D3103" s="487">
        <f t="shared" si="238"/>
        <v>261</v>
      </c>
      <c r="E3103" s="487">
        <f t="shared" ca="1" si="239"/>
        <v>3</v>
      </c>
      <c r="F3103" s="487">
        <f t="shared" ca="1" si="240"/>
        <v>52</v>
      </c>
      <c r="G3103" s="487"/>
      <c r="H3103" s="493" t="str">
        <f t="shared" ca="1" si="243"/>
        <v/>
      </c>
      <c r="I3103" s="493" t="str">
        <f t="shared" ca="1" si="244"/>
        <v/>
      </c>
      <c r="J3103" s="493" t="str">
        <f t="shared" ca="1" si="245"/>
        <v/>
      </c>
      <c r="K3103" s="493" t="str">
        <f t="shared" ca="1" si="246"/>
        <v/>
      </c>
      <c r="L3103" s="487"/>
      <c r="M3103" s="487"/>
      <c r="N3103" s="487"/>
      <c r="O3103" s="487"/>
      <c r="P3103" s="487">
        <f t="shared" si="241"/>
        <v>0</v>
      </c>
      <c r="Q3103" s="487"/>
    </row>
    <row r="3104" spans="1:17" x14ac:dyDescent="0.3">
      <c r="A3104" s="487" t="b">
        <f t="shared" ca="1" si="242"/>
        <v>0</v>
      </c>
      <c r="B3104" s="500" t="str">
        <f ca="1">IF(COUNTA(G$2360:G3103)=1,"",OFFSET(B3104,-COUNTA(G$2360:G3103)+1,0))</f>
        <v>a1b3p000003dxeMAAQ</v>
      </c>
      <c r="C3104" s="502">
        <f ca="1">IF(COUNTA(G$2360:G3103)=1,"",OFFSET(C3104,-COUNTA(G$2360:G3103)+1,0))</f>
        <v>44</v>
      </c>
      <c r="D3104" s="487">
        <f t="shared" si="238"/>
        <v>262</v>
      </c>
      <c r="E3104" s="487">
        <f t="shared" ca="1" si="239"/>
        <v>4</v>
      </c>
      <c r="F3104" s="487">
        <f t="shared" ca="1" si="240"/>
        <v>52</v>
      </c>
      <c r="G3104" s="487"/>
      <c r="H3104" s="493" t="str">
        <f t="shared" ca="1" si="243"/>
        <v/>
      </c>
      <c r="I3104" s="493" t="str">
        <f t="shared" ca="1" si="244"/>
        <v/>
      </c>
      <c r="J3104" s="493" t="str">
        <f t="shared" ca="1" si="245"/>
        <v/>
      </c>
      <c r="K3104" s="493" t="str">
        <f t="shared" ca="1" si="246"/>
        <v/>
      </c>
      <c r="L3104" s="487"/>
      <c r="M3104" s="487"/>
      <c r="N3104" s="487"/>
      <c r="O3104" s="487"/>
      <c r="P3104" s="487">
        <f t="shared" si="241"/>
        <v>0</v>
      </c>
      <c r="Q3104" s="487"/>
    </row>
    <row r="3105" spans="1:17" x14ac:dyDescent="0.3">
      <c r="A3105" s="487" t="b">
        <f t="shared" ca="1" si="242"/>
        <v>0</v>
      </c>
      <c r="B3105" s="500" t="str">
        <f ca="1">IF(COUNTA(G$2360:G3104)=1,"",OFFSET(B3105,-COUNTA(G$2360:G3104)+1,0))</f>
        <v>a1b3p000003dxfeAAA</v>
      </c>
      <c r="C3105" s="502">
        <f ca="1">IF(COUNTA(G$2360:G3104)=1,"",OFFSET(C3105,-COUNTA(G$2360:G3104)+1,0))</f>
        <v>44</v>
      </c>
      <c r="D3105" s="487">
        <f t="shared" si="238"/>
        <v>263</v>
      </c>
      <c r="E3105" s="487">
        <f t="shared" ca="1" si="239"/>
        <v>5</v>
      </c>
      <c r="F3105" s="487">
        <f t="shared" ca="1" si="240"/>
        <v>52</v>
      </c>
      <c r="G3105" s="487"/>
      <c r="H3105" s="493" t="str">
        <f t="shared" ca="1" si="243"/>
        <v/>
      </c>
      <c r="I3105" s="493" t="str">
        <f t="shared" ca="1" si="244"/>
        <v/>
      </c>
      <c r="J3105" s="493" t="str">
        <f t="shared" ca="1" si="245"/>
        <v/>
      </c>
      <c r="K3105" s="493" t="str">
        <f t="shared" ca="1" si="246"/>
        <v/>
      </c>
      <c r="L3105" s="487"/>
      <c r="M3105" s="487"/>
      <c r="N3105" s="487"/>
      <c r="O3105" s="487"/>
      <c r="P3105" s="487">
        <f t="shared" si="241"/>
        <v>0</v>
      </c>
      <c r="Q3105" s="487"/>
    </row>
    <row r="3106" spans="1:17" x14ac:dyDescent="0.3">
      <c r="A3106" s="487" t="b">
        <f t="shared" ca="1" si="242"/>
        <v>0</v>
      </c>
      <c r="B3106" s="500" t="str">
        <f ca="1">IF(COUNTA(G$2360:G3105)=1,"",OFFSET(B3106,-COUNTA(G$2360:G3105)+1,0))</f>
        <v>a1b3p000003dxgwAAA</v>
      </c>
      <c r="C3106" s="502">
        <f ca="1">IF(COUNTA(G$2360:G3105)=1,"",OFFSET(C3106,-COUNTA(G$2360:G3105)+1,0))</f>
        <v>44</v>
      </c>
      <c r="D3106" s="487">
        <f t="shared" si="238"/>
        <v>264</v>
      </c>
      <c r="E3106" s="487">
        <f t="shared" ca="1" si="239"/>
        <v>6</v>
      </c>
      <c r="F3106" s="487">
        <f t="shared" ca="1" si="240"/>
        <v>52</v>
      </c>
      <c r="G3106" s="487"/>
      <c r="H3106" s="493" t="str">
        <f t="shared" ca="1" si="243"/>
        <v/>
      </c>
      <c r="I3106" s="493" t="str">
        <f t="shared" ca="1" si="244"/>
        <v/>
      </c>
      <c r="J3106" s="493" t="str">
        <f t="shared" ca="1" si="245"/>
        <v/>
      </c>
      <c r="K3106" s="493" t="str">
        <f t="shared" ca="1" si="246"/>
        <v/>
      </c>
      <c r="L3106" s="487"/>
      <c r="M3106" s="487"/>
      <c r="N3106" s="487"/>
      <c r="O3106" s="487"/>
      <c r="P3106" s="487">
        <f t="shared" si="241"/>
        <v>0</v>
      </c>
      <c r="Q3106" s="487"/>
    </row>
    <row r="3107" spans="1:17" x14ac:dyDescent="0.3">
      <c r="A3107" s="487" t="b">
        <f t="shared" ca="1" si="242"/>
        <v>0</v>
      </c>
      <c r="B3107" s="500" t="str">
        <f ca="1">IF(COUNTA(G$2360:G3106)=1,"",OFFSET(B3107,-COUNTA(G$2360:G3106)+1,0))</f>
        <v>a1b3p000003dxaVAAQ</v>
      </c>
      <c r="C3107" s="502">
        <f ca="1">IF(COUNTA(G$2360:G3106)=1,"",OFFSET(C3107,-COUNTA(G$2360:G3106)+1,0))</f>
        <v>45</v>
      </c>
      <c r="D3107" s="487">
        <f t="shared" si="238"/>
        <v>265</v>
      </c>
      <c r="E3107" s="487">
        <f t="shared" ca="1" si="239"/>
        <v>1</v>
      </c>
      <c r="F3107" s="487">
        <f t="shared" ca="1" si="240"/>
        <v>53</v>
      </c>
      <c r="G3107" s="487"/>
      <c r="H3107" s="493" t="str">
        <f t="shared" ca="1" si="243"/>
        <v/>
      </c>
      <c r="I3107" s="493" t="str">
        <f t="shared" ca="1" si="244"/>
        <v/>
      </c>
      <c r="J3107" s="493" t="str">
        <f t="shared" ca="1" si="245"/>
        <v/>
      </c>
      <c r="K3107" s="493" t="str">
        <f t="shared" ca="1" si="246"/>
        <v/>
      </c>
      <c r="L3107" s="487"/>
      <c r="M3107" s="487"/>
      <c r="N3107" s="487"/>
      <c r="O3107" s="487"/>
      <c r="P3107" s="487">
        <f t="shared" si="241"/>
        <v>0</v>
      </c>
      <c r="Q3107" s="487"/>
    </row>
    <row r="3108" spans="1:17" x14ac:dyDescent="0.3">
      <c r="A3108" s="487" t="b">
        <f t="shared" ca="1" si="242"/>
        <v>0</v>
      </c>
      <c r="B3108" s="500" t="str">
        <f ca="1">IF(COUNTA(G$2360:G3107)=1,"",OFFSET(B3108,-COUNTA(G$2360:G3107)+1,0))</f>
        <v>a1b3p000003dxbnAAA</v>
      </c>
      <c r="C3108" s="502">
        <f ca="1">IF(COUNTA(G$2360:G3107)=1,"",OFFSET(C3108,-COUNTA(G$2360:G3107)+1,0))</f>
        <v>45</v>
      </c>
      <c r="D3108" s="487">
        <f t="shared" si="238"/>
        <v>266</v>
      </c>
      <c r="E3108" s="487">
        <f t="shared" ca="1" si="239"/>
        <v>2</v>
      </c>
      <c r="F3108" s="487">
        <f t="shared" ca="1" si="240"/>
        <v>53</v>
      </c>
      <c r="G3108" s="487"/>
      <c r="H3108" s="493" t="str">
        <f t="shared" ca="1" si="243"/>
        <v/>
      </c>
      <c r="I3108" s="493" t="str">
        <f t="shared" ca="1" si="244"/>
        <v/>
      </c>
      <c r="J3108" s="493" t="str">
        <f t="shared" ca="1" si="245"/>
        <v/>
      </c>
      <c r="K3108" s="493" t="str">
        <f t="shared" ca="1" si="246"/>
        <v/>
      </c>
      <c r="L3108" s="487"/>
      <c r="M3108" s="487"/>
      <c r="N3108" s="487"/>
      <c r="O3108" s="487"/>
      <c r="P3108" s="487">
        <f t="shared" si="241"/>
        <v>0</v>
      </c>
      <c r="Q3108" s="487"/>
    </row>
    <row r="3109" spans="1:17" x14ac:dyDescent="0.3">
      <c r="A3109" s="487" t="b">
        <f t="shared" ca="1" si="242"/>
        <v>0</v>
      </c>
      <c r="B3109" s="500" t="str">
        <f ca="1">IF(COUNTA(G$2360:G3108)=1,"",OFFSET(B3109,-COUNTA(G$2360:G3108)+1,0))</f>
        <v>a1b3p000003dxd5AAA</v>
      </c>
      <c r="C3109" s="502">
        <f ca="1">IF(COUNTA(G$2360:G3108)=1,"",OFFSET(C3109,-COUNTA(G$2360:G3108)+1,0))</f>
        <v>45</v>
      </c>
      <c r="D3109" s="487">
        <f t="shared" si="238"/>
        <v>267</v>
      </c>
      <c r="E3109" s="487">
        <f t="shared" ca="1" si="239"/>
        <v>3</v>
      </c>
      <c r="F3109" s="487">
        <f t="shared" ca="1" si="240"/>
        <v>53</v>
      </c>
      <c r="G3109" s="487"/>
      <c r="H3109" s="493" t="str">
        <f t="shared" ca="1" si="243"/>
        <v/>
      </c>
      <c r="I3109" s="493" t="str">
        <f t="shared" ca="1" si="244"/>
        <v/>
      </c>
      <c r="J3109" s="493" t="str">
        <f t="shared" ca="1" si="245"/>
        <v/>
      </c>
      <c r="K3109" s="493" t="str">
        <f t="shared" ca="1" si="246"/>
        <v/>
      </c>
      <c r="L3109" s="487"/>
      <c r="M3109" s="487"/>
      <c r="N3109" s="487"/>
      <c r="O3109" s="487"/>
      <c r="P3109" s="487">
        <f t="shared" si="241"/>
        <v>0</v>
      </c>
      <c r="Q3109" s="487"/>
    </row>
    <row r="3110" spans="1:17" x14ac:dyDescent="0.3">
      <c r="A3110" s="487" t="b">
        <f t="shared" ca="1" si="242"/>
        <v>0</v>
      </c>
      <c r="B3110" s="500" t="str">
        <f ca="1">IF(COUNTA(G$2360:G3109)=1,"",OFFSET(B3110,-COUNTA(G$2360:G3109)+1,0))</f>
        <v>a1b3p000003dxeNAAQ</v>
      </c>
      <c r="C3110" s="502">
        <f ca="1">IF(COUNTA(G$2360:G3109)=1,"",OFFSET(C3110,-COUNTA(G$2360:G3109)+1,0))</f>
        <v>45</v>
      </c>
      <c r="D3110" s="487">
        <f t="shared" si="238"/>
        <v>268</v>
      </c>
      <c r="E3110" s="487">
        <f t="shared" ca="1" si="239"/>
        <v>4</v>
      </c>
      <c r="F3110" s="487">
        <f t="shared" ca="1" si="240"/>
        <v>53</v>
      </c>
      <c r="G3110" s="487"/>
      <c r="H3110" s="493" t="str">
        <f t="shared" ca="1" si="243"/>
        <v/>
      </c>
      <c r="I3110" s="493" t="str">
        <f t="shared" ca="1" si="244"/>
        <v/>
      </c>
      <c r="J3110" s="493" t="str">
        <f t="shared" ca="1" si="245"/>
        <v/>
      </c>
      <c r="K3110" s="493" t="str">
        <f t="shared" ca="1" si="246"/>
        <v/>
      </c>
      <c r="L3110" s="487"/>
      <c r="M3110" s="487"/>
      <c r="N3110" s="487"/>
      <c r="O3110" s="487"/>
      <c r="P3110" s="487">
        <f t="shared" si="241"/>
        <v>0</v>
      </c>
      <c r="Q3110" s="487"/>
    </row>
    <row r="3111" spans="1:17" x14ac:dyDescent="0.3">
      <c r="A3111" s="487" t="b">
        <f t="shared" ca="1" si="242"/>
        <v>0</v>
      </c>
      <c r="B3111" s="500" t="str">
        <f ca="1">IF(COUNTA(G$2360:G3110)=1,"",OFFSET(B3111,-COUNTA(G$2360:G3110)+1,0))</f>
        <v>a1b3p000003dxffAAA</v>
      </c>
      <c r="C3111" s="502">
        <f ca="1">IF(COUNTA(G$2360:G3110)=1,"",OFFSET(C3111,-COUNTA(G$2360:G3110)+1,0))</f>
        <v>45</v>
      </c>
      <c r="D3111" s="487">
        <f t="shared" si="238"/>
        <v>269</v>
      </c>
      <c r="E3111" s="487">
        <f t="shared" ca="1" si="239"/>
        <v>5</v>
      </c>
      <c r="F3111" s="487">
        <f t="shared" ca="1" si="240"/>
        <v>53</v>
      </c>
      <c r="G3111" s="487"/>
      <c r="H3111" s="493" t="str">
        <f t="shared" ca="1" si="243"/>
        <v/>
      </c>
      <c r="I3111" s="493" t="str">
        <f t="shared" ca="1" si="244"/>
        <v/>
      </c>
      <c r="J3111" s="493" t="str">
        <f t="shared" ca="1" si="245"/>
        <v/>
      </c>
      <c r="K3111" s="493" t="str">
        <f t="shared" ca="1" si="246"/>
        <v/>
      </c>
      <c r="L3111" s="487"/>
      <c r="M3111" s="487"/>
      <c r="N3111" s="487"/>
      <c r="O3111" s="487"/>
      <c r="P3111" s="487">
        <f t="shared" si="241"/>
        <v>0</v>
      </c>
      <c r="Q3111" s="487"/>
    </row>
    <row r="3112" spans="1:17" x14ac:dyDescent="0.3">
      <c r="A3112" s="487" t="b">
        <f t="shared" ca="1" si="242"/>
        <v>0</v>
      </c>
      <c r="B3112" s="500" t="str">
        <f ca="1">IF(COUNTA(G$2360:G3111)=1,"",OFFSET(B3112,-COUNTA(G$2360:G3111)+1,0))</f>
        <v>a1b3p000003dxgxAAA</v>
      </c>
      <c r="C3112" s="502">
        <f ca="1">IF(COUNTA(G$2360:G3111)=1,"",OFFSET(C3112,-COUNTA(G$2360:G3111)+1,0))</f>
        <v>45</v>
      </c>
      <c r="D3112" s="487">
        <f t="shared" si="238"/>
        <v>270</v>
      </c>
      <c r="E3112" s="487">
        <f t="shared" ca="1" si="239"/>
        <v>6</v>
      </c>
      <c r="F3112" s="487">
        <f t="shared" ca="1" si="240"/>
        <v>53</v>
      </c>
      <c r="G3112" s="487"/>
      <c r="H3112" s="493" t="str">
        <f t="shared" ca="1" si="243"/>
        <v/>
      </c>
      <c r="I3112" s="493" t="str">
        <f t="shared" ca="1" si="244"/>
        <v/>
      </c>
      <c r="J3112" s="493" t="str">
        <f t="shared" ca="1" si="245"/>
        <v/>
      </c>
      <c r="K3112" s="493" t="str">
        <f t="shared" ca="1" si="246"/>
        <v/>
      </c>
      <c r="L3112" s="487"/>
      <c r="M3112" s="487"/>
      <c r="N3112" s="487"/>
      <c r="O3112" s="487"/>
      <c r="P3112" s="487">
        <f t="shared" si="241"/>
        <v>0</v>
      </c>
      <c r="Q3112" s="487"/>
    </row>
    <row r="3113" spans="1:17" x14ac:dyDescent="0.3">
      <c r="A3113" s="487" t="b">
        <f t="shared" ca="1" si="242"/>
        <v>0</v>
      </c>
      <c r="B3113" s="500" t="str">
        <f ca="1">IF(COUNTA(G$2360:G3112)=1,"",OFFSET(B3113,-COUNTA(G$2360:G3112)+1,0))</f>
        <v>a1b3p000003dxaWAAQ</v>
      </c>
      <c r="C3113" s="502">
        <f ca="1">IF(COUNTA(G$2360:G3112)=1,"",OFFSET(C3113,-COUNTA(G$2360:G3112)+1,0))</f>
        <v>46</v>
      </c>
      <c r="D3113" s="487">
        <f t="shared" si="238"/>
        <v>271</v>
      </c>
      <c r="E3113" s="487">
        <f t="shared" ca="1" si="239"/>
        <v>1</v>
      </c>
      <c r="F3113" s="487">
        <f t="shared" ca="1" si="240"/>
        <v>54</v>
      </c>
      <c r="G3113" s="487"/>
      <c r="H3113" s="493" t="str">
        <f t="shared" ca="1" si="243"/>
        <v/>
      </c>
      <c r="I3113" s="493" t="str">
        <f t="shared" ca="1" si="244"/>
        <v/>
      </c>
      <c r="J3113" s="493" t="str">
        <f t="shared" ca="1" si="245"/>
        <v/>
      </c>
      <c r="K3113" s="493" t="str">
        <f t="shared" ca="1" si="246"/>
        <v/>
      </c>
      <c r="L3113" s="487"/>
      <c r="M3113" s="487"/>
      <c r="N3113" s="487"/>
      <c r="O3113" s="487"/>
      <c r="P3113" s="487">
        <f t="shared" si="241"/>
        <v>0</v>
      </c>
      <c r="Q3113" s="487"/>
    </row>
    <row r="3114" spans="1:17" x14ac:dyDescent="0.3">
      <c r="A3114" s="487" t="b">
        <f t="shared" ca="1" si="242"/>
        <v>0</v>
      </c>
      <c r="B3114" s="500" t="str">
        <f ca="1">IF(COUNTA(G$2360:G3113)=1,"",OFFSET(B3114,-COUNTA(G$2360:G3113)+1,0))</f>
        <v>a1b3p000003dxboAAA</v>
      </c>
      <c r="C3114" s="502">
        <f ca="1">IF(COUNTA(G$2360:G3113)=1,"",OFFSET(C3114,-COUNTA(G$2360:G3113)+1,0))</f>
        <v>46</v>
      </c>
      <c r="D3114" s="487">
        <f t="shared" si="238"/>
        <v>272</v>
      </c>
      <c r="E3114" s="487">
        <f t="shared" ca="1" si="239"/>
        <v>2</v>
      </c>
      <c r="F3114" s="487">
        <f t="shared" ca="1" si="240"/>
        <v>54</v>
      </c>
      <c r="G3114" s="487"/>
      <c r="H3114" s="493" t="str">
        <f t="shared" ca="1" si="243"/>
        <v/>
      </c>
      <c r="I3114" s="493" t="str">
        <f t="shared" ca="1" si="244"/>
        <v/>
      </c>
      <c r="J3114" s="493" t="str">
        <f t="shared" ca="1" si="245"/>
        <v/>
      </c>
      <c r="K3114" s="493" t="str">
        <f t="shared" ca="1" si="246"/>
        <v/>
      </c>
      <c r="L3114" s="487"/>
      <c r="M3114" s="487"/>
      <c r="N3114" s="487"/>
      <c r="O3114" s="487"/>
      <c r="P3114" s="487">
        <f t="shared" si="241"/>
        <v>0</v>
      </c>
      <c r="Q3114" s="487"/>
    </row>
    <row r="3115" spans="1:17" x14ac:dyDescent="0.3">
      <c r="A3115" s="487" t="b">
        <f t="shared" ca="1" si="242"/>
        <v>0</v>
      </c>
      <c r="B3115" s="500" t="str">
        <f ca="1">IF(COUNTA(G$2360:G3114)=1,"",OFFSET(B3115,-COUNTA(G$2360:G3114)+1,0))</f>
        <v>a1b3p000003dxd6AAA</v>
      </c>
      <c r="C3115" s="502">
        <f ca="1">IF(COUNTA(G$2360:G3114)=1,"",OFFSET(C3115,-COUNTA(G$2360:G3114)+1,0))</f>
        <v>46</v>
      </c>
      <c r="D3115" s="487">
        <f t="shared" si="238"/>
        <v>273</v>
      </c>
      <c r="E3115" s="487">
        <f t="shared" ca="1" si="239"/>
        <v>3</v>
      </c>
      <c r="F3115" s="487">
        <f t="shared" ca="1" si="240"/>
        <v>54</v>
      </c>
      <c r="G3115" s="487"/>
      <c r="H3115" s="493" t="str">
        <f t="shared" ca="1" si="243"/>
        <v/>
      </c>
      <c r="I3115" s="493" t="str">
        <f t="shared" ca="1" si="244"/>
        <v/>
      </c>
      <c r="J3115" s="493" t="str">
        <f t="shared" ca="1" si="245"/>
        <v/>
      </c>
      <c r="K3115" s="493" t="str">
        <f t="shared" ca="1" si="246"/>
        <v/>
      </c>
      <c r="L3115" s="487"/>
      <c r="M3115" s="487"/>
      <c r="N3115" s="487"/>
      <c r="O3115" s="487"/>
      <c r="P3115" s="487">
        <f t="shared" si="241"/>
        <v>0</v>
      </c>
      <c r="Q3115" s="487"/>
    </row>
    <row r="3116" spans="1:17" x14ac:dyDescent="0.3">
      <c r="A3116" s="487" t="b">
        <f t="shared" ca="1" si="242"/>
        <v>0</v>
      </c>
      <c r="B3116" s="500" t="str">
        <f ca="1">IF(COUNTA(G$2360:G3115)=1,"",OFFSET(B3116,-COUNTA(G$2360:G3115)+1,0))</f>
        <v>a1b3p000003dxeOAAQ</v>
      </c>
      <c r="C3116" s="502">
        <f ca="1">IF(COUNTA(G$2360:G3115)=1,"",OFFSET(C3116,-COUNTA(G$2360:G3115)+1,0))</f>
        <v>46</v>
      </c>
      <c r="D3116" s="487">
        <f t="shared" si="238"/>
        <v>274</v>
      </c>
      <c r="E3116" s="487">
        <f t="shared" ca="1" si="239"/>
        <v>4</v>
      </c>
      <c r="F3116" s="487">
        <f t="shared" ca="1" si="240"/>
        <v>54</v>
      </c>
      <c r="G3116" s="487"/>
      <c r="H3116" s="493" t="str">
        <f t="shared" ca="1" si="243"/>
        <v/>
      </c>
      <c r="I3116" s="493" t="str">
        <f t="shared" ca="1" si="244"/>
        <v/>
      </c>
      <c r="J3116" s="493" t="str">
        <f t="shared" ca="1" si="245"/>
        <v/>
      </c>
      <c r="K3116" s="493" t="str">
        <f t="shared" ca="1" si="246"/>
        <v/>
      </c>
      <c r="L3116" s="487"/>
      <c r="M3116" s="487"/>
      <c r="N3116" s="487"/>
      <c r="O3116" s="487"/>
      <c r="P3116" s="487">
        <f t="shared" si="241"/>
        <v>0</v>
      </c>
      <c r="Q3116" s="487"/>
    </row>
    <row r="3117" spans="1:17" x14ac:dyDescent="0.3">
      <c r="A3117" s="487" t="b">
        <f t="shared" ca="1" si="242"/>
        <v>0</v>
      </c>
      <c r="B3117" s="500" t="str">
        <f ca="1">IF(COUNTA(G$2360:G3116)=1,"",OFFSET(B3117,-COUNTA(G$2360:G3116)+1,0))</f>
        <v>a1b3p000003dxfgAAA</v>
      </c>
      <c r="C3117" s="502">
        <f ca="1">IF(COUNTA(G$2360:G3116)=1,"",OFFSET(C3117,-COUNTA(G$2360:G3116)+1,0))</f>
        <v>46</v>
      </c>
      <c r="D3117" s="487">
        <f t="shared" si="238"/>
        <v>275</v>
      </c>
      <c r="E3117" s="487">
        <f t="shared" ca="1" si="239"/>
        <v>5</v>
      </c>
      <c r="F3117" s="487">
        <f t="shared" ca="1" si="240"/>
        <v>54</v>
      </c>
      <c r="G3117" s="487"/>
      <c r="H3117" s="493" t="str">
        <f t="shared" ca="1" si="243"/>
        <v/>
      </c>
      <c r="I3117" s="493" t="str">
        <f t="shared" ca="1" si="244"/>
        <v/>
      </c>
      <c r="J3117" s="493" t="str">
        <f t="shared" ca="1" si="245"/>
        <v/>
      </c>
      <c r="K3117" s="493" t="str">
        <f t="shared" ca="1" si="246"/>
        <v/>
      </c>
      <c r="L3117" s="487"/>
      <c r="M3117" s="487"/>
      <c r="N3117" s="487"/>
      <c r="O3117" s="487"/>
      <c r="P3117" s="487">
        <f t="shared" si="241"/>
        <v>0</v>
      </c>
      <c r="Q3117" s="487"/>
    </row>
    <row r="3118" spans="1:17" x14ac:dyDescent="0.3">
      <c r="A3118" s="487" t="b">
        <f t="shared" ca="1" si="242"/>
        <v>0</v>
      </c>
      <c r="B3118" s="500" t="str">
        <f ca="1">IF(COUNTA(G$2360:G3117)=1,"",OFFSET(B3118,-COUNTA(G$2360:G3117)+1,0))</f>
        <v>a1b3p000003dxgyAAA</v>
      </c>
      <c r="C3118" s="502">
        <f ca="1">IF(COUNTA(G$2360:G3117)=1,"",OFFSET(C3118,-COUNTA(G$2360:G3117)+1,0))</f>
        <v>46</v>
      </c>
      <c r="D3118" s="487">
        <f t="shared" si="238"/>
        <v>276</v>
      </c>
      <c r="E3118" s="487">
        <f t="shared" ca="1" si="239"/>
        <v>6</v>
      </c>
      <c r="F3118" s="487">
        <f t="shared" ca="1" si="240"/>
        <v>54</v>
      </c>
      <c r="G3118" s="487"/>
      <c r="H3118" s="493" t="str">
        <f t="shared" ca="1" si="243"/>
        <v/>
      </c>
      <c r="I3118" s="493" t="str">
        <f t="shared" ca="1" si="244"/>
        <v/>
      </c>
      <c r="J3118" s="493" t="str">
        <f t="shared" ca="1" si="245"/>
        <v/>
      </c>
      <c r="K3118" s="493" t="str">
        <f t="shared" ca="1" si="246"/>
        <v/>
      </c>
      <c r="L3118" s="487"/>
      <c r="M3118" s="487"/>
      <c r="N3118" s="487"/>
      <c r="O3118" s="487"/>
      <c r="P3118" s="487">
        <f t="shared" si="241"/>
        <v>0</v>
      </c>
      <c r="Q3118" s="487"/>
    </row>
    <row r="3119" spans="1:17" x14ac:dyDescent="0.3">
      <c r="A3119" s="487" t="b">
        <f t="shared" ca="1" si="242"/>
        <v>0</v>
      </c>
      <c r="B3119" s="500" t="str">
        <f ca="1">IF(COUNTA(G$2360:G3118)=1,"",OFFSET(B3119,-COUNTA(G$2360:G3118)+1,0))</f>
        <v>a1b3p000003dxaXAAQ</v>
      </c>
      <c r="C3119" s="502">
        <f ca="1">IF(COUNTA(G$2360:G3118)=1,"",OFFSET(C3119,-COUNTA(G$2360:G3118)+1,0))</f>
        <v>47</v>
      </c>
      <c r="D3119" s="487">
        <f t="shared" si="238"/>
        <v>277</v>
      </c>
      <c r="E3119" s="487">
        <f t="shared" ca="1" si="239"/>
        <v>1</v>
      </c>
      <c r="F3119" s="487">
        <f t="shared" ca="1" si="240"/>
        <v>55</v>
      </c>
      <c r="G3119" s="487"/>
      <c r="H3119" s="493" t="str">
        <f t="shared" ca="1" si="243"/>
        <v/>
      </c>
      <c r="I3119" s="493" t="str">
        <f t="shared" ca="1" si="244"/>
        <v/>
      </c>
      <c r="J3119" s="493" t="str">
        <f t="shared" ca="1" si="245"/>
        <v/>
      </c>
      <c r="K3119" s="493" t="str">
        <f t="shared" ca="1" si="246"/>
        <v/>
      </c>
      <c r="L3119" s="487"/>
      <c r="M3119" s="487"/>
      <c r="N3119" s="487"/>
      <c r="O3119" s="487"/>
      <c r="P3119" s="487">
        <f t="shared" si="241"/>
        <v>0</v>
      </c>
      <c r="Q3119" s="487"/>
    </row>
    <row r="3120" spans="1:17" x14ac:dyDescent="0.3">
      <c r="A3120" s="487" t="b">
        <f t="shared" ca="1" si="242"/>
        <v>0</v>
      </c>
      <c r="B3120" s="500" t="str">
        <f ca="1">IF(COUNTA(G$2360:G3119)=1,"",OFFSET(B3120,-COUNTA(G$2360:G3119)+1,0))</f>
        <v>a1b3p000003dxbpAAA</v>
      </c>
      <c r="C3120" s="502">
        <f ca="1">IF(COUNTA(G$2360:G3119)=1,"",OFFSET(C3120,-COUNTA(G$2360:G3119)+1,0))</f>
        <v>47</v>
      </c>
      <c r="D3120" s="487">
        <f t="shared" si="238"/>
        <v>278</v>
      </c>
      <c r="E3120" s="487">
        <f t="shared" ca="1" si="239"/>
        <v>2</v>
      </c>
      <c r="F3120" s="487">
        <f t="shared" ca="1" si="240"/>
        <v>55</v>
      </c>
      <c r="G3120" s="487"/>
      <c r="H3120" s="493" t="str">
        <f t="shared" ca="1" si="243"/>
        <v/>
      </c>
      <c r="I3120" s="493" t="str">
        <f t="shared" ca="1" si="244"/>
        <v/>
      </c>
      <c r="J3120" s="493" t="str">
        <f t="shared" ca="1" si="245"/>
        <v/>
      </c>
      <c r="K3120" s="493" t="str">
        <f t="shared" ca="1" si="246"/>
        <v/>
      </c>
      <c r="L3120" s="487"/>
      <c r="M3120" s="487"/>
      <c r="N3120" s="487"/>
      <c r="O3120" s="487"/>
      <c r="P3120" s="487">
        <f t="shared" si="241"/>
        <v>0</v>
      </c>
      <c r="Q3120" s="487"/>
    </row>
    <row r="3121" spans="1:17" x14ac:dyDescent="0.3">
      <c r="A3121" s="487" t="b">
        <f t="shared" ca="1" si="242"/>
        <v>0</v>
      </c>
      <c r="B3121" s="500" t="str">
        <f ca="1">IF(COUNTA(G$2360:G3120)=1,"",OFFSET(B3121,-COUNTA(G$2360:G3120)+1,0))</f>
        <v>a1b3p000003dxd7AAA</v>
      </c>
      <c r="C3121" s="502">
        <f ca="1">IF(COUNTA(G$2360:G3120)=1,"",OFFSET(C3121,-COUNTA(G$2360:G3120)+1,0))</f>
        <v>47</v>
      </c>
      <c r="D3121" s="487">
        <f t="shared" si="238"/>
        <v>279</v>
      </c>
      <c r="E3121" s="487">
        <f t="shared" ca="1" si="239"/>
        <v>3</v>
      </c>
      <c r="F3121" s="487">
        <f t="shared" ca="1" si="240"/>
        <v>55</v>
      </c>
      <c r="G3121" s="487"/>
      <c r="H3121" s="493" t="str">
        <f t="shared" ca="1" si="243"/>
        <v/>
      </c>
      <c r="I3121" s="493" t="str">
        <f t="shared" ca="1" si="244"/>
        <v/>
      </c>
      <c r="J3121" s="493" t="str">
        <f t="shared" ca="1" si="245"/>
        <v/>
      </c>
      <c r="K3121" s="493" t="str">
        <f t="shared" ca="1" si="246"/>
        <v/>
      </c>
      <c r="L3121" s="487"/>
      <c r="M3121" s="487"/>
      <c r="N3121" s="487"/>
      <c r="O3121" s="487"/>
      <c r="P3121" s="487">
        <f t="shared" si="241"/>
        <v>0</v>
      </c>
      <c r="Q3121" s="487"/>
    </row>
    <row r="3122" spans="1:17" x14ac:dyDescent="0.3">
      <c r="A3122" s="487" t="b">
        <f t="shared" ca="1" si="242"/>
        <v>0</v>
      </c>
      <c r="B3122" s="500" t="str">
        <f ca="1">IF(COUNTA(G$2360:G3121)=1,"",OFFSET(B3122,-COUNTA(G$2360:G3121)+1,0))</f>
        <v>a1b3p000003dxePAAQ</v>
      </c>
      <c r="C3122" s="502">
        <f ca="1">IF(COUNTA(G$2360:G3121)=1,"",OFFSET(C3122,-COUNTA(G$2360:G3121)+1,0))</f>
        <v>47</v>
      </c>
      <c r="D3122" s="487">
        <f t="shared" si="238"/>
        <v>280</v>
      </c>
      <c r="E3122" s="487">
        <f t="shared" ca="1" si="239"/>
        <v>4</v>
      </c>
      <c r="F3122" s="487">
        <f t="shared" ca="1" si="240"/>
        <v>55</v>
      </c>
      <c r="G3122" s="487"/>
      <c r="H3122" s="493" t="str">
        <f t="shared" ca="1" si="243"/>
        <v/>
      </c>
      <c r="I3122" s="493" t="str">
        <f t="shared" ca="1" si="244"/>
        <v/>
      </c>
      <c r="J3122" s="493" t="str">
        <f t="shared" ca="1" si="245"/>
        <v/>
      </c>
      <c r="K3122" s="493" t="str">
        <f t="shared" ca="1" si="246"/>
        <v/>
      </c>
      <c r="L3122" s="487"/>
      <c r="M3122" s="487"/>
      <c r="N3122" s="487"/>
      <c r="O3122" s="487"/>
      <c r="P3122" s="487">
        <f t="shared" si="241"/>
        <v>0</v>
      </c>
      <c r="Q3122" s="487"/>
    </row>
    <row r="3123" spans="1:17" x14ac:dyDescent="0.3">
      <c r="A3123" s="487" t="b">
        <f t="shared" ca="1" si="242"/>
        <v>0</v>
      </c>
      <c r="B3123" s="500" t="str">
        <f ca="1">IF(COUNTA(G$2360:G3122)=1,"",OFFSET(B3123,-COUNTA(G$2360:G3122)+1,0))</f>
        <v>a1b3p000003dxfhAAA</v>
      </c>
      <c r="C3123" s="502">
        <f ca="1">IF(COUNTA(G$2360:G3122)=1,"",OFFSET(C3123,-COUNTA(G$2360:G3122)+1,0))</f>
        <v>47</v>
      </c>
      <c r="D3123" s="487">
        <f t="shared" si="238"/>
        <v>281</v>
      </c>
      <c r="E3123" s="487">
        <f t="shared" ca="1" si="239"/>
        <v>5</v>
      </c>
      <c r="F3123" s="487">
        <f t="shared" ca="1" si="240"/>
        <v>55</v>
      </c>
      <c r="G3123" s="487"/>
      <c r="H3123" s="493" t="str">
        <f t="shared" ca="1" si="243"/>
        <v/>
      </c>
      <c r="I3123" s="493" t="str">
        <f t="shared" ca="1" si="244"/>
        <v/>
      </c>
      <c r="J3123" s="493" t="str">
        <f t="shared" ca="1" si="245"/>
        <v/>
      </c>
      <c r="K3123" s="493" t="str">
        <f t="shared" ca="1" si="246"/>
        <v/>
      </c>
      <c r="L3123" s="487"/>
      <c r="M3123" s="487"/>
      <c r="N3123" s="487"/>
      <c r="O3123" s="487"/>
      <c r="P3123" s="487">
        <f t="shared" si="241"/>
        <v>0</v>
      </c>
      <c r="Q3123" s="487"/>
    </row>
    <row r="3124" spans="1:17" x14ac:dyDescent="0.3">
      <c r="A3124" s="487" t="b">
        <f t="shared" ca="1" si="242"/>
        <v>0</v>
      </c>
      <c r="B3124" s="500" t="str">
        <f ca="1">IF(COUNTA(G$2360:G3123)=1,"",OFFSET(B3124,-COUNTA(G$2360:G3123)+1,0))</f>
        <v>a1b3p000003dxgzAAA</v>
      </c>
      <c r="C3124" s="502">
        <f ca="1">IF(COUNTA(G$2360:G3123)=1,"",OFFSET(C3124,-COUNTA(G$2360:G3123)+1,0))</f>
        <v>47</v>
      </c>
      <c r="D3124" s="487">
        <f t="shared" si="238"/>
        <v>282</v>
      </c>
      <c r="E3124" s="487">
        <f t="shared" ca="1" si="239"/>
        <v>6</v>
      </c>
      <c r="F3124" s="487">
        <f t="shared" ca="1" si="240"/>
        <v>55</v>
      </c>
      <c r="G3124" s="487"/>
      <c r="H3124" s="493" t="str">
        <f t="shared" ca="1" si="243"/>
        <v/>
      </c>
      <c r="I3124" s="493" t="str">
        <f t="shared" ca="1" si="244"/>
        <v/>
      </c>
      <c r="J3124" s="493" t="str">
        <f t="shared" ca="1" si="245"/>
        <v/>
      </c>
      <c r="K3124" s="493" t="str">
        <f t="shared" ca="1" si="246"/>
        <v/>
      </c>
      <c r="L3124" s="487"/>
      <c r="M3124" s="487"/>
      <c r="N3124" s="487"/>
      <c r="O3124" s="487"/>
      <c r="P3124" s="487">
        <f t="shared" si="241"/>
        <v>0</v>
      </c>
      <c r="Q3124" s="487"/>
    </row>
    <row r="3125" spans="1:17" x14ac:dyDescent="0.3">
      <c r="A3125" s="487" t="b">
        <f t="shared" ca="1" si="242"/>
        <v>0</v>
      </c>
      <c r="B3125" s="500" t="str">
        <f ca="1">IF(COUNTA(G$2360:G3124)=1,"",OFFSET(B3125,-COUNTA(G$2360:G3124)+1,0))</f>
        <v>a1b3p000003dxaYAAQ</v>
      </c>
      <c r="C3125" s="502">
        <f ca="1">IF(COUNTA(G$2360:G3124)=1,"",OFFSET(C3125,-COUNTA(G$2360:G3124)+1,0))</f>
        <v>48</v>
      </c>
      <c r="D3125" s="487">
        <f t="shared" si="238"/>
        <v>283</v>
      </c>
      <c r="E3125" s="487">
        <f t="shared" ca="1" si="239"/>
        <v>1</v>
      </c>
      <c r="F3125" s="487">
        <f t="shared" ca="1" si="240"/>
        <v>56</v>
      </c>
      <c r="G3125" s="487"/>
      <c r="H3125" s="493" t="str">
        <f t="shared" ca="1" si="243"/>
        <v/>
      </c>
      <c r="I3125" s="493" t="str">
        <f t="shared" ca="1" si="244"/>
        <v/>
      </c>
      <c r="J3125" s="493" t="str">
        <f t="shared" ca="1" si="245"/>
        <v/>
      </c>
      <c r="K3125" s="493" t="str">
        <f t="shared" ca="1" si="246"/>
        <v/>
      </c>
      <c r="L3125" s="487"/>
      <c r="M3125" s="487"/>
      <c r="N3125" s="487"/>
      <c r="O3125" s="487"/>
      <c r="P3125" s="487">
        <f t="shared" si="241"/>
        <v>0</v>
      </c>
      <c r="Q3125" s="487"/>
    </row>
    <row r="3126" spans="1:17" x14ac:dyDescent="0.3">
      <c r="A3126" s="487" t="b">
        <f t="shared" ca="1" si="242"/>
        <v>0</v>
      </c>
      <c r="B3126" s="500" t="str">
        <f ca="1">IF(COUNTA(G$2360:G3125)=1,"",OFFSET(B3126,-COUNTA(G$2360:G3125)+1,0))</f>
        <v>a1b3p000003dxbqAAA</v>
      </c>
      <c r="C3126" s="502">
        <f ca="1">IF(COUNTA(G$2360:G3125)=1,"",OFFSET(C3126,-COUNTA(G$2360:G3125)+1,0))</f>
        <v>48</v>
      </c>
      <c r="D3126" s="487">
        <f t="shared" si="238"/>
        <v>284</v>
      </c>
      <c r="E3126" s="487">
        <f t="shared" ca="1" si="239"/>
        <v>2</v>
      </c>
      <c r="F3126" s="487">
        <f t="shared" ca="1" si="240"/>
        <v>56</v>
      </c>
      <c r="G3126" s="487"/>
      <c r="H3126" s="493" t="str">
        <f t="shared" ca="1" si="243"/>
        <v/>
      </c>
      <c r="I3126" s="493" t="str">
        <f t="shared" ca="1" si="244"/>
        <v/>
      </c>
      <c r="J3126" s="493" t="str">
        <f t="shared" ca="1" si="245"/>
        <v/>
      </c>
      <c r="K3126" s="493" t="str">
        <f t="shared" ca="1" si="246"/>
        <v/>
      </c>
      <c r="L3126" s="487"/>
      <c r="M3126" s="487"/>
      <c r="N3126" s="487"/>
      <c r="O3126" s="487"/>
      <c r="P3126" s="487">
        <f t="shared" si="241"/>
        <v>0</v>
      </c>
      <c r="Q3126" s="487"/>
    </row>
    <row r="3127" spans="1:17" x14ac:dyDescent="0.3">
      <c r="A3127" s="487" t="b">
        <f t="shared" ca="1" si="242"/>
        <v>0</v>
      </c>
      <c r="B3127" s="500" t="str">
        <f ca="1">IF(COUNTA(G$2360:G3126)=1,"",OFFSET(B3127,-COUNTA(G$2360:G3126)+1,0))</f>
        <v>a1b3p000003dxd8AAA</v>
      </c>
      <c r="C3127" s="502">
        <f ca="1">IF(COUNTA(G$2360:G3126)=1,"",OFFSET(C3127,-COUNTA(G$2360:G3126)+1,0))</f>
        <v>48</v>
      </c>
      <c r="D3127" s="487">
        <f t="shared" si="238"/>
        <v>285</v>
      </c>
      <c r="E3127" s="487">
        <f t="shared" ca="1" si="239"/>
        <v>3</v>
      </c>
      <c r="F3127" s="487">
        <f t="shared" ca="1" si="240"/>
        <v>56</v>
      </c>
      <c r="G3127" s="487"/>
      <c r="H3127" s="493" t="str">
        <f t="shared" ca="1" si="243"/>
        <v/>
      </c>
      <c r="I3127" s="493" t="str">
        <f t="shared" ca="1" si="244"/>
        <v/>
      </c>
      <c r="J3127" s="493" t="str">
        <f t="shared" ca="1" si="245"/>
        <v/>
      </c>
      <c r="K3127" s="493" t="str">
        <f t="shared" ca="1" si="246"/>
        <v/>
      </c>
      <c r="L3127" s="487"/>
      <c r="M3127" s="487"/>
      <c r="N3127" s="487"/>
      <c r="O3127" s="487"/>
      <c r="P3127" s="487">
        <f t="shared" si="241"/>
        <v>0</v>
      </c>
      <c r="Q3127" s="487"/>
    </row>
    <row r="3128" spans="1:17" x14ac:dyDescent="0.3">
      <c r="A3128" s="487" t="b">
        <f t="shared" ca="1" si="242"/>
        <v>0</v>
      </c>
      <c r="B3128" s="500" t="str">
        <f ca="1">IF(COUNTA(G$2360:G3127)=1,"",OFFSET(B3128,-COUNTA(G$2360:G3127)+1,0))</f>
        <v>a1b3p000003dxeQAAQ</v>
      </c>
      <c r="C3128" s="502">
        <f ca="1">IF(COUNTA(G$2360:G3127)=1,"",OFFSET(C3128,-COUNTA(G$2360:G3127)+1,0))</f>
        <v>48</v>
      </c>
      <c r="D3128" s="487">
        <f t="shared" si="238"/>
        <v>286</v>
      </c>
      <c r="E3128" s="487">
        <f t="shared" ca="1" si="239"/>
        <v>4</v>
      </c>
      <c r="F3128" s="487">
        <f t="shared" ca="1" si="240"/>
        <v>56</v>
      </c>
      <c r="G3128" s="487"/>
      <c r="H3128" s="493" t="str">
        <f t="shared" ca="1" si="243"/>
        <v/>
      </c>
      <c r="I3128" s="493" t="str">
        <f t="shared" ca="1" si="244"/>
        <v/>
      </c>
      <c r="J3128" s="493" t="str">
        <f t="shared" ca="1" si="245"/>
        <v/>
      </c>
      <c r="K3128" s="493" t="str">
        <f t="shared" ca="1" si="246"/>
        <v/>
      </c>
      <c r="L3128" s="487"/>
      <c r="M3128" s="487"/>
      <c r="N3128" s="487"/>
      <c r="O3128" s="487"/>
      <c r="P3128" s="487">
        <f t="shared" si="241"/>
        <v>0</v>
      </c>
      <c r="Q3128" s="487"/>
    </row>
    <row r="3129" spans="1:17" x14ac:dyDescent="0.3">
      <c r="A3129" s="487" t="b">
        <f t="shared" ca="1" si="242"/>
        <v>0</v>
      </c>
      <c r="B3129" s="500" t="str">
        <f ca="1">IF(COUNTA(G$2360:G3128)=1,"",OFFSET(B3129,-COUNTA(G$2360:G3128)+1,0))</f>
        <v>a1b3p000003dxfiAAA</v>
      </c>
      <c r="C3129" s="502">
        <f ca="1">IF(COUNTA(G$2360:G3128)=1,"",OFFSET(C3129,-COUNTA(G$2360:G3128)+1,0))</f>
        <v>48</v>
      </c>
      <c r="D3129" s="487">
        <f t="shared" si="238"/>
        <v>287</v>
      </c>
      <c r="E3129" s="487">
        <f t="shared" ca="1" si="239"/>
        <v>5</v>
      </c>
      <c r="F3129" s="487">
        <f t="shared" ca="1" si="240"/>
        <v>56</v>
      </c>
      <c r="G3129" s="487"/>
      <c r="H3129" s="493" t="str">
        <f t="shared" ca="1" si="243"/>
        <v/>
      </c>
      <c r="I3129" s="493" t="str">
        <f t="shared" ca="1" si="244"/>
        <v/>
      </c>
      <c r="J3129" s="493" t="str">
        <f t="shared" ca="1" si="245"/>
        <v/>
      </c>
      <c r="K3129" s="493" t="str">
        <f t="shared" ca="1" si="246"/>
        <v/>
      </c>
      <c r="L3129" s="487"/>
      <c r="M3129" s="487"/>
      <c r="N3129" s="487"/>
      <c r="O3129" s="487"/>
      <c r="P3129" s="487">
        <f t="shared" si="241"/>
        <v>0</v>
      </c>
      <c r="Q3129" s="487"/>
    </row>
    <row r="3130" spans="1:17" x14ac:dyDescent="0.3">
      <c r="A3130" s="487" t="b">
        <f t="shared" ca="1" si="242"/>
        <v>0</v>
      </c>
      <c r="B3130" s="500" t="str">
        <f ca="1">IF(COUNTA(G$2360:G3129)=1,"",OFFSET(B3130,-COUNTA(G$2360:G3129)+1,0))</f>
        <v>a1b3p000003dxh0AAA</v>
      </c>
      <c r="C3130" s="502">
        <f ca="1">IF(COUNTA(G$2360:G3129)=1,"",OFFSET(C3130,-COUNTA(G$2360:G3129)+1,0))</f>
        <v>48</v>
      </c>
      <c r="D3130" s="487">
        <f t="shared" si="238"/>
        <v>288</v>
      </c>
      <c r="E3130" s="487">
        <f t="shared" ca="1" si="239"/>
        <v>6</v>
      </c>
      <c r="F3130" s="487">
        <f t="shared" ca="1" si="240"/>
        <v>56</v>
      </c>
      <c r="G3130" s="487"/>
      <c r="H3130" s="493" t="str">
        <f t="shared" ca="1" si="243"/>
        <v/>
      </c>
      <c r="I3130" s="493" t="str">
        <f t="shared" ca="1" si="244"/>
        <v/>
      </c>
      <c r="J3130" s="493" t="str">
        <f t="shared" ca="1" si="245"/>
        <v/>
      </c>
      <c r="K3130" s="493" t="str">
        <f t="shared" ca="1" si="246"/>
        <v/>
      </c>
      <c r="L3130" s="487"/>
      <c r="M3130" s="487"/>
      <c r="N3130" s="487"/>
      <c r="O3130" s="487"/>
      <c r="P3130" s="487">
        <f t="shared" si="241"/>
        <v>0</v>
      </c>
      <c r="Q3130" s="487"/>
    </row>
    <row r="3131" spans="1:17" x14ac:dyDescent="0.3">
      <c r="A3131" s="487" t="b">
        <f t="shared" ca="1" si="242"/>
        <v>0</v>
      </c>
      <c r="B3131" s="500" t="str">
        <f ca="1">IF(COUNTA(G$2360:G3130)=1,"",OFFSET(B3131,-COUNTA(G$2360:G3130)+1,0))</f>
        <v>a1b3p000003dxaZAAQ</v>
      </c>
      <c r="C3131" s="502">
        <f ca="1">IF(COUNTA(G$2360:G3130)=1,"",OFFSET(C3131,-COUNTA(G$2360:G3130)+1,0))</f>
        <v>49</v>
      </c>
      <c r="D3131" s="487">
        <f t="shared" ref="D3131:D3194" si="247">D3130+1</f>
        <v>289</v>
      </c>
      <c r="E3131" s="487">
        <f t="shared" ref="E3131:E3194" ca="1" si="248">COUNTIF(C3126:C3131,C3131)</f>
        <v>1</v>
      </c>
      <c r="F3131" s="487">
        <f t="shared" ref="F3131:F3194" ca="1" si="249">IF(C3131=1,9,IF(E3130=MAX(E3129:E3131),F3129+1,F3130))</f>
        <v>57</v>
      </c>
      <c r="G3131" s="487"/>
      <c r="H3131" s="493" t="str">
        <f t="shared" ca="1" si="243"/>
        <v/>
      </c>
      <c r="I3131" s="493" t="str">
        <f t="shared" ca="1" si="244"/>
        <v/>
      </c>
      <c r="J3131" s="493" t="str">
        <f t="shared" ca="1" si="245"/>
        <v/>
      </c>
      <c r="K3131" s="493" t="str">
        <f t="shared" ca="1" si="246"/>
        <v/>
      </c>
      <c r="L3131" s="487"/>
      <c r="M3131" s="487"/>
      <c r="N3131" s="487"/>
      <c r="O3131" s="487"/>
      <c r="P3131" s="487">
        <f t="shared" ref="P3131:P3194" si="250">IF(NOT(_xlfn.ISFORMULA(I3131)),P3130+1,0)</f>
        <v>0</v>
      </c>
      <c r="Q3131" s="487"/>
    </row>
    <row r="3132" spans="1:17" x14ac:dyDescent="0.3">
      <c r="A3132" s="487" t="b">
        <f t="shared" ca="1" si="242"/>
        <v>0</v>
      </c>
      <c r="B3132" s="500" t="str">
        <f ca="1">IF(COUNTA(G$2360:G3131)=1,"",OFFSET(B3132,-COUNTA(G$2360:G3131)+1,0))</f>
        <v>a1b3p000003dxbrAAA</v>
      </c>
      <c r="C3132" s="502">
        <f ca="1">IF(COUNTA(G$2360:G3131)=1,"",OFFSET(C3132,-COUNTA(G$2360:G3131)+1,0))</f>
        <v>49</v>
      </c>
      <c r="D3132" s="487">
        <f t="shared" si="247"/>
        <v>290</v>
      </c>
      <c r="E3132" s="487">
        <f t="shared" ca="1" si="248"/>
        <v>2</v>
      </c>
      <c r="F3132" s="487">
        <f t="shared" ca="1" si="249"/>
        <v>57</v>
      </c>
      <c r="G3132" s="487"/>
      <c r="H3132" s="493" t="str">
        <f t="shared" ca="1" si="243"/>
        <v/>
      </c>
      <c r="I3132" s="493" t="str">
        <f t="shared" ca="1" si="244"/>
        <v/>
      </c>
      <c r="J3132" s="493" t="str">
        <f t="shared" ca="1" si="245"/>
        <v/>
      </c>
      <c r="K3132" s="493" t="str">
        <f t="shared" ca="1" si="246"/>
        <v/>
      </c>
      <c r="L3132" s="487"/>
      <c r="M3132" s="487"/>
      <c r="N3132" s="487"/>
      <c r="O3132" s="487"/>
      <c r="P3132" s="487">
        <f t="shared" si="250"/>
        <v>0</v>
      </c>
      <c r="Q3132" s="487"/>
    </row>
    <row r="3133" spans="1:17" x14ac:dyDescent="0.3">
      <c r="A3133" s="487" t="b">
        <f t="shared" ca="1" si="242"/>
        <v>0</v>
      </c>
      <c r="B3133" s="500" t="str">
        <f ca="1">IF(COUNTA(G$2360:G3132)=1,"",OFFSET(B3133,-COUNTA(G$2360:G3132)+1,0))</f>
        <v>a1b3p000003dxd9AAA</v>
      </c>
      <c r="C3133" s="502">
        <f ca="1">IF(COUNTA(G$2360:G3132)=1,"",OFFSET(C3133,-COUNTA(G$2360:G3132)+1,0))</f>
        <v>49</v>
      </c>
      <c r="D3133" s="487">
        <f t="shared" si="247"/>
        <v>291</v>
      </c>
      <c r="E3133" s="487">
        <f t="shared" ca="1" si="248"/>
        <v>3</v>
      </c>
      <c r="F3133" s="487">
        <f t="shared" ca="1" si="249"/>
        <v>57</v>
      </c>
      <c r="G3133" s="487"/>
      <c r="H3133" s="493" t="str">
        <f t="shared" ca="1" si="243"/>
        <v/>
      </c>
      <c r="I3133" s="493" t="str">
        <f t="shared" ca="1" si="244"/>
        <v/>
      </c>
      <c r="J3133" s="493" t="str">
        <f t="shared" ca="1" si="245"/>
        <v/>
      </c>
      <c r="K3133" s="493" t="str">
        <f t="shared" ca="1" si="246"/>
        <v/>
      </c>
      <c r="L3133" s="487"/>
      <c r="M3133" s="487"/>
      <c r="N3133" s="487"/>
      <c r="O3133" s="487"/>
      <c r="P3133" s="487">
        <f t="shared" si="250"/>
        <v>0</v>
      </c>
      <c r="Q3133" s="487"/>
    </row>
    <row r="3134" spans="1:17" x14ac:dyDescent="0.3">
      <c r="A3134" s="487" t="b">
        <f t="shared" ca="1" si="242"/>
        <v>0</v>
      </c>
      <c r="B3134" s="500" t="str">
        <f ca="1">IF(COUNTA(G$2360:G3133)=1,"",OFFSET(B3134,-COUNTA(G$2360:G3133)+1,0))</f>
        <v>a1b3p000003dxeRAAQ</v>
      </c>
      <c r="C3134" s="502">
        <f ca="1">IF(COUNTA(G$2360:G3133)=1,"",OFFSET(C3134,-COUNTA(G$2360:G3133)+1,0))</f>
        <v>49</v>
      </c>
      <c r="D3134" s="487">
        <f t="shared" si="247"/>
        <v>292</v>
      </c>
      <c r="E3134" s="487">
        <f t="shared" ca="1" si="248"/>
        <v>4</v>
      </c>
      <c r="F3134" s="487">
        <f t="shared" ca="1" si="249"/>
        <v>57</v>
      </c>
      <c r="G3134" s="487"/>
      <c r="H3134" s="493" t="str">
        <f t="shared" ca="1" si="243"/>
        <v/>
      </c>
      <c r="I3134" s="493" t="str">
        <f t="shared" ca="1" si="244"/>
        <v/>
      </c>
      <c r="J3134" s="493" t="str">
        <f t="shared" ca="1" si="245"/>
        <v/>
      </c>
      <c r="K3134" s="493" t="str">
        <f t="shared" ca="1" si="246"/>
        <v/>
      </c>
      <c r="L3134" s="487"/>
      <c r="M3134" s="487"/>
      <c r="N3134" s="487"/>
      <c r="O3134" s="487"/>
      <c r="P3134" s="487">
        <f t="shared" si="250"/>
        <v>0</v>
      </c>
      <c r="Q3134" s="487"/>
    </row>
    <row r="3135" spans="1:17" x14ac:dyDescent="0.3">
      <c r="A3135" s="487" t="b">
        <f t="shared" ca="1" si="242"/>
        <v>0</v>
      </c>
      <c r="B3135" s="500" t="str">
        <f ca="1">IF(COUNTA(G$2360:G3134)=1,"",OFFSET(B3135,-COUNTA(G$2360:G3134)+1,0))</f>
        <v>a1b3p000003dxfjAAA</v>
      </c>
      <c r="C3135" s="502">
        <f ca="1">IF(COUNTA(G$2360:G3134)=1,"",OFFSET(C3135,-COUNTA(G$2360:G3134)+1,0))</f>
        <v>49</v>
      </c>
      <c r="D3135" s="487">
        <f t="shared" si="247"/>
        <v>293</v>
      </c>
      <c r="E3135" s="487">
        <f t="shared" ca="1" si="248"/>
        <v>5</v>
      </c>
      <c r="F3135" s="487">
        <f t="shared" ca="1" si="249"/>
        <v>57</v>
      </c>
      <c r="G3135" s="487"/>
      <c r="H3135" s="493" t="str">
        <f t="shared" ca="1" si="243"/>
        <v/>
      </c>
      <c r="I3135" s="493" t="str">
        <f t="shared" ca="1" si="244"/>
        <v/>
      </c>
      <c r="J3135" s="493" t="str">
        <f t="shared" ca="1" si="245"/>
        <v/>
      </c>
      <c r="K3135" s="493" t="str">
        <f t="shared" ca="1" si="246"/>
        <v/>
      </c>
      <c r="L3135" s="487"/>
      <c r="M3135" s="487"/>
      <c r="N3135" s="487"/>
      <c r="O3135" s="487"/>
      <c r="P3135" s="487">
        <f t="shared" si="250"/>
        <v>0</v>
      </c>
      <c r="Q3135" s="487"/>
    </row>
    <row r="3136" spans="1:17" x14ac:dyDescent="0.3">
      <c r="A3136" s="487" t="b">
        <f t="shared" ca="1" si="242"/>
        <v>0</v>
      </c>
      <c r="B3136" s="500" t="str">
        <f ca="1">IF(COUNTA(G$2360:G3135)=1,"",OFFSET(B3136,-COUNTA(G$2360:G3135)+1,0))</f>
        <v>a1b3p000003dxh1AAA</v>
      </c>
      <c r="C3136" s="502">
        <f ca="1">IF(COUNTA(G$2360:G3135)=1,"",OFFSET(C3136,-COUNTA(G$2360:G3135)+1,0))</f>
        <v>49</v>
      </c>
      <c r="D3136" s="487">
        <f t="shared" si="247"/>
        <v>294</v>
      </c>
      <c r="E3136" s="487">
        <f t="shared" ca="1" si="248"/>
        <v>6</v>
      </c>
      <c r="F3136" s="487">
        <f t="shared" ca="1" si="249"/>
        <v>57</v>
      </c>
      <c r="G3136" s="487"/>
      <c r="H3136" s="493" t="str">
        <f t="shared" ca="1" si="243"/>
        <v/>
      </c>
      <c r="I3136" s="493" t="str">
        <f t="shared" ca="1" si="244"/>
        <v/>
      </c>
      <c r="J3136" s="493" t="str">
        <f t="shared" ca="1" si="245"/>
        <v/>
      </c>
      <c r="K3136" s="493" t="str">
        <f t="shared" ca="1" si="246"/>
        <v/>
      </c>
      <c r="L3136" s="487"/>
      <c r="M3136" s="487"/>
      <c r="N3136" s="487"/>
      <c r="O3136" s="487"/>
      <c r="P3136" s="487">
        <f t="shared" si="250"/>
        <v>0</v>
      </c>
      <c r="Q3136" s="487"/>
    </row>
    <row r="3137" spans="1:17" x14ac:dyDescent="0.3">
      <c r="A3137" s="487" t="b">
        <f t="shared" ca="1" si="242"/>
        <v>0</v>
      </c>
      <c r="B3137" s="500" t="str">
        <f ca="1">IF(COUNTA(G$2360:G3136)=1,"",OFFSET(B3137,-COUNTA(G$2360:G3136)+1,0))</f>
        <v>a1b3p000003dxaaAAA</v>
      </c>
      <c r="C3137" s="502">
        <f ca="1">IF(COUNTA(G$2360:G3136)=1,"",OFFSET(C3137,-COUNTA(G$2360:G3136)+1,0))</f>
        <v>50</v>
      </c>
      <c r="D3137" s="487">
        <f t="shared" si="247"/>
        <v>295</v>
      </c>
      <c r="E3137" s="487">
        <f t="shared" ca="1" si="248"/>
        <v>1</v>
      </c>
      <c r="F3137" s="487">
        <f t="shared" ca="1" si="249"/>
        <v>58</v>
      </c>
      <c r="G3137" s="487"/>
      <c r="H3137" s="493" t="str">
        <f t="shared" ca="1" si="243"/>
        <v/>
      </c>
      <c r="I3137" s="493" t="str">
        <f t="shared" ca="1" si="244"/>
        <v/>
      </c>
      <c r="J3137" s="493" t="str">
        <f t="shared" ca="1" si="245"/>
        <v/>
      </c>
      <c r="K3137" s="493" t="str">
        <f t="shared" ca="1" si="246"/>
        <v/>
      </c>
      <c r="L3137" s="487"/>
      <c r="M3137" s="487"/>
      <c r="N3137" s="487"/>
      <c r="O3137" s="487"/>
      <c r="P3137" s="487">
        <f t="shared" si="250"/>
        <v>0</v>
      </c>
      <c r="Q3137" s="487"/>
    </row>
    <row r="3138" spans="1:17" x14ac:dyDescent="0.3">
      <c r="A3138" s="487" t="b">
        <f t="shared" ca="1" si="242"/>
        <v>0</v>
      </c>
      <c r="B3138" s="500" t="str">
        <f ca="1">IF(COUNTA(G$2360:G3137)=1,"",OFFSET(B3138,-COUNTA(G$2360:G3137)+1,0))</f>
        <v>a1b3p000003dxbsAAA</v>
      </c>
      <c r="C3138" s="502">
        <f ca="1">IF(COUNTA(G$2360:G3137)=1,"",OFFSET(C3138,-COUNTA(G$2360:G3137)+1,0))</f>
        <v>50</v>
      </c>
      <c r="D3138" s="487">
        <f t="shared" si="247"/>
        <v>296</v>
      </c>
      <c r="E3138" s="487">
        <f t="shared" ca="1" si="248"/>
        <v>2</v>
      </c>
      <c r="F3138" s="487">
        <f t="shared" ca="1" si="249"/>
        <v>58</v>
      </c>
      <c r="G3138" s="487"/>
      <c r="H3138" s="493" t="str">
        <f t="shared" ca="1" si="243"/>
        <v/>
      </c>
      <c r="I3138" s="493" t="str">
        <f t="shared" ca="1" si="244"/>
        <v/>
      </c>
      <c r="J3138" s="493" t="str">
        <f t="shared" ca="1" si="245"/>
        <v/>
      </c>
      <c r="K3138" s="493" t="str">
        <f t="shared" ca="1" si="246"/>
        <v/>
      </c>
      <c r="L3138" s="487"/>
      <c r="M3138" s="487"/>
      <c r="N3138" s="487"/>
      <c r="O3138" s="487"/>
      <c r="P3138" s="487">
        <f t="shared" si="250"/>
        <v>0</v>
      </c>
      <c r="Q3138" s="487"/>
    </row>
    <row r="3139" spans="1:17" x14ac:dyDescent="0.3">
      <c r="A3139" s="487" t="b">
        <f t="shared" ca="1" si="242"/>
        <v>0</v>
      </c>
      <c r="B3139" s="500" t="str">
        <f ca="1">IF(COUNTA(G$2360:G3138)=1,"",OFFSET(B3139,-COUNTA(G$2360:G3138)+1,0))</f>
        <v>a1b3p000003dxdAAAQ</v>
      </c>
      <c r="C3139" s="502">
        <f ca="1">IF(COUNTA(G$2360:G3138)=1,"",OFFSET(C3139,-COUNTA(G$2360:G3138)+1,0))</f>
        <v>50</v>
      </c>
      <c r="D3139" s="487">
        <f t="shared" si="247"/>
        <v>297</v>
      </c>
      <c r="E3139" s="487">
        <f t="shared" ca="1" si="248"/>
        <v>3</v>
      </c>
      <c r="F3139" s="487">
        <f t="shared" ca="1" si="249"/>
        <v>58</v>
      </c>
      <c r="G3139" s="487"/>
      <c r="H3139" s="493" t="str">
        <f t="shared" ca="1" si="243"/>
        <v/>
      </c>
      <c r="I3139" s="493" t="str">
        <f t="shared" ca="1" si="244"/>
        <v/>
      </c>
      <c r="J3139" s="493" t="str">
        <f t="shared" ca="1" si="245"/>
        <v/>
      </c>
      <c r="K3139" s="493" t="str">
        <f t="shared" ca="1" si="246"/>
        <v/>
      </c>
      <c r="L3139" s="487"/>
      <c r="M3139" s="487"/>
      <c r="N3139" s="487"/>
      <c r="O3139" s="487"/>
      <c r="P3139" s="487">
        <f t="shared" si="250"/>
        <v>0</v>
      </c>
      <c r="Q3139" s="487"/>
    </row>
    <row r="3140" spans="1:17" x14ac:dyDescent="0.3">
      <c r="A3140" s="487" t="b">
        <f t="shared" ca="1" si="242"/>
        <v>0</v>
      </c>
      <c r="B3140" s="500" t="str">
        <f ca="1">IF(COUNTA(G$2360:G3139)=1,"",OFFSET(B3140,-COUNTA(G$2360:G3139)+1,0))</f>
        <v>a1b3p000003dxeSAAQ</v>
      </c>
      <c r="C3140" s="502">
        <f ca="1">IF(COUNTA(G$2360:G3139)=1,"",OFFSET(C3140,-COUNTA(G$2360:G3139)+1,0))</f>
        <v>50</v>
      </c>
      <c r="D3140" s="487">
        <f t="shared" si="247"/>
        <v>298</v>
      </c>
      <c r="E3140" s="487">
        <f t="shared" ca="1" si="248"/>
        <v>4</v>
      </c>
      <c r="F3140" s="487">
        <f t="shared" ca="1" si="249"/>
        <v>58</v>
      </c>
      <c r="G3140" s="487"/>
      <c r="H3140" s="493" t="str">
        <f t="shared" ca="1" si="243"/>
        <v/>
      </c>
      <c r="I3140" s="493" t="str">
        <f t="shared" ca="1" si="244"/>
        <v/>
      </c>
      <c r="J3140" s="493" t="str">
        <f t="shared" ca="1" si="245"/>
        <v/>
      </c>
      <c r="K3140" s="493" t="str">
        <f t="shared" ca="1" si="246"/>
        <v/>
      </c>
      <c r="L3140" s="487"/>
      <c r="M3140" s="487"/>
      <c r="N3140" s="487"/>
      <c r="O3140" s="487"/>
      <c r="P3140" s="487">
        <f t="shared" si="250"/>
        <v>0</v>
      </c>
      <c r="Q3140" s="487"/>
    </row>
    <row r="3141" spans="1:17" x14ac:dyDescent="0.3">
      <c r="A3141" s="487" t="b">
        <f t="shared" ca="1" si="242"/>
        <v>0</v>
      </c>
      <c r="B3141" s="500" t="str">
        <f ca="1">IF(COUNTA(G$2360:G3140)=1,"",OFFSET(B3141,-COUNTA(G$2360:G3140)+1,0))</f>
        <v>a1b3p000003dxfkAAA</v>
      </c>
      <c r="C3141" s="502">
        <f ca="1">IF(COUNTA(G$2360:G3140)=1,"",OFFSET(C3141,-COUNTA(G$2360:G3140)+1,0))</f>
        <v>50</v>
      </c>
      <c r="D3141" s="487">
        <f t="shared" si="247"/>
        <v>299</v>
      </c>
      <c r="E3141" s="487">
        <f t="shared" ca="1" si="248"/>
        <v>5</v>
      </c>
      <c r="F3141" s="487">
        <f t="shared" ca="1" si="249"/>
        <v>58</v>
      </c>
      <c r="G3141" s="487"/>
      <c r="H3141" s="493" t="str">
        <f t="shared" ca="1" si="243"/>
        <v/>
      </c>
      <c r="I3141" s="493" t="str">
        <f t="shared" ca="1" si="244"/>
        <v/>
      </c>
      <c r="J3141" s="493" t="str">
        <f t="shared" ca="1" si="245"/>
        <v/>
      </c>
      <c r="K3141" s="493" t="str">
        <f t="shared" ca="1" si="246"/>
        <v/>
      </c>
      <c r="L3141" s="487"/>
      <c r="M3141" s="487"/>
      <c r="N3141" s="487"/>
      <c r="O3141" s="487"/>
      <c r="P3141" s="487">
        <f t="shared" si="250"/>
        <v>0</v>
      </c>
      <c r="Q3141" s="487"/>
    </row>
    <row r="3142" spans="1:17" x14ac:dyDescent="0.3">
      <c r="A3142" s="487" t="b">
        <f t="shared" ca="1" si="242"/>
        <v>0</v>
      </c>
      <c r="B3142" s="500" t="str">
        <f ca="1">IF(COUNTA(G$2360:G3141)=1,"",OFFSET(B3142,-COUNTA(G$2360:G3141)+1,0))</f>
        <v>a1b3p000003dxh2AAA</v>
      </c>
      <c r="C3142" s="502">
        <f ca="1">IF(COUNTA(G$2360:G3141)=1,"",OFFSET(C3142,-COUNTA(G$2360:G3141)+1,0))</f>
        <v>50</v>
      </c>
      <c r="D3142" s="487">
        <f t="shared" si="247"/>
        <v>300</v>
      </c>
      <c r="E3142" s="487">
        <f t="shared" ca="1" si="248"/>
        <v>6</v>
      </c>
      <c r="F3142" s="487">
        <f t="shared" ca="1" si="249"/>
        <v>58</v>
      </c>
      <c r="G3142" s="487"/>
      <c r="H3142" s="493" t="str">
        <f t="shared" ca="1" si="243"/>
        <v/>
      </c>
      <c r="I3142" s="493" t="str">
        <f t="shared" ca="1" si="244"/>
        <v/>
      </c>
      <c r="J3142" s="493" t="str">
        <f t="shared" ca="1" si="245"/>
        <v/>
      </c>
      <c r="K3142" s="493" t="str">
        <f t="shared" ca="1" si="246"/>
        <v/>
      </c>
      <c r="L3142" s="487"/>
      <c r="M3142" s="487"/>
      <c r="N3142" s="487"/>
      <c r="O3142" s="487"/>
      <c r="P3142" s="487">
        <f t="shared" si="250"/>
        <v>0</v>
      </c>
      <c r="Q3142" s="487"/>
    </row>
    <row r="3143" spans="1:17" x14ac:dyDescent="0.3">
      <c r="A3143" s="487" t="b">
        <f t="shared" ca="1" si="242"/>
        <v>0</v>
      </c>
      <c r="B3143" s="500" t="str">
        <f ca="1">IF(COUNTA(G$2360:G3142)=1,"",OFFSET(B3143,-COUNTA(G$2360:G3142)+1,0))</f>
        <v>a1b3p000003dxabAAA</v>
      </c>
      <c r="C3143" s="502">
        <f ca="1">IF(COUNTA(G$2360:G3142)=1,"",OFFSET(C3143,-COUNTA(G$2360:G3142)+1,0))</f>
        <v>51</v>
      </c>
      <c r="D3143" s="487">
        <f t="shared" si="247"/>
        <v>301</v>
      </c>
      <c r="E3143" s="487">
        <f t="shared" ca="1" si="248"/>
        <v>1</v>
      </c>
      <c r="F3143" s="487">
        <f t="shared" ca="1" si="249"/>
        <v>59</v>
      </c>
      <c r="G3143" s="487"/>
      <c r="H3143" s="493" t="str">
        <f t="shared" ca="1" si="243"/>
        <v/>
      </c>
      <c r="I3143" s="493" t="str">
        <f t="shared" ca="1" si="244"/>
        <v/>
      </c>
      <c r="J3143" s="493" t="str">
        <f t="shared" ca="1" si="245"/>
        <v/>
      </c>
      <c r="K3143" s="493" t="str">
        <f t="shared" ca="1" si="246"/>
        <v/>
      </c>
      <c r="L3143" s="487"/>
      <c r="M3143" s="487"/>
      <c r="N3143" s="487"/>
      <c r="O3143" s="487"/>
      <c r="P3143" s="487">
        <f t="shared" si="250"/>
        <v>0</v>
      </c>
      <c r="Q3143" s="487"/>
    </row>
    <row r="3144" spans="1:17" x14ac:dyDescent="0.3">
      <c r="A3144" s="487" t="b">
        <f t="shared" ca="1" si="242"/>
        <v>0</v>
      </c>
      <c r="B3144" s="500" t="str">
        <f ca="1">IF(COUNTA(G$2360:G3143)=1,"",OFFSET(B3144,-COUNTA(G$2360:G3143)+1,0))</f>
        <v>a1b3p000003dxbtAAA</v>
      </c>
      <c r="C3144" s="502">
        <f ca="1">IF(COUNTA(G$2360:G3143)=1,"",OFFSET(C3144,-COUNTA(G$2360:G3143)+1,0))</f>
        <v>51</v>
      </c>
      <c r="D3144" s="487">
        <f t="shared" si="247"/>
        <v>302</v>
      </c>
      <c r="E3144" s="487">
        <f t="shared" ca="1" si="248"/>
        <v>2</v>
      </c>
      <c r="F3144" s="487">
        <f t="shared" ca="1" si="249"/>
        <v>59</v>
      </c>
      <c r="G3144" s="487"/>
      <c r="H3144" s="493" t="str">
        <f t="shared" ca="1" si="243"/>
        <v/>
      </c>
      <c r="I3144" s="493" t="str">
        <f t="shared" ca="1" si="244"/>
        <v/>
      </c>
      <c r="J3144" s="493" t="str">
        <f t="shared" ca="1" si="245"/>
        <v/>
      </c>
      <c r="K3144" s="493" t="str">
        <f t="shared" ca="1" si="246"/>
        <v/>
      </c>
      <c r="L3144" s="487"/>
      <c r="M3144" s="487"/>
      <c r="N3144" s="487"/>
      <c r="O3144" s="487"/>
      <c r="P3144" s="487">
        <f t="shared" si="250"/>
        <v>0</v>
      </c>
      <c r="Q3144" s="487"/>
    </row>
    <row r="3145" spans="1:17" x14ac:dyDescent="0.3">
      <c r="A3145" s="487" t="b">
        <f t="shared" ca="1" si="242"/>
        <v>0</v>
      </c>
      <c r="B3145" s="500" t="str">
        <f ca="1">IF(COUNTA(G$2360:G3144)=1,"",OFFSET(B3145,-COUNTA(G$2360:G3144)+1,0))</f>
        <v>a1b3p000003dxdBAAQ</v>
      </c>
      <c r="C3145" s="502">
        <f ca="1">IF(COUNTA(G$2360:G3144)=1,"",OFFSET(C3145,-COUNTA(G$2360:G3144)+1,0))</f>
        <v>51</v>
      </c>
      <c r="D3145" s="487">
        <f t="shared" si="247"/>
        <v>303</v>
      </c>
      <c r="E3145" s="487">
        <f t="shared" ca="1" si="248"/>
        <v>3</v>
      </c>
      <c r="F3145" s="487">
        <f t="shared" ca="1" si="249"/>
        <v>59</v>
      </c>
      <c r="G3145" s="487"/>
      <c r="H3145" s="493" t="str">
        <f t="shared" ca="1" si="243"/>
        <v/>
      </c>
      <c r="I3145" s="493" t="str">
        <f t="shared" ca="1" si="244"/>
        <v/>
      </c>
      <c r="J3145" s="493" t="str">
        <f t="shared" ca="1" si="245"/>
        <v/>
      </c>
      <c r="K3145" s="493" t="str">
        <f t="shared" ca="1" si="246"/>
        <v/>
      </c>
      <c r="L3145" s="487"/>
      <c r="M3145" s="487"/>
      <c r="N3145" s="487"/>
      <c r="O3145" s="487"/>
      <c r="P3145" s="487">
        <f t="shared" si="250"/>
        <v>0</v>
      </c>
      <c r="Q3145" s="487"/>
    </row>
    <row r="3146" spans="1:17" x14ac:dyDescent="0.3">
      <c r="A3146" s="487" t="b">
        <f t="shared" ca="1" si="242"/>
        <v>0</v>
      </c>
      <c r="B3146" s="500" t="str">
        <f ca="1">IF(COUNTA(G$2360:G3145)=1,"",OFFSET(B3146,-COUNTA(G$2360:G3145)+1,0))</f>
        <v>a1b3p000003dxeTAAQ</v>
      </c>
      <c r="C3146" s="502">
        <f ca="1">IF(COUNTA(G$2360:G3145)=1,"",OFFSET(C3146,-COUNTA(G$2360:G3145)+1,0))</f>
        <v>51</v>
      </c>
      <c r="D3146" s="487">
        <f t="shared" si="247"/>
        <v>304</v>
      </c>
      <c r="E3146" s="487">
        <f t="shared" ca="1" si="248"/>
        <v>4</v>
      </c>
      <c r="F3146" s="487">
        <f t="shared" ca="1" si="249"/>
        <v>59</v>
      </c>
      <c r="G3146" s="487"/>
      <c r="H3146" s="493" t="str">
        <f t="shared" ca="1" si="243"/>
        <v/>
      </c>
      <c r="I3146" s="493" t="str">
        <f t="shared" ca="1" si="244"/>
        <v/>
      </c>
      <c r="J3146" s="493" t="str">
        <f t="shared" ca="1" si="245"/>
        <v/>
      </c>
      <c r="K3146" s="493" t="str">
        <f t="shared" ca="1" si="246"/>
        <v/>
      </c>
      <c r="L3146" s="487"/>
      <c r="M3146" s="487"/>
      <c r="N3146" s="487"/>
      <c r="O3146" s="487"/>
      <c r="P3146" s="487">
        <f t="shared" si="250"/>
        <v>0</v>
      </c>
      <c r="Q3146" s="487"/>
    </row>
    <row r="3147" spans="1:17" x14ac:dyDescent="0.3">
      <c r="A3147" s="487" t="b">
        <f t="shared" ca="1" si="242"/>
        <v>0</v>
      </c>
      <c r="B3147" s="500" t="str">
        <f ca="1">IF(COUNTA(G$2360:G3146)=1,"",OFFSET(B3147,-COUNTA(G$2360:G3146)+1,0))</f>
        <v>a1b3p000003dxflAAA</v>
      </c>
      <c r="C3147" s="502">
        <f ca="1">IF(COUNTA(G$2360:G3146)=1,"",OFFSET(C3147,-COUNTA(G$2360:G3146)+1,0))</f>
        <v>51</v>
      </c>
      <c r="D3147" s="487">
        <f t="shared" si="247"/>
        <v>305</v>
      </c>
      <c r="E3147" s="487">
        <f t="shared" ca="1" si="248"/>
        <v>5</v>
      </c>
      <c r="F3147" s="487">
        <f t="shared" ca="1" si="249"/>
        <v>59</v>
      </c>
      <c r="G3147" s="487"/>
      <c r="H3147" s="493" t="str">
        <f t="shared" ca="1" si="243"/>
        <v/>
      </c>
      <c r="I3147" s="493" t="str">
        <f t="shared" ca="1" si="244"/>
        <v/>
      </c>
      <c r="J3147" s="493" t="str">
        <f t="shared" ca="1" si="245"/>
        <v/>
      </c>
      <c r="K3147" s="493" t="str">
        <f t="shared" ca="1" si="246"/>
        <v/>
      </c>
      <c r="L3147" s="487"/>
      <c r="M3147" s="487"/>
      <c r="N3147" s="487"/>
      <c r="O3147" s="487"/>
      <c r="P3147" s="487">
        <f t="shared" si="250"/>
        <v>0</v>
      </c>
      <c r="Q3147" s="487"/>
    </row>
    <row r="3148" spans="1:17" x14ac:dyDescent="0.3">
      <c r="A3148" s="487" t="b">
        <f t="shared" ca="1" si="242"/>
        <v>0</v>
      </c>
      <c r="B3148" s="500" t="str">
        <f ca="1">IF(COUNTA(G$2360:G3147)=1,"",OFFSET(B3148,-COUNTA(G$2360:G3147)+1,0))</f>
        <v>a1b3p000003dxh3AAA</v>
      </c>
      <c r="C3148" s="502">
        <f ca="1">IF(COUNTA(G$2360:G3147)=1,"",OFFSET(C3148,-COUNTA(G$2360:G3147)+1,0))</f>
        <v>51</v>
      </c>
      <c r="D3148" s="487">
        <f t="shared" si="247"/>
        <v>306</v>
      </c>
      <c r="E3148" s="487">
        <f t="shared" ca="1" si="248"/>
        <v>6</v>
      </c>
      <c r="F3148" s="487">
        <f t="shared" ca="1" si="249"/>
        <v>59</v>
      </c>
      <c r="G3148" s="487"/>
      <c r="H3148" s="493" t="str">
        <f t="shared" ca="1" si="243"/>
        <v/>
      </c>
      <c r="I3148" s="493" t="str">
        <f t="shared" ca="1" si="244"/>
        <v/>
      </c>
      <c r="J3148" s="493" t="str">
        <f t="shared" ca="1" si="245"/>
        <v/>
      </c>
      <c r="K3148" s="493" t="str">
        <f t="shared" ca="1" si="246"/>
        <v/>
      </c>
      <c r="L3148" s="487"/>
      <c r="M3148" s="487"/>
      <c r="N3148" s="487"/>
      <c r="O3148" s="487"/>
      <c r="P3148" s="487">
        <f t="shared" si="250"/>
        <v>0</v>
      </c>
      <c r="Q3148" s="487"/>
    </row>
    <row r="3149" spans="1:17" x14ac:dyDescent="0.3">
      <c r="A3149" s="487" t="b">
        <f t="shared" ca="1" si="242"/>
        <v>0</v>
      </c>
      <c r="B3149" s="500" t="str">
        <f ca="1">IF(COUNTA(G$2360:G3148)=1,"",OFFSET(B3149,-COUNTA(G$2360:G3148)+1,0))</f>
        <v>a1b3p000003dxacAAA</v>
      </c>
      <c r="C3149" s="502">
        <f ca="1">IF(COUNTA(G$2360:G3148)=1,"",OFFSET(C3149,-COUNTA(G$2360:G3148)+1,0))</f>
        <v>52</v>
      </c>
      <c r="D3149" s="487">
        <f t="shared" si="247"/>
        <v>307</v>
      </c>
      <c r="E3149" s="487">
        <f t="shared" ca="1" si="248"/>
        <v>1</v>
      </c>
      <c r="F3149" s="487">
        <f t="shared" ca="1" si="249"/>
        <v>60</v>
      </c>
      <c r="G3149" s="487"/>
      <c r="H3149" s="493" t="str">
        <f t="shared" ca="1" si="243"/>
        <v/>
      </c>
      <c r="I3149" s="493" t="str">
        <f t="shared" ca="1" si="244"/>
        <v/>
      </c>
      <c r="J3149" s="493" t="str">
        <f t="shared" ca="1" si="245"/>
        <v/>
      </c>
      <c r="K3149" s="493" t="str">
        <f t="shared" ca="1" si="246"/>
        <v/>
      </c>
      <c r="L3149" s="487"/>
      <c r="M3149" s="487"/>
      <c r="N3149" s="487"/>
      <c r="O3149" s="487"/>
      <c r="P3149" s="487">
        <f t="shared" si="250"/>
        <v>0</v>
      </c>
      <c r="Q3149" s="487"/>
    </row>
    <row r="3150" spans="1:17" x14ac:dyDescent="0.3">
      <c r="A3150" s="487" t="b">
        <f t="shared" ca="1" si="242"/>
        <v>0</v>
      </c>
      <c r="B3150" s="500" t="str">
        <f ca="1">IF(COUNTA(G$2360:G3149)=1,"",OFFSET(B3150,-COUNTA(G$2360:G3149)+1,0))</f>
        <v>a1b3p000003dxbuAAA</v>
      </c>
      <c r="C3150" s="502">
        <f ca="1">IF(COUNTA(G$2360:G3149)=1,"",OFFSET(C3150,-COUNTA(G$2360:G3149)+1,0))</f>
        <v>52</v>
      </c>
      <c r="D3150" s="487">
        <f t="shared" si="247"/>
        <v>308</v>
      </c>
      <c r="E3150" s="487">
        <f t="shared" ca="1" si="248"/>
        <v>2</v>
      </c>
      <c r="F3150" s="487">
        <f t="shared" ca="1" si="249"/>
        <v>60</v>
      </c>
      <c r="G3150" s="487"/>
      <c r="H3150" s="493" t="str">
        <f t="shared" ca="1" si="243"/>
        <v/>
      </c>
      <c r="I3150" s="493" t="str">
        <f t="shared" ca="1" si="244"/>
        <v/>
      </c>
      <c r="J3150" s="493" t="str">
        <f t="shared" ca="1" si="245"/>
        <v/>
      </c>
      <c r="K3150" s="493" t="str">
        <f t="shared" ca="1" si="246"/>
        <v/>
      </c>
      <c r="L3150" s="487"/>
      <c r="M3150" s="487"/>
      <c r="N3150" s="487"/>
      <c r="O3150" s="487"/>
      <c r="P3150" s="487">
        <f t="shared" si="250"/>
        <v>0</v>
      </c>
      <c r="Q3150" s="487"/>
    </row>
    <row r="3151" spans="1:17" x14ac:dyDescent="0.3">
      <c r="A3151" s="487" t="b">
        <f t="shared" ca="1" si="242"/>
        <v>0</v>
      </c>
      <c r="B3151" s="500" t="str">
        <f ca="1">IF(COUNTA(G$2360:G3150)=1,"",OFFSET(B3151,-COUNTA(G$2360:G3150)+1,0))</f>
        <v>a1b3p000003dxdCAAQ</v>
      </c>
      <c r="C3151" s="502">
        <f ca="1">IF(COUNTA(G$2360:G3150)=1,"",OFFSET(C3151,-COUNTA(G$2360:G3150)+1,0))</f>
        <v>52</v>
      </c>
      <c r="D3151" s="487">
        <f t="shared" si="247"/>
        <v>309</v>
      </c>
      <c r="E3151" s="487">
        <f t="shared" ca="1" si="248"/>
        <v>3</v>
      </c>
      <c r="F3151" s="487">
        <f t="shared" ca="1" si="249"/>
        <v>60</v>
      </c>
      <c r="G3151" s="487"/>
      <c r="H3151" s="493" t="str">
        <f t="shared" ca="1" si="243"/>
        <v/>
      </c>
      <c r="I3151" s="493" t="str">
        <f t="shared" ca="1" si="244"/>
        <v/>
      </c>
      <c r="J3151" s="493" t="str">
        <f t="shared" ca="1" si="245"/>
        <v/>
      </c>
      <c r="K3151" s="493" t="str">
        <f t="shared" ca="1" si="246"/>
        <v/>
      </c>
      <c r="L3151" s="487"/>
      <c r="M3151" s="487"/>
      <c r="N3151" s="487"/>
      <c r="O3151" s="487"/>
      <c r="P3151" s="487">
        <f t="shared" si="250"/>
        <v>0</v>
      </c>
      <c r="Q3151" s="487"/>
    </row>
    <row r="3152" spans="1:17" x14ac:dyDescent="0.3">
      <c r="A3152" s="487" t="b">
        <f t="shared" ca="1" si="242"/>
        <v>0</v>
      </c>
      <c r="B3152" s="500" t="str">
        <f ca="1">IF(COUNTA(G$2360:G3151)=1,"",OFFSET(B3152,-COUNTA(G$2360:G3151)+1,0))</f>
        <v>a1b3p000003dxeUAAQ</v>
      </c>
      <c r="C3152" s="502">
        <f ca="1">IF(COUNTA(G$2360:G3151)=1,"",OFFSET(C3152,-COUNTA(G$2360:G3151)+1,0))</f>
        <v>52</v>
      </c>
      <c r="D3152" s="487">
        <f t="shared" si="247"/>
        <v>310</v>
      </c>
      <c r="E3152" s="487">
        <f t="shared" ca="1" si="248"/>
        <v>4</v>
      </c>
      <c r="F3152" s="487">
        <f t="shared" ca="1" si="249"/>
        <v>60</v>
      </c>
      <c r="G3152" s="487"/>
      <c r="H3152" s="493" t="str">
        <f t="shared" ca="1" si="243"/>
        <v/>
      </c>
      <c r="I3152" s="493" t="str">
        <f t="shared" ca="1" si="244"/>
        <v/>
      </c>
      <c r="J3152" s="493" t="str">
        <f t="shared" ca="1" si="245"/>
        <v/>
      </c>
      <c r="K3152" s="493" t="str">
        <f t="shared" ca="1" si="246"/>
        <v/>
      </c>
      <c r="L3152" s="487"/>
      <c r="M3152" s="487"/>
      <c r="N3152" s="487"/>
      <c r="O3152" s="487"/>
      <c r="P3152" s="487">
        <f t="shared" si="250"/>
        <v>0</v>
      </c>
      <c r="Q3152" s="487"/>
    </row>
    <row r="3153" spans="1:17" x14ac:dyDescent="0.3">
      <c r="A3153" s="487" t="b">
        <f t="shared" ca="1" si="242"/>
        <v>0</v>
      </c>
      <c r="B3153" s="500" t="str">
        <f ca="1">IF(COUNTA(G$2360:G3152)=1,"",OFFSET(B3153,-COUNTA(G$2360:G3152)+1,0))</f>
        <v>a1b3p000003dxfmAAA</v>
      </c>
      <c r="C3153" s="502">
        <f ca="1">IF(COUNTA(G$2360:G3152)=1,"",OFFSET(C3153,-COUNTA(G$2360:G3152)+1,0))</f>
        <v>52</v>
      </c>
      <c r="D3153" s="487">
        <f t="shared" si="247"/>
        <v>311</v>
      </c>
      <c r="E3153" s="487">
        <f t="shared" ca="1" si="248"/>
        <v>5</v>
      </c>
      <c r="F3153" s="487">
        <f t="shared" ca="1" si="249"/>
        <v>60</v>
      </c>
      <c r="G3153" s="487"/>
      <c r="H3153" s="493" t="str">
        <f t="shared" ca="1" si="243"/>
        <v/>
      </c>
      <c r="I3153" s="493" t="str">
        <f t="shared" ca="1" si="244"/>
        <v/>
      </c>
      <c r="J3153" s="493" t="str">
        <f t="shared" ca="1" si="245"/>
        <v/>
      </c>
      <c r="K3153" s="493" t="str">
        <f t="shared" ca="1" si="246"/>
        <v/>
      </c>
      <c r="L3153" s="487"/>
      <c r="M3153" s="487"/>
      <c r="N3153" s="487"/>
      <c r="O3153" s="487"/>
      <c r="P3153" s="487">
        <f t="shared" si="250"/>
        <v>0</v>
      </c>
      <c r="Q3153" s="487"/>
    </row>
    <row r="3154" spans="1:17" x14ac:dyDescent="0.3">
      <c r="A3154" s="487" t="b">
        <f t="shared" ca="1" si="242"/>
        <v>0</v>
      </c>
      <c r="B3154" s="500" t="str">
        <f ca="1">IF(COUNTA(G$2360:G3153)=1,"",OFFSET(B3154,-COUNTA(G$2360:G3153)+1,0))</f>
        <v>a1b3p000003dxh4AAA</v>
      </c>
      <c r="C3154" s="502">
        <f ca="1">IF(COUNTA(G$2360:G3153)=1,"",OFFSET(C3154,-COUNTA(G$2360:G3153)+1,0))</f>
        <v>52</v>
      </c>
      <c r="D3154" s="487">
        <f t="shared" si="247"/>
        <v>312</v>
      </c>
      <c r="E3154" s="487">
        <f t="shared" ca="1" si="248"/>
        <v>6</v>
      </c>
      <c r="F3154" s="487">
        <f t="shared" ca="1" si="249"/>
        <v>60</v>
      </c>
      <c r="G3154" s="487"/>
      <c r="H3154" s="493" t="str">
        <f t="shared" ca="1" si="243"/>
        <v/>
      </c>
      <c r="I3154" s="493" t="str">
        <f t="shared" ca="1" si="244"/>
        <v/>
      </c>
      <c r="J3154" s="493" t="str">
        <f t="shared" ca="1" si="245"/>
        <v/>
      </c>
      <c r="K3154" s="493" t="str">
        <f t="shared" ca="1" si="246"/>
        <v/>
      </c>
      <c r="L3154" s="487"/>
      <c r="M3154" s="487"/>
      <c r="N3154" s="487"/>
      <c r="O3154" s="487"/>
      <c r="P3154" s="487">
        <f t="shared" si="250"/>
        <v>0</v>
      </c>
      <c r="Q3154" s="487"/>
    </row>
    <row r="3155" spans="1:17" x14ac:dyDescent="0.3">
      <c r="A3155" s="487" t="b">
        <f t="shared" ca="1" si="242"/>
        <v>0</v>
      </c>
      <c r="B3155" s="500" t="str">
        <f ca="1">IF(COUNTA(G$2360:G3154)=1,"",OFFSET(B3155,-COUNTA(G$2360:G3154)+1,0))</f>
        <v>a1b3p000003dxadAAA</v>
      </c>
      <c r="C3155" s="502">
        <f ca="1">IF(COUNTA(G$2360:G3154)=1,"",OFFSET(C3155,-COUNTA(G$2360:G3154)+1,0))</f>
        <v>53</v>
      </c>
      <c r="D3155" s="487">
        <f t="shared" si="247"/>
        <v>313</v>
      </c>
      <c r="E3155" s="487">
        <f t="shared" ca="1" si="248"/>
        <v>1</v>
      </c>
      <c r="F3155" s="487">
        <f t="shared" ca="1" si="249"/>
        <v>61</v>
      </c>
      <c r="G3155" s="487"/>
      <c r="H3155" s="493" t="str">
        <f t="shared" ca="1" si="243"/>
        <v/>
      </c>
      <c r="I3155" s="493" t="str">
        <f t="shared" ca="1" si="244"/>
        <v/>
      </c>
      <c r="J3155" s="493" t="str">
        <f t="shared" ca="1" si="245"/>
        <v/>
      </c>
      <c r="K3155" s="493" t="str">
        <f t="shared" ca="1" si="246"/>
        <v/>
      </c>
      <c r="L3155" s="487"/>
      <c r="M3155" s="487"/>
      <c r="N3155" s="487"/>
      <c r="O3155" s="487"/>
      <c r="P3155" s="487">
        <f t="shared" si="250"/>
        <v>0</v>
      </c>
      <c r="Q3155" s="487"/>
    </row>
    <row r="3156" spans="1:17" x14ac:dyDescent="0.3">
      <c r="A3156" s="487" t="b">
        <f t="shared" ca="1" si="242"/>
        <v>0</v>
      </c>
      <c r="B3156" s="500" t="str">
        <f ca="1">IF(COUNTA(G$2360:G3155)=1,"",OFFSET(B3156,-COUNTA(G$2360:G3155)+1,0))</f>
        <v>a1b3p000003dxbvAAA</v>
      </c>
      <c r="C3156" s="502">
        <f ca="1">IF(COUNTA(G$2360:G3155)=1,"",OFFSET(C3156,-COUNTA(G$2360:G3155)+1,0))</f>
        <v>53</v>
      </c>
      <c r="D3156" s="487">
        <f t="shared" si="247"/>
        <v>314</v>
      </c>
      <c r="E3156" s="487">
        <f t="shared" ca="1" si="248"/>
        <v>2</v>
      </c>
      <c r="F3156" s="487">
        <f t="shared" ca="1" si="249"/>
        <v>61</v>
      </c>
      <c r="G3156" s="487"/>
      <c r="H3156" s="493" t="str">
        <f t="shared" ca="1" si="243"/>
        <v/>
      </c>
      <c r="I3156" s="493" t="str">
        <f t="shared" ca="1" si="244"/>
        <v/>
      </c>
      <c r="J3156" s="493" t="str">
        <f t="shared" ca="1" si="245"/>
        <v/>
      </c>
      <c r="K3156" s="493" t="str">
        <f t="shared" ca="1" si="246"/>
        <v/>
      </c>
      <c r="L3156" s="487"/>
      <c r="M3156" s="487"/>
      <c r="N3156" s="487"/>
      <c r="O3156" s="487"/>
      <c r="P3156" s="487">
        <f t="shared" si="250"/>
        <v>0</v>
      </c>
      <c r="Q3156" s="487"/>
    </row>
    <row r="3157" spans="1:17" x14ac:dyDescent="0.3">
      <c r="A3157" s="487" t="b">
        <f t="shared" ca="1" si="242"/>
        <v>0</v>
      </c>
      <c r="B3157" s="500" t="str">
        <f ca="1">IF(COUNTA(G$2360:G3156)=1,"",OFFSET(B3157,-COUNTA(G$2360:G3156)+1,0))</f>
        <v>a1b3p000003dxdDAAQ</v>
      </c>
      <c r="C3157" s="502">
        <f ca="1">IF(COUNTA(G$2360:G3156)=1,"",OFFSET(C3157,-COUNTA(G$2360:G3156)+1,0))</f>
        <v>53</v>
      </c>
      <c r="D3157" s="487">
        <f t="shared" si="247"/>
        <v>315</v>
      </c>
      <c r="E3157" s="487">
        <f t="shared" ca="1" si="248"/>
        <v>3</v>
      </c>
      <c r="F3157" s="487">
        <f t="shared" ca="1" si="249"/>
        <v>61</v>
      </c>
      <c r="G3157" s="487"/>
      <c r="H3157" s="493" t="str">
        <f t="shared" ca="1" si="243"/>
        <v/>
      </c>
      <c r="I3157" s="493" t="str">
        <f t="shared" ca="1" si="244"/>
        <v/>
      </c>
      <c r="J3157" s="493" t="str">
        <f t="shared" ca="1" si="245"/>
        <v/>
      </c>
      <c r="K3157" s="493" t="str">
        <f t="shared" ca="1" si="246"/>
        <v/>
      </c>
      <c r="L3157" s="487"/>
      <c r="M3157" s="487"/>
      <c r="N3157" s="487"/>
      <c r="O3157" s="487"/>
      <c r="P3157" s="487">
        <f t="shared" si="250"/>
        <v>0</v>
      </c>
      <c r="Q3157" s="487"/>
    </row>
    <row r="3158" spans="1:17" x14ac:dyDescent="0.3">
      <c r="A3158" s="487" t="b">
        <f t="shared" ca="1" si="242"/>
        <v>0</v>
      </c>
      <c r="B3158" s="500" t="str">
        <f ca="1">IF(COUNTA(G$2360:G3157)=1,"",OFFSET(B3158,-COUNTA(G$2360:G3157)+1,0))</f>
        <v>a1b3p000003dxeVAAQ</v>
      </c>
      <c r="C3158" s="502">
        <f ca="1">IF(COUNTA(G$2360:G3157)=1,"",OFFSET(C3158,-COUNTA(G$2360:G3157)+1,0))</f>
        <v>53</v>
      </c>
      <c r="D3158" s="487">
        <f t="shared" si="247"/>
        <v>316</v>
      </c>
      <c r="E3158" s="487">
        <f t="shared" ca="1" si="248"/>
        <v>4</v>
      </c>
      <c r="F3158" s="487">
        <f t="shared" ca="1" si="249"/>
        <v>61</v>
      </c>
      <c r="G3158" s="487"/>
      <c r="H3158" s="493" t="str">
        <f t="shared" ca="1" si="243"/>
        <v/>
      </c>
      <c r="I3158" s="493" t="str">
        <f t="shared" ca="1" si="244"/>
        <v/>
      </c>
      <c r="J3158" s="493" t="str">
        <f t="shared" ca="1" si="245"/>
        <v/>
      </c>
      <c r="K3158" s="493" t="str">
        <f t="shared" ca="1" si="246"/>
        <v/>
      </c>
      <c r="L3158" s="487"/>
      <c r="M3158" s="487"/>
      <c r="N3158" s="487"/>
      <c r="O3158" s="487"/>
      <c r="P3158" s="487">
        <f t="shared" si="250"/>
        <v>0</v>
      </c>
      <c r="Q3158" s="487"/>
    </row>
    <row r="3159" spans="1:17" x14ac:dyDescent="0.3">
      <c r="A3159" s="487" t="b">
        <f t="shared" ca="1" si="242"/>
        <v>0</v>
      </c>
      <c r="B3159" s="500" t="str">
        <f ca="1">IF(COUNTA(G$2360:G3158)=1,"",OFFSET(B3159,-COUNTA(G$2360:G3158)+1,0))</f>
        <v>a1b3p000003dxfnAAA</v>
      </c>
      <c r="C3159" s="502">
        <f ca="1">IF(COUNTA(G$2360:G3158)=1,"",OFFSET(C3159,-COUNTA(G$2360:G3158)+1,0))</f>
        <v>53</v>
      </c>
      <c r="D3159" s="487">
        <f t="shared" si="247"/>
        <v>317</v>
      </c>
      <c r="E3159" s="487">
        <f t="shared" ca="1" si="248"/>
        <v>5</v>
      </c>
      <c r="F3159" s="487">
        <f t="shared" ca="1" si="249"/>
        <v>61</v>
      </c>
      <c r="G3159" s="487"/>
      <c r="H3159" s="493" t="str">
        <f t="shared" ca="1" si="243"/>
        <v/>
      </c>
      <c r="I3159" s="493" t="str">
        <f t="shared" ca="1" si="244"/>
        <v/>
      </c>
      <c r="J3159" s="493" t="str">
        <f t="shared" ca="1" si="245"/>
        <v/>
      </c>
      <c r="K3159" s="493" t="str">
        <f t="shared" ca="1" si="246"/>
        <v/>
      </c>
      <c r="L3159" s="487"/>
      <c r="M3159" s="487"/>
      <c r="N3159" s="487"/>
      <c r="O3159" s="487"/>
      <c r="P3159" s="487">
        <f t="shared" si="250"/>
        <v>0</v>
      </c>
      <c r="Q3159" s="487"/>
    </row>
    <row r="3160" spans="1:17" x14ac:dyDescent="0.3">
      <c r="A3160" s="487" t="b">
        <f t="shared" ca="1" si="242"/>
        <v>0</v>
      </c>
      <c r="B3160" s="500" t="str">
        <f ca="1">IF(COUNTA(G$2360:G3159)=1,"",OFFSET(B3160,-COUNTA(G$2360:G3159)+1,0))</f>
        <v>a1b3p000003dxh5AAA</v>
      </c>
      <c r="C3160" s="502">
        <f ca="1">IF(COUNTA(G$2360:G3159)=1,"",OFFSET(C3160,-COUNTA(G$2360:G3159)+1,0))</f>
        <v>53</v>
      </c>
      <c r="D3160" s="487">
        <f t="shared" si="247"/>
        <v>318</v>
      </c>
      <c r="E3160" s="487">
        <f t="shared" ca="1" si="248"/>
        <v>6</v>
      </c>
      <c r="F3160" s="487">
        <f t="shared" ca="1" si="249"/>
        <v>61</v>
      </c>
      <c r="G3160" s="487"/>
      <c r="H3160" s="493" t="str">
        <f t="shared" ca="1" si="243"/>
        <v/>
      </c>
      <c r="I3160" s="493" t="str">
        <f t="shared" ca="1" si="244"/>
        <v/>
      </c>
      <c r="J3160" s="493" t="str">
        <f t="shared" ca="1" si="245"/>
        <v/>
      </c>
      <c r="K3160" s="493" t="str">
        <f t="shared" ca="1" si="246"/>
        <v/>
      </c>
      <c r="L3160" s="487"/>
      <c r="M3160" s="487"/>
      <c r="N3160" s="487"/>
      <c r="O3160" s="487"/>
      <c r="P3160" s="487">
        <f t="shared" si="250"/>
        <v>0</v>
      </c>
      <c r="Q3160" s="487"/>
    </row>
    <row r="3161" spans="1:17" x14ac:dyDescent="0.3">
      <c r="A3161" s="487" t="b">
        <f t="shared" ca="1" si="242"/>
        <v>0</v>
      </c>
      <c r="B3161" s="500" t="str">
        <f ca="1">IF(COUNTA(G$2360:G3160)=1,"",OFFSET(B3161,-COUNTA(G$2360:G3160)+1,0))</f>
        <v>a1b3p000003dxaeAAA</v>
      </c>
      <c r="C3161" s="502">
        <f ca="1">IF(COUNTA(G$2360:G3160)=1,"",OFFSET(C3161,-COUNTA(G$2360:G3160)+1,0))</f>
        <v>54</v>
      </c>
      <c r="D3161" s="487">
        <f t="shared" si="247"/>
        <v>319</v>
      </c>
      <c r="E3161" s="487">
        <f t="shared" ca="1" si="248"/>
        <v>1</v>
      </c>
      <c r="F3161" s="487">
        <f t="shared" ca="1" si="249"/>
        <v>62</v>
      </c>
      <c r="G3161" s="487"/>
      <c r="H3161" s="493" t="str">
        <f t="shared" ca="1" si="243"/>
        <v/>
      </c>
      <c r="I3161" s="493" t="str">
        <f t="shared" ca="1" si="244"/>
        <v/>
      </c>
      <c r="J3161" s="493" t="str">
        <f t="shared" ca="1" si="245"/>
        <v/>
      </c>
      <c r="K3161" s="493" t="str">
        <f t="shared" ca="1" si="246"/>
        <v/>
      </c>
      <c r="L3161" s="487"/>
      <c r="M3161" s="487"/>
      <c r="N3161" s="487"/>
      <c r="O3161" s="487"/>
      <c r="P3161" s="487">
        <f t="shared" si="250"/>
        <v>0</v>
      </c>
      <c r="Q3161" s="487"/>
    </row>
    <row r="3162" spans="1:17" x14ac:dyDescent="0.3">
      <c r="A3162" s="487" t="b">
        <f t="shared" ca="1" si="242"/>
        <v>0</v>
      </c>
      <c r="B3162" s="500" t="str">
        <f ca="1">IF(COUNTA(G$2360:G3161)=1,"",OFFSET(B3162,-COUNTA(G$2360:G3161)+1,0))</f>
        <v>a1b3p000003dxbwAAA</v>
      </c>
      <c r="C3162" s="502">
        <f ca="1">IF(COUNTA(G$2360:G3161)=1,"",OFFSET(C3162,-COUNTA(G$2360:G3161)+1,0))</f>
        <v>54</v>
      </c>
      <c r="D3162" s="487">
        <f t="shared" si="247"/>
        <v>320</v>
      </c>
      <c r="E3162" s="487">
        <f t="shared" ca="1" si="248"/>
        <v>2</v>
      </c>
      <c r="F3162" s="487">
        <f t="shared" ca="1" si="249"/>
        <v>62</v>
      </c>
      <c r="G3162" s="487"/>
      <c r="H3162" s="493" t="str">
        <f t="shared" ca="1" si="243"/>
        <v/>
      </c>
      <c r="I3162" s="493" t="str">
        <f t="shared" ca="1" si="244"/>
        <v/>
      </c>
      <c r="J3162" s="493" t="str">
        <f t="shared" ca="1" si="245"/>
        <v/>
      </c>
      <c r="K3162" s="493" t="str">
        <f t="shared" ca="1" si="246"/>
        <v/>
      </c>
      <c r="L3162" s="487"/>
      <c r="M3162" s="487"/>
      <c r="N3162" s="487"/>
      <c r="O3162" s="487"/>
      <c r="P3162" s="487">
        <f t="shared" si="250"/>
        <v>0</v>
      </c>
      <c r="Q3162" s="487"/>
    </row>
    <row r="3163" spans="1:17" x14ac:dyDescent="0.3">
      <c r="A3163" s="487" t="b">
        <f t="shared" ref="A3163:A3226" ca="1" si="251">IF(OR(H3163&lt;&gt;"",I3163&lt;&gt;""),TRUE,FALSE)</f>
        <v>0</v>
      </c>
      <c r="B3163" s="500" t="str">
        <f ca="1">IF(COUNTA(G$2360:G3162)=1,"",OFFSET(B3163,-COUNTA(G$2360:G3162)+1,0))</f>
        <v>a1b3p000003dxdEAAQ</v>
      </c>
      <c r="C3163" s="502">
        <f ca="1">IF(COUNTA(G$2360:G3162)=1,"",OFFSET(C3163,-COUNTA(G$2360:G3162)+1,0))</f>
        <v>54</v>
      </c>
      <c r="D3163" s="487">
        <f t="shared" si="247"/>
        <v>321</v>
      </c>
      <c r="E3163" s="487">
        <f t="shared" ca="1" si="248"/>
        <v>3</v>
      </c>
      <c r="F3163" s="487">
        <f t="shared" ca="1" si="249"/>
        <v>62</v>
      </c>
      <c r="G3163" s="487"/>
      <c r="H3163" s="493" t="str">
        <f t="shared" ref="H3163:H3226" ca="1" si="252">CHOOSE(E3163,IFERROR(IF(INDIRECT("'WPTM - Section F'!K"&amp;F3163)=0,"",INDIRECT("'WPTM - Section F'!K"&amp;$F3163)),""),IFERROR(IF(INDIRECT("'WPTM - Section F'!O"&amp;F3163)=0,"",INDIRECT("'WPTM - Section F'!O"&amp;$F3163)),""),IFERROR(IF(INDIRECT("'WPTM - Section F'!S"&amp;F3163)=0,"",INDIRECT("'WPTM - Section F'!S"&amp;$F3163)),""),IFERROR(IF(INDIRECT("'WPTM - Section F'!W"&amp;F3163)=0,"",INDIRECT("'WPTM - Section F'!W"&amp;$F3163)),""),IFERROR(IF(INDIRECT("'WPTM - Section F'!AA"&amp;F3163)=0,"",INDIRECT("'WPTM - Section F'!AA"&amp;$F3163)),""),IFERROR(IF(INDIRECT("'WPTM - Section F'!AE"&amp;F3163)=0,"",INDIRECT("'WPTM - Section F'!AE"&amp;$F3163)),""),IFERROR(IF(INDIRECT("'WPTM - Section F'!AI"&amp;F3163)=0,"",INDIRECT("'WPTM - Section F'!AI"&amp;$F3163)),""),IFERROR(IF(INDIRECT("'WPTM - Section F'!AM"&amp;F3163)=0,"",INDIRECT("'WPTM - Section F'!AM"&amp;$F3163)),""),)</f>
        <v/>
      </c>
      <c r="I3163" s="493" t="str">
        <f t="shared" ref="I3163:I3226" ca="1" si="253">CHOOSE(E3163,IFERROR(IF(INDIRECT("'WPTM - Section F'!J"&amp;F3163)=0,"",INDIRECT("'WPTM - Section F'!J"&amp;$F3163)),""),IFERROR(IF(INDIRECT("'WPTM - Section F'!N"&amp;F3163)=0,"",INDIRECT("'WPTM - Section F'!N"&amp;$F3163)),""),IFERROR(IF(INDIRECT("'WPTM - Section F'!R"&amp;F3163)=0,"",INDIRECT("'WPTM - Section F'!R"&amp;$F3163)),""),IFERROR(IF(INDIRECT("'WPTM - Section F'!V"&amp;F3163)=0,"",INDIRECT("'WPTM - Section F'!V"&amp;$F3163)),""),IFERROR(IF(INDIRECT("'WPTM - Section F'!Z"&amp;F3163)=0,"",INDIRECT("'WPTM - Section F'!Z"&amp;$F3163)),""),IFERROR(IF(INDIRECT("'WPTM - Section F'!AD"&amp;F3163)=0,"",INDIRECT("'WPTM - Section F'!AD"&amp;$F3163)),""),IFERROR(IF(INDIRECT("'WPTM - Section F'!AH"&amp;F3163)=0,"",INDIRECT("'WPTM - Section F'!AH"&amp;$F3163)),""),IFERROR(IF(INDIRECT("'WPTM - Section F'!AL"&amp;F3163)=0,"",INDIRECT("'WPTM - Section F'!AL"&amp;$F3163)),""),)</f>
        <v/>
      </c>
      <c r="J3163" s="493" t="str">
        <f t="shared" ref="J3163:J3226" ca="1" si="254">CHOOSE(E3163,IFERROR(IF(INDIRECT("'WPTM - Section F'!H"&amp;F3163)=0,"",INDIRECT("'WPTM - Section F'!H"&amp;$F3163)),""),IFERROR(IF(INDIRECT("'WPTM - Section F'!L"&amp;F3163)=0,"",INDIRECT("'WPTM - Section F'!L"&amp;$F3163)),""),IFERROR(IF(INDIRECT("'WPTM - Section F'!P"&amp;F3163)=0,"",INDIRECT("'WPTM - Section F'!P"&amp;$F3163)),""),IFERROR(IF(INDIRECT("'WPTM - Section F'!T"&amp;F3163)=0,"",INDIRECT("'WPTM - Section F'!T"&amp;$F3163)),""),IFERROR(IF(INDIRECT("'WPTM - Section F'!X"&amp;F3163)=0,"",INDIRECT("'WPTM - Section F'!X"&amp;$F3163)),""),IFERROR(IF(INDIRECT("'WPTM - Section F'!AB"&amp;F3163)=0,"",INDIRECT("'WPTM - Section F'!AB"&amp;$F3163)),""),IFERROR(IF(INDIRECT("'WPTM - Section F'!AF"&amp;F3163)=0,"",INDIRECT("'WPTM - Section F'!AF"&amp;$F3163)),""),IFERROR(IF(INDIRECT("'WPTM - Section F'!AJ"&amp;F3163)=0,"",INDIRECT("'WPTM - Section F'!AJ"&amp;$F3163)),""),)</f>
        <v/>
      </c>
      <c r="K3163" s="493" t="str">
        <f t="shared" ref="K3163:K3226" ca="1" si="255">CHOOSE(E3163,IFERROR(IF(INDIRECT("'WPTM - Section F'!I"&amp;F3163)=0,"",INDIRECT("'WPTM - Section F'!I"&amp;$F3163)),""),IFERROR(IF(INDIRECT("'WPTM - Section F'!M"&amp;F3163)=0,"",INDIRECT("'WPTM - Section F'!M"&amp;$F3163)),""),IFERROR(IF(INDIRECT("'WPTM - Section F'!Q"&amp;F3163)=0,"",INDIRECT("'WPTM - Section F'!Q"&amp;$F3163)),""),IFERROR(IF(INDIRECT("'WPTM - Section F'!U"&amp;F3163)=0,"",INDIRECT("'WPTM - Section F'!U"&amp;$F3163)),""),IFERROR(IF(INDIRECT("'WPTM - Section F'!Y"&amp;F3163)=0,"",INDIRECT("'WPTM - Section F'!Y"&amp;$F3163)),""),IFERROR(IF(INDIRECT("'WPTM - Section F'!AC"&amp;F3163)=0,"",INDIRECT("'WPTM - Section F'!AC"&amp;$F3163)),""),IFERROR(IF(INDIRECT("'WPTM - Section F'!AG"&amp;F3163)=0,"",INDIRECT("'WPTM - Section F'!AG"&amp;$F3163)),""),IFERROR(IF(INDIRECT("'WPTM - Section F'!AK"&amp;F3163)=0,"",INDIRECT("'WPTM - Section F'!AK"&amp;$F3163)),""),)</f>
        <v/>
      </c>
      <c r="L3163" s="487"/>
      <c r="M3163" s="487"/>
      <c r="N3163" s="487"/>
      <c r="O3163" s="487"/>
      <c r="P3163" s="487">
        <f t="shared" si="250"/>
        <v>0</v>
      </c>
      <c r="Q3163" s="487"/>
    </row>
    <row r="3164" spans="1:17" x14ac:dyDescent="0.3">
      <c r="A3164" s="487" t="b">
        <f t="shared" ca="1" si="251"/>
        <v>0</v>
      </c>
      <c r="B3164" s="500" t="str">
        <f ca="1">IF(COUNTA(G$2360:G3163)=1,"",OFFSET(B3164,-COUNTA(G$2360:G3163)+1,0))</f>
        <v>a1b3p000003dxeWAAQ</v>
      </c>
      <c r="C3164" s="502">
        <f ca="1">IF(COUNTA(G$2360:G3163)=1,"",OFFSET(C3164,-COUNTA(G$2360:G3163)+1,0))</f>
        <v>54</v>
      </c>
      <c r="D3164" s="487">
        <f t="shared" si="247"/>
        <v>322</v>
      </c>
      <c r="E3164" s="487">
        <f t="shared" ca="1" si="248"/>
        <v>4</v>
      </c>
      <c r="F3164" s="487">
        <f t="shared" ca="1" si="249"/>
        <v>62</v>
      </c>
      <c r="G3164" s="487"/>
      <c r="H3164" s="493" t="str">
        <f t="shared" ca="1" si="252"/>
        <v/>
      </c>
      <c r="I3164" s="493" t="str">
        <f t="shared" ca="1" si="253"/>
        <v/>
      </c>
      <c r="J3164" s="493" t="str">
        <f t="shared" ca="1" si="254"/>
        <v/>
      </c>
      <c r="K3164" s="493" t="str">
        <f t="shared" ca="1" si="255"/>
        <v/>
      </c>
      <c r="L3164" s="487"/>
      <c r="M3164" s="487"/>
      <c r="N3164" s="487"/>
      <c r="O3164" s="487"/>
      <c r="P3164" s="487">
        <f t="shared" si="250"/>
        <v>0</v>
      </c>
      <c r="Q3164" s="487"/>
    </row>
    <row r="3165" spans="1:17" x14ac:dyDescent="0.3">
      <c r="A3165" s="487" t="b">
        <f t="shared" ca="1" si="251"/>
        <v>0</v>
      </c>
      <c r="B3165" s="500" t="str">
        <f ca="1">IF(COUNTA(G$2360:G3164)=1,"",OFFSET(B3165,-COUNTA(G$2360:G3164)+1,0))</f>
        <v>a1b3p000003dxfoAAA</v>
      </c>
      <c r="C3165" s="502">
        <f ca="1">IF(COUNTA(G$2360:G3164)=1,"",OFFSET(C3165,-COUNTA(G$2360:G3164)+1,0))</f>
        <v>54</v>
      </c>
      <c r="D3165" s="487">
        <f t="shared" si="247"/>
        <v>323</v>
      </c>
      <c r="E3165" s="487">
        <f t="shared" ca="1" si="248"/>
        <v>5</v>
      </c>
      <c r="F3165" s="487">
        <f t="shared" ca="1" si="249"/>
        <v>62</v>
      </c>
      <c r="G3165" s="487"/>
      <c r="H3165" s="493" t="str">
        <f t="shared" ca="1" si="252"/>
        <v/>
      </c>
      <c r="I3165" s="493" t="str">
        <f t="shared" ca="1" si="253"/>
        <v/>
      </c>
      <c r="J3165" s="493" t="str">
        <f t="shared" ca="1" si="254"/>
        <v/>
      </c>
      <c r="K3165" s="493" t="str">
        <f t="shared" ca="1" si="255"/>
        <v/>
      </c>
      <c r="L3165" s="487"/>
      <c r="M3165" s="487"/>
      <c r="N3165" s="487"/>
      <c r="O3165" s="487"/>
      <c r="P3165" s="487">
        <f t="shared" si="250"/>
        <v>0</v>
      </c>
      <c r="Q3165" s="487"/>
    </row>
    <row r="3166" spans="1:17" x14ac:dyDescent="0.3">
      <c r="A3166" s="487" t="b">
        <f t="shared" ca="1" si="251"/>
        <v>0</v>
      </c>
      <c r="B3166" s="500" t="str">
        <f ca="1">IF(COUNTA(G$2360:G3165)=1,"",OFFSET(B3166,-COUNTA(G$2360:G3165)+1,0))</f>
        <v>a1b3p000003dxh6AAA</v>
      </c>
      <c r="C3166" s="502">
        <f ca="1">IF(COUNTA(G$2360:G3165)=1,"",OFFSET(C3166,-COUNTA(G$2360:G3165)+1,0))</f>
        <v>54</v>
      </c>
      <c r="D3166" s="487">
        <f t="shared" si="247"/>
        <v>324</v>
      </c>
      <c r="E3166" s="487">
        <f t="shared" ca="1" si="248"/>
        <v>6</v>
      </c>
      <c r="F3166" s="487">
        <f t="shared" ca="1" si="249"/>
        <v>62</v>
      </c>
      <c r="G3166" s="487"/>
      <c r="H3166" s="493" t="str">
        <f t="shared" ca="1" si="252"/>
        <v/>
      </c>
      <c r="I3166" s="493" t="str">
        <f t="shared" ca="1" si="253"/>
        <v/>
      </c>
      <c r="J3166" s="493" t="str">
        <f t="shared" ca="1" si="254"/>
        <v/>
      </c>
      <c r="K3166" s="493" t="str">
        <f t="shared" ca="1" si="255"/>
        <v/>
      </c>
      <c r="L3166" s="487"/>
      <c r="M3166" s="487"/>
      <c r="N3166" s="487"/>
      <c r="O3166" s="487"/>
      <c r="P3166" s="487">
        <f t="shared" si="250"/>
        <v>0</v>
      </c>
      <c r="Q3166" s="487"/>
    </row>
    <row r="3167" spans="1:17" x14ac:dyDescent="0.3">
      <c r="A3167" s="487" t="b">
        <f t="shared" ca="1" si="251"/>
        <v>0</v>
      </c>
      <c r="B3167" s="500" t="str">
        <f ca="1">IF(COUNTA(G$2360:G3166)=1,"",OFFSET(B3167,-COUNTA(G$2360:G3166)+1,0))</f>
        <v>a1b3p000003dxafAAA</v>
      </c>
      <c r="C3167" s="502">
        <f ca="1">IF(COUNTA(G$2360:G3166)=1,"",OFFSET(C3167,-COUNTA(G$2360:G3166)+1,0))</f>
        <v>55</v>
      </c>
      <c r="D3167" s="487">
        <f t="shared" si="247"/>
        <v>325</v>
      </c>
      <c r="E3167" s="487">
        <f t="shared" ca="1" si="248"/>
        <v>1</v>
      </c>
      <c r="F3167" s="487">
        <f t="shared" ca="1" si="249"/>
        <v>63</v>
      </c>
      <c r="G3167" s="487"/>
      <c r="H3167" s="493" t="str">
        <f t="shared" ca="1" si="252"/>
        <v/>
      </c>
      <c r="I3167" s="493" t="str">
        <f t="shared" ca="1" si="253"/>
        <v/>
      </c>
      <c r="J3167" s="493" t="str">
        <f t="shared" ca="1" si="254"/>
        <v/>
      </c>
      <c r="K3167" s="493" t="str">
        <f t="shared" ca="1" si="255"/>
        <v/>
      </c>
      <c r="L3167" s="487"/>
      <c r="M3167" s="487"/>
      <c r="N3167" s="487"/>
      <c r="O3167" s="487"/>
      <c r="P3167" s="487">
        <f t="shared" si="250"/>
        <v>0</v>
      </c>
      <c r="Q3167" s="487"/>
    </row>
    <row r="3168" spans="1:17" x14ac:dyDescent="0.3">
      <c r="A3168" s="487" t="b">
        <f t="shared" ca="1" si="251"/>
        <v>0</v>
      </c>
      <c r="B3168" s="500" t="str">
        <f ca="1">IF(COUNTA(G$2360:G3167)=1,"",OFFSET(B3168,-COUNTA(G$2360:G3167)+1,0))</f>
        <v>a1b3p000003dxbxAAA</v>
      </c>
      <c r="C3168" s="502">
        <f ca="1">IF(COUNTA(G$2360:G3167)=1,"",OFFSET(C3168,-COUNTA(G$2360:G3167)+1,0))</f>
        <v>55</v>
      </c>
      <c r="D3168" s="487">
        <f t="shared" si="247"/>
        <v>326</v>
      </c>
      <c r="E3168" s="487">
        <f t="shared" ca="1" si="248"/>
        <v>2</v>
      </c>
      <c r="F3168" s="487">
        <f t="shared" ca="1" si="249"/>
        <v>63</v>
      </c>
      <c r="G3168" s="487"/>
      <c r="H3168" s="493" t="str">
        <f t="shared" ca="1" si="252"/>
        <v/>
      </c>
      <c r="I3168" s="493" t="str">
        <f t="shared" ca="1" si="253"/>
        <v/>
      </c>
      <c r="J3168" s="493" t="str">
        <f t="shared" ca="1" si="254"/>
        <v/>
      </c>
      <c r="K3168" s="493" t="str">
        <f t="shared" ca="1" si="255"/>
        <v/>
      </c>
      <c r="L3168" s="487"/>
      <c r="M3168" s="487"/>
      <c r="N3168" s="487"/>
      <c r="O3168" s="487"/>
      <c r="P3168" s="487">
        <f t="shared" si="250"/>
        <v>0</v>
      </c>
      <c r="Q3168" s="487"/>
    </row>
    <row r="3169" spans="1:17" x14ac:dyDescent="0.3">
      <c r="A3169" s="487" t="b">
        <f t="shared" ca="1" si="251"/>
        <v>0</v>
      </c>
      <c r="B3169" s="500" t="str">
        <f ca="1">IF(COUNTA(G$2360:G3168)=1,"",OFFSET(B3169,-COUNTA(G$2360:G3168)+1,0))</f>
        <v>a1b3p000003dxdFAAQ</v>
      </c>
      <c r="C3169" s="502">
        <f ca="1">IF(COUNTA(G$2360:G3168)=1,"",OFFSET(C3169,-COUNTA(G$2360:G3168)+1,0))</f>
        <v>55</v>
      </c>
      <c r="D3169" s="487">
        <f t="shared" si="247"/>
        <v>327</v>
      </c>
      <c r="E3169" s="487">
        <f t="shared" ca="1" si="248"/>
        <v>3</v>
      </c>
      <c r="F3169" s="487">
        <f t="shared" ca="1" si="249"/>
        <v>63</v>
      </c>
      <c r="G3169" s="487"/>
      <c r="H3169" s="493" t="str">
        <f t="shared" ca="1" si="252"/>
        <v/>
      </c>
      <c r="I3169" s="493" t="str">
        <f t="shared" ca="1" si="253"/>
        <v/>
      </c>
      <c r="J3169" s="493" t="str">
        <f t="shared" ca="1" si="254"/>
        <v/>
      </c>
      <c r="K3169" s="493" t="str">
        <f t="shared" ca="1" si="255"/>
        <v/>
      </c>
      <c r="L3169" s="487"/>
      <c r="M3169" s="487"/>
      <c r="N3169" s="487"/>
      <c r="O3169" s="487"/>
      <c r="P3169" s="487">
        <f t="shared" si="250"/>
        <v>0</v>
      </c>
      <c r="Q3169" s="487"/>
    </row>
    <row r="3170" spans="1:17" x14ac:dyDescent="0.3">
      <c r="A3170" s="487" t="b">
        <f t="shared" ca="1" si="251"/>
        <v>0</v>
      </c>
      <c r="B3170" s="500" t="str">
        <f ca="1">IF(COUNTA(G$2360:G3169)=1,"",OFFSET(B3170,-COUNTA(G$2360:G3169)+1,0))</f>
        <v>a1b3p000003dxeXAAQ</v>
      </c>
      <c r="C3170" s="502">
        <f ca="1">IF(COUNTA(G$2360:G3169)=1,"",OFFSET(C3170,-COUNTA(G$2360:G3169)+1,0))</f>
        <v>55</v>
      </c>
      <c r="D3170" s="487">
        <f t="shared" si="247"/>
        <v>328</v>
      </c>
      <c r="E3170" s="487">
        <f t="shared" ca="1" si="248"/>
        <v>4</v>
      </c>
      <c r="F3170" s="487">
        <f t="shared" ca="1" si="249"/>
        <v>63</v>
      </c>
      <c r="G3170" s="487"/>
      <c r="H3170" s="493" t="str">
        <f t="shared" ca="1" si="252"/>
        <v/>
      </c>
      <c r="I3170" s="493" t="str">
        <f t="shared" ca="1" si="253"/>
        <v/>
      </c>
      <c r="J3170" s="493" t="str">
        <f t="shared" ca="1" si="254"/>
        <v/>
      </c>
      <c r="K3170" s="493" t="str">
        <f t="shared" ca="1" si="255"/>
        <v/>
      </c>
      <c r="L3170" s="487"/>
      <c r="M3170" s="487"/>
      <c r="N3170" s="487"/>
      <c r="O3170" s="487"/>
      <c r="P3170" s="487">
        <f t="shared" si="250"/>
        <v>0</v>
      </c>
      <c r="Q3170" s="487"/>
    </row>
    <row r="3171" spans="1:17" x14ac:dyDescent="0.3">
      <c r="A3171" s="487" t="b">
        <f t="shared" ca="1" si="251"/>
        <v>0</v>
      </c>
      <c r="B3171" s="500" t="str">
        <f ca="1">IF(COUNTA(G$2360:G3170)=1,"",OFFSET(B3171,-COUNTA(G$2360:G3170)+1,0))</f>
        <v>a1b3p000003dxfpAAA</v>
      </c>
      <c r="C3171" s="502">
        <f ca="1">IF(COUNTA(G$2360:G3170)=1,"",OFFSET(C3171,-COUNTA(G$2360:G3170)+1,0))</f>
        <v>55</v>
      </c>
      <c r="D3171" s="487">
        <f t="shared" si="247"/>
        <v>329</v>
      </c>
      <c r="E3171" s="487">
        <f t="shared" ca="1" si="248"/>
        <v>5</v>
      </c>
      <c r="F3171" s="487">
        <f t="shared" ca="1" si="249"/>
        <v>63</v>
      </c>
      <c r="G3171" s="487"/>
      <c r="H3171" s="493" t="str">
        <f t="shared" ca="1" si="252"/>
        <v/>
      </c>
      <c r="I3171" s="493" t="str">
        <f t="shared" ca="1" si="253"/>
        <v/>
      </c>
      <c r="J3171" s="493" t="str">
        <f t="shared" ca="1" si="254"/>
        <v/>
      </c>
      <c r="K3171" s="493" t="str">
        <f t="shared" ca="1" si="255"/>
        <v/>
      </c>
      <c r="L3171" s="487"/>
      <c r="M3171" s="487"/>
      <c r="N3171" s="487"/>
      <c r="O3171" s="487"/>
      <c r="P3171" s="487">
        <f t="shared" si="250"/>
        <v>0</v>
      </c>
      <c r="Q3171" s="487"/>
    </row>
    <row r="3172" spans="1:17" x14ac:dyDescent="0.3">
      <c r="A3172" s="487" t="b">
        <f t="shared" ca="1" si="251"/>
        <v>0</v>
      </c>
      <c r="B3172" s="500" t="str">
        <f ca="1">IF(COUNTA(G$2360:G3171)=1,"",OFFSET(B3172,-COUNTA(G$2360:G3171)+1,0))</f>
        <v>a1b3p000003dxh7AAA</v>
      </c>
      <c r="C3172" s="502">
        <f ca="1">IF(COUNTA(G$2360:G3171)=1,"",OFFSET(C3172,-COUNTA(G$2360:G3171)+1,0))</f>
        <v>55</v>
      </c>
      <c r="D3172" s="487">
        <f t="shared" si="247"/>
        <v>330</v>
      </c>
      <c r="E3172" s="487">
        <f t="shared" ca="1" si="248"/>
        <v>6</v>
      </c>
      <c r="F3172" s="487">
        <f t="shared" ca="1" si="249"/>
        <v>63</v>
      </c>
      <c r="G3172" s="487"/>
      <c r="H3172" s="493" t="str">
        <f t="shared" ca="1" si="252"/>
        <v/>
      </c>
      <c r="I3172" s="493" t="str">
        <f t="shared" ca="1" si="253"/>
        <v/>
      </c>
      <c r="J3172" s="493" t="str">
        <f t="shared" ca="1" si="254"/>
        <v/>
      </c>
      <c r="K3172" s="493" t="str">
        <f t="shared" ca="1" si="255"/>
        <v/>
      </c>
      <c r="L3172" s="487"/>
      <c r="M3172" s="487"/>
      <c r="N3172" s="487"/>
      <c r="O3172" s="487"/>
      <c r="P3172" s="487">
        <f t="shared" si="250"/>
        <v>0</v>
      </c>
      <c r="Q3172" s="487"/>
    </row>
    <row r="3173" spans="1:17" x14ac:dyDescent="0.3">
      <c r="A3173" s="487" t="b">
        <f t="shared" ca="1" si="251"/>
        <v>0</v>
      </c>
      <c r="B3173" s="500" t="str">
        <f ca="1">IF(COUNTA(G$2360:G3172)=1,"",OFFSET(B3173,-COUNTA(G$2360:G3172)+1,0))</f>
        <v>a1b3p000003dxagAAA</v>
      </c>
      <c r="C3173" s="502">
        <f ca="1">IF(COUNTA(G$2360:G3172)=1,"",OFFSET(C3173,-COUNTA(G$2360:G3172)+1,0))</f>
        <v>56</v>
      </c>
      <c r="D3173" s="487">
        <f t="shared" si="247"/>
        <v>331</v>
      </c>
      <c r="E3173" s="487">
        <f t="shared" ca="1" si="248"/>
        <v>1</v>
      </c>
      <c r="F3173" s="487">
        <f t="shared" ca="1" si="249"/>
        <v>64</v>
      </c>
      <c r="G3173" s="487"/>
      <c r="H3173" s="493" t="str">
        <f t="shared" ca="1" si="252"/>
        <v/>
      </c>
      <c r="I3173" s="493" t="str">
        <f t="shared" ca="1" si="253"/>
        <v/>
      </c>
      <c r="J3173" s="493" t="str">
        <f t="shared" ca="1" si="254"/>
        <v/>
      </c>
      <c r="K3173" s="493" t="str">
        <f t="shared" ca="1" si="255"/>
        <v/>
      </c>
      <c r="L3173" s="487"/>
      <c r="M3173" s="487"/>
      <c r="N3173" s="487"/>
      <c r="O3173" s="487"/>
      <c r="P3173" s="487">
        <f t="shared" si="250"/>
        <v>0</v>
      </c>
      <c r="Q3173" s="487"/>
    </row>
    <row r="3174" spans="1:17" x14ac:dyDescent="0.3">
      <c r="A3174" s="487" t="b">
        <f t="shared" ca="1" si="251"/>
        <v>0</v>
      </c>
      <c r="B3174" s="500" t="str">
        <f ca="1">IF(COUNTA(G$2360:G3173)=1,"",OFFSET(B3174,-COUNTA(G$2360:G3173)+1,0))</f>
        <v>a1b3p000003dxbyAAA</v>
      </c>
      <c r="C3174" s="502">
        <f ca="1">IF(COUNTA(G$2360:G3173)=1,"",OFFSET(C3174,-COUNTA(G$2360:G3173)+1,0))</f>
        <v>56</v>
      </c>
      <c r="D3174" s="487">
        <f t="shared" si="247"/>
        <v>332</v>
      </c>
      <c r="E3174" s="487">
        <f t="shared" ca="1" si="248"/>
        <v>2</v>
      </c>
      <c r="F3174" s="487">
        <f t="shared" ca="1" si="249"/>
        <v>64</v>
      </c>
      <c r="G3174" s="487"/>
      <c r="H3174" s="493" t="str">
        <f t="shared" ca="1" si="252"/>
        <v/>
      </c>
      <c r="I3174" s="493" t="str">
        <f t="shared" ca="1" si="253"/>
        <v/>
      </c>
      <c r="J3174" s="493" t="str">
        <f t="shared" ca="1" si="254"/>
        <v/>
      </c>
      <c r="K3174" s="493" t="str">
        <f t="shared" ca="1" si="255"/>
        <v/>
      </c>
      <c r="L3174" s="487"/>
      <c r="M3174" s="487"/>
      <c r="N3174" s="487"/>
      <c r="O3174" s="487"/>
      <c r="P3174" s="487">
        <f t="shared" si="250"/>
        <v>0</v>
      </c>
      <c r="Q3174" s="487"/>
    </row>
    <row r="3175" spans="1:17" x14ac:dyDescent="0.3">
      <c r="A3175" s="487" t="b">
        <f t="shared" ca="1" si="251"/>
        <v>0</v>
      </c>
      <c r="B3175" s="500" t="str">
        <f ca="1">IF(COUNTA(G$2360:G3174)=1,"",OFFSET(B3175,-COUNTA(G$2360:G3174)+1,0))</f>
        <v>a1b3p000003dxdGAAQ</v>
      </c>
      <c r="C3175" s="502">
        <f ca="1">IF(COUNTA(G$2360:G3174)=1,"",OFFSET(C3175,-COUNTA(G$2360:G3174)+1,0))</f>
        <v>56</v>
      </c>
      <c r="D3175" s="487">
        <f t="shared" si="247"/>
        <v>333</v>
      </c>
      <c r="E3175" s="487">
        <f t="shared" ca="1" si="248"/>
        <v>3</v>
      </c>
      <c r="F3175" s="487">
        <f t="shared" ca="1" si="249"/>
        <v>64</v>
      </c>
      <c r="G3175" s="487"/>
      <c r="H3175" s="493" t="str">
        <f t="shared" ca="1" si="252"/>
        <v/>
      </c>
      <c r="I3175" s="493" t="str">
        <f t="shared" ca="1" si="253"/>
        <v/>
      </c>
      <c r="J3175" s="493" t="str">
        <f t="shared" ca="1" si="254"/>
        <v/>
      </c>
      <c r="K3175" s="493" t="str">
        <f t="shared" ca="1" si="255"/>
        <v/>
      </c>
      <c r="L3175" s="487"/>
      <c r="M3175" s="487"/>
      <c r="N3175" s="487"/>
      <c r="O3175" s="487"/>
      <c r="P3175" s="487">
        <f t="shared" si="250"/>
        <v>0</v>
      </c>
      <c r="Q3175" s="487"/>
    </row>
    <row r="3176" spans="1:17" x14ac:dyDescent="0.3">
      <c r="A3176" s="487" t="b">
        <f t="shared" ca="1" si="251"/>
        <v>0</v>
      </c>
      <c r="B3176" s="500" t="str">
        <f ca="1">IF(COUNTA(G$2360:G3175)=1,"",OFFSET(B3176,-COUNTA(G$2360:G3175)+1,0))</f>
        <v>a1b3p000003dxeYAAQ</v>
      </c>
      <c r="C3176" s="502">
        <f ca="1">IF(COUNTA(G$2360:G3175)=1,"",OFFSET(C3176,-COUNTA(G$2360:G3175)+1,0))</f>
        <v>56</v>
      </c>
      <c r="D3176" s="487">
        <f t="shared" si="247"/>
        <v>334</v>
      </c>
      <c r="E3176" s="487">
        <f t="shared" ca="1" si="248"/>
        <v>4</v>
      </c>
      <c r="F3176" s="487">
        <f t="shared" ca="1" si="249"/>
        <v>64</v>
      </c>
      <c r="G3176" s="487"/>
      <c r="H3176" s="493" t="str">
        <f t="shared" ca="1" si="252"/>
        <v/>
      </c>
      <c r="I3176" s="493" t="str">
        <f t="shared" ca="1" si="253"/>
        <v/>
      </c>
      <c r="J3176" s="493" t="str">
        <f t="shared" ca="1" si="254"/>
        <v/>
      </c>
      <c r="K3176" s="493" t="str">
        <f t="shared" ca="1" si="255"/>
        <v/>
      </c>
      <c r="L3176" s="487"/>
      <c r="M3176" s="487"/>
      <c r="N3176" s="487"/>
      <c r="O3176" s="487"/>
      <c r="P3176" s="487">
        <f t="shared" si="250"/>
        <v>0</v>
      </c>
      <c r="Q3176" s="487"/>
    </row>
    <row r="3177" spans="1:17" x14ac:dyDescent="0.3">
      <c r="A3177" s="487" t="b">
        <f t="shared" ca="1" si="251"/>
        <v>0</v>
      </c>
      <c r="B3177" s="500" t="str">
        <f ca="1">IF(COUNTA(G$2360:G3176)=1,"",OFFSET(B3177,-COUNTA(G$2360:G3176)+1,0))</f>
        <v>a1b3p000003dxfqAAA</v>
      </c>
      <c r="C3177" s="502">
        <f ca="1">IF(COUNTA(G$2360:G3176)=1,"",OFFSET(C3177,-COUNTA(G$2360:G3176)+1,0))</f>
        <v>56</v>
      </c>
      <c r="D3177" s="487">
        <f t="shared" si="247"/>
        <v>335</v>
      </c>
      <c r="E3177" s="487">
        <f t="shared" ca="1" si="248"/>
        <v>5</v>
      </c>
      <c r="F3177" s="487">
        <f t="shared" ca="1" si="249"/>
        <v>64</v>
      </c>
      <c r="G3177" s="487"/>
      <c r="H3177" s="493" t="str">
        <f t="shared" ca="1" si="252"/>
        <v/>
      </c>
      <c r="I3177" s="493" t="str">
        <f t="shared" ca="1" si="253"/>
        <v/>
      </c>
      <c r="J3177" s="493" t="str">
        <f t="shared" ca="1" si="254"/>
        <v/>
      </c>
      <c r="K3177" s="493" t="str">
        <f t="shared" ca="1" si="255"/>
        <v/>
      </c>
      <c r="L3177" s="487"/>
      <c r="M3177" s="487"/>
      <c r="N3177" s="487"/>
      <c r="O3177" s="487"/>
      <c r="P3177" s="487">
        <f t="shared" si="250"/>
        <v>0</v>
      </c>
      <c r="Q3177" s="487"/>
    </row>
    <row r="3178" spans="1:17" x14ac:dyDescent="0.3">
      <c r="A3178" s="487" t="b">
        <f t="shared" ca="1" si="251"/>
        <v>0</v>
      </c>
      <c r="B3178" s="500" t="str">
        <f ca="1">IF(COUNTA(G$2360:G3177)=1,"",OFFSET(B3178,-COUNTA(G$2360:G3177)+1,0))</f>
        <v>a1b3p000003dxh8AAA</v>
      </c>
      <c r="C3178" s="502">
        <f ca="1">IF(COUNTA(G$2360:G3177)=1,"",OFFSET(C3178,-COUNTA(G$2360:G3177)+1,0))</f>
        <v>56</v>
      </c>
      <c r="D3178" s="487">
        <f t="shared" si="247"/>
        <v>336</v>
      </c>
      <c r="E3178" s="487">
        <f t="shared" ca="1" si="248"/>
        <v>6</v>
      </c>
      <c r="F3178" s="487">
        <f t="shared" ca="1" si="249"/>
        <v>64</v>
      </c>
      <c r="G3178" s="487"/>
      <c r="H3178" s="493" t="str">
        <f t="shared" ca="1" si="252"/>
        <v/>
      </c>
      <c r="I3178" s="493" t="str">
        <f t="shared" ca="1" si="253"/>
        <v/>
      </c>
      <c r="J3178" s="493" t="str">
        <f t="shared" ca="1" si="254"/>
        <v/>
      </c>
      <c r="K3178" s="493" t="str">
        <f t="shared" ca="1" si="255"/>
        <v/>
      </c>
      <c r="L3178" s="487"/>
      <c r="M3178" s="487"/>
      <c r="N3178" s="487"/>
      <c r="O3178" s="487"/>
      <c r="P3178" s="487">
        <f t="shared" si="250"/>
        <v>0</v>
      </c>
      <c r="Q3178" s="487"/>
    </row>
    <row r="3179" spans="1:17" x14ac:dyDescent="0.3">
      <c r="A3179" s="487" t="b">
        <f t="shared" ca="1" si="251"/>
        <v>0</v>
      </c>
      <c r="B3179" s="500" t="str">
        <f ca="1">IF(COUNTA(G$2360:G3178)=1,"",OFFSET(B3179,-COUNTA(G$2360:G3178)+1,0))</f>
        <v>a1b3p000003dxahAAA</v>
      </c>
      <c r="C3179" s="502">
        <f ca="1">IF(COUNTA(G$2360:G3178)=1,"",OFFSET(C3179,-COUNTA(G$2360:G3178)+1,0))</f>
        <v>57</v>
      </c>
      <c r="D3179" s="487">
        <f t="shared" si="247"/>
        <v>337</v>
      </c>
      <c r="E3179" s="487">
        <f t="shared" ca="1" si="248"/>
        <v>1</v>
      </c>
      <c r="F3179" s="487">
        <f t="shared" ca="1" si="249"/>
        <v>65</v>
      </c>
      <c r="G3179" s="487"/>
      <c r="H3179" s="493" t="str">
        <f t="shared" ca="1" si="252"/>
        <v/>
      </c>
      <c r="I3179" s="493" t="str">
        <f t="shared" ca="1" si="253"/>
        <v/>
      </c>
      <c r="J3179" s="493" t="str">
        <f t="shared" ca="1" si="254"/>
        <v/>
      </c>
      <c r="K3179" s="493" t="str">
        <f t="shared" ca="1" si="255"/>
        <v/>
      </c>
      <c r="L3179" s="487"/>
      <c r="M3179" s="487"/>
      <c r="N3179" s="487"/>
      <c r="O3179" s="487"/>
      <c r="P3179" s="487">
        <f t="shared" si="250"/>
        <v>0</v>
      </c>
      <c r="Q3179" s="487"/>
    </row>
    <row r="3180" spans="1:17" x14ac:dyDescent="0.3">
      <c r="A3180" s="487" t="b">
        <f t="shared" ca="1" si="251"/>
        <v>0</v>
      </c>
      <c r="B3180" s="500" t="str">
        <f ca="1">IF(COUNTA(G$2360:G3179)=1,"",OFFSET(B3180,-COUNTA(G$2360:G3179)+1,0))</f>
        <v>a1b3p000003dxbzAAA</v>
      </c>
      <c r="C3180" s="502">
        <f ca="1">IF(COUNTA(G$2360:G3179)=1,"",OFFSET(C3180,-COUNTA(G$2360:G3179)+1,0))</f>
        <v>57</v>
      </c>
      <c r="D3180" s="487">
        <f t="shared" si="247"/>
        <v>338</v>
      </c>
      <c r="E3180" s="487">
        <f t="shared" ca="1" si="248"/>
        <v>2</v>
      </c>
      <c r="F3180" s="487">
        <f t="shared" ca="1" si="249"/>
        <v>65</v>
      </c>
      <c r="G3180" s="487"/>
      <c r="H3180" s="493" t="str">
        <f t="shared" ca="1" si="252"/>
        <v/>
      </c>
      <c r="I3180" s="493" t="str">
        <f t="shared" ca="1" si="253"/>
        <v/>
      </c>
      <c r="J3180" s="493" t="str">
        <f t="shared" ca="1" si="254"/>
        <v/>
      </c>
      <c r="K3180" s="493" t="str">
        <f t="shared" ca="1" si="255"/>
        <v/>
      </c>
      <c r="L3180" s="487"/>
      <c r="M3180" s="487"/>
      <c r="N3180" s="487"/>
      <c r="O3180" s="487"/>
      <c r="P3180" s="487">
        <f t="shared" si="250"/>
        <v>0</v>
      </c>
      <c r="Q3180" s="487"/>
    </row>
    <row r="3181" spans="1:17" x14ac:dyDescent="0.3">
      <c r="A3181" s="487" t="b">
        <f t="shared" ca="1" si="251"/>
        <v>0</v>
      </c>
      <c r="B3181" s="500" t="str">
        <f ca="1">IF(COUNTA(G$2360:G3180)=1,"",OFFSET(B3181,-COUNTA(G$2360:G3180)+1,0))</f>
        <v>a1b3p000003dxdHAAQ</v>
      </c>
      <c r="C3181" s="502">
        <f ca="1">IF(COUNTA(G$2360:G3180)=1,"",OFFSET(C3181,-COUNTA(G$2360:G3180)+1,0))</f>
        <v>57</v>
      </c>
      <c r="D3181" s="487">
        <f t="shared" si="247"/>
        <v>339</v>
      </c>
      <c r="E3181" s="487">
        <f t="shared" ca="1" si="248"/>
        <v>3</v>
      </c>
      <c r="F3181" s="487">
        <f t="shared" ca="1" si="249"/>
        <v>65</v>
      </c>
      <c r="G3181" s="487"/>
      <c r="H3181" s="493" t="str">
        <f t="shared" ca="1" si="252"/>
        <v/>
      </c>
      <c r="I3181" s="493" t="str">
        <f t="shared" ca="1" si="253"/>
        <v/>
      </c>
      <c r="J3181" s="493" t="str">
        <f t="shared" ca="1" si="254"/>
        <v/>
      </c>
      <c r="K3181" s="493" t="str">
        <f t="shared" ca="1" si="255"/>
        <v/>
      </c>
      <c r="L3181" s="487"/>
      <c r="M3181" s="487"/>
      <c r="N3181" s="487"/>
      <c r="O3181" s="487"/>
      <c r="P3181" s="487">
        <f t="shared" si="250"/>
        <v>0</v>
      </c>
      <c r="Q3181" s="487"/>
    </row>
    <row r="3182" spans="1:17" x14ac:dyDescent="0.3">
      <c r="A3182" s="487" t="b">
        <f t="shared" ca="1" si="251"/>
        <v>0</v>
      </c>
      <c r="B3182" s="500" t="str">
        <f ca="1">IF(COUNTA(G$2360:G3181)=1,"",OFFSET(B3182,-COUNTA(G$2360:G3181)+1,0))</f>
        <v>a1b3p000003dxeZAAQ</v>
      </c>
      <c r="C3182" s="502">
        <f ca="1">IF(COUNTA(G$2360:G3181)=1,"",OFFSET(C3182,-COUNTA(G$2360:G3181)+1,0))</f>
        <v>57</v>
      </c>
      <c r="D3182" s="487">
        <f t="shared" si="247"/>
        <v>340</v>
      </c>
      <c r="E3182" s="487">
        <f t="shared" ca="1" si="248"/>
        <v>4</v>
      </c>
      <c r="F3182" s="487">
        <f t="shared" ca="1" si="249"/>
        <v>65</v>
      </c>
      <c r="G3182" s="487"/>
      <c r="H3182" s="493" t="str">
        <f t="shared" ca="1" si="252"/>
        <v/>
      </c>
      <c r="I3182" s="493" t="str">
        <f t="shared" ca="1" si="253"/>
        <v/>
      </c>
      <c r="J3182" s="493" t="str">
        <f t="shared" ca="1" si="254"/>
        <v/>
      </c>
      <c r="K3182" s="493" t="str">
        <f t="shared" ca="1" si="255"/>
        <v/>
      </c>
      <c r="L3182" s="487"/>
      <c r="M3182" s="487"/>
      <c r="N3182" s="487"/>
      <c r="O3182" s="487"/>
      <c r="P3182" s="487">
        <f t="shared" si="250"/>
        <v>0</v>
      </c>
      <c r="Q3182" s="487"/>
    </row>
    <row r="3183" spans="1:17" x14ac:dyDescent="0.3">
      <c r="A3183" s="487" t="b">
        <f t="shared" ca="1" si="251"/>
        <v>0</v>
      </c>
      <c r="B3183" s="500" t="str">
        <f ca="1">IF(COUNTA(G$2360:G3182)=1,"",OFFSET(B3183,-COUNTA(G$2360:G3182)+1,0))</f>
        <v>a1b3p000003dxfrAAA</v>
      </c>
      <c r="C3183" s="502">
        <f ca="1">IF(COUNTA(G$2360:G3182)=1,"",OFFSET(C3183,-COUNTA(G$2360:G3182)+1,0))</f>
        <v>57</v>
      </c>
      <c r="D3183" s="487">
        <f t="shared" si="247"/>
        <v>341</v>
      </c>
      <c r="E3183" s="487">
        <f t="shared" ca="1" si="248"/>
        <v>5</v>
      </c>
      <c r="F3183" s="487">
        <f t="shared" ca="1" si="249"/>
        <v>65</v>
      </c>
      <c r="G3183" s="487"/>
      <c r="H3183" s="493" t="str">
        <f t="shared" ca="1" si="252"/>
        <v/>
      </c>
      <c r="I3183" s="493" t="str">
        <f t="shared" ca="1" si="253"/>
        <v/>
      </c>
      <c r="J3183" s="493" t="str">
        <f t="shared" ca="1" si="254"/>
        <v/>
      </c>
      <c r="K3183" s="493" t="str">
        <f t="shared" ca="1" si="255"/>
        <v/>
      </c>
      <c r="L3183" s="487"/>
      <c r="M3183" s="487"/>
      <c r="N3183" s="487"/>
      <c r="O3183" s="487"/>
      <c r="P3183" s="487">
        <f t="shared" si="250"/>
        <v>0</v>
      </c>
      <c r="Q3183" s="487"/>
    </row>
    <row r="3184" spans="1:17" x14ac:dyDescent="0.3">
      <c r="A3184" s="487" t="b">
        <f t="shared" ca="1" si="251"/>
        <v>0</v>
      </c>
      <c r="B3184" s="500" t="str">
        <f ca="1">IF(COUNTA(G$2360:G3183)=1,"",OFFSET(B3184,-COUNTA(G$2360:G3183)+1,0))</f>
        <v>a1b3p000003dxh9AAA</v>
      </c>
      <c r="C3184" s="502">
        <f ca="1">IF(COUNTA(G$2360:G3183)=1,"",OFFSET(C3184,-COUNTA(G$2360:G3183)+1,0))</f>
        <v>57</v>
      </c>
      <c r="D3184" s="487">
        <f t="shared" si="247"/>
        <v>342</v>
      </c>
      <c r="E3184" s="487">
        <f t="shared" ca="1" si="248"/>
        <v>6</v>
      </c>
      <c r="F3184" s="487">
        <f t="shared" ca="1" si="249"/>
        <v>65</v>
      </c>
      <c r="G3184" s="487"/>
      <c r="H3184" s="493" t="str">
        <f t="shared" ca="1" si="252"/>
        <v/>
      </c>
      <c r="I3184" s="493" t="str">
        <f t="shared" ca="1" si="253"/>
        <v/>
      </c>
      <c r="J3184" s="493" t="str">
        <f t="shared" ca="1" si="254"/>
        <v/>
      </c>
      <c r="K3184" s="493" t="str">
        <f t="shared" ca="1" si="255"/>
        <v/>
      </c>
      <c r="L3184" s="487"/>
      <c r="M3184" s="487"/>
      <c r="N3184" s="487"/>
      <c r="O3184" s="487"/>
      <c r="P3184" s="487">
        <f t="shared" si="250"/>
        <v>0</v>
      </c>
      <c r="Q3184" s="487"/>
    </row>
    <row r="3185" spans="1:17" x14ac:dyDescent="0.3">
      <c r="A3185" s="487" t="b">
        <f t="shared" ca="1" si="251"/>
        <v>0</v>
      </c>
      <c r="B3185" s="500" t="str">
        <f ca="1">IF(COUNTA(G$2360:G3184)=1,"",OFFSET(B3185,-COUNTA(G$2360:G3184)+1,0))</f>
        <v>a1b3p000003dxaiAAA</v>
      </c>
      <c r="C3185" s="502">
        <f ca="1">IF(COUNTA(G$2360:G3184)=1,"",OFFSET(C3185,-COUNTA(G$2360:G3184)+1,0))</f>
        <v>58</v>
      </c>
      <c r="D3185" s="487">
        <f t="shared" si="247"/>
        <v>343</v>
      </c>
      <c r="E3185" s="487">
        <f t="shared" ca="1" si="248"/>
        <v>1</v>
      </c>
      <c r="F3185" s="487">
        <f t="shared" ca="1" si="249"/>
        <v>66</v>
      </c>
      <c r="G3185" s="487"/>
      <c r="H3185" s="493" t="str">
        <f t="shared" ca="1" si="252"/>
        <v/>
      </c>
      <c r="I3185" s="493" t="str">
        <f t="shared" ca="1" si="253"/>
        <v/>
      </c>
      <c r="J3185" s="493" t="str">
        <f t="shared" ca="1" si="254"/>
        <v/>
      </c>
      <c r="K3185" s="493" t="str">
        <f t="shared" ca="1" si="255"/>
        <v/>
      </c>
      <c r="L3185" s="487"/>
      <c r="M3185" s="487"/>
      <c r="N3185" s="487"/>
      <c r="O3185" s="487"/>
      <c r="P3185" s="487">
        <f t="shared" si="250"/>
        <v>0</v>
      </c>
      <c r="Q3185" s="487"/>
    </row>
    <row r="3186" spans="1:17" x14ac:dyDescent="0.3">
      <c r="A3186" s="487" t="b">
        <f t="shared" ca="1" si="251"/>
        <v>0</v>
      </c>
      <c r="B3186" s="500" t="str">
        <f ca="1">IF(COUNTA(G$2360:G3185)=1,"",OFFSET(B3186,-COUNTA(G$2360:G3185)+1,0))</f>
        <v>a1b3p000003dxc0AAA</v>
      </c>
      <c r="C3186" s="502">
        <f ca="1">IF(COUNTA(G$2360:G3185)=1,"",OFFSET(C3186,-COUNTA(G$2360:G3185)+1,0))</f>
        <v>58</v>
      </c>
      <c r="D3186" s="487">
        <f t="shared" si="247"/>
        <v>344</v>
      </c>
      <c r="E3186" s="487">
        <f t="shared" ca="1" si="248"/>
        <v>2</v>
      </c>
      <c r="F3186" s="487">
        <f t="shared" ca="1" si="249"/>
        <v>66</v>
      </c>
      <c r="G3186" s="487"/>
      <c r="H3186" s="493" t="str">
        <f t="shared" ca="1" si="252"/>
        <v/>
      </c>
      <c r="I3186" s="493" t="str">
        <f t="shared" ca="1" si="253"/>
        <v/>
      </c>
      <c r="J3186" s="493" t="str">
        <f t="shared" ca="1" si="254"/>
        <v/>
      </c>
      <c r="K3186" s="493" t="str">
        <f t="shared" ca="1" si="255"/>
        <v/>
      </c>
      <c r="L3186" s="487"/>
      <c r="M3186" s="487"/>
      <c r="N3186" s="487"/>
      <c r="O3186" s="487"/>
      <c r="P3186" s="487">
        <f t="shared" si="250"/>
        <v>0</v>
      </c>
      <c r="Q3186" s="487"/>
    </row>
    <row r="3187" spans="1:17" x14ac:dyDescent="0.3">
      <c r="A3187" s="487" t="b">
        <f t="shared" ca="1" si="251"/>
        <v>0</v>
      </c>
      <c r="B3187" s="500" t="str">
        <f ca="1">IF(COUNTA(G$2360:G3186)=1,"",OFFSET(B3187,-COUNTA(G$2360:G3186)+1,0))</f>
        <v>a1b3p000003dxdIAAQ</v>
      </c>
      <c r="C3187" s="502">
        <f ca="1">IF(COUNTA(G$2360:G3186)=1,"",OFFSET(C3187,-COUNTA(G$2360:G3186)+1,0))</f>
        <v>58</v>
      </c>
      <c r="D3187" s="487">
        <f t="shared" si="247"/>
        <v>345</v>
      </c>
      <c r="E3187" s="487">
        <f t="shared" ca="1" si="248"/>
        <v>3</v>
      </c>
      <c r="F3187" s="487">
        <f t="shared" ca="1" si="249"/>
        <v>66</v>
      </c>
      <c r="G3187" s="487"/>
      <c r="H3187" s="493" t="str">
        <f t="shared" ca="1" si="252"/>
        <v/>
      </c>
      <c r="I3187" s="493" t="str">
        <f t="shared" ca="1" si="253"/>
        <v/>
      </c>
      <c r="J3187" s="493" t="str">
        <f t="shared" ca="1" si="254"/>
        <v/>
      </c>
      <c r="K3187" s="493" t="str">
        <f t="shared" ca="1" si="255"/>
        <v/>
      </c>
      <c r="L3187" s="487"/>
      <c r="M3187" s="487"/>
      <c r="N3187" s="487"/>
      <c r="O3187" s="487"/>
      <c r="P3187" s="487">
        <f t="shared" si="250"/>
        <v>0</v>
      </c>
      <c r="Q3187" s="487"/>
    </row>
    <row r="3188" spans="1:17" x14ac:dyDescent="0.3">
      <c r="A3188" s="487" t="b">
        <f t="shared" ca="1" si="251"/>
        <v>0</v>
      </c>
      <c r="B3188" s="500" t="str">
        <f ca="1">IF(COUNTA(G$2360:G3187)=1,"",OFFSET(B3188,-COUNTA(G$2360:G3187)+1,0))</f>
        <v>a1b3p000003dxeaAAA</v>
      </c>
      <c r="C3188" s="502">
        <f ca="1">IF(COUNTA(G$2360:G3187)=1,"",OFFSET(C3188,-COUNTA(G$2360:G3187)+1,0))</f>
        <v>58</v>
      </c>
      <c r="D3188" s="487">
        <f t="shared" si="247"/>
        <v>346</v>
      </c>
      <c r="E3188" s="487">
        <f t="shared" ca="1" si="248"/>
        <v>4</v>
      </c>
      <c r="F3188" s="487">
        <f t="shared" ca="1" si="249"/>
        <v>66</v>
      </c>
      <c r="G3188" s="487"/>
      <c r="H3188" s="493" t="str">
        <f t="shared" ca="1" si="252"/>
        <v/>
      </c>
      <c r="I3188" s="493" t="str">
        <f t="shared" ca="1" si="253"/>
        <v/>
      </c>
      <c r="J3188" s="493" t="str">
        <f t="shared" ca="1" si="254"/>
        <v/>
      </c>
      <c r="K3188" s="493" t="str">
        <f t="shared" ca="1" si="255"/>
        <v/>
      </c>
      <c r="L3188" s="487"/>
      <c r="M3188" s="487"/>
      <c r="N3188" s="487"/>
      <c r="O3188" s="487"/>
      <c r="P3188" s="487">
        <f t="shared" si="250"/>
        <v>0</v>
      </c>
      <c r="Q3188" s="487"/>
    </row>
    <row r="3189" spans="1:17" x14ac:dyDescent="0.3">
      <c r="A3189" s="487" t="b">
        <f t="shared" ca="1" si="251"/>
        <v>0</v>
      </c>
      <c r="B3189" s="500" t="str">
        <f ca="1">IF(COUNTA(G$2360:G3188)=1,"",OFFSET(B3189,-COUNTA(G$2360:G3188)+1,0))</f>
        <v>a1b3p000003dxfsAAA</v>
      </c>
      <c r="C3189" s="502">
        <f ca="1">IF(COUNTA(G$2360:G3188)=1,"",OFFSET(C3189,-COUNTA(G$2360:G3188)+1,0))</f>
        <v>58</v>
      </c>
      <c r="D3189" s="487">
        <f t="shared" si="247"/>
        <v>347</v>
      </c>
      <c r="E3189" s="487">
        <f t="shared" ca="1" si="248"/>
        <v>5</v>
      </c>
      <c r="F3189" s="487">
        <f t="shared" ca="1" si="249"/>
        <v>66</v>
      </c>
      <c r="G3189" s="487"/>
      <c r="H3189" s="493" t="str">
        <f t="shared" ca="1" si="252"/>
        <v/>
      </c>
      <c r="I3189" s="493" t="str">
        <f t="shared" ca="1" si="253"/>
        <v/>
      </c>
      <c r="J3189" s="493" t="str">
        <f t="shared" ca="1" si="254"/>
        <v/>
      </c>
      <c r="K3189" s="493" t="str">
        <f t="shared" ca="1" si="255"/>
        <v/>
      </c>
      <c r="L3189" s="487"/>
      <c r="M3189" s="487"/>
      <c r="N3189" s="487"/>
      <c r="O3189" s="487"/>
      <c r="P3189" s="487">
        <f t="shared" si="250"/>
        <v>0</v>
      </c>
      <c r="Q3189" s="487"/>
    </row>
    <row r="3190" spans="1:17" x14ac:dyDescent="0.3">
      <c r="A3190" s="487" t="b">
        <f t="shared" ca="1" si="251"/>
        <v>0</v>
      </c>
      <c r="B3190" s="500" t="str">
        <f ca="1">IF(COUNTA(G$2360:G3189)=1,"",OFFSET(B3190,-COUNTA(G$2360:G3189)+1,0))</f>
        <v>a1b3p000003dxhAAAQ</v>
      </c>
      <c r="C3190" s="502">
        <f ca="1">IF(COUNTA(G$2360:G3189)=1,"",OFFSET(C3190,-COUNTA(G$2360:G3189)+1,0))</f>
        <v>58</v>
      </c>
      <c r="D3190" s="487">
        <f t="shared" si="247"/>
        <v>348</v>
      </c>
      <c r="E3190" s="487">
        <f t="shared" ca="1" si="248"/>
        <v>6</v>
      </c>
      <c r="F3190" s="487">
        <f t="shared" ca="1" si="249"/>
        <v>66</v>
      </c>
      <c r="G3190" s="487"/>
      <c r="H3190" s="493" t="str">
        <f t="shared" ca="1" si="252"/>
        <v/>
      </c>
      <c r="I3190" s="493" t="str">
        <f t="shared" ca="1" si="253"/>
        <v/>
      </c>
      <c r="J3190" s="493" t="str">
        <f t="shared" ca="1" si="254"/>
        <v/>
      </c>
      <c r="K3190" s="493" t="str">
        <f t="shared" ca="1" si="255"/>
        <v/>
      </c>
      <c r="L3190" s="487"/>
      <c r="M3190" s="487"/>
      <c r="N3190" s="487"/>
      <c r="O3190" s="487"/>
      <c r="P3190" s="487">
        <f t="shared" si="250"/>
        <v>0</v>
      </c>
      <c r="Q3190" s="487"/>
    </row>
    <row r="3191" spans="1:17" x14ac:dyDescent="0.3">
      <c r="A3191" s="487" t="b">
        <f t="shared" ca="1" si="251"/>
        <v>0</v>
      </c>
      <c r="B3191" s="500" t="str">
        <f ca="1">IF(COUNTA(G$2360:G3190)=1,"",OFFSET(B3191,-COUNTA(G$2360:G3190)+1,0))</f>
        <v>a1b3p000003dxajAAA</v>
      </c>
      <c r="C3191" s="502">
        <f ca="1">IF(COUNTA(G$2360:G3190)=1,"",OFFSET(C3191,-COUNTA(G$2360:G3190)+1,0))</f>
        <v>59</v>
      </c>
      <c r="D3191" s="487">
        <f t="shared" si="247"/>
        <v>349</v>
      </c>
      <c r="E3191" s="487">
        <f t="shared" ca="1" si="248"/>
        <v>1</v>
      </c>
      <c r="F3191" s="487">
        <f t="shared" ca="1" si="249"/>
        <v>67</v>
      </c>
      <c r="G3191" s="487"/>
      <c r="H3191" s="493" t="str">
        <f t="shared" ca="1" si="252"/>
        <v/>
      </c>
      <c r="I3191" s="493" t="str">
        <f t="shared" ca="1" si="253"/>
        <v/>
      </c>
      <c r="J3191" s="493" t="str">
        <f t="shared" ca="1" si="254"/>
        <v/>
      </c>
      <c r="K3191" s="493" t="str">
        <f t="shared" ca="1" si="255"/>
        <v/>
      </c>
      <c r="L3191" s="487"/>
      <c r="M3191" s="487"/>
      <c r="N3191" s="487"/>
      <c r="O3191" s="487"/>
      <c r="P3191" s="487">
        <f t="shared" si="250"/>
        <v>0</v>
      </c>
      <c r="Q3191" s="487"/>
    </row>
    <row r="3192" spans="1:17" x14ac:dyDescent="0.3">
      <c r="A3192" s="487" t="b">
        <f t="shared" ca="1" si="251"/>
        <v>0</v>
      </c>
      <c r="B3192" s="500" t="str">
        <f ca="1">IF(COUNTA(G$2360:G3191)=1,"",OFFSET(B3192,-COUNTA(G$2360:G3191)+1,0))</f>
        <v>a1b3p000003dxc1AAA</v>
      </c>
      <c r="C3192" s="502">
        <f ca="1">IF(COUNTA(G$2360:G3191)=1,"",OFFSET(C3192,-COUNTA(G$2360:G3191)+1,0))</f>
        <v>59</v>
      </c>
      <c r="D3192" s="487">
        <f t="shared" si="247"/>
        <v>350</v>
      </c>
      <c r="E3192" s="487">
        <f t="shared" ca="1" si="248"/>
        <v>2</v>
      </c>
      <c r="F3192" s="487">
        <f t="shared" ca="1" si="249"/>
        <v>67</v>
      </c>
      <c r="G3192" s="487"/>
      <c r="H3192" s="493" t="str">
        <f t="shared" ca="1" si="252"/>
        <v/>
      </c>
      <c r="I3192" s="493" t="str">
        <f t="shared" ca="1" si="253"/>
        <v/>
      </c>
      <c r="J3192" s="493" t="str">
        <f t="shared" ca="1" si="254"/>
        <v/>
      </c>
      <c r="K3192" s="493" t="str">
        <f t="shared" ca="1" si="255"/>
        <v/>
      </c>
      <c r="L3192" s="487"/>
      <c r="M3192" s="487"/>
      <c r="N3192" s="487"/>
      <c r="O3192" s="487"/>
      <c r="P3192" s="487">
        <f t="shared" si="250"/>
        <v>0</v>
      </c>
      <c r="Q3192" s="487"/>
    </row>
    <row r="3193" spans="1:17" x14ac:dyDescent="0.3">
      <c r="A3193" s="487" t="b">
        <f t="shared" ca="1" si="251"/>
        <v>0</v>
      </c>
      <c r="B3193" s="500" t="str">
        <f ca="1">IF(COUNTA(G$2360:G3192)=1,"",OFFSET(B3193,-COUNTA(G$2360:G3192)+1,0))</f>
        <v>a1b3p000003dxdJAAQ</v>
      </c>
      <c r="C3193" s="502">
        <f ca="1">IF(COUNTA(G$2360:G3192)=1,"",OFFSET(C3193,-COUNTA(G$2360:G3192)+1,0))</f>
        <v>59</v>
      </c>
      <c r="D3193" s="487">
        <f t="shared" si="247"/>
        <v>351</v>
      </c>
      <c r="E3193" s="487">
        <f t="shared" ca="1" si="248"/>
        <v>3</v>
      </c>
      <c r="F3193" s="487">
        <f t="shared" ca="1" si="249"/>
        <v>67</v>
      </c>
      <c r="G3193" s="487"/>
      <c r="H3193" s="493" t="str">
        <f t="shared" ca="1" si="252"/>
        <v/>
      </c>
      <c r="I3193" s="493" t="str">
        <f t="shared" ca="1" si="253"/>
        <v/>
      </c>
      <c r="J3193" s="493" t="str">
        <f t="shared" ca="1" si="254"/>
        <v/>
      </c>
      <c r="K3193" s="493" t="str">
        <f t="shared" ca="1" si="255"/>
        <v/>
      </c>
      <c r="L3193" s="487"/>
      <c r="M3193" s="487"/>
      <c r="N3193" s="487"/>
      <c r="O3193" s="487"/>
      <c r="P3193" s="487">
        <f t="shared" si="250"/>
        <v>0</v>
      </c>
      <c r="Q3193" s="487"/>
    </row>
    <row r="3194" spans="1:17" x14ac:dyDescent="0.3">
      <c r="A3194" s="487" t="b">
        <f t="shared" ca="1" si="251"/>
        <v>0</v>
      </c>
      <c r="B3194" s="500" t="str">
        <f ca="1">IF(COUNTA(G$2360:G3193)=1,"",OFFSET(B3194,-COUNTA(G$2360:G3193)+1,0))</f>
        <v>a1b3p000003dxebAAA</v>
      </c>
      <c r="C3194" s="502">
        <f ca="1">IF(COUNTA(G$2360:G3193)=1,"",OFFSET(C3194,-COUNTA(G$2360:G3193)+1,0))</f>
        <v>59</v>
      </c>
      <c r="D3194" s="487">
        <f t="shared" si="247"/>
        <v>352</v>
      </c>
      <c r="E3194" s="487">
        <f t="shared" ca="1" si="248"/>
        <v>4</v>
      </c>
      <c r="F3194" s="487">
        <f t="shared" ca="1" si="249"/>
        <v>67</v>
      </c>
      <c r="G3194" s="487"/>
      <c r="H3194" s="493" t="str">
        <f t="shared" ca="1" si="252"/>
        <v/>
      </c>
      <c r="I3194" s="493" t="str">
        <f t="shared" ca="1" si="253"/>
        <v/>
      </c>
      <c r="J3194" s="493" t="str">
        <f t="shared" ca="1" si="254"/>
        <v/>
      </c>
      <c r="K3194" s="493" t="str">
        <f t="shared" ca="1" si="255"/>
        <v/>
      </c>
      <c r="L3194" s="487"/>
      <c r="M3194" s="487"/>
      <c r="N3194" s="487"/>
      <c r="O3194" s="487"/>
      <c r="P3194" s="487">
        <f t="shared" si="250"/>
        <v>0</v>
      </c>
      <c r="Q3194" s="487"/>
    </row>
    <row r="3195" spans="1:17" x14ac:dyDescent="0.3">
      <c r="A3195" s="487" t="b">
        <f t="shared" ca="1" si="251"/>
        <v>0</v>
      </c>
      <c r="B3195" s="500" t="str">
        <f ca="1">IF(COUNTA(G$2360:G3194)=1,"",OFFSET(B3195,-COUNTA(G$2360:G3194)+1,0))</f>
        <v>a1b3p000003dxftAAA</v>
      </c>
      <c r="C3195" s="502">
        <f ca="1">IF(COUNTA(G$2360:G3194)=1,"",OFFSET(C3195,-COUNTA(G$2360:G3194)+1,0))</f>
        <v>59</v>
      </c>
      <c r="D3195" s="487">
        <f t="shared" ref="D3195:D3258" si="256">D3194+1</f>
        <v>353</v>
      </c>
      <c r="E3195" s="487">
        <f t="shared" ref="E3195:E3258" ca="1" si="257">COUNTIF(C3190:C3195,C3195)</f>
        <v>5</v>
      </c>
      <c r="F3195" s="487">
        <f t="shared" ref="F3195:F3258" ca="1" si="258">IF(C3195=1,9,IF(E3194=MAX(E3193:E3195),F3193+1,F3194))</f>
        <v>67</v>
      </c>
      <c r="G3195" s="487"/>
      <c r="H3195" s="493" t="str">
        <f t="shared" ca="1" si="252"/>
        <v/>
      </c>
      <c r="I3195" s="493" t="str">
        <f t="shared" ca="1" si="253"/>
        <v/>
      </c>
      <c r="J3195" s="493" t="str">
        <f t="shared" ca="1" si="254"/>
        <v/>
      </c>
      <c r="K3195" s="493" t="str">
        <f t="shared" ca="1" si="255"/>
        <v/>
      </c>
      <c r="L3195" s="487"/>
      <c r="M3195" s="487"/>
      <c r="N3195" s="487"/>
      <c r="O3195" s="487"/>
      <c r="P3195" s="487">
        <f t="shared" ref="P3195:P3258" si="259">IF(NOT(_xlfn.ISFORMULA(I3195)),P3194+1,0)</f>
        <v>0</v>
      </c>
      <c r="Q3195" s="487"/>
    </row>
    <row r="3196" spans="1:17" x14ac:dyDescent="0.3">
      <c r="A3196" s="487" t="b">
        <f t="shared" ca="1" si="251"/>
        <v>0</v>
      </c>
      <c r="B3196" s="500" t="str">
        <f ca="1">IF(COUNTA(G$2360:G3195)=1,"",OFFSET(B3196,-COUNTA(G$2360:G3195)+1,0))</f>
        <v>a1b3p000003dxhBAAQ</v>
      </c>
      <c r="C3196" s="502">
        <f ca="1">IF(COUNTA(G$2360:G3195)=1,"",OFFSET(C3196,-COUNTA(G$2360:G3195)+1,0))</f>
        <v>59</v>
      </c>
      <c r="D3196" s="487">
        <f t="shared" si="256"/>
        <v>354</v>
      </c>
      <c r="E3196" s="487">
        <f t="shared" ca="1" si="257"/>
        <v>6</v>
      </c>
      <c r="F3196" s="487">
        <f t="shared" ca="1" si="258"/>
        <v>67</v>
      </c>
      <c r="G3196" s="487"/>
      <c r="H3196" s="493" t="str">
        <f t="shared" ca="1" si="252"/>
        <v/>
      </c>
      <c r="I3196" s="493" t="str">
        <f t="shared" ca="1" si="253"/>
        <v/>
      </c>
      <c r="J3196" s="493" t="str">
        <f t="shared" ca="1" si="254"/>
        <v/>
      </c>
      <c r="K3196" s="493" t="str">
        <f t="shared" ca="1" si="255"/>
        <v/>
      </c>
      <c r="L3196" s="487"/>
      <c r="M3196" s="487"/>
      <c r="N3196" s="487"/>
      <c r="O3196" s="487"/>
      <c r="P3196" s="487">
        <f t="shared" si="259"/>
        <v>0</v>
      </c>
      <c r="Q3196" s="487"/>
    </row>
    <row r="3197" spans="1:17" x14ac:dyDescent="0.3">
      <c r="A3197" s="487" t="b">
        <f t="shared" ca="1" si="251"/>
        <v>0</v>
      </c>
      <c r="B3197" s="500" t="str">
        <f ca="1">IF(COUNTA(G$2360:G3196)=1,"",OFFSET(B3197,-COUNTA(G$2360:G3196)+1,0))</f>
        <v>a1b3p000003dxakAAA</v>
      </c>
      <c r="C3197" s="502">
        <f ca="1">IF(COUNTA(G$2360:G3196)=1,"",OFFSET(C3197,-COUNTA(G$2360:G3196)+1,0))</f>
        <v>60</v>
      </c>
      <c r="D3197" s="487">
        <f t="shared" si="256"/>
        <v>355</v>
      </c>
      <c r="E3197" s="487">
        <f t="shared" ca="1" si="257"/>
        <v>1</v>
      </c>
      <c r="F3197" s="487">
        <f t="shared" ca="1" si="258"/>
        <v>68</v>
      </c>
      <c r="G3197" s="487"/>
      <c r="H3197" s="493" t="str">
        <f t="shared" ca="1" si="252"/>
        <v/>
      </c>
      <c r="I3197" s="493" t="str">
        <f t="shared" ca="1" si="253"/>
        <v/>
      </c>
      <c r="J3197" s="493" t="str">
        <f t="shared" ca="1" si="254"/>
        <v/>
      </c>
      <c r="K3197" s="493" t="str">
        <f t="shared" ca="1" si="255"/>
        <v/>
      </c>
      <c r="L3197" s="487"/>
      <c r="M3197" s="487"/>
      <c r="N3197" s="487"/>
      <c r="O3197" s="487"/>
      <c r="P3197" s="487">
        <f t="shared" si="259"/>
        <v>0</v>
      </c>
      <c r="Q3197" s="487"/>
    </row>
    <row r="3198" spans="1:17" x14ac:dyDescent="0.3">
      <c r="A3198" s="487" t="b">
        <f t="shared" ca="1" si="251"/>
        <v>0</v>
      </c>
      <c r="B3198" s="500" t="str">
        <f ca="1">IF(COUNTA(G$2360:G3197)=1,"",OFFSET(B3198,-COUNTA(G$2360:G3197)+1,0))</f>
        <v>a1b3p000003dxc2AAA</v>
      </c>
      <c r="C3198" s="502">
        <f ca="1">IF(COUNTA(G$2360:G3197)=1,"",OFFSET(C3198,-COUNTA(G$2360:G3197)+1,0))</f>
        <v>60</v>
      </c>
      <c r="D3198" s="487">
        <f t="shared" si="256"/>
        <v>356</v>
      </c>
      <c r="E3198" s="487">
        <f t="shared" ca="1" si="257"/>
        <v>2</v>
      </c>
      <c r="F3198" s="487">
        <f t="shared" ca="1" si="258"/>
        <v>68</v>
      </c>
      <c r="G3198" s="487"/>
      <c r="H3198" s="493" t="str">
        <f t="shared" ca="1" si="252"/>
        <v/>
      </c>
      <c r="I3198" s="493" t="str">
        <f t="shared" ca="1" si="253"/>
        <v/>
      </c>
      <c r="J3198" s="493" t="str">
        <f t="shared" ca="1" si="254"/>
        <v/>
      </c>
      <c r="K3198" s="493" t="str">
        <f t="shared" ca="1" si="255"/>
        <v/>
      </c>
      <c r="L3198" s="487"/>
      <c r="M3198" s="487"/>
      <c r="N3198" s="487"/>
      <c r="O3198" s="487"/>
      <c r="P3198" s="487">
        <f t="shared" si="259"/>
        <v>0</v>
      </c>
      <c r="Q3198" s="487"/>
    </row>
    <row r="3199" spans="1:17" x14ac:dyDescent="0.3">
      <c r="A3199" s="487" t="b">
        <f t="shared" ca="1" si="251"/>
        <v>0</v>
      </c>
      <c r="B3199" s="500" t="str">
        <f ca="1">IF(COUNTA(G$2360:G3198)=1,"",OFFSET(B3199,-COUNTA(G$2360:G3198)+1,0))</f>
        <v>a1b3p000003dxdKAAQ</v>
      </c>
      <c r="C3199" s="502">
        <f ca="1">IF(COUNTA(G$2360:G3198)=1,"",OFFSET(C3199,-COUNTA(G$2360:G3198)+1,0))</f>
        <v>60</v>
      </c>
      <c r="D3199" s="487">
        <f t="shared" si="256"/>
        <v>357</v>
      </c>
      <c r="E3199" s="487">
        <f t="shared" ca="1" si="257"/>
        <v>3</v>
      </c>
      <c r="F3199" s="487">
        <f t="shared" ca="1" si="258"/>
        <v>68</v>
      </c>
      <c r="G3199" s="487"/>
      <c r="H3199" s="493" t="str">
        <f t="shared" ca="1" si="252"/>
        <v/>
      </c>
      <c r="I3199" s="493" t="str">
        <f t="shared" ca="1" si="253"/>
        <v/>
      </c>
      <c r="J3199" s="493" t="str">
        <f t="shared" ca="1" si="254"/>
        <v/>
      </c>
      <c r="K3199" s="493" t="str">
        <f t="shared" ca="1" si="255"/>
        <v/>
      </c>
      <c r="L3199" s="487"/>
      <c r="M3199" s="487"/>
      <c r="N3199" s="487"/>
      <c r="O3199" s="487"/>
      <c r="P3199" s="487">
        <f t="shared" si="259"/>
        <v>0</v>
      </c>
      <c r="Q3199" s="487"/>
    </row>
    <row r="3200" spans="1:17" x14ac:dyDescent="0.3">
      <c r="A3200" s="487" t="b">
        <f t="shared" ca="1" si="251"/>
        <v>0</v>
      </c>
      <c r="B3200" s="500" t="str">
        <f ca="1">IF(COUNTA(G$2360:G3199)=1,"",OFFSET(B3200,-COUNTA(G$2360:G3199)+1,0))</f>
        <v>a1b3p000003dxecAAA</v>
      </c>
      <c r="C3200" s="502">
        <f ca="1">IF(COUNTA(G$2360:G3199)=1,"",OFFSET(C3200,-COUNTA(G$2360:G3199)+1,0))</f>
        <v>60</v>
      </c>
      <c r="D3200" s="487">
        <f t="shared" si="256"/>
        <v>358</v>
      </c>
      <c r="E3200" s="487">
        <f t="shared" ca="1" si="257"/>
        <v>4</v>
      </c>
      <c r="F3200" s="487">
        <f t="shared" ca="1" si="258"/>
        <v>68</v>
      </c>
      <c r="G3200" s="487"/>
      <c r="H3200" s="493" t="str">
        <f t="shared" ca="1" si="252"/>
        <v/>
      </c>
      <c r="I3200" s="493" t="str">
        <f t="shared" ca="1" si="253"/>
        <v/>
      </c>
      <c r="J3200" s="493" t="str">
        <f t="shared" ca="1" si="254"/>
        <v/>
      </c>
      <c r="K3200" s="493" t="str">
        <f t="shared" ca="1" si="255"/>
        <v/>
      </c>
      <c r="L3200" s="487"/>
      <c r="M3200" s="487"/>
      <c r="N3200" s="487"/>
      <c r="O3200" s="487"/>
      <c r="P3200" s="487">
        <f t="shared" si="259"/>
        <v>0</v>
      </c>
      <c r="Q3200" s="487"/>
    </row>
    <row r="3201" spans="1:17" x14ac:dyDescent="0.3">
      <c r="A3201" s="487" t="b">
        <f t="shared" ca="1" si="251"/>
        <v>0</v>
      </c>
      <c r="B3201" s="500" t="str">
        <f ca="1">IF(COUNTA(G$2360:G3200)=1,"",OFFSET(B3201,-COUNTA(G$2360:G3200)+1,0))</f>
        <v>a1b3p000003dxfuAAA</v>
      </c>
      <c r="C3201" s="502">
        <f ca="1">IF(COUNTA(G$2360:G3200)=1,"",OFFSET(C3201,-COUNTA(G$2360:G3200)+1,0))</f>
        <v>60</v>
      </c>
      <c r="D3201" s="487">
        <f t="shared" si="256"/>
        <v>359</v>
      </c>
      <c r="E3201" s="487">
        <f t="shared" ca="1" si="257"/>
        <v>5</v>
      </c>
      <c r="F3201" s="487">
        <f t="shared" ca="1" si="258"/>
        <v>68</v>
      </c>
      <c r="G3201" s="487"/>
      <c r="H3201" s="493" t="str">
        <f t="shared" ca="1" si="252"/>
        <v/>
      </c>
      <c r="I3201" s="493" t="str">
        <f t="shared" ca="1" si="253"/>
        <v/>
      </c>
      <c r="J3201" s="493" t="str">
        <f t="shared" ca="1" si="254"/>
        <v/>
      </c>
      <c r="K3201" s="493" t="str">
        <f t="shared" ca="1" si="255"/>
        <v/>
      </c>
      <c r="L3201" s="487"/>
      <c r="M3201" s="487"/>
      <c r="N3201" s="487"/>
      <c r="O3201" s="487"/>
      <c r="P3201" s="487">
        <f t="shared" si="259"/>
        <v>0</v>
      </c>
      <c r="Q3201" s="487"/>
    </row>
    <row r="3202" spans="1:17" x14ac:dyDescent="0.3">
      <c r="A3202" s="487" t="b">
        <f t="shared" ca="1" si="251"/>
        <v>0</v>
      </c>
      <c r="B3202" s="500" t="str">
        <f ca="1">IF(COUNTA(G$2360:G3201)=1,"",OFFSET(B3202,-COUNTA(G$2360:G3201)+1,0))</f>
        <v>a1b3p000003dxhCAAQ</v>
      </c>
      <c r="C3202" s="502">
        <f ca="1">IF(COUNTA(G$2360:G3201)=1,"",OFFSET(C3202,-COUNTA(G$2360:G3201)+1,0))</f>
        <v>60</v>
      </c>
      <c r="D3202" s="487">
        <f t="shared" si="256"/>
        <v>360</v>
      </c>
      <c r="E3202" s="487">
        <f t="shared" ca="1" si="257"/>
        <v>6</v>
      </c>
      <c r="F3202" s="487">
        <f t="shared" ca="1" si="258"/>
        <v>68</v>
      </c>
      <c r="G3202" s="487"/>
      <c r="H3202" s="493" t="str">
        <f t="shared" ca="1" si="252"/>
        <v/>
      </c>
      <c r="I3202" s="493" t="str">
        <f t="shared" ca="1" si="253"/>
        <v/>
      </c>
      <c r="J3202" s="493" t="str">
        <f t="shared" ca="1" si="254"/>
        <v/>
      </c>
      <c r="K3202" s="493" t="str">
        <f t="shared" ca="1" si="255"/>
        <v/>
      </c>
      <c r="L3202" s="487"/>
      <c r="M3202" s="487"/>
      <c r="N3202" s="487"/>
      <c r="O3202" s="487"/>
      <c r="P3202" s="487">
        <f t="shared" si="259"/>
        <v>0</v>
      </c>
      <c r="Q3202" s="487"/>
    </row>
    <row r="3203" spans="1:17" x14ac:dyDescent="0.3">
      <c r="A3203" s="487" t="b">
        <f t="shared" ca="1" si="251"/>
        <v>0</v>
      </c>
      <c r="B3203" s="500" t="str">
        <f ca="1">IF(COUNTA(G$2360:G3202)=1,"",OFFSET(B3203,-COUNTA(G$2360:G3202)+1,0))</f>
        <v>a1b3p000003dxalAAA</v>
      </c>
      <c r="C3203" s="502">
        <f ca="1">IF(COUNTA(G$2360:G3202)=1,"",OFFSET(C3203,-COUNTA(G$2360:G3202)+1,0))</f>
        <v>61</v>
      </c>
      <c r="D3203" s="487">
        <f t="shared" si="256"/>
        <v>361</v>
      </c>
      <c r="E3203" s="487">
        <f t="shared" ca="1" si="257"/>
        <v>1</v>
      </c>
      <c r="F3203" s="487">
        <f t="shared" ca="1" si="258"/>
        <v>69</v>
      </c>
      <c r="G3203" s="487"/>
      <c r="H3203" s="493" t="str">
        <f t="shared" ca="1" si="252"/>
        <v/>
      </c>
      <c r="I3203" s="493" t="str">
        <f t="shared" ca="1" si="253"/>
        <v/>
      </c>
      <c r="J3203" s="493" t="str">
        <f t="shared" ca="1" si="254"/>
        <v/>
      </c>
      <c r="K3203" s="493" t="str">
        <f t="shared" ca="1" si="255"/>
        <v/>
      </c>
      <c r="L3203" s="487"/>
      <c r="M3203" s="487"/>
      <c r="N3203" s="487"/>
      <c r="O3203" s="487"/>
      <c r="P3203" s="487">
        <f t="shared" si="259"/>
        <v>0</v>
      </c>
      <c r="Q3203" s="487"/>
    </row>
    <row r="3204" spans="1:17" x14ac:dyDescent="0.3">
      <c r="A3204" s="487" t="b">
        <f t="shared" ca="1" si="251"/>
        <v>0</v>
      </c>
      <c r="B3204" s="500" t="str">
        <f ca="1">IF(COUNTA(G$2360:G3203)=1,"",OFFSET(B3204,-COUNTA(G$2360:G3203)+1,0))</f>
        <v>a1b3p000003dxc3AAA</v>
      </c>
      <c r="C3204" s="502">
        <f ca="1">IF(COUNTA(G$2360:G3203)=1,"",OFFSET(C3204,-COUNTA(G$2360:G3203)+1,0))</f>
        <v>61</v>
      </c>
      <c r="D3204" s="487">
        <f t="shared" si="256"/>
        <v>362</v>
      </c>
      <c r="E3204" s="487">
        <f t="shared" ca="1" si="257"/>
        <v>2</v>
      </c>
      <c r="F3204" s="487">
        <f t="shared" ca="1" si="258"/>
        <v>69</v>
      </c>
      <c r="G3204" s="487"/>
      <c r="H3204" s="493" t="str">
        <f t="shared" ca="1" si="252"/>
        <v/>
      </c>
      <c r="I3204" s="493" t="str">
        <f t="shared" ca="1" si="253"/>
        <v/>
      </c>
      <c r="J3204" s="493" t="str">
        <f t="shared" ca="1" si="254"/>
        <v/>
      </c>
      <c r="K3204" s="493" t="str">
        <f t="shared" ca="1" si="255"/>
        <v/>
      </c>
      <c r="L3204" s="487"/>
      <c r="M3204" s="487"/>
      <c r="N3204" s="487"/>
      <c r="O3204" s="487"/>
      <c r="P3204" s="487">
        <f t="shared" si="259"/>
        <v>0</v>
      </c>
      <c r="Q3204" s="487"/>
    </row>
    <row r="3205" spans="1:17" x14ac:dyDescent="0.3">
      <c r="A3205" s="487" t="b">
        <f t="shared" ca="1" si="251"/>
        <v>0</v>
      </c>
      <c r="B3205" s="500" t="str">
        <f ca="1">IF(COUNTA(G$2360:G3204)=1,"",OFFSET(B3205,-COUNTA(G$2360:G3204)+1,0))</f>
        <v>a1b3p000003dxdLAAQ</v>
      </c>
      <c r="C3205" s="502">
        <f ca="1">IF(COUNTA(G$2360:G3204)=1,"",OFFSET(C3205,-COUNTA(G$2360:G3204)+1,0))</f>
        <v>61</v>
      </c>
      <c r="D3205" s="487">
        <f t="shared" si="256"/>
        <v>363</v>
      </c>
      <c r="E3205" s="487">
        <f t="shared" ca="1" si="257"/>
        <v>3</v>
      </c>
      <c r="F3205" s="487">
        <f t="shared" ca="1" si="258"/>
        <v>69</v>
      </c>
      <c r="G3205" s="487"/>
      <c r="H3205" s="493" t="str">
        <f t="shared" ca="1" si="252"/>
        <v/>
      </c>
      <c r="I3205" s="493" t="str">
        <f t="shared" ca="1" si="253"/>
        <v/>
      </c>
      <c r="J3205" s="493" t="str">
        <f t="shared" ca="1" si="254"/>
        <v/>
      </c>
      <c r="K3205" s="493" t="str">
        <f t="shared" ca="1" si="255"/>
        <v/>
      </c>
      <c r="L3205" s="487"/>
      <c r="M3205" s="487"/>
      <c r="N3205" s="487"/>
      <c r="O3205" s="487"/>
      <c r="P3205" s="487">
        <f t="shared" si="259"/>
        <v>0</v>
      </c>
      <c r="Q3205" s="487"/>
    </row>
    <row r="3206" spans="1:17" x14ac:dyDescent="0.3">
      <c r="A3206" s="487" t="b">
        <f t="shared" ca="1" si="251"/>
        <v>0</v>
      </c>
      <c r="B3206" s="500" t="str">
        <f ca="1">IF(COUNTA(G$2360:G3205)=1,"",OFFSET(B3206,-COUNTA(G$2360:G3205)+1,0))</f>
        <v>a1b3p000003dxedAAA</v>
      </c>
      <c r="C3206" s="502">
        <f ca="1">IF(COUNTA(G$2360:G3205)=1,"",OFFSET(C3206,-COUNTA(G$2360:G3205)+1,0))</f>
        <v>61</v>
      </c>
      <c r="D3206" s="487">
        <f t="shared" si="256"/>
        <v>364</v>
      </c>
      <c r="E3206" s="487">
        <f t="shared" ca="1" si="257"/>
        <v>4</v>
      </c>
      <c r="F3206" s="487">
        <f t="shared" ca="1" si="258"/>
        <v>69</v>
      </c>
      <c r="G3206" s="487"/>
      <c r="H3206" s="493" t="str">
        <f t="shared" ca="1" si="252"/>
        <v/>
      </c>
      <c r="I3206" s="493" t="str">
        <f t="shared" ca="1" si="253"/>
        <v/>
      </c>
      <c r="J3206" s="493" t="str">
        <f t="shared" ca="1" si="254"/>
        <v/>
      </c>
      <c r="K3206" s="493" t="str">
        <f t="shared" ca="1" si="255"/>
        <v/>
      </c>
      <c r="L3206" s="487"/>
      <c r="M3206" s="487"/>
      <c r="N3206" s="487"/>
      <c r="O3206" s="487"/>
      <c r="P3206" s="487">
        <f t="shared" si="259"/>
        <v>0</v>
      </c>
      <c r="Q3206" s="487"/>
    </row>
    <row r="3207" spans="1:17" x14ac:dyDescent="0.3">
      <c r="A3207" s="487" t="b">
        <f t="shared" ca="1" si="251"/>
        <v>0</v>
      </c>
      <c r="B3207" s="500" t="str">
        <f ca="1">IF(COUNTA(G$2360:G3206)=1,"",OFFSET(B3207,-COUNTA(G$2360:G3206)+1,0))</f>
        <v>a1b3p000003dxfvAAA</v>
      </c>
      <c r="C3207" s="502">
        <f ca="1">IF(COUNTA(G$2360:G3206)=1,"",OFFSET(C3207,-COUNTA(G$2360:G3206)+1,0))</f>
        <v>61</v>
      </c>
      <c r="D3207" s="487">
        <f t="shared" si="256"/>
        <v>365</v>
      </c>
      <c r="E3207" s="487">
        <f t="shared" ca="1" si="257"/>
        <v>5</v>
      </c>
      <c r="F3207" s="487">
        <f t="shared" ca="1" si="258"/>
        <v>69</v>
      </c>
      <c r="G3207" s="487"/>
      <c r="H3207" s="493" t="str">
        <f t="shared" ca="1" si="252"/>
        <v/>
      </c>
      <c r="I3207" s="493" t="str">
        <f t="shared" ca="1" si="253"/>
        <v/>
      </c>
      <c r="J3207" s="493" t="str">
        <f t="shared" ca="1" si="254"/>
        <v/>
      </c>
      <c r="K3207" s="493" t="str">
        <f t="shared" ca="1" si="255"/>
        <v/>
      </c>
      <c r="L3207" s="487"/>
      <c r="M3207" s="487"/>
      <c r="N3207" s="487"/>
      <c r="O3207" s="487"/>
      <c r="P3207" s="487">
        <f t="shared" si="259"/>
        <v>0</v>
      </c>
      <c r="Q3207" s="487"/>
    </row>
    <row r="3208" spans="1:17" x14ac:dyDescent="0.3">
      <c r="A3208" s="487" t="b">
        <f t="shared" ca="1" si="251"/>
        <v>0</v>
      </c>
      <c r="B3208" s="500" t="str">
        <f ca="1">IF(COUNTA(G$2360:G3207)=1,"",OFFSET(B3208,-COUNTA(G$2360:G3207)+1,0))</f>
        <v>a1b3p000003dxhDAAQ</v>
      </c>
      <c r="C3208" s="502">
        <f ca="1">IF(COUNTA(G$2360:G3207)=1,"",OFFSET(C3208,-COUNTA(G$2360:G3207)+1,0))</f>
        <v>61</v>
      </c>
      <c r="D3208" s="487">
        <f t="shared" si="256"/>
        <v>366</v>
      </c>
      <c r="E3208" s="487">
        <f t="shared" ca="1" si="257"/>
        <v>6</v>
      </c>
      <c r="F3208" s="487">
        <f t="shared" ca="1" si="258"/>
        <v>69</v>
      </c>
      <c r="G3208" s="487"/>
      <c r="H3208" s="493" t="str">
        <f t="shared" ca="1" si="252"/>
        <v/>
      </c>
      <c r="I3208" s="493" t="str">
        <f t="shared" ca="1" si="253"/>
        <v/>
      </c>
      <c r="J3208" s="493" t="str">
        <f t="shared" ca="1" si="254"/>
        <v/>
      </c>
      <c r="K3208" s="493" t="str">
        <f t="shared" ca="1" si="255"/>
        <v/>
      </c>
      <c r="L3208" s="487"/>
      <c r="M3208" s="487"/>
      <c r="N3208" s="487"/>
      <c r="O3208" s="487"/>
      <c r="P3208" s="487">
        <f t="shared" si="259"/>
        <v>0</v>
      </c>
      <c r="Q3208" s="487"/>
    </row>
    <row r="3209" spans="1:17" x14ac:dyDescent="0.3">
      <c r="A3209" s="487" t="b">
        <f t="shared" ca="1" si="251"/>
        <v>0</v>
      </c>
      <c r="B3209" s="500" t="str">
        <f ca="1">IF(COUNTA(G$2360:G3208)=1,"",OFFSET(B3209,-COUNTA(G$2360:G3208)+1,0))</f>
        <v>a1b3p000003dxamAAA</v>
      </c>
      <c r="C3209" s="502">
        <f ca="1">IF(COUNTA(G$2360:G3208)=1,"",OFFSET(C3209,-COUNTA(G$2360:G3208)+1,0))</f>
        <v>62</v>
      </c>
      <c r="D3209" s="487">
        <f t="shared" si="256"/>
        <v>367</v>
      </c>
      <c r="E3209" s="487">
        <f t="shared" ca="1" si="257"/>
        <v>1</v>
      </c>
      <c r="F3209" s="487">
        <f t="shared" ca="1" si="258"/>
        <v>70</v>
      </c>
      <c r="G3209" s="487"/>
      <c r="H3209" s="493" t="str">
        <f t="shared" ca="1" si="252"/>
        <v/>
      </c>
      <c r="I3209" s="493" t="str">
        <f t="shared" ca="1" si="253"/>
        <v/>
      </c>
      <c r="J3209" s="493" t="str">
        <f t="shared" ca="1" si="254"/>
        <v/>
      </c>
      <c r="K3209" s="493" t="str">
        <f t="shared" ca="1" si="255"/>
        <v/>
      </c>
      <c r="L3209" s="487"/>
      <c r="M3209" s="487"/>
      <c r="N3209" s="487"/>
      <c r="O3209" s="487"/>
      <c r="P3209" s="487">
        <f t="shared" si="259"/>
        <v>0</v>
      </c>
      <c r="Q3209" s="487"/>
    </row>
    <row r="3210" spans="1:17" x14ac:dyDescent="0.3">
      <c r="A3210" s="487" t="b">
        <f t="shared" ca="1" si="251"/>
        <v>0</v>
      </c>
      <c r="B3210" s="500" t="str">
        <f ca="1">IF(COUNTA(G$2360:G3209)=1,"",OFFSET(B3210,-COUNTA(G$2360:G3209)+1,0))</f>
        <v>a1b3p000003dxc4AAA</v>
      </c>
      <c r="C3210" s="502">
        <f ca="1">IF(COUNTA(G$2360:G3209)=1,"",OFFSET(C3210,-COUNTA(G$2360:G3209)+1,0))</f>
        <v>62</v>
      </c>
      <c r="D3210" s="487">
        <f t="shared" si="256"/>
        <v>368</v>
      </c>
      <c r="E3210" s="487">
        <f t="shared" ca="1" si="257"/>
        <v>2</v>
      </c>
      <c r="F3210" s="487">
        <f t="shared" ca="1" si="258"/>
        <v>70</v>
      </c>
      <c r="G3210" s="487"/>
      <c r="H3210" s="493" t="str">
        <f t="shared" ca="1" si="252"/>
        <v/>
      </c>
      <c r="I3210" s="493" t="str">
        <f t="shared" ca="1" si="253"/>
        <v/>
      </c>
      <c r="J3210" s="493" t="str">
        <f t="shared" ca="1" si="254"/>
        <v/>
      </c>
      <c r="K3210" s="493" t="str">
        <f t="shared" ca="1" si="255"/>
        <v/>
      </c>
      <c r="L3210" s="487"/>
      <c r="M3210" s="487"/>
      <c r="N3210" s="487"/>
      <c r="O3210" s="487"/>
      <c r="P3210" s="487">
        <f t="shared" si="259"/>
        <v>0</v>
      </c>
      <c r="Q3210" s="487"/>
    </row>
    <row r="3211" spans="1:17" x14ac:dyDescent="0.3">
      <c r="A3211" s="487" t="b">
        <f t="shared" ca="1" si="251"/>
        <v>0</v>
      </c>
      <c r="B3211" s="500" t="str">
        <f ca="1">IF(COUNTA(G$2360:G3210)=1,"",OFFSET(B3211,-COUNTA(G$2360:G3210)+1,0))</f>
        <v>a1b3p000003dxdMAAQ</v>
      </c>
      <c r="C3211" s="502">
        <f ca="1">IF(COUNTA(G$2360:G3210)=1,"",OFFSET(C3211,-COUNTA(G$2360:G3210)+1,0))</f>
        <v>62</v>
      </c>
      <c r="D3211" s="487">
        <f t="shared" si="256"/>
        <v>369</v>
      </c>
      <c r="E3211" s="487">
        <f t="shared" ca="1" si="257"/>
        <v>3</v>
      </c>
      <c r="F3211" s="487">
        <f t="shared" ca="1" si="258"/>
        <v>70</v>
      </c>
      <c r="G3211" s="487"/>
      <c r="H3211" s="493" t="str">
        <f t="shared" ca="1" si="252"/>
        <v/>
      </c>
      <c r="I3211" s="493" t="str">
        <f t="shared" ca="1" si="253"/>
        <v/>
      </c>
      <c r="J3211" s="493" t="str">
        <f t="shared" ca="1" si="254"/>
        <v/>
      </c>
      <c r="K3211" s="493" t="str">
        <f t="shared" ca="1" si="255"/>
        <v/>
      </c>
      <c r="L3211" s="487"/>
      <c r="M3211" s="487"/>
      <c r="N3211" s="487"/>
      <c r="O3211" s="487"/>
      <c r="P3211" s="487">
        <f t="shared" si="259"/>
        <v>0</v>
      </c>
      <c r="Q3211" s="487"/>
    </row>
    <row r="3212" spans="1:17" x14ac:dyDescent="0.3">
      <c r="A3212" s="487" t="b">
        <f t="shared" ca="1" si="251"/>
        <v>0</v>
      </c>
      <c r="B3212" s="500" t="str">
        <f ca="1">IF(COUNTA(G$2360:G3211)=1,"",OFFSET(B3212,-COUNTA(G$2360:G3211)+1,0))</f>
        <v>a1b3p000003dxeeAAA</v>
      </c>
      <c r="C3212" s="502">
        <f ca="1">IF(COUNTA(G$2360:G3211)=1,"",OFFSET(C3212,-COUNTA(G$2360:G3211)+1,0))</f>
        <v>62</v>
      </c>
      <c r="D3212" s="487">
        <f t="shared" si="256"/>
        <v>370</v>
      </c>
      <c r="E3212" s="487">
        <f t="shared" ca="1" si="257"/>
        <v>4</v>
      </c>
      <c r="F3212" s="487">
        <f t="shared" ca="1" si="258"/>
        <v>70</v>
      </c>
      <c r="G3212" s="487"/>
      <c r="H3212" s="493" t="str">
        <f t="shared" ca="1" si="252"/>
        <v/>
      </c>
      <c r="I3212" s="493" t="str">
        <f t="shared" ca="1" si="253"/>
        <v/>
      </c>
      <c r="J3212" s="493" t="str">
        <f t="shared" ca="1" si="254"/>
        <v/>
      </c>
      <c r="K3212" s="493" t="str">
        <f t="shared" ca="1" si="255"/>
        <v/>
      </c>
      <c r="L3212" s="487"/>
      <c r="M3212" s="487"/>
      <c r="N3212" s="487"/>
      <c r="O3212" s="487"/>
      <c r="P3212" s="487">
        <f t="shared" si="259"/>
        <v>0</v>
      </c>
      <c r="Q3212" s="487"/>
    </row>
    <row r="3213" spans="1:17" x14ac:dyDescent="0.3">
      <c r="A3213" s="487" t="b">
        <f t="shared" ca="1" si="251"/>
        <v>0</v>
      </c>
      <c r="B3213" s="500" t="str">
        <f ca="1">IF(COUNTA(G$2360:G3212)=1,"",OFFSET(B3213,-COUNTA(G$2360:G3212)+1,0))</f>
        <v>a1b3p000003dxfwAAA</v>
      </c>
      <c r="C3213" s="502">
        <f ca="1">IF(COUNTA(G$2360:G3212)=1,"",OFFSET(C3213,-COUNTA(G$2360:G3212)+1,0))</f>
        <v>62</v>
      </c>
      <c r="D3213" s="487">
        <f t="shared" si="256"/>
        <v>371</v>
      </c>
      <c r="E3213" s="487">
        <f t="shared" ca="1" si="257"/>
        <v>5</v>
      </c>
      <c r="F3213" s="487">
        <f t="shared" ca="1" si="258"/>
        <v>70</v>
      </c>
      <c r="G3213" s="487"/>
      <c r="H3213" s="493" t="str">
        <f t="shared" ca="1" si="252"/>
        <v/>
      </c>
      <c r="I3213" s="493" t="str">
        <f t="shared" ca="1" si="253"/>
        <v/>
      </c>
      <c r="J3213" s="493" t="str">
        <f t="shared" ca="1" si="254"/>
        <v/>
      </c>
      <c r="K3213" s="493" t="str">
        <f t="shared" ca="1" si="255"/>
        <v/>
      </c>
      <c r="L3213" s="487"/>
      <c r="M3213" s="487"/>
      <c r="N3213" s="487"/>
      <c r="O3213" s="487"/>
      <c r="P3213" s="487">
        <f t="shared" si="259"/>
        <v>0</v>
      </c>
      <c r="Q3213" s="487"/>
    </row>
    <row r="3214" spans="1:17" x14ac:dyDescent="0.3">
      <c r="A3214" s="487" t="b">
        <f t="shared" ca="1" si="251"/>
        <v>0</v>
      </c>
      <c r="B3214" s="500" t="str">
        <f ca="1">IF(COUNTA(G$2360:G3213)=1,"",OFFSET(B3214,-COUNTA(G$2360:G3213)+1,0))</f>
        <v>a1b3p000003dxhEAAQ</v>
      </c>
      <c r="C3214" s="502">
        <f ca="1">IF(COUNTA(G$2360:G3213)=1,"",OFFSET(C3214,-COUNTA(G$2360:G3213)+1,0))</f>
        <v>62</v>
      </c>
      <c r="D3214" s="487">
        <f t="shared" si="256"/>
        <v>372</v>
      </c>
      <c r="E3214" s="487">
        <f t="shared" ca="1" si="257"/>
        <v>6</v>
      </c>
      <c r="F3214" s="487">
        <f t="shared" ca="1" si="258"/>
        <v>70</v>
      </c>
      <c r="G3214" s="487"/>
      <c r="H3214" s="493" t="str">
        <f t="shared" ca="1" si="252"/>
        <v/>
      </c>
      <c r="I3214" s="493" t="str">
        <f t="shared" ca="1" si="253"/>
        <v/>
      </c>
      <c r="J3214" s="493" t="str">
        <f t="shared" ca="1" si="254"/>
        <v/>
      </c>
      <c r="K3214" s="493" t="str">
        <f t="shared" ca="1" si="255"/>
        <v/>
      </c>
      <c r="L3214" s="487"/>
      <c r="M3214" s="487"/>
      <c r="N3214" s="487"/>
      <c r="O3214" s="487"/>
      <c r="P3214" s="487">
        <f t="shared" si="259"/>
        <v>0</v>
      </c>
      <c r="Q3214" s="487"/>
    </row>
    <row r="3215" spans="1:17" x14ac:dyDescent="0.3">
      <c r="A3215" s="487" t="b">
        <f t="shared" ca="1" si="251"/>
        <v>0</v>
      </c>
      <c r="B3215" s="500" t="str">
        <f ca="1">IF(COUNTA(G$2360:G3214)=1,"",OFFSET(B3215,-COUNTA(G$2360:G3214)+1,0))</f>
        <v>a1b3p000003dxanAAA</v>
      </c>
      <c r="C3215" s="502">
        <f ca="1">IF(COUNTA(G$2360:G3214)=1,"",OFFSET(C3215,-COUNTA(G$2360:G3214)+1,0))</f>
        <v>63</v>
      </c>
      <c r="D3215" s="487">
        <f t="shared" si="256"/>
        <v>373</v>
      </c>
      <c r="E3215" s="487">
        <f t="shared" ca="1" si="257"/>
        <v>1</v>
      </c>
      <c r="F3215" s="487">
        <f t="shared" ca="1" si="258"/>
        <v>71</v>
      </c>
      <c r="G3215" s="487"/>
      <c r="H3215" s="493" t="str">
        <f t="shared" ca="1" si="252"/>
        <v/>
      </c>
      <c r="I3215" s="493" t="str">
        <f t="shared" ca="1" si="253"/>
        <v/>
      </c>
      <c r="J3215" s="493" t="str">
        <f t="shared" ca="1" si="254"/>
        <v/>
      </c>
      <c r="K3215" s="493" t="str">
        <f t="shared" ca="1" si="255"/>
        <v/>
      </c>
      <c r="L3215" s="487"/>
      <c r="M3215" s="487"/>
      <c r="N3215" s="487"/>
      <c r="O3215" s="487"/>
      <c r="P3215" s="487">
        <f t="shared" si="259"/>
        <v>0</v>
      </c>
      <c r="Q3215" s="487"/>
    </row>
    <row r="3216" spans="1:17" x14ac:dyDescent="0.3">
      <c r="A3216" s="487" t="b">
        <f t="shared" ca="1" si="251"/>
        <v>0</v>
      </c>
      <c r="B3216" s="500" t="str">
        <f ca="1">IF(COUNTA(G$2360:G3215)=1,"",OFFSET(B3216,-COUNTA(G$2360:G3215)+1,0))</f>
        <v>a1b3p000003dxc5AAA</v>
      </c>
      <c r="C3216" s="502">
        <f ca="1">IF(COUNTA(G$2360:G3215)=1,"",OFFSET(C3216,-COUNTA(G$2360:G3215)+1,0))</f>
        <v>63</v>
      </c>
      <c r="D3216" s="487">
        <f t="shared" si="256"/>
        <v>374</v>
      </c>
      <c r="E3216" s="487">
        <f t="shared" ca="1" si="257"/>
        <v>2</v>
      </c>
      <c r="F3216" s="487">
        <f t="shared" ca="1" si="258"/>
        <v>71</v>
      </c>
      <c r="G3216" s="487"/>
      <c r="H3216" s="493" t="str">
        <f t="shared" ca="1" si="252"/>
        <v/>
      </c>
      <c r="I3216" s="493" t="str">
        <f t="shared" ca="1" si="253"/>
        <v/>
      </c>
      <c r="J3216" s="493" t="str">
        <f t="shared" ca="1" si="254"/>
        <v/>
      </c>
      <c r="K3216" s="493" t="str">
        <f t="shared" ca="1" si="255"/>
        <v/>
      </c>
      <c r="L3216" s="487"/>
      <c r="M3216" s="487"/>
      <c r="N3216" s="487"/>
      <c r="O3216" s="487"/>
      <c r="P3216" s="487">
        <f t="shared" si="259"/>
        <v>0</v>
      </c>
      <c r="Q3216" s="487"/>
    </row>
    <row r="3217" spans="1:17" x14ac:dyDescent="0.3">
      <c r="A3217" s="487" t="b">
        <f t="shared" ca="1" si="251"/>
        <v>0</v>
      </c>
      <c r="B3217" s="500" t="str">
        <f ca="1">IF(COUNTA(G$2360:G3216)=1,"",OFFSET(B3217,-COUNTA(G$2360:G3216)+1,0))</f>
        <v>a1b3p000003dxdNAAQ</v>
      </c>
      <c r="C3217" s="502">
        <f ca="1">IF(COUNTA(G$2360:G3216)=1,"",OFFSET(C3217,-COUNTA(G$2360:G3216)+1,0))</f>
        <v>63</v>
      </c>
      <c r="D3217" s="487">
        <f t="shared" si="256"/>
        <v>375</v>
      </c>
      <c r="E3217" s="487">
        <f t="shared" ca="1" si="257"/>
        <v>3</v>
      </c>
      <c r="F3217" s="487">
        <f t="shared" ca="1" si="258"/>
        <v>71</v>
      </c>
      <c r="G3217" s="487"/>
      <c r="H3217" s="493" t="str">
        <f t="shared" ca="1" si="252"/>
        <v/>
      </c>
      <c r="I3217" s="493" t="str">
        <f t="shared" ca="1" si="253"/>
        <v/>
      </c>
      <c r="J3217" s="493" t="str">
        <f t="shared" ca="1" si="254"/>
        <v/>
      </c>
      <c r="K3217" s="493" t="str">
        <f t="shared" ca="1" si="255"/>
        <v/>
      </c>
      <c r="L3217" s="487"/>
      <c r="M3217" s="487"/>
      <c r="N3217" s="487"/>
      <c r="O3217" s="487"/>
      <c r="P3217" s="487">
        <f t="shared" si="259"/>
        <v>0</v>
      </c>
      <c r="Q3217" s="487"/>
    </row>
    <row r="3218" spans="1:17" x14ac:dyDescent="0.3">
      <c r="A3218" s="487" t="b">
        <f t="shared" ca="1" si="251"/>
        <v>0</v>
      </c>
      <c r="B3218" s="500" t="str">
        <f ca="1">IF(COUNTA(G$2360:G3217)=1,"",OFFSET(B3218,-COUNTA(G$2360:G3217)+1,0))</f>
        <v>a1b3p000003dxefAAA</v>
      </c>
      <c r="C3218" s="502">
        <f ca="1">IF(COUNTA(G$2360:G3217)=1,"",OFFSET(C3218,-COUNTA(G$2360:G3217)+1,0))</f>
        <v>63</v>
      </c>
      <c r="D3218" s="487">
        <f t="shared" si="256"/>
        <v>376</v>
      </c>
      <c r="E3218" s="487">
        <f t="shared" ca="1" si="257"/>
        <v>4</v>
      </c>
      <c r="F3218" s="487">
        <f t="shared" ca="1" si="258"/>
        <v>71</v>
      </c>
      <c r="G3218" s="487"/>
      <c r="H3218" s="493" t="str">
        <f t="shared" ca="1" si="252"/>
        <v/>
      </c>
      <c r="I3218" s="493" t="str">
        <f t="shared" ca="1" si="253"/>
        <v/>
      </c>
      <c r="J3218" s="493" t="str">
        <f t="shared" ca="1" si="254"/>
        <v/>
      </c>
      <c r="K3218" s="493" t="str">
        <f t="shared" ca="1" si="255"/>
        <v/>
      </c>
      <c r="L3218" s="487"/>
      <c r="M3218" s="487"/>
      <c r="N3218" s="487"/>
      <c r="O3218" s="487"/>
      <c r="P3218" s="487">
        <f t="shared" si="259"/>
        <v>0</v>
      </c>
      <c r="Q3218" s="487"/>
    </row>
    <row r="3219" spans="1:17" x14ac:dyDescent="0.3">
      <c r="A3219" s="487" t="b">
        <f t="shared" ca="1" si="251"/>
        <v>0</v>
      </c>
      <c r="B3219" s="500" t="str">
        <f ca="1">IF(COUNTA(G$2360:G3218)=1,"",OFFSET(B3219,-COUNTA(G$2360:G3218)+1,0))</f>
        <v>a1b3p000003dxfxAAA</v>
      </c>
      <c r="C3219" s="502">
        <f ca="1">IF(COUNTA(G$2360:G3218)=1,"",OFFSET(C3219,-COUNTA(G$2360:G3218)+1,0))</f>
        <v>63</v>
      </c>
      <c r="D3219" s="487">
        <f t="shared" si="256"/>
        <v>377</v>
      </c>
      <c r="E3219" s="487">
        <f t="shared" ca="1" si="257"/>
        <v>5</v>
      </c>
      <c r="F3219" s="487">
        <f t="shared" ca="1" si="258"/>
        <v>71</v>
      </c>
      <c r="G3219" s="487"/>
      <c r="H3219" s="493" t="str">
        <f t="shared" ca="1" si="252"/>
        <v/>
      </c>
      <c r="I3219" s="493" t="str">
        <f t="shared" ca="1" si="253"/>
        <v/>
      </c>
      <c r="J3219" s="493" t="str">
        <f t="shared" ca="1" si="254"/>
        <v/>
      </c>
      <c r="K3219" s="493" t="str">
        <f t="shared" ca="1" si="255"/>
        <v/>
      </c>
      <c r="L3219" s="487"/>
      <c r="M3219" s="487"/>
      <c r="N3219" s="487"/>
      <c r="O3219" s="487"/>
      <c r="P3219" s="487">
        <f t="shared" si="259"/>
        <v>0</v>
      </c>
      <c r="Q3219" s="487"/>
    </row>
    <row r="3220" spans="1:17" x14ac:dyDescent="0.3">
      <c r="A3220" s="487" t="b">
        <f t="shared" ca="1" si="251"/>
        <v>0</v>
      </c>
      <c r="B3220" s="500" t="str">
        <f ca="1">IF(COUNTA(G$2360:G3219)=1,"",OFFSET(B3220,-COUNTA(G$2360:G3219)+1,0))</f>
        <v>a1b3p000003dxhFAAQ</v>
      </c>
      <c r="C3220" s="502">
        <f ca="1">IF(COUNTA(G$2360:G3219)=1,"",OFFSET(C3220,-COUNTA(G$2360:G3219)+1,0))</f>
        <v>63</v>
      </c>
      <c r="D3220" s="487">
        <f t="shared" si="256"/>
        <v>378</v>
      </c>
      <c r="E3220" s="487">
        <f t="shared" ca="1" si="257"/>
        <v>6</v>
      </c>
      <c r="F3220" s="487">
        <f t="shared" ca="1" si="258"/>
        <v>71</v>
      </c>
      <c r="G3220" s="487"/>
      <c r="H3220" s="493" t="str">
        <f t="shared" ca="1" si="252"/>
        <v/>
      </c>
      <c r="I3220" s="493" t="str">
        <f t="shared" ca="1" si="253"/>
        <v/>
      </c>
      <c r="J3220" s="493" t="str">
        <f t="shared" ca="1" si="254"/>
        <v/>
      </c>
      <c r="K3220" s="493" t="str">
        <f t="shared" ca="1" si="255"/>
        <v/>
      </c>
      <c r="L3220" s="487"/>
      <c r="M3220" s="487"/>
      <c r="N3220" s="487"/>
      <c r="O3220" s="487"/>
      <c r="P3220" s="487">
        <f t="shared" si="259"/>
        <v>0</v>
      </c>
      <c r="Q3220" s="487"/>
    </row>
    <row r="3221" spans="1:17" x14ac:dyDescent="0.3">
      <c r="A3221" s="487" t="b">
        <f t="shared" ca="1" si="251"/>
        <v>0</v>
      </c>
      <c r="B3221" s="500" t="str">
        <f ca="1">IF(COUNTA(G$2360:G3220)=1,"",OFFSET(B3221,-COUNTA(G$2360:G3220)+1,0))</f>
        <v>a1b3p000003dxaoAAA</v>
      </c>
      <c r="C3221" s="502">
        <f ca="1">IF(COUNTA(G$2360:G3220)=1,"",OFFSET(C3221,-COUNTA(G$2360:G3220)+1,0))</f>
        <v>64</v>
      </c>
      <c r="D3221" s="487">
        <f t="shared" si="256"/>
        <v>379</v>
      </c>
      <c r="E3221" s="487">
        <f t="shared" ca="1" si="257"/>
        <v>1</v>
      </c>
      <c r="F3221" s="487">
        <f t="shared" ca="1" si="258"/>
        <v>72</v>
      </c>
      <c r="G3221" s="487"/>
      <c r="H3221" s="493" t="str">
        <f t="shared" ca="1" si="252"/>
        <v/>
      </c>
      <c r="I3221" s="493" t="str">
        <f t="shared" ca="1" si="253"/>
        <v/>
      </c>
      <c r="J3221" s="493" t="str">
        <f t="shared" ca="1" si="254"/>
        <v/>
      </c>
      <c r="K3221" s="493" t="str">
        <f t="shared" ca="1" si="255"/>
        <v/>
      </c>
      <c r="L3221" s="487"/>
      <c r="M3221" s="487"/>
      <c r="N3221" s="487"/>
      <c r="O3221" s="487"/>
      <c r="P3221" s="487">
        <f t="shared" si="259"/>
        <v>0</v>
      </c>
      <c r="Q3221" s="487"/>
    </row>
    <row r="3222" spans="1:17" x14ac:dyDescent="0.3">
      <c r="A3222" s="487" t="b">
        <f t="shared" ca="1" si="251"/>
        <v>0</v>
      </c>
      <c r="B3222" s="500" t="str">
        <f ca="1">IF(COUNTA(G$2360:G3221)=1,"",OFFSET(B3222,-COUNTA(G$2360:G3221)+1,0))</f>
        <v>a1b3p000003dxc6AAA</v>
      </c>
      <c r="C3222" s="502">
        <f ca="1">IF(COUNTA(G$2360:G3221)=1,"",OFFSET(C3222,-COUNTA(G$2360:G3221)+1,0))</f>
        <v>64</v>
      </c>
      <c r="D3222" s="487">
        <f t="shared" si="256"/>
        <v>380</v>
      </c>
      <c r="E3222" s="487">
        <f t="shared" ca="1" si="257"/>
        <v>2</v>
      </c>
      <c r="F3222" s="487">
        <f t="shared" ca="1" si="258"/>
        <v>72</v>
      </c>
      <c r="G3222" s="487"/>
      <c r="H3222" s="493" t="str">
        <f t="shared" ca="1" si="252"/>
        <v/>
      </c>
      <c r="I3222" s="493" t="str">
        <f t="shared" ca="1" si="253"/>
        <v/>
      </c>
      <c r="J3222" s="493" t="str">
        <f t="shared" ca="1" si="254"/>
        <v/>
      </c>
      <c r="K3222" s="493" t="str">
        <f t="shared" ca="1" si="255"/>
        <v/>
      </c>
      <c r="L3222" s="487"/>
      <c r="M3222" s="487"/>
      <c r="N3222" s="487"/>
      <c r="O3222" s="487"/>
      <c r="P3222" s="487">
        <f t="shared" si="259"/>
        <v>0</v>
      </c>
      <c r="Q3222" s="487"/>
    </row>
    <row r="3223" spans="1:17" x14ac:dyDescent="0.3">
      <c r="A3223" s="487" t="b">
        <f t="shared" ca="1" si="251"/>
        <v>0</v>
      </c>
      <c r="B3223" s="500" t="str">
        <f ca="1">IF(COUNTA(G$2360:G3222)=1,"",OFFSET(B3223,-COUNTA(G$2360:G3222)+1,0))</f>
        <v>a1b3p000003dxdOAAQ</v>
      </c>
      <c r="C3223" s="502">
        <f ca="1">IF(COUNTA(G$2360:G3222)=1,"",OFFSET(C3223,-COUNTA(G$2360:G3222)+1,0))</f>
        <v>64</v>
      </c>
      <c r="D3223" s="487">
        <f t="shared" si="256"/>
        <v>381</v>
      </c>
      <c r="E3223" s="487">
        <f t="shared" ca="1" si="257"/>
        <v>3</v>
      </c>
      <c r="F3223" s="487">
        <f t="shared" ca="1" si="258"/>
        <v>72</v>
      </c>
      <c r="G3223" s="487"/>
      <c r="H3223" s="493" t="str">
        <f t="shared" ca="1" si="252"/>
        <v/>
      </c>
      <c r="I3223" s="493" t="str">
        <f t="shared" ca="1" si="253"/>
        <v/>
      </c>
      <c r="J3223" s="493" t="str">
        <f t="shared" ca="1" si="254"/>
        <v/>
      </c>
      <c r="K3223" s="493" t="str">
        <f t="shared" ca="1" si="255"/>
        <v/>
      </c>
      <c r="L3223" s="487"/>
      <c r="M3223" s="487"/>
      <c r="N3223" s="487"/>
      <c r="O3223" s="487"/>
      <c r="P3223" s="487">
        <f t="shared" si="259"/>
        <v>0</v>
      </c>
      <c r="Q3223" s="487"/>
    </row>
    <row r="3224" spans="1:17" x14ac:dyDescent="0.3">
      <c r="A3224" s="487" t="b">
        <f t="shared" ca="1" si="251"/>
        <v>0</v>
      </c>
      <c r="B3224" s="500" t="str">
        <f ca="1">IF(COUNTA(G$2360:G3223)=1,"",OFFSET(B3224,-COUNTA(G$2360:G3223)+1,0))</f>
        <v>a1b3p000003dxegAAA</v>
      </c>
      <c r="C3224" s="502">
        <f ca="1">IF(COUNTA(G$2360:G3223)=1,"",OFFSET(C3224,-COUNTA(G$2360:G3223)+1,0))</f>
        <v>64</v>
      </c>
      <c r="D3224" s="487">
        <f t="shared" si="256"/>
        <v>382</v>
      </c>
      <c r="E3224" s="487">
        <f t="shared" ca="1" si="257"/>
        <v>4</v>
      </c>
      <c r="F3224" s="487">
        <f t="shared" ca="1" si="258"/>
        <v>72</v>
      </c>
      <c r="G3224" s="487"/>
      <c r="H3224" s="493" t="str">
        <f t="shared" ca="1" si="252"/>
        <v/>
      </c>
      <c r="I3224" s="493" t="str">
        <f t="shared" ca="1" si="253"/>
        <v/>
      </c>
      <c r="J3224" s="493" t="str">
        <f t="shared" ca="1" si="254"/>
        <v/>
      </c>
      <c r="K3224" s="493" t="str">
        <f t="shared" ca="1" si="255"/>
        <v/>
      </c>
      <c r="L3224" s="487"/>
      <c r="M3224" s="487"/>
      <c r="N3224" s="487"/>
      <c r="O3224" s="487"/>
      <c r="P3224" s="487">
        <f t="shared" si="259"/>
        <v>0</v>
      </c>
      <c r="Q3224" s="487"/>
    </row>
    <row r="3225" spans="1:17" x14ac:dyDescent="0.3">
      <c r="A3225" s="487" t="b">
        <f t="shared" ca="1" si="251"/>
        <v>0</v>
      </c>
      <c r="B3225" s="500" t="str">
        <f ca="1">IF(COUNTA(G$2360:G3224)=1,"",OFFSET(B3225,-COUNTA(G$2360:G3224)+1,0))</f>
        <v>a1b3p000003dxfyAAA</v>
      </c>
      <c r="C3225" s="502">
        <f ca="1">IF(COUNTA(G$2360:G3224)=1,"",OFFSET(C3225,-COUNTA(G$2360:G3224)+1,0))</f>
        <v>64</v>
      </c>
      <c r="D3225" s="487">
        <f t="shared" si="256"/>
        <v>383</v>
      </c>
      <c r="E3225" s="487">
        <f t="shared" ca="1" si="257"/>
        <v>5</v>
      </c>
      <c r="F3225" s="487">
        <f t="shared" ca="1" si="258"/>
        <v>72</v>
      </c>
      <c r="G3225" s="487"/>
      <c r="H3225" s="493" t="str">
        <f t="shared" ca="1" si="252"/>
        <v/>
      </c>
      <c r="I3225" s="493" t="str">
        <f t="shared" ca="1" si="253"/>
        <v/>
      </c>
      <c r="J3225" s="493" t="str">
        <f t="shared" ca="1" si="254"/>
        <v/>
      </c>
      <c r="K3225" s="493" t="str">
        <f t="shared" ca="1" si="255"/>
        <v/>
      </c>
      <c r="L3225" s="487"/>
      <c r="M3225" s="487"/>
      <c r="N3225" s="487"/>
      <c r="O3225" s="487"/>
      <c r="P3225" s="487">
        <f t="shared" si="259"/>
        <v>0</v>
      </c>
      <c r="Q3225" s="487"/>
    </row>
    <row r="3226" spans="1:17" x14ac:dyDescent="0.3">
      <c r="A3226" s="487" t="b">
        <f t="shared" ca="1" si="251"/>
        <v>0</v>
      </c>
      <c r="B3226" s="500" t="str">
        <f ca="1">IF(COUNTA(G$2360:G3225)=1,"",OFFSET(B3226,-COUNTA(G$2360:G3225)+1,0))</f>
        <v>a1b3p000003dxhGAAQ</v>
      </c>
      <c r="C3226" s="502">
        <f ca="1">IF(COUNTA(G$2360:G3225)=1,"",OFFSET(C3226,-COUNTA(G$2360:G3225)+1,0))</f>
        <v>64</v>
      </c>
      <c r="D3226" s="487">
        <f t="shared" si="256"/>
        <v>384</v>
      </c>
      <c r="E3226" s="487">
        <f t="shared" ca="1" si="257"/>
        <v>6</v>
      </c>
      <c r="F3226" s="487">
        <f t="shared" ca="1" si="258"/>
        <v>72</v>
      </c>
      <c r="G3226" s="487"/>
      <c r="H3226" s="493" t="str">
        <f t="shared" ca="1" si="252"/>
        <v/>
      </c>
      <c r="I3226" s="493" t="str">
        <f t="shared" ca="1" si="253"/>
        <v/>
      </c>
      <c r="J3226" s="493" t="str">
        <f t="shared" ca="1" si="254"/>
        <v/>
      </c>
      <c r="K3226" s="493" t="str">
        <f t="shared" ca="1" si="255"/>
        <v/>
      </c>
      <c r="L3226" s="487"/>
      <c r="M3226" s="487"/>
      <c r="N3226" s="487"/>
      <c r="O3226" s="487"/>
      <c r="P3226" s="487">
        <f t="shared" si="259"/>
        <v>0</v>
      </c>
      <c r="Q3226" s="487"/>
    </row>
    <row r="3227" spans="1:17" x14ac:dyDescent="0.3">
      <c r="A3227" s="487" t="b">
        <f t="shared" ref="A3227:A3290" ca="1" si="260">IF(OR(H3227&lt;&gt;"",I3227&lt;&gt;""),TRUE,FALSE)</f>
        <v>0</v>
      </c>
      <c r="B3227" s="500" t="str">
        <f ca="1">IF(COUNTA(G$2360:G3226)=1,"",OFFSET(B3227,-COUNTA(G$2360:G3226)+1,0))</f>
        <v>a1b3p000003dxapAAA</v>
      </c>
      <c r="C3227" s="502">
        <f ca="1">IF(COUNTA(G$2360:G3226)=1,"",OFFSET(C3227,-COUNTA(G$2360:G3226)+1,0))</f>
        <v>65</v>
      </c>
      <c r="D3227" s="487">
        <f t="shared" si="256"/>
        <v>385</v>
      </c>
      <c r="E3227" s="487">
        <f t="shared" ca="1" si="257"/>
        <v>1</v>
      </c>
      <c r="F3227" s="487">
        <f t="shared" ca="1" si="258"/>
        <v>73</v>
      </c>
      <c r="G3227" s="487"/>
      <c r="H3227" s="493" t="str">
        <f t="shared" ref="H3227:H3290" ca="1" si="261">CHOOSE(E3227,IFERROR(IF(INDIRECT("'WPTM - Section F'!K"&amp;F3227)=0,"",INDIRECT("'WPTM - Section F'!K"&amp;$F3227)),""),IFERROR(IF(INDIRECT("'WPTM - Section F'!O"&amp;F3227)=0,"",INDIRECT("'WPTM - Section F'!O"&amp;$F3227)),""),IFERROR(IF(INDIRECT("'WPTM - Section F'!S"&amp;F3227)=0,"",INDIRECT("'WPTM - Section F'!S"&amp;$F3227)),""),IFERROR(IF(INDIRECT("'WPTM - Section F'!W"&amp;F3227)=0,"",INDIRECT("'WPTM - Section F'!W"&amp;$F3227)),""),IFERROR(IF(INDIRECT("'WPTM - Section F'!AA"&amp;F3227)=0,"",INDIRECT("'WPTM - Section F'!AA"&amp;$F3227)),""),IFERROR(IF(INDIRECT("'WPTM - Section F'!AE"&amp;F3227)=0,"",INDIRECT("'WPTM - Section F'!AE"&amp;$F3227)),""),IFERROR(IF(INDIRECT("'WPTM - Section F'!AI"&amp;F3227)=0,"",INDIRECT("'WPTM - Section F'!AI"&amp;$F3227)),""),IFERROR(IF(INDIRECT("'WPTM - Section F'!AM"&amp;F3227)=0,"",INDIRECT("'WPTM - Section F'!AM"&amp;$F3227)),""),)</f>
        <v/>
      </c>
      <c r="I3227" s="493" t="str">
        <f t="shared" ref="I3227:I3290" ca="1" si="262">CHOOSE(E3227,IFERROR(IF(INDIRECT("'WPTM - Section F'!J"&amp;F3227)=0,"",INDIRECT("'WPTM - Section F'!J"&amp;$F3227)),""),IFERROR(IF(INDIRECT("'WPTM - Section F'!N"&amp;F3227)=0,"",INDIRECT("'WPTM - Section F'!N"&amp;$F3227)),""),IFERROR(IF(INDIRECT("'WPTM - Section F'!R"&amp;F3227)=0,"",INDIRECT("'WPTM - Section F'!R"&amp;$F3227)),""),IFERROR(IF(INDIRECT("'WPTM - Section F'!V"&amp;F3227)=0,"",INDIRECT("'WPTM - Section F'!V"&amp;$F3227)),""),IFERROR(IF(INDIRECT("'WPTM - Section F'!Z"&amp;F3227)=0,"",INDIRECT("'WPTM - Section F'!Z"&amp;$F3227)),""),IFERROR(IF(INDIRECT("'WPTM - Section F'!AD"&amp;F3227)=0,"",INDIRECT("'WPTM - Section F'!AD"&amp;$F3227)),""),IFERROR(IF(INDIRECT("'WPTM - Section F'!AH"&amp;F3227)=0,"",INDIRECT("'WPTM - Section F'!AH"&amp;$F3227)),""),IFERROR(IF(INDIRECT("'WPTM - Section F'!AL"&amp;F3227)=0,"",INDIRECT("'WPTM - Section F'!AL"&amp;$F3227)),""),)</f>
        <v/>
      </c>
      <c r="J3227" s="493" t="str">
        <f t="shared" ref="J3227:J3290" ca="1" si="263">CHOOSE(E3227,IFERROR(IF(INDIRECT("'WPTM - Section F'!H"&amp;F3227)=0,"",INDIRECT("'WPTM - Section F'!H"&amp;$F3227)),""),IFERROR(IF(INDIRECT("'WPTM - Section F'!L"&amp;F3227)=0,"",INDIRECT("'WPTM - Section F'!L"&amp;$F3227)),""),IFERROR(IF(INDIRECT("'WPTM - Section F'!P"&amp;F3227)=0,"",INDIRECT("'WPTM - Section F'!P"&amp;$F3227)),""),IFERROR(IF(INDIRECT("'WPTM - Section F'!T"&amp;F3227)=0,"",INDIRECT("'WPTM - Section F'!T"&amp;$F3227)),""),IFERROR(IF(INDIRECT("'WPTM - Section F'!X"&amp;F3227)=0,"",INDIRECT("'WPTM - Section F'!X"&amp;$F3227)),""),IFERROR(IF(INDIRECT("'WPTM - Section F'!AB"&amp;F3227)=0,"",INDIRECT("'WPTM - Section F'!AB"&amp;$F3227)),""),IFERROR(IF(INDIRECT("'WPTM - Section F'!AF"&amp;F3227)=0,"",INDIRECT("'WPTM - Section F'!AF"&amp;$F3227)),""),IFERROR(IF(INDIRECT("'WPTM - Section F'!AJ"&amp;F3227)=0,"",INDIRECT("'WPTM - Section F'!AJ"&amp;$F3227)),""),)</f>
        <v/>
      </c>
      <c r="K3227" s="493" t="str">
        <f t="shared" ref="K3227:K3290" ca="1" si="264">CHOOSE(E3227,IFERROR(IF(INDIRECT("'WPTM - Section F'!I"&amp;F3227)=0,"",INDIRECT("'WPTM - Section F'!I"&amp;$F3227)),""),IFERROR(IF(INDIRECT("'WPTM - Section F'!M"&amp;F3227)=0,"",INDIRECT("'WPTM - Section F'!M"&amp;$F3227)),""),IFERROR(IF(INDIRECT("'WPTM - Section F'!Q"&amp;F3227)=0,"",INDIRECT("'WPTM - Section F'!Q"&amp;$F3227)),""),IFERROR(IF(INDIRECT("'WPTM - Section F'!U"&amp;F3227)=0,"",INDIRECT("'WPTM - Section F'!U"&amp;$F3227)),""),IFERROR(IF(INDIRECT("'WPTM - Section F'!Y"&amp;F3227)=0,"",INDIRECT("'WPTM - Section F'!Y"&amp;$F3227)),""),IFERROR(IF(INDIRECT("'WPTM - Section F'!AC"&amp;F3227)=0,"",INDIRECT("'WPTM - Section F'!AC"&amp;$F3227)),""),IFERROR(IF(INDIRECT("'WPTM - Section F'!AG"&amp;F3227)=0,"",INDIRECT("'WPTM - Section F'!AG"&amp;$F3227)),""),IFERROR(IF(INDIRECT("'WPTM - Section F'!AK"&amp;F3227)=0,"",INDIRECT("'WPTM - Section F'!AK"&amp;$F3227)),""),)</f>
        <v/>
      </c>
      <c r="L3227" s="487"/>
      <c r="M3227" s="487"/>
      <c r="N3227" s="487"/>
      <c r="O3227" s="487"/>
      <c r="P3227" s="487">
        <f t="shared" si="259"/>
        <v>0</v>
      </c>
      <c r="Q3227" s="487"/>
    </row>
    <row r="3228" spans="1:17" x14ac:dyDescent="0.3">
      <c r="A3228" s="487" t="b">
        <f t="shared" ca="1" si="260"/>
        <v>0</v>
      </c>
      <c r="B3228" s="500" t="str">
        <f ca="1">IF(COUNTA(G$2360:G3227)=1,"",OFFSET(B3228,-COUNTA(G$2360:G3227)+1,0))</f>
        <v>a1b3p000003dxc7AAA</v>
      </c>
      <c r="C3228" s="502">
        <f ca="1">IF(COUNTA(G$2360:G3227)=1,"",OFFSET(C3228,-COUNTA(G$2360:G3227)+1,0))</f>
        <v>65</v>
      </c>
      <c r="D3228" s="487">
        <f t="shared" si="256"/>
        <v>386</v>
      </c>
      <c r="E3228" s="487">
        <f t="shared" ca="1" si="257"/>
        <v>2</v>
      </c>
      <c r="F3228" s="487">
        <f t="shared" ca="1" si="258"/>
        <v>73</v>
      </c>
      <c r="G3228" s="487"/>
      <c r="H3228" s="493" t="str">
        <f t="shared" ca="1" si="261"/>
        <v/>
      </c>
      <c r="I3228" s="493" t="str">
        <f t="shared" ca="1" si="262"/>
        <v/>
      </c>
      <c r="J3228" s="493" t="str">
        <f t="shared" ca="1" si="263"/>
        <v/>
      </c>
      <c r="K3228" s="493" t="str">
        <f t="shared" ca="1" si="264"/>
        <v/>
      </c>
      <c r="L3228" s="487"/>
      <c r="M3228" s="487"/>
      <c r="N3228" s="487"/>
      <c r="O3228" s="487"/>
      <c r="P3228" s="487">
        <f t="shared" si="259"/>
        <v>0</v>
      </c>
      <c r="Q3228" s="487"/>
    </row>
    <row r="3229" spans="1:17" x14ac:dyDescent="0.3">
      <c r="A3229" s="487" t="b">
        <f t="shared" ca="1" si="260"/>
        <v>0</v>
      </c>
      <c r="B3229" s="500" t="str">
        <f ca="1">IF(COUNTA(G$2360:G3228)=1,"",OFFSET(B3229,-COUNTA(G$2360:G3228)+1,0))</f>
        <v>a1b3p000003dxdPAAQ</v>
      </c>
      <c r="C3229" s="502">
        <f ca="1">IF(COUNTA(G$2360:G3228)=1,"",OFFSET(C3229,-COUNTA(G$2360:G3228)+1,0))</f>
        <v>65</v>
      </c>
      <c r="D3229" s="487">
        <f t="shared" si="256"/>
        <v>387</v>
      </c>
      <c r="E3229" s="487">
        <f t="shared" ca="1" si="257"/>
        <v>3</v>
      </c>
      <c r="F3229" s="487">
        <f t="shared" ca="1" si="258"/>
        <v>73</v>
      </c>
      <c r="G3229" s="487"/>
      <c r="H3229" s="493" t="str">
        <f t="shared" ca="1" si="261"/>
        <v/>
      </c>
      <c r="I3229" s="493" t="str">
        <f t="shared" ca="1" si="262"/>
        <v/>
      </c>
      <c r="J3229" s="493" t="str">
        <f t="shared" ca="1" si="263"/>
        <v/>
      </c>
      <c r="K3229" s="493" t="str">
        <f t="shared" ca="1" si="264"/>
        <v/>
      </c>
      <c r="L3229" s="487"/>
      <c r="M3229" s="487"/>
      <c r="N3229" s="487"/>
      <c r="O3229" s="487"/>
      <c r="P3229" s="487">
        <f t="shared" si="259"/>
        <v>0</v>
      </c>
      <c r="Q3229" s="487"/>
    </row>
    <row r="3230" spans="1:17" x14ac:dyDescent="0.3">
      <c r="A3230" s="487" t="b">
        <f t="shared" ca="1" si="260"/>
        <v>0</v>
      </c>
      <c r="B3230" s="500" t="str">
        <f ca="1">IF(COUNTA(G$2360:G3229)=1,"",OFFSET(B3230,-COUNTA(G$2360:G3229)+1,0))</f>
        <v>a1b3p000003dxehAAA</v>
      </c>
      <c r="C3230" s="502">
        <f ca="1">IF(COUNTA(G$2360:G3229)=1,"",OFFSET(C3230,-COUNTA(G$2360:G3229)+1,0))</f>
        <v>65</v>
      </c>
      <c r="D3230" s="487">
        <f t="shared" si="256"/>
        <v>388</v>
      </c>
      <c r="E3230" s="487">
        <f t="shared" ca="1" si="257"/>
        <v>4</v>
      </c>
      <c r="F3230" s="487">
        <f t="shared" ca="1" si="258"/>
        <v>73</v>
      </c>
      <c r="G3230" s="487"/>
      <c r="H3230" s="493" t="str">
        <f t="shared" ca="1" si="261"/>
        <v/>
      </c>
      <c r="I3230" s="493" t="str">
        <f t="shared" ca="1" si="262"/>
        <v/>
      </c>
      <c r="J3230" s="493" t="str">
        <f t="shared" ca="1" si="263"/>
        <v/>
      </c>
      <c r="K3230" s="493" t="str">
        <f t="shared" ca="1" si="264"/>
        <v/>
      </c>
      <c r="L3230" s="487"/>
      <c r="M3230" s="487"/>
      <c r="N3230" s="487"/>
      <c r="O3230" s="487"/>
      <c r="P3230" s="487">
        <f t="shared" si="259"/>
        <v>0</v>
      </c>
      <c r="Q3230" s="487"/>
    </row>
    <row r="3231" spans="1:17" x14ac:dyDescent="0.3">
      <c r="A3231" s="487" t="b">
        <f t="shared" ca="1" si="260"/>
        <v>0</v>
      </c>
      <c r="B3231" s="500" t="str">
        <f ca="1">IF(COUNTA(G$2360:G3230)=1,"",OFFSET(B3231,-COUNTA(G$2360:G3230)+1,0))</f>
        <v>a1b3p000003dxfzAAA</v>
      </c>
      <c r="C3231" s="502">
        <f ca="1">IF(COUNTA(G$2360:G3230)=1,"",OFFSET(C3231,-COUNTA(G$2360:G3230)+1,0))</f>
        <v>65</v>
      </c>
      <c r="D3231" s="487">
        <f t="shared" si="256"/>
        <v>389</v>
      </c>
      <c r="E3231" s="487">
        <f t="shared" ca="1" si="257"/>
        <v>5</v>
      </c>
      <c r="F3231" s="487">
        <f t="shared" ca="1" si="258"/>
        <v>73</v>
      </c>
      <c r="G3231" s="487"/>
      <c r="H3231" s="493" t="str">
        <f t="shared" ca="1" si="261"/>
        <v/>
      </c>
      <c r="I3231" s="493" t="str">
        <f t="shared" ca="1" si="262"/>
        <v/>
      </c>
      <c r="J3231" s="493" t="str">
        <f t="shared" ca="1" si="263"/>
        <v/>
      </c>
      <c r="K3231" s="493" t="str">
        <f t="shared" ca="1" si="264"/>
        <v/>
      </c>
      <c r="L3231" s="487"/>
      <c r="M3231" s="487"/>
      <c r="N3231" s="487"/>
      <c r="O3231" s="487"/>
      <c r="P3231" s="487">
        <f t="shared" si="259"/>
        <v>0</v>
      </c>
      <c r="Q3231" s="487"/>
    </row>
    <row r="3232" spans="1:17" x14ac:dyDescent="0.3">
      <c r="A3232" s="487" t="b">
        <f t="shared" ca="1" si="260"/>
        <v>0</v>
      </c>
      <c r="B3232" s="500" t="str">
        <f ca="1">IF(COUNTA(G$2360:G3231)=1,"",OFFSET(B3232,-COUNTA(G$2360:G3231)+1,0))</f>
        <v>a1b3p000003dxhHAAQ</v>
      </c>
      <c r="C3232" s="502">
        <f ca="1">IF(COUNTA(G$2360:G3231)=1,"",OFFSET(C3232,-COUNTA(G$2360:G3231)+1,0))</f>
        <v>65</v>
      </c>
      <c r="D3232" s="487">
        <f t="shared" si="256"/>
        <v>390</v>
      </c>
      <c r="E3232" s="487">
        <f t="shared" ca="1" si="257"/>
        <v>6</v>
      </c>
      <c r="F3232" s="487">
        <f t="shared" ca="1" si="258"/>
        <v>73</v>
      </c>
      <c r="G3232" s="487"/>
      <c r="H3232" s="493" t="str">
        <f t="shared" ca="1" si="261"/>
        <v/>
      </c>
      <c r="I3232" s="493" t="str">
        <f t="shared" ca="1" si="262"/>
        <v/>
      </c>
      <c r="J3232" s="493" t="str">
        <f t="shared" ca="1" si="263"/>
        <v/>
      </c>
      <c r="K3232" s="493" t="str">
        <f t="shared" ca="1" si="264"/>
        <v/>
      </c>
      <c r="L3232" s="487"/>
      <c r="M3232" s="487"/>
      <c r="N3232" s="487"/>
      <c r="O3232" s="487"/>
      <c r="P3232" s="487">
        <f t="shared" si="259"/>
        <v>0</v>
      </c>
      <c r="Q3232" s="487"/>
    </row>
    <row r="3233" spans="1:17" x14ac:dyDescent="0.3">
      <c r="A3233" s="487" t="b">
        <f t="shared" ca="1" si="260"/>
        <v>0</v>
      </c>
      <c r="B3233" s="500" t="str">
        <f ca="1">IF(COUNTA(G$2360:G3232)=1,"",OFFSET(B3233,-COUNTA(G$2360:G3232)+1,0))</f>
        <v>a1b3p000003dxaqAAA</v>
      </c>
      <c r="C3233" s="502">
        <f ca="1">IF(COUNTA(G$2360:G3232)=1,"",OFFSET(C3233,-COUNTA(G$2360:G3232)+1,0))</f>
        <v>66</v>
      </c>
      <c r="D3233" s="487">
        <f t="shared" si="256"/>
        <v>391</v>
      </c>
      <c r="E3233" s="487">
        <f t="shared" ca="1" si="257"/>
        <v>1</v>
      </c>
      <c r="F3233" s="487">
        <f t="shared" ca="1" si="258"/>
        <v>74</v>
      </c>
      <c r="G3233" s="487"/>
      <c r="H3233" s="493" t="str">
        <f t="shared" ca="1" si="261"/>
        <v/>
      </c>
      <c r="I3233" s="493" t="str">
        <f t="shared" ca="1" si="262"/>
        <v/>
      </c>
      <c r="J3233" s="493" t="str">
        <f t="shared" ca="1" si="263"/>
        <v/>
      </c>
      <c r="K3233" s="493" t="str">
        <f t="shared" ca="1" si="264"/>
        <v/>
      </c>
      <c r="L3233" s="487"/>
      <c r="M3233" s="487"/>
      <c r="N3233" s="487"/>
      <c r="O3233" s="487"/>
      <c r="P3233" s="487">
        <f t="shared" si="259"/>
        <v>0</v>
      </c>
      <c r="Q3233" s="487"/>
    </row>
    <row r="3234" spans="1:17" x14ac:dyDescent="0.3">
      <c r="A3234" s="487" t="b">
        <f t="shared" ca="1" si="260"/>
        <v>0</v>
      </c>
      <c r="B3234" s="500" t="str">
        <f ca="1">IF(COUNTA(G$2360:G3233)=1,"",OFFSET(B3234,-COUNTA(G$2360:G3233)+1,0))</f>
        <v>a1b3p000003dxc8AAA</v>
      </c>
      <c r="C3234" s="502">
        <f ca="1">IF(COUNTA(G$2360:G3233)=1,"",OFFSET(C3234,-COUNTA(G$2360:G3233)+1,0))</f>
        <v>66</v>
      </c>
      <c r="D3234" s="487">
        <f t="shared" si="256"/>
        <v>392</v>
      </c>
      <c r="E3234" s="487">
        <f t="shared" ca="1" si="257"/>
        <v>2</v>
      </c>
      <c r="F3234" s="487">
        <f t="shared" ca="1" si="258"/>
        <v>74</v>
      </c>
      <c r="G3234" s="487"/>
      <c r="H3234" s="493" t="str">
        <f t="shared" ca="1" si="261"/>
        <v/>
      </c>
      <c r="I3234" s="493" t="str">
        <f t="shared" ca="1" si="262"/>
        <v/>
      </c>
      <c r="J3234" s="493" t="str">
        <f t="shared" ca="1" si="263"/>
        <v/>
      </c>
      <c r="K3234" s="493" t="str">
        <f t="shared" ca="1" si="264"/>
        <v/>
      </c>
      <c r="L3234" s="487"/>
      <c r="M3234" s="487"/>
      <c r="N3234" s="487"/>
      <c r="O3234" s="487"/>
      <c r="P3234" s="487">
        <f t="shared" si="259"/>
        <v>0</v>
      </c>
      <c r="Q3234" s="487"/>
    </row>
    <row r="3235" spans="1:17" x14ac:dyDescent="0.3">
      <c r="A3235" s="487" t="b">
        <f t="shared" ca="1" si="260"/>
        <v>0</v>
      </c>
      <c r="B3235" s="500" t="str">
        <f ca="1">IF(COUNTA(G$2360:G3234)=1,"",OFFSET(B3235,-COUNTA(G$2360:G3234)+1,0))</f>
        <v>a1b3p000003dxdQAAQ</v>
      </c>
      <c r="C3235" s="502">
        <f ca="1">IF(COUNTA(G$2360:G3234)=1,"",OFFSET(C3235,-COUNTA(G$2360:G3234)+1,0))</f>
        <v>66</v>
      </c>
      <c r="D3235" s="487">
        <f t="shared" si="256"/>
        <v>393</v>
      </c>
      <c r="E3235" s="487">
        <f t="shared" ca="1" si="257"/>
        <v>3</v>
      </c>
      <c r="F3235" s="487">
        <f t="shared" ca="1" si="258"/>
        <v>74</v>
      </c>
      <c r="G3235" s="487"/>
      <c r="H3235" s="493" t="str">
        <f t="shared" ca="1" si="261"/>
        <v/>
      </c>
      <c r="I3235" s="493" t="str">
        <f t="shared" ca="1" si="262"/>
        <v/>
      </c>
      <c r="J3235" s="493" t="str">
        <f t="shared" ca="1" si="263"/>
        <v/>
      </c>
      <c r="K3235" s="493" t="str">
        <f t="shared" ca="1" si="264"/>
        <v/>
      </c>
      <c r="L3235" s="487"/>
      <c r="M3235" s="487"/>
      <c r="N3235" s="487"/>
      <c r="O3235" s="487"/>
      <c r="P3235" s="487">
        <f t="shared" si="259"/>
        <v>0</v>
      </c>
      <c r="Q3235" s="487"/>
    </row>
    <row r="3236" spans="1:17" x14ac:dyDescent="0.3">
      <c r="A3236" s="487" t="b">
        <f t="shared" ca="1" si="260"/>
        <v>0</v>
      </c>
      <c r="B3236" s="500" t="str">
        <f ca="1">IF(COUNTA(G$2360:G3235)=1,"",OFFSET(B3236,-COUNTA(G$2360:G3235)+1,0))</f>
        <v>a1b3p000003dxeiAAA</v>
      </c>
      <c r="C3236" s="502">
        <f ca="1">IF(COUNTA(G$2360:G3235)=1,"",OFFSET(C3236,-COUNTA(G$2360:G3235)+1,0))</f>
        <v>66</v>
      </c>
      <c r="D3236" s="487">
        <f t="shared" si="256"/>
        <v>394</v>
      </c>
      <c r="E3236" s="487">
        <f t="shared" ca="1" si="257"/>
        <v>4</v>
      </c>
      <c r="F3236" s="487">
        <f t="shared" ca="1" si="258"/>
        <v>74</v>
      </c>
      <c r="G3236" s="487"/>
      <c r="H3236" s="493" t="str">
        <f t="shared" ca="1" si="261"/>
        <v/>
      </c>
      <c r="I3236" s="493" t="str">
        <f t="shared" ca="1" si="262"/>
        <v/>
      </c>
      <c r="J3236" s="493" t="str">
        <f t="shared" ca="1" si="263"/>
        <v/>
      </c>
      <c r="K3236" s="493" t="str">
        <f t="shared" ca="1" si="264"/>
        <v/>
      </c>
      <c r="L3236" s="487"/>
      <c r="M3236" s="487"/>
      <c r="N3236" s="487"/>
      <c r="O3236" s="487"/>
      <c r="P3236" s="487">
        <f t="shared" si="259"/>
        <v>0</v>
      </c>
      <c r="Q3236" s="487"/>
    </row>
    <row r="3237" spans="1:17" x14ac:dyDescent="0.3">
      <c r="A3237" s="487" t="b">
        <f t="shared" ca="1" si="260"/>
        <v>0</v>
      </c>
      <c r="B3237" s="500" t="str">
        <f ca="1">IF(COUNTA(G$2360:G3236)=1,"",OFFSET(B3237,-COUNTA(G$2360:G3236)+1,0))</f>
        <v>a1b3p000003dxg0AAA</v>
      </c>
      <c r="C3237" s="502">
        <f ca="1">IF(COUNTA(G$2360:G3236)=1,"",OFFSET(C3237,-COUNTA(G$2360:G3236)+1,0))</f>
        <v>66</v>
      </c>
      <c r="D3237" s="487">
        <f t="shared" si="256"/>
        <v>395</v>
      </c>
      <c r="E3237" s="487">
        <f t="shared" ca="1" si="257"/>
        <v>5</v>
      </c>
      <c r="F3237" s="487">
        <f t="shared" ca="1" si="258"/>
        <v>74</v>
      </c>
      <c r="G3237" s="487"/>
      <c r="H3237" s="493" t="str">
        <f t="shared" ca="1" si="261"/>
        <v/>
      </c>
      <c r="I3237" s="493" t="str">
        <f t="shared" ca="1" si="262"/>
        <v/>
      </c>
      <c r="J3237" s="493" t="str">
        <f t="shared" ca="1" si="263"/>
        <v/>
      </c>
      <c r="K3237" s="493" t="str">
        <f t="shared" ca="1" si="264"/>
        <v/>
      </c>
      <c r="L3237" s="487"/>
      <c r="M3237" s="487"/>
      <c r="N3237" s="487"/>
      <c r="O3237" s="487"/>
      <c r="P3237" s="487">
        <f t="shared" si="259"/>
        <v>0</v>
      </c>
      <c r="Q3237" s="487"/>
    </row>
    <row r="3238" spans="1:17" x14ac:dyDescent="0.3">
      <c r="A3238" s="487" t="b">
        <f t="shared" ca="1" si="260"/>
        <v>0</v>
      </c>
      <c r="B3238" s="500" t="str">
        <f ca="1">IF(COUNTA(G$2360:G3237)=1,"",OFFSET(B3238,-COUNTA(G$2360:G3237)+1,0))</f>
        <v>a1b3p000003dxhIAAQ</v>
      </c>
      <c r="C3238" s="502">
        <f ca="1">IF(COUNTA(G$2360:G3237)=1,"",OFFSET(C3238,-COUNTA(G$2360:G3237)+1,0))</f>
        <v>66</v>
      </c>
      <c r="D3238" s="487">
        <f t="shared" si="256"/>
        <v>396</v>
      </c>
      <c r="E3238" s="487">
        <f t="shared" ca="1" si="257"/>
        <v>6</v>
      </c>
      <c r="F3238" s="487">
        <f t="shared" ca="1" si="258"/>
        <v>74</v>
      </c>
      <c r="G3238" s="487"/>
      <c r="H3238" s="493" t="str">
        <f t="shared" ca="1" si="261"/>
        <v/>
      </c>
      <c r="I3238" s="493" t="str">
        <f t="shared" ca="1" si="262"/>
        <v/>
      </c>
      <c r="J3238" s="493" t="str">
        <f t="shared" ca="1" si="263"/>
        <v/>
      </c>
      <c r="K3238" s="493" t="str">
        <f t="shared" ca="1" si="264"/>
        <v/>
      </c>
      <c r="L3238" s="487"/>
      <c r="M3238" s="487"/>
      <c r="N3238" s="487"/>
      <c r="O3238" s="487"/>
      <c r="P3238" s="487">
        <f t="shared" si="259"/>
        <v>0</v>
      </c>
      <c r="Q3238" s="487"/>
    </row>
    <row r="3239" spans="1:17" x14ac:dyDescent="0.3">
      <c r="A3239" s="487" t="b">
        <f t="shared" ca="1" si="260"/>
        <v>0</v>
      </c>
      <c r="B3239" s="500" t="str">
        <f ca="1">IF(COUNTA(G$2360:G3238)=1,"",OFFSET(B3239,-COUNTA(G$2360:G3238)+1,0))</f>
        <v>a1b3p000003dxarAAA</v>
      </c>
      <c r="C3239" s="502">
        <f ca="1">IF(COUNTA(G$2360:G3238)=1,"",OFFSET(C3239,-COUNTA(G$2360:G3238)+1,0))</f>
        <v>67</v>
      </c>
      <c r="D3239" s="487">
        <f t="shared" si="256"/>
        <v>397</v>
      </c>
      <c r="E3239" s="487">
        <f t="shared" ca="1" si="257"/>
        <v>1</v>
      </c>
      <c r="F3239" s="487">
        <f t="shared" ca="1" si="258"/>
        <v>75</v>
      </c>
      <c r="G3239" s="487"/>
      <c r="H3239" s="493" t="str">
        <f t="shared" ca="1" si="261"/>
        <v/>
      </c>
      <c r="I3239" s="493" t="str">
        <f t="shared" ca="1" si="262"/>
        <v/>
      </c>
      <c r="J3239" s="493" t="str">
        <f t="shared" ca="1" si="263"/>
        <v/>
      </c>
      <c r="K3239" s="493" t="str">
        <f t="shared" ca="1" si="264"/>
        <v/>
      </c>
      <c r="L3239" s="487"/>
      <c r="M3239" s="487"/>
      <c r="N3239" s="487"/>
      <c r="O3239" s="487"/>
      <c r="P3239" s="487">
        <f t="shared" si="259"/>
        <v>0</v>
      </c>
      <c r="Q3239" s="487"/>
    </row>
    <row r="3240" spans="1:17" x14ac:dyDescent="0.3">
      <c r="A3240" s="487" t="b">
        <f t="shared" ca="1" si="260"/>
        <v>0</v>
      </c>
      <c r="B3240" s="500" t="str">
        <f ca="1">IF(COUNTA(G$2360:G3239)=1,"",OFFSET(B3240,-COUNTA(G$2360:G3239)+1,0))</f>
        <v>a1b3p000003dxc9AAA</v>
      </c>
      <c r="C3240" s="502">
        <f ca="1">IF(COUNTA(G$2360:G3239)=1,"",OFFSET(C3240,-COUNTA(G$2360:G3239)+1,0))</f>
        <v>67</v>
      </c>
      <c r="D3240" s="487">
        <f t="shared" si="256"/>
        <v>398</v>
      </c>
      <c r="E3240" s="487">
        <f t="shared" ca="1" si="257"/>
        <v>2</v>
      </c>
      <c r="F3240" s="487">
        <f t="shared" ca="1" si="258"/>
        <v>75</v>
      </c>
      <c r="G3240" s="487"/>
      <c r="H3240" s="493" t="str">
        <f t="shared" ca="1" si="261"/>
        <v/>
      </c>
      <c r="I3240" s="493" t="str">
        <f t="shared" ca="1" si="262"/>
        <v/>
      </c>
      <c r="J3240" s="493" t="str">
        <f t="shared" ca="1" si="263"/>
        <v/>
      </c>
      <c r="K3240" s="493" t="str">
        <f t="shared" ca="1" si="264"/>
        <v/>
      </c>
      <c r="L3240" s="487"/>
      <c r="M3240" s="487"/>
      <c r="N3240" s="487"/>
      <c r="O3240" s="487"/>
      <c r="P3240" s="487">
        <f t="shared" si="259"/>
        <v>0</v>
      </c>
      <c r="Q3240" s="487"/>
    </row>
    <row r="3241" spans="1:17" x14ac:dyDescent="0.3">
      <c r="A3241" s="487" t="b">
        <f t="shared" ca="1" si="260"/>
        <v>0</v>
      </c>
      <c r="B3241" s="500" t="str">
        <f ca="1">IF(COUNTA(G$2360:G3240)=1,"",OFFSET(B3241,-COUNTA(G$2360:G3240)+1,0))</f>
        <v>a1b3p000003dxdRAAQ</v>
      </c>
      <c r="C3241" s="502">
        <f ca="1">IF(COUNTA(G$2360:G3240)=1,"",OFFSET(C3241,-COUNTA(G$2360:G3240)+1,0))</f>
        <v>67</v>
      </c>
      <c r="D3241" s="487">
        <f t="shared" si="256"/>
        <v>399</v>
      </c>
      <c r="E3241" s="487">
        <f t="shared" ca="1" si="257"/>
        <v>3</v>
      </c>
      <c r="F3241" s="487">
        <f t="shared" ca="1" si="258"/>
        <v>75</v>
      </c>
      <c r="G3241" s="487"/>
      <c r="H3241" s="493" t="str">
        <f t="shared" ca="1" si="261"/>
        <v/>
      </c>
      <c r="I3241" s="493" t="str">
        <f t="shared" ca="1" si="262"/>
        <v/>
      </c>
      <c r="J3241" s="493" t="str">
        <f t="shared" ca="1" si="263"/>
        <v/>
      </c>
      <c r="K3241" s="493" t="str">
        <f t="shared" ca="1" si="264"/>
        <v/>
      </c>
      <c r="L3241" s="487"/>
      <c r="M3241" s="487"/>
      <c r="N3241" s="487"/>
      <c r="O3241" s="487"/>
      <c r="P3241" s="487">
        <f t="shared" si="259"/>
        <v>0</v>
      </c>
      <c r="Q3241" s="487"/>
    </row>
    <row r="3242" spans="1:17" x14ac:dyDescent="0.3">
      <c r="A3242" s="487" t="b">
        <f t="shared" ca="1" si="260"/>
        <v>0</v>
      </c>
      <c r="B3242" s="500" t="str">
        <f ca="1">IF(COUNTA(G$2360:G3241)=1,"",OFFSET(B3242,-COUNTA(G$2360:G3241)+1,0))</f>
        <v>a1b3p000003dxejAAA</v>
      </c>
      <c r="C3242" s="502">
        <f ca="1">IF(COUNTA(G$2360:G3241)=1,"",OFFSET(C3242,-COUNTA(G$2360:G3241)+1,0))</f>
        <v>67</v>
      </c>
      <c r="D3242" s="487">
        <f t="shared" si="256"/>
        <v>400</v>
      </c>
      <c r="E3242" s="487">
        <f t="shared" ca="1" si="257"/>
        <v>4</v>
      </c>
      <c r="F3242" s="487">
        <f t="shared" ca="1" si="258"/>
        <v>75</v>
      </c>
      <c r="G3242" s="487"/>
      <c r="H3242" s="493" t="str">
        <f t="shared" ca="1" si="261"/>
        <v/>
      </c>
      <c r="I3242" s="493" t="str">
        <f t="shared" ca="1" si="262"/>
        <v/>
      </c>
      <c r="J3242" s="493" t="str">
        <f t="shared" ca="1" si="263"/>
        <v/>
      </c>
      <c r="K3242" s="493" t="str">
        <f t="shared" ca="1" si="264"/>
        <v/>
      </c>
      <c r="L3242" s="487"/>
      <c r="M3242" s="487"/>
      <c r="N3242" s="487"/>
      <c r="O3242" s="487"/>
      <c r="P3242" s="487">
        <f t="shared" si="259"/>
        <v>0</v>
      </c>
      <c r="Q3242" s="487"/>
    </row>
    <row r="3243" spans="1:17" x14ac:dyDescent="0.3">
      <c r="A3243" s="487" t="b">
        <f t="shared" ca="1" si="260"/>
        <v>0</v>
      </c>
      <c r="B3243" s="500" t="str">
        <f ca="1">IF(COUNTA(G$2360:G3242)=1,"",OFFSET(B3243,-COUNTA(G$2360:G3242)+1,0))</f>
        <v>a1b3p000003dxg1AAA</v>
      </c>
      <c r="C3243" s="502">
        <f ca="1">IF(COUNTA(G$2360:G3242)=1,"",OFFSET(C3243,-COUNTA(G$2360:G3242)+1,0))</f>
        <v>67</v>
      </c>
      <c r="D3243" s="487">
        <f t="shared" si="256"/>
        <v>401</v>
      </c>
      <c r="E3243" s="487">
        <f t="shared" ca="1" si="257"/>
        <v>5</v>
      </c>
      <c r="F3243" s="487">
        <f t="shared" ca="1" si="258"/>
        <v>75</v>
      </c>
      <c r="G3243" s="487"/>
      <c r="H3243" s="493" t="str">
        <f t="shared" ca="1" si="261"/>
        <v/>
      </c>
      <c r="I3243" s="493" t="str">
        <f t="shared" ca="1" si="262"/>
        <v/>
      </c>
      <c r="J3243" s="493" t="str">
        <f t="shared" ca="1" si="263"/>
        <v/>
      </c>
      <c r="K3243" s="493" t="str">
        <f t="shared" ca="1" si="264"/>
        <v/>
      </c>
      <c r="L3243" s="487"/>
      <c r="M3243" s="487"/>
      <c r="N3243" s="487"/>
      <c r="O3243" s="487"/>
      <c r="P3243" s="487">
        <f t="shared" si="259"/>
        <v>0</v>
      </c>
      <c r="Q3243" s="487"/>
    </row>
    <row r="3244" spans="1:17" x14ac:dyDescent="0.3">
      <c r="A3244" s="487" t="b">
        <f t="shared" ca="1" si="260"/>
        <v>0</v>
      </c>
      <c r="B3244" s="500" t="str">
        <f ca="1">IF(COUNTA(G$2360:G3243)=1,"",OFFSET(B3244,-COUNTA(G$2360:G3243)+1,0))</f>
        <v>a1b3p000003dxhJAAQ</v>
      </c>
      <c r="C3244" s="502">
        <f ca="1">IF(COUNTA(G$2360:G3243)=1,"",OFFSET(C3244,-COUNTA(G$2360:G3243)+1,0))</f>
        <v>67</v>
      </c>
      <c r="D3244" s="487">
        <f t="shared" si="256"/>
        <v>402</v>
      </c>
      <c r="E3244" s="487">
        <f t="shared" ca="1" si="257"/>
        <v>6</v>
      </c>
      <c r="F3244" s="487">
        <f t="shared" ca="1" si="258"/>
        <v>75</v>
      </c>
      <c r="G3244" s="487"/>
      <c r="H3244" s="493" t="str">
        <f t="shared" ca="1" si="261"/>
        <v/>
      </c>
      <c r="I3244" s="493" t="str">
        <f t="shared" ca="1" si="262"/>
        <v/>
      </c>
      <c r="J3244" s="493" t="str">
        <f t="shared" ca="1" si="263"/>
        <v/>
      </c>
      <c r="K3244" s="493" t="str">
        <f t="shared" ca="1" si="264"/>
        <v/>
      </c>
      <c r="L3244" s="487"/>
      <c r="M3244" s="487"/>
      <c r="N3244" s="487"/>
      <c r="O3244" s="487"/>
      <c r="P3244" s="487">
        <f t="shared" si="259"/>
        <v>0</v>
      </c>
      <c r="Q3244" s="487"/>
    </row>
    <row r="3245" spans="1:17" x14ac:dyDescent="0.3">
      <c r="A3245" s="487" t="b">
        <f t="shared" ca="1" si="260"/>
        <v>0</v>
      </c>
      <c r="B3245" s="500" t="str">
        <f ca="1">IF(COUNTA(G$2360:G3244)=1,"",OFFSET(B3245,-COUNTA(G$2360:G3244)+1,0))</f>
        <v>a1b3p000003dxasAAA</v>
      </c>
      <c r="C3245" s="502">
        <f ca="1">IF(COUNTA(G$2360:G3244)=1,"",OFFSET(C3245,-COUNTA(G$2360:G3244)+1,0))</f>
        <v>68</v>
      </c>
      <c r="D3245" s="487">
        <f t="shared" si="256"/>
        <v>403</v>
      </c>
      <c r="E3245" s="487">
        <f t="shared" ca="1" si="257"/>
        <v>1</v>
      </c>
      <c r="F3245" s="487">
        <f t="shared" ca="1" si="258"/>
        <v>76</v>
      </c>
      <c r="G3245" s="487"/>
      <c r="H3245" s="493" t="str">
        <f t="shared" ca="1" si="261"/>
        <v/>
      </c>
      <c r="I3245" s="493" t="str">
        <f t="shared" ca="1" si="262"/>
        <v/>
      </c>
      <c r="J3245" s="493" t="str">
        <f t="shared" ca="1" si="263"/>
        <v/>
      </c>
      <c r="K3245" s="493" t="str">
        <f t="shared" ca="1" si="264"/>
        <v/>
      </c>
      <c r="L3245" s="487"/>
      <c r="M3245" s="487"/>
      <c r="N3245" s="487"/>
      <c r="O3245" s="487"/>
      <c r="P3245" s="487">
        <f t="shared" si="259"/>
        <v>0</v>
      </c>
      <c r="Q3245" s="487"/>
    </row>
    <row r="3246" spans="1:17" x14ac:dyDescent="0.3">
      <c r="A3246" s="487" t="b">
        <f t="shared" ca="1" si="260"/>
        <v>0</v>
      </c>
      <c r="B3246" s="500" t="str">
        <f ca="1">IF(COUNTA(G$2360:G3245)=1,"",OFFSET(B3246,-COUNTA(G$2360:G3245)+1,0))</f>
        <v>a1b3p000003dxcAAAQ</v>
      </c>
      <c r="C3246" s="502">
        <f ca="1">IF(COUNTA(G$2360:G3245)=1,"",OFFSET(C3246,-COUNTA(G$2360:G3245)+1,0))</f>
        <v>68</v>
      </c>
      <c r="D3246" s="487">
        <f t="shared" si="256"/>
        <v>404</v>
      </c>
      <c r="E3246" s="487">
        <f t="shared" ca="1" si="257"/>
        <v>2</v>
      </c>
      <c r="F3246" s="487">
        <f t="shared" ca="1" si="258"/>
        <v>76</v>
      </c>
      <c r="G3246" s="487"/>
      <c r="H3246" s="493" t="str">
        <f t="shared" ca="1" si="261"/>
        <v/>
      </c>
      <c r="I3246" s="493" t="str">
        <f t="shared" ca="1" si="262"/>
        <v/>
      </c>
      <c r="J3246" s="493" t="str">
        <f t="shared" ca="1" si="263"/>
        <v/>
      </c>
      <c r="K3246" s="493" t="str">
        <f t="shared" ca="1" si="264"/>
        <v/>
      </c>
      <c r="L3246" s="487"/>
      <c r="M3246" s="487"/>
      <c r="N3246" s="487"/>
      <c r="O3246" s="487"/>
      <c r="P3246" s="487">
        <f t="shared" si="259"/>
        <v>0</v>
      </c>
      <c r="Q3246" s="487"/>
    </row>
    <row r="3247" spans="1:17" x14ac:dyDescent="0.3">
      <c r="A3247" s="487" t="b">
        <f t="shared" ca="1" si="260"/>
        <v>0</v>
      </c>
      <c r="B3247" s="500" t="str">
        <f ca="1">IF(COUNTA(G$2360:G3246)=1,"",OFFSET(B3247,-COUNTA(G$2360:G3246)+1,0))</f>
        <v>a1b3p000003dxdSAAQ</v>
      </c>
      <c r="C3247" s="502">
        <f ca="1">IF(COUNTA(G$2360:G3246)=1,"",OFFSET(C3247,-COUNTA(G$2360:G3246)+1,0))</f>
        <v>68</v>
      </c>
      <c r="D3247" s="487">
        <f t="shared" si="256"/>
        <v>405</v>
      </c>
      <c r="E3247" s="487">
        <f t="shared" ca="1" si="257"/>
        <v>3</v>
      </c>
      <c r="F3247" s="487">
        <f t="shared" ca="1" si="258"/>
        <v>76</v>
      </c>
      <c r="G3247" s="487"/>
      <c r="H3247" s="493" t="str">
        <f t="shared" ca="1" si="261"/>
        <v/>
      </c>
      <c r="I3247" s="493" t="str">
        <f t="shared" ca="1" si="262"/>
        <v/>
      </c>
      <c r="J3247" s="493" t="str">
        <f t="shared" ca="1" si="263"/>
        <v/>
      </c>
      <c r="K3247" s="493" t="str">
        <f t="shared" ca="1" si="264"/>
        <v/>
      </c>
      <c r="L3247" s="487"/>
      <c r="M3247" s="487"/>
      <c r="N3247" s="487"/>
      <c r="O3247" s="487"/>
      <c r="P3247" s="487">
        <f t="shared" si="259"/>
        <v>0</v>
      </c>
      <c r="Q3247" s="487"/>
    </row>
    <row r="3248" spans="1:17" x14ac:dyDescent="0.3">
      <c r="A3248" s="487" t="b">
        <f t="shared" ca="1" si="260"/>
        <v>0</v>
      </c>
      <c r="B3248" s="500" t="str">
        <f ca="1">IF(COUNTA(G$2360:G3247)=1,"",OFFSET(B3248,-COUNTA(G$2360:G3247)+1,0))</f>
        <v>a1b3p000003dxekAAA</v>
      </c>
      <c r="C3248" s="502">
        <f ca="1">IF(COUNTA(G$2360:G3247)=1,"",OFFSET(C3248,-COUNTA(G$2360:G3247)+1,0))</f>
        <v>68</v>
      </c>
      <c r="D3248" s="487">
        <f t="shared" si="256"/>
        <v>406</v>
      </c>
      <c r="E3248" s="487">
        <f t="shared" ca="1" si="257"/>
        <v>4</v>
      </c>
      <c r="F3248" s="487">
        <f t="shared" ca="1" si="258"/>
        <v>76</v>
      </c>
      <c r="G3248" s="487"/>
      <c r="H3248" s="493" t="str">
        <f t="shared" ca="1" si="261"/>
        <v/>
      </c>
      <c r="I3248" s="493" t="str">
        <f t="shared" ca="1" si="262"/>
        <v/>
      </c>
      <c r="J3248" s="493" t="str">
        <f t="shared" ca="1" si="263"/>
        <v/>
      </c>
      <c r="K3248" s="493" t="str">
        <f t="shared" ca="1" si="264"/>
        <v/>
      </c>
      <c r="L3248" s="487"/>
      <c r="M3248" s="487"/>
      <c r="N3248" s="487"/>
      <c r="O3248" s="487"/>
      <c r="P3248" s="487">
        <f t="shared" si="259"/>
        <v>0</v>
      </c>
      <c r="Q3248" s="487"/>
    </row>
    <row r="3249" spans="1:17" x14ac:dyDescent="0.3">
      <c r="A3249" s="487" t="b">
        <f t="shared" ca="1" si="260"/>
        <v>0</v>
      </c>
      <c r="B3249" s="500" t="str">
        <f ca="1">IF(COUNTA(G$2360:G3248)=1,"",OFFSET(B3249,-COUNTA(G$2360:G3248)+1,0))</f>
        <v>a1b3p000003dxg2AAA</v>
      </c>
      <c r="C3249" s="502">
        <f ca="1">IF(COUNTA(G$2360:G3248)=1,"",OFFSET(C3249,-COUNTA(G$2360:G3248)+1,0))</f>
        <v>68</v>
      </c>
      <c r="D3249" s="487">
        <f t="shared" si="256"/>
        <v>407</v>
      </c>
      <c r="E3249" s="487">
        <f t="shared" ca="1" si="257"/>
        <v>5</v>
      </c>
      <c r="F3249" s="487">
        <f t="shared" ca="1" si="258"/>
        <v>76</v>
      </c>
      <c r="G3249" s="487"/>
      <c r="H3249" s="493" t="str">
        <f t="shared" ca="1" si="261"/>
        <v/>
      </c>
      <c r="I3249" s="493" t="str">
        <f t="shared" ca="1" si="262"/>
        <v/>
      </c>
      <c r="J3249" s="493" t="str">
        <f t="shared" ca="1" si="263"/>
        <v/>
      </c>
      <c r="K3249" s="493" t="str">
        <f t="shared" ca="1" si="264"/>
        <v/>
      </c>
      <c r="L3249" s="487"/>
      <c r="M3249" s="487"/>
      <c r="N3249" s="487"/>
      <c r="O3249" s="487"/>
      <c r="P3249" s="487">
        <f t="shared" si="259"/>
        <v>0</v>
      </c>
      <c r="Q3249" s="487"/>
    </row>
    <row r="3250" spans="1:17" x14ac:dyDescent="0.3">
      <c r="A3250" s="487" t="b">
        <f t="shared" ca="1" si="260"/>
        <v>0</v>
      </c>
      <c r="B3250" s="500" t="str">
        <f ca="1">IF(COUNTA(G$2360:G3249)=1,"",OFFSET(B3250,-COUNTA(G$2360:G3249)+1,0))</f>
        <v>a1b3p000003dxhKAAQ</v>
      </c>
      <c r="C3250" s="502">
        <f ca="1">IF(COUNTA(G$2360:G3249)=1,"",OFFSET(C3250,-COUNTA(G$2360:G3249)+1,0))</f>
        <v>68</v>
      </c>
      <c r="D3250" s="487">
        <f t="shared" si="256"/>
        <v>408</v>
      </c>
      <c r="E3250" s="487">
        <f t="shared" ca="1" si="257"/>
        <v>6</v>
      </c>
      <c r="F3250" s="487">
        <f t="shared" ca="1" si="258"/>
        <v>76</v>
      </c>
      <c r="G3250" s="487"/>
      <c r="H3250" s="493" t="str">
        <f t="shared" ca="1" si="261"/>
        <v/>
      </c>
      <c r="I3250" s="493" t="str">
        <f t="shared" ca="1" si="262"/>
        <v/>
      </c>
      <c r="J3250" s="493" t="str">
        <f t="shared" ca="1" si="263"/>
        <v/>
      </c>
      <c r="K3250" s="493" t="str">
        <f t="shared" ca="1" si="264"/>
        <v/>
      </c>
      <c r="L3250" s="487"/>
      <c r="M3250" s="487"/>
      <c r="N3250" s="487"/>
      <c r="O3250" s="487"/>
      <c r="P3250" s="487">
        <f t="shared" si="259"/>
        <v>0</v>
      </c>
      <c r="Q3250" s="487"/>
    </row>
    <row r="3251" spans="1:17" x14ac:dyDescent="0.3">
      <c r="A3251" s="487" t="b">
        <f t="shared" ca="1" si="260"/>
        <v>0</v>
      </c>
      <c r="B3251" s="500" t="str">
        <f ca="1">IF(COUNTA(G$2360:G3250)=1,"",OFFSET(B3251,-COUNTA(G$2360:G3250)+1,0))</f>
        <v>a1b3p000003dxatAAA</v>
      </c>
      <c r="C3251" s="502">
        <f ca="1">IF(COUNTA(G$2360:G3250)=1,"",OFFSET(C3251,-COUNTA(G$2360:G3250)+1,0))</f>
        <v>69</v>
      </c>
      <c r="D3251" s="487">
        <f t="shared" si="256"/>
        <v>409</v>
      </c>
      <c r="E3251" s="487">
        <f t="shared" ca="1" si="257"/>
        <v>1</v>
      </c>
      <c r="F3251" s="487">
        <f t="shared" ca="1" si="258"/>
        <v>77</v>
      </c>
      <c r="G3251" s="487"/>
      <c r="H3251" s="493" t="str">
        <f t="shared" ca="1" si="261"/>
        <v/>
      </c>
      <c r="I3251" s="493" t="str">
        <f t="shared" ca="1" si="262"/>
        <v/>
      </c>
      <c r="J3251" s="493" t="str">
        <f t="shared" ca="1" si="263"/>
        <v/>
      </c>
      <c r="K3251" s="493" t="str">
        <f t="shared" ca="1" si="264"/>
        <v/>
      </c>
      <c r="L3251" s="487"/>
      <c r="M3251" s="487"/>
      <c r="N3251" s="487"/>
      <c r="O3251" s="487"/>
      <c r="P3251" s="487">
        <f t="shared" si="259"/>
        <v>0</v>
      </c>
      <c r="Q3251" s="487"/>
    </row>
    <row r="3252" spans="1:17" x14ac:dyDescent="0.3">
      <c r="A3252" s="487" t="b">
        <f t="shared" ca="1" si="260"/>
        <v>0</v>
      </c>
      <c r="B3252" s="500" t="str">
        <f ca="1">IF(COUNTA(G$2360:G3251)=1,"",OFFSET(B3252,-COUNTA(G$2360:G3251)+1,0))</f>
        <v>a1b3p000003dxcBAAQ</v>
      </c>
      <c r="C3252" s="502">
        <f ca="1">IF(COUNTA(G$2360:G3251)=1,"",OFFSET(C3252,-COUNTA(G$2360:G3251)+1,0))</f>
        <v>69</v>
      </c>
      <c r="D3252" s="487">
        <f t="shared" si="256"/>
        <v>410</v>
      </c>
      <c r="E3252" s="487">
        <f t="shared" ca="1" si="257"/>
        <v>2</v>
      </c>
      <c r="F3252" s="487">
        <f t="shared" ca="1" si="258"/>
        <v>77</v>
      </c>
      <c r="G3252" s="487"/>
      <c r="H3252" s="493" t="str">
        <f t="shared" ca="1" si="261"/>
        <v/>
      </c>
      <c r="I3252" s="493" t="str">
        <f t="shared" ca="1" si="262"/>
        <v/>
      </c>
      <c r="J3252" s="493" t="str">
        <f t="shared" ca="1" si="263"/>
        <v/>
      </c>
      <c r="K3252" s="493" t="str">
        <f t="shared" ca="1" si="264"/>
        <v/>
      </c>
      <c r="L3252" s="487"/>
      <c r="M3252" s="487"/>
      <c r="N3252" s="487"/>
      <c r="O3252" s="487"/>
      <c r="P3252" s="487">
        <f t="shared" si="259"/>
        <v>0</v>
      </c>
      <c r="Q3252" s="487"/>
    </row>
    <row r="3253" spans="1:17" x14ac:dyDescent="0.3">
      <c r="A3253" s="487" t="b">
        <f t="shared" ca="1" si="260"/>
        <v>0</v>
      </c>
      <c r="B3253" s="500" t="str">
        <f ca="1">IF(COUNTA(G$2360:G3252)=1,"",OFFSET(B3253,-COUNTA(G$2360:G3252)+1,0))</f>
        <v>a1b3p000003dxdTAAQ</v>
      </c>
      <c r="C3253" s="502">
        <f ca="1">IF(COUNTA(G$2360:G3252)=1,"",OFFSET(C3253,-COUNTA(G$2360:G3252)+1,0))</f>
        <v>69</v>
      </c>
      <c r="D3253" s="487">
        <f t="shared" si="256"/>
        <v>411</v>
      </c>
      <c r="E3253" s="487">
        <f t="shared" ca="1" si="257"/>
        <v>3</v>
      </c>
      <c r="F3253" s="487">
        <f t="shared" ca="1" si="258"/>
        <v>77</v>
      </c>
      <c r="G3253" s="487"/>
      <c r="H3253" s="493" t="str">
        <f t="shared" ca="1" si="261"/>
        <v/>
      </c>
      <c r="I3253" s="493" t="str">
        <f t="shared" ca="1" si="262"/>
        <v/>
      </c>
      <c r="J3253" s="493" t="str">
        <f t="shared" ca="1" si="263"/>
        <v/>
      </c>
      <c r="K3253" s="493" t="str">
        <f t="shared" ca="1" si="264"/>
        <v/>
      </c>
      <c r="L3253" s="487"/>
      <c r="M3253" s="487"/>
      <c r="N3253" s="487"/>
      <c r="O3253" s="487"/>
      <c r="P3253" s="487">
        <f t="shared" si="259"/>
        <v>0</v>
      </c>
      <c r="Q3253" s="487"/>
    </row>
    <row r="3254" spans="1:17" x14ac:dyDescent="0.3">
      <c r="A3254" s="487" t="b">
        <f t="shared" ca="1" si="260"/>
        <v>0</v>
      </c>
      <c r="B3254" s="500" t="str">
        <f ca="1">IF(COUNTA(G$2360:G3253)=1,"",OFFSET(B3254,-COUNTA(G$2360:G3253)+1,0))</f>
        <v>a1b3p000003dxelAAA</v>
      </c>
      <c r="C3254" s="502">
        <f ca="1">IF(COUNTA(G$2360:G3253)=1,"",OFFSET(C3254,-COUNTA(G$2360:G3253)+1,0))</f>
        <v>69</v>
      </c>
      <c r="D3254" s="487">
        <f t="shared" si="256"/>
        <v>412</v>
      </c>
      <c r="E3254" s="487">
        <f t="shared" ca="1" si="257"/>
        <v>4</v>
      </c>
      <c r="F3254" s="487">
        <f t="shared" ca="1" si="258"/>
        <v>77</v>
      </c>
      <c r="G3254" s="487"/>
      <c r="H3254" s="493" t="str">
        <f t="shared" ca="1" si="261"/>
        <v/>
      </c>
      <c r="I3254" s="493" t="str">
        <f t="shared" ca="1" si="262"/>
        <v/>
      </c>
      <c r="J3254" s="493" t="str">
        <f t="shared" ca="1" si="263"/>
        <v/>
      </c>
      <c r="K3254" s="493" t="str">
        <f t="shared" ca="1" si="264"/>
        <v/>
      </c>
      <c r="L3254" s="487"/>
      <c r="M3254" s="487"/>
      <c r="N3254" s="487"/>
      <c r="O3254" s="487"/>
      <c r="P3254" s="487">
        <f t="shared" si="259"/>
        <v>0</v>
      </c>
      <c r="Q3254" s="487"/>
    </row>
    <row r="3255" spans="1:17" x14ac:dyDescent="0.3">
      <c r="A3255" s="487" t="b">
        <f t="shared" ca="1" si="260"/>
        <v>0</v>
      </c>
      <c r="B3255" s="500" t="str">
        <f ca="1">IF(COUNTA(G$2360:G3254)=1,"",OFFSET(B3255,-COUNTA(G$2360:G3254)+1,0))</f>
        <v>a1b3p000003dxg3AAA</v>
      </c>
      <c r="C3255" s="502">
        <f ca="1">IF(COUNTA(G$2360:G3254)=1,"",OFFSET(C3255,-COUNTA(G$2360:G3254)+1,0))</f>
        <v>69</v>
      </c>
      <c r="D3255" s="487">
        <f t="shared" si="256"/>
        <v>413</v>
      </c>
      <c r="E3255" s="487">
        <f t="shared" ca="1" si="257"/>
        <v>5</v>
      </c>
      <c r="F3255" s="487">
        <f t="shared" ca="1" si="258"/>
        <v>77</v>
      </c>
      <c r="G3255" s="487"/>
      <c r="H3255" s="493" t="str">
        <f t="shared" ca="1" si="261"/>
        <v/>
      </c>
      <c r="I3255" s="493" t="str">
        <f t="shared" ca="1" si="262"/>
        <v/>
      </c>
      <c r="J3255" s="493" t="str">
        <f t="shared" ca="1" si="263"/>
        <v/>
      </c>
      <c r="K3255" s="493" t="str">
        <f t="shared" ca="1" si="264"/>
        <v/>
      </c>
      <c r="L3255" s="487"/>
      <c r="M3255" s="487"/>
      <c r="N3255" s="487"/>
      <c r="O3255" s="487"/>
      <c r="P3255" s="487">
        <f t="shared" si="259"/>
        <v>0</v>
      </c>
      <c r="Q3255" s="487"/>
    </row>
    <row r="3256" spans="1:17" x14ac:dyDescent="0.3">
      <c r="A3256" s="487" t="b">
        <f t="shared" ca="1" si="260"/>
        <v>0</v>
      </c>
      <c r="B3256" s="500" t="str">
        <f ca="1">IF(COUNTA(G$2360:G3255)=1,"",OFFSET(B3256,-COUNTA(G$2360:G3255)+1,0))</f>
        <v>a1b3p000003dxhLAAQ</v>
      </c>
      <c r="C3256" s="502">
        <f ca="1">IF(COUNTA(G$2360:G3255)=1,"",OFFSET(C3256,-COUNTA(G$2360:G3255)+1,0))</f>
        <v>69</v>
      </c>
      <c r="D3256" s="487">
        <f t="shared" si="256"/>
        <v>414</v>
      </c>
      <c r="E3256" s="487">
        <f t="shared" ca="1" si="257"/>
        <v>6</v>
      </c>
      <c r="F3256" s="487">
        <f t="shared" ca="1" si="258"/>
        <v>77</v>
      </c>
      <c r="G3256" s="487"/>
      <c r="H3256" s="493" t="str">
        <f t="shared" ca="1" si="261"/>
        <v/>
      </c>
      <c r="I3256" s="493" t="str">
        <f t="shared" ca="1" si="262"/>
        <v/>
      </c>
      <c r="J3256" s="493" t="str">
        <f t="shared" ca="1" si="263"/>
        <v/>
      </c>
      <c r="K3256" s="493" t="str">
        <f t="shared" ca="1" si="264"/>
        <v/>
      </c>
      <c r="L3256" s="487"/>
      <c r="M3256" s="487"/>
      <c r="N3256" s="487"/>
      <c r="O3256" s="487"/>
      <c r="P3256" s="487">
        <f t="shared" si="259"/>
        <v>0</v>
      </c>
      <c r="Q3256" s="487"/>
    </row>
    <row r="3257" spans="1:17" x14ac:dyDescent="0.3">
      <c r="A3257" s="487" t="b">
        <f t="shared" ca="1" si="260"/>
        <v>0</v>
      </c>
      <c r="B3257" s="500" t="str">
        <f ca="1">IF(COUNTA(G$2360:G3256)=1,"",OFFSET(B3257,-COUNTA(G$2360:G3256)+1,0))</f>
        <v>a1b3p000003dxauAAA</v>
      </c>
      <c r="C3257" s="502">
        <f ca="1">IF(COUNTA(G$2360:G3256)=1,"",OFFSET(C3257,-COUNTA(G$2360:G3256)+1,0))</f>
        <v>70</v>
      </c>
      <c r="D3257" s="487">
        <f t="shared" si="256"/>
        <v>415</v>
      </c>
      <c r="E3257" s="487">
        <f t="shared" ca="1" si="257"/>
        <v>1</v>
      </c>
      <c r="F3257" s="487">
        <f t="shared" ca="1" si="258"/>
        <v>78</v>
      </c>
      <c r="G3257" s="487"/>
      <c r="H3257" s="493" t="str">
        <f t="shared" ca="1" si="261"/>
        <v/>
      </c>
      <c r="I3257" s="493" t="str">
        <f t="shared" ca="1" si="262"/>
        <v/>
      </c>
      <c r="J3257" s="493" t="str">
        <f t="shared" ca="1" si="263"/>
        <v/>
      </c>
      <c r="K3257" s="493" t="str">
        <f t="shared" ca="1" si="264"/>
        <v/>
      </c>
      <c r="L3257" s="487"/>
      <c r="M3257" s="487"/>
      <c r="N3257" s="487"/>
      <c r="O3257" s="487"/>
      <c r="P3257" s="487">
        <f t="shared" si="259"/>
        <v>0</v>
      </c>
      <c r="Q3257" s="487"/>
    </row>
    <row r="3258" spans="1:17" x14ac:dyDescent="0.3">
      <c r="A3258" s="487" t="b">
        <f t="shared" ca="1" si="260"/>
        <v>0</v>
      </c>
      <c r="B3258" s="500" t="str">
        <f ca="1">IF(COUNTA(G$2360:G3257)=1,"",OFFSET(B3258,-COUNTA(G$2360:G3257)+1,0))</f>
        <v>a1b3p000003dxcCAAQ</v>
      </c>
      <c r="C3258" s="502">
        <f ca="1">IF(COUNTA(G$2360:G3257)=1,"",OFFSET(C3258,-COUNTA(G$2360:G3257)+1,0))</f>
        <v>70</v>
      </c>
      <c r="D3258" s="487">
        <f t="shared" si="256"/>
        <v>416</v>
      </c>
      <c r="E3258" s="487">
        <f t="shared" ca="1" si="257"/>
        <v>2</v>
      </c>
      <c r="F3258" s="487">
        <f t="shared" ca="1" si="258"/>
        <v>78</v>
      </c>
      <c r="G3258" s="487"/>
      <c r="H3258" s="493" t="str">
        <f t="shared" ca="1" si="261"/>
        <v/>
      </c>
      <c r="I3258" s="493" t="str">
        <f t="shared" ca="1" si="262"/>
        <v/>
      </c>
      <c r="J3258" s="493" t="str">
        <f t="shared" ca="1" si="263"/>
        <v/>
      </c>
      <c r="K3258" s="493" t="str">
        <f t="shared" ca="1" si="264"/>
        <v/>
      </c>
      <c r="L3258" s="487"/>
      <c r="M3258" s="487"/>
      <c r="N3258" s="487"/>
      <c r="O3258" s="487"/>
      <c r="P3258" s="487">
        <f t="shared" si="259"/>
        <v>0</v>
      </c>
      <c r="Q3258" s="487"/>
    </row>
    <row r="3259" spans="1:17" x14ac:dyDescent="0.3">
      <c r="A3259" s="487" t="b">
        <f t="shared" ca="1" si="260"/>
        <v>0</v>
      </c>
      <c r="B3259" s="500" t="str">
        <f ca="1">IF(COUNTA(G$2360:G3258)=1,"",OFFSET(B3259,-COUNTA(G$2360:G3258)+1,0))</f>
        <v>a1b3p000003dxdUAAQ</v>
      </c>
      <c r="C3259" s="502">
        <f ca="1">IF(COUNTA(G$2360:G3258)=1,"",OFFSET(C3259,-COUNTA(G$2360:G3258)+1,0))</f>
        <v>70</v>
      </c>
      <c r="D3259" s="487">
        <f t="shared" ref="D3259:D3322" si="265">D3258+1</f>
        <v>417</v>
      </c>
      <c r="E3259" s="487">
        <f t="shared" ref="E3259:E3322" ca="1" si="266">COUNTIF(C3254:C3259,C3259)</f>
        <v>3</v>
      </c>
      <c r="F3259" s="487">
        <f t="shared" ref="F3259:F3322" ca="1" si="267">IF(C3259=1,9,IF(E3258=MAX(E3257:E3259),F3257+1,F3258))</f>
        <v>78</v>
      </c>
      <c r="G3259" s="487"/>
      <c r="H3259" s="493" t="str">
        <f t="shared" ca="1" si="261"/>
        <v/>
      </c>
      <c r="I3259" s="493" t="str">
        <f t="shared" ca="1" si="262"/>
        <v/>
      </c>
      <c r="J3259" s="493" t="str">
        <f t="shared" ca="1" si="263"/>
        <v/>
      </c>
      <c r="K3259" s="493" t="str">
        <f t="shared" ca="1" si="264"/>
        <v/>
      </c>
      <c r="L3259" s="487"/>
      <c r="M3259" s="487"/>
      <c r="N3259" s="487"/>
      <c r="O3259" s="487"/>
      <c r="P3259" s="487">
        <f t="shared" ref="P3259:P3322" si="268">IF(NOT(_xlfn.ISFORMULA(I3259)),P3258+1,0)</f>
        <v>0</v>
      </c>
      <c r="Q3259" s="487"/>
    </row>
    <row r="3260" spans="1:17" x14ac:dyDescent="0.3">
      <c r="A3260" s="487" t="b">
        <f t="shared" ca="1" si="260"/>
        <v>0</v>
      </c>
      <c r="B3260" s="500" t="str">
        <f ca="1">IF(COUNTA(G$2360:G3259)=1,"",OFFSET(B3260,-COUNTA(G$2360:G3259)+1,0))</f>
        <v>a1b3p000003dxemAAA</v>
      </c>
      <c r="C3260" s="502">
        <f ca="1">IF(COUNTA(G$2360:G3259)=1,"",OFFSET(C3260,-COUNTA(G$2360:G3259)+1,0))</f>
        <v>70</v>
      </c>
      <c r="D3260" s="487">
        <f t="shared" si="265"/>
        <v>418</v>
      </c>
      <c r="E3260" s="487">
        <f t="shared" ca="1" si="266"/>
        <v>4</v>
      </c>
      <c r="F3260" s="487">
        <f t="shared" ca="1" si="267"/>
        <v>78</v>
      </c>
      <c r="G3260" s="487"/>
      <c r="H3260" s="493" t="str">
        <f t="shared" ca="1" si="261"/>
        <v/>
      </c>
      <c r="I3260" s="493" t="str">
        <f t="shared" ca="1" si="262"/>
        <v/>
      </c>
      <c r="J3260" s="493" t="str">
        <f t="shared" ca="1" si="263"/>
        <v/>
      </c>
      <c r="K3260" s="493" t="str">
        <f t="shared" ca="1" si="264"/>
        <v/>
      </c>
      <c r="L3260" s="487"/>
      <c r="M3260" s="487"/>
      <c r="N3260" s="487"/>
      <c r="O3260" s="487"/>
      <c r="P3260" s="487">
        <f t="shared" si="268"/>
        <v>0</v>
      </c>
      <c r="Q3260" s="487"/>
    </row>
    <row r="3261" spans="1:17" x14ac:dyDescent="0.3">
      <c r="A3261" s="487" t="b">
        <f t="shared" ca="1" si="260"/>
        <v>0</v>
      </c>
      <c r="B3261" s="500" t="str">
        <f ca="1">IF(COUNTA(G$2360:G3260)=1,"",OFFSET(B3261,-COUNTA(G$2360:G3260)+1,0))</f>
        <v>a1b3p000003dxg4AAA</v>
      </c>
      <c r="C3261" s="502">
        <f ca="1">IF(COUNTA(G$2360:G3260)=1,"",OFFSET(C3261,-COUNTA(G$2360:G3260)+1,0))</f>
        <v>70</v>
      </c>
      <c r="D3261" s="487">
        <f t="shared" si="265"/>
        <v>419</v>
      </c>
      <c r="E3261" s="487">
        <f t="shared" ca="1" si="266"/>
        <v>5</v>
      </c>
      <c r="F3261" s="487">
        <f t="shared" ca="1" si="267"/>
        <v>78</v>
      </c>
      <c r="G3261" s="487"/>
      <c r="H3261" s="493" t="str">
        <f t="shared" ca="1" si="261"/>
        <v/>
      </c>
      <c r="I3261" s="493" t="str">
        <f t="shared" ca="1" si="262"/>
        <v/>
      </c>
      <c r="J3261" s="493" t="str">
        <f t="shared" ca="1" si="263"/>
        <v/>
      </c>
      <c r="K3261" s="493" t="str">
        <f t="shared" ca="1" si="264"/>
        <v/>
      </c>
      <c r="L3261" s="487"/>
      <c r="M3261" s="487"/>
      <c r="N3261" s="487"/>
      <c r="O3261" s="487"/>
      <c r="P3261" s="487">
        <f t="shared" si="268"/>
        <v>0</v>
      </c>
      <c r="Q3261" s="487"/>
    </row>
    <row r="3262" spans="1:17" x14ac:dyDescent="0.3">
      <c r="A3262" s="487" t="b">
        <f t="shared" ca="1" si="260"/>
        <v>0</v>
      </c>
      <c r="B3262" s="500" t="str">
        <f ca="1">IF(COUNTA(G$2360:G3261)=1,"",OFFSET(B3262,-COUNTA(G$2360:G3261)+1,0))</f>
        <v>a1b3p000003dxhMAAQ</v>
      </c>
      <c r="C3262" s="502">
        <f ca="1">IF(COUNTA(G$2360:G3261)=1,"",OFFSET(C3262,-COUNTA(G$2360:G3261)+1,0))</f>
        <v>70</v>
      </c>
      <c r="D3262" s="487">
        <f t="shared" si="265"/>
        <v>420</v>
      </c>
      <c r="E3262" s="487">
        <f t="shared" ca="1" si="266"/>
        <v>6</v>
      </c>
      <c r="F3262" s="487">
        <f t="shared" ca="1" si="267"/>
        <v>78</v>
      </c>
      <c r="G3262" s="487"/>
      <c r="H3262" s="493" t="str">
        <f t="shared" ca="1" si="261"/>
        <v/>
      </c>
      <c r="I3262" s="493" t="str">
        <f t="shared" ca="1" si="262"/>
        <v/>
      </c>
      <c r="J3262" s="493" t="str">
        <f t="shared" ca="1" si="263"/>
        <v/>
      </c>
      <c r="K3262" s="493" t="str">
        <f t="shared" ca="1" si="264"/>
        <v/>
      </c>
      <c r="L3262" s="487"/>
      <c r="M3262" s="487"/>
      <c r="N3262" s="487"/>
      <c r="O3262" s="487"/>
      <c r="P3262" s="487">
        <f t="shared" si="268"/>
        <v>0</v>
      </c>
      <c r="Q3262" s="487"/>
    </row>
    <row r="3263" spans="1:17" x14ac:dyDescent="0.3">
      <c r="A3263" s="487" t="b">
        <f t="shared" ca="1" si="260"/>
        <v>0</v>
      </c>
      <c r="B3263" s="500" t="str">
        <f ca="1">IF(COUNTA(G$2360:G3262)=1,"",OFFSET(B3263,-COUNTA(G$2360:G3262)+1,0))</f>
        <v>a1b3p000003dxavAAA</v>
      </c>
      <c r="C3263" s="502">
        <f ca="1">IF(COUNTA(G$2360:G3262)=1,"",OFFSET(C3263,-COUNTA(G$2360:G3262)+1,0))</f>
        <v>71</v>
      </c>
      <c r="D3263" s="487">
        <f t="shared" si="265"/>
        <v>421</v>
      </c>
      <c r="E3263" s="487">
        <f t="shared" ca="1" si="266"/>
        <v>1</v>
      </c>
      <c r="F3263" s="487">
        <f t="shared" ca="1" si="267"/>
        <v>79</v>
      </c>
      <c r="G3263" s="487"/>
      <c r="H3263" s="493" t="str">
        <f t="shared" ca="1" si="261"/>
        <v/>
      </c>
      <c r="I3263" s="493" t="str">
        <f t="shared" ca="1" si="262"/>
        <v/>
      </c>
      <c r="J3263" s="493" t="str">
        <f t="shared" ca="1" si="263"/>
        <v/>
      </c>
      <c r="K3263" s="493" t="str">
        <f t="shared" ca="1" si="264"/>
        <v/>
      </c>
      <c r="L3263" s="487"/>
      <c r="M3263" s="487"/>
      <c r="N3263" s="487"/>
      <c r="O3263" s="487"/>
      <c r="P3263" s="487">
        <f t="shared" si="268"/>
        <v>0</v>
      </c>
      <c r="Q3263" s="487"/>
    </row>
    <row r="3264" spans="1:17" x14ac:dyDescent="0.3">
      <c r="A3264" s="487" t="b">
        <f t="shared" ca="1" si="260"/>
        <v>0</v>
      </c>
      <c r="B3264" s="500" t="str">
        <f ca="1">IF(COUNTA(G$2360:G3263)=1,"",OFFSET(B3264,-COUNTA(G$2360:G3263)+1,0))</f>
        <v>a1b3p000003dxcDAAQ</v>
      </c>
      <c r="C3264" s="502">
        <f ca="1">IF(COUNTA(G$2360:G3263)=1,"",OFFSET(C3264,-COUNTA(G$2360:G3263)+1,0))</f>
        <v>71</v>
      </c>
      <c r="D3264" s="487">
        <f t="shared" si="265"/>
        <v>422</v>
      </c>
      <c r="E3264" s="487">
        <f t="shared" ca="1" si="266"/>
        <v>2</v>
      </c>
      <c r="F3264" s="487">
        <f t="shared" ca="1" si="267"/>
        <v>79</v>
      </c>
      <c r="G3264" s="487"/>
      <c r="H3264" s="493" t="str">
        <f t="shared" ca="1" si="261"/>
        <v/>
      </c>
      <c r="I3264" s="493" t="str">
        <f t="shared" ca="1" si="262"/>
        <v/>
      </c>
      <c r="J3264" s="493" t="str">
        <f t="shared" ca="1" si="263"/>
        <v/>
      </c>
      <c r="K3264" s="493" t="str">
        <f t="shared" ca="1" si="264"/>
        <v/>
      </c>
      <c r="L3264" s="487"/>
      <c r="M3264" s="487"/>
      <c r="N3264" s="487"/>
      <c r="O3264" s="487"/>
      <c r="P3264" s="487">
        <f t="shared" si="268"/>
        <v>0</v>
      </c>
      <c r="Q3264" s="487"/>
    </row>
    <row r="3265" spans="1:17" x14ac:dyDescent="0.3">
      <c r="A3265" s="487" t="b">
        <f t="shared" ca="1" si="260"/>
        <v>0</v>
      </c>
      <c r="B3265" s="500" t="str">
        <f ca="1">IF(COUNTA(G$2360:G3264)=1,"",OFFSET(B3265,-COUNTA(G$2360:G3264)+1,0))</f>
        <v>a1b3p000003dxdVAAQ</v>
      </c>
      <c r="C3265" s="502">
        <f ca="1">IF(COUNTA(G$2360:G3264)=1,"",OFFSET(C3265,-COUNTA(G$2360:G3264)+1,0))</f>
        <v>71</v>
      </c>
      <c r="D3265" s="487">
        <f t="shared" si="265"/>
        <v>423</v>
      </c>
      <c r="E3265" s="487">
        <f t="shared" ca="1" si="266"/>
        <v>3</v>
      </c>
      <c r="F3265" s="487">
        <f t="shared" ca="1" si="267"/>
        <v>79</v>
      </c>
      <c r="G3265" s="487"/>
      <c r="H3265" s="493" t="str">
        <f t="shared" ca="1" si="261"/>
        <v/>
      </c>
      <c r="I3265" s="493" t="str">
        <f t="shared" ca="1" si="262"/>
        <v/>
      </c>
      <c r="J3265" s="493" t="str">
        <f t="shared" ca="1" si="263"/>
        <v/>
      </c>
      <c r="K3265" s="493" t="str">
        <f t="shared" ca="1" si="264"/>
        <v/>
      </c>
      <c r="L3265" s="487"/>
      <c r="M3265" s="487"/>
      <c r="N3265" s="487"/>
      <c r="O3265" s="487"/>
      <c r="P3265" s="487">
        <f t="shared" si="268"/>
        <v>0</v>
      </c>
      <c r="Q3265" s="487"/>
    </row>
    <row r="3266" spans="1:17" x14ac:dyDescent="0.3">
      <c r="A3266" s="487" t="b">
        <f t="shared" ca="1" si="260"/>
        <v>0</v>
      </c>
      <c r="B3266" s="500" t="str">
        <f ca="1">IF(COUNTA(G$2360:G3265)=1,"",OFFSET(B3266,-COUNTA(G$2360:G3265)+1,0))</f>
        <v>a1b3p000003dxenAAA</v>
      </c>
      <c r="C3266" s="502">
        <f ca="1">IF(COUNTA(G$2360:G3265)=1,"",OFFSET(C3266,-COUNTA(G$2360:G3265)+1,0))</f>
        <v>71</v>
      </c>
      <c r="D3266" s="487">
        <f t="shared" si="265"/>
        <v>424</v>
      </c>
      <c r="E3266" s="487">
        <f t="shared" ca="1" si="266"/>
        <v>4</v>
      </c>
      <c r="F3266" s="487">
        <f t="shared" ca="1" si="267"/>
        <v>79</v>
      </c>
      <c r="G3266" s="487"/>
      <c r="H3266" s="493" t="str">
        <f t="shared" ca="1" si="261"/>
        <v/>
      </c>
      <c r="I3266" s="493" t="str">
        <f t="shared" ca="1" si="262"/>
        <v/>
      </c>
      <c r="J3266" s="493" t="str">
        <f t="shared" ca="1" si="263"/>
        <v/>
      </c>
      <c r="K3266" s="493" t="str">
        <f t="shared" ca="1" si="264"/>
        <v/>
      </c>
      <c r="L3266" s="487"/>
      <c r="M3266" s="487"/>
      <c r="N3266" s="487"/>
      <c r="O3266" s="487"/>
      <c r="P3266" s="487">
        <f t="shared" si="268"/>
        <v>0</v>
      </c>
      <c r="Q3266" s="487"/>
    </row>
    <row r="3267" spans="1:17" x14ac:dyDescent="0.3">
      <c r="A3267" s="487" t="b">
        <f t="shared" ca="1" si="260"/>
        <v>0</v>
      </c>
      <c r="B3267" s="500" t="str">
        <f ca="1">IF(COUNTA(G$2360:G3266)=1,"",OFFSET(B3267,-COUNTA(G$2360:G3266)+1,0))</f>
        <v>a1b3p000003dxg5AAA</v>
      </c>
      <c r="C3267" s="502">
        <f ca="1">IF(COUNTA(G$2360:G3266)=1,"",OFFSET(C3267,-COUNTA(G$2360:G3266)+1,0))</f>
        <v>71</v>
      </c>
      <c r="D3267" s="487">
        <f t="shared" si="265"/>
        <v>425</v>
      </c>
      <c r="E3267" s="487">
        <f t="shared" ca="1" si="266"/>
        <v>5</v>
      </c>
      <c r="F3267" s="487">
        <f t="shared" ca="1" si="267"/>
        <v>79</v>
      </c>
      <c r="G3267" s="487"/>
      <c r="H3267" s="493" t="str">
        <f t="shared" ca="1" si="261"/>
        <v/>
      </c>
      <c r="I3267" s="493" t="str">
        <f t="shared" ca="1" si="262"/>
        <v/>
      </c>
      <c r="J3267" s="493" t="str">
        <f t="shared" ca="1" si="263"/>
        <v/>
      </c>
      <c r="K3267" s="493" t="str">
        <f t="shared" ca="1" si="264"/>
        <v/>
      </c>
      <c r="L3267" s="487"/>
      <c r="M3267" s="487"/>
      <c r="N3267" s="487"/>
      <c r="O3267" s="487"/>
      <c r="P3267" s="487">
        <f t="shared" si="268"/>
        <v>0</v>
      </c>
      <c r="Q3267" s="487"/>
    </row>
    <row r="3268" spans="1:17" x14ac:dyDescent="0.3">
      <c r="A3268" s="487" t="b">
        <f t="shared" ca="1" si="260"/>
        <v>0</v>
      </c>
      <c r="B3268" s="500" t="str">
        <f ca="1">IF(COUNTA(G$2360:G3267)=1,"",OFFSET(B3268,-COUNTA(G$2360:G3267)+1,0))</f>
        <v>a1b3p000003dxhNAAQ</v>
      </c>
      <c r="C3268" s="502">
        <f ca="1">IF(COUNTA(G$2360:G3267)=1,"",OFFSET(C3268,-COUNTA(G$2360:G3267)+1,0))</f>
        <v>71</v>
      </c>
      <c r="D3268" s="487">
        <f t="shared" si="265"/>
        <v>426</v>
      </c>
      <c r="E3268" s="487">
        <f t="shared" ca="1" si="266"/>
        <v>6</v>
      </c>
      <c r="F3268" s="487">
        <f t="shared" ca="1" si="267"/>
        <v>79</v>
      </c>
      <c r="G3268" s="487"/>
      <c r="H3268" s="493" t="str">
        <f t="shared" ca="1" si="261"/>
        <v/>
      </c>
      <c r="I3268" s="493" t="str">
        <f t="shared" ca="1" si="262"/>
        <v/>
      </c>
      <c r="J3268" s="493" t="str">
        <f t="shared" ca="1" si="263"/>
        <v/>
      </c>
      <c r="K3268" s="493" t="str">
        <f t="shared" ca="1" si="264"/>
        <v/>
      </c>
      <c r="L3268" s="487"/>
      <c r="M3268" s="487"/>
      <c r="N3268" s="487"/>
      <c r="O3268" s="487"/>
      <c r="P3268" s="487">
        <f t="shared" si="268"/>
        <v>0</v>
      </c>
      <c r="Q3268" s="487"/>
    </row>
    <row r="3269" spans="1:17" x14ac:dyDescent="0.3">
      <c r="A3269" s="487" t="b">
        <f t="shared" ca="1" si="260"/>
        <v>0</v>
      </c>
      <c r="B3269" s="500" t="str">
        <f ca="1">IF(COUNTA(G$2360:G3268)=1,"",OFFSET(B3269,-COUNTA(G$2360:G3268)+1,0))</f>
        <v>a1b3p000003dxawAAA</v>
      </c>
      <c r="C3269" s="502">
        <f ca="1">IF(COUNTA(G$2360:G3268)=1,"",OFFSET(C3269,-COUNTA(G$2360:G3268)+1,0))</f>
        <v>72</v>
      </c>
      <c r="D3269" s="487">
        <f t="shared" si="265"/>
        <v>427</v>
      </c>
      <c r="E3269" s="487">
        <f t="shared" ca="1" si="266"/>
        <v>1</v>
      </c>
      <c r="F3269" s="487">
        <f t="shared" ca="1" si="267"/>
        <v>80</v>
      </c>
      <c r="G3269" s="487"/>
      <c r="H3269" s="493" t="str">
        <f t="shared" ca="1" si="261"/>
        <v/>
      </c>
      <c r="I3269" s="493" t="str">
        <f t="shared" ca="1" si="262"/>
        <v/>
      </c>
      <c r="J3269" s="493" t="str">
        <f t="shared" ca="1" si="263"/>
        <v/>
      </c>
      <c r="K3269" s="493" t="str">
        <f t="shared" ca="1" si="264"/>
        <v/>
      </c>
      <c r="L3269" s="487"/>
      <c r="M3269" s="487"/>
      <c r="N3269" s="487"/>
      <c r="O3269" s="487"/>
      <c r="P3269" s="487">
        <f t="shared" si="268"/>
        <v>0</v>
      </c>
      <c r="Q3269" s="487"/>
    </row>
    <row r="3270" spans="1:17" x14ac:dyDescent="0.3">
      <c r="A3270" s="487" t="b">
        <f t="shared" ca="1" si="260"/>
        <v>0</v>
      </c>
      <c r="B3270" s="500" t="str">
        <f ca="1">IF(COUNTA(G$2360:G3269)=1,"",OFFSET(B3270,-COUNTA(G$2360:G3269)+1,0))</f>
        <v>a1b3p000003dxcEAAQ</v>
      </c>
      <c r="C3270" s="502">
        <f ca="1">IF(COUNTA(G$2360:G3269)=1,"",OFFSET(C3270,-COUNTA(G$2360:G3269)+1,0))</f>
        <v>72</v>
      </c>
      <c r="D3270" s="487">
        <f t="shared" si="265"/>
        <v>428</v>
      </c>
      <c r="E3270" s="487">
        <f t="shared" ca="1" si="266"/>
        <v>2</v>
      </c>
      <c r="F3270" s="487">
        <f t="shared" ca="1" si="267"/>
        <v>80</v>
      </c>
      <c r="G3270" s="487"/>
      <c r="H3270" s="493" t="str">
        <f t="shared" ca="1" si="261"/>
        <v/>
      </c>
      <c r="I3270" s="493" t="str">
        <f t="shared" ca="1" si="262"/>
        <v/>
      </c>
      <c r="J3270" s="493" t="str">
        <f t="shared" ca="1" si="263"/>
        <v/>
      </c>
      <c r="K3270" s="493" t="str">
        <f t="shared" ca="1" si="264"/>
        <v/>
      </c>
      <c r="L3270" s="487"/>
      <c r="M3270" s="487"/>
      <c r="N3270" s="487"/>
      <c r="O3270" s="487"/>
      <c r="P3270" s="487">
        <f t="shared" si="268"/>
        <v>0</v>
      </c>
      <c r="Q3270" s="487"/>
    </row>
    <row r="3271" spans="1:17" x14ac:dyDescent="0.3">
      <c r="A3271" s="487" t="b">
        <f t="shared" ca="1" si="260"/>
        <v>0</v>
      </c>
      <c r="B3271" s="500" t="str">
        <f ca="1">IF(COUNTA(G$2360:G3270)=1,"",OFFSET(B3271,-COUNTA(G$2360:G3270)+1,0))</f>
        <v>a1b3p000003dxdWAAQ</v>
      </c>
      <c r="C3271" s="502">
        <f ca="1">IF(COUNTA(G$2360:G3270)=1,"",OFFSET(C3271,-COUNTA(G$2360:G3270)+1,0))</f>
        <v>72</v>
      </c>
      <c r="D3271" s="487">
        <f t="shared" si="265"/>
        <v>429</v>
      </c>
      <c r="E3271" s="487">
        <f t="shared" ca="1" si="266"/>
        <v>3</v>
      </c>
      <c r="F3271" s="487">
        <f t="shared" ca="1" si="267"/>
        <v>80</v>
      </c>
      <c r="G3271" s="487"/>
      <c r="H3271" s="493" t="str">
        <f t="shared" ca="1" si="261"/>
        <v/>
      </c>
      <c r="I3271" s="493" t="str">
        <f t="shared" ca="1" si="262"/>
        <v/>
      </c>
      <c r="J3271" s="493" t="str">
        <f t="shared" ca="1" si="263"/>
        <v/>
      </c>
      <c r="K3271" s="493" t="str">
        <f t="shared" ca="1" si="264"/>
        <v/>
      </c>
      <c r="L3271" s="487"/>
      <c r="M3271" s="487"/>
      <c r="N3271" s="487"/>
      <c r="O3271" s="487"/>
      <c r="P3271" s="487">
        <f t="shared" si="268"/>
        <v>0</v>
      </c>
      <c r="Q3271" s="487"/>
    </row>
    <row r="3272" spans="1:17" x14ac:dyDescent="0.3">
      <c r="A3272" s="487" t="b">
        <f t="shared" ca="1" si="260"/>
        <v>0</v>
      </c>
      <c r="B3272" s="500" t="str">
        <f ca="1">IF(COUNTA(G$2360:G3271)=1,"",OFFSET(B3272,-COUNTA(G$2360:G3271)+1,0))</f>
        <v>a1b3p000003dxeoAAA</v>
      </c>
      <c r="C3272" s="502">
        <f ca="1">IF(COUNTA(G$2360:G3271)=1,"",OFFSET(C3272,-COUNTA(G$2360:G3271)+1,0))</f>
        <v>72</v>
      </c>
      <c r="D3272" s="487">
        <f t="shared" si="265"/>
        <v>430</v>
      </c>
      <c r="E3272" s="487">
        <f t="shared" ca="1" si="266"/>
        <v>4</v>
      </c>
      <c r="F3272" s="487">
        <f t="shared" ca="1" si="267"/>
        <v>80</v>
      </c>
      <c r="G3272" s="487"/>
      <c r="H3272" s="493" t="str">
        <f t="shared" ca="1" si="261"/>
        <v/>
      </c>
      <c r="I3272" s="493" t="str">
        <f t="shared" ca="1" si="262"/>
        <v/>
      </c>
      <c r="J3272" s="493" t="str">
        <f t="shared" ca="1" si="263"/>
        <v/>
      </c>
      <c r="K3272" s="493" t="str">
        <f t="shared" ca="1" si="264"/>
        <v/>
      </c>
      <c r="L3272" s="487"/>
      <c r="M3272" s="487"/>
      <c r="N3272" s="487"/>
      <c r="O3272" s="487"/>
      <c r="P3272" s="487">
        <f t="shared" si="268"/>
        <v>0</v>
      </c>
      <c r="Q3272" s="487"/>
    </row>
    <row r="3273" spans="1:17" x14ac:dyDescent="0.3">
      <c r="A3273" s="487" t="b">
        <f t="shared" ca="1" si="260"/>
        <v>0</v>
      </c>
      <c r="B3273" s="500" t="str">
        <f ca="1">IF(COUNTA(G$2360:G3272)=1,"",OFFSET(B3273,-COUNTA(G$2360:G3272)+1,0))</f>
        <v>a1b3p000003dxg6AAA</v>
      </c>
      <c r="C3273" s="502">
        <f ca="1">IF(COUNTA(G$2360:G3272)=1,"",OFFSET(C3273,-COUNTA(G$2360:G3272)+1,0))</f>
        <v>72</v>
      </c>
      <c r="D3273" s="487">
        <f t="shared" si="265"/>
        <v>431</v>
      </c>
      <c r="E3273" s="487">
        <f t="shared" ca="1" si="266"/>
        <v>5</v>
      </c>
      <c r="F3273" s="487">
        <f t="shared" ca="1" si="267"/>
        <v>80</v>
      </c>
      <c r="G3273" s="487"/>
      <c r="H3273" s="493" t="str">
        <f t="shared" ca="1" si="261"/>
        <v/>
      </c>
      <c r="I3273" s="493" t="str">
        <f t="shared" ca="1" si="262"/>
        <v/>
      </c>
      <c r="J3273" s="493" t="str">
        <f t="shared" ca="1" si="263"/>
        <v/>
      </c>
      <c r="K3273" s="493" t="str">
        <f t="shared" ca="1" si="264"/>
        <v/>
      </c>
      <c r="L3273" s="487"/>
      <c r="M3273" s="487"/>
      <c r="N3273" s="487"/>
      <c r="O3273" s="487"/>
      <c r="P3273" s="487">
        <f t="shared" si="268"/>
        <v>0</v>
      </c>
      <c r="Q3273" s="487"/>
    </row>
    <row r="3274" spans="1:17" x14ac:dyDescent="0.3">
      <c r="A3274" s="487" t="b">
        <f t="shared" ca="1" si="260"/>
        <v>0</v>
      </c>
      <c r="B3274" s="500" t="str">
        <f ca="1">IF(COUNTA(G$2360:G3273)=1,"",OFFSET(B3274,-COUNTA(G$2360:G3273)+1,0))</f>
        <v>a1b3p000003dxhOAAQ</v>
      </c>
      <c r="C3274" s="502">
        <f ca="1">IF(COUNTA(G$2360:G3273)=1,"",OFFSET(C3274,-COUNTA(G$2360:G3273)+1,0))</f>
        <v>72</v>
      </c>
      <c r="D3274" s="487">
        <f t="shared" si="265"/>
        <v>432</v>
      </c>
      <c r="E3274" s="487">
        <f t="shared" ca="1" si="266"/>
        <v>6</v>
      </c>
      <c r="F3274" s="487">
        <f t="shared" ca="1" si="267"/>
        <v>80</v>
      </c>
      <c r="G3274" s="487"/>
      <c r="H3274" s="493" t="str">
        <f t="shared" ca="1" si="261"/>
        <v/>
      </c>
      <c r="I3274" s="493" t="str">
        <f t="shared" ca="1" si="262"/>
        <v/>
      </c>
      <c r="J3274" s="493" t="str">
        <f t="shared" ca="1" si="263"/>
        <v/>
      </c>
      <c r="K3274" s="493" t="str">
        <f t="shared" ca="1" si="264"/>
        <v/>
      </c>
      <c r="L3274" s="487"/>
      <c r="M3274" s="487"/>
      <c r="N3274" s="487"/>
      <c r="O3274" s="487"/>
      <c r="P3274" s="487">
        <f t="shared" si="268"/>
        <v>0</v>
      </c>
      <c r="Q3274" s="487"/>
    </row>
    <row r="3275" spans="1:17" x14ac:dyDescent="0.3">
      <c r="A3275" s="487" t="b">
        <f t="shared" ca="1" si="260"/>
        <v>0</v>
      </c>
      <c r="B3275" s="500" t="str">
        <f ca="1">IF(COUNTA(G$2360:G3274)=1,"",OFFSET(B3275,-COUNTA(G$2360:G3274)+1,0))</f>
        <v>a1b3p000003dxaxAAA</v>
      </c>
      <c r="C3275" s="502">
        <f ca="1">IF(COUNTA(G$2360:G3274)=1,"",OFFSET(C3275,-COUNTA(G$2360:G3274)+1,0))</f>
        <v>73</v>
      </c>
      <c r="D3275" s="487">
        <f t="shared" si="265"/>
        <v>433</v>
      </c>
      <c r="E3275" s="487">
        <f t="shared" ca="1" si="266"/>
        <v>1</v>
      </c>
      <c r="F3275" s="487">
        <f t="shared" ca="1" si="267"/>
        <v>81</v>
      </c>
      <c r="G3275" s="487"/>
      <c r="H3275" s="493" t="str">
        <f t="shared" ca="1" si="261"/>
        <v/>
      </c>
      <c r="I3275" s="493" t="str">
        <f t="shared" ca="1" si="262"/>
        <v/>
      </c>
      <c r="J3275" s="493" t="str">
        <f t="shared" ca="1" si="263"/>
        <v/>
      </c>
      <c r="K3275" s="493" t="str">
        <f t="shared" ca="1" si="264"/>
        <v/>
      </c>
      <c r="L3275" s="487"/>
      <c r="M3275" s="487"/>
      <c r="N3275" s="487"/>
      <c r="O3275" s="487"/>
      <c r="P3275" s="487">
        <f t="shared" si="268"/>
        <v>0</v>
      </c>
      <c r="Q3275" s="487"/>
    </row>
    <row r="3276" spans="1:17" x14ac:dyDescent="0.3">
      <c r="A3276" s="487" t="b">
        <f t="shared" ca="1" si="260"/>
        <v>0</v>
      </c>
      <c r="B3276" s="500" t="str">
        <f ca="1">IF(COUNTA(G$2360:G3275)=1,"",OFFSET(B3276,-COUNTA(G$2360:G3275)+1,0))</f>
        <v>a1b3p000003dxcFAAQ</v>
      </c>
      <c r="C3276" s="502">
        <f ca="1">IF(COUNTA(G$2360:G3275)=1,"",OFFSET(C3276,-COUNTA(G$2360:G3275)+1,0))</f>
        <v>73</v>
      </c>
      <c r="D3276" s="487">
        <f t="shared" si="265"/>
        <v>434</v>
      </c>
      <c r="E3276" s="487">
        <f t="shared" ca="1" si="266"/>
        <v>2</v>
      </c>
      <c r="F3276" s="487">
        <f t="shared" ca="1" si="267"/>
        <v>81</v>
      </c>
      <c r="G3276" s="487"/>
      <c r="H3276" s="493" t="str">
        <f t="shared" ca="1" si="261"/>
        <v/>
      </c>
      <c r="I3276" s="493" t="str">
        <f t="shared" ca="1" si="262"/>
        <v/>
      </c>
      <c r="J3276" s="493" t="str">
        <f t="shared" ca="1" si="263"/>
        <v/>
      </c>
      <c r="K3276" s="493" t="str">
        <f t="shared" ca="1" si="264"/>
        <v/>
      </c>
      <c r="L3276" s="487"/>
      <c r="M3276" s="487"/>
      <c r="N3276" s="487"/>
      <c r="O3276" s="487"/>
      <c r="P3276" s="487">
        <f t="shared" si="268"/>
        <v>0</v>
      </c>
      <c r="Q3276" s="487"/>
    </row>
    <row r="3277" spans="1:17" x14ac:dyDescent="0.3">
      <c r="A3277" s="487" t="b">
        <f t="shared" ca="1" si="260"/>
        <v>0</v>
      </c>
      <c r="B3277" s="500" t="str">
        <f ca="1">IF(COUNTA(G$2360:G3276)=1,"",OFFSET(B3277,-COUNTA(G$2360:G3276)+1,0))</f>
        <v>a1b3p000003dxdXAAQ</v>
      </c>
      <c r="C3277" s="502">
        <f ca="1">IF(COUNTA(G$2360:G3276)=1,"",OFFSET(C3277,-COUNTA(G$2360:G3276)+1,0))</f>
        <v>73</v>
      </c>
      <c r="D3277" s="487">
        <f t="shared" si="265"/>
        <v>435</v>
      </c>
      <c r="E3277" s="487">
        <f t="shared" ca="1" si="266"/>
        <v>3</v>
      </c>
      <c r="F3277" s="487">
        <f t="shared" ca="1" si="267"/>
        <v>81</v>
      </c>
      <c r="G3277" s="487"/>
      <c r="H3277" s="493" t="str">
        <f t="shared" ca="1" si="261"/>
        <v/>
      </c>
      <c r="I3277" s="493" t="str">
        <f t="shared" ca="1" si="262"/>
        <v/>
      </c>
      <c r="J3277" s="493" t="str">
        <f t="shared" ca="1" si="263"/>
        <v/>
      </c>
      <c r="K3277" s="493" t="str">
        <f t="shared" ca="1" si="264"/>
        <v/>
      </c>
      <c r="L3277" s="487"/>
      <c r="M3277" s="487"/>
      <c r="N3277" s="487"/>
      <c r="O3277" s="487"/>
      <c r="P3277" s="487">
        <f t="shared" si="268"/>
        <v>0</v>
      </c>
      <c r="Q3277" s="487"/>
    </row>
    <row r="3278" spans="1:17" x14ac:dyDescent="0.3">
      <c r="A3278" s="487" t="b">
        <f t="shared" ca="1" si="260"/>
        <v>0</v>
      </c>
      <c r="B3278" s="500" t="str">
        <f ca="1">IF(COUNTA(G$2360:G3277)=1,"",OFFSET(B3278,-COUNTA(G$2360:G3277)+1,0))</f>
        <v>a1b3p000003dxepAAA</v>
      </c>
      <c r="C3278" s="502">
        <f ca="1">IF(COUNTA(G$2360:G3277)=1,"",OFFSET(C3278,-COUNTA(G$2360:G3277)+1,0))</f>
        <v>73</v>
      </c>
      <c r="D3278" s="487">
        <f t="shared" si="265"/>
        <v>436</v>
      </c>
      <c r="E3278" s="487">
        <f t="shared" ca="1" si="266"/>
        <v>4</v>
      </c>
      <c r="F3278" s="487">
        <f t="shared" ca="1" si="267"/>
        <v>81</v>
      </c>
      <c r="G3278" s="487"/>
      <c r="H3278" s="493" t="str">
        <f t="shared" ca="1" si="261"/>
        <v/>
      </c>
      <c r="I3278" s="493" t="str">
        <f t="shared" ca="1" si="262"/>
        <v/>
      </c>
      <c r="J3278" s="493" t="str">
        <f t="shared" ca="1" si="263"/>
        <v/>
      </c>
      <c r="K3278" s="493" t="str">
        <f t="shared" ca="1" si="264"/>
        <v/>
      </c>
      <c r="L3278" s="487"/>
      <c r="M3278" s="487"/>
      <c r="N3278" s="487"/>
      <c r="O3278" s="487"/>
      <c r="P3278" s="487">
        <f t="shared" si="268"/>
        <v>0</v>
      </c>
      <c r="Q3278" s="487"/>
    </row>
    <row r="3279" spans="1:17" x14ac:dyDescent="0.3">
      <c r="A3279" s="487" t="b">
        <f t="shared" ca="1" si="260"/>
        <v>0</v>
      </c>
      <c r="B3279" s="500" t="str">
        <f ca="1">IF(COUNTA(G$2360:G3278)=1,"",OFFSET(B3279,-COUNTA(G$2360:G3278)+1,0))</f>
        <v>a1b3p000003dxg7AAA</v>
      </c>
      <c r="C3279" s="502">
        <f ca="1">IF(COUNTA(G$2360:G3278)=1,"",OFFSET(C3279,-COUNTA(G$2360:G3278)+1,0))</f>
        <v>73</v>
      </c>
      <c r="D3279" s="487">
        <f t="shared" si="265"/>
        <v>437</v>
      </c>
      <c r="E3279" s="487">
        <f t="shared" ca="1" si="266"/>
        <v>5</v>
      </c>
      <c r="F3279" s="487">
        <f t="shared" ca="1" si="267"/>
        <v>81</v>
      </c>
      <c r="G3279" s="487"/>
      <c r="H3279" s="493" t="str">
        <f t="shared" ca="1" si="261"/>
        <v/>
      </c>
      <c r="I3279" s="493" t="str">
        <f t="shared" ca="1" si="262"/>
        <v/>
      </c>
      <c r="J3279" s="493" t="str">
        <f t="shared" ca="1" si="263"/>
        <v/>
      </c>
      <c r="K3279" s="493" t="str">
        <f t="shared" ca="1" si="264"/>
        <v/>
      </c>
      <c r="L3279" s="487"/>
      <c r="M3279" s="487"/>
      <c r="N3279" s="487"/>
      <c r="O3279" s="487"/>
      <c r="P3279" s="487">
        <f t="shared" si="268"/>
        <v>0</v>
      </c>
      <c r="Q3279" s="487"/>
    </row>
    <row r="3280" spans="1:17" x14ac:dyDescent="0.3">
      <c r="A3280" s="487" t="b">
        <f t="shared" ca="1" si="260"/>
        <v>0</v>
      </c>
      <c r="B3280" s="500" t="str">
        <f ca="1">IF(COUNTA(G$2360:G3279)=1,"",OFFSET(B3280,-COUNTA(G$2360:G3279)+1,0))</f>
        <v>a1b3p000003dxhPAAQ</v>
      </c>
      <c r="C3280" s="502">
        <f ca="1">IF(COUNTA(G$2360:G3279)=1,"",OFFSET(C3280,-COUNTA(G$2360:G3279)+1,0))</f>
        <v>73</v>
      </c>
      <c r="D3280" s="487">
        <f t="shared" si="265"/>
        <v>438</v>
      </c>
      <c r="E3280" s="487">
        <f t="shared" ca="1" si="266"/>
        <v>6</v>
      </c>
      <c r="F3280" s="487">
        <f t="shared" ca="1" si="267"/>
        <v>81</v>
      </c>
      <c r="G3280" s="487"/>
      <c r="H3280" s="493" t="str">
        <f t="shared" ca="1" si="261"/>
        <v/>
      </c>
      <c r="I3280" s="493" t="str">
        <f t="shared" ca="1" si="262"/>
        <v/>
      </c>
      <c r="J3280" s="493" t="str">
        <f t="shared" ca="1" si="263"/>
        <v/>
      </c>
      <c r="K3280" s="493" t="str">
        <f t="shared" ca="1" si="264"/>
        <v/>
      </c>
      <c r="L3280" s="487"/>
      <c r="M3280" s="487"/>
      <c r="N3280" s="487"/>
      <c r="O3280" s="487"/>
      <c r="P3280" s="487">
        <f t="shared" si="268"/>
        <v>0</v>
      </c>
      <c r="Q3280" s="487"/>
    </row>
    <row r="3281" spans="1:17" x14ac:dyDescent="0.3">
      <c r="A3281" s="487" t="b">
        <f t="shared" ca="1" si="260"/>
        <v>0</v>
      </c>
      <c r="B3281" s="500" t="str">
        <f ca="1">IF(COUNTA(G$2360:G3280)=1,"",OFFSET(B3281,-COUNTA(G$2360:G3280)+1,0))</f>
        <v>a1b3p000003dxayAAA</v>
      </c>
      <c r="C3281" s="502">
        <f ca="1">IF(COUNTA(G$2360:G3280)=1,"",OFFSET(C3281,-COUNTA(G$2360:G3280)+1,0))</f>
        <v>74</v>
      </c>
      <c r="D3281" s="487">
        <f t="shared" si="265"/>
        <v>439</v>
      </c>
      <c r="E3281" s="487">
        <f t="shared" ca="1" si="266"/>
        <v>1</v>
      </c>
      <c r="F3281" s="487">
        <f t="shared" ca="1" si="267"/>
        <v>82</v>
      </c>
      <c r="G3281" s="487"/>
      <c r="H3281" s="493" t="str">
        <f t="shared" ca="1" si="261"/>
        <v/>
      </c>
      <c r="I3281" s="493" t="str">
        <f t="shared" ca="1" si="262"/>
        <v/>
      </c>
      <c r="J3281" s="493" t="str">
        <f t="shared" ca="1" si="263"/>
        <v/>
      </c>
      <c r="K3281" s="493" t="str">
        <f t="shared" ca="1" si="264"/>
        <v/>
      </c>
      <c r="L3281" s="487"/>
      <c r="M3281" s="487"/>
      <c r="N3281" s="487"/>
      <c r="O3281" s="487"/>
      <c r="P3281" s="487">
        <f t="shared" si="268"/>
        <v>0</v>
      </c>
      <c r="Q3281" s="487"/>
    </row>
    <row r="3282" spans="1:17" x14ac:dyDescent="0.3">
      <c r="A3282" s="487" t="b">
        <f t="shared" ca="1" si="260"/>
        <v>0</v>
      </c>
      <c r="B3282" s="500" t="str">
        <f ca="1">IF(COUNTA(G$2360:G3281)=1,"",OFFSET(B3282,-COUNTA(G$2360:G3281)+1,0))</f>
        <v>a1b3p000003dxcGAAQ</v>
      </c>
      <c r="C3282" s="502">
        <f ca="1">IF(COUNTA(G$2360:G3281)=1,"",OFFSET(C3282,-COUNTA(G$2360:G3281)+1,0))</f>
        <v>74</v>
      </c>
      <c r="D3282" s="487">
        <f t="shared" si="265"/>
        <v>440</v>
      </c>
      <c r="E3282" s="487">
        <f t="shared" ca="1" si="266"/>
        <v>2</v>
      </c>
      <c r="F3282" s="487">
        <f t="shared" ca="1" si="267"/>
        <v>82</v>
      </c>
      <c r="G3282" s="487"/>
      <c r="H3282" s="493" t="str">
        <f t="shared" ca="1" si="261"/>
        <v/>
      </c>
      <c r="I3282" s="493" t="str">
        <f t="shared" ca="1" si="262"/>
        <v/>
      </c>
      <c r="J3282" s="493" t="str">
        <f t="shared" ca="1" si="263"/>
        <v/>
      </c>
      <c r="K3282" s="493" t="str">
        <f t="shared" ca="1" si="264"/>
        <v/>
      </c>
      <c r="L3282" s="487"/>
      <c r="M3282" s="487"/>
      <c r="N3282" s="487"/>
      <c r="O3282" s="487"/>
      <c r="P3282" s="487">
        <f t="shared" si="268"/>
        <v>0</v>
      </c>
      <c r="Q3282" s="487"/>
    </row>
    <row r="3283" spans="1:17" x14ac:dyDescent="0.3">
      <c r="A3283" s="487" t="b">
        <f t="shared" ca="1" si="260"/>
        <v>0</v>
      </c>
      <c r="B3283" s="500" t="str">
        <f ca="1">IF(COUNTA(G$2360:G3282)=1,"",OFFSET(B3283,-COUNTA(G$2360:G3282)+1,0))</f>
        <v>a1b3p000003dxdYAAQ</v>
      </c>
      <c r="C3283" s="502">
        <f ca="1">IF(COUNTA(G$2360:G3282)=1,"",OFFSET(C3283,-COUNTA(G$2360:G3282)+1,0))</f>
        <v>74</v>
      </c>
      <c r="D3283" s="487">
        <f t="shared" si="265"/>
        <v>441</v>
      </c>
      <c r="E3283" s="487">
        <f t="shared" ca="1" si="266"/>
        <v>3</v>
      </c>
      <c r="F3283" s="487">
        <f t="shared" ca="1" si="267"/>
        <v>82</v>
      </c>
      <c r="G3283" s="487"/>
      <c r="H3283" s="493" t="str">
        <f t="shared" ca="1" si="261"/>
        <v/>
      </c>
      <c r="I3283" s="493" t="str">
        <f t="shared" ca="1" si="262"/>
        <v/>
      </c>
      <c r="J3283" s="493" t="str">
        <f t="shared" ca="1" si="263"/>
        <v/>
      </c>
      <c r="K3283" s="493" t="str">
        <f t="shared" ca="1" si="264"/>
        <v/>
      </c>
      <c r="L3283" s="487"/>
      <c r="M3283" s="487"/>
      <c r="N3283" s="487"/>
      <c r="O3283" s="487"/>
      <c r="P3283" s="487">
        <f t="shared" si="268"/>
        <v>0</v>
      </c>
      <c r="Q3283" s="487"/>
    </row>
    <row r="3284" spans="1:17" x14ac:dyDescent="0.3">
      <c r="A3284" s="487" t="b">
        <f t="shared" ca="1" si="260"/>
        <v>0</v>
      </c>
      <c r="B3284" s="500" t="str">
        <f ca="1">IF(COUNTA(G$2360:G3283)=1,"",OFFSET(B3284,-COUNTA(G$2360:G3283)+1,0))</f>
        <v>a1b3p000003dxeqAAA</v>
      </c>
      <c r="C3284" s="502">
        <f ca="1">IF(COUNTA(G$2360:G3283)=1,"",OFFSET(C3284,-COUNTA(G$2360:G3283)+1,0))</f>
        <v>74</v>
      </c>
      <c r="D3284" s="487">
        <f t="shared" si="265"/>
        <v>442</v>
      </c>
      <c r="E3284" s="487">
        <f t="shared" ca="1" si="266"/>
        <v>4</v>
      </c>
      <c r="F3284" s="487">
        <f t="shared" ca="1" si="267"/>
        <v>82</v>
      </c>
      <c r="G3284" s="487"/>
      <c r="H3284" s="493" t="str">
        <f t="shared" ca="1" si="261"/>
        <v/>
      </c>
      <c r="I3284" s="493" t="str">
        <f t="shared" ca="1" si="262"/>
        <v/>
      </c>
      <c r="J3284" s="493" t="str">
        <f t="shared" ca="1" si="263"/>
        <v/>
      </c>
      <c r="K3284" s="493" t="str">
        <f t="shared" ca="1" si="264"/>
        <v/>
      </c>
      <c r="L3284" s="487"/>
      <c r="M3284" s="487"/>
      <c r="N3284" s="487"/>
      <c r="O3284" s="487"/>
      <c r="P3284" s="487">
        <f t="shared" si="268"/>
        <v>0</v>
      </c>
      <c r="Q3284" s="487"/>
    </row>
    <row r="3285" spans="1:17" x14ac:dyDescent="0.3">
      <c r="A3285" s="487" t="b">
        <f t="shared" ca="1" si="260"/>
        <v>0</v>
      </c>
      <c r="B3285" s="500" t="str">
        <f ca="1">IF(COUNTA(G$2360:G3284)=1,"",OFFSET(B3285,-COUNTA(G$2360:G3284)+1,0))</f>
        <v>a1b3p000003dxg8AAA</v>
      </c>
      <c r="C3285" s="502">
        <f ca="1">IF(COUNTA(G$2360:G3284)=1,"",OFFSET(C3285,-COUNTA(G$2360:G3284)+1,0))</f>
        <v>74</v>
      </c>
      <c r="D3285" s="487">
        <f t="shared" si="265"/>
        <v>443</v>
      </c>
      <c r="E3285" s="487">
        <f t="shared" ca="1" si="266"/>
        <v>5</v>
      </c>
      <c r="F3285" s="487">
        <f t="shared" ca="1" si="267"/>
        <v>82</v>
      </c>
      <c r="G3285" s="487"/>
      <c r="H3285" s="493" t="str">
        <f t="shared" ca="1" si="261"/>
        <v/>
      </c>
      <c r="I3285" s="493" t="str">
        <f t="shared" ca="1" si="262"/>
        <v/>
      </c>
      <c r="J3285" s="493" t="str">
        <f t="shared" ca="1" si="263"/>
        <v/>
      </c>
      <c r="K3285" s="493" t="str">
        <f t="shared" ca="1" si="264"/>
        <v/>
      </c>
      <c r="L3285" s="487"/>
      <c r="M3285" s="487"/>
      <c r="N3285" s="487"/>
      <c r="O3285" s="487"/>
      <c r="P3285" s="487">
        <f t="shared" si="268"/>
        <v>0</v>
      </c>
      <c r="Q3285" s="487"/>
    </row>
    <row r="3286" spans="1:17" x14ac:dyDescent="0.3">
      <c r="A3286" s="487" t="b">
        <f t="shared" ca="1" si="260"/>
        <v>0</v>
      </c>
      <c r="B3286" s="500" t="str">
        <f ca="1">IF(COUNTA(G$2360:G3285)=1,"",OFFSET(B3286,-COUNTA(G$2360:G3285)+1,0))</f>
        <v>a1b3p000003dxhQAAQ</v>
      </c>
      <c r="C3286" s="502">
        <f ca="1">IF(COUNTA(G$2360:G3285)=1,"",OFFSET(C3286,-COUNTA(G$2360:G3285)+1,0))</f>
        <v>74</v>
      </c>
      <c r="D3286" s="487">
        <f t="shared" si="265"/>
        <v>444</v>
      </c>
      <c r="E3286" s="487">
        <f t="shared" ca="1" si="266"/>
        <v>6</v>
      </c>
      <c r="F3286" s="487">
        <f t="shared" ca="1" si="267"/>
        <v>82</v>
      </c>
      <c r="G3286" s="487"/>
      <c r="H3286" s="493" t="str">
        <f t="shared" ca="1" si="261"/>
        <v/>
      </c>
      <c r="I3286" s="493" t="str">
        <f t="shared" ca="1" si="262"/>
        <v/>
      </c>
      <c r="J3286" s="493" t="str">
        <f t="shared" ca="1" si="263"/>
        <v/>
      </c>
      <c r="K3286" s="493" t="str">
        <f t="shared" ca="1" si="264"/>
        <v/>
      </c>
      <c r="L3286" s="487"/>
      <c r="M3286" s="487"/>
      <c r="N3286" s="487"/>
      <c r="O3286" s="487"/>
      <c r="P3286" s="487">
        <f t="shared" si="268"/>
        <v>0</v>
      </c>
      <c r="Q3286" s="487"/>
    </row>
    <row r="3287" spans="1:17" x14ac:dyDescent="0.3">
      <c r="A3287" s="487" t="b">
        <f t="shared" ca="1" si="260"/>
        <v>0</v>
      </c>
      <c r="B3287" s="500" t="str">
        <f ca="1">IF(COUNTA(G$2360:G3286)=1,"",OFFSET(B3287,-COUNTA(G$2360:G3286)+1,0))</f>
        <v>a1b3p000003dxazAAA</v>
      </c>
      <c r="C3287" s="502">
        <f ca="1">IF(COUNTA(G$2360:G3286)=1,"",OFFSET(C3287,-COUNTA(G$2360:G3286)+1,0))</f>
        <v>75</v>
      </c>
      <c r="D3287" s="487">
        <f t="shared" si="265"/>
        <v>445</v>
      </c>
      <c r="E3287" s="487">
        <f t="shared" ca="1" si="266"/>
        <v>1</v>
      </c>
      <c r="F3287" s="487">
        <f t="shared" ca="1" si="267"/>
        <v>83</v>
      </c>
      <c r="G3287" s="487"/>
      <c r="H3287" s="493" t="str">
        <f t="shared" ca="1" si="261"/>
        <v/>
      </c>
      <c r="I3287" s="493" t="str">
        <f t="shared" ca="1" si="262"/>
        <v/>
      </c>
      <c r="J3287" s="493" t="str">
        <f t="shared" ca="1" si="263"/>
        <v/>
      </c>
      <c r="K3287" s="493" t="str">
        <f t="shared" ca="1" si="264"/>
        <v/>
      </c>
      <c r="L3287" s="487"/>
      <c r="M3287" s="487"/>
      <c r="N3287" s="487"/>
      <c r="O3287" s="487"/>
      <c r="P3287" s="487">
        <f t="shared" si="268"/>
        <v>0</v>
      </c>
      <c r="Q3287" s="487"/>
    </row>
    <row r="3288" spans="1:17" x14ac:dyDescent="0.3">
      <c r="A3288" s="487" t="b">
        <f t="shared" ca="1" si="260"/>
        <v>0</v>
      </c>
      <c r="B3288" s="500" t="str">
        <f ca="1">IF(COUNTA(G$2360:G3287)=1,"",OFFSET(B3288,-COUNTA(G$2360:G3287)+1,0))</f>
        <v>a1b3p000003dxcHAAQ</v>
      </c>
      <c r="C3288" s="502">
        <f ca="1">IF(COUNTA(G$2360:G3287)=1,"",OFFSET(C3288,-COUNTA(G$2360:G3287)+1,0))</f>
        <v>75</v>
      </c>
      <c r="D3288" s="487">
        <f t="shared" si="265"/>
        <v>446</v>
      </c>
      <c r="E3288" s="487">
        <f t="shared" ca="1" si="266"/>
        <v>2</v>
      </c>
      <c r="F3288" s="487">
        <f t="shared" ca="1" si="267"/>
        <v>83</v>
      </c>
      <c r="G3288" s="487"/>
      <c r="H3288" s="493" t="str">
        <f t="shared" ca="1" si="261"/>
        <v/>
      </c>
      <c r="I3288" s="493" t="str">
        <f t="shared" ca="1" si="262"/>
        <v/>
      </c>
      <c r="J3288" s="493" t="str">
        <f t="shared" ca="1" si="263"/>
        <v/>
      </c>
      <c r="K3288" s="493" t="str">
        <f t="shared" ca="1" si="264"/>
        <v/>
      </c>
      <c r="L3288" s="487"/>
      <c r="M3288" s="487"/>
      <c r="N3288" s="487"/>
      <c r="O3288" s="487"/>
      <c r="P3288" s="487">
        <f t="shared" si="268"/>
        <v>0</v>
      </c>
      <c r="Q3288" s="487"/>
    </row>
    <row r="3289" spans="1:17" x14ac:dyDescent="0.3">
      <c r="A3289" s="487" t="b">
        <f t="shared" ca="1" si="260"/>
        <v>0</v>
      </c>
      <c r="B3289" s="500" t="str">
        <f ca="1">IF(COUNTA(G$2360:G3288)=1,"",OFFSET(B3289,-COUNTA(G$2360:G3288)+1,0))</f>
        <v>a1b3p000003dxdZAAQ</v>
      </c>
      <c r="C3289" s="502">
        <f ca="1">IF(COUNTA(G$2360:G3288)=1,"",OFFSET(C3289,-COUNTA(G$2360:G3288)+1,0))</f>
        <v>75</v>
      </c>
      <c r="D3289" s="487">
        <f t="shared" si="265"/>
        <v>447</v>
      </c>
      <c r="E3289" s="487">
        <f t="shared" ca="1" si="266"/>
        <v>3</v>
      </c>
      <c r="F3289" s="487">
        <f t="shared" ca="1" si="267"/>
        <v>83</v>
      </c>
      <c r="G3289" s="487"/>
      <c r="H3289" s="493" t="str">
        <f t="shared" ca="1" si="261"/>
        <v/>
      </c>
      <c r="I3289" s="493" t="str">
        <f t="shared" ca="1" si="262"/>
        <v/>
      </c>
      <c r="J3289" s="493" t="str">
        <f t="shared" ca="1" si="263"/>
        <v/>
      </c>
      <c r="K3289" s="493" t="str">
        <f t="shared" ca="1" si="264"/>
        <v/>
      </c>
      <c r="L3289" s="487"/>
      <c r="M3289" s="487"/>
      <c r="N3289" s="487"/>
      <c r="O3289" s="487"/>
      <c r="P3289" s="487">
        <f t="shared" si="268"/>
        <v>0</v>
      </c>
      <c r="Q3289" s="487"/>
    </row>
    <row r="3290" spans="1:17" x14ac:dyDescent="0.3">
      <c r="A3290" s="487" t="b">
        <f t="shared" ca="1" si="260"/>
        <v>0</v>
      </c>
      <c r="B3290" s="500" t="str">
        <f ca="1">IF(COUNTA(G$2360:G3289)=1,"",OFFSET(B3290,-COUNTA(G$2360:G3289)+1,0))</f>
        <v>a1b3p000003dxerAAA</v>
      </c>
      <c r="C3290" s="502">
        <f ca="1">IF(COUNTA(G$2360:G3289)=1,"",OFFSET(C3290,-COUNTA(G$2360:G3289)+1,0))</f>
        <v>75</v>
      </c>
      <c r="D3290" s="487">
        <f t="shared" si="265"/>
        <v>448</v>
      </c>
      <c r="E3290" s="487">
        <f t="shared" ca="1" si="266"/>
        <v>4</v>
      </c>
      <c r="F3290" s="487">
        <f t="shared" ca="1" si="267"/>
        <v>83</v>
      </c>
      <c r="G3290" s="487"/>
      <c r="H3290" s="493" t="str">
        <f t="shared" ca="1" si="261"/>
        <v/>
      </c>
      <c r="I3290" s="493" t="str">
        <f t="shared" ca="1" si="262"/>
        <v/>
      </c>
      <c r="J3290" s="493" t="str">
        <f t="shared" ca="1" si="263"/>
        <v/>
      </c>
      <c r="K3290" s="493" t="str">
        <f t="shared" ca="1" si="264"/>
        <v/>
      </c>
      <c r="L3290" s="487"/>
      <c r="M3290" s="487"/>
      <c r="N3290" s="487"/>
      <c r="O3290" s="487"/>
      <c r="P3290" s="487">
        <f t="shared" si="268"/>
        <v>0</v>
      </c>
      <c r="Q3290" s="487"/>
    </row>
    <row r="3291" spans="1:17" x14ac:dyDescent="0.3">
      <c r="A3291" s="487" t="b">
        <f t="shared" ref="A3291:A3322" ca="1" si="269">IF(OR(H3291&lt;&gt;"",I3291&lt;&gt;""),TRUE,FALSE)</f>
        <v>0</v>
      </c>
      <c r="B3291" s="500" t="str">
        <f ca="1">IF(COUNTA(G$2360:G3290)=1,"",OFFSET(B3291,-COUNTA(G$2360:G3290)+1,0))</f>
        <v>a1b3p000003dxg9AAA</v>
      </c>
      <c r="C3291" s="502">
        <f ca="1">IF(COUNTA(G$2360:G3290)=1,"",OFFSET(C3291,-COUNTA(G$2360:G3290)+1,0))</f>
        <v>75</v>
      </c>
      <c r="D3291" s="487">
        <f t="shared" si="265"/>
        <v>449</v>
      </c>
      <c r="E3291" s="487">
        <f t="shared" ca="1" si="266"/>
        <v>5</v>
      </c>
      <c r="F3291" s="487">
        <f t="shared" ca="1" si="267"/>
        <v>83</v>
      </c>
      <c r="G3291" s="487"/>
      <c r="H3291" s="493" t="str">
        <f t="shared" ref="H3291:H3322" ca="1" si="270">CHOOSE(E3291,IFERROR(IF(INDIRECT("'WPTM - Section F'!K"&amp;F3291)=0,"",INDIRECT("'WPTM - Section F'!K"&amp;$F3291)),""),IFERROR(IF(INDIRECT("'WPTM - Section F'!O"&amp;F3291)=0,"",INDIRECT("'WPTM - Section F'!O"&amp;$F3291)),""),IFERROR(IF(INDIRECT("'WPTM - Section F'!S"&amp;F3291)=0,"",INDIRECT("'WPTM - Section F'!S"&amp;$F3291)),""),IFERROR(IF(INDIRECT("'WPTM - Section F'!W"&amp;F3291)=0,"",INDIRECT("'WPTM - Section F'!W"&amp;$F3291)),""),IFERROR(IF(INDIRECT("'WPTM - Section F'!AA"&amp;F3291)=0,"",INDIRECT("'WPTM - Section F'!AA"&amp;$F3291)),""),IFERROR(IF(INDIRECT("'WPTM - Section F'!AE"&amp;F3291)=0,"",INDIRECT("'WPTM - Section F'!AE"&amp;$F3291)),""),IFERROR(IF(INDIRECT("'WPTM - Section F'!AI"&amp;F3291)=0,"",INDIRECT("'WPTM - Section F'!AI"&amp;$F3291)),""),IFERROR(IF(INDIRECT("'WPTM - Section F'!AM"&amp;F3291)=0,"",INDIRECT("'WPTM - Section F'!AM"&amp;$F3291)),""),)</f>
        <v/>
      </c>
      <c r="I3291" s="493" t="str">
        <f t="shared" ref="I3291:I3322" ca="1" si="271">CHOOSE(E3291,IFERROR(IF(INDIRECT("'WPTM - Section F'!J"&amp;F3291)=0,"",INDIRECT("'WPTM - Section F'!J"&amp;$F3291)),""),IFERROR(IF(INDIRECT("'WPTM - Section F'!N"&amp;F3291)=0,"",INDIRECT("'WPTM - Section F'!N"&amp;$F3291)),""),IFERROR(IF(INDIRECT("'WPTM - Section F'!R"&amp;F3291)=0,"",INDIRECT("'WPTM - Section F'!R"&amp;$F3291)),""),IFERROR(IF(INDIRECT("'WPTM - Section F'!V"&amp;F3291)=0,"",INDIRECT("'WPTM - Section F'!V"&amp;$F3291)),""),IFERROR(IF(INDIRECT("'WPTM - Section F'!Z"&amp;F3291)=0,"",INDIRECT("'WPTM - Section F'!Z"&amp;$F3291)),""),IFERROR(IF(INDIRECT("'WPTM - Section F'!AD"&amp;F3291)=0,"",INDIRECT("'WPTM - Section F'!AD"&amp;$F3291)),""),IFERROR(IF(INDIRECT("'WPTM - Section F'!AH"&amp;F3291)=0,"",INDIRECT("'WPTM - Section F'!AH"&amp;$F3291)),""),IFERROR(IF(INDIRECT("'WPTM - Section F'!AL"&amp;F3291)=0,"",INDIRECT("'WPTM - Section F'!AL"&amp;$F3291)),""),)</f>
        <v/>
      </c>
      <c r="J3291" s="493" t="str">
        <f t="shared" ref="J3291:J3322" ca="1" si="272">CHOOSE(E3291,IFERROR(IF(INDIRECT("'WPTM - Section F'!H"&amp;F3291)=0,"",INDIRECT("'WPTM - Section F'!H"&amp;$F3291)),""),IFERROR(IF(INDIRECT("'WPTM - Section F'!L"&amp;F3291)=0,"",INDIRECT("'WPTM - Section F'!L"&amp;$F3291)),""),IFERROR(IF(INDIRECT("'WPTM - Section F'!P"&amp;F3291)=0,"",INDIRECT("'WPTM - Section F'!P"&amp;$F3291)),""),IFERROR(IF(INDIRECT("'WPTM - Section F'!T"&amp;F3291)=0,"",INDIRECT("'WPTM - Section F'!T"&amp;$F3291)),""),IFERROR(IF(INDIRECT("'WPTM - Section F'!X"&amp;F3291)=0,"",INDIRECT("'WPTM - Section F'!X"&amp;$F3291)),""),IFERROR(IF(INDIRECT("'WPTM - Section F'!AB"&amp;F3291)=0,"",INDIRECT("'WPTM - Section F'!AB"&amp;$F3291)),""),IFERROR(IF(INDIRECT("'WPTM - Section F'!AF"&amp;F3291)=0,"",INDIRECT("'WPTM - Section F'!AF"&amp;$F3291)),""),IFERROR(IF(INDIRECT("'WPTM - Section F'!AJ"&amp;F3291)=0,"",INDIRECT("'WPTM - Section F'!AJ"&amp;$F3291)),""),)</f>
        <v/>
      </c>
      <c r="K3291" s="493" t="str">
        <f t="shared" ref="K3291:K3322" ca="1" si="273">CHOOSE(E3291,IFERROR(IF(INDIRECT("'WPTM - Section F'!I"&amp;F3291)=0,"",INDIRECT("'WPTM - Section F'!I"&amp;$F3291)),""),IFERROR(IF(INDIRECT("'WPTM - Section F'!M"&amp;F3291)=0,"",INDIRECT("'WPTM - Section F'!M"&amp;$F3291)),""),IFERROR(IF(INDIRECT("'WPTM - Section F'!Q"&amp;F3291)=0,"",INDIRECT("'WPTM - Section F'!Q"&amp;$F3291)),""),IFERROR(IF(INDIRECT("'WPTM - Section F'!U"&amp;F3291)=0,"",INDIRECT("'WPTM - Section F'!U"&amp;$F3291)),""),IFERROR(IF(INDIRECT("'WPTM - Section F'!Y"&amp;F3291)=0,"",INDIRECT("'WPTM - Section F'!Y"&amp;$F3291)),""),IFERROR(IF(INDIRECT("'WPTM - Section F'!AC"&amp;F3291)=0,"",INDIRECT("'WPTM - Section F'!AC"&amp;$F3291)),""),IFERROR(IF(INDIRECT("'WPTM - Section F'!AG"&amp;F3291)=0,"",INDIRECT("'WPTM - Section F'!AG"&amp;$F3291)),""),IFERROR(IF(INDIRECT("'WPTM - Section F'!AK"&amp;F3291)=0,"",INDIRECT("'WPTM - Section F'!AK"&amp;$F3291)),""),)</f>
        <v/>
      </c>
      <c r="L3291" s="487"/>
      <c r="M3291" s="487"/>
      <c r="N3291" s="487"/>
      <c r="O3291" s="487"/>
      <c r="P3291" s="487">
        <f t="shared" si="268"/>
        <v>0</v>
      </c>
      <c r="Q3291" s="487"/>
    </row>
    <row r="3292" spans="1:17" x14ac:dyDescent="0.3">
      <c r="A3292" s="487" t="b">
        <f t="shared" ca="1" si="269"/>
        <v>0</v>
      </c>
      <c r="B3292" s="500" t="str">
        <f ca="1">IF(COUNTA(G$2360:G3291)=1,"",OFFSET(B3292,-COUNTA(G$2360:G3291)+1,0))</f>
        <v>a1b3p000003dxhRAAQ</v>
      </c>
      <c r="C3292" s="502">
        <f ca="1">IF(COUNTA(G$2360:G3291)=1,"",OFFSET(C3292,-COUNTA(G$2360:G3291)+1,0))</f>
        <v>75</v>
      </c>
      <c r="D3292" s="487">
        <f t="shared" si="265"/>
        <v>450</v>
      </c>
      <c r="E3292" s="487">
        <f t="shared" ca="1" si="266"/>
        <v>6</v>
      </c>
      <c r="F3292" s="487">
        <f t="shared" ca="1" si="267"/>
        <v>83</v>
      </c>
      <c r="G3292" s="487"/>
      <c r="H3292" s="493" t="str">
        <f t="shared" ca="1" si="270"/>
        <v/>
      </c>
      <c r="I3292" s="493" t="str">
        <f t="shared" ca="1" si="271"/>
        <v/>
      </c>
      <c r="J3292" s="493" t="str">
        <f t="shared" ca="1" si="272"/>
        <v/>
      </c>
      <c r="K3292" s="493" t="str">
        <f t="shared" ca="1" si="273"/>
        <v/>
      </c>
      <c r="L3292" s="487"/>
      <c r="M3292" s="487"/>
      <c r="N3292" s="487"/>
      <c r="O3292" s="487"/>
      <c r="P3292" s="487">
        <f t="shared" si="268"/>
        <v>0</v>
      </c>
      <c r="Q3292" s="487"/>
    </row>
    <row r="3293" spans="1:17" x14ac:dyDescent="0.3">
      <c r="A3293" s="487" t="b">
        <f t="shared" ca="1" si="269"/>
        <v>0</v>
      </c>
      <c r="B3293" s="500" t="str">
        <f ca="1">IF(COUNTA(G$2360:G3292)=1,"",OFFSET(B3293,-COUNTA(G$2360:G3292)+1,0))</f>
        <v>a1b3p000003dxb0AAA</v>
      </c>
      <c r="C3293" s="502">
        <f ca="1">IF(COUNTA(G$2360:G3292)=1,"",OFFSET(C3293,-COUNTA(G$2360:G3292)+1,0))</f>
        <v>76</v>
      </c>
      <c r="D3293" s="487">
        <f t="shared" si="265"/>
        <v>451</v>
      </c>
      <c r="E3293" s="487">
        <f t="shared" ca="1" si="266"/>
        <v>1</v>
      </c>
      <c r="F3293" s="487">
        <f t="shared" ca="1" si="267"/>
        <v>84</v>
      </c>
      <c r="G3293" s="487"/>
      <c r="H3293" s="493" t="str">
        <f t="shared" ca="1" si="270"/>
        <v/>
      </c>
      <c r="I3293" s="493" t="str">
        <f t="shared" ca="1" si="271"/>
        <v/>
      </c>
      <c r="J3293" s="493" t="str">
        <f t="shared" ca="1" si="272"/>
        <v/>
      </c>
      <c r="K3293" s="493" t="str">
        <f t="shared" ca="1" si="273"/>
        <v/>
      </c>
      <c r="L3293" s="487"/>
      <c r="M3293" s="487"/>
      <c r="N3293" s="487"/>
      <c r="O3293" s="487"/>
      <c r="P3293" s="487">
        <f t="shared" si="268"/>
        <v>0</v>
      </c>
      <c r="Q3293" s="487"/>
    </row>
    <row r="3294" spans="1:17" x14ac:dyDescent="0.3">
      <c r="A3294" s="487" t="b">
        <f t="shared" ca="1" si="269"/>
        <v>0</v>
      </c>
      <c r="B3294" s="500" t="str">
        <f ca="1">IF(COUNTA(G$2360:G3293)=1,"",OFFSET(B3294,-COUNTA(G$2360:G3293)+1,0))</f>
        <v>a1b3p000003dxcIAAQ</v>
      </c>
      <c r="C3294" s="502">
        <f ca="1">IF(COUNTA(G$2360:G3293)=1,"",OFFSET(C3294,-COUNTA(G$2360:G3293)+1,0))</f>
        <v>76</v>
      </c>
      <c r="D3294" s="487">
        <f t="shared" si="265"/>
        <v>452</v>
      </c>
      <c r="E3294" s="487">
        <f t="shared" ca="1" si="266"/>
        <v>2</v>
      </c>
      <c r="F3294" s="487">
        <f t="shared" ca="1" si="267"/>
        <v>84</v>
      </c>
      <c r="G3294" s="487"/>
      <c r="H3294" s="493" t="str">
        <f t="shared" ca="1" si="270"/>
        <v/>
      </c>
      <c r="I3294" s="493" t="str">
        <f t="shared" ca="1" si="271"/>
        <v/>
      </c>
      <c r="J3294" s="493" t="str">
        <f t="shared" ca="1" si="272"/>
        <v/>
      </c>
      <c r="K3294" s="493" t="str">
        <f t="shared" ca="1" si="273"/>
        <v/>
      </c>
      <c r="L3294" s="487"/>
      <c r="M3294" s="487"/>
      <c r="N3294" s="487"/>
      <c r="O3294" s="487"/>
      <c r="P3294" s="487">
        <f t="shared" si="268"/>
        <v>0</v>
      </c>
      <c r="Q3294" s="487"/>
    </row>
    <row r="3295" spans="1:17" x14ac:dyDescent="0.3">
      <c r="A3295" s="487" t="b">
        <f t="shared" ca="1" si="269"/>
        <v>0</v>
      </c>
      <c r="B3295" s="500" t="str">
        <f ca="1">IF(COUNTA(G$2360:G3294)=1,"",OFFSET(B3295,-COUNTA(G$2360:G3294)+1,0))</f>
        <v>a1b3p000003dxdaAAA</v>
      </c>
      <c r="C3295" s="502">
        <f ca="1">IF(COUNTA(G$2360:G3294)=1,"",OFFSET(C3295,-COUNTA(G$2360:G3294)+1,0))</f>
        <v>76</v>
      </c>
      <c r="D3295" s="487">
        <f t="shared" si="265"/>
        <v>453</v>
      </c>
      <c r="E3295" s="487">
        <f t="shared" ca="1" si="266"/>
        <v>3</v>
      </c>
      <c r="F3295" s="487">
        <f t="shared" ca="1" si="267"/>
        <v>84</v>
      </c>
      <c r="G3295" s="487"/>
      <c r="H3295" s="493" t="str">
        <f t="shared" ca="1" si="270"/>
        <v/>
      </c>
      <c r="I3295" s="493" t="str">
        <f t="shared" ca="1" si="271"/>
        <v/>
      </c>
      <c r="J3295" s="493" t="str">
        <f t="shared" ca="1" si="272"/>
        <v/>
      </c>
      <c r="K3295" s="493" t="str">
        <f t="shared" ca="1" si="273"/>
        <v/>
      </c>
      <c r="L3295" s="487"/>
      <c r="M3295" s="487"/>
      <c r="N3295" s="487"/>
      <c r="O3295" s="487"/>
      <c r="P3295" s="487">
        <f t="shared" si="268"/>
        <v>0</v>
      </c>
      <c r="Q3295" s="487"/>
    </row>
    <row r="3296" spans="1:17" x14ac:dyDescent="0.3">
      <c r="A3296" s="487" t="b">
        <f t="shared" ca="1" si="269"/>
        <v>0</v>
      </c>
      <c r="B3296" s="500" t="str">
        <f ca="1">IF(COUNTA(G$2360:G3295)=1,"",OFFSET(B3296,-COUNTA(G$2360:G3295)+1,0))</f>
        <v>a1b3p000003dxesAAA</v>
      </c>
      <c r="C3296" s="502">
        <f ca="1">IF(COUNTA(G$2360:G3295)=1,"",OFFSET(C3296,-COUNTA(G$2360:G3295)+1,0))</f>
        <v>76</v>
      </c>
      <c r="D3296" s="487">
        <f t="shared" si="265"/>
        <v>454</v>
      </c>
      <c r="E3296" s="487">
        <f t="shared" ca="1" si="266"/>
        <v>4</v>
      </c>
      <c r="F3296" s="487">
        <f t="shared" ca="1" si="267"/>
        <v>84</v>
      </c>
      <c r="G3296" s="487"/>
      <c r="H3296" s="493" t="str">
        <f t="shared" ca="1" si="270"/>
        <v/>
      </c>
      <c r="I3296" s="493" t="str">
        <f t="shared" ca="1" si="271"/>
        <v/>
      </c>
      <c r="J3296" s="493" t="str">
        <f t="shared" ca="1" si="272"/>
        <v/>
      </c>
      <c r="K3296" s="493" t="str">
        <f t="shared" ca="1" si="273"/>
        <v/>
      </c>
      <c r="L3296" s="487"/>
      <c r="M3296" s="487"/>
      <c r="N3296" s="487"/>
      <c r="O3296" s="487"/>
      <c r="P3296" s="487">
        <f t="shared" si="268"/>
        <v>0</v>
      </c>
      <c r="Q3296" s="487"/>
    </row>
    <row r="3297" spans="1:17" x14ac:dyDescent="0.3">
      <c r="A3297" s="487" t="b">
        <f t="shared" ca="1" si="269"/>
        <v>0</v>
      </c>
      <c r="B3297" s="500" t="str">
        <f ca="1">IF(COUNTA(G$2360:G3296)=1,"",OFFSET(B3297,-COUNTA(G$2360:G3296)+1,0))</f>
        <v>a1b3p000003dxgAAAQ</v>
      </c>
      <c r="C3297" s="502">
        <f ca="1">IF(COUNTA(G$2360:G3296)=1,"",OFFSET(C3297,-COUNTA(G$2360:G3296)+1,0))</f>
        <v>76</v>
      </c>
      <c r="D3297" s="487">
        <f t="shared" si="265"/>
        <v>455</v>
      </c>
      <c r="E3297" s="487">
        <f t="shared" ca="1" si="266"/>
        <v>5</v>
      </c>
      <c r="F3297" s="487">
        <f t="shared" ca="1" si="267"/>
        <v>84</v>
      </c>
      <c r="G3297" s="487"/>
      <c r="H3297" s="493" t="str">
        <f t="shared" ca="1" si="270"/>
        <v/>
      </c>
      <c r="I3297" s="493" t="str">
        <f t="shared" ca="1" si="271"/>
        <v/>
      </c>
      <c r="J3297" s="493" t="str">
        <f t="shared" ca="1" si="272"/>
        <v/>
      </c>
      <c r="K3297" s="493" t="str">
        <f t="shared" ca="1" si="273"/>
        <v/>
      </c>
      <c r="L3297" s="487"/>
      <c r="M3297" s="487"/>
      <c r="N3297" s="487"/>
      <c r="O3297" s="487"/>
      <c r="P3297" s="487">
        <f t="shared" si="268"/>
        <v>0</v>
      </c>
      <c r="Q3297" s="487"/>
    </row>
    <row r="3298" spans="1:17" x14ac:dyDescent="0.3">
      <c r="A3298" s="487" t="b">
        <f t="shared" ca="1" si="269"/>
        <v>0</v>
      </c>
      <c r="B3298" s="500" t="str">
        <f ca="1">IF(COUNTA(G$2360:G3297)=1,"",OFFSET(B3298,-COUNTA(G$2360:G3297)+1,0))</f>
        <v>a1b3p000003dxhSAAQ</v>
      </c>
      <c r="C3298" s="502">
        <f ca="1">IF(COUNTA(G$2360:G3297)=1,"",OFFSET(C3298,-COUNTA(G$2360:G3297)+1,0))</f>
        <v>76</v>
      </c>
      <c r="D3298" s="487">
        <f t="shared" si="265"/>
        <v>456</v>
      </c>
      <c r="E3298" s="487">
        <f t="shared" ca="1" si="266"/>
        <v>6</v>
      </c>
      <c r="F3298" s="487">
        <f t="shared" ca="1" si="267"/>
        <v>84</v>
      </c>
      <c r="G3298" s="487"/>
      <c r="H3298" s="493" t="str">
        <f t="shared" ca="1" si="270"/>
        <v/>
      </c>
      <c r="I3298" s="493" t="str">
        <f t="shared" ca="1" si="271"/>
        <v/>
      </c>
      <c r="J3298" s="493" t="str">
        <f t="shared" ca="1" si="272"/>
        <v/>
      </c>
      <c r="K3298" s="493" t="str">
        <f t="shared" ca="1" si="273"/>
        <v/>
      </c>
      <c r="L3298" s="487"/>
      <c r="M3298" s="487"/>
      <c r="N3298" s="487"/>
      <c r="O3298" s="487"/>
      <c r="P3298" s="487">
        <f t="shared" si="268"/>
        <v>0</v>
      </c>
      <c r="Q3298" s="487"/>
    </row>
    <row r="3299" spans="1:17" x14ac:dyDescent="0.3">
      <c r="A3299" s="487" t="b">
        <f t="shared" ca="1" si="269"/>
        <v>0</v>
      </c>
      <c r="B3299" s="500" t="str">
        <f ca="1">IF(COUNTA(G$2360:G3298)=1,"",OFFSET(B3299,-COUNTA(G$2360:G3298)+1,0))</f>
        <v>a1b3p000003dxb1AAA</v>
      </c>
      <c r="C3299" s="502">
        <f ca="1">IF(COUNTA(G$2360:G3298)=1,"",OFFSET(C3299,-COUNTA(G$2360:G3298)+1,0))</f>
        <v>77</v>
      </c>
      <c r="D3299" s="487">
        <f t="shared" si="265"/>
        <v>457</v>
      </c>
      <c r="E3299" s="487">
        <f t="shared" ca="1" si="266"/>
        <v>1</v>
      </c>
      <c r="F3299" s="487">
        <f t="shared" ca="1" si="267"/>
        <v>85</v>
      </c>
      <c r="G3299" s="487"/>
      <c r="H3299" s="493" t="str">
        <f t="shared" ca="1" si="270"/>
        <v/>
      </c>
      <c r="I3299" s="493" t="str">
        <f t="shared" ca="1" si="271"/>
        <v/>
      </c>
      <c r="J3299" s="493" t="str">
        <f t="shared" ca="1" si="272"/>
        <v/>
      </c>
      <c r="K3299" s="493" t="str">
        <f t="shared" ca="1" si="273"/>
        <v/>
      </c>
      <c r="L3299" s="487"/>
      <c r="M3299" s="487"/>
      <c r="N3299" s="487"/>
      <c r="O3299" s="487"/>
      <c r="P3299" s="487">
        <f t="shared" si="268"/>
        <v>0</v>
      </c>
      <c r="Q3299" s="487"/>
    </row>
    <row r="3300" spans="1:17" x14ac:dyDescent="0.3">
      <c r="A3300" s="487" t="b">
        <f t="shared" ca="1" si="269"/>
        <v>0</v>
      </c>
      <c r="B3300" s="500" t="str">
        <f ca="1">IF(COUNTA(G$2360:G3299)=1,"",OFFSET(B3300,-COUNTA(G$2360:G3299)+1,0))</f>
        <v>a1b3p000003dxcJAAQ</v>
      </c>
      <c r="C3300" s="502">
        <f ca="1">IF(COUNTA(G$2360:G3299)=1,"",OFFSET(C3300,-COUNTA(G$2360:G3299)+1,0))</f>
        <v>77</v>
      </c>
      <c r="D3300" s="487">
        <f t="shared" si="265"/>
        <v>458</v>
      </c>
      <c r="E3300" s="487">
        <f t="shared" ca="1" si="266"/>
        <v>2</v>
      </c>
      <c r="F3300" s="487">
        <f t="shared" ca="1" si="267"/>
        <v>85</v>
      </c>
      <c r="G3300" s="487"/>
      <c r="H3300" s="493" t="str">
        <f t="shared" ca="1" si="270"/>
        <v/>
      </c>
      <c r="I3300" s="493" t="str">
        <f t="shared" ca="1" si="271"/>
        <v/>
      </c>
      <c r="J3300" s="493" t="str">
        <f t="shared" ca="1" si="272"/>
        <v/>
      </c>
      <c r="K3300" s="493" t="str">
        <f t="shared" ca="1" si="273"/>
        <v/>
      </c>
      <c r="L3300" s="487"/>
      <c r="M3300" s="487"/>
      <c r="N3300" s="487"/>
      <c r="O3300" s="487"/>
      <c r="P3300" s="487">
        <f t="shared" si="268"/>
        <v>0</v>
      </c>
      <c r="Q3300" s="487"/>
    </row>
    <row r="3301" spans="1:17" x14ac:dyDescent="0.3">
      <c r="A3301" s="487" t="b">
        <f t="shared" ca="1" si="269"/>
        <v>0</v>
      </c>
      <c r="B3301" s="500" t="str">
        <f ca="1">IF(COUNTA(G$2360:G3300)=1,"",OFFSET(B3301,-COUNTA(G$2360:G3300)+1,0))</f>
        <v>a1b3p000003dxdbAAA</v>
      </c>
      <c r="C3301" s="502">
        <f ca="1">IF(COUNTA(G$2360:G3300)=1,"",OFFSET(C3301,-COUNTA(G$2360:G3300)+1,0))</f>
        <v>77</v>
      </c>
      <c r="D3301" s="487">
        <f t="shared" si="265"/>
        <v>459</v>
      </c>
      <c r="E3301" s="487">
        <f t="shared" ca="1" si="266"/>
        <v>3</v>
      </c>
      <c r="F3301" s="487">
        <f t="shared" ca="1" si="267"/>
        <v>85</v>
      </c>
      <c r="G3301" s="487"/>
      <c r="H3301" s="493" t="str">
        <f t="shared" ca="1" si="270"/>
        <v/>
      </c>
      <c r="I3301" s="493" t="str">
        <f t="shared" ca="1" si="271"/>
        <v/>
      </c>
      <c r="J3301" s="493" t="str">
        <f t="shared" ca="1" si="272"/>
        <v/>
      </c>
      <c r="K3301" s="493" t="str">
        <f t="shared" ca="1" si="273"/>
        <v/>
      </c>
      <c r="L3301" s="487"/>
      <c r="M3301" s="487"/>
      <c r="N3301" s="487"/>
      <c r="O3301" s="487"/>
      <c r="P3301" s="487">
        <f t="shared" si="268"/>
        <v>0</v>
      </c>
      <c r="Q3301" s="487"/>
    </row>
    <row r="3302" spans="1:17" x14ac:dyDescent="0.3">
      <c r="A3302" s="487" t="b">
        <f t="shared" ca="1" si="269"/>
        <v>0</v>
      </c>
      <c r="B3302" s="500" t="str">
        <f ca="1">IF(COUNTA(G$2360:G3301)=1,"",OFFSET(B3302,-COUNTA(G$2360:G3301)+1,0))</f>
        <v>a1b3p000003dxetAAA</v>
      </c>
      <c r="C3302" s="502">
        <f ca="1">IF(COUNTA(G$2360:G3301)=1,"",OFFSET(C3302,-COUNTA(G$2360:G3301)+1,0))</f>
        <v>77</v>
      </c>
      <c r="D3302" s="487">
        <f t="shared" si="265"/>
        <v>460</v>
      </c>
      <c r="E3302" s="487">
        <f t="shared" ca="1" si="266"/>
        <v>4</v>
      </c>
      <c r="F3302" s="487">
        <f t="shared" ca="1" si="267"/>
        <v>85</v>
      </c>
      <c r="G3302" s="487"/>
      <c r="H3302" s="493" t="str">
        <f t="shared" ca="1" si="270"/>
        <v/>
      </c>
      <c r="I3302" s="493" t="str">
        <f t="shared" ca="1" si="271"/>
        <v/>
      </c>
      <c r="J3302" s="493" t="str">
        <f t="shared" ca="1" si="272"/>
        <v/>
      </c>
      <c r="K3302" s="493" t="str">
        <f t="shared" ca="1" si="273"/>
        <v/>
      </c>
      <c r="L3302" s="487"/>
      <c r="M3302" s="487"/>
      <c r="N3302" s="487"/>
      <c r="O3302" s="487"/>
      <c r="P3302" s="487">
        <f t="shared" si="268"/>
        <v>0</v>
      </c>
      <c r="Q3302" s="487"/>
    </row>
    <row r="3303" spans="1:17" x14ac:dyDescent="0.3">
      <c r="A3303" s="487" t="b">
        <f t="shared" ca="1" si="269"/>
        <v>0</v>
      </c>
      <c r="B3303" s="500" t="str">
        <f ca="1">IF(COUNTA(G$2360:G3302)=1,"",OFFSET(B3303,-COUNTA(G$2360:G3302)+1,0))</f>
        <v>a1b3p000003dxgBAAQ</v>
      </c>
      <c r="C3303" s="502">
        <f ca="1">IF(COUNTA(G$2360:G3302)=1,"",OFFSET(C3303,-COUNTA(G$2360:G3302)+1,0))</f>
        <v>77</v>
      </c>
      <c r="D3303" s="487">
        <f t="shared" si="265"/>
        <v>461</v>
      </c>
      <c r="E3303" s="487">
        <f t="shared" ca="1" si="266"/>
        <v>5</v>
      </c>
      <c r="F3303" s="487">
        <f t="shared" ca="1" si="267"/>
        <v>85</v>
      </c>
      <c r="G3303" s="487"/>
      <c r="H3303" s="493" t="str">
        <f t="shared" ca="1" si="270"/>
        <v/>
      </c>
      <c r="I3303" s="493" t="str">
        <f t="shared" ca="1" si="271"/>
        <v/>
      </c>
      <c r="J3303" s="493" t="str">
        <f t="shared" ca="1" si="272"/>
        <v/>
      </c>
      <c r="K3303" s="493" t="str">
        <f t="shared" ca="1" si="273"/>
        <v/>
      </c>
      <c r="L3303" s="487"/>
      <c r="M3303" s="487"/>
      <c r="N3303" s="487"/>
      <c r="O3303" s="487"/>
      <c r="P3303" s="487">
        <f t="shared" si="268"/>
        <v>0</v>
      </c>
      <c r="Q3303" s="487"/>
    </row>
    <row r="3304" spans="1:17" x14ac:dyDescent="0.3">
      <c r="A3304" s="487" t="b">
        <f t="shared" ca="1" si="269"/>
        <v>0</v>
      </c>
      <c r="B3304" s="500" t="str">
        <f ca="1">IF(COUNTA(G$2360:G3303)=1,"",OFFSET(B3304,-COUNTA(G$2360:G3303)+1,0))</f>
        <v>a1b3p000003dxhTAAQ</v>
      </c>
      <c r="C3304" s="502">
        <f ca="1">IF(COUNTA(G$2360:G3303)=1,"",OFFSET(C3304,-COUNTA(G$2360:G3303)+1,0))</f>
        <v>77</v>
      </c>
      <c r="D3304" s="487">
        <f t="shared" si="265"/>
        <v>462</v>
      </c>
      <c r="E3304" s="487">
        <f t="shared" ca="1" si="266"/>
        <v>6</v>
      </c>
      <c r="F3304" s="487">
        <f t="shared" ca="1" si="267"/>
        <v>85</v>
      </c>
      <c r="G3304" s="487"/>
      <c r="H3304" s="493" t="str">
        <f t="shared" ca="1" si="270"/>
        <v/>
      </c>
      <c r="I3304" s="493" t="str">
        <f t="shared" ca="1" si="271"/>
        <v/>
      </c>
      <c r="J3304" s="493" t="str">
        <f t="shared" ca="1" si="272"/>
        <v/>
      </c>
      <c r="K3304" s="493" t="str">
        <f t="shared" ca="1" si="273"/>
        <v/>
      </c>
      <c r="L3304" s="487"/>
      <c r="M3304" s="487"/>
      <c r="N3304" s="487"/>
      <c r="O3304" s="487"/>
      <c r="P3304" s="487">
        <f t="shared" si="268"/>
        <v>0</v>
      </c>
      <c r="Q3304" s="487"/>
    </row>
    <row r="3305" spans="1:17" x14ac:dyDescent="0.3">
      <c r="A3305" s="487" t="b">
        <f t="shared" ca="1" si="269"/>
        <v>0</v>
      </c>
      <c r="B3305" s="500" t="str">
        <f ca="1">IF(COUNTA(G$2360:G3304)=1,"",OFFSET(B3305,-COUNTA(G$2360:G3304)+1,0))</f>
        <v>a1b3p000003dxb2AAA</v>
      </c>
      <c r="C3305" s="502">
        <f ca="1">IF(COUNTA(G$2360:G3304)=1,"",OFFSET(C3305,-COUNTA(G$2360:G3304)+1,0))</f>
        <v>78</v>
      </c>
      <c r="D3305" s="487">
        <f t="shared" si="265"/>
        <v>463</v>
      </c>
      <c r="E3305" s="487">
        <f t="shared" ca="1" si="266"/>
        <v>1</v>
      </c>
      <c r="F3305" s="487">
        <f t="shared" ca="1" si="267"/>
        <v>86</v>
      </c>
      <c r="G3305" s="487"/>
      <c r="H3305" s="493" t="str">
        <f t="shared" ca="1" si="270"/>
        <v/>
      </c>
      <c r="I3305" s="493" t="str">
        <f t="shared" ca="1" si="271"/>
        <v/>
      </c>
      <c r="J3305" s="493" t="str">
        <f t="shared" ca="1" si="272"/>
        <v/>
      </c>
      <c r="K3305" s="493" t="str">
        <f t="shared" ca="1" si="273"/>
        <v/>
      </c>
      <c r="L3305" s="487"/>
      <c r="M3305" s="487"/>
      <c r="N3305" s="487"/>
      <c r="O3305" s="487"/>
      <c r="P3305" s="487">
        <f t="shared" si="268"/>
        <v>0</v>
      </c>
      <c r="Q3305" s="487"/>
    </row>
    <row r="3306" spans="1:17" x14ac:dyDescent="0.3">
      <c r="A3306" s="487" t="b">
        <f t="shared" ca="1" si="269"/>
        <v>0</v>
      </c>
      <c r="B3306" s="500" t="str">
        <f ca="1">IF(COUNTA(G$2360:G3305)=1,"",OFFSET(B3306,-COUNTA(G$2360:G3305)+1,0))</f>
        <v>a1b3p000003dxcKAAQ</v>
      </c>
      <c r="C3306" s="502">
        <f ca="1">IF(COUNTA(G$2360:G3305)=1,"",OFFSET(C3306,-COUNTA(G$2360:G3305)+1,0))</f>
        <v>78</v>
      </c>
      <c r="D3306" s="487">
        <f t="shared" si="265"/>
        <v>464</v>
      </c>
      <c r="E3306" s="487">
        <f t="shared" ca="1" si="266"/>
        <v>2</v>
      </c>
      <c r="F3306" s="487">
        <f t="shared" ca="1" si="267"/>
        <v>86</v>
      </c>
      <c r="G3306" s="487"/>
      <c r="H3306" s="493" t="str">
        <f t="shared" ca="1" si="270"/>
        <v/>
      </c>
      <c r="I3306" s="493" t="str">
        <f t="shared" ca="1" si="271"/>
        <v/>
      </c>
      <c r="J3306" s="493" t="str">
        <f t="shared" ca="1" si="272"/>
        <v/>
      </c>
      <c r="K3306" s="493" t="str">
        <f t="shared" ca="1" si="273"/>
        <v/>
      </c>
      <c r="L3306" s="487"/>
      <c r="M3306" s="487"/>
      <c r="N3306" s="487"/>
      <c r="O3306" s="487"/>
      <c r="P3306" s="487">
        <f t="shared" si="268"/>
        <v>0</v>
      </c>
      <c r="Q3306" s="487"/>
    </row>
    <row r="3307" spans="1:17" x14ac:dyDescent="0.3">
      <c r="A3307" s="487" t="b">
        <f t="shared" ca="1" si="269"/>
        <v>0</v>
      </c>
      <c r="B3307" s="500" t="str">
        <f ca="1">IF(COUNTA(G$2360:G3306)=1,"",OFFSET(B3307,-COUNTA(G$2360:G3306)+1,0))</f>
        <v>a1b3p000003dxdcAAA</v>
      </c>
      <c r="C3307" s="502">
        <f ca="1">IF(COUNTA(G$2360:G3306)=1,"",OFFSET(C3307,-COUNTA(G$2360:G3306)+1,0))</f>
        <v>78</v>
      </c>
      <c r="D3307" s="487">
        <f t="shared" si="265"/>
        <v>465</v>
      </c>
      <c r="E3307" s="487">
        <f t="shared" ca="1" si="266"/>
        <v>3</v>
      </c>
      <c r="F3307" s="487">
        <f t="shared" ca="1" si="267"/>
        <v>86</v>
      </c>
      <c r="G3307" s="487"/>
      <c r="H3307" s="493" t="str">
        <f t="shared" ca="1" si="270"/>
        <v/>
      </c>
      <c r="I3307" s="493" t="str">
        <f t="shared" ca="1" si="271"/>
        <v/>
      </c>
      <c r="J3307" s="493" t="str">
        <f t="shared" ca="1" si="272"/>
        <v/>
      </c>
      <c r="K3307" s="493" t="str">
        <f t="shared" ca="1" si="273"/>
        <v/>
      </c>
      <c r="L3307" s="487"/>
      <c r="M3307" s="487"/>
      <c r="N3307" s="487"/>
      <c r="O3307" s="487"/>
      <c r="P3307" s="487">
        <f t="shared" si="268"/>
        <v>0</v>
      </c>
      <c r="Q3307" s="487"/>
    </row>
    <row r="3308" spans="1:17" x14ac:dyDescent="0.3">
      <c r="A3308" s="487" t="b">
        <f t="shared" ca="1" si="269"/>
        <v>0</v>
      </c>
      <c r="B3308" s="500" t="str">
        <f ca="1">IF(COUNTA(G$2360:G3307)=1,"",OFFSET(B3308,-COUNTA(G$2360:G3307)+1,0))</f>
        <v>a1b3p000003dxeuAAA</v>
      </c>
      <c r="C3308" s="502">
        <f ca="1">IF(COUNTA(G$2360:G3307)=1,"",OFFSET(C3308,-COUNTA(G$2360:G3307)+1,0))</f>
        <v>78</v>
      </c>
      <c r="D3308" s="487">
        <f t="shared" si="265"/>
        <v>466</v>
      </c>
      <c r="E3308" s="487">
        <f t="shared" ca="1" si="266"/>
        <v>4</v>
      </c>
      <c r="F3308" s="487">
        <f t="shared" ca="1" si="267"/>
        <v>86</v>
      </c>
      <c r="G3308" s="487"/>
      <c r="H3308" s="493" t="str">
        <f t="shared" ca="1" si="270"/>
        <v/>
      </c>
      <c r="I3308" s="493" t="str">
        <f t="shared" ca="1" si="271"/>
        <v/>
      </c>
      <c r="J3308" s="493" t="str">
        <f t="shared" ca="1" si="272"/>
        <v/>
      </c>
      <c r="K3308" s="493" t="str">
        <f t="shared" ca="1" si="273"/>
        <v/>
      </c>
      <c r="L3308" s="487"/>
      <c r="M3308" s="487"/>
      <c r="N3308" s="487"/>
      <c r="O3308" s="487"/>
      <c r="P3308" s="487">
        <f t="shared" si="268"/>
        <v>0</v>
      </c>
      <c r="Q3308" s="487"/>
    </row>
    <row r="3309" spans="1:17" x14ac:dyDescent="0.3">
      <c r="A3309" s="487" t="b">
        <f t="shared" ca="1" si="269"/>
        <v>0</v>
      </c>
      <c r="B3309" s="500" t="str">
        <f ca="1">IF(COUNTA(G$2360:G3308)=1,"",OFFSET(B3309,-COUNTA(G$2360:G3308)+1,0))</f>
        <v>a1b3p000003dxgCAAQ</v>
      </c>
      <c r="C3309" s="502">
        <f ca="1">IF(COUNTA(G$2360:G3308)=1,"",OFFSET(C3309,-COUNTA(G$2360:G3308)+1,0))</f>
        <v>78</v>
      </c>
      <c r="D3309" s="487">
        <f t="shared" si="265"/>
        <v>467</v>
      </c>
      <c r="E3309" s="487">
        <f t="shared" ca="1" si="266"/>
        <v>5</v>
      </c>
      <c r="F3309" s="487">
        <f t="shared" ca="1" si="267"/>
        <v>86</v>
      </c>
      <c r="G3309" s="487"/>
      <c r="H3309" s="493" t="str">
        <f t="shared" ca="1" si="270"/>
        <v/>
      </c>
      <c r="I3309" s="493" t="str">
        <f t="shared" ca="1" si="271"/>
        <v/>
      </c>
      <c r="J3309" s="493" t="str">
        <f t="shared" ca="1" si="272"/>
        <v/>
      </c>
      <c r="K3309" s="493" t="str">
        <f t="shared" ca="1" si="273"/>
        <v/>
      </c>
      <c r="L3309" s="487"/>
      <c r="M3309" s="487"/>
      <c r="N3309" s="487"/>
      <c r="O3309" s="487"/>
      <c r="P3309" s="487">
        <f t="shared" si="268"/>
        <v>0</v>
      </c>
      <c r="Q3309" s="487"/>
    </row>
    <row r="3310" spans="1:17" x14ac:dyDescent="0.3">
      <c r="A3310" s="487" t="b">
        <f t="shared" ca="1" si="269"/>
        <v>0</v>
      </c>
      <c r="B3310" s="500" t="str">
        <f ca="1">IF(COUNTA(G$2360:G3309)=1,"",OFFSET(B3310,-COUNTA(G$2360:G3309)+1,0))</f>
        <v>a1b3p000003dxhUAAQ</v>
      </c>
      <c r="C3310" s="502">
        <f ca="1">IF(COUNTA(G$2360:G3309)=1,"",OFFSET(C3310,-COUNTA(G$2360:G3309)+1,0))</f>
        <v>78</v>
      </c>
      <c r="D3310" s="487">
        <f t="shared" si="265"/>
        <v>468</v>
      </c>
      <c r="E3310" s="487">
        <f t="shared" ca="1" si="266"/>
        <v>6</v>
      </c>
      <c r="F3310" s="487">
        <f t="shared" ca="1" si="267"/>
        <v>86</v>
      </c>
      <c r="G3310" s="487"/>
      <c r="H3310" s="493" t="str">
        <f t="shared" ca="1" si="270"/>
        <v/>
      </c>
      <c r="I3310" s="493" t="str">
        <f t="shared" ca="1" si="271"/>
        <v/>
      </c>
      <c r="J3310" s="493" t="str">
        <f t="shared" ca="1" si="272"/>
        <v/>
      </c>
      <c r="K3310" s="493" t="str">
        <f t="shared" ca="1" si="273"/>
        <v/>
      </c>
      <c r="L3310" s="487"/>
      <c r="M3310" s="487"/>
      <c r="N3310" s="487"/>
      <c r="O3310" s="487"/>
      <c r="P3310" s="487">
        <f t="shared" si="268"/>
        <v>0</v>
      </c>
      <c r="Q3310" s="487"/>
    </row>
    <row r="3311" spans="1:17" x14ac:dyDescent="0.3">
      <c r="A3311" s="487" t="b">
        <f t="shared" ca="1" si="269"/>
        <v>0</v>
      </c>
      <c r="B3311" s="500" t="str">
        <f ca="1">IF(COUNTA(G$2360:G3310)=1,"",OFFSET(B3311,-COUNTA(G$2360:G3310)+1,0))</f>
        <v>a1b3p000003dxb3AAA</v>
      </c>
      <c r="C3311" s="502">
        <f ca="1">IF(COUNTA(G$2360:G3310)=1,"",OFFSET(C3311,-COUNTA(G$2360:G3310)+1,0))</f>
        <v>79</v>
      </c>
      <c r="D3311" s="487">
        <f t="shared" si="265"/>
        <v>469</v>
      </c>
      <c r="E3311" s="487">
        <f t="shared" ca="1" si="266"/>
        <v>1</v>
      </c>
      <c r="F3311" s="487">
        <f t="shared" ca="1" si="267"/>
        <v>87</v>
      </c>
      <c r="G3311" s="487"/>
      <c r="H3311" s="493" t="str">
        <f t="shared" ca="1" si="270"/>
        <v/>
      </c>
      <c r="I3311" s="493" t="str">
        <f t="shared" ca="1" si="271"/>
        <v/>
      </c>
      <c r="J3311" s="493" t="str">
        <f t="shared" ca="1" si="272"/>
        <v/>
      </c>
      <c r="K3311" s="493" t="str">
        <f t="shared" ca="1" si="273"/>
        <v/>
      </c>
      <c r="L3311" s="487"/>
      <c r="M3311" s="487"/>
      <c r="N3311" s="487"/>
      <c r="O3311" s="487"/>
      <c r="P3311" s="487">
        <f t="shared" si="268"/>
        <v>0</v>
      </c>
      <c r="Q3311" s="487"/>
    </row>
    <row r="3312" spans="1:17" x14ac:dyDescent="0.3">
      <c r="A3312" s="487" t="b">
        <f t="shared" ca="1" si="269"/>
        <v>0</v>
      </c>
      <c r="B3312" s="500" t="str">
        <f ca="1">IF(COUNTA(G$2360:G3311)=1,"",OFFSET(B3312,-COUNTA(G$2360:G3311)+1,0))</f>
        <v>a1b3p000003dxcLAAQ</v>
      </c>
      <c r="C3312" s="502">
        <f ca="1">IF(COUNTA(G$2360:G3311)=1,"",OFFSET(C3312,-COUNTA(G$2360:G3311)+1,0))</f>
        <v>79</v>
      </c>
      <c r="D3312" s="487">
        <f t="shared" si="265"/>
        <v>470</v>
      </c>
      <c r="E3312" s="487">
        <f t="shared" ca="1" si="266"/>
        <v>2</v>
      </c>
      <c r="F3312" s="487">
        <f t="shared" ca="1" si="267"/>
        <v>87</v>
      </c>
      <c r="G3312" s="487"/>
      <c r="H3312" s="493" t="str">
        <f t="shared" ca="1" si="270"/>
        <v/>
      </c>
      <c r="I3312" s="493" t="str">
        <f t="shared" ca="1" si="271"/>
        <v/>
      </c>
      <c r="J3312" s="493" t="str">
        <f t="shared" ca="1" si="272"/>
        <v/>
      </c>
      <c r="K3312" s="493" t="str">
        <f t="shared" ca="1" si="273"/>
        <v/>
      </c>
      <c r="L3312" s="487"/>
      <c r="M3312" s="487"/>
      <c r="N3312" s="487"/>
      <c r="O3312" s="487"/>
      <c r="P3312" s="487">
        <f t="shared" si="268"/>
        <v>0</v>
      </c>
      <c r="Q3312" s="487"/>
    </row>
    <row r="3313" spans="1:17" x14ac:dyDescent="0.3">
      <c r="A3313" s="487" t="b">
        <f t="shared" ca="1" si="269"/>
        <v>0</v>
      </c>
      <c r="B3313" s="500" t="str">
        <f ca="1">IF(COUNTA(G$2360:G3312)=1,"",OFFSET(B3313,-COUNTA(G$2360:G3312)+1,0))</f>
        <v>a1b3p000003dxddAAA</v>
      </c>
      <c r="C3313" s="502">
        <f ca="1">IF(COUNTA(G$2360:G3312)=1,"",OFFSET(C3313,-COUNTA(G$2360:G3312)+1,0))</f>
        <v>79</v>
      </c>
      <c r="D3313" s="487">
        <f t="shared" si="265"/>
        <v>471</v>
      </c>
      <c r="E3313" s="487">
        <f t="shared" ca="1" si="266"/>
        <v>3</v>
      </c>
      <c r="F3313" s="487">
        <f t="shared" ca="1" si="267"/>
        <v>87</v>
      </c>
      <c r="G3313" s="487"/>
      <c r="H3313" s="493" t="str">
        <f t="shared" ca="1" si="270"/>
        <v/>
      </c>
      <c r="I3313" s="493" t="str">
        <f t="shared" ca="1" si="271"/>
        <v/>
      </c>
      <c r="J3313" s="493" t="str">
        <f t="shared" ca="1" si="272"/>
        <v/>
      </c>
      <c r="K3313" s="493" t="str">
        <f t="shared" ca="1" si="273"/>
        <v/>
      </c>
      <c r="L3313" s="487"/>
      <c r="M3313" s="487"/>
      <c r="N3313" s="487"/>
      <c r="O3313" s="487"/>
      <c r="P3313" s="487">
        <f t="shared" si="268"/>
        <v>0</v>
      </c>
      <c r="Q3313" s="487"/>
    </row>
    <row r="3314" spans="1:17" x14ac:dyDescent="0.3">
      <c r="A3314" s="487" t="b">
        <f t="shared" ca="1" si="269"/>
        <v>0</v>
      </c>
      <c r="B3314" s="500" t="str">
        <f ca="1">IF(COUNTA(G$2360:G3313)=1,"",OFFSET(B3314,-COUNTA(G$2360:G3313)+1,0))</f>
        <v>a1b3p000003dxevAAA</v>
      </c>
      <c r="C3314" s="502">
        <f ca="1">IF(COUNTA(G$2360:G3313)=1,"",OFFSET(C3314,-COUNTA(G$2360:G3313)+1,0))</f>
        <v>79</v>
      </c>
      <c r="D3314" s="487">
        <f t="shared" si="265"/>
        <v>472</v>
      </c>
      <c r="E3314" s="487">
        <f t="shared" ca="1" si="266"/>
        <v>4</v>
      </c>
      <c r="F3314" s="487">
        <f t="shared" ca="1" si="267"/>
        <v>87</v>
      </c>
      <c r="G3314" s="487"/>
      <c r="H3314" s="493" t="str">
        <f t="shared" ca="1" si="270"/>
        <v/>
      </c>
      <c r="I3314" s="493" t="str">
        <f t="shared" ca="1" si="271"/>
        <v/>
      </c>
      <c r="J3314" s="493" t="str">
        <f t="shared" ca="1" si="272"/>
        <v/>
      </c>
      <c r="K3314" s="493" t="str">
        <f t="shared" ca="1" si="273"/>
        <v/>
      </c>
      <c r="L3314" s="487"/>
      <c r="M3314" s="487"/>
      <c r="N3314" s="487"/>
      <c r="O3314" s="487"/>
      <c r="P3314" s="487">
        <f t="shared" si="268"/>
        <v>0</v>
      </c>
      <c r="Q3314" s="487"/>
    </row>
    <row r="3315" spans="1:17" x14ac:dyDescent="0.3">
      <c r="A3315" s="487" t="b">
        <f t="shared" ca="1" si="269"/>
        <v>0</v>
      </c>
      <c r="B3315" s="500" t="str">
        <f ca="1">IF(COUNTA(G$2360:G3314)=1,"",OFFSET(B3315,-COUNTA(G$2360:G3314)+1,0))</f>
        <v>a1b3p000003dxgDAAQ</v>
      </c>
      <c r="C3315" s="502">
        <f ca="1">IF(COUNTA(G$2360:G3314)=1,"",OFFSET(C3315,-COUNTA(G$2360:G3314)+1,0))</f>
        <v>79</v>
      </c>
      <c r="D3315" s="487">
        <f t="shared" si="265"/>
        <v>473</v>
      </c>
      <c r="E3315" s="487">
        <f t="shared" ca="1" si="266"/>
        <v>5</v>
      </c>
      <c r="F3315" s="487">
        <f t="shared" ca="1" si="267"/>
        <v>87</v>
      </c>
      <c r="G3315" s="487"/>
      <c r="H3315" s="493" t="str">
        <f t="shared" ca="1" si="270"/>
        <v/>
      </c>
      <c r="I3315" s="493" t="str">
        <f t="shared" ca="1" si="271"/>
        <v/>
      </c>
      <c r="J3315" s="493" t="str">
        <f t="shared" ca="1" si="272"/>
        <v/>
      </c>
      <c r="K3315" s="493" t="str">
        <f t="shared" ca="1" si="273"/>
        <v/>
      </c>
      <c r="L3315" s="487"/>
      <c r="M3315" s="487"/>
      <c r="N3315" s="487"/>
      <c r="O3315" s="487"/>
      <c r="P3315" s="487">
        <f t="shared" si="268"/>
        <v>0</v>
      </c>
      <c r="Q3315" s="487"/>
    </row>
    <row r="3316" spans="1:17" x14ac:dyDescent="0.3">
      <c r="A3316" s="487" t="b">
        <f t="shared" ca="1" si="269"/>
        <v>0</v>
      </c>
      <c r="B3316" s="500" t="str">
        <f ca="1">IF(COUNTA(G$2360:G3315)=1,"",OFFSET(B3316,-COUNTA(G$2360:G3315)+1,0))</f>
        <v>a1b3p000003dxhVAAQ</v>
      </c>
      <c r="C3316" s="502">
        <f ca="1">IF(COUNTA(G$2360:G3315)=1,"",OFFSET(C3316,-COUNTA(G$2360:G3315)+1,0))</f>
        <v>79</v>
      </c>
      <c r="D3316" s="487">
        <f t="shared" si="265"/>
        <v>474</v>
      </c>
      <c r="E3316" s="487">
        <f t="shared" ca="1" si="266"/>
        <v>6</v>
      </c>
      <c r="F3316" s="487">
        <f t="shared" ca="1" si="267"/>
        <v>87</v>
      </c>
      <c r="G3316" s="487"/>
      <c r="H3316" s="493" t="str">
        <f t="shared" ca="1" si="270"/>
        <v/>
      </c>
      <c r="I3316" s="493" t="str">
        <f t="shared" ca="1" si="271"/>
        <v/>
      </c>
      <c r="J3316" s="493" t="str">
        <f t="shared" ca="1" si="272"/>
        <v/>
      </c>
      <c r="K3316" s="493" t="str">
        <f t="shared" ca="1" si="273"/>
        <v/>
      </c>
      <c r="L3316" s="487"/>
      <c r="M3316" s="487"/>
      <c r="N3316" s="487"/>
      <c r="O3316" s="487"/>
      <c r="P3316" s="487">
        <f t="shared" si="268"/>
        <v>0</v>
      </c>
      <c r="Q3316" s="487"/>
    </row>
    <row r="3317" spans="1:17" x14ac:dyDescent="0.3">
      <c r="A3317" s="487" t="b">
        <f t="shared" ca="1" si="269"/>
        <v>0</v>
      </c>
      <c r="B3317" s="500" t="str">
        <f ca="1">IF(COUNTA(G$2360:G3316)=1,"",OFFSET(B3317,-COUNTA(G$2360:G3316)+1,0))</f>
        <v>a1b3p000003dxb4AAA</v>
      </c>
      <c r="C3317" s="502">
        <f ca="1">IF(COUNTA(G$2360:G3316)=1,"",OFFSET(C3317,-COUNTA(G$2360:G3316)+1,0))</f>
        <v>80</v>
      </c>
      <c r="D3317" s="487">
        <f t="shared" si="265"/>
        <v>475</v>
      </c>
      <c r="E3317" s="487">
        <f t="shared" ca="1" si="266"/>
        <v>1</v>
      </c>
      <c r="F3317" s="487">
        <f t="shared" ca="1" si="267"/>
        <v>88</v>
      </c>
      <c r="G3317" s="487"/>
      <c r="H3317" s="493" t="str">
        <f t="shared" ca="1" si="270"/>
        <v/>
      </c>
      <c r="I3317" s="493" t="str">
        <f t="shared" ca="1" si="271"/>
        <v/>
      </c>
      <c r="J3317" s="493" t="str">
        <f t="shared" ca="1" si="272"/>
        <v/>
      </c>
      <c r="K3317" s="493" t="str">
        <f t="shared" ca="1" si="273"/>
        <v/>
      </c>
      <c r="L3317" s="487"/>
      <c r="M3317" s="487"/>
      <c r="N3317" s="487"/>
      <c r="O3317" s="487"/>
      <c r="P3317" s="487">
        <f t="shared" si="268"/>
        <v>0</v>
      </c>
      <c r="Q3317" s="487"/>
    </row>
    <row r="3318" spans="1:17" x14ac:dyDescent="0.3">
      <c r="A3318" s="487" t="b">
        <f t="shared" ca="1" si="269"/>
        <v>0</v>
      </c>
      <c r="B3318" s="500" t="str">
        <f ca="1">IF(COUNTA(G$2360:G3317)=1,"",OFFSET(B3318,-COUNTA(G$2360:G3317)+1,0))</f>
        <v>a1b3p000003dxcMAAQ</v>
      </c>
      <c r="C3318" s="502">
        <f ca="1">IF(COUNTA(G$2360:G3317)=1,"",OFFSET(C3318,-COUNTA(G$2360:G3317)+1,0))</f>
        <v>80</v>
      </c>
      <c r="D3318" s="487">
        <f t="shared" si="265"/>
        <v>476</v>
      </c>
      <c r="E3318" s="487">
        <f t="shared" ca="1" si="266"/>
        <v>2</v>
      </c>
      <c r="F3318" s="487">
        <f t="shared" ca="1" si="267"/>
        <v>88</v>
      </c>
      <c r="G3318" s="487"/>
      <c r="H3318" s="493" t="str">
        <f t="shared" ca="1" si="270"/>
        <v/>
      </c>
      <c r="I3318" s="493" t="str">
        <f t="shared" ca="1" si="271"/>
        <v/>
      </c>
      <c r="J3318" s="493" t="str">
        <f t="shared" ca="1" si="272"/>
        <v/>
      </c>
      <c r="K3318" s="493" t="str">
        <f t="shared" ca="1" si="273"/>
        <v/>
      </c>
      <c r="L3318" s="487"/>
      <c r="M3318" s="487"/>
      <c r="N3318" s="487"/>
      <c r="O3318" s="487"/>
      <c r="P3318" s="487">
        <f t="shared" si="268"/>
        <v>0</v>
      </c>
      <c r="Q3318" s="487"/>
    </row>
    <row r="3319" spans="1:17" x14ac:dyDescent="0.3">
      <c r="A3319" s="487" t="b">
        <f t="shared" ca="1" si="269"/>
        <v>0</v>
      </c>
      <c r="B3319" s="500" t="str">
        <f ca="1">IF(COUNTA(G$2360:G3318)=1,"",OFFSET(B3319,-COUNTA(G$2360:G3318)+1,0))</f>
        <v>a1b3p000003dxdeAAA</v>
      </c>
      <c r="C3319" s="502">
        <f ca="1">IF(COUNTA(G$2360:G3318)=1,"",OFFSET(C3319,-COUNTA(G$2360:G3318)+1,0))</f>
        <v>80</v>
      </c>
      <c r="D3319" s="487">
        <f t="shared" si="265"/>
        <v>477</v>
      </c>
      <c r="E3319" s="487">
        <f t="shared" ca="1" si="266"/>
        <v>3</v>
      </c>
      <c r="F3319" s="487">
        <f t="shared" ca="1" si="267"/>
        <v>88</v>
      </c>
      <c r="G3319" s="487"/>
      <c r="H3319" s="493" t="str">
        <f t="shared" ca="1" si="270"/>
        <v/>
      </c>
      <c r="I3319" s="493" t="str">
        <f t="shared" ca="1" si="271"/>
        <v/>
      </c>
      <c r="J3319" s="493" t="str">
        <f t="shared" ca="1" si="272"/>
        <v/>
      </c>
      <c r="K3319" s="493" t="str">
        <f t="shared" ca="1" si="273"/>
        <v/>
      </c>
      <c r="L3319" s="487"/>
      <c r="M3319" s="487"/>
      <c r="N3319" s="487"/>
      <c r="O3319" s="487"/>
      <c r="P3319" s="487">
        <f t="shared" si="268"/>
        <v>0</v>
      </c>
      <c r="Q3319" s="487"/>
    </row>
    <row r="3320" spans="1:17" x14ac:dyDescent="0.3">
      <c r="A3320" s="487" t="b">
        <f t="shared" ca="1" si="269"/>
        <v>0</v>
      </c>
      <c r="B3320" s="500" t="str">
        <f ca="1">IF(COUNTA(G$2360:G3319)=1,"",OFFSET(B3320,-COUNTA(G$2360:G3319)+1,0))</f>
        <v>a1b3p000003dxewAAA</v>
      </c>
      <c r="C3320" s="502">
        <f ca="1">IF(COUNTA(G$2360:G3319)=1,"",OFFSET(C3320,-COUNTA(G$2360:G3319)+1,0))</f>
        <v>80</v>
      </c>
      <c r="D3320" s="487">
        <f t="shared" si="265"/>
        <v>478</v>
      </c>
      <c r="E3320" s="487">
        <f t="shared" ca="1" si="266"/>
        <v>4</v>
      </c>
      <c r="F3320" s="487">
        <f t="shared" ca="1" si="267"/>
        <v>88</v>
      </c>
      <c r="G3320" s="487"/>
      <c r="H3320" s="493" t="str">
        <f t="shared" ca="1" si="270"/>
        <v/>
      </c>
      <c r="I3320" s="493" t="str">
        <f t="shared" ca="1" si="271"/>
        <v/>
      </c>
      <c r="J3320" s="493" t="str">
        <f t="shared" ca="1" si="272"/>
        <v/>
      </c>
      <c r="K3320" s="493" t="str">
        <f t="shared" ca="1" si="273"/>
        <v/>
      </c>
      <c r="L3320" s="487"/>
      <c r="M3320" s="487"/>
      <c r="N3320" s="487"/>
      <c r="O3320" s="487"/>
      <c r="P3320" s="487">
        <f t="shared" si="268"/>
        <v>0</v>
      </c>
      <c r="Q3320" s="487"/>
    </row>
    <row r="3321" spans="1:17" x14ac:dyDescent="0.3">
      <c r="A3321" s="487" t="b">
        <f t="shared" ca="1" si="269"/>
        <v>0</v>
      </c>
      <c r="B3321" s="500" t="str">
        <f ca="1">IF(COUNTA(G$2360:G3320)=1,"",OFFSET(B3321,-COUNTA(G$2360:G3320)+1,0))</f>
        <v>a1b3p000003dxgEAAQ</v>
      </c>
      <c r="C3321" s="502">
        <f ca="1">IF(COUNTA(G$2360:G3320)=1,"",OFFSET(C3321,-COUNTA(G$2360:G3320)+1,0))</f>
        <v>80</v>
      </c>
      <c r="D3321" s="487">
        <f t="shared" si="265"/>
        <v>479</v>
      </c>
      <c r="E3321" s="487">
        <f t="shared" ca="1" si="266"/>
        <v>5</v>
      </c>
      <c r="F3321" s="487">
        <f t="shared" ca="1" si="267"/>
        <v>88</v>
      </c>
      <c r="G3321" s="487"/>
      <c r="H3321" s="493" t="str">
        <f t="shared" ca="1" si="270"/>
        <v/>
      </c>
      <c r="I3321" s="493" t="str">
        <f t="shared" ca="1" si="271"/>
        <v/>
      </c>
      <c r="J3321" s="493" t="str">
        <f t="shared" ca="1" si="272"/>
        <v/>
      </c>
      <c r="K3321" s="493" t="str">
        <f t="shared" ca="1" si="273"/>
        <v/>
      </c>
      <c r="L3321" s="487"/>
      <c r="M3321" s="487"/>
      <c r="N3321" s="487"/>
      <c r="O3321" s="487"/>
      <c r="P3321" s="487">
        <f t="shared" si="268"/>
        <v>0</v>
      </c>
      <c r="Q3321" s="487"/>
    </row>
    <row r="3322" spans="1:17" x14ac:dyDescent="0.3">
      <c r="A3322" s="487" t="b">
        <f t="shared" ca="1" si="269"/>
        <v>0</v>
      </c>
      <c r="B3322" s="500" t="str">
        <f ca="1">IF(COUNTA(G$2360:G3321)=1,"",OFFSET(B3322,-COUNTA(G$2360:G3321)+1,0))</f>
        <v>a1b3p000003dxhWAAQ</v>
      </c>
      <c r="C3322" s="502">
        <f ca="1">IF(COUNTA(G$2360:G3321)=1,"",OFFSET(C3322,-COUNTA(G$2360:G3321)+1,0))</f>
        <v>80</v>
      </c>
      <c r="D3322" s="487">
        <f t="shared" si="265"/>
        <v>480</v>
      </c>
      <c r="E3322" s="487">
        <f t="shared" ca="1" si="266"/>
        <v>6</v>
      </c>
      <c r="F3322" s="487">
        <f t="shared" ca="1" si="267"/>
        <v>88</v>
      </c>
      <c r="G3322" s="487"/>
      <c r="H3322" s="493" t="str">
        <f t="shared" ca="1" si="270"/>
        <v/>
      </c>
      <c r="I3322" s="493" t="str">
        <f t="shared" ca="1" si="271"/>
        <v/>
      </c>
      <c r="J3322" s="493" t="str">
        <f t="shared" ca="1" si="272"/>
        <v/>
      </c>
      <c r="K3322" s="493" t="str">
        <f t="shared" ca="1" si="273"/>
        <v/>
      </c>
      <c r="L3322" s="487"/>
      <c r="M3322" s="487"/>
      <c r="N3322" s="487"/>
      <c r="O3322" s="487"/>
      <c r="P3322" s="487">
        <f t="shared" si="268"/>
        <v>0</v>
      </c>
      <c r="Q3322" s="487"/>
    </row>
    <row r="3323" spans="1:17" x14ac:dyDescent="0.3">
      <c r="J3323" s="486" t="str">
        <f ca="1">IF(ROW()&gt;'Impact Indicator Target Update'!A30,"",INDIRECT("'Impact Indicators - Section B'!A"&amp;'Impact Indicator Target Update'!D30))</f>
        <v/>
      </c>
    </row>
    <row r="3324" spans="1:17" x14ac:dyDescent="0.3">
      <c r="J3324" s="486" t="str">
        <f ca="1">IF(ROW()&gt;'Impact Indicator Target Update'!A31,"",INDIRECT("'Impact Indicators - Section B'!A"&amp;'Impact Indicator Target Update'!D31))</f>
        <v/>
      </c>
    </row>
    <row r="3325" spans="1:17" x14ac:dyDescent="0.3">
      <c r="J3325" s="486" t="str">
        <f ca="1">IF(ROW()&gt;'Impact Indicator Target Update'!A32,"",INDIRECT("'Impact Indicators - Section B'!A"&amp;'Impact Indicator Target Update'!D32))</f>
        <v/>
      </c>
    </row>
    <row r="3326" spans="1:17" x14ac:dyDescent="0.3">
      <c r="J3326" s="486" t="str">
        <f ca="1">IF(ROW()&gt;'Impact Indicator Target Update'!A33,"",INDIRECT("'Impact Indicators - Section B'!A"&amp;'Impact Indicator Target Update'!D33))</f>
        <v/>
      </c>
    </row>
    <row r="3327" spans="1:17" x14ac:dyDescent="0.3">
      <c r="J3327" s="486" t="str">
        <f ca="1">IF(ROW()&gt;'Impact Indicator Target Update'!A34,"",INDIRECT("'Impact Indicators - Section B'!A"&amp;'Impact Indicator Target Update'!D34))</f>
        <v/>
      </c>
    </row>
    <row r="3328" spans="1:17" x14ac:dyDescent="0.3">
      <c r="J3328" s="486" t="str">
        <f ca="1">IF(ROW()&gt;'Impact Indicator Target Update'!A35,"",INDIRECT("'Impact Indicators - Section B'!A"&amp;'Impact Indicator Target Update'!D35))</f>
        <v/>
      </c>
    </row>
    <row r="3329" spans="10:10" x14ac:dyDescent="0.3">
      <c r="J3329" s="486" t="str">
        <f ca="1">IF(ROW()&gt;'Impact Indicator Target Update'!A36,"",INDIRECT("'Impact Indicators - Section B'!A"&amp;'Impact Indicator Target Update'!D36))</f>
        <v/>
      </c>
    </row>
    <row r="3330" spans="10:10" x14ac:dyDescent="0.3">
      <c r="J3330" s="486" t="str">
        <f ca="1">IF(ROW()&gt;'Impact Indicator Target Update'!A37,"",INDIRECT("'Impact Indicators - Section B'!A"&amp;'Impact Indicator Target Update'!D37))</f>
        <v/>
      </c>
    </row>
    <row r="3331" spans="10:10" x14ac:dyDescent="0.3">
      <c r="J3331" s="486" t="str">
        <f ca="1">IF(ROW()&gt;'Impact Indicator Target Update'!A38,"",INDIRECT("'Impact Indicators - Section B'!A"&amp;'Impact Indicator Target Update'!D38))</f>
        <v/>
      </c>
    </row>
    <row r="3332" spans="10:10" x14ac:dyDescent="0.3">
      <c r="J3332" s="486" t="str">
        <f ca="1">IF(ROW()&gt;'Impact Indicator Target Update'!A39,"",INDIRECT("'Impact Indicators - Section B'!A"&amp;'Impact Indicator Target Update'!D39))</f>
        <v/>
      </c>
    </row>
    <row r="3333" spans="10:10" x14ac:dyDescent="0.3">
      <c r="J3333" s="486" t="str">
        <f ca="1">IF(ROW()&gt;'Impact Indicator Target Update'!A40,"",INDIRECT("'Impact Indicators - Section B'!A"&amp;'Impact Indicator Target Update'!D40))</f>
        <v/>
      </c>
    </row>
    <row r="3334" spans="10:10" x14ac:dyDescent="0.3">
      <c r="J3334" s="486" t="str">
        <f ca="1">IF(ROW()&gt;'Impact Indicator Target Update'!A41,"",INDIRECT("'Impact Indicators - Section B'!A"&amp;'Impact Indicator Target Update'!D41))</f>
        <v/>
      </c>
    </row>
    <row r="3335" spans="10:10" x14ac:dyDescent="0.3">
      <c r="J3335" s="486" t="str">
        <f ca="1">IF(ROW()&gt;'Impact Indicator Target Update'!A42,"",INDIRECT("'Impact Indicators - Section B'!A"&amp;'Impact Indicator Target Update'!D42))</f>
        <v/>
      </c>
    </row>
    <row r="3336" spans="10:10" x14ac:dyDescent="0.3">
      <c r="J3336" s="486" t="str">
        <f ca="1">IF(ROW()&gt;'Impact Indicator Target Update'!A43,"",INDIRECT("'Impact Indicators - Section B'!A"&amp;'Impact Indicator Target Update'!D43))</f>
        <v/>
      </c>
    </row>
    <row r="3337" spans="10:10" x14ac:dyDescent="0.3">
      <c r="J3337" s="486" t="str">
        <f ca="1">IF(ROW()&gt;'Impact Indicator Target Update'!A44,"",INDIRECT("'Impact Indicators - Section B'!A"&amp;'Impact Indicator Target Update'!D44))</f>
        <v/>
      </c>
    </row>
    <row r="3338" spans="10:10" x14ac:dyDescent="0.3">
      <c r="J3338" s="486" t="str">
        <f ca="1">IF(ROW()&gt;'Impact Indicator Target Update'!A45,"",INDIRECT("'Impact Indicators - Section B'!A"&amp;'Impact Indicator Target Update'!D45))</f>
        <v/>
      </c>
    </row>
    <row r="3339" spans="10:10" x14ac:dyDescent="0.3">
      <c r="J3339" s="486" t="str">
        <f ca="1">IF(ROW()&gt;'Impact Indicator Target Update'!A46,"",INDIRECT("'Impact Indicators - Section B'!A"&amp;'Impact Indicator Target Update'!D46))</f>
        <v/>
      </c>
    </row>
    <row r="3340" spans="10:10" x14ac:dyDescent="0.3">
      <c r="J3340" s="486" t="str">
        <f ca="1">IF(ROW()&gt;'Impact Indicator Target Update'!A47,"",INDIRECT("'Impact Indicators - Section B'!A"&amp;'Impact Indicator Target Update'!D47))</f>
        <v/>
      </c>
    </row>
    <row r="3341" spans="10:10" x14ac:dyDescent="0.3">
      <c r="J3341" s="486" t="str">
        <f ca="1">IF(ROW()&gt;'Impact Indicator Target Update'!A48,"",INDIRECT("'Impact Indicators - Section B'!A"&amp;'Impact Indicator Target Update'!D48))</f>
        <v/>
      </c>
    </row>
    <row r="3342" spans="10:10" x14ac:dyDescent="0.3">
      <c r="J3342" s="486" t="str">
        <f ca="1">IF(ROW()&gt;'Impact Indicator Target Update'!A49,"",INDIRECT("'Impact Indicators - Section B'!A"&amp;'Impact Indicator Target Update'!D49))</f>
        <v/>
      </c>
    </row>
    <row r="3343" spans="10:10" x14ac:dyDescent="0.3">
      <c r="J3343" s="486" t="str">
        <f ca="1">IF(ROW()&gt;'Impact Indicator Target Update'!A50,"",INDIRECT("'Impact Indicators - Section B'!A"&amp;'Impact Indicator Target Update'!D50))</f>
        <v/>
      </c>
    </row>
    <row r="3344" spans="10:10" x14ac:dyDescent="0.3">
      <c r="J3344" s="486" t="str">
        <f ca="1">IF(ROW()&gt;'Impact Indicator Target Update'!A51,"",INDIRECT("'Impact Indicators - Section B'!A"&amp;'Impact Indicator Target Update'!D51))</f>
        <v/>
      </c>
    </row>
    <row r="3345" spans="10:10" x14ac:dyDescent="0.3">
      <c r="J3345" s="486" t="str">
        <f ca="1">IF(ROW()&gt;'Impact Indicator Target Update'!A52,"",INDIRECT("'Impact Indicators - Section B'!A"&amp;'Impact Indicator Target Update'!D52))</f>
        <v/>
      </c>
    </row>
    <row r="3346" spans="10:10" x14ac:dyDescent="0.3">
      <c r="J3346" s="486" t="str">
        <f ca="1">IF(ROW()&gt;'Impact Indicator Target Update'!A53,"",INDIRECT("'Impact Indicators - Section B'!A"&amp;'Impact Indicator Target Update'!D53))</f>
        <v/>
      </c>
    </row>
    <row r="3347" spans="10:10" x14ac:dyDescent="0.3">
      <c r="J3347" s="486" t="str">
        <f ca="1">IF(ROW()&gt;'Impact Indicator Target Update'!A54,"",INDIRECT("'Impact Indicators - Section B'!A"&amp;'Impact Indicator Target Update'!D54))</f>
        <v/>
      </c>
    </row>
    <row r="3348" spans="10:10" x14ac:dyDescent="0.3">
      <c r="J3348" s="486" t="str">
        <f ca="1">IF(ROW()&gt;'Impact Indicator Target Update'!A55,"",INDIRECT("'Impact Indicators - Section B'!A"&amp;'Impact Indicator Target Update'!D55))</f>
        <v/>
      </c>
    </row>
    <row r="3349" spans="10:10" x14ac:dyDescent="0.3">
      <c r="J3349" s="486" t="str">
        <f ca="1">IF(ROW()&gt;'Impact Indicator Target Update'!A56,"",INDIRECT("'Impact Indicators - Section B'!A"&amp;'Impact Indicator Target Update'!D56))</f>
        <v/>
      </c>
    </row>
    <row r="3350" spans="10:10" x14ac:dyDescent="0.3">
      <c r="J3350" s="486" t="str">
        <f ca="1">IF(ROW()&gt;'Impact Indicator Target Update'!A57,"",INDIRECT("'Impact Indicators - Section B'!A"&amp;'Impact Indicator Target Update'!D57))</f>
        <v/>
      </c>
    </row>
    <row r="3351" spans="10:10" x14ac:dyDescent="0.3">
      <c r="J3351" s="486" t="str">
        <f ca="1">IF(ROW()&gt;'Impact Indicator Target Update'!A58,"",INDIRECT("'Impact Indicators - Section B'!A"&amp;'Impact Indicator Target Update'!D58))</f>
        <v/>
      </c>
    </row>
    <row r="3352" spans="10:10" x14ac:dyDescent="0.3">
      <c r="J3352" s="486" t="str">
        <f ca="1">IF(ROW()&gt;'Impact Indicator Target Update'!A59,"",INDIRECT("'Impact Indicators - Section B'!A"&amp;'Impact Indicator Target Update'!D59))</f>
        <v/>
      </c>
    </row>
    <row r="3353" spans="10:10" x14ac:dyDescent="0.3">
      <c r="J3353" s="486" t="str">
        <f ca="1">IF(ROW()&gt;'Impact Indicator Target Update'!A60,"",INDIRECT("'Impact Indicators - Section B'!A"&amp;'Impact Indicator Target Update'!D60))</f>
        <v/>
      </c>
    </row>
    <row r="3354" spans="10:10" x14ac:dyDescent="0.3">
      <c r="J3354" s="486" t="str">
        <f ca="1">IF(ROW()&gt;'Impact Indicator Target Update'!A61,"",INDIRECT("'Impact Indicators - Section B'!A"&amp;'Impact Indicator Target Update'!D61))</f>
        <v/>
      </c>
    </row>
    <row r="3355" spans="10:10" x14ac:dyDescent="0.3">
      <c r="J3355" s="486" t="str">
        <f ca="1">IF(ROW()&gt;'Impact Indicator Target Update'!A62,"",INDIRECT("'Impact Indicators - Section B'!A"&amp;'Impact Indicator Target Update'!D62))</f>
        <v/>
      </c>
    </row>
    <row r="3356" spans="10:10" x14ac:dyDescent="0.3">
      <c r="J3356" s="486" t="str">
        <f ca="1">IF(ROW()&gt;'Impact Indicator Target Update'!A63,"",INDIRECT("'Impact Indicators - Section B'!A"&amp;'Impact Indicator Target Update'!D63))</f>
        <v/>
      </c>
    </row>
    <row r="3357" spans="10:10" x14ac:dyDescent="0.3">
      <c r="J3357" s="486" t="str">
        <f ca="1">IF(ROW()&gt;'Impact Indicator Target Update'!A64,"",INDIRECT("'Impact Indicators - Section B'!A"&amp;'Impact Indicator Target Update'!D64))</f>
        <v/>
      </c>
    </row>
    <row r="3358" spans="10:10" x14ac:dyDescent="0.3">
      <c r="J3358" s="486" t="str">
        <f ca="1">IF(ROW()&gt;'Impact Indicator Target Update'!A65,"",INDIRECT("'Impact Indicators - Section B'!A"&amp;'Impact Indicator Target Update'!D65))</f>
        <v/>
      </c>
    </row>
    <row r="3359" spans="10:10" x14ac:dyDescent="0.3">
      <c r="J3359" s="486" t="str">
        <f ca="1">IF(ROW()&gt;'Impact Indicator Target Update'!A66,"",INDIRECT("'Impact Indicators - Section B'!A"&amp;'Impact Indicator Target Update'!D66))</f>
        <v/>
      </c>
    </row>
    <row r="3360" spans="10:10" x14ac:dyDescent="0.3">
      <c r="J3360" s="486" t="str">
        <f ca="1">IF(ROW()&gt;'Impact Indicator Target Update'!A67,"",INDIRECT("'Impact Indicators - Section B'!A"&amp;'Impact Indicator Target Update'!D67))</f>
        <v/>
      </c>
    </row>
    <row r="3361" spans="10:10" x14ac:dyDescent="0.3">
      <c r="J3361" s="486" t="str">
        <f ca="1">IF(ROW()&gt;'Impact Indicator Target Update'!A68,"",INDIRECT("'Impact Indicators - Section B'!A"&amp;'Impact Indicator Target Update'!D68))</f>
        <v/>
      </c>
    </row>
    <row r="3362" spans="10:10" x14ac:dyDescent="0.3">
      <c r="J3362" s="486" t="str">
        <f ca="1">IF(ROW()&gt;'Impact Indicator Target Update'!A69,"",INDIRECT("'Impact Indicators - Section B'!A"&amp;'Impact Indicator Target Update'!D69))</f>
        <v/>
      </c>
    </row>
    <row r="3363" spans="10:10" x14ac:dyDescent="0.3">
      <c r="J3363" s="486" t="str">
        <f ca="1">IF(ROW()&gt;'Impact Indicator Target Update'!A70,"",INDIRECT("'Impact Indicators - Section B'!A"&amp;'Impact Indicator Target Update'!D70))</f>
        <v/>
      </c>
    </row>
    <row r="3364" spans="10:10" x14ac:dyDescent="0.3">
      <c r="J3364" s="486" t="str">
        <f ca="1">IF(ROW()&gt;'Impact Indicator Target Update'!A71,"",INDIRECT("'Impact Indicators - Section B'!A"&amp;'Impact Indicator Target Update'!D71))</f>
        <v/>
      </c>
    </row>
    <row r="3365" spans="10:10" x14ac:dyDescent="0.3">
      <c r="J3365" s="486" t="str">
        <f ca="1">IF(ROW()&gt;'Impact Indicator Target Update'!A72,"",INDIRECT("'Impact Indicators - Section B'!A"&amp;'Impact Indicator Target Update'!D72))</f>
        <v/>
      </c>
    </row>
    <row r="3366" spans="10:10" x14ac:dyDescent="0.3">
      <c r="J3366" s="486" t="str">
        <f ca="1">IF(ROW()&gt;'Impact Indicator Target Update'!A73,"",INDIRECT("'Impact Indicators - Section B'!A"&amp;'Impact Indicator Target Update'!D73))</f>
        <v/>
      </c>
    </row>
    <row r="3367" spans="10:10" x14ac:dyDescent="0.3">
      <c r="J3367" s="486" t="str">
        <f ca="1">IF(ROW()&gt;'Impact Indicator Target Update'!A74,"",INDIRECT("'Impact Indicators - Section B'!A"&amp;'Impact Indicator Target Update'!D74))</f>
        <v/>
      </c>
    </row>
    <row r="3368" spans="10:10" x14ac:dyDescent="0.3">
      <c r="J3368" s="486" t="str">
        <f ca="1">IF(ROW()&gt;'Impact Indicator Target Update'!A75,"",INDIRECT("'Impact Indicators - Section B'!A"&amp;'Impact Indicator Target Update'!D75))</f>
        <v/>
      </c>
    </row>
    <row r="3369" spans="10:10" x14ac:dyDescent="0.3">
      <c r="J3369" s="486" t="str">
        <f ca="1">IF(ROW()&gt;'Impact Indicator Target Update'!A76,"",INDIRECT("'Impact Indicators - Section B'!A"&amp;'Impact Indicator Target Update'!D76))</f>
        <v/>
      </c>
    </row>
    <row r="3370" spans="10:10" x14ac:dyDescent="0.3">
      <c r="J3370" s="486" t="str">
        <f ca="1">IF(ROW()&gt;'Impact Indicator Target Update'!A77,"",INDIRECT("'Impact Indicators - Section B'!A"&amp;'Impact Indicator Target Update'!D77))</f>
        <v/>
      </c>
    </row>
    <row r="3371" spans="10:10" x14ac:dyDescent="0.3">
      <c r="J3371" s="486" t="str">
        <f ca="1">IF(ROW()&gt;'Impact Indicator Target Update'!A78,"",INDIRECT("'Impact Indicators - Section B'!A"&amp;'Impact Indicator Target Update'!D78))</f>
        <v/>
      </c>
    </row>
    <row r="3372" spans="10:10" x14ac:dyDescent="0.3">
      <c r="J3372" s="486" t="str">
        <f ca="1">IF(ROW()&gt;'Impact Indicator Target Update'!A79,"",INDIRECT("'Impact Indicators - Section B'!A"&amp;'Impact Indicator Target Update'!D79))</f>
        <v/>
      </c>
    </row>
    <row r="3373" spans="10:10" x14ac:dyDescent="0.3">
      <c r="J3373" s="486" t="str">
        <f ca="1">IF(ROW()&gt;'Impact Indicator Target Update'!A80,"",INDIRECT("'Impact Indicators - Section B'!A"&amp;'Impact Indicator Target Update'!D80))</f>
        <v/>
      </c>
    </row>
    <row r="3374" spans="10:10" x14ac:dyDescent="0.3">
      <c r="J3374" s="486" t="str">
        <f ca="1">IF(ROW()&gt;'Impact Indicator Target Update'!A81,"",INDIRECT("'Impact Indicators - Section B'!A"&amp;'Impact Indicator Target Update'!D81))</f>
        <v/>
      </c>
    </row>
    <row r="3375" spans="10:10" x14ac:dyDescent="0.3">
      <c r="J3375" s="486" t="str">
        <f ca="1">IF(ROW()&gt;'Impact Indicator Target Update'!A82,"",INDIRECT("'Impact Indicators - Section B'!A"&amp;'Impact Indicator Target Update'!D82))</f>
        <v/>
      </c>
    </row>
    <row r="3376" spans="10:10" x14ac:dyDescent="0.3">
      <c r="J3376" s="486" t="str">
        <f ca="1">IF(ROW()&gt;'Impact Indicator Target Update'!A83,"",INDIRECT("'Impact Indicators - Section B'!A"&amp;'Impact Indicator Target Update'!D83))</f>
        <v/>
      </c>
    </row>
    <row r="3377" spans="10:10" x14ac:dyDescent="0.3">
      <c r="J3377" s="486" t="str">
        <f ca="1">IF(ROW()&gt;'Impact Indicator Target Update'!A84,"",INDIRECT("'Impact Indicators - Section B'!A"&amp;'Impact Indicator Target Update'!D84))</f>
        <v/>
      </c>
    </row>
    <row r="3378" spans="10:10" x14ac:dyDescent="0.3">
      <c r="J3378" s="486" t="str">
        <f ca="1">IF(ROW()&gt;'Impact Indicator Target Update'!A85,"",INDIRECT("'Impact Indicators - Section B'!A"&amp;'Impact Indicator Target Update'!D85))</f>
        <v/>
      </c>
    </row>
    <row r="3379" spans="10:10" x14ac:dyDescent="0.3">
      <c r="J3379" s="486" t="str">
        <f ca="1">IF(ROW()&gt;'Impact Indicator Target Update'!A86,"",INDIRECT("'Impact Indicators - Section B'!A"&amp;'Impact Indicator Target Update'!D86))</f>
        <v/>
      </c>
    </row>
    <row r="3380" spans="10:10" x14ac:dyDescent="0.3">
      <c r="J3380" s="486" t="str">
        <f ca="1">IF(ROW()&gt;'Impact Indicator Target Update'!A87,"",INDIRECT("'Impact Indicators - Section B'!A"&amp;'Impact Indicator Target Update'!D87))</f>
        <v/>
      </c>
    </row>
    <row r="3381" spans="10:10" x14ac:dyDescent="0.3">
      <c r="J3381" s="486" t="str">
        <f ca="1">IF(ROW()&gt;'Impact Indicator Target Update'!A88,"",INDIRECT("'Impact Indicators - Section B'!A"&amp;'Impact Indicator Target Update'!D88))</f>
        <v/>
      </c>
    </row>
    <row r="3382" spans="10:10" x14ac:dyDescent="0.3">
      <c r="J3382" s="486" t="str">
        <f ca="1">IF(ROW()&gt;'Impact Indicator Target Update'!A89,"",INDIRECT("'Impact Indicators - Section B'!A"&amp;'Impact Indicator Target Update'!D89))</f>
        <v/>
      </c>
    </row>
    <row r="3383" spans="10:10" x14ac:dyDescent="0.3">
      <c r="J3383" s="486" t="str">
        <f ca="1">IF(ROW()&gt;'Impact Indicator Target Update'!A90,"",INDIRECT("'Impact Indicators - Section B'!A"&amp;'Impact Indicator Target Update'!D90))</f>
        <v/>
      </c>
    </row>
    <row r="3384" spans="10:10" x14ac:dyDescent="0.3">
      <c r="J3384" s="486" t="str">
        <f ca="1">IF(ROW()&gt;'Impact Indicator Target Update'!A91,"",INDIRECT("'Impact Indicators - Section B'!A"&amp;'Impact Indicator Target Update'!D91))</f>
        <v/>
      </c>
    </row>
    <row r="3385" spans="10:10" x14ac:dyDescent="0.3">
      <c r="J3385" s="486" t="str">
        <f ca="1">IF(ROW()&gt;'Impact Indicator Target Update'!A92,"",INDIRECT("'Impact Indicators - Section B'!A"&amp;'Impact Indicator Target Update'!D92))</f>
        <v/>
      </c>
    </row>
    <row r="3386" spans="10:10" x14ac:dyDescent="0.3">
      <c r="J3386" s="486" t="str">
        <f ca="1">IF(ROW()&gt;'Impact Indicator Target Update'!A93,"",INDIRECT("'Impact Indicators - Section B'!A"&amp;'Impact Indicator Target Update'!D93))</f>
        <v/>
      </c>
    </row>
    <row r="3387" spans="10:10" x14ac:dyDescent="0.3">
      <c r="J3387" s="486" t="str">
        <f ca="1">IF(ROW()&gt;'Impact Indicator Target Update'!A94,"",INDIRECT("'Impact Indicators - Section B'!A"&amp;'Impact Indicator Target Update'!D94))</f>
        <v/>
      </c>
    </row>
    <row r="3388" spans="10:10" x14ac:dyDescent="0.3">
      <c r="J3388" s="486" t="str">
        <f ca="1">IF(ROW()&gt;'Impact Indicator Target Update'!A95,"",INDIRECT("'Impact Indicators - Section B'!A"&amp;'Impact Indicator Target Update'!D95))</f>
        <v/>
      </c>
    </row>
    <row r="3389" spans="10:10" x14ac:dyDescent="0.3">
      <c r="J3389" s="486" t="str">
        <f ca="1">IF(ROW()&gt;'Impact Indicator Target Update'!A96,"",INDIRECT("'Impact Indicators - Section B'!A"&amp;'Impact Indicator Target Update'!D96))</f>
        <v/>
      </c>
    </row>
    <row r="3390" spans="10:10" x14ac:dyDescent="0.3">
      <c r="J3390" s="486" t="str">
        <f ca="1">IF(ROW()&gt;'Impact Indicator Target Update'!A97,"",INDIRECT("'Impact Indicators - Section B'!A"&amp;'Impact Indicator Target Update'!D97))</f>
        <v/>
      </c>
    </row>
    <row r="3391" spans="10:10" x14ac:dyDescent="0.3">
      <c r="J3391" s="486" t="str">
        <f ca="1">IF(ROW()&gt;'Impact Indicator Target Update'!A98,"",INDIRECT("'Impact Indicators - Section B'!A"&amp;'Impact Indicator Target Update'!D98))</f>
        <v/>
      </c>
    </row>
    <row r="3392" spans="10:10" x14ac:dyDescent="0.3">
      <c r="J3392" s="486" t="str">
        <f ca="1">IF(ROW()&gt;'Impact Indicator Target Update'!A99,"",INDIRECT("'Impact Indicators - Section B'!A"&amp;'Impact Indicator Target Update'!D99))</f>
        <v/>
      </c>
    </row>
    <row r="3393" spans="10:10" x14ac:dyDescent="0.3">
      <c r="J3393" s="486" t="str">
        <f ca="1">IF(ROW()&gt;'Impact Indicator Target Update'!A100,"",INDIRECT("'Impact Indicators - Section B'!A"&amp;'Impact Indicator Target Update'!D100))</f>
        <v/>
      </c>
    </row>
    <row r="3394" spans="10:10" x14ac:dyDescent="0.3">
      <c r="J3394" s="486" t="str">
        <f ca="1">IF(ROW()&gt;'Impact Indicator Target Update'!A101,"",INDIRECT("'Impact Indicators - Section B'!A"&amp;'Impact Indicator Target Update'!D101))</f>
        <v/>
      </c>
    </row>
    <row r="3395" spans="10:10" x14ac:dyDescent="0.3">
      <c r="J3395" s="486" t="str">
        <f ca="1">IF(ROW()&gt;'Impact Indicator Target Update'!A102,"",INDIRECT("'Impact Indicators - Section B'!A"&amp;'Impact Indicator Target Update'!D102))</f>
        <v/>
      </c>
    </row>
    <row r="3396" spans="10:10" x14ac:dyDescent="0.3">
      <c r="J3396" s="486" t="str">
        <f ca="1">IF(ROW()&gt;'Impact Indicator Target Update'!A103,"",INDIRECT("'Impact Indicators - Section B'!A"&amp;'Impact Indicator Target Update'!D103))</f>
        <v/>
      </c>
    </row>
    <row r="3397" spans="10:10" x14ac:dyDescent="0.3">
      <c r="J3397" s="486" t="str">
        <f ca="1">IF(ROW()&gt;'Impact Indicator Target Update'!A104,"",INDIRECT("'Impact Indicators - Section B'!A"&amp;'Impact Indicator Target Update'!D104))</f>
        <v/>
      </c>
    </row>
    <row r="3398" spans="10:10" x14ac:dyDescent="0.3">
      <c r="J3398" s="486" t="str">
        <f ca="1">IF(ROW()&gt;'Impact Indicator Target Update'!A105,"",INDIRECT("'Impact Indicators - Section B'!A"&amp;'Impact Indicator Target Update'!D105))</f>
        <v/>
      </c>
    </row>
    <row r="3399" spans="10:10" x14ac:dyDescent="0.3">
      <c r="J3399" s="486" t="str">
        <f ca="1">IF(ROW()&gt;'Impact Indicator Target Update'!A106,"",INDIRECT("'Impact Indicators - Section B'!A"&amp;'Impact Indicator Target Update'!D106))</f>
        <v/>
      </c>
    </row>
    <row r="3400" spans="10:10" x14ac:dyDescent="0.3">
      <c r="J3400" s="486" t="str">
        <f ca="1">IF(ROW()&gt;'Impact Indicator Target Update'!A107,"",INDIRECT("'Impact Indicators - Section B'!A"&amp;'Impact Indicator Target Update'!D107))</f>
        <v/>
      </c>
    </row>
    <row r="3401" spans="10:10" x14ac:dyDescent="0.3">
      <c r="J3401" s="486" t="str">
        <f ca="1">IF(ROW()&gt;'Impact Indicator Target Update'!A108,"",INDIRECT("'Impact Indicators - Section B'!A"&amp;'Impact Indicator Target Update'!D108))</f>
        <v/>
      </c>
    </row>
    <row r="3402" spans="10:10" x14ac:dyDescent="0.3">
      <c r="J3402" s="486" t="str">
        <f ca="1">IF(ROW()&gt;'Impact Indicator Target Update'!A109,"",INDIRECT("'Impact Indicators - Section B'!A"&amp;'Impact Indicator Target Update'!D109))</f>
        <v/>
      </c>
    </row>
    <row r="3403" spans="10:10" x14ac:dyDescent="0.3">
      <c r="J3403" s="486" t="str">
        <f ca="1">IF(ROW()&gt;'Impact Indicator Target Update'!A110,"",INDIRECT("'Impact Indicators - Section B'!A"&amp;'Impact Indicator Target Update'!D110))</f>
        <v/>
      </c>
    </row>
    <row r="3404" spans="10:10" x14ac:dyDescent="0.3">
      <c r="J3404" s="486" t="str">
        <f ca="1">IF(ROW()&gt;'Impact Indicator Target Update'!A111,"",INDIRECT("'Impact Indicators - Section B'!A"&amp;'Impact Indicator Target Update'!D111))</f>
        <v/>
      </c>
    </row>
    <row r="3405" spans="10:10" x14ac:dyDescent="0.3">
      <c r="J3405" s="486" t="str">
        <f ca="1">IF(ROW()&gt;'Impact Indicator Target Update'!A112,"",INDIRECT("'Impact Indicators - Section B'!A"&amp;'Impact Indicator Target Update'!D112))</f>
        <v/>
      </c>
    </row>
    <row r="3406" spans="10:10" x14ac:dyDescent="0.3">
      <c r="J3406" s="486" t="str">
        <f ca="1">IF(ROW()&gt;'Impact Indicator Target Update'!A113,"",INDIRECT("'Impact Indicators - Section B'!A"&amp;'Impact Indicator Target Update'!D113))</f>
        <v/>
      </c>
    </row>
    <row r="3407" spans="10:10" x14ac:dyDescent="0.3">
      <c r="J3407" s="486" t="str">
        <f ca="1">IF(ROW()&gt;'Impact Indicator Target Update'!A114,"",INDIRECT("'Impact Indicators - Section B'!A"&amp;'Impact Indicator Target Update'!D114))</f>
        <v/>
      </c>
    </row>
    <row r="3408" spans="10:10" x14ac:dyDescent="0.3">
      <c r="J3408" s="486" t="str">
        <f ca="1">IF(ROW()&gt;'Impact Indicator Target Update'!A115,"",INDIRECT("'Impact Indicators - Section B'!A"&amp;'Impact Indicator Target Update'!D115))</f>
        <v/>
      </c>
    </row>
    <row r="3409" spans="10:10" x14ac:dyDescent="0.3">
      <c r="J3409" s="486" t="str">
        <f ca="1">IF(ROW()&gt;'Impact Indicator Target Update'!A116,"",INDIRECT("'Impact Indicators - Section B'!A"&amp;'Impact Indicator Target Update'!D116))</f>
        <v/>
      </c>
    </row>
    <row r="3410" spans="10:10" x14ac:dyDescent="0.3">
      <c r="J3410" s="486" t="str">
        <f ca="1">IF(ROW()&gt;'Impact Indicator Target Update'!A117,"",INDIRECT("'Impact Indicators - Section B'!A"&amp;'Impact Indicator Target Update'!D117))</f>
        <v/>
      </c>
    </row>
    <row r="3411" spans="10:10" x14ac:dyDescent="0.3">
      <c r="J3411" s="486" t="str">
        <f ca="1">IF(ROW()&gt;'Impact Indicator Target Update'!A118,"",INDIRECT("'Impact Indicators - Section B'!A"&amp;'Impact Indicator Target Update'!D118))</f>
        <v/>
      </c>
    </row>
    <row r="3412" spans="10:10" x14ac:dyDescent="0.3">
      <c r="J3412" s="486" t="str">
        <f ca="1">IF(ROW()&gt;'Impact Indicator Target Update'!A119,"",INDIRECT("'Impact Indicators - Section B'!A"&amp;'Impact Indicator Target Update'!D119))</f>
        <v/>
      </c>
    </row>
    <row r="3413" spans="10:10" x14ac:dyDescent="0.3">
      <c r="J3413" s="486" t="str">
        <f ca="1">IF(ROW()&gt;'Impact Indicator Target Update'!A120,"",INDIRECT("'Impact Indicators - Section B'!A"&amp;'Impact Indicator Target Update'!D120))</f>
        <v/>
      </c>
    </row>
    <row r="3414" spans="10:10" x14ac:dyDescent="0.3">
      <c r="J3414" s="486" t="str">
        <f ca="1">IF(ROW()&gt;'Impact Indicator Target Update'!A121,"",INDIRECT("'Impact Indicators - Section B'!A"&amp;'Impact Indicator Target Update'!D121))</f>
        <v/>
      </c>
    </row>
    <row r="3415" spans="10:10" x14ac:dyDescent="0.3">
      <c r="J3415" s="486" t="str">
        <f ca="1">IF(ROW()&gt;'Impact Indicator Target Update'!A122,"",INDIRECT("'Impact Indicators - Section B'!A"&amp;'Impact Indicator Target Update'!D122))</f>
        <v/>
      </c>
    </row>
    <row r="3416" spans="10:10" x14ac:dyDescent="0.3">
      <c r="J3416" s="486" t="str">
        <f ca="1">IF(ROW()&gt;'Impact Indicator Target Update'!A123,"",INDIRECT("'Impact Indicators - Section B'!A"&amp;'Impact Indicator Target Update'!D123))</f>
        <v/>
      </c>
    </row>
    <row r="3417" spans="10:10" x14ac:dyDescent="0.3">
      <c r="J3417" s="486" t="str">
        <f ca="1">IF(ROW()&gt;'Impact Indicator Target Update'!A124,"",INDIRECT("'Impact Indicators - Section B'!A"&amp;'Impact Indicator Target Update'!D124))</f>
        <v/>
      </c>
    </row>
    <row r="3418" spans="10:10" x14ac:dyDescent="0.3">
      <c r="J3418" s="486" t="str">
        <f ca="1">IF(ROW()&gt;'Impact Indicator Target Update'!A125,"",INDIRECT("'Impact Indicators - Section B'!A"&amp;'Impact Indicator Target Update'!D125))</f>
        <v/>
      </c>
    </row>
    <row r="3419" spans="10:10" x14ac:dyDescent="0.3">
      <c r="J3419" s="486" t="str">
        <f ca="1">IF(ROW()&gt;'Impact Indicator Target Update'!A126,"",INDIRECT("'Impact Indicators - Section B'!A"&amp;'Impact Indicator Target Update'!D126))</f>
        <v/>
      </c>
    </row>
    <row r="3420" spans="10:10" x14ac:dyDescent="0.3">
      <c r="J3420" s="486" t="str">
        <f ca="1">IF(ROW()&gt;'Impact Indicator Target Update'!A127,"",INDIRECT("'Impact Indicators - Section B'!A"&amp;'Impact Indicator Target Update'!D127))</f>
        <v/>
      </c>
    </row>
    <row r="3421" spans="10:10" x14ac:dyDescent="0.3">
      <c r="J3421" s="486" t="str">
        <f ca="1">IF(ROW()&gt;'Impact Indicator Target Update'!A128,"",INDIRECT("'Impact Indicators - Section B'!A"&amp;'Impact Indicator Target Update'!D128))</f>
        <v/>
      </c>
    </row>
    <row r="3422" spans="10:10" x14ac:dyDescent="0.3">
      <c r="J3422" s="486" t="str">
        <f ca="1">IF(ROW()&gt;'Impact Indicator Target Update'!A129,"",INDIRECT("'Impact Indicators - Section B'!A"&amp;'Impact Indicator Target Update'!D129))</f>
        <v/>
      </c>
    </row>
    <row r="3423" spans="10:10" x14ac:dyDescent="0.3">
      <c r="J3423" s="486" t="str">
        <f ca="1">IF(ROW()&gt;'Impact Indicator Target Update'!A130,"",INDIRECT("'Impact Indicators - Section B'!A"&amp;'Impact Indicator Target Update'!D130))</f>
        <v/>
      </c>
    </row>
    <row r="3424" spans="10:10" x14ac:dyDescent="0.3">
      <c r="J3424" s="486" t="str">
        <f ca="1">IF(ROW()&gt;'Impact Indicator Target Update'!A131,"",INDIRECT("'Impact Indicators - Section B'!A"&amp;'Impact Indicator Target Update'!D131))</f>
        <v/>
      </c>
    </row>
    <row r="3425" spans="10:10" x14ac:dyDescent="0.3">
      <c r="J3425" s="486" t="str">
        <f ca="1">IF(ROW()&gt;'Impact Indicator Target Update'!A132,"",INDIRECT("'Impact Indicators - Section B'!A"&amp;'Impact Indicator Target Update'!D132))</f>
        <v/>
      </c>
    </row>
    <row r="3426" spans="10:10" x14ac:dyDescent="0.3">
      <c r="J3426" s="486" t="str">
        <f ca="1">IF(ROW()&gt;'Impact Indicator Target Update'!A133,"",INDIRECT("'Impact Indicators - Section B'!A"&amp;'Impact Indicator Target Update'!D133))</f>
        <v/>
      </c>
    </row>
    <row r="3427" spans="10:10" x14ac:dyDescent="0.3">
      <c r="J3427" s="486" t="str">
        <f ca="1">IF(ROW()&gt;'Impact Indicator Target Update'!A134,"",INDIRECT("'Impact Indicators - Section B'!A"&amp;'Impact Indicator Target Update'!D134))</f>
        <v/>
      </c>
    </row>
    <row r="3428" spans="10:10" x14ac:dyDescent="0.3">
      <c r="J3428" s="486" t="str">
        <f ca="1">IF(ROW()&gt;'Impact Indicator Target Update'!A135,"",INDIRECT("'Impact Indicators - Section B'!A"&amp;'Impact Indicator Target Update'!D135))</f>
        <v/>
      </c>
    </row>
    <row r="3429" spans="10:10" x14ac:dyDescent="0.3">
      <c r="J3429" s="486" t="str">
        <f ca="1">IF(ROW()&gt;'Impact Indicator Target Update'!A136,"",INDIRECT("'Impact Indicators - Section B'!A"&amp;'Impact Indicator Target Update'!D136))</f>
        <v/>
      </c>
    </row>
    <row r="3430" spans="10:10" x14ac:dyDescent="0.3">
      <c r="J3430" s="486" t="str">
        <f ca="1">IF(ROW()&gt;'Impact Indicator Target Update'!A137,"",INDIRECT("'Impact Indicators - Section B'!A"&amp;'Impact Indicator Target Update'!D137))</f>
        <v/>
      </c>
    </row>
    <row r="3431" spans="10:10" x14ac:dyDescent="0.3">
      <c r="J3431" s="486" t="str">
        <f ca="1">IF(ROW()&gt;'Impact Indicator Target Update'!A138,"",INDIRECT("'Impact Indicators - Section B'!A"&amp;'Impact Indicator Target Update'!D138))</f>
        <v/>
      </c>
    </row>
    <row r="3432" spans="10:10" x14ac:dyDescent="0.3">
      <c r="J3432" s="486" t="str">
        <f ca="1">IF(ROW()&gt;'Impact Indicator Target Update'!A139,"",INDIRECT("'Impact Indicators - Section B'!A"&amp;'Impact Indicator Target Update'!D139))</f>
        <v/>
      </c>
    </row>
    <row r="3433" spans="10:10" x14ac:dyDescent="0.3">
      <c r="J3433" s="486" t="str">
        <f ca="1">IF(ROW()&gt;'Impact Indicator Target Update'!A140,"",INDIRECT("'Impact Indicators - Section B'!A"&amp;'Impact Indicator Target Update'!D140))</f>
        <v/>
      </c>
    </row>
    <row r="3434" spans="10:10" x14ac:dyDescent="0.3">
      <c r="J3434" s="486" t="str">
        <f ca="1">IF(ROW()&gt;'Impact Indicator Target Update'!A141,"",INDIRECT("'Impact Indicators - Section B'!A"&amp;'Impact Indicator Target Update'!D141))</f>
        <v/>
      </c>
    </row>
    <row r="3435" spans="10:10" x14ac:dyDescent="0.3">
      <c r="J3435" s="486" t="str">
        <f ca="1">IF(ROW()&gt;'Impact Indicator Target Update'!A142,"",INDIRECT("'Impact Indicators - Section B'!A"&amp;'Impact Indicator Target Update'!D142))</f>
        <v/>
      </c>
    </row>
    <row r="3436" spans="10:10" x14ac:dyDescent="0.3">
      <c r="J3436" s="486" t="str">
        <f ca="1">IF(ROW()&gt;'Impact Indicator Target Update'!A143,"",INDIRECT("'Impact Indicators - Section B'!A"&amp;'Impact Indicator Target Update'!D143))</f>
        <v/>
      </c>
    </row>
    <row r="3437" spans="10:10" x14ac:dyDescent="0.3">
      <c r="J3437" s="486" t="str">
        <f ca="1">IF(ROW()&gt;'Impact Indicator Target Update'!A144,"",INDIRECT("'Impact Indicators - Section B'!A"&amp;'Impact Indicator Target Update'!D144))</f>
        <v/>
      </c>
    </row>
    <row r="3438" spans="10:10" x14ac:dyDescent="0.3">
      <c r="J3438" s="486" t="str">
        <f ca="1">IF(ROW()&gt;'Impact Indicator Target Update'!A145,"",INDIRECT("'Impact Indicators - Section B'!A"&amp;'Impact Indicator Target Update'!D145))</f>
        <v/>
      </c>
    </row>
    <row r="3439" spans="10:10" x14ac:dyDescent="0.3">
      <c r="J3439" s="486" t="str">
        <f ca="1">IF(ROW()&gt;'Impact Indicator Target Update'!A146,"",INDIRECT("'Impact Indicators - Section B'!A"&amp;'Impact Indicator Target Update'!D146))</f>
        <v/>
      </c>
    </row>
    <row r="3440" spans="10:10" x14ac:dyDescent="0.3">
      <c r="J3440" s="486" t="str">
        <f ca="1">IF(ROW()&gt;'Impact Indicator Target Update'!A147,"",INDIRECT("'Impact Indicators - Section B'!A"&amp;'Impact Indicator Target Update'!D147))</f>
        <v/>
      </c>
    </row>
    <row r="3441" spans="10:10" x14ac:dyDescent="0.3">
      <c r="J3441" s="486" t="str">
        <f ca="1">IF(ROW()&gt;'Impact Indicator Target Update'!A148,"",INDIRECT("'Impact Indicators - Section B'!A"&amp;'Impact Indicator Target Update'!D148))</f>
        <v/>
      </c>
    </row>
    <row r="3442" spans="10:10" x14ac:dyDescent="0.3">
      <c r="J3442" s="486" t="str">
        <f ca="1">IF(ROW()&gt;'Impact Indicator Target Update'!A149,"",INDIRECT("'Impact Indicators - Section B'!A"&amp;'Impact Indicator Target Update'!D149))</f>
        <v/>
      </c>
    </row>
    <row r="3443" spans="10:10" x14ac:dyDescent="0.3">
      <c r="J3443" s="486" t="str">
        <f ca="1">IF(ROW()&gt;'Impact Indicator Target Update'!A150,"",INDIRECT("'Impact Indicators - Section B'!A"&amp;'Impact Indicator Target Update'!D150))</f>
        <v/>
      </c>
    </row>
    <row r="3444" spans="10:10" x14ac:dyDescent="0.3">
      <c r="J3444" s="486" t="str">
        <f ca="1">IF(ROW()&gt;'Impact Indicator Target Update'!A151,"",INDIRECT("'Impact Indicators - Section B'!A"&amp;'Impact Indicator Target Update'!D151))</f>
        <v/>
      </c>
    </row>
    <row r="3445" spans="10:10" x14ac:dyDescent="0.3">
      <c r="J3445" s="486" t="str">
        <f ca="1">IF(ROW()&gt;'Impact Indicator Target Update'!A152,"",INDIRECT("'Impact Indicators - Section B'!A"&amp;'Impact Indicator Target Update'!D152))</f>
        <v/>
      </c>
    </row>
    <row r="3446" spans="10:10" x14ac:dyDescent="0.3">
      <c r="J3446" s="486" t="str">
        <f ca="1">IF(ROW()&gt;'Impact Indicator Target Update'!A153,"",INDIRECT("'Impact Indicators - Section B'!A"&amp;'Impact Indicator Target Update'!D153))</f>
        <v/>
      </c>
    </row>
    <row r="3447" spans="10:10" x14ac:dyDescent="0.3">
      <c r="J3447" s="486" t="str">
        <f ca="1">IF(ROW()&gt;'Impact Indicator Target Update'!A154,"",INDIRECT("'Impact Indicators - Section B'!A"&amp;'Impact Indicator Target Update'!D154))</f>
        <v/>
      </c>
    </row>
    <row r="3448" spans="10:10" x14ac:dyDescent="0.3">
      <c r="J3448" s="486" t="str">
        <f ca="1">IF(ROW()&gt;'Impact Indicator Target Update'!A155,"",INDIRECT("'Impact Indicators - Section B'!A"&amp;'Impact Indicator Target Update'!D155))</f>
        <v/>
      </c>
    </row>
    <row r="3449" spans="10:10" x14ac:dyDescent="0.3">
      <c r="J3449" s="486" t="str">
        <f ca="1">IF(ROW()&gt;'Impact Indicator Target Update'!A156,"",INDIRECT("'Impact Indicators - Section B'!A"&amp;'Impact Indicator Target Update'!D156))</f>
        <v/>
      </c>
    </row>
    <row r="3450" spans="10:10" x14ac:dyDescent="0.3">
      <c r="J3450" s="486" t="str">
        <f ca="1">IF(ROW()&gt;'Impact Indicator Target Update'!A157,"",INDIRECT("'Impact Indicators - Section B'!A"&amp;'Impact Indicator Target Update'!D157))</f>
        <v/>
      </c>
    </row>
    <row r="3451" spans="10:10" x14ac:dyDescent="0.3">
      <c r="J3451" s="486" t="str">
        <f ca="1">IF(ROW()&gt;'Impact Indicator Target Update'!A158,"",INDIRECT("'Impact Indicators - Section B'!A"&amp;'Impact Indicator Target Update'!D158))</f>
        <v/>
      </c>
    </row>
    <row r="3452" spans="10:10" x14ac:dyDescent="0.3">
      <c r="J3452" s="486" t="str">
        <f ca="1">IF(ROW()&gt;'Impact Indicator Target Update'!A159,"",INDIRECT("'Impact Indicators - Section B'!A"&amp;'Impact Indicator Target Update'!D159))</f>
        <v/>
      </c>
    </row>
    <row r="3453" spans="10:10" x14ac:dyDescent="0.3">
      <c r="J3453" s="486" t="str">
        <f ca="1">IF(ROW()&gt;'Impact Indicator Target Update'!A160,"",INDIRECT("'Impact Indicators - Section B'!A"&amp;'Impact Indicator Target Update'!D160))</f>
        <v/>
      </c>
    </row>
    <row r="3454" spans="10:10" x14ac:dyDescent="0.3">
      <c r="J3454" s="486" t="str">
        <f ca="1">IF(ROW()&gt;'Impact Indicator Target Update'!A161,"",INDIRECT("'Impact Indicators - Section B'!A"&amp;'Impact Indicator Target Update'!D161))</f>
        <v/>
      </c>
    </row>
    <row r="3455" spans="10:10" x14ac:dyDescent="0.3">
      <c r="J3455" s="486" t="str">
        <f ca="1">IF(ROW()&gt;'Impact Indicator Target Update'!A162,"",INDIRECT("'Impact Indicators - Section B'!A"&amp;'Impact Indicator Target Update'!D162))</f>
        <v/>
      </c>
    </row>
    <row r="3456" spans="10:10" x14ac:dyDescent="0.3">
      <c r="J3456" s="486" t="str">
        <f ca="1">IF(ROW()&gt;'Impact Indicator Target Update'!A163,"",INDIRECT("'Impact Indicators - Section B'!A"&amp;'Impact Indicator Target Update'!D163))</f>
        <v/>
      </c>
    </row>
    <row r="3457" spans="10:10" x14ac:dyDescent="0.3">
      <c r="J3457" s="486" t="str">
        <f ca="1">IF(ROW()&gt;'Impact Indicator Target Update'!A164,"",INDIRECT("'Impact Indicators - Section B'!A"&amp;'Impact Indicator Target Update'!D164))</f>
        <v/>
      </c>
    </row>
    <row r="3458" spans="10:10" x14ac:dyDescent="0.3">
      <c r="J3458" s="486" t="str">
        <f ca="1">IF(ROW()&gt;'Impact Indicator Target Update'!A165,"",INDIRECT("'Impact Indicators - Section B'!A"&amp;'Impact Indicator Target Update'!D165))</f>
        <v/>
      </c>
    </row>
    <row r="3459" spans="10:10" x14ac:dyDescent="0.3">
      <c r="J3459" s="486" t="str">
        <f ca="1">IF(ROW()&gt;'Impact Indicator Target Update'!A166,"",INDIRECT("'Impact Indicators - Section B'!A"&amp;'Impact Indicator Target Update'!D166))</f>
        <v/>
      </c>
    </row>
    <row r="3460" spans="10:10" x14ac:dyDescent="0.3">
      <c r="J3460" s="486" t="str">
        <f ca="1">IF(ROW()&gt;'Impact Indicator Target Update'!A167,"",INDIRECT("'Impact Indicators - Section B'!A"&amp;'Impact Indicator Target Update'!D167))</f>
        <v/>
      </c>
    </row>
    <row r="3461" spans="10:10" x14ac:dyDescent="0.3">
      <c r="J3461" s="486" t="str">
        <f ca="1">IF(ROW()&gt;'Impact Indicator Target Update'!A168,"",INDIRECT("'Impact Indicators - Section B'!A"&amp;'Impact Indicator Target Update'!D168))</f>
        <v/>
      </c>
    </row>
    <row r="3462" spans="10:10" x14ac:dyDescent="0.3">
      <c r="J3462" s="486" t="str">
        <f ca="1">IF(ROW()&gt;'Impact Indicator Target Update'!A169,"",INDIRECT("'Impact Indicators - Section B'!A"&amp;'Impact Indicator Target Update'!D169))</f>
        <v/>
      </c>
    </row>
    <row r="3463" spans="10:10" x14ac:dyDescent="0.3">
      <c r="J3463" s="486" t="str">
        <f ca="1">IF(ROW()&gt;'Impact Indicator Target Update'!A170,"",INDIRECT("'Impact Indicators - Section B'!A"&amp;'Impact Indicator Target Update'!D170))</f>
        <v/>
      </c>
    </row>
    <row r="3464" spans="10:10" x14ac:dyDescent="0.3">
      <c r="J3464" s="486" t="str">
        <f ca="1">IF(ROW()&gt;'Impact Indicator Target Update'!A171,"",INDIRECT("'Impact Indicators - Section B'!A"&amp;'Impact Indicator Target Update'!D171))</f>
        <v/>
      </c>
    </row>
    <row r="3465" spans="10:10" x14ac:dyDescent="0.3">
      <c r="J3465" s="486" t="str">
        <f ca="1">IF(ROW()&gt;'Impact Indicator Target Update'!A172,"",INDIRECT("'Impact Indicators - Section B'!A"&amp;'Impact Indicator Target Update'!D172))</f>
        <v/>
      </c>
    </row>
    <row r="3466" spans="10:10" x14ac:dyDescent="0.3">
      <c r="J3466" s="486" t="str">
        <f ca="1">IF(ROW()&gt;'Impact Indicator Target Update'!A173,"",INDIRECT("'Impact Indicators - Section B'!A"&amp;'Impact Indicator Target Update'!D173))</f>
        <v/>
      </c>
    </row>
    <row r="3467" spans="10:10" x14ac:dyDescent="0.3">
      <c r="J3467" s="486" t="str">
        <f ca="1">IF(ROW()&gt;'Impact Indicator Target Update'!A174,"",INDIRECT("'Impact Indicators - Section B'!A"&amp;'Impact Indicator Target Update'!D174))</f>
        <v/>
      </c>
    </row>
    <row r="3468" spans="10:10" x14ac:dyDescent="0.3">
      <c r="J3468" s="486" t="str">
        <f ca="1">IF(ROW()&gt;'Impact Indicator Target Update'!A175,"",INDIRECT("'Impact Indicators - Section B'!A"&amp;'Impact Indicator Target Update'!D175))</f>
        <v/>
      </c>
    </row>
    <row r="3469" spans="10:10" x14ac:dyDescent="0.3">
      <c r="J3469" s="486" t="str">
        <f ca="1">IF(ROW()&gt;'Impact Indicator Target Update'!A176,"",INDIRECT("'Impact Indicators - Section B'!A"&amp;'Impact Indicator Target Update'!D176))</f>
        <v/>
      </c>
    </row>
    <row r="3470" spans="10:10" x14ac:dyDescent="0.3">
      <c r="J3470" s="486" t="str">
        <f ca="1">IF(ROW()&gt;'Impact Indicator Target Update'!A177,"",INDIRECT("'Impact Indicators - Section B'!A"&amp;'Impact Indicator Target Update'!D177))</f>
        <v/>
      </c>
    </row>
    <row r="3471" spans="10:10" x14ac:dyDescent="0.3">
      <c r="J3471" s="486" t="str">
        <f ca="1">IF(ROW()&gt;'Impact Indicator Target Update'!A178,"",INDIRECT("'Impact Indicators - Section B'!A"&amp;'Impact Indicator Target Update'!D178))</f>
        <v/>
      </c>
    </row>
    <row r="3472" spans="10:10" x14ac:dyDescent="0.3">
      <c r="J3472" s="486" t="str">
        <f ca="1">IF(ROW()&gt;'Impact Indicator Target Update'!A179,"",INDIRECT("'Impact Indicators - Section B'!A"&amp;'Impact Indicator Target Update'!D179))</f>
        <v/>
      </c>
    </row>
    <row r="3473" spans="10:10" x14ac:dyDescent="0.3">
      <c r="J3473" s="486" t="str">
        <f ca="1">IF(ROW()&gt;'Impact Indicator Target Update'!A180,"",INDIRECT("'Impact Indicators - Section B'!A"&amp;'Impact Indicator Target Update'!D180))</f>
        <v/>
      </c>
    </row>
    <row r="3474" spans="10:10" x14ac:dyDescent="0.3">
      <c r="J3474" s="486" t="str">
        <f ca="1">IF(ROW()&gt;'Impact Indicator Target Update'!A181,"",INDIRECT("'Impact Indicators - Section B'!A"&amp;'Impact Indicator Target Update'!D181))</f>
        <v/>
      </c>
    </row>
    <row r="3475" spans="10:10" x14ac:dyDescent="0.3">
      <c r="J3475" s="486" t="str">
        <f ca="1">IF(ROW()&gt;'Impact Indicator Target Update'!A182,"",INDIRECT("'Impact Indicators - Section B'!A"&amp;'Impact Indicator Target Update'!D182))</f>
        <v/>
      </c>
    </row>
    <row r="3476" spans="10:10" x14ac:dyDescent="0.3">
      <c r="J3476" s="486" t="str">
        <f ca="1">IF(ROW()&gt;'Impact Indicator Target Update'!A183,"",INDIRECT("'Impact Indicators - Section B'!A"&amp;'Impact Indicator Target Update'!D183))</f>
        <v/>
      </c>
    </row>
    <row r="3477" spans="10:10" x14ac:dyDescent="0.3">
      <c r="J3477" s="486" t="str">
        <f ca="1">IF(ROW()&gt;'Impact Indicator Target Update'!A184,"",INDIRECT("'Impact Indicators - Section B'!A"&amp;'Impact Indicator Target Update'!D184))</f>
        <v/>
      </c>
    </row>
    <row r="3478" spans="10:10" x14ac:dyDescent="0.3">
      <c r="J3478" s="486" t="str">
        <f ca="1">IF(ROW()&gt;'Impact Indicator Target Update'!A185,"",INDIRECT("'Impact Indicators - Section B'!A"&amp;'Impact Indicator Target Update'!D185))</f>
        <v/>
      </c>
    </row>
    <row r="3479" spans="10:10" x14ac:dyDescent="0.3">
      <c r="J3479" s="486" t="str">
        <f ca="1">IF(ROW()&gt;'Impact Indicator Target Update'!A186,"",INDIRECT("'Impact Indicators - Section B'!A"&amp;'Impact Indicator Target Update'!D186))</f>
        <v/>
      </c>
    </row>
    <row r="3480" spans="10:10" x14ac:dyDescent="0.3">
      <c r="J3480" s="486" t="str">
        <f ca="1">IF(ROW()&gt;'Impact Indicator Target Update'!A187,"",INDIRECT("'Impact Indicators - Section B'!A"&amp;'Impact Indicator Target Update'!D187))</f>
        <v/>
      </c>
    </row>
    <row r="3481" spans="10:10" x14ac:dyDescent="0.3">
      <c r="J3481" s="486" t="str">
        <f ca="1">IF(ROW()&gt;'Impact Indicator Target Update'!A188,"",INDIRECT("'Impact Indicators - Section B'!A"&amp;'Impact Indicator Target Update'!D188))</f>
        <v/>
      </c>
    </row>
    <row r="3482" spans="10:10" x14ac:dyDescent="0.3">
      <c r="J3482" s="486" t="str">
        <f ca="1">IF(ROW()&gt;'Impact Indicator Target Update'!A189,"",INDIRECT("'Impact Indicators - Section B'!A"&amp;'Impact Indicator Target Update'!D189))</f>
        <v/>
      </c>
    </row>
    <row r="3483" spans="10:10" x14ac:dyDescent="0.3">
      <c r="J3483" s="486" t="str">
        <f ca="1">IF(ROW()&gt;'Impact Indicator Target Update'!A190,"",INDIRECT("'Impact Indicators - Section B'!A"&amp;'Impact Indicator Target Update'!D190))</f>
        <v/>
      </c>
    </row>
    <row r="3484" spans="10:10" x14ac:dyDescent="0.3">
      <c r="J3484" s="486" t="str">
        <f ca="1">IF(ROW()&gt;'Impact Indicator Target Update'!A191,"",INDIRECT("'Impact Indicators - Section B'!A"&amp;'Impact Indicator Target Update'!D191))</f>
        <v/>
      </c>
    </row>
    <row r="3485" spans="10:10" x14ac:dyDescent="0.3">
      <c r="J3485" s="486" t="str">
        <f ca="1">IF(ROW()&gt;'Impact Indicator Target Update'!A192,"",INDIRECT("'Impact Indicators - Section B'!A"&amp;'Impact Indicator Target Update'!D192))</f>
        <v/>
      </c>
    </row>
    <row r="3486" spans="10:10" x14ac:dyDescent="0.3">
      <c r="J3486" s="486" t="str">
        <f ca="1">IF(ROW()&gt;'Impact Indicator Target Update'!A193,"",INDIRECT("'Impact Indicators - Section B'!A"&amp;'Impact Indicator Target Update'!D193))</f>
        <v/>
      </c>
    </row>
    <row r="3487" spans="10:10" x14ac:dyDescent="0.3">
      <c r="J3487" s="486" t="str">
        <f ca="1">IF(ROW()&gt;'Impact Indicator Target Update'!A194,"",INDIRECT("'Impact Indicators - Section B'!A"&amp;'Impact Indicator Target Update'!D194))</f>
        <v/>
      </c>
    </row>
    <row r="3488" spans="10:10" x14ac:dyDescent="0.3">
      <c r="J3488" s="486" t="str">
        <f ca="1">IF(ROW()&gt;'Impact Indicator Target Update'!A195,"",INDIRECT("'Impact Indicators - Section B'!A"&amp;'Impact Indicator Target Update'!D195))</f>
        <v/>
      </c>
    </row>
    <row r="3489" spans="10:10" x14ac:dyDescent="0.3">
      <c r="J3489" s="486" t="str">
        <f ca="1">IF(ROW()&gt;'Impact Indicator Target Update'!A196,"",INDIRECT("'Impact Indicators - Section B'!A"&amp;'Impact Indicator Target Update'!D196))</f>
        <v/>
      </c>
    </row>
    <row r="3490" spans="10:10" x14ac:dyDescent="0.3">
      <c r="J3490" s="486" t="str">
        <f ca="1">IF(ROW()&gt;'Impact Indicator Target Update'!A197,"",INDIRECT("'Impact Indicators - Section B'!A"&amp;'Impact Indicator Target Update'!D197))</f>
        <v/>
      </c>
    </row>
    <row r="3491" spans="10:10" x14ac:dyDescent="0.3">
      <c r="J3491" s="486" t="str">
        <f ca="1">IF(ROW()&gt;'Impact Indicator Target Update'!A198,"",INDIRECT("'Impact Indicators - Section B'!A"&amp;'Impact Indicator Target Update'!D198))</f>
        <v/>
      </c>
    </row>
    <row r="3492" spans="10:10" x14ac:dyDescent="0.3">
      <c r="J3492" s="486" t="str">
        <f ca="1">IF(ROW()&gt;'Impact Indicator Target Update'!A199,"",INDIRECT("'Impact Indicators - Section B'!A"&amp;'Impact Indicator Target Update'!D199))</f>
        <v/>
      </c>
    </row>
    <row r="3493" spans="10:10" x14ac:dyDescent="0.3">
      <c r="J3493" s="486" t="str">
        <f ca="1">IF(ROW()&gt;'Impact Indicator Target Update'!A200,"",INDIRECT("'Impact Indicators - Section B'!A"&amp;'Impact Indicator Target Update'!D200))</f>
        <v/>
      </c>
    </row>
    <row r="3494" spans="10:10" x14ac:dyDescent="0.3">
      <c r="J3494" s="486" t="str">
        <f ca="1">IF(ROW()&gt;'Impact Indicator Target Update'!A201,"",INDIRECT("'Impact Indicators - Section B'!A"&amp;'Impact Indicator Target Update'!D201))</f>
        <v/>
      </c>
    </row>
    <row r="3495" spans="10:10" x14ac:dyDescent="0.3">
      <c r="J3495" s="486" t="str">
        <f ca="1">IF(ROW()&gt;'Impact Indicator Target Update'!A202,"",INDIRECT("'Impact Indicators - Section B'!A"&amp;'Impact Indicator Target Update'!D202))</f>
        <v/>
      </c>
    </row>
    <row r="3496" spans="10:10" x14ac:dyDescent="0.3">
      <c r="J3496" s="486" t="str">
        <f ca="1">IF(ROW()&gt;'Impact Indicator Target Update'!A203,"",INDIRECT("'Impact Indicators - Section B'!A"&amp;'Impact Indicator Target Update'!D203))</f>
        <v/>
      </c>
    </row>
    <row r="3497" spans="10:10" x14ac:dyDescent="0.3">
      <c r="J3497" s="486" t="str">
        <f ca="1">IF(ROW()&gt;'Impact Indicator Target Update'!A204,"",INDIRECT("'Impact Indicators - Section B'!A"&amp;'Impact Indicator Target Update'!D204))</f>
        <v/>
      </c>
    </row>
    <row r="3498" spans="10:10" x14ac:dyDescent="0.3">
      <c r="J3498" s="486" t="str">
        <f ca="1">IF(ROW()&gt;'Impact Indicator Target Update'!A205,"",INDIRECT("'Impact Indicators - Section B'!A"&amp;'Impact Indicator Target Update'!D205))</f>
        <v/>
      </c>
    </row>
    <row r="3499" spans="10:10" x14ac:dyDescent="0.3">
      <c r="J3499" s="486" t="str">
        <f ca="1">IF(ROW()&gt;'Impact Indicator Target Update'!A206,"",INDIRECT("'Impact Indicators - Section B'!A"&amp;'Impact Indicator Target Update'!D206))</f>
        <v/>
      </c>
    </row>
    <row r="3500" spans="10:10" x14ac:dyDescent="0.3">
      <c r="J3500" s="486" t="str">
        <f ca="1">IF(ROW()&gt;'Impact Indicator Target Update'!A207,"",INDIRECT("'Impact Indicators - Section B'!A"&amp;'Impact Indicator Target Update'!D207))</f>
        <v/>
      </c>
    </row>
    <row r="3501" spans="10:10" x14ac:dyDescent="0.3">
      <c r="J3501" s="486" t="str">
        <f ca="1">IF(ROW()&gt;'Impact Indicator Target Update'!A208,"",INDIRECT("'Impact Indicators - Section B'!A"&amp;'Impact Indicator Target Update'!D208))</f>
        <v/>
      </c>
    </row>
    <row r="3502" spans="10:10" x14ac:dyDescent="0.3">
      <c r="J3502" s="486" t="str">
        <f ca="1">IF(ROW()&gt;'Impact Indicator Target Update'!A209,"",INDIRECT("'Impact Indicators - Section B'!A"&amp;'Impact Indicator Target Update'!D209))</f>
        <v/>
      </c>
    </row>
    <row r="3503" spans="10:10" x14ac:dyDescent="0.3">
      <c r="J3503" s="486" t="str">
        <f ca="1">IF(ROW()&gt;'Impact Indicator Target Update'!A210,"",INDIRECT("'Impact Indicators - Section B'!A"&amp;'Impact Indicator Target Update'!D210))</f>
        <v/>
      </c>
    </row>
    <row r="3504" spans="10:10" x14ac:dyDescent="0.3">
      <c r="J3504" s="486" t="str">
        <f ca="1">IF(ROW()&gt;'Impact Indicator Target Update'!A211,"",INDIRECT("'Impact Indicators - Section B'!A"&amp;'Impact Indicator Target Update'!D211))</f>
        <v/>
      </c>
    </row>
    <row r="3505" spans="10:10" x14ac:dyDescent="0.3">
      <c r="J3505" s="486" t="str">
        <f ca="1">IF(ROW()&gt;'Impact Indicator Target Update'!A212,"",INDIRECT("'Impact Indicators - Section B'!A"&amp;'Impact Indicator Target Update'!D212))</f>
        <v/>
      </c>
    </row>
    <row r="3506" spans="10:10" x14ac:dyDescent="0.3">
      <c r="J3506" s="486" t="str">
        <f ca="1">IF(ROW()&gt;'Impact Indicator Target Update'!A213,"",INDIRECT("'Impact Indicators - Section B'!A"&amp;'Impact Indicator Target Update'!D213))</f>
        <v/>
      </c>
    </row>
    <row r="3507" spans="10:10" x14ac:dyDescent="0.3">
      <c r="J3507" s="486" t="str">
        <f ca="1">IF(ROW()&gt;'Impact Indicator Target Update'!A214,"",INDIRECT("'Impact Indicators - Section B'!A"&amp;'Impact Indicator Target Update'!D214))</f>
        <v/>
      </c>
    </row>
    <row r="3508" spans="10:10" x14ac:dyDescent="0.3">
      <c r="J3508" s="486" t="str">
        <f ca="1">IF(ROW()&gt;'Impact Indicator Target Update'!A215,"",INDIRECT("'Impact Indicators - Section B'!A"&amp;'Impact Indicator Target Update'!D215))</f>
        <v/>
      </c>
    </row>
    <row r="3509" spans="10:10" x14ac:dyDescent="0.3">
      <c r="J3509" s="486" t="str">
        <f ca="1">IF(ROW()&gt;'Impact Indicator Target Update'!A216,"",INDIRECT("'Impact Indicators - Section B'!A"&amp;'Impact Indicator Target Update'!D216))</f>
        <v/>
      </c>
    </row>
    <row r="3510" spans="10:10" x14ac:dyDescent="0.3">
      <c r="J3510" s="486" t="str">
        <f ca="1">IF(ROW()&gt;'Impact Indicator Target Update'!A217,"",INDIRECT("'Impact Indicators - Section B'!A"&amp;'Impact Indicator Target Update'!D217))</f>
        <v/>
      </c>
    </row>
    <row r="3511" spans="10:10" x14ac:dyDescent="0.3">
      <c r="J3511" s="486" t="str">
        <f ca="1">IF(ROW()&gt;'Impact Indicator Target Update'!A218,"",INDIRECT("'Impact Indicators - Section B'!A"&amp;'Impact Indicator Target Update'!D218))</f>
        <v/>
      </c>
    </row>
    <row r="3512" spans="10:10" x14ac:dyDescent="0.3">
      <c r="J3512" s="486" t="str">
        <f ca="1">IF(ROW()&gt;'Impact Indicator Target Update'!A219,"",INDIRECT("'Impact Indicators - Section B'!A"&amp;'Impact Indicator Target Update'!D219))</f>
        <v/>
      </c>
    </row>
    <row r="3513" spans="10:10" x14ac:dyDescent="0.3">
      <c r="J3513" s="486" t="str">
        <f ca="1">IF(ROW()&gt;'Impact Indicator Target Update'!A220,"",INDIRECT("'Impact Indicators - Section B'!A"&amp;'Impact Indicator Target Update'!D220))</f>
        <v/>
      </c>
    </row>
    <row r="3514" spans="10:10" x14ac:dyDescent="0.3">
      <c r="J3514" s="486" t="str">
        <f ca="1">IF(ROW()&gt;'Impact Indicator Target Update'!A221,"",INDIRECT("'Impact Indicators - Section B'!A"&amp;'Impact Indicator Target Update'!D221))</f>
        <v/>
      </c>
    </row>
    <row r="3515" spans="10:10" x14ac:dyDescent="0.3">
      <c r="J3515" s="486" t="str">
        <f ca="1">IF(ROW()&gt;'Impact Indicator Target Update'!A222,"",INDIRECT("'Impact Indicators - Section B'!A"&amp;'Impact Indicator Target Update'!D222))</f>
        <v/>
      </c>
    </row>
    <row r="3516" spans="10:10" x14ac:dyDescent="0.3">
      <c r="J3516" s="486" t="str">
        <f ca="1">IF(ROW()&gt;'Impact Indicator Target Update'!A223,"",INDIRECT("'Impact Indicators - Section B'!A"&amp;'Impact Indicator Target Update'!D223))</f>
        <v/>
      </c>
    </row>
    <row r="3517" spans="10:10" x14ac:dyDescent="0.3">
      <c r="J3517" s="486" t="str">
        <f ca="1">IF(ROW()&gt;'Impact Indicator Target Update'!A224,"",INDIRECT("'Impact Indicators - Section B'!A"&amp;'Impact Indicator Target Update'!D224))</f>
        <v/>
      </c>
    </row>
    <row r="3518" spans="10:10" x14ac:dyDescent="0.3">
      <c r="J3518" s="486" t="str">
        <f ca="1">IF(ROW()&gt;'Impact Indicator Target Update'!A225,"",INDIRECT("'Impact Indicators - Section B'!A"&amp;'Impact Indicator Target Update'!D225))</f>
        <v/>
      </c>
    </row>
    <row r="3519" spans="10:10" x14ac:dyDescent="0.3">
      <c r="J3519" s="486" t="str">
        <f ca="1">IF(ROW()&gt;'Impact Indicator Target Update'!A226,"",INDIRECT("'Impact Indicators - Section B'!A"&amp;'Impact Indicator Target Update'!D226))</f>
        <v/>
      </c>
    </row>
    <row r="3520" spans="10:10" x14ac:dyDescent="0.3">
      <c r="J3520" s="486" t="str">
        <f ca="1">IF(ROW()&gt;'Impact Indicator Target Update'!A227,"",INDIRECT("'Impact Indicators - Section B'!A"&amp;'Impact Indicator Target Update'!D227))</f>
        <v/>
      </c>
    </row>
    <row r="3521" spans="10:10" x14ac:dyDescent="0.3">
      <c r="J3521" s="486" t="str">
        <f ca="1">IF(ROW()&gt;'Impact Indicator Target Update'!A228,"",INDIRECT("'Impact Indicators - Section B'!A"&amp;'Impact Indicator Target Update'!D228))</f>
        <v/>
      </c>
    </row>
    <row r="3522" spans="10:10" x14ac:dyDescent="0.3">
      <c r="J3522" s="486" t="str">
        <f ca="1">IF(ROW()&gt;'Impact Indicator Target Update'!A229,"",INDIRECT("'Impact Indicators - Section B'!A"&amp;'Impact Indicator Target Update'!D229))</f>
        <v/>
      </c>
    </row>
    <row r="3523" spans="10:10" x14ac:dyDescent="0.3">
      <c r="J3523" s="486" t="str">
        <f ca="1">IF(ROW()&gt;'Impact Indicator Target Update'!A230,"",INDIRECT("'Impact Indicators - Section B'!A"&amp;'Impact Indicator Target Update'!D230))</f>
        <v/>
      </c>
    </row>
    <row r="3524" spans="10:10" x14ac:dyDescent="0.3">
      <c r="J3524" s="486" t="str">
        <f ca="1">IF(ROW()&gt;'Impact Indicator Target Update'!A231,"",INDIRECT("'Impact Indicators - Section B'!A"&amp;'Impact Indicator Target Update'!D231))</f>
        <v/>
      </c>
    </row>
    <row r="3525" spans="10:10" x14ac:dyDescent="0.3">
      <c r="J3525" s="486" t="str">
        <f ca="1">IF(ROW()&gt;'Impact Indicator Target Update'!A232,"",INDIRECT("'Impact Indicators - Section B'!A"&amp;'Impact Indicator Target Update'!D232))</f>
        <v/>
      </c>
    </row>
    <row r="3526" spans="10:10" x14ac:dyDescent="0.3">
      <c r="J3526" s="486" t="str">
        <f ca="1">IF(ROW()&gt;'Impact Indicator Target Update'!A233,"",INDIRECT("'Impact Indicators - Section B'!A"&amp;'Impact Indicator Target Update'!D233))</f>
        <v/>
      </c>
    </row>
    <row r="3527" spans="10:10" x14ac:dyDescent="0.3">
      <c r="J3527" s="486" t="str">
        <f ca="1">IF(ROW()&gt;'Impact Indicator Target Update'!A234,"",INDIRECT("'Impact Indicators - Section B'!A"&amp;'Impact Indicator Target Update'!D234))</f>
        <v/>
      </c>
    </row>
    <row r="3528" spans="10:10" x14ac:dyDescent="0.3">
      <c r="J3528" s="486" t="str">
        <f ca="1">IF(ROW()&gt;'Impact Indicator Target Update'!A235,"",INDIRECT("'Impact Indicators - Section B'!A"&amp;'Impact Indicator Target Update'!D235))</f>
        <v/>
      </c>
    </row>
    <row r="3529" spans="10:10" x14ac:dyDescent="0.3">
      <c r="J3529" s="486" t="str">
        <f ca="1">IF(ROW()&gt;'Impact Indicator Target Update'!A236,"",INDIRECT("'Impact Indicators - Section B'!A"&amp;'Impact Indicator Target Update'!D236))</f>
        <v/>
      </c>
    </row>
    <row r="3530" spans="10:10" x14ac:dyDescent="0.3">
      <c r="J3530" s="486" t="str">
        <f ca="1">IF(ROW()&gt;'Impact Indicator Target Update'!A237,"",INDIRECT("'Impact Indicators - Section B'!A"&amp;'Impact Indicator Target Update'!D237))</f>
        <v/>
      </c>
    </row>
    <row r="3531" spans="10:10" x14ac:dyDescent="0.3">
      <c r="J3531" s="486" t="str">
        <f ca="1">IF(ROW()&gt;'Impact Indicator Target Update'!A238,"",INDIRECT("'Impact Indicators - Section B'!A"&amp;'Impact Indicator Target Update'!D238))</f>
        <v/>
      </c>
    </row>
    <row r="3532" spans="10:10" x14ac:dyDescent="0.3">
      <c r="J3532" s="486" t="str">
        <f ca="1">IF(ROW()&gt;'Impact Indicator Target Update'!A239,"",INDIRECT("'Impact Indicators - Section B'!A"&amp;'Impact Indicator Target Update'!D239))</f>
        <v/>
      </c>
    </row>
    <row r="3533" spans="10:10" x14ac:dyDescent="0.3">
      <c r="J3533" s="486" t="str">
        <f ca="1">IF(ROW()&gt;'Impact Indicator Target Update'!A240,"",INDIRECT("'Impact Indicators - Section B'!A"&amp;'Impact Indicator Target Update'!D240))</f>
        <v/>
      </c>
    </row>
    <row r="3534" spans="10:10" x14ac:dyDescent="0.3">
      <c r="J3534" s="486" t="str">
        <f ca="1">IF(ROW()&gt;'Impact Indicator Target Update'!A241,"",INDIRECT("'Impact Indicators - Section B'!A"&amp;'Impact Indicator Target Update'!D241))</f>
        <v/>
      </c>
    </row>
    <row r="3535" spans="10:10" x14ac:dyDescent="0.3">
      <c r="J3535" s="486" t="str">
        <f ca="1">IF(ROW()&gt;'Impact Indicator Target Update'!A242,"",INDIRECT("'Impact Indicators - Section B'!A"&amp;'Impact Indicator Target Update'!D242))</f>
        <v/>
      </c>
    </row>
    <row r="3536" spans="10:10" x14ac:dyDescent="0.3">
      <c r="J3536" s="486" t="str">
        <f ca="1">IF(ROW()&gt;'Impact Indicator Target Update'!A243,"",INDIRECT("'Impact Indicators - Section B'!A"&amp;'Impact Indicator Target Update'!D243))</f>
        <v/>
      </c>
    </row>
    <row r="3537" spans="10:10" x14ac:dyDescent="0.3">
      <c r="J3537" s="486" t="str">
        <f ca="1">IF(ROW()&gt;'Impact Indicator Target Update'!A244,"",INDIRECT("'Impact Indicators - Section B'!A"&amp;'Impact Indicator Target Update'!D244))</f>
        <v/>
      </c>
    </row>
    <row r="3538" spans="10:10" x14ac:dyDescent="0.3">
      <c r="J3538" s="486" t="str">
        <f ca="1">IF(ROW()&gt;'Impact Indicator Target Update'!A245,"",INDIRECT("'Impact Indicators - Section B'!A"&amp;'Impact Indicator Target Update'!D245))</f>
        <v/>
      </c>
    </row>
    <row r="3539" spans="10:10" x14ac:dyDescent="0.3">
      <c r="J3539" s="486" t="str">
        <f ca="1">IF(ROW()&gt;'Impact Indicator Target Update'!A246,"",INDIRECT("'Impact Indicators - Section B'!A"&amp;'Impact Indicator Target Update'!D246))</f>
        <v/>
      </c>
    </row>
    <row r="3540" spans="10:10" x14ac:dyDescent="0.3">
      <c r="J3540" s="486" t="str">
        <f ca="1">IF(ROW()&gt;'Impact Indicator Target Update'!A247,"",INDIRECT("'Impact Indicators - Section B'!A"&amp;'Impact Indicator Target Update'!D247))</f>
        <v/>
      </c>
    </row>
    <row r="3541" spans="10:10" x14ac:dyDescent="0.3">
      <c r="J3541" s="486" t="str">
        <f ca="1">IF(ROW()&gt;'Impact Indicator Target Update'!A248,"",INDIRECT("'Impact Indicators - Section B'!A"&amp;'Impact Indicator Target Update'!D248))</f>
        <v/>
      </c>
    </row>
    <row r="3542" spans="10:10" x14ac:dyDescent="0.3">
      <c r="J3542" s="486" t="str">
        <f ca="1">IF(ROW()&gt;'Impact Indicator Target Update'!A249,"",INDIRECT("'Impact Indicators - Section B'!A"&amp;'Impact Indicator Target Update'!D249))</f>
        <v/>
      </c>
    </row>
    <row r="3543" spans="10:10" x14ac:dyDescent="0.3">
      <c r="J3543" s="486" t="str">
        <f ca="1">IF(ROW()&gt;'Impact Indicator Target Update'!A250,"",INDIRECT("'Impact Indicators - Section B'!A"&amp;'Impact Indicator Target Update'!D250))</f>
        <v/>
      </c>
    </row>
    <row r="3544" spans="10:10" x14ac:dyDescent="0.3">
      <c r="J3544" s="486" t="str">
        <f ca="1">IF(ROW()&gt;'Impact Indicator Target Update'!A251,"",INDIRECT("'Impact Indicators - Section B'!A"&amp;'Impact Indicator Target Update'!D251))</f>
        <v/>
      </c>
    </row>
    <row r="3545" spans="10:10" x14ac:dyDescent="0.3">
      <c r="J3545" s="486" t="str">
        <f ca="1">IF(ROW()&gt;'Impact Indicator Target Update'!A252,"",INDIRECT("'Impact Indicators - Section B'!A"&amp;'Impact Indicator Target Update'!D252))</f>
        <v/>
      </c>
    </row>
    <row r="3546" spans="10:10" x14ac:dyDescent="0.3">
      <c r="J3546" s="486" t="str">
        <f ca="1">IF(ROW()&gt;'Impact Indicator Target Update'!A253,"",INDIRECT("'Impact Indicators - Section B'!A"&amp;'Impact Indicator Target Update'!D253))</f>
        <v/>
      </c>
    </row>
    <row r="3547" spans="10:10" x14ac:dyDescent="0.3">
      <c r="J3547" s="486" t="str">
        <f ca="1">IF(ROW()&gt;'Impact Indicator Target Update'!A254,"",INDIRECT("'Impact Indicators - Section B'!A"&amp;'Impact Indicator Target Update'!D254))</f>
        <v/>
      </c>
    </row>
    <row r="3548" spans="10:10" x14ac:dyDescent="0.3">
      <c r="J3548" s="486" t="str">
        <f ca="1">IF(ROW()&gt;'Impact Indicator Target Update'!A255,"",INDIRECT("'Impact Indicators - Section B'!A"&amp;'Impact Indicator Target Update'!D255))</f>
        <v/>
      </c>
    </row>
    <row r="3549" spans="10:10" x14ac:dyDescent="0.3">
      <c r="J3549" s="486" t="str">
        <f ca="1">IF(ROW()&gt;'Impact Indicator Target Update'!A256,"",INDIRECT("'Impact Indicators - Section B'!A"&amp;'Impact Indicator Target Update'!D256))</f>
        <v/>
      </c>
    </row>
    <row r="3550" spans="10:10" x14ac:dyDescent="0.3">
      <c r="J3550" s="486" t="str">
        <f ca="1">IF(ROW()&gt;'Impact Indicator Target Update'!A257,"",INDIRECT("'Impact Indicators - Section B'!A"&amp;'Impact Indicator Target Update'!D257))</f>
        <v/>
      </c>
    </row>
    <row r="3551" spans="10:10" x14ac:dyDescent="0.3">
      <c r="J3551" s="486" t="str">
        <f ca="1">IF(ROW()&gt;'Impact Indicator Target Update'!A258,"",INDIRECT("'Impact Indicators - Section B'!A"&amp;'Impact Indicator Target Update'!D258))</f>
        <v/>
      </c>
    </row>
    <row r="3552" spans="10:10" x14ac:dyDescent="0.3">
      <c r="J3552" s="486" t="str">
        <f ca="1">IF(ROW()&gt;'Impact Indicator Target Update'!A259,"",INDIRECT("'Impact Indicators - Section B'!A"&amp;'Impact Indicator Target Update'!D259))</f>
        <v/>
      </c>
    </row>
    <row r="3553" spans="10:10" x14ac:dyDescent="0.3">
      <c r="J3553" s="486" t="str">
        <f ca="1">IF(ROW()&gt;'Impact Indicator Target Update'!A260,"",INDIRECT("'Impact Indicators - Section B'!A"&amp;'Impact Indicator Target Update'!D260))</f>
        <v/>
      </c>
    </row>
    <row r="3554" spans="10:10" x14ac:dyDescent="0.3">
      <c r="J3554" s="486" t="str">
        <f ca="1">IF(ROW()&gt;'Impact Indicator Target Update'!A261,"",INDIRECT("'Impact Indicators - Section B'!A"&amp;'Impact Indicator Target Update'!D261))</f>
        <v/>
      </c>
    </row>
    <row r="3555" spans="10:10" x14ac:dyDescent="0.3">
      <c r="J3555" s="486" t="str">
        <f ca="1">IF(ROW()&gt;'Impact Indicator Target Update'!A262,"",INDIRECT("'Impact Indicators - Section B'!A"&amp;'Impact Indicator Target Update'!D262))</f>
        <v/>
      </c>
    </row>
    <row r="3556" spans="10:10" x14ac:dyDescent="0.3">
      <c r="J3556" s="486" t="str">
        <f ca="1">IF(ROW()&gt;'Impact Indicator Target Update'!A263,"",INDIRECT("'Impact Indicators - Section B'!A"&amp;'Impact Indicator Target Update'!D263))</f>
        <v/>
      </c>
    </row>
    <row r="3557" spans="10:10" x14ac:dyDescent="0.3">
      <c r="J3557" s="486" t="str">
        <f ca="1">IF(ROW()&gt;'Impact Indicator Target Update'!A264,"",INDIRECT("'Impact Indicators - Section B'!A"&amp;'Impact Indicator Target Update'!D264))</f>
        <v/>
      </c>
    </row>
    <row r="3558" spans="10:10" x14ac:dyDescent="0.3">
      <c r="J3558" s="486" t="str">
        <f ca="1">IF(ROW()&gt;'Impact Indicator Target Update'!A265,"",INDIRECT("'Impact Indicators - Section B'!A"&amp;'Impact Indicator Target Update'!D265))</f>
        <v/>
      </c>
    </row>
    <row r="3559" spans="10:10" x14ac:dyDescent="0.3">
      <c r="J3559" s="486" t="str">
        <f ca="1">IF(ROW()&gt;'Impact Indicator Target Update'!A266,"",INDIRECT("'Impact Indicators - Section B'!A"&amp;'Impact Indicator Target Update'!D266))</f>
        <v/>
      </c>
    </row>
    <row r="3560" spans="10:10" x14ac:dyDescent="0.3">
      <c r="J3560" s="486" t="str">
        <f ca="1">IF(ROW()&gt;'Impact Indicator Target Update'!A267,"",INDIRECT("'Impact Indicators - Section B'!A"&amp;'Impact Indicator Target Update'!D267))</f>
        <v/>
      </c>
    </row>
    <row r="3561" spans="10:10" x14ac:dyDescent="0.3">
      <c r="J3561" s="486" t="str">
        <f ca="1">IF(ROW()&gt;'Impact Indicator Target Update'!A268,"",INDIRECT("'Impact Indicators - Section B'!A"&amp;'Impact Indicator Target Update'!D268))</f>
        <v/>
      </c>
    </row>
    <row r="3562" spans="10:10" x14ac:dyDescent="0.3">
      <c r="J3562" s="486" t="str">
        <f ca="1">IF(ROW()&gt;'Impact Indicator Target Update'!A269,"",INDIRECT("'Impact Indicators - Section B'!A"&amp;'Impact Indicator Target Update'!D269))</f>
        <v/>
      </c>
    </row>
    <row r="3563" spans="10:10" x14ac:dyDescent="0.3">
      <c r="J3563" s="486" t="str">
        <f ca="1">IF(ROW()&gt;'Impact Indicator Target Update'!A270,"",INDIRECT("'Impact Indicators - Section B'!A"&amp;'Impact Indicator Target Update'!D270))</f>
        <v/>
      </c>
    </row>
    <row r="3564" spans="10:10" x14ac:dyDescent="0.3">
      <c r="J3564" s="486" t="str">
        <f ca="1">IF(ROW()&gt;'Impact Indicator Target Update'!A271,"",INDIRECT("'Impact Indicators - Section B'!A"&amp;'Impact Indicator Target Update'!D271))</f>
        <v/>
      </c>
    </row>
    <row r="3565" spans="10:10" x14ac:dyDescent="0.3">
      <c r="J3565" s="486" t="str">
        <f ca="1">IF(ROW()&gt;'Impact Indicator Target Update'!A272,"",INDIRECT("'Impact Indicators - Section B'!A"&amp;'Impact Indicator Target Update'!D272))</f>
        <v/>
      </c>
    </row>
    <row r="3566" spans="10:10" x14ac:dyDescent="0.3">
      <c r="J3566" s="486" t="str">
        <f ca="1">IF(ROW()&gt;'Impact Indicator Target Update'!A273,"",INDIRECT("'Impact Indicators - Section B'!A"&amp;'Impact Indicator Target Update'!D273))</f>
        <v/>
      </c>
    </row>
    <row r="3567" spans="10:10" x14ac:dyDescent="0.3">
      <c r="J3567" s="486" t="str">
        <f ca="1">IF(ROW()&gt;'Impact Indicator Target Update'!A274,"",INDIRECT("'Impact Indicators - Section B'!A"&amp;'Impact Indicator Target Update'!D274))</f>
        <v/>
      </c>
    </row>
    <row r="3568" spans="10:10" x14ac:dyDescent="0.3">
      <c r="J3568" s="486" t="str">
        <f ca="1">IF(ROW()&gt;'Impact Indicator Target Update'!A275,"",INDIRECT("'Impact Indicators - Section B'!A"&amp;'Impact Indicator Target Update'!D275))</f>
        <v/>
      </c>
    </row>
    <row r="3569" spans="10:10" x14ac:dyDescent="0.3">
      <c r="J3569" s="486" t="str">
        <f ca="1">IF(ROW()&gt;'Impact Indicator Target Update'!A276,"",INDIRECT("'Impact Indicators - Section B'!A"&amp;'Impact Indicator Target Update'!D276))</f>
        <v/>
      </c>
    </row>
    <row r="3570" spans="10:10" x14ac:dyDescent="0.3">
      <c r="J3570" s="486" t="str">
        <f ca="1">IF(ROW()&gt;'Impact Indicator Target Update'!A277,"",INDIRECT("'Impact Indicators - Section B'!A"&amp;'Impact Indicator Target Update'!D277))</f>
        <v/>
      </c>
    </row>
    <row r="3571" spans="10:10" x14ac:dyDescent="0.3">
      <c r="J3571" s="486" t="str">
        <f ca="1">IF(ROW()&gt;'Impact Indicator Target Update'!A278,"",INDIRECT("'Impact Indicators - Section B'!A"&amp;'Impact Indicator Target Update'!D278))</f>
        <v/>
      </c>
    </row>
    <row r="3572" spans="10:10" x14ac:dyDescent="0.3">
      <c r="J3572" s="486" t="str">
        <f ca="1">IF(ROW()&gt;'Impact Indicator Target Update'!A279,"",INDIRECT("'Impact Indicators - Section B'!A"&amp;'Impact Indicator Target Update'!D279))</f>
        <v/>
      </c>
    </row>
    <row r="3573" spans="10:10" x14ac:dyDescent="0.3">
      <c r="J3573" s="486" t="str">
        <f ca="1">IF(ROW()&gt;'Impact Indicator Target Update'!A280,"",INDIRECT("'Impact Indicators - Section B'!A"&amp;'Impact Indicator Target Update'!D280))</f>
        <v/>
      </c>
    </row>
    <row r="3574" spans="10:10" x14ac:dyDescent="0.3">
      <c r="J3574" s="486" t="str">
        <f ca="1">IF(ROW()&gt;'Impact Indicator Target Update'!A281,"",INDIRECT("'Impact Indicators - Section B'!A"&amp;'Impact Indicator Target Update'!D281))</f>
        <v/>
      </c>
    </row>
    <row r="3575" spans="10:10" x14ac:dyDescent="0.3">
      <c r="J3575" s="486" t="str">
        <f ca="1">IF(ROW()&gt;'Impact Indicator Target Update'!A282,"",INDIRECT("'Impact Indicators - Section B'!A"&amp;'Impact Indicator Target Update'!D282))</f>
        <v/>
      </c>
    </row>
    <row r="3576" spans="10:10" x14ac:dyDescent="0.3">
      <c r="J3576" s="486" t="str">
        <f ca="1">IF(ROW()&gt;'Impact Indicator Target Update'!A283,"",INDIRECT("'Impact Indicators - Section B'!A"&amp;'Impact Indicator Target Update'!D283))</f>
        <v/>
      </c>
    </row>
    <row r="3577" spans="10:10" x14ac:dyDescent="0.3">
      <c r="J3577" s="486" t="str">
        <f ca="1">IF(ROW()&gt;'Impact Indicator Target Update'!A284,"",INDIRECT("'Impact Indicators - Section B'!A"&amp;'Impact Indicator Target Update'!D284))</f>
        <v/>
      </c>
    </row>
    <row r="3578" spans="10:10" x14ac:dyDescent="0.3">
      <c r="J3578" s="486" t="str">
        <f ca="1">IF(ROW()&gt;'Impact Indicator Target Update'!A285,"",INDIRECT("'Impact Indicators - Section B'!A"&amp;'Impact Indicator Target Update'!D285))</f>
        <v/>
      </c>
    </row>
    <row r="3579" spans="10:10" x14ac:dyDescent="0.3">
      <c r="J3579" s="486" t="str">
        <f ca="1">IF(ROW()&gt;'Impact Indicator Target Update'!A286,"",INDIRECT("'Impact Indicators - Section B'!A"&amp;'Impact Indicator Target Update'!D286))</f>
        <v/>
      </c>
    </row>
    <row r="3580" spans="10:10" x14ac:dyDescent="0.3">
      <c r="J3580" s="486" t="str">
        <f ca="1">IF(ROW()&gt;'Impact Indicator Target Update'!A287,"",INDIRECT("'Impact Indicators - Section B'!A"&amp;'Impact Indicator Target Update'!D287))</f>
        <v/>
      </c>
    </row>
    <row r="3581" spans="10:10" x14ac:dyDescent="0.3">
      <c r="J3581" s="486" t="str">
        <f ca="1">IF(ROW()&gt;'Impact Indicator Target Update'!A288,"",INDIRECT("'Impact Indicators - Section B'!A"&amp;'Impact Indicator Target Update'!D288))</f>
        <v/>
      </c>
    </row>
    <row r="3582" spans="10:10" x14ac:dyDescent="0.3">
      <c r="J3582" s="486" t="str">
        <f ca="1">IF(ROW()&gt;'Impact Indicator Target Update'!A289,"",INDIRECT("'Impact Indicators - Section B'!A"&amp;'Impact Indicator Target Update'!D289))</f>
        <v/>
      </c>
    </row>
    <row r="3583" spans="10:10" x14ac:dyDescent="0.3">
      <c r="J3583" s="486" t="str">
        <f ca="1">IF(ROW()&gt;'Impact Indicator Target Update'!A290,"",INDIRECT("'Impact Indicators - Section B'!A"&amp;'Impact Indicator Target Update'!D290))</f>
        <v/>
      </c>
    </row>
    <row r="3584" spans="10:10" x14ac:dyDescent="0.3">
      <c r="J3584" s="486" t="str">
        <f ca="1">IF(ROW()&gt;'Impact Indicator Target Update'!A291,"",INDIRECT("'Impact Indicators - Section B'!A"&amp;'Impact Indicator Target Update'!D291))</f>
        <v/>
      </c>
    </row>
    <row r="3585" spans="10:10" x14ac:dyDescent="0.3">
      <c r="J3585" s="486" t="str">
        <f ca="1">IF(ROW()&gt;'Impact Indicator Target Update'!A292,"",INDIRECT("'Impact Indicators - Section B'!A"&amp;'Impact Indicator Target Update'!D292))</f>
        <v/>
      </c>
    </row>
    <row r="3586" spans="10:10" x14ac:dyDescent="0.3">
      <c r="J3586" s="486" t="str">
        <f ca="1">IF(ROW()&gt;'Impact Indicator Target Update'!A293,"",INDIRECT("'Impact Indicators - Section B'!A"&amp;'Impact Indicator Target Update'!D293))</f>
        <v/>
      </c>
    </row>
    <row r="3587" spans="10:10" x14ac:dyDescent="0.3">
      <c r="J3587" s="486" t="str">
        <f ca="1">IF(ROW()&gt;'Impact Indicator Target Update'!A294,"",INDIRECT("'Impact Indicators - Section B'!A"&amp;'Impact Indicator Target Update'!D294))</f>
        <v/>
      </c>
    </row>
    <row r="3588" spans="10:10" x14ac:dyDescent="0.3">
      <c r="J3588" s="486" t="str">
        <f ca="1">IF(ROW()&gt;'Impact Indicator Target Update'!A295,"",INDIRECT("'Impact Indicators - Section B'!A"&amp;'Impact Indicator Target Update'!D295))</f>
        <v/>
      </c>
    </row>
    <row r="3589" spans="10:10" x14ac:dyDescent="0.3">
      <c r="J3589" s="486" t="str">
        <f ca="1">IF(ROW()&gt;'Impact Indicator Target Update'!A296,"",INDIRECT("'Impact Indicators - Section B'!A"&amp;'Impact Indicator Target Update'!D296))</f>
        <v/>
      </c>
    </row>
    <row r="3590" spans="10:10" x14ac:dyDescent="0.3">
      <c r="J3590" s="486" t="str">
        <f ca="1">IF(ROW()&gt;'Impact Indicator Target Update'!A297,"",INDIRECT("'Impact Indicators - Section B'!A"&amp;'Impact Indicator Target Update'!D297))</f>
        <v/>
      </c>
    </row>
    <row r="3591" spans="10:10" x14ac:dyDescent="0.3">
      <c r="J3591" s="486" t="str">
        <f ca="1">IF(ROW()&gt;'Impact Indicator Target Update'!A298,"",INDIRECT("'Impact Indicators - Section B'!A"&amp;'Impact Indicator Target Update'!D298))</f>
        <v/>
      </c>
    </row>
    <row r="3592" spans="10:10" x14ac:dyDescent="0.3">
      <c r="J3592" s="486" t="str">
        <f ca="1">IF(ROW()&gt;'Impact Indicator Target Update'!A299,"",INDIRECT("'Impact Indicators - Section B'!A"&amp;'Impact Indicator Target Update'!D299))</f>
        <v/>
      </c>
    </row>
    <row r="3593" spans="10:10" x14ac:dyDescent="0.3">
      <c r="J3593" s="486" t="str">
        <f ca="1">IF(ROW()&gt;'Impact Indicator Target Update'!A300,"",INDIRECT("'Impact Indicators - Section B'!A"&amp;'Impact Indicator Target Update'!D300))</f>
        <v/>
      </c>
    </row>
    <row r="3594" spans="10:10" x14ac:dyDescent="0.3">
      <c r="J3594" s="486" t="str">
        <f ca="1">IF(ROW()&gt;'Impact Indicator Target Update'!A301,"",INDIRECT("'Impact Indicators - Section B'!A"&amp;'Impact Indicator Target Update'!D301))</f>
        <v/>
      </c>
    </row>
    <row r="3595" spans="10:10" x14ac:dyDescent="0.3">
      <c r="J3595" s="486" t="str">
        <f ca="1">IF(ROW()&gt;'Impact Indicator Target Update'!A302,"",INDIRECT("'Impact Indicators - Section B'!A"&amp;'Impact Indicator Target Update'!D302))</f>
        <v/>
      </c>
    </row>
    <row r="3596" spans="10:10" x14ac:dyDescent="0.3">
      <c r="J3596" s="486" t="str">
        <f ca="1">IF(ROW()&gt;'Impact Indicator Target Update'!A303,"",INDIRECT("'Impact Indicators - Section B'!A"&amp;'Impact Indicator Target Update'!D303))</f>
        <v/>
      </c>
    </row>
    <row r="3597" spans="10:10" x14ac:dyDescent="0.3">
      <c r="J3597" s="486" t="str">
        <f ca="1">IF(ROW()&gt;'Impact Indicator Target Update'!A304,"",INDIRECT("'Impact Indicators - Section B'!A"&amp;'Impact Indicator Target Update'!D304))</f>
        <v/>
      </c>
    </row>
    <row r="3598" spans="10:10" x14ac:dyDescent="0.3">
      <c r="J3598" s="486" t="str">
        <f ca="1">IF(ROW()&gt;'Impact Indicator Target Update'!A305,"",INDIRECT("'Impact Indicators - Section B'!A"&amp;'Impact Indicator Target Update'!D305))</f>
        <v/>
      </c>
    </row>
    <row r="3599" spans="10:10" x14ac:dyDescent="0.3">
      <c r="J3599" s="486" t="str">
        <f ca="1">IF(ROW()&gt;'Impact Indicator Target Update'!A306,"",INDIRECT("'Impact Indicators - Section B'!A"&amp;'Impact Indicator Target Update'!D306))</f>
        <v/>
      </c>
    </row>
    <row r="3600" spans="10:10" x14ac:dyDescent="0.3">
      <c r="J3600" s="486" t="str">
        <f ca="1">IF(ROW()&gt;'Impact Indicator Target Update'!A307,"",INDIRECT("'Impact Indicators - Section B'!A"&amp;'Impact Indicator Target Update'!D307))</f>
        <v/>
      </c>
    </row>
    <row r="3601" spans="10:10" x14ac:dyDescent="0.3">
      <c r="J3601" s="486" t="str">
        <f ca="1">IF(ROW()&gt;'Impact Indicator Target Update'!A308,"",INDIRECT("'Impact Indicators - Section B'!A"&amp;'Impact Indicator Target Update'!D308))</f>
        <v/>
      </c>
    </row>
    <row r="3602" spans="10:10" x14ac:dyDescent="0.3">
      <c r="J3602" s="486" t="str">
        <f ca="1">IF(ROW()&gt;'Impact Indicator Target Update'!A309,"",INDIRECT("'Impact Indicators - Section B'!A"&amp;'Impact Indicator Target Update'!D309))</f>
        <v/>
      </c>
    </row>
    <row r="3603" spans="10:10" x14ac:dyDescent="0.3">
      <c r="J3603" s="486" t="str">
        <f ca="1">IF(ROW()&gt;'Impact Indicator Target Update'!A310,"",INDIRECT("'Impact Indicators - Section B'!A"&amp;'Impact Indicator Target Update'!D310))</f>
        <v/>
      </c>
    </row>
    <row r="3604" spans="10:10" x14ac:dyDescent="0.3">
      <c r="J3604" s="486" t="str">
        <f ca="1">IF(ROW()&gt;'Impact Indicator Target Update'!A311,"",INDIRECT("'Impact Indicators - Section B'!A"&amp;'Impact Indicator Target Update'!D311))</f>
        <v/>
      </c>
    </row>
    <row r="3605" spans="10:10" x14ac:dyDescent="0.3">
      <c r="J3605" s="486" t="str">
        <f ca="1">IF(ROW()&gt;'Impact Indicator Target Update'!A312,"",INDIRECT("'Impact Indicators - Section B'!A"&amp;'Impact Indicator Target Update'!D312))</f>
        <v/>
      </c>
    </row>
    <row r="3606" spans="10:10" x14ac:dyDescent="0.3">
      <c r="J3606" s="486" t="str">
        <f ca="1">IF(ROW()&gt;'Impact Indicator Target Update'!A313,"",INDIRECT("'Impact Indicators - Section B'!A"&amp;'Impact Indicator Target Update'!D313))</f>
        <v/>
      </c>
    </row>
    <row r="3607" spans="10:10" x14ac:dyDescent="0.3">
      <c r="J3607" s="486" t="str">
        <f ca="1">IF(ROW()&gt;'Impact Indicator Target Update'!A314,"",INDIRECT("'Impact Indicators - Section B'!A"&amp;'Impact Indicator Target Update'!D314))</f>
        <v/>
      </c>
    </row>
    <row r="3608" spans="10:10" x14ac:dyDescent="0.3">
      <c r="J3608" s="486" t="str">
        <f ca="1">IF(ROW()&gt;'Impact Indicator Target Update'!A315,"",INDIRECT("'Impact Indicators - Section B'!A"&amp;'Impact Indicator Target Update'!D315))</f>
        <v/>
      </c>
    </row>
    <row r="3609" spans="10:10" x14ac:dyDescent="0.3">
      <c r="J3609" s="486" t="str">
        <f ca="1">IF(ROW()&gt;'Impact Indicator Target Update'!A316,"",INDIRECT("'Impact Indicators - Section B'!A"&amp;'Impact Indicator Target Update'!D316))</f>
        <v/>
      </c>
    </row>
    <row r="3610" spans="10:10" x14ac:dyDescent="0.3">
      <c r="J3610" s="486" t="str">
        <f ca="1">IF(ROW()&gt;'Impact Indicator Target Update'!A317,"",INDIRECT("'Impact Indicators - Section B'!A"&amp;'Impact Indicator Target Update'!D317))</f>
        <v/>
      </c>
    </row>
    <row r="3611" spans="10:10" x14ac:dyDescent="0.3">
      <c r="J3611" s="486" t="str">
        <f ca="1">IF(ROW()&gt;'Impact Indicator Target Update'!A318,"",INDIRECT("'Impact Indicators - Section B'!A"&amp;'Impact Indicator Target Update'!D318))</f>
        <v/>
      </c>
    </row>
    <row r="3612" spans="10:10" x14ac:dyDescent="0.3">
      <c r="J3612" s="486" t="str">
        <f ca="1">IF(ROW()&gt;'Impact Indicator Target Update'!A319,"",INDIRECT("'Impact Indicators - Section B'!A"&amp;'Impact Indicator Target Update'!D319))</f>
        <v/>
      </c>
    </row>
    <row r="3613" spans="10:10" x14ac:dyDescent="0.3">
      <c r="J3613" s="486" t="str">
        <f ca="1">IF(ROW()&gt;'Impact Indicator Target Update'!A320,"",INDIRECT("'Impact Indicators - Section B'!A"&amp;'Impact Indicator Target Update'!D320))</f>
        <v/>
      </c>
    </row>
    <row r="3614" spans="10:10" x14ac:dyDescent="0.3">
      <c r="J3614" s="486" t="str">
        <f ca="1">IF(ROW()&gt;'Impact Indicator Target Update'!A321,"",INDIRECT("'Impact Indicators - Section B'!A"&amp;'Impact Indicator Target Update'!D321))</f>
        <v/>
      </c>
    </row>
    <row r="3615" spans="10:10" x14ac:dyDescent="0.3">
      <c r="J3615" s="486" t="str">
        <f ca="1">IF(ROW()&gt;'Impact Indicator Target Update'!A322,"",INDIRECT("'Impact Indicators - Section B'!A"&amp;'Impact Indicator Target Update'!D322))</f>
        <v/>
      </c>
    </row>
    <row r="3616" spans="10:10" x14ac:dyDescent="0.3">
      <c r="J3616" s="486" t="str">
        <f ca="1">IF(ROW()&gt;'Impact Indicator Target Update'!A323,"",INDIRECT("'Impact Indicators - Section B'!A"&amp;'Impact Indicator Target Update'!D323))</f>
        <v/>
      </c>
    </row>
    <row r="3617" spans="10:10" x14ac:dyDescent="0.3">
      <c r="J3617" s="486" t="str">
        <f ca="1">IF(ROW()&gt;'Impact Indicator Target Update'!A324,"",INDIRECT("'Impact Indicators - Section B'!A"&amp;'Impact Indicator Target Update'!D324))</f>
        <v/>
      </c>
    </row>
    <row r="3618" spans="10:10" x14ac:dyDescent="0.3">
      <c r="J3618" s="486" t="str">
        <f ca="1">IF(ROW()&gt;'Impact Indicator Target Update'!A325,"",INDIRECT("'Impact Indicators - Section B'!A"&amp;'Impact Indicator Target Update'!D325))</f>
        <v/>
      </c>
    </row>
    <row r="3619" spans="10:10" x14ac:dyDescent="0.3">
      <c r="J3619" s="486" t="str">
        <f ca="1">IF(ROW()&gt;'Impact Indicator Target Update'!A326,"",INDIRECT("'Impact Indicators - Section B'!A"&amp;'Impact Indicator Target Update'!D326))</f>
        <v/>
      </c>
    </row>
    <row r="3620" spans="10:10" x14ac:dyDescent="0.3">
      <c r="J3620" s="486" t="str">
        <f ca="1">IF(ROW()&gt;'Impact Indicator Target Update'!A327,"",INDIRECT("'Impact Indicators - Section B'!A"&amp;'Impact Indicator Target Update'!D327))</f>
        <v/>
      </c>
    </row>
    <row r="3621" spans="10:10" x14ac:dyDescent="0.3">
      <c r="J3621" s="486" t="str">
        <f ca="1">IF(ROW()&gt;'Impact Indicator Target Update'!A328,"",INDIRECT("'Impact Indicators - Section B'!A"&amp;'Impact Indicator Target Update'!D328))</f>
        <v/>
      </c>
    </row>
    <row r="3622" spans="10:10" x14ac:dyDescent="0.3">
      <c r="J3622" s="486" t="str">
        <f ca="1">IF(ROW()&gt;'Impact Indicator Target Update'!A329,"",INDIRECT("'Impact Indicators - Section B'!A"&amp;'Impact Indicator Target Update'!D329))</f>
        <v/>
      </c>
    </row>
    <row r="3623" spans="10:10" x14ac:dyDescent="0.3">
      <c r="J3623" s="486" t="str">
        <f ca="1">IF(ROW()&gt;'Impact Indicator Target Update'!A330,"",INDIRECT("'Impact Indicators - Section B'!A"&amp;'Impact Indicator Target Update'!D330))</f>
        <v/>
      </c>
    </row>
    <row r="3624" spans="10:10" x14ac:dyDescent="0.3">
      <c r="J3624" s="486" t="str">
        <f ca="1">IF(ROW()&gt;'Impact Indicator Target Update'!A331,"",INDIRECT("'Impact Indicators - Section B'!A"&amp;'Impact Indicator Target Update'!D331))</f>
        <v/>
      </c>
    </row>
    <row r="3625" spans="10:10" x14ac:dyDescent="0.3">
      <c r="J3625" s="486" t="str">
        <f ca="1">IF(ROW()&gt;'Impact Indicator Target Update'!A332,"",INDIRECT("'Impact Indicators - Section B'!A"&amp;'Impact Indicator Target Update'!D332))</f>
        <v/>
      </c>
    </row>
    <row r="3626" spans="10:10" x14ac:dyDescent="0.3">
      <c r="J3626" s="486" t="str">
        <f ca="1">IF(ROW()&gt;'Impact Indicator Target Update'!A333,"",INDIRECT("'Impact Indicators - Section B'!A"&amp;'Impact Indicator Target Update'!D333))</f>
        <v/>
      </c>
    </row>
    <row r="3627" spans="10:10" x14ac:dyDescent="0.3">
      <c r="J3627" s="486" t="str">
        <f ca="1">IF(ROW()&gt;'Impact Indicator Target Update'!A334,"",INDIRECT("'Impact Indicators - Section B'!A"&amp;'Impact Indicator Target Update'!D334))</f>
        <v/>
      </c>
    </row>
    <row r="3628" spans="10:10" x14ac:dyDescent="0.3">
      <c r="J3628" s="486" t="str">
        <f ca="1">IF(ROW()&gt;'Impact Indicator Target Update'!A335,"",INDIRECT("'Impact Indicators - Section B'!A"&amp;'Impact Indicator Target Update'!D335))</f>
        <v/>
      </c>
    </row>
    <row r="3629" spans="10:10" x14ac:dyDescent="0.3">
      <c r="J3629" s="486" t="str">
        <f ca="1">IF(ROW()&gt;'Impact Indicator Target Update'!A336,"",INDIRECT("'Impact Indicators - Section B'!A"&amp;'Impact Indicator Target Update'!D336))</f>
        <v/>
      </c>
    </row>
    <row r="3630" spans="10:10" x14ac:dyDescent="0.3">
      <c r="J3630" s="486" t="str">
        <f ca="1">IF(ROW()&gt;'Impact Indicator Target Update'!A337,"",INDIRECT("'Impact Indicators - Section B'!A"&amp;'Impact Indicator Target Update'!D337))</f>
        <v/>
      </c>
    </row>
    <row r="3631" spans="10:10" x14ac:dyDescent="0.3">
      <c r="J3631" s="486" t="str">
        <f ca="1">IF(ROW()&gt;'Impact Indicator Target Update'!A338,"",INDIRECT("'Impact Indicators - Section B'!A"&amp;'Impact Indicator Target Update'!D338))</f>
        <v/>
      </c>
    </row>
    <row r="3632" spans="10:10" x14ac:dyDescent="0.3">
      <c r="J3632" s="486" t="str">
        <f ca="1">IF(ROW()&gt;'Impact Indicator Target Update'!A339,"",INDIRECT("'Impact Indicators - Section B'!A"&amp;'Impact Indicator Target Update'!D339))</f>
        <v/>
      </c>
    </row>
    <row r="3633" spans="10:10" x14ac:dyDescent="0.3">
      <c r="J3633" s="486" t="str">
        <f ca="1">IF(ROW()&gt;'Impact Indicator Target Update'!A340,"",INDIRECT("'Impact Indicators - Section B'!A"&amp;'Impact Indicator Target Update'!D340))</f>
        <v/>
      </c>
    </row>
    <row r="3634" spans="10:10" x14ac:dyDescent="0.3">
      <c r="J3634" s="486" t="str">
        <f ca="1">IF(ROW()&gt;'Impact Indicator Target Update'!A341,"",INDIRECT("'Impact Indicators - Section B'!A"&amp;'Impact Indicator Target Update'!D341))</f>
        <v/>
      </c>
    </row>
    <row r="3635" spans="10:10" x14ac:dyDescent="0.3">
      <c r="J3635" s="486" t="str">
        <f ca="1">IF(ROW()&gt;'Impact Indicator Target Update'!A342,"",INDIRECT("'Impact Indicators - Section B'!A"&amp;'Impact Indicator Target Update'!D342))</f>
        <v/>
      </c>
    </row>
    <row r="3636" spans="10:10" x14ac:dyDescent="0.3">
      <c r="J3636" s="486" t="str">
        <f ca="1">IF(ROW()&gt;'Impact Indicator Target Update'!A343,"",INDIRECT("'Impact Indicators - Section B'!A"&amp;'Impact Indicator Target Update'!D343))</f>
        <v/>
      </c>
    </row>
    <row r="3637" spans="10:10" x14ac:dyDescent="0.3">
      <c r="J3637" s="486" t="str">
        <f ca="1">IF(ROW()&gt;'Impact Indicator Target Update'!A344,"",INDIRECT("'Impact Indicators - Section B'!A"&amp;'Impact Indicator Target Update'!D344))</f>
        <v/>
      </c>
    </row>
    <row r="3638" spans="10:10" x14ac:dyDescent="0.3">
      <c r="J3638" s="486" t="str">
        <f ca="1">IF(ROW()&gt;'Impact Indicator Target Update'!A345,"",INDIRECT("'Impact Indicators - Section B'!A"&amp;'Impact Indicator Target Update'!D345))</f>
        <v/>
      </c>
    </row>
    <row r="3639" spans="10:10" x14ac:dyDescent="0.3">
      <c r="J3639" s="486" t="str">
        <f ca="1">IF(ROW()&gt;'Impact Indicator Target Update'!A346,"",INDIRECT("'Impact Indicators - Section B'!A"&amp;'Impact Indicator Target Update'!D346))</f>
        <v/>
      </c>
    </row>
    <row r="3640" spans="10:10" x14ac:dyDescent="0.3">
      <c r="J3640" s="486" t="str">
        <f ca="1">IF(ROW()&gt;'Impact Indicator Target Update'!A347,"",INDIRECT("'Impact Indicators - Section B'!A"&amp;'Impact Indicator Target Update'!D347))</f>
        <v/>
      </c>
    </row>
    <row r="3641" spans="10:10" x14ac:dyDescent="0.3">
      <c r="J3641" s="486" t="str">
        <f ca="1">IF(ROW()&gt;'Impact Indicator Target Update'!A348,"",INDIRECT("'Impact Indicators - Section B'!A"&amp;'Impact Indicator Target Update'!D348))</f>
        <v/>
      </c>
    </row>
    <row r="3642" spans="10:10" x14ac:dyDescent="0.3">
      <c r="J3642" s="486" t="str">
        <f ca="1">IF(ROW()&gt;'Impact Indicator Target Update'!A349,"",INDIRECT("'Impact Indicators - Section B'!A"&amp;'Impact Indicator Target Update'!D349))</f>
        <v/>
      </c>
    </row>
    <row r="3643" spans="10:10" x14ac:dyDescent="0.3">
      <c r="J3643" s="486" t="str">
        <f ca="1">IF(ROW()&gt;'Impact Indicator Target Update'!A350,"",INDIRECT("'Impact Indicators - Section B'!A"&amp;'Impact Indicator Target Update'!D350))</f>
        <v/>
      </c>
    </row>
    <row r="3644" spans="10:10" x14ac:dyDescent="0.3">
      <c r="J3644" s="486" t="str">
        <f ca="1">IF(ROW()&gt;'Impact Indicator Target Update'!A351,"",INDIRECT("'Impact Indicators - Section B'!A"&amp;'Impact Indicator Target Update'!D351))</f>
        <v/>
      </c>
    </row>
    <row r="3645" spans="10:10" x14ac:dyDescent="0.3">
      <c r="J3645" s="486" t="str">
        <f ca="1">IF(ROW()&gt;'Impact Indicator Target Update'!A352,"",INDIRECT("'Impact Indicators - Section B'!A"&amp;'Impact Indicator Target Update'!D352))</f>
        <v/>
      </c>
    </row>
    <row r="3646" spans="10:10" x14ac:dyDescent="0.3">
      <c r="J3646" s="486" t="str">
        <f ca="1">IF(ROW()&gt;'Impact Indicator Target Update'!A353,"",INDIRECT("'Impact Indicators - Section B'!A"&amp;'Impact Indicator Target Update'!D353))</f>
        <v/>
      </c>
    </row>
    <row r="3647" spans="10:10" x14ac:dyDescent="0.3">
      <c r="J3647" s="486" t="str">
        <f ca="1">IF(ROW()&gt;'Impact Indicator Target Update'!A354,"",INDIRECT("'Impact Indicators - Section B'!A"&amp;'Impact Indicator Target Update'!D354))</f>
        <v/>
      </c>
    </row>
    <row r="3648" spans="10:10" x14ac:dyDescent="0.3">
      <c r="J3648" s="486" t="str">
        <f ca="1">IF(ROW()&gt;'Impact Indicator Target Update'!A355,"",INDIRECT("'Impact Indicators - Section B'!A"&amp;'Impact Indicator Target Update'!D355))</f>
        <v/>
      </c>
    </row>
    <row r="3649" spans="10:10" x14ac:dyDescent="0.3">
      <c r="J3649" s="486" t="str">
        <f ca="1">IF(ROW()&gt;'Impact Indicator Target Update'!A356,"",INDIRECT("'Impact Indicators - Section B'!A"&amp;'Impact Indicator Target Update'!D356))</f>
        <v/>
      </c>
    </row>
    <row r="3650" spans="10:10" x14ac:dyDescent="0.3">
      <c r="J3650" s="486" t="str">
        <f ca="1">IF(ROW()&gt;'Impact Indicator Target Update'!A357,"",INDIRECT("'Impact Indicators - Section B'!A"&amp;'Impact Indicator Target Update'!D357))</f>
        <v/>
      </c>
    </row>
    <row r="3651" spans="10:10" x14ac:dyDescent="0.3">
      <c r="J3651" s="486" t="str">
        <f ca="1">IF(ROW()&gt;'Impact Indicator Target Update'!A358,"",INDIRECT("'Impact Indicators - Section B'!A"&amp;'Impact Indicator Target Update'!D358))</f>
        <v/>
      </c>
    </row>
    <row r="3652" spans="10:10" x14ac:dyDescent="0.3">
      <c r="J3652" s="486" t="str">
        <f ca="1">IF(ROW()&gt;'Impact Indicator Target Update'!A359,"",INDIRECT("'Impact Indicators - Section B'!A"&amp;'Impact Indicator Target Update'!D359))</f>
        <v/>
      </c>
    </row>
    <row r="3653" spans="10:10" x14ac:dyDescent="0.3">
      <c r="J3653" s="486" t="str">
        <f ca="1">IF(ROW()&gt;'Impact Indicator Target Update'!A360,"",INDIRECT("'Impact Indicators - Section B'!A"&amp;'Impact Indicator Target Update'!D360))</f>
        <v/>
      </c>
    </row>
    <row r="3654" spans="10:10" x14ac:dyDescent="0.3">
      <c r="J3654" s="486" t="str">
        <f ca="1">IF(ROW()&gt;'Impact Indicator Target Update'!A361,"",INDIRECT("'Impact Indicators - Section B'!A"&amp;'Impact Indicator Target Update'!D361))</f>
        <v/>
      </c>
    </row>
    <row r="3655" spans="10:10" x14ac:dyDescent="0.3">
      <c r="J3655" s="486" t="str">
        <f ca="1">IF(ROW()&gt;'Impact Indicator Target Update'!A362,"",INDIRECT("'Impact Indicators - Section B'!A"&amp;'Impact Indicator Target Update'!D362))</f>
        <v/>
      </c>
    </row>
    <row r="3656" spans="10:10" x14ac:dyDescent="0.3">
      <c r="J3656" s="486" t="str">
        <f ca="1">IF(ROW()&gt;'Impact Indicator Target Update'!A363,"",INDIRECT("'Impact Indicators - Section B'!A"&amp;'Impact Indicator Target Update'!D363))</f>
        <v/>
      </c>
    </row>
    <row r="3657" spans="10:10" x14ac:dyDescent="0.3">
      <c r="J3657" s="486" t="str">
        <f ca="1">IF(ROW()&gt;'Impact Indicator Target Update'!A364,"",INDIRECT("'Impact Indicators - Section B'!A"&amp;'Impact Indicator Target Update'!D364))</f>
        <v/>
      </c>
    </row>
    <row r="3658" spans="10:10" x14ac:dyDescent="0.3">
      <c r="J3658" s="486" t="str">
        <f ca="1">IF(ROW()&gt;'Impact Indicator Target Update'!A365,"",INDIRECT("'Impact Indicators - Section B'!A"&amp;'Impact Indicator Target Update'!D365))</f>
        <v/>
      </c>
    </row>
    <row r="3659" spans="10:10" x14ac:dyDescent="0.3">
      <c r="J3659" s="486" t="str">
        <f ca="1">IF(ROW()&gt;'Impact Indicator Target Update'!A366,"",INDIRECT("'Impact Indicators - Section B'!A"&amp;'Impact Indicator Target Update'!D366))</f>
        <v/>
      </c>
    </row>
    <row r="3660" spans="10:10" x14ac:dyDescent="0.3">
      <c r="J3660" s="486" t="str">
        <f ca="1">IF(ROW()&gt;'Impact Indicator Target Update'!A367,"",INDIRECT("'Impact Indicators - Section B'!A"&amp;'Impact Indicator Target Update'!D367))</f>
        <v/>
      </c>
    </row>
    <row r="3661" spans="10:10" x14ac:dyDescent="0.3">
      <c r="J3661" s="486" t="str">
        <f ca="1">IF(ROW()&gt;'Impact Indicator Target Update'!A368,"",INDIRECT("'Impact Indicators - Section B'!A"&amp;'Impact Indicator Target Update'!D368))</f>
        <v/>
      </c>
    </row>
    <row r="3662" spans="10:10" x14ac:dyDescent="0.3">
      <c r="J3662" s="486" t="str">
        <f ca="1">IF(ROW()&gt;'Impact Indicator Target Update'!A369,"",INDIRECT("'Impact Indicators - Section B'!A"&amp;'Impact Indicator Target Update'!D369))</f>
        <v/>
      </c>
    </row>
    <row r="3663" spans="10:10" x14ac:dyDescent="0.3">
      <c r="J3663" s="486" t="str">
        <f ca="1">IF(ROW()&gt;'Impact Indicator Target Update'!A370,"",INDIRECT("'Impact Indicators - Section B'!A"&amp;'Impact Indicator Target Update'!D370))</f>
        <v/>
      </c>
    </row>
    <row r="3664" spans="10:10" x14ac:dyDescent="0.3">
      <c r="J3664" s="486" t="str">
        <f ca="1">IF(ROW()&gt;'Impact Indicator Target Update'!A371,"",INDIRECT("'Impact Indicators - Section B'!A"&amp;'Impact Indicator Target Update'!D371))</f>
        <v/>
      </c>
    </row>
    <row r="3665" spans="10:10" x14ac:dyDescent="0.3">
      <c r="J3665" s="486" t="str">
        <f ca="1">IF(ROW()&gt;'Impact Indicator Target Update'!A372,"",INDIRECT("'Impact Indicators - Section B'!A"&amp;'Impact Indicator Target Update'!D372))</f>
        <v/>
      </c>
    </row>
    <row r="3666" spans="10:10" x14ac:dyDescent="0.3">
      <c r="J3666" s="486" t="str">
        <f ca="1">IF(ROW()&gt;'Impact Indicator Target Update'!A373,"",INDIRECT("'Impact Indicators - Section B'!A"&amp;'Impact Indicator Target Update'!D373))</f>
        <v/>
      </c>
    </row>
    <row r="3667" spans="10:10" x14ac:dyDescent="0.3">
      <c r="J3667" s="486" t="str">
        <f ca="1">IF(ROW()&gt;'Impact Indicator Target Update'!A374,"",INDIRECT("'Impact Indicators - Section B'!A"&amp;'Impact Indicator Target Update'!D374))</f>
        <v/>
      </c>
    </row>
    <row r="3668" spans="10:10" x14ac:dyDescent="0.3">
      <c r="J3668" s="486" t="str">
        <f ca="1">IF(ROW()&gt;'Impact Indicator Target Update'!A375,"",INDIRECT("'Impact Indicators - Section B'!A"&amp;'Impact Indicator Target Update'!D375))</f>
        <v/>
      </c>
    </row>
    <row r="3669" spans="10:10" x14ac:dyDescent="0.3">
      <c r="J3669" s="486" t="str">
        <f ca="1">IF(ROW()&gt;'Impact Indicator Target Update'!A376,"",INDIRECT("'Impact Indicators - Section B'!A"&amp;'Impact Indicator Target Update'!D376))</f>
        <v/>
      </c>
    </row>
    <row r="3670" spans="10:10" x14ac:dyDescent="0.3">
      <c r="J3670" s="486" t="str">
        <f ca="1">IF(ROW()&gt;'Impact Indicator Target Update'!A377,"",INDIRECT("'Impact Indicators - Section B'!A"&amp;'Impact Indicator Target Update'!D377))</f>
        <v/>
      </c>
    </row>
    <row r="3671" spans="10:10" x14ac:dyDescent="0.3">
      <c r="J3671" s="486" t="str">
        <f ca="1">IF(ROW()&gt;'Impact Indicator Target Update'!A378,"",INDIRECT("'Impact Indicators - Section B'!A"&amp;'Impact Indicator Target Update'!D378))</f>
        <v/>
      </c>
    </row>
    <row r="3672" spans="10:10" x14ac:dyDescent="0.3">
      <c r="J3672" s="486" t="str">
        <f ca="1">IF(ROW()&gt;'Impact Indicator Target Update'!A379,"",INDIRECT("'Impact Indicators - Section B'!A"&amp;'Impact Indicator Target Update'!D379))</f>
        <v/>
      </c>
    </row>
    <row r="3673" spans="10:10" x14ac:dyDescent="0.3">
      <c r="J3673" s="486" t="str">
        <f ca="1">IF(ROW()&gt;'Impact Indicator Target Update'!A380,"",INDIRECT("'Impact Indicators - Section B'!A"&amp;'Impact Indicator Target Update'!D380))</f>
        <v/>
      </c>
    </row>
    <row r="3674" spans="10:10" x14ac:dyDescent="0.3">
      <c r="J3674" s="486" t="str">
        <f ca="1">IF(ROW()&gt;'Impact Indicator Target Update'!A381,"",INDIRECT("'Impact Indicators - Section B'!A"&amp;'Impact Indicator Target Update'!D381))</f>
        <v/>
      </c>
    </row>
    <row r="3675" spans="10:10" x14ac:dyDescent="0.3">
      <c r="J3675" s="486" t="str">
        <f ca="1">IF(ROW()&gt;'Impact Indicator Target Update'!A382,"",INDIRECT("'Impact Indicators - Section B'!A"&amp;'Impact Indicator Target Update'!D382))</f>
        <v/>
      </c>
    </row>
    <row r="3676" spans="10:10" x14ac:dyDescent="0.3">
      <c r="J3676" s="486" t="str">
        <f ca="1">IF(ROW()&gt;'Impact Indicator Target Update'!A383,"",INDIRECT("'Impact Indicators - Section B'!A"&amp;'Impact Indicator Target Update'!D383))</f>
        <v/>
      </c>
    </row>
    <row r="3677" spans="10:10" x14ac:dyDescent="0.3">
      <c r="J3677" s="486" t="str">
        <f ca="1">IF(ROW()&gt;'Impact Indicator Target Update'!A384,"",INDIRECT("'Impact Indicators - Section B'!A"&amp;'Impact Indicator Target Update'!D384))</f>
        <v/>
      </c>
    </row>
    <row r="3678" spans="10:10" x14ac:dyDescent="0.3">
      <c r="J3678" s="486" t="str">
        <f ca="1">IF(ROW()&gt;'Impact Indicator Target Update'!A385,"",INDIRECT("'Impact Indicators - Section B'!A"&amp;'Impact Indicator Target Update'!D385))</f>
        <v/>
      </c>
    </row>
    <row r="3679" spans="10:10" x14ac:dyDescent="0.3">
      <c r="J3679" s="486" t="str">
        <f ca="1">IF(ROW()&gt;'Impact Indicator Target Update'!A386,"",INDIRECT("'Impact Indicators - Section B'!A"&amp;'Impact Indicator Target Update'!D386))</f>
        <v/>
      </c>
    </row>
    <row r="3680" spans="10:10" x14ac:dyDescent="0.3">
      <c r="J3680" s="486" t="str">
        <f ca="1">IF(ROW()&gt;'Impact Indicator Target Update'!A387,"",INDIRECT("'Impact Indicators - Section B'!A"&amp;'Impact Indicator Target Update'!D387))</f>
        <v/>
      </c>
    </row>
    <row r="3681" spans="10:10" x14ac:dyDescent="0.3">
      <c r="J3681" s="486" t="str">
        <f ca="1">IF(ROW()&gt;'Impact Indicator Target Update'!A388,"",INDIRECT("'Impact Indicators - Section B'!A"&amp;'Impact Indicator Target Update'!D388))</f>
        <v/>
      </c>
    </row>
    <row r="3682" spans="10:10" x14ac:dyDescent="0.3">
      <c r="J3682" s="486" t="str">
        <f ca="1">IF(ROW()&gt;'Impact Indicator Target Update'!A389,"",INDIRECT("'Impact Indicators - Section B'!A"&amp;'Impact Indicator Target Update'!D389))</f>
        <v/>
      </c>
    </row>
    <row r="3683" spans="10:10" x14ac:dyDescent="0.3">
      <c r="J3683" s="486" t="str">
        <f ca="1">IF(ROW()&gt;'Impact Indicator Target Update'!A390,"",INDIRECT("'Impact Indicators - Section B'!A"&amp;'Impact Indicator Target Update'!D390))</f>
        <v/>
      </c>
    </row>
    <row r="3684" spans="10:10" x14ac:dyDescent="0.3">
      <c r="J3684" s="486" t="str">
        <f ca="1">IF(ROW()&gt;'Impact Indicator Target Update'!A391,"",INDIRECT("'Impact Indicators - Section B'!A"&amp;'Impact Indicator Target Update'!D391))</f>
        <v/>
      </c>
    </row>
    <row r="3685" spans="10:10" x14ac:dyDescent="0.3">
      <c r="J3685" s="486" t="str">
        <f ca="1">IF(ROW()&gt;'Impact Indicator Target Update'!A392,"",INDIRECT("'Impact Indicators - Section B'!A"&amp;'Impact Indicator Target Update'!D392))</f>
        <v/>
      </c>
    </row>
    <row r="3686" spans="10:10" x14ac:dyDescent="0.3">
      <c r="J3686" s="486" t="str">
        <f ca="1">IF(ROW()&gt;'Impact Indicator Target Update'!A393,"",INDIRECT("'Impact Indicators - Section B'!A"&amp;'Impact Indicator Target Update'!D393))</f>
        <v/>
      </c>
    </row>
    <row r="3687" spans="10:10" x14ac:dyDescent="0.3">
      <c r="J3687" s="486" t="str">
        <f ca="1">IF(ROW()&gt;'Impact Indicator Target Update'!A394,"",INDIRECT("'Impact Indicators - Section B'!A"&amp;'Impact Indicator Target Update'!D394))</f>
        <v/>
      </c>
    </row>
    <row r="3688" spans="10:10" x14ac:dyDescent="0.3">
      <c r="J3688" s="486" t="str">
        <f ca="1">IF(ROW()&gt;'Impact Indicator Target Update'!A395,"",INDIRECT("'Impact Indicators - Section B'!A"&amp;'Impact Indicator Target Update'!D395))</f>
        <v/>
      </c>
    </row>
    <row r="3689" spans="10:10" x14ac:dyDescent="0.3">
      <c r="J3689" s="486" t="str">
        <f ca="1">IF(ROW()&gt;'Impact Indicator Target Update'!A396,"",INDIRECT("'Impact Indicators - Section B'!A"&amp;'Impact Indicator Target Update'!D396))</f>
        <v/>
      </c>
    </row>
    <row r="3690" spans="10:10" x14ac:dyDescent="0.3">
      <c r="J3690" s="486" t="str">
        <f ca="1">IF(ROW()&gt;'Impact Indicator Target Update'!A397,"",INDIRECT("'Impact Indicators - Section B'!A"&amp;'Impact Indicator Target Update'!D397))</f>
        <v/>
      </c>
    </row>
    <row r="3691" spans="10:10" x14ac:dyDescent="0.3">
      <c r="J3691" s="486" t="str">
        <f ca="1">IF(ROW()&gt;'Impact Indicator Target Update'!A398,"",INDIRECT("'Impact Indicators - Section B'!A"&amp;'Impact Indicator Target Update'!D398))</f>
        <v/>
      </c>
    </row>
    <row r="3692" spans="10:10" x14ac:dyDescent="0.3">
      <c r="J3692" s="486" t="str">
        <f ca="1">IF(ROW()&gt;'Impact Indicator Target Update'!A399,"",INDIRECT("'Impact Indicators - Section B'!A"&amp;'Impact Indicator Target Update'!D399))</f>
        <v/>
      </c>
    </row>
    <row r="3693" spans="10:10" x14ac:dyDescent="0.3">
      <c r="J3693" s="486" t="str">
        <f ca="1">IF(ROW()&gt;'Impact Indicator Target Update'!A400,"",INDIRECT("'Impact Indicators - Section B'!A"&amp;'Impact Indicator Target Update'!D400))</f>
        <v/>
      </c>
    </row>
    <row r="3694" spans="10:10" x14ac:dyDescent="0.3">
      <c r="J3694" s="486" t="str">
        <f ca="1">IF(ROW()&gt;'Impact Indicator Target Update'!A401,"",INDIRECT("'Impact Indicators - Section B'!A"&amp;'Impact Indicator Target Update'!D401))</f>
        <v/>
      </c>
    </row>
    <row r="3695" spans="10:10" x14ac:dyDescent="0.3">
      <c r="J3695" s="486" t="str">
        <f ca="1">IF(ROW()&gt;'Impact Indicator Target Update'!A402,"",INDIRECT("'Impact Indicators - Section B'!A"&amp;'Impact Indicator Target Update'!D402))</f>
        <v/>
      </c>
    </row>
    <row r="3696" spans="10:10" x14ac:dyDescent="0.3">
      <c r="J3696" s="486" t="str">
        <f ca="1">IF(ROW()&gt;'Impact Indicator Target Update'!A403,"",INDIRECT("'Impact Indicators - Section B'!A"&amp;'Impact Indicator Target Update'!D403))</f>
        <v/>
      </c>
    </row>
    <row r="3697" spans="10:10" x14ac:dyDescent="0.3">
      <c r="J3697" s="486" t="str">
        <f ca="1">IF(ROW()&gt;'Impact Indicator Target Update'!A404,"",INDIRECT("'Impact Indicators - Section B'!A"&amp;'Impact Indicator Target Update'!D404))</f>
        <v/>
      </c>
    </row>
    <row r="3698" spans="10:10" x14ac:dyDescent="0.3">
      <c r="J3698" s="486" t="str">
        <f ca="1">IF(ROW()&gt;'Impact Indicator Target Update'!A405,"",INDIRECT("'Impact Indicators - Section B'!A"&amp;'Impact Indicator Target Update'!D405))</f>
        <v/>
      </c>
    </row>
    <row r="3699" spans="10:10" x14ac:dyDescent="0.3">
      <c r="J3699" s="486" t="str">
        <f ca="1">IF(ROW()&gt;'Impact Indicator Target Update'!A406,"",INDIRECT("'Impact Indicators - Section B'!A"&amp;'Impact Indicator Target Update'!D406))</f>
        <v/>
      </c>
    </row>
    <row r="3700" spans="10:10" x14ac:dyDescent="0.3">
      <c r="J3700" s="486" t="str">
        <f ca="1">IF(ROW()&gt;'Impact Indicator Target Update'!A407,"",INDIRECT("'Impact Indicators - Section B'!A"&amp;'Impact Indicator Target Update'!D407))</f>
        <v/>
      </c>
    </row>
    <row r="3701" spans="10:10" x14ac:dyDescent="0.3">
      <c r="J3701" s="486" t="str">
        <f ca="1">IF(ROW()&gt;'Impact Indicator Target Update'!A408,"",INDIRECT("'Impact Indicators - Section B'!A"&amp;'Impact Indicator Target Update'!D408))</f>
        <v/>
      </c>
    </row>
    <row r="3702" spans="10:10" x14ac:dyDescent="0.3">
      <c r="J3702" s="486" t="str">
        <f ca="1">IF(ROW()&gt;'Impact Indicator Target Update'!A409,"",INDIRECT("'Impact Indicators - Section B'!A"&amp;'Impact Indicator Target Update'!D409))</f>
        <v/>
      </c>
    </row>
    <row r="3703" spans="10:10" x14ac:dyDescent="0.3">
      <c r="J3703" s="486" t="str">
        <f ca="1">IF(ROW()&gt;'Impact Indicator Target Update'!A410,"",INDIRECT("'Impact Indicators - Section B'!A"&amp;'Impact Indicator Target Update'!D410))</f>
        <v/>
      </c>
    </row>
    <row r="3704" spans="10:10" x14ac:dyDescent="0.3">
      <c r="J3704" s="486" t="str">
        <f ca="1">IF(ROW()&gt;'Impact Indicator Target Update'!A411,"",INDIRECT("'Impact Indicators - Section B'!A"&amp;'Impact Indicator Target Update'!D411))</f>
        <v/>
      </c>
    </row>
    <row r="3705" spans="10:10" x14ac:dyDescent="0.3">
      <c r="J3705" s="486" t="str">
        <f ca="1">IF(ROW()&gt;'Impact Indicator Target Update'!A412,"",INDIRECT("'Impact Indicators - Section B'!A"&amp;'Impact Indicator Target Update'!D412))</f>
        <v/>
      </c>
    </row>
    <row r="3706" spans="10:10" x14ac:dyDescent="0.3">
      <c r="J3706" s="486" t="str">
        <f ca="1">IF(ROW()&gt;'Impact Indicator Target Update'!A413,"",INDIRECT("'Impact Indicators - Section B'!A"&amp;'Impact Indicator Target Update'!D413))</f>
        <v/>
      </c>
    </row>
    <row r="3707" spans="10:10" x14ac:dyDescent="0.3">
      <c r="J3707" s="486" t="str">
        <f ca="1">IF(ROW()&gt;'Impact Indicator Target Update'!A414,"",INDIRECT("'Impact Indicators - Section B'!A"&amp;'Impact Indicator Target Update'!D414))</f>
        <v/>
      </c>
    </row>
    <row r="3708" spans="10:10" x14ac:dyDescent="0.3">
      <c r="J3708" s="486" t="str">
        <f ca="1">IF(ROW()&gt;'Impact Indicator Target Update'!A415,"",INDIRECT("'Impact Indicators - Section B'!A"&amp;'Impact Indicator Target Update'!D415))</f>
        <v/>
      </c>
    </row>
    <row r="3709" spans="10:10" x14ac:dyDescent="0.3">
      <c r="J3709" s="486" t="str">
        <f ca="1">IF(ROW()&gt;'Impact Indicator Target Update'!A416,"",INDIRECT("'Impact Indicators - Section B'!A"&amp;'Impact Indicator Target Update'!D416))</f>
        <v/>
      </c>
    </row>
    <row r="3710" spans="10:10" x14ac:dyDescent="0.3">
      <c r="J3710" s="486" t="str">
        <f ca="1">IF(ROW()&gt;'Impact Indicator Target Update'!A417,"",INDIRECT("'Impact Indicators - Section B'!A"&amp;'Impact Indicator Target Update'!D417))</f>
        <v/>
      </c>
    </row>
    <row r="3711" spans="10:10" x14ac:dyDescent="0.3">
      <c r="J3711" s="486" t="str">
        <f ca="1">IF(ROW()&gt;'Impact Indicator Target Update'!A418,"",INDIRECT("'Impact Indicators - Section B'!A"&amp;'Impact Indicator Target Update'!D418))</f>
        <v/>
      </c>
    </row>
    <row r="3712" spans="10:10" x14ac:dyDescent="0.3">
      <c r="J3712" s="486" t="str">
        <f ca="1">IF(ROW()&gt;'Impact Indicator Target Update'!A419,"",INDIRECT("'Impact Indicators - Section B'!A"&amp;'Impact Indicator Target Update'!D419))</f>
        <v/>
      </c>
    </row>
    <row r="3713" spans="10:10" x14ac:dyDescent="0.3">
      <c r="J3713" s="486" t="str">
        <f ca="1">IF(ROW()&gt;'Impact Indicator Target Update'!A420,"",INDIRECT("'Impact Indicators - Section B'!A"&amp;'Impact Indicator Target Update'!D420))</f>
        <v/>
      </c>
    </row>
    <row r="3714" spans="10:10" x14ac:dyDescent="0.3">
      <c r="J3714" s="486" t="str">
        <f ca="1">IF(ROW()&gt;'Impact Indicator Target Update'!A421,"",INDIRECT("'Impact Indicators - Section B'!A"&amp;'Impact Indicator Target Update'!D421))</f>
        <v/>
      </c>
    </row>
    <row r="3715" spans="10:10" x14ac:dyDescent="0.3">
      <c r="J3715" s="486" t="str">
        <f ca="1">IF(ROW()&gt;'Impact Indicator Target Update'!A422,"",INDIRECT("'Impact Indicators - Section B'!A"&amp;'Impact Indicator Target Update'!D422))</f>
        <v/>
      </c>
    </row>
    <row r="3716" spans="10:10" x14ac:dyDescent="0.3">
      <c r="J3716" s="486" t="str">
        <f ca="1">IF(ROW()&gt;'Impact Indicator Target Update'!A423,"",INDIRECT("'Impact Indicators - Section B'!A"&amp;'Impact Indicator Target Update'!D423))</f>
        <v/>
      </c>
    </row>
    <row r="3717" spans="10:10" x14ac:dyDescent="0.3">
      <c r="J3717" s="486" t="str">
        <f ca="1">IF(ROW()&gt;'Impact Indicator Target Update'!A424,"",INDIRECT("'Impact Indicators - Section B'!A"&amp;'Impact Indicator Target Update'!D424))</f>
        <v/>
      </c>
    </row>
    <row r="3718" spans="10:10" x14ac:dyDescent="0.3">
      <c r="J3718" s="486" t="str">
        <f ca="1">IF(ROW()&gt;'Impact Indicator Target Update'!A425,"",INDIRECT("'Impact Indicators - Section B'!A"&amp;'Impact Indicator Target Update'!D425))</f>
        <v/>
      </c>
    </row>
    <row r="3719" spans="10:10" x14ac:dyDescent="0.3">
      <c r="J3719" s="486" t="str">
        <f ca="1">IF(ROW()&gt;'Impact Indicator Target Update'!A426,"",INDIRECT("'Impact Indicators - Section B'!A"&amp;'Impact Indicator Target Update'!D426))</f>
        <v/>
      </c>
    </row>
    <row r="3720" spans="10:10" x14ac:dyDescent="0.3">
      <c r="J3720" s="486" t="str">
        <f ca="1">IF(ROW()&gt;'Impact Indicator Target Update'!A427,"",INDIRECT("'Impact Indicators - Section B'!A"&amp;'Impact Indicator Target Update'!D427))</f>
        <v/>
      </c>
    </row>
    <row r="3721" spans="10:10" x14ac:dyDescent="0.3">
      <c r="J3721" s="486" t="str">
        <f ca="1">IF(ROW()&gt;'Impact Indicator Target Update'!A428,"",INDIRECT("'Impact Indicators - Section B'!A"&amp;'Impact Indicator Target Update'!D428))</f>
        <v/>
      </c>
    </row>
    <row r="3722" spans="10:10" x14ac:dyDescent="0.3">
      <c r="J3722" s="486" t="str">
        <f ca="1">IF(ROW()&gt;'Impact Indicator Target Update'!A429,"",INDIRECT("'Impact Indicators - Section B'!A"&amp;'Impact Indicator Target Update'!D429))</f>
        <v/>
      </c>
    </row>
    <row r="3723" spans="10:10" x14ac:dyDescent="0.3">
      <c r="J3723" s="486" t="str">
        <f ca="1">IF(ROW()&gt;'Impact Indicator Target Update'!A430,"",INDIRECT("'Impact Indicators - Section B'!A"&amp;'Impact Indicator Target Update'!D430))</f>
        <v/>
      </c>
    </row>
    <row r="3724" spans="10:10" x14ac:dyDescent="0.3">
      <c r="J3724" s="486" t="str">
        <f ca="1">IF(ROW()&gt;'Impact Indicator Target Update'!A431,"",INDIRECT("'Impact Indicators - Section B'!A"&amp;'Impact Indicator Target Update'!D431))</f>
        <v/>
      </c>
    </row>
    <row r="3725" spans="10:10" x14ac:dyDescent="0.3">
      <c r="J3725" s="486" t="str">
        <f ca="1">IF(ROW()&gt;'Impact Indicator Target Update'!A432,"",INDIRECT("'Impact Indicators - Section B'!A"&amp;'Impact Indicator Target Update'!D432))</f>
        <v/>
      </c>
    </row>
    <row r="3726" spans="10:10" x14ac:dyDescent="0.3">
      <c r="J3726" s="486" t="str">
        <f ca="1">IF(ROW()&gt;'Impact Indicator Target Update'!A433,"",INDIRECT("'Impact Indicators - Section B'!A"&amp;'Impact Indicator Target Update'!D433))</f>
        <v/>
      </c>
    </row>
    <row r="3727" spans="10:10" x14ac:dyDescent="0.3">
      <c r="J3727" s="486" t="str">
        <f ca="1">IF(ROW()&gt;'Impact Indicator Target Update'!A434,"",INDIRECT("'Impact Indicators - Section B'!A"&amp;'Impact Indicator Target Update'!D434))</f>
        <v/>
      </c>
    </row>
    <row r="3728" spans="10:10" x14ac:dyDescent="0.3">
      <c r="J3728" s="486" t="str">
        <f ca="1">IF(ROW()&gt;'Impact Indicator Target Update'!A435,"",INDIRECT("'Impact Indicators - Section B'!A"&amp;'Impact Indicator Target Update'!D435))</f>
        <v/>
      </c>
    </row>
    <row r="3729" spans="10:10" x14ac:dyDescent="0.3">
      <c r="J3729" s="486" t="str">
        <f ca="1">IF(ROW()&gt;'Impact Indicator Target Update'!A436,"",INDIRECT("'Impact Indicators - Section B'!A"&amp;'Impact Indicator Target Update'!D436))</f>
        <v/>
      </c>
    </row>
    <row r="3730" spans="10:10" x14ac:dyDescent="0.3">
      <c r="J3730" s="486" t="str">
        <f ca="1">IF(ROW()&gt;'Impact Indicator Target Update'!A437,"",INDIRECT("'Impact Indicators - Section B'!A"&amp;'Impact Indicator Target Update'!D437))</f>
        <v/>
      </c>
    </row>
    <row r="3731" spans="10:10" x14ac:dyDescent="0.3">
      <c r="J3731" s="486" t="str">
        <f ca="1">IF(ROW()&gt;'Impact Indicator Target Update'!A438,"",INDIRECT("'Impact Indicators - Section B'!A"&amp;'Impact Indicator Target Update'!D438))</f>
        <v/>
      </c>
    </row>
    <row r="3732" spans="10:10" x14ac:dyDescent="0.3">
      <c r="J3732" s="486" t="str">
        <f ca="1">IF(ROW()&gt;'Impact Indicator Target Update'!A439,"",INDIRECT("'Impact Indicators - Section B'!A"&amp;'Impact Indicator Target Update'!D439))</f>
        <v/>
      </c>
    </row>
    <row r="3733" spans="10:10" x14ac:dyDescent="0.3">
      <c r="J3733" s="486" t="str">
        <f ca="1">IF(ROW()&gt;'Impact Indicator Target Update'!A440,"",INDIRECT("'Impact Indicators - Section B'!A"&amp;'Impact Indicator Target Update'!D440))</f>
        <v/>
      </c>
    </row>
    <row r="3734" spans="10:10" x14ac:dyDescent="0.3">
      <c r="J3734" s="486" t="str">
        <f ca="1">IF(ROW()&gt;'Impact Indicator Target Update'!A441,"",INDIRECT("'Impact Indicators - Section B'!A"&amp;'Impact Indicator Target Update'!D441))</f>
        <v/>
      </c>
    </row>
    <row r="3735" spans="10:10" x14ac:dyDescent="0.3">
      <c r="J3735" s="486" t="str">
        <f ca="1">IF(ROW()&gt;'Impact Indicator Target Update'!A442,"",INDIRECT("'Impact Indicators - Section B'!A"&amp;'Impact Indicator Target Update'!D442))</f>
        <v/>
      </c>
    </row>
    <row r="3736" spans="10:10" x14ac:dyDescent="0.3">
      <c r="J3736" s="486" t="str">
        <f ca="1">IF(ROW()&gt;'Impact Indicator Target Update'!A443,"",INDIRECT("'Impact Indicators - Section B'!A"&amp;'Impact Indicator Target Update'!D443))</f>
        <v/>
      </c>
    </row>
    <row r="3737" spans="10:10" x14ac:dyDescent="0.3">
      <c r="J3737" s="486" t="str">
        <f ca="1">IF(ROW()&gt;'Impact Indicator Target Update'!A444,"",INDIRECT("'Impact Indicators - Section B'!A"&amp;'Impact Indicator Target Update'!D444))</f>
        <v/>
      </c>
    </row>
    <row r="3738" spans="10:10" x14ac:dyDescent="0.3">
      <c r="J3738" s="486" t="str">
        <f ca="1">IF(ROW()&gt;'Impact Indicator Target Update'!A445,"",INDIRECT("'Impact Indicators - Section B'!A"&amp;'Impact Indicator Target Update'!D445))</f>
        <v/>
      </c>
    </row>
    <row r="3739" spans="10:10" x14ac:dyDescent="0.3">
      <c r="J3739" s="486" t="str">
        <f ca="1">IF(ROW()&gt;'Impact Indicator Target Update'!A446,"",INDIRECT("'Impact Indicators - Section B'!A"&amp;'Impact Indicator Target Update'!D446))</f>
        <v/>
      </c>
    </row>
    <row r="3740" spans="10:10" x14ac:dyDescent="0.3">
      <c r="J3740" s="486" t="str">
        <f ca="1">IF(ROW()&gt;'Impact Indicator Target Update'!A447,"",INDIRECT("'Impact Indicators - Section B'!A"&amp;'Impact Indicator Target Update'!D447))</f>
        <v/>
      </c>
    </row>
    <row r="3741" spans="10:10" x14ac:dyDescent="0.3">
      <c r="J3741" s="486" t="str">
        <f ca="1">IF(ROW()&gt;'Impact Indicator Target Update'!A448,"",INDIRECT("'Impact Indicators - Section B'!A"&amp;'Impact Indicator Target Update'!D448))</f>
        <v/>
      </c>
    </row>
    <row r="3742" spans="10:10" x14ac:dyDescent="0.3">
      <c r="J3742" s="486" t="str">
        <f ca="1">IF(ROW()&gt;'Impact Indicator Target Update'!A449,"",INDIRECT("'Impact Indicators - Section B'!A"&amp;'Impact Indicator Target Update'!D449))</f>
        <v/>
      </c>
    </row>
    <row r="3743" spans="10:10" x14ac:dyDescent="0.3">
      <c r="J3743" s="486" t="str">
        <f ca="1">IF(ROW()&gt;'Impact Indicator Target Update'!A450,"",INDIRECT("'Impact Indicators - Section B'!A"&amp;'Impact Indicator Target Update'!D450))</f>
        <v/>
      </c>
    </row>
    <row r="3744" spans="10:10" x14ac:dyDescent="0.3">
      <c r="J3744" s="486" t="str">
        <f ca="1">IF(ROW()&gt;'Impact Indicator Target Update'!A451,"",INDIRECT("'Impact Indicators - Section B'!A"&amp;'Impact Indicator Target Update'!D451))</f>
        <v/>
      </c>
    </row>
    <row r="3745" spans="10:10" x14ac:dyDescent="0.3">
      <c r="J3745" s="486" t="str">
        <f ca="1">IF(ROW()&gt;'Impact Indicator Target Update'!A452,"",INDIRECT("'Impact Indicators - Section B'!A"&amp;'Impact Indicator Target Update'!D452))</f>
        <v/>
      </c>
    </row>
    <row r="3746" spans="10:10" x14ac:dyDescent="0.3">
      <c r="J3746" s="486" t="str">
        <f ca="1">IF(ROW()&gt;'Impact Indicator Target Update'!A453,"",INDIRECT("'Impact Indicators - Section B'!A"&amp;'Impact Indicator Target Update'!D453))</f>
        <v/>
      </c>
    </row>
    <row r="3747" spans="10:10" x14ac:dyDescent="0.3">
      <c r="J3747" s="486" t="str">
        <f ca="1">IF(ROW()&gt;'Impact Indicator Target Update'!A454,"",INDIRECT("'Impact Indicators - Section B'!A"&amp;'Impact Indicator Target Update'!D454))</f>
        <v/>
      </c>
    </row>
    <row r="3748" spans="10:10" x14ac:dyDescent="0.3">
      <c r="J3748" s="486" t="str">
        <f ca="1">IF(ROW()&gt;'Impact Indicator Target Update'!A455,"",INDIRECT("'Impact Indicators - Section B'!A"&amp;'Impact Indicator Target Update'!D455))</f>
        <v/>
      </c>
    </row>
    <row r="3749" spans="10:10" x14ac:dyDescent="0.3">
      <c r="J3749" s="486" t="str">
        <f ca="1">IF(ROW()&gt;'Impact Indicator Target Update'!A456,"",INDIRECT("'Impact Indicators - Section B'!A"&amp;'Impact Indicator Target Update'!D456))</f>
        <v/>
      </c>
    </row>
    <row r="3750" spans="10:10" x14ac:dyDescent="0.3">
      <c r="J3750" s="486" t="str">
        <f ca="1">IF(ROW()&gt;'Impact Indicator Target Update'!A457,"",INDIRECT("'Impact Indicators - Section B'!A"&amp;'Impact Indicator Target Update'!D457))</f>
        <v/>
      </c>
    </row>
    <row r="3751" spans="10:10" x14ac:dyDescent="0.3">
      <c r="J3751" s="486" t="str">
        <f ca="1">IF(ROW()&gt;'Impact Indicator Target Update'!A458,"",INDIRECT("'Impact Indicators - Section B'!A"&amp;'Impact Indicator Target Update'!D458))</f>
        <v/>
      </c>
    </row>
    <row r="3752" spans="10:10" x14ac:dyDescent="0.3">
      <c r="J3752" s="486" t="str">
        <f ca="1">IF(ROW()&gt;'Impact Indicator Target Update'!A459,"",INDIRECT("'Impact Indicators - Section B'!A"&amp;'Impact Indicator Target Update'!D459))</f>
        <v/>
      </c>
    </row>
    <row r="3753" spans="10:10" x14ac:dyDescent="0.3">
      <c r="J3753" s="486" t="str">
        <f ca="1">IF(ROW()&gt;'Impact Indicator Target Update'!A460,"",INDIRECT("'Impact Indicators - Section B'!A"&amp;'Impact Indicator Target Update'!D460))</f>
        <v/>
      </c>
    </row>
    <row r="3754" spans="10:10" x14ac:dyDescent="0.3">
      <c r="J3754" s="486" t="str">
        <f ca="1">IF(ROW()&gt;'Impact Indicator Target Update'!A461,"",INDIRECT("'Impact Indicators - Section B'!A"&amp;'Impact Indicator Target Update'!D461))</f>
        <v/>
      </c>
    </row>
    <row r="3755" spans="10:10" x14ac:dyDescent="0.3">
      <c r="J3755" s="486" t="str">
        <f ca="1">IF(ROW()&gt;'Impact Indicator Target Update'!A462,"",INDIRECT("'Impact Indicators - Section B'!A"&amp;'Impact Indicator Target Update'!D462))</f>
        <v/>
      </c>
    </row>
    <row r="3756" spans="10:10" x14ac:dyDescent="0.3">
      <c r="J3756" s="486" t="str">
        <f ca="1">IF(ROW()&gt;'Impact Indicator Target Update'!A463,"",INDIRECT("'Impact Indicators - Section B'!A"&amp;'Impact Indicator Target Update'!D463))</f>
        <v/>
      </c>
    </row>
    <row r="3757" spans="10:10" x14ac:dyDescent="0.3">
      <c r="J3757" s="486" t="str">
        <f ca="1">IF(ROW()&gt;'Impact Indicator Target Update'!A464,"",INDIRECT("'Impact Indicators - Section B'!A"&amp;'Impact Indicator Target Update'!D464))</f>
        <v/>
      </c>
    </row>
    <row r="3758" spans="10:10" x14ac:dyDescent="0.3">
      <c r="J3758" s="486" t="str">
        <f ca="1">IF(ROW()&gt;'Impact Indicator Target Update'!A465,"",INDIRECT("'Impact Indicators - Section B'!A"&amp;'Impact Indicator Target Update'!D465))</f>
        <v/>
      </c>
    </row>
    <row r="3759" spans="10:10" x14ac:dyDescent="0.3">
      <c r="J3759" s="486" t="str">
        <f ca="1">IF(ROW()&gt;'Impact Indicator Target Update'!A466,"",INDIRECT("'Impact Indicators - Section B'!A"&amp;'Impact Indicator Target Update'!D466))</f>
        <v/>
      </c>
    </row>
    <row r="3760" spans="10:10" x14ac:dyDescent="0.3">
      <c r="J3760" s="486" t="str">
        <f ca="1">IF(ROW()&gt;'Impact Indicator Target Update'!A467,"",INDIRECT("'Impact Indicators - Section B'!A"&amp;'Impact Indicator Target Update'!D467))</f>
        <v/>
      </c>
    </row>
    <row r="3761" spans="10:10" x14ac:dyDescent="0.3">
      <c r="J3761" s="486" t="str">
        <f ca="1">IF(ROW()&gt;'Impact Indicator Target Update'!A468,"",INDIRECT("'Impact Indicators - Section B'!A"&amp;'Impact Indicator Target Update'!D468))</f>
        <v/>
      </c>
    </row>
    <row r="3762" spans="10:10" x14ac:dyDescent="0.3">
      <c r="J3762" s="486" t="str">
        <f ca="1">IF(ROW()&gt;'Impact Indicator Target Update'!A469,"",INDIRECT("'Impact Indicators - Section B'!A"&amp;'Impact Indicator Target Update'!D469))</f>
        <v/>
      </c>
    </row>
    <row r="3763" spans="10:10" x14ac:dyDescent="0.3">
      <c r="J3763" s="486" t="str">
        <f ca="1">IF(ROW()&gt;'Impact Indicator Target Update'!A470,"",INDIRECT("'Impact Indicators - Section B'!A"&amp;'Impact Indicator Target Update'!D470))</f>
        <v/>
      </c>
    </row>
    <row r="3764" spans="10:10" x14ac:dyDescent="0.3">
      <c r="J3764" s="486" t="str">
        <f ca="1">IF(ROW()&gt;'Impact Indicator Target Update'!A471,"",INDIRECT("'Impact Indicators - Section B'!A"&amp;'Impact Indicator Target Update'!D471))</f>
        <v/>
      </c>
    </row>
    <row r="3765" spans="10:10" x14ac:dyDescent="0.3">
      <c r="J3765" s="486" t="str">
        <f ca="1">IF(ROW()&gt;'Impact Indicator Target Update'!A472,"",INDIRECT("'Impact Indicators - Section B'!A"&amp;'Impact Indicator Target Update'!D472))</f>
        <v/>
      </c>
    </row>
    <row r="3766" spans="10:10" x14ac:dyDescent="0.3">
      <c r="J3766" s="486" t="str">
        <f ca="1">IF(ROW()&gt;'Impact Indicator Target Update'!A473,"",INDIRECT("'Impact Indicators - Section B'!A"&amp;'Impact Indicator Target Update'!D473))</f>
        <v/>
      </c>
    </row>
    <row r="3767" spans="10:10" x14ac:dyDescent="0.3">
      <c r="J3767" s="486" t="str">
        <f ca="1">IF(ROW()&gt;'Impact Indicator Target Update'!A474,"",INDIRECT("'Impact Indicators - Section B'!A"&amp;'Impact Indicator Target Update'!D474))</f>
        <v/>
      </c>
    </row>
    <row r="3768" spans="10:10" x14ac:dyDescent="0.3">
      <c r="J3768" s="486" t="str">
        <f ca="1">IF(ROW()&gt;'Impact Indicator Target Update'!A475,"",INDIRECT("'Impact Indicators - Section B'!A"&amp;'Impact Indicator Target Update'!D475))</f>
        <v/>
      </c>
    </row>
    <row r="3769" spans="10:10" x14ac:dyDescent="0.3">
      <c r="J3769" s="486" t="str">
        <f ca="1">IF(ROW()&gt;'Impact Indicator Target Update'!A476,"",INDIRECT("'Impact Indicators - Section B'!A"&amp;'Impact Indicator Target Update'!D476))</f>
        <v/>
      </c>
    </row>
    <row r="3770" spans="10:10" x14ac:dyDescent="0.3">
      <c r="J3770" s="486" t="str">
        <f ca="1">IF(ROW()&gt;'Impact Indicator Target Update'!A477,"",INDIRECT("'Impact Indicators - Section B'!A"&amp;'Impact Indicator Target Update'!D477))</f>
        <v/>
      </c>
    </row>
    <row r="3771" spans="10:10" x14ac:dyDescent="0.3">
      <c r="J3771" s="486" t="str">
        <f ca="1">IF(ROW()&gt;'Impact Indicator Target Update'!A478,"",INDIRECT("'Impact Indicators - Section B'!A"&amp;'Impact Indicator Target Update'!D478))</f>
        <v/>
      </c>
    </row>
    <row r="3772" spans="10:10" x14ac:dyDescent="0.3">
      <c r="J3772" s="486" t="str">
        <f ca="1">IF(ROW()&gt;'Impact Indicator Target Update'!A479,"",INDIRECT("'Impact Indicators - Section B'!A"&amp;'Impact Indicator Target Update'!D479))</f>
        <v/>
      </c>
    </row>
    <row r="3773" spans="10:10" x14ac:dyDescent="0.3">
      <c r="J3773" s="486" t="str">
        <f ca="1">IF(ROW()&gt;'Impact Indicator Target Update'!A480,"",INDIRECT("'Impact Indicators - Section B'!A"&amp;'Impact Indicator Target Update'!D480))</f>
        <v/>
      </c>
    </row>
    <row r="3774" spans="10:10" x14ac:dyDescent="0.3">
      <c r="J3774" s="486" t="str">
        <f ca="1">IF(ROW()&gt;'Impact Indicator Target Update'!A481,"",INDIRECT("'Impact Indicators - Section B'!A"&amp;'Impact Indicator Target Update'!D481))</f>
        <v/>
      </c>
    </row>
    <row r="3775" spans="10:10" x14ac:dyDescent="0.3">
      <c r="J3775" s="486" t="str">
        <f ca="1">IF(ROW()&gt;'Impact Indicator Target Update'!A482,"",INDIRECT("'Impact Indicators - Section B'!A"&amp;'Impact Indicator Target Update'!D482))</f>
        <v/>
      </c>
    </row>
    <row r="3776" spans="10:10" x14ac:dyDescent="0.3">
      <c r="J3776" s="486" t="str">
        <f ca="1">IF(ROW()&gt;'Impact Indicator Target Update'!A483,"",INDIRECT("'Impact Indicators - Section B'!A"&amp;'Impact Indicator Target Update'!D483))</f>
        <v/>
      </c>
    </row>
    <row r="3777" spans="10:10" x14ac:dyDescent="0.3">
      <c r="J3777" s="486" t="str">
        <f ca="1">IF(ROW()&gt;'Impact Indicator Target Update'!A484,"",INDIRECT("'Impact Indicators - Section B'!A"&amp;'Impact Indicator Target Update'!D484))</f>
        <v/>
      </c>
    </row>
    <row r="3778" spans="10:10" x14ac:dyDescent="0.3">
      <c r="J3778" s="486" t="str">
        <f ca="1">IF(ROW()&gt;'Impact Indicator Target Update'!A485,"",INDIRECT("'Impact Indicators - Section B'!A"&amp;'Impact Indicator Target Update'!D485))</f>
        <v/>
      </c>
    </row>
    <row r="3779" spans="10:10" x14ac:dyDescent="0.3">
      <c r="J3779" s="486" t="str">
        <f ca="1">IF(ROW()&gt;'Impact Indicator Target Update'!A486,"",INDIRECT("'Impact Indicators - Section B'!A"&amp;'Impact Indicator Target Update'!D486))</f>
        <v/>
      </c>
    </row>
    <row r="3780" spans="10:10" x14ac:dyDescent="0.3">
      <c r="J3780" s="486" t="str">
        <f ca="1">IF(ROW()&gt;'Impact Indicator Target Update'!A487,"",INDIRECT("'Impact Indicators - Section B'!A"&amp;'Impact Indicator Target Update'!D487))</f>
        <v/>
      </c>
    </row>
    <row r="3781" spans="10:10" x14ac:dyDescent="0.3">
      <c r="J3781" s="486" t="str">
        <f ca="1">IF(ROW()&gt;'Impact Indicator Target Update'!A488,"",INDIRECT("'Impact Indicators - Section B'!A"&amp;'Impact Indicator Target Update'!D488))</f>
        <v/>
      </c>
    </row>
    <row r="3782" spans="10:10" x14ac:dyDescent="0.3">
      <c r="J3782" s="486" t="str">
        <f ca="1">IF(ROW()&gt;'Impact Indicator Target Update'!A489,"",INDIRECT("'Impact Indicators - Section B'!A"&amp;'Impact Indicator Target Update'!D489))</f>
        <v/>
      </c>
    </row>
    <row r="3783" spans="10:10" x14ac:dyDescent="0.3">
      <c r="J3783" s="486" t="str">
        <f ca="1">IF(ROW()&gt;'Impact Indicator Target Update'!A490,"",INDIRECT("'Impact Indicators - Section B'!A"&amp;'Impact Indicator Target Update'!D490))</f>
        <v/>
      </c>
    </row>
    <row r="3784" spans="10:10" x14ac:dyDescent="0.3">
      <c r="J3784" s="486" t="str">
        <f ca="1">IF(ROW()&gt;'Impact Indicator Target Update'!A491,"",INDIRECT("'Impact Indicators - Section B'!A"&amp;'Impact Indicator Target Update'!D491))</f>
        <v/>
      </c>
    </row>
    <row r="3785" spans="10:10" x14ac:dyDescent="0.3">
      <c r="J3785" s="486" t="str">
        <f ca="1">IF(ROW()&gt;'Impact Indicator Target Update'!A492,"",INDIRECT("'Impact Indicators - Section B'!A"&amp;'Impact Indicator Target Update'!D492))</f>
        <v/>
      </c>
    </row>
    <row r="3786" spans="10:10" x14ac:dyDescent="0.3">
      <c r="J3786" s="486" t="str">
        <f ca="1">IF(ROW()&gt;'Impact Indicator Target Update'!A493,"",INDIRECT("'Impact Indicators - Section B'!A"&amp;'Impact Indicator Target Update'!D493))</f>
        <v/>
      </c>
    </row>
    <row r="3787" spans="10:10" x14ac:dyDescent="0.3">
      <c r="J3787" s="486" t="str">
        <f ca="1">IF(ROW()&gt;'Impact Indicator Target Update'!A494,"",INDIRECT("'Impact Indicators - Section B'!A"&amp;'Impact Indicator Target Update'!D494))</f>
        <v/>
      </c>
    </row>
    <row r="3788" spans="10:10" x14ac:dyDescent="0.3">
      <c r="J3788" s="486" t="str">
        <f ca="1">IF(ROW()&gt;'Impact Indicator Target Update'!A495,"",INDIRECT("'Impact Indicators - Section B'!A"&amp;'Impact Indicator Target Update'!D495))</f>
        <v/>
      </c>
    </row>
    <row r="3789" spans="10:10" x14ac:dyDescent="0.3">
      <c r="J3789" s="486" t="str">
        <f ca="1">IF(ROW()&gt;'Impact Indicator Target Update'!A496,"",INDIRECT("'Impact Indicators - Section B'!A"&amp;'Impact Indicator Target Update'!D496))</f>
        <v/>
      </c>
    </row>
    <row r="3790" spans="10:10" x14ac:dyDescent="0.3">
      <c r="J3790" s="486" t="str">
        <f ca="1">IF(ROW()&gt;'Impact Indicator Target Update'!A497,"",INDIRECT("'Impact Indicators - Section B'!A"&amp;'Impact Indicator Target Update'!D497))</f>
        <v/>
      </c>
    </row>
    <row r="3791" spans="10:10" x14ac:dyDescent="0.3">
      <c r="J3791" s="486" t="str">
        <f ca="1">IF(ROW()&gt;'Impact Indicator Target Update'!A498,"",INDIRECT("'Impact Indicators - Section B'!A"&amp;'Impact Indicator Target Update'!D498))</f>
        <v/>
      </c>
    </row>
    <row r="3792" spans="10:10" x14ac:dyDescent="0.3">
      <c r="J3792" s="486" t="str">
        <f ca="1">IF(ROW()&gt;'Impact Indicator Target Update'!A499,"",INDIRECT("'Impact Indicators - Section B'!A"&amp;'Impact Indicator Target Update'!D499))</f>
        <v/>
      </c>
    </row>
    <row r="3793" spans="10:10" x14ac:dyDescent="0.3">
      <c r="J3793" s="486" t="str">
        <f ca="1">IF(ROW()&gt;'Impact Indicator Target Update'!A500,"",INDIRECT("'Impact Indicators - Section B'!A"&amp;'Impact Indicator Target Update'!D500))</f>
        <v/>
      </c>
    </row>
    <row r="3794" spans="10:10" x14ac:dyDescent="0.3">
      <c r="J3794" s="486" t="str">
        <f ca="1">IF(ROW()&gt;'Impact Indicator Target Update'!A501,"",INDIRECT("'Impact Indicators - Section B'!A"&amp;'Impact Indicator Target Update'!D501))</f>
        <v/>
      </c>
    </row>
    <row r="3795" spans="10:10" x14ac:dyDescent="0.3">
      <c r="J3795" s="486" t="str">
        <f ca="1">IF(ROW()&gt;'Impact Indicator Target Update'!A502,"",INDIRECT("'Impact Indicators - Section B'!A"&amp;'Impact Indicator Target Update'!D502))</f>
        <v/>
      </c>
    </row>
    <row r="3796" spans="10:10" x14ac:dyDescent="0.3">
      <c r="J3796" s="486" t="str">
        <f ca="1">IF(ROW()&gt;'Impact Indicator Target Update'!A503,"",INDIRECT("'Impact Indicators - Section B'!A"&amp;'Impact Indicator Target Update'!D503))</f>
        <v/>
      </c>
    </row>
    <row r="3797" spans="10:10" x14ac:dyDescent="0.3">
      <c r="J3797" s="486" t="str">
        <f ca="1">IF(ROW()&gt;'Impact Indicator Target Update'!A504,"",INDIRECT("'Impact Indicators - Section B'!A"&amp;'Impact Indicator Target Update'!D504))</f>
        <v/>
      </c>
    </row>
    <row r="3798" spans="10:10" x14ac:dyDescent="0.3">
      <c r="J3798" s="486" t="str">
        <f ca="1">IF(ROW()&gt;'Impact Indicator Target Update'!A505,"",INDIRECT("'Impact Indicators - Section B'!A"&amp;'Impact Indicator Target Update'!D505))</f>
        <v/>
      </c>
    </row>
    <row r="3799" spans="10:10" x14ac:dyDescent="0.3">
      <c r="J3799" s="486" t="str">
        <f ca="1">IF(ROW()&gt;'Impact Indicator Target Update'!A506,"",INDIRECT("'Impact Indicators - Section B'!A"&amp;'Impact Indicator Target Update'!D506))</f>
        <v/>
      </c>
    </row>
    <row r="3800" spans="10:10" x14ac:dyDescent="0.3">
      <c r="J3800" s="486" t="str">
        <f ca="1">IF(ROW()&gt;'Impact Indicator Target Update'!A507,"",INDIRECT("'Impact Indicators - Section B'!A"&amp;'Impact Indicator Target Update'!D507))</f>
        <v/>
      </c>
    </row>
    <row r="3801" spans="10:10" x14ac:dyDescent="0.3">
      <c r="J3801" s="486" t="str">
        <f ca="1">IF(ROW()&gt;'Impact Indicator Target Update'!A508,"",INDIRECT("'Impact Indicators - Section B'!A"&amp;'Impact Indicator Target Update'!D508))</f>
        <v/>
      </c>
    </row>
    <row r="3802" spans="10:10" x14ac:dyDescent="0.3">
      <c r="J3802" s="486" t="str">
        <f ca="1">IF(ROW()&gt;'Impact Indicator Target Update'!A509,"",INDIRECT("'Impact Indicators - Section B'!A"&amp;'Impact Indicator Target Update'!D509))</f>
        <v/>
      </c>
    </row>
    <row r="3803" spans="10:10" x14ac:dyDescent="0.3">
      <c r="J3803" s="486" t="str">
        <f ca="1">IF(ROW()&gt;'Impact Indicator Target Update'!A510,"",INDIRECT("'Impact Indicators - Section B'!A"&amp;'Impact Indicator Target Update'!D510))</f>
        <v/>
      </c>
    </row>
    <row r="3804" spans="10:10" x14ac:dyDescent="0.3">
      <c r="J3804" s="486" t="str">
        <f ca="1">IF(ROW()&gt;'Impact Indicator Target Update'!A511,"",INDIRECT("'Impact Indicators - Section B'!A"&amp;'Impact Indicator Target Update'!D511))</f>
        <v/>
      </c>
    </row>
    <row r="3805" spans="10:10" x14ac:dyDescent="0.3">
      <c r="J3805" s="486" t="str">
        <f ca="1">IF(ROW()&gt;'Impact Indicator Target Update'!A512,"",INDIRECT("'Impact Indicators - Section B'!A"&amp;'Impact Indicator Target Update'!D512))</f>
        <v/>
      </c>
    </row>
    <row r="3806" spans="10:10" x14ac:dyDescent="0.3">
      <c r="J3806" s="486" t="str">
        <f ca="1">IF(ROW()&gt;'Impact Indicator Target Update'!A513,"",INDIRECT("'Impact Indicators - Section B'!A"&amp;'Impact Indicator Target Update'!D513))</f>
        <v/>
      </c>
    </row>
    <row r="3807" spans="10:10" x14ac:dyDescent="0.3">
      <c r="J3807" s="486" t="str">
        <f ca="1">IF(ROW()&gt;'Impact Indicator Target Update'!A514,"",INDIRECT("'Impact Indicators - Section B'!A"&amp;'Impact Indicator Target Update'!D514))</f>
        <v/>
      </c>
    </row>
    <row r="3808" spans="10:10" x14ac:dyDescent="0.3">
      <c r="J3808" s="486" t="str">
        <f ca="1">IF(ROW()&gt;'Impact Indicator Target Update'!A515,"",INDIRECT("'Impact Indicators - Section B'!A"&amp;'Impact Indicator Target Update'!D515))</f>
        <v/>
      </c>
    </row>
    <row r="3809" spans="10:10" x14ac:dyDescent="0.3">
      <c r="J3809" s="486" t="str">
        <f ca="1">IF(ROW()&gt;'Impact Indicator Target Update'!A516,"",INDIRECT("'Impact Indicators - Section B'!A"&amp;'Impact Indicator Target Update'!D516))</f>
        <v/>
      </c>
    </row>
    <row r="3810" spans="10:10" x14ac:dyDescent="0.3">
      <c r="J3810" s="486" t="str">
        <f ca="1">IF(ROW()&gt;'Impact Indicator Target Update'!A517,"",INDIRECT("'Impact Indicators - Section B'!A"&amp;'Impact Indicator Target Update'!D517))</f>
        <v/>
      </c>
    </row>
    <row r="3811" spans="10:10" x14ac:dyDescent="0.3">
      <c r="J3811" s="486" t="str">
        <f ca="1">IF(ROW()&gt;'Impact Indicator Target Update'!A518,"",INDIRECT("'Impact Indicators - Section B'!A"&amp;'Impact Indicator Target Update'!D518))</f>
        <v/>
      </c>
    </row>
    <row r="3812" spans="10:10" x14ac:dyDescent="0.3">
      <c r="J3812" s="486" t="str">
        <f ca="1">IF(ROW()&gt;'Impact Indicator Target Update'!A519,"",INDIRECT("'Impact Indicators - Section B'!A"&amp;'Impact Indicator Target Update'!D519))</f>
        <v/>
      </c>
    </row>
    <row r="3813" spans="10:10" x14ac:dyDescent="0.3">
      <c r="J3813" s="486" t="str">
        <f ca="1">IF(ROW()&gt;'Impact Indicator Target Update'!A520,"",INDIRECT("'Impact Indicators - Section B'!A"&amp;'Impact Indicator Target Update'!D520))</f>
        <v/>
      </c>
    </row>
    <row r="3814" spans="10:10" x14ac:dyDescent="0.3">
      <c r="J3814" s="486" t="str">
        <f ca="1">IF(ROW()&gt;'Impact Indicator Target Update'!A521,"",INDIRECT("'Impact Indicators - Section B'!A"&amp;'Impact Indicator Target Update'!D521))</f>
        <v/>
      </c>
    </row>
    <row r="3815" spans="10:10" x14ac:dyDescent="0.3">
      <c r="J3815" s="486" t="str">
        <f ca="1">IF(ROW()&gt;'Impact Indicator Target Update'!A522,"",INDIRECT("'Impact Indicators - Section B'!A"&amp;'Impact Indicator Target Update'!D522))</f>
        <v/>
      </c>
    </row>
    <row r="3816" spans="10:10" x14ac:dyDescent="0.3">
      <c r="J3816" s="486" t="str">
        <f ca="1">IF(ROW()&gt;'Impact Indicator Target Update'!A523,"",INDIRECT("'Impact Indicators - Section B'!A"&amp;'Impact Indicator Target Update'!D523))</f>
        <v/>
      </c>
    </row>
    <row r="3817" spans="10:10" x14ac:dyDescent="0.3">
      <c r="J3817" s="486" t="str">
        <f ca="1">IF(ROW()&gt;'Impact Indicator Target Update'!A524,"",INDIRECT("'Impact Indicators - Section B'!A"&amp;'Impact Indicator Target Update'!D524))</f>
        <v/>
      </c>
    </row>
    <row r="3818" spans="10:10" x14ac:dyDescent="0.3">
      <c r="J3818" s="486" t="str">
        <f ca="1">IF(ROW()&gt;'Impact Indicator Target Update'!A525,"",INDIRECT("'Impact Indicators - Section B'!A"&amp;'Impact Indicator Target Update'!D525))</f>
        <v/>
      </c>
    </row>
    <row r="3819" spans="10:10" x14ac:dyDescent="0.3">
      <c r="J3819" s="486" t="str">
        <f ca="1">IF(ROW()&gt;'Impact Indicator Target Update'!A526,"",INDIRECT("'Impact Indicators - Section B'!A"&amp;'Impact Indicator Target Update'!D526))</f>
        <v/>
      </c>
    </row>
    <row r="3820" spans="10:10" x14ac:dyDescent="0.3">
      <c r="J3820" s="486" t="str">
        <f ca="1">IF(ROW()&gt;'Impact Indicator Target Update'!A527,"",INDIRECT("'Impact Indicators - Section B'!A"&amp;'Impact Indicator Target Update'!D527))</f>
        <v/>
      </c>
    </row>
    <row r="3821" spans="10:10" x14ac:dyDescent="0.3">
      <c r="J3821" s="486" t="str">
        <f ca="1">IF(ROW()&gt;'Impact Indicator Target Update'!A528,"",INDIRECT("'Impact Indicators - Section B'!A"&amp;'Impact Indicator Target Update'!D528))</f>
        <v/>
      </c>
    </row>
    <row r="3822" spans="10:10" x14ac:dyDescent="0.3">
      <c r="J3822" s="486" t="str">
        <f ca="1">IF(ROW()&gt;'Impact Indicator Target Update'!A529,"",INDIRECT("'Impact Indicators - Section B'!A"&amp;'Impact Indicator Target Update'!D529))</f>
        <v/>
      </c>
    </row>
    <row r="3823" spans="10:10" x14ac:dyDescent="0.3">
      <c r="J3823" s="486" t="str">
        <f ca="1">IF(ROW()&gt;'Impact Indicator Target Update'!A530,"",INDIRECT("'Impact Indicators - Section B'!A"&amp;'Impact Indicator Target Update'!D530))</f>
        <v/>
      </c>
    </row>
    <row r="3824" spans="10:10" x14ac:dyDescent="0.3">
      <c r="J3824" s="486" t="str">
        <f ca="1">IF(ROW()&gt;'Impact Indicator Target Update'!A531,"",INDIRECT("'Impact Indicators - Section B'!A"&amp;'Impact Indicator Target Update'!D531))</f>
        <v/>
      </c>
    </row>
    <row r="3825" spans="10:10" x14ac:dyDescent="0.3">
      <c r="J3825" s="486" t="str">
        <f ca="1">IF(ROW()&gt;'Impact Indicator Target Update'!A532,"",INDIRECT("'Impact Indicators - Section B'!A"&amp;'Impact Indicator Target Update'!D532))</f>
        <v/>
      </c>
    </row>
    <row r="3826" spans="10:10" x14ac:dyDescent="0.3">
      <c r="J3826" s="486" t="str">
        <f ca="1">IF(ROW()&gt;'Impact Indicator Target Update'!A533,"",INDIRECT("'Impact Indicators - Section B'!A"&amp;'Impact Indicator Target Update'!D533))</f>
        <v/>
      </c>
    </row>
    <row r="3827" spans="10:10" x14ac:dyDescent="0.3">
      <c r="J3827" s="486" t="str">
        <f ca="1">IF(ROW()&gt;'Impact Indicator Target Update'!A534,"",INDIRECT("'Impact Indicators - Section B'!A"&amp;'Impact Indicator Target Update'!D534))</f>
        <v/>
      </c>
    </row>
    <row r="3828" spans="10:10" x14ac:dyDescent="0.3">
      <c r="J3828" s="486" t="str">
        <f ca="1">IF(ROW()&gt;'Impact Indicator Target Update'!A535,"",INDIRECT("'Impact Indicators - Section B'!A"&amp;'Impact Indicator Target Update'!D535))</f>
        <v/>
      </c>
    </row>
    <row r="3829" spans="10:10" x14ac:dyDescent="0.3">
      <c r="J3829" s="486" t="str">
        <f ca="1">IF(ROW()&gt;'Impact Indicator Target Update'!A536,"",INDIRECT("'Impact Indicators - Section B'!A"&amp;'Impact Indicator Target Update'!D536))</f>
        <v/>
      </c>
    </row>
    <row r="3830" spans="10:10" x14ac:dyDescent="0.3">
      <c r="J3830" s="486" t="str">
        <f ca="1">IF(ROW()&gt;'Impact Indicator Target Update'!A537,"",INDIRECT("'Impact Indicators - Section B'!A"&amp;'Impact Indicator Target Update'!D537))</f>
        <v/>
      </c>
    </row>
    <row r="3831" spans="10:10" x14ac:dyDescent="0.3">
      <c r="J3831" s="486" t="str">
        <f ca="1">IF(ROW()&gt;'Impact Indicator Target Update'!A538,"",INDIRECT("'Impact Indicators - Section B'!A"&amp;'Impact Indicator Target Update'!D538))</f>
        <v/>
      </c>
    </row>
    <row r="3832" spans="10:10" x14ac:dyDescent="0.3">
      <c r="J3832" s="486" t="str">
        <f ca="1">IF(ROW()&gt;'Impact Indicator Target Update'!A539,"",INDIRECT("'Impact Indicators - Section B'!A"&amp;'Impact Indicator Target Update'!D539))</f>
        <v/>
      </c>
    </row>
    <row r="3833" spans="10:10" x14ac:dyDescent="0.3">
      <c r="J3833" s="486" t="str">
        <f ca="1">IF(ROW()&gt;'Impact Indicator Target Update'!A540,"",INDIRECT("'Impact Indicators - Section B'!A"&amp;'Impact Indicator Target Update'!D540))</f>
        <v/>
      </c>
    </row>
    <row r="3834" spans="10:10" x14ac:dyDescent="0.3">
      <c r="J3834" s="486" t="str">
        <f ca="1">IF(ROW()&gt;'Impact Indicator Target Update'!A541,"",INDIRECT("'Impact Indicators - Section B'!A"&amp;'Impact Indicator Target Update'!D541))</f>
        <v/>
      </c>
    </row>
    <row r="3835" spans="10:10" x14ac:dyDescent="0.3">
      <c r="J3835" s="486" t="str">
        <f ca="1">IF(ROW()&gt;'Impact Indicator Target Update'!A542,"",INDIRECT("'Impact Indicators - Section B'!A"&amp;'Impact Indicator Target Update'!D542))</f>
        <v/>
      </c>
    </row>
    <row r="3836" spans="10:10" x14ac:dyDescent="0.3">
      <c r="J3836" s="486" t="str">
        <f ca="1">IF(ROW()&gt;'Impact Indicator Target Update'!A543,"",INDIRECT("'Impact Indicators - Section B'!A"&amp;'Impact Indicator Target Update'!D543))</f>
        <v/>
      </c>
    </row>
    <row r="3837" spans="10:10" x14ac:dyDescent="0.3">
      <c r="J3837" s="486" t="str">
        <f ca="1">IF(ROW()&gt;'Impact Indicator Target Update'!A544,"",INDIRECT("'Impact Indicators - Section B'!A"&amp;'Impact Indicator Target Update'!D544))</f>
        <v/>
      </c>
    </row>
    <row r="3838" spans="10:10" x14ac:dyDescent="0.3">
      <c r="J3838" s="486" t="str">
        <f ca="1">IF(ROW()&gt;'Impact Indicator Target Update'!A545,"",INDIRECT("'Impact Indicators - Section B'!A"&amp;'Impact Indicator Target Update'!D545))</f>
        <v/>
      </c>
    </row>
    <row r="3839" spans="10:10" x14ac:dyDescent="0.3">
      <c r="J3839" s="486" t="str">
        <f ca="1">IF(ROW()&gt;'Impact Indicator Target Update'!A546,"",INDIRECT("'Impact Indicators - Section B'!A"&amp;'Impact Indicator Target Update'!D546))</f>
        <v/>
      </c>
    </row>
    <row r="3840" spans="10:10" x14ac:dyDescent="0.3">
      <c r="J3840" s="486" t="str">
        <f ca="1">IF(ROW()&gt;'Impact Indicator Target Update'!A547,"",INDIRECT("'Impact Indicators - Section B'!A"&amp;'Impact Indicator Target Update'!D547))</f>
        <v/>
      </c>
    </row>
    <row r="3841" spans="10:10" x14ac:dyDescent="0.3">
      <c r="J3841" s="486" t="str">
        <f ca="1">IF(ROW()&gt;'Impact Indicator Target Update'!A548,"",INDIRECT("'Impact Indicators - Section B'!A"&amp;'Impact Indicator Target Update'!D548))</f>
        <v/>
      </c>
    </row>
    <row r="3842" spans="10:10" x14ac:dyDescent="0.3">
      <c r="J3842" s="486" t="str">
        <f ca="1">IF(ROW()&gt;'Impact Indicator Target Update'!A549,"",INDIRECT("'Impact Indicators - Section B'!A"&amp;'Impact Indicator Target Update'!D549))</f>
        <v/>
      </c>
    </row>
    <row r="3843" spans="10:10" x14ac:dyDescent="0.3">
      <c r="J3843" s="486" t="str">
        <f ca="1">IF(ROW()&gt;'Impact Indicator Target Update'!A550,"",INDIRECT("'Impact Indicators - Section B'!A"&amp;'Impact Indicator Target Update'!D550))</f>
        <v/>
      </c>
    </row>
    <row r="3844" spans="10:10" x14ac:dyDescent="0.3">
      <c r="J3844" s="486" t="str">
        <f ca="1">IF(ROW()&gt;'Impact Indicator Target Update'!A551,"",INDIRECT("'Impact Indicators - Section B'!A"&amp;'Impact Indicator Target Update'!D551))</f>
        <v/>
      </c>
    </row>
    <row r="3845" spans="10:10" x14ac:dyDescent="0.3">
      <c r="J3845" s="486" t="str">
        <f ca="1">IF(ROW()&gt;'Impact Indicator Target Update'!A552,"",INDIRECT("'Impact Indicators - Section B'!A"&amp;'Impact Indicator Target Update'!D552))</f>
        <v/>
      </c>
    </row>
    <row r="3846" spans="10:10" x14ac:dyDescent="0.3">
      <c r="J3846" s="486" t="str">
        <f ca="1">IF(ROW()&gt;'Impact Indicator Target Update'!A553,"",INDIRECT("'Impact Indicators - Section B'!A"&amp;'Impact Indicator Target Update'!D553))</f>
        <v/>
      </c>
    </row>
    <row r="3847" spans="10:10" x14ac:dyDescent="0.3">
      <c r="J3847" s="486" t="str">
        <f ca="1">IF(ROW()&gt;'Impact Indicator Target Update'!A554,"",INDIRECT("'Impact Indicators - Section B'!A"&amp;'Impact Indicator Target Update'!D554))</f>
        <v/>
      </c>
    </row>
    <row r="3848" spans="10:10" x14ac:dyDescent="0.3">
      <c r="J3848" s="486" t="str">
        <f ca="1">IF(ROW()&gt;'Impact Indicator Target Update'!A555,"",INDIRECT("'Impact Indicators - Section B'!A"&amp;'Impact Indicator Target Update'!D555))</f>
        <v/>
      </c>
    </row>
    <row r="3849" spans="10:10" x14ac:dyDescent="0.3">
      <c r="J3849" s="486" t="str">
        <f ca="1">IF(ROW()&gt;'Impact Indicator Target Update'!A556,"",INDIRECT("'Impact Indicators - Section B'!A"&amp;'Impact Indicator Target Update'!D556))</f>
        <v/>
      </c>
    </row>
    <row r="3850" spans="10:10" x14ac:dyDescent="0.3">
      <c r="J3850" s="486" t="str">
        <f ca="1">IF(ROW()&gt;'Impact Indicator Target Update'!A557,"",INDIRECT("'Impact Indicators - Section B'!A"&amp;'Impact Indicator Target Update'!D557))</f>
        <v/>
      </c>
    </row>
    <row r="3851" spans="10:10" x14ac:dyDescent="0.3">
      <c r="J3851" s="486" t="str">
        <f ca="1">IF(ROW()&gt;'Impact Indicator Target Update'!A558,"",INDIRECT("'Impact Indicators - Section B'!A"&amp;'Impact Indicator Target Update'!D558))</f>
        <v/>
      </c>
    </row>
    <row r="3852" spans="10:10" x14ac:dyDescent="0.3">
      <c r="J3852" s="486" t="str">
        <f ca="1">IF(ROW()&gt;'Impact Indicator Target Update'!A559,"",INDIRECT("'Impact Indicators - Section B'!A"&amp;'Impact Indicator Target Update'!D559))</f>
        <v/>
      </c>
    </row>
    <row r="3853" spans="10:10" x14ac:dyDescent="0.3">
      <c r="J3853" s="486" t="str">
        <f ca="1">IF(ROW()&gt;'Impact Indicator Target Update'!A560,"",INDIRECT("'Impact Indicators - Section B'!A"&amp;'Impact Indicator Target Update'!D560))</f>
        <v/>
      </c>
    </row>
    <row r="3854" spans="10:10" x14ac:dyDescent="0.3">
      <c r="J3854" s="486" t="str">
        <f ca="1">IF(ROW()&gt;'Impact Indicator Target Update'!A561,"",INDIRECT("'Impact Indicators - Section B'!A"&amp;'Impact Indicator Target Update'!D561))</f>
        <v/>
      </c>
    </row>
    <row r="3855" spans="10:10" x14ac:dyDescent="0.3">
      <c r="J3855" s="486" t="str">
        <f ca="1">IF(ROW()&gt;'Impact Indicator Target Update'!A562,"",INDIRECT("'Impact Indicators - Section B'!A"&amp;'Impact Indicator Target Update'!D562))</f>
        <v/>
      </c>
    </row>
    <row r="3856" spans="10:10" x14ac:dyDescent="0.3">
      <c r="J3856" s="486" t="str">
        <f ca="1">IF(ROW()&gt;'Impact Indicator Target Update'!A563,"",INDIRECT("'Impact Indicators - Section B'!A"&amp;'Impact Indicator Target Update'!D563))</f>
        <v/>
      </c>
    </row>
    <row r="3857" spans="10:10" x14ac:dyDescent="0.3">
      <c r="J3857" s="486" t="str">
        <f ca="1">IF(ROW()&gt;'Impact Indicator Target Update'!A564,"",INDIRECT("'Impact Indicators - Section B'!A"&amp;'Impact Indicator Target Update'!D564))</f>
        <v/>
      </c>
    </row>
    <row r="3858" spans="10:10" x14ac:dyDescent="0.3">
      <c r="J3858" s="486" t="str">
        <f ca="1">IF(ROW()&gt;'Impact Indicator Target Update'!A565,"",INDIRECT("'Impact Indicators - Section B'!A"&amp;'Impact Indicator Target Update'!D565))</f>
        <v/>
      </c>
    </row>
    <row r="3859" spans="10:10" x14ac:dyDescent="0.3">
      <c r="J3859" s="486" t="str">
        <f ca="1">IF(ROW()&gt;'Impact Indicator Target Update'!A566,"",INDIRECT("'Impact Indicators - Section B'!A"&amp;'Impact Indicator Target Update'!D566))</f>
        <v/>
      </c>
    </row>
    <row r="3860" spans="10:10" x14ac:dyDescent="0.3">
      <c r="J3860" s="486" t="str">
        <f ca="1">IF(ROW()&gt;'Impact Indicator Target Update'!A567,"",INDIRECT("'Impact Indicators - Section B'!A"&amp;'Impact Indicator Target Update'!D567))</f>
        <v/>
      </c>
    </row>
    <row r="3861" spans="10:10" x14ac:dyDescent="0.3">
      <c r="J3861" s="486" t="str">
        <f ca="1">IF(ROW()&gt;'Impact Indicator Target Update'!A568,"",INDIRECT("'Impact Indicators - Section B'!A"&amp;'Impact Indicator Target Update'!D568))</f>
        <v/>
      </c>
    </row>
    <row r="3862" spans="10:10" x14ac:dyDescent="0.3">
      <c r="J3862" s="486" t="str">
        <f ca="1">IF(ROW()&gt;'Impact Indicator Target Update'!A569,"",INDIRECT("'Impact Indicators - Section B'!A"&amp;'Impact Indicator Target Update'!D569))</f>
        <v/>
      </c>
    </row>
    <row r="3863" spans="10:10" x14ac:dyDescent="0.3">
      <c r="J3863" s="486" t="str">
        <f ca="1">IF(ROW()&gt;'Impact Indicator Target Update'!A570,"",INDIRECT("'Impact Indicators - Section B'!A"&amp;'Impact Indicator Target Update'!D570))</f>
        <v/>
      </c>
    </row>
    <row r="3864" spans="10:10" x14ac:dyDescent="0.3">
      <c r="J3864" s="486" t="str">
        <f ca="1">IF(ROW()&gt;'Impact Indicator Target Update'!A571,"",INDIRECT("'Impact Indicators - Section B'!A"&amp;'Impact Indicator Target Update'!D571))</f>
        <v/>
      </c>
    </row>
    <row r="3865" spans="10:10" x14ac:dyDescent="0.3">
      <c r="J3865" s="486" t="str">
        <f ca="1">IF(ROW()&gt;'Impact Indicator Target Update'!A572,"",INDIRECT("'Impact Indicators - Section B'!A"&amp;'Impact Indicator Target Update'!D572))</f>
        <v/>
      </c>
    </row>
    <row r="3866" spans="10:10" x14ac:dyDescent="0.3">
      <c r="J3866" s="486" t="str">
        <f ca="1">IF(ROW()&gt;'Impact Indicator Target Update'!A573,"",INDIRECT("'Impact Indicators - Section B'!A"&amp;'Impact Indicator Target Update'!D573))</f>
        <v/>
      </c>
    </row>
    <row r="3867" spans="10:10" x14ac:dyDescent="0.3">
      <c r="J3867" s="486" t="str">
        <f ca="1">IF(ROW()&gt;'Impact Indicator Target Update'!A574,"",INDIRECT("'Impact Indicators - Section B'!A"&amp;'Impact Indicator Target Update'!D574))</f>
        <v/>
      </c>
    </row>
    <row r="3868" spans="10:10" x14ac:dyDescent="0.3">
      <c r="J3868" s="486" t="str">
        <f ca="1">IF(ROW()&gt;'Impact Indicator Target Update'!A575,"",INDIRECT("'Impact Indicators - Section B'!A"&amp;'Impact Indicator Target Update'!D575))</f>
        <v/>
      </c>
    </row>
    <row r="3869" spans="10:10" x14ac:dyDescent="0.3">
      <c r="J3869" s="486" t="str">
        <f ca="1">IF(ROW()&gt;'Impact Indicator Target Update'!A576,"",INDIRECT("'Impact Indicators - Section B'!A"&amp;'Impact Indicator Target Update'!D576))</f>
        <v/>
      </c>
    </row>
    <row r="3870" spans="10:10" x14ac:dyDescent="0.3">
      <c r="J3870" s="486" t="str">
        <f ca="1">IF(ROW()&gt;'Impact Indicator Target Update'!A577,"",INDIRECT("'Impact Indicators - Section B'!A"&amp;'Impact Indicator Target Update'!D577))</f>
        <v/>
      </c>
    </row>
    <row r="3871" spans="10:10" x14ac:dyDescent="0.3">
      <c r="J3871" s="486" t="str">
        <f ca="1">IF(ROW()&gt;'Impact Indicator Target Update'!A578,"",INDIRECT("'Impact Indicators - Section B'!A"&amp;'Impact Indicator Target Update'!D578))</f>
        <v/>
      </c>
    </row>
    <row r="3872" spans="10:10" x14ac:dyDescent="0.3">
      <c r="J3872" s="486" t="str">
        <f ca="1">IF(ROW()&gt;'Impact Indicator Target Update'!A579,"",INDIRECT("'Impact Indicators - Section B'!A"&amp;'Impact Indicator Target Update'!D579))</f>
        <v/>
      </c>
    </row>
    <row r="3873" spans="10:10" x14ac:dyDescent="0.3">
      <c r="J3873" s="486" t="str">
        <f ca="1">IF(ROW()&gt;'Impact Indicator Target Update'!A580,"",INDIRECT("'Impact Indicators - Section B'!A"&amp;'Impact Indicator Target Update'!D580))</f>
        <v/>
      </c>
    </row>
    <row r="3874" spans="10:10" x14ac:dyDescent="0.3">
      <c r="J3874" s="486" t="str">
        <f ca="1">IF(ROW()&gt;'Impact Indicator Target Update'!A581,"",INDIRECT("'Impact Indicators - Section B'!A"&amp;'Impact Indicator Target Update'!D581))</f>
        <v/>
      </c>
    </row>
    <row r="3875" spans="10:10" x14ac:dyDescent="0.3">
      <c r="J3875" s="486" t="str">
        <f ca="1">IF(ROW()&gt;'Impact Indicator Target Update'!A582,"",INDIRECT("'Impact Indicators - Section B'!A"&amp;'Impact Indicator Target Update'!D582))</f>
        <v/>
      </c>
    </row>
    <row r="3876" spans="10:10" x14ac:dyDescent="0.3">
      <c r="J3876" s="486" t="str">
        <f ca="1">IF(ROW()&gt;'Impact Indicator Target Update'!A583,"",INDIRECT("'Impact Indicators - Section B'!A"&amp;'Impact Indicator Target Update'!D583))</f>
        <v/>
      </c>
    </row>
    <row r="3877" spans="10:10" x14ac:dyDescent="0.3">
      <c r="J3877" s="486" t="str">
        <f ca="1">IF(ROW()&gt;'Impact Indicator Target Update'!A584,"",INDIRECT("'Impact Indicators - Section B'!A"&amp;'Impact Indicator Target Update'!D584))</f>
        <v/>
      </c>
    </row>
    <row r="3878" spans="10:10" x14ac:dyDescent="0.3">
      <c r="J3878" s="486" t="str">
        <f ca="1">IF(ROW()&gt;'Impact Indicator Target Update'!A585,"",INDIRECT("'Impact Indicators - Section B'!A"&amp;'Impact Indicator Target Update'!D585))</f>
        <v/>
      </c>
    </row>
    <row r="3879" spans="10:10" x14ac:dyDescent="0.3">
      <c r="J3879" s="486" t="str">
        <f ca="1">IF(ROW()&gt;'Impact Indicator Target Update'!A586,"",INDIRECT("'Impact Indicators - Section B'!A"&amp;'Impact Indicator Target Update'!D586))</f>
        <v/>
      </c>
    </row>
    <row r="3880" spans="10:10" x14ac:dyDescent="0.3">
      <c r="J3880" s="486" t="str">
        <f ca="1">IF(ROW()&gt;'Impact Indicator Target Update'!A587,"",INDIRECT("'Impact Indicators - Section B'!A"&amp;'Impact Indicator Target Update'!D587))</f>
        <v/>
      </c>
    </row>
    <row r="3881" spans="10:10" x14ac:dyDescent="0.3">
      <c r="J3881" s="486" t="str">
        <f ca="1">IF(ROW()&gt;'Impact Indicator Target Update'!A588,"",INDIRECT("'Impact Indicators - Section B'!A"&amp;'Impact Indicator Target Update'!D588))</f>
        <v/>
      </c>
    </row>
    <row r="3882" spans="10:10" x14ac:dyDescent="0.3">
      <c r="J3882" s="486" t="str">
        <f ca="1">IF(ROW()&gt;'Impact Indicator Target Update'!A589,"",INDIRECT("'Impact Indicators - Section B'!A"&amp;'Impact Indicator Target Update'!D589))</f>
        <v/>
      </c>
    </row>
    <row r="3883" spans="10:10" x14ac:dyDescent="0.3">
      <c r="J3883" s="486" t="str">
        <f ca="1">IF(ROW()&gt;'Impact Indicator Target Update'!A590,"",INDIRECT("'Impact Indicators - Section B'!A"&amp;'Impact Indicator Target Update'!D590))</f>
        <v/>
      </c>
    </row>
    <row r="3884" spans="10:10" x14ac:dyDescent="0.3">
      <c r="J3884" s="486" t="str">
        <f ca="1">IF(ROW()&gt;'Impact Indicator Target Update'!A591,"",INDIRECT("'Impact Indicators - Section B'!A"&amp;'Impact Indicator Target Update'!D591))</f>
        <v/>
      </c>
    </row>
    <row r="3885" spans="10:10" x14ac:dyDescent="0.3">
      <c r="J3885" s="486" t="str">
        <f ca="1">IF(ROW()&gt;'Impact Indicator Target Update'!A592,"",INDIRECT("'Impact Indicators - Section B'!A"&amp;'Impact Indicator Target Update'!D592))</f>
        <v/>
      </c>
    </row>
    <row r="3886" spans="10:10" x14ac:dyDescent="0.3">
      <c r="J3886" s="486" t="str">
        <f ca="1">IF(ROW()&gt;'Impact Indicator Target Update'!A593,"",INDIRECT("'Impact Indicators - Section B'!A"&amp;'Impact Indicator Target Update'!D593))</f>
        <v/>
      </c>
    </row>
    <row r="3887" spans="10:10" x14ac:dyDescent="0.3">
      <c r="J3887" s="486" t="str">
        <f ca="1">IF(ROW()&gt;'Impact Indicator Target Update'!A594,"",INDIRECT("'Impact Indicators - Section B'!A"&amp;'Impact Indicator Target Update'!D594))</f>
        <v/>
      </c>
    </row>
    <row r="3888" spans="10:10" x14ac:dyDescent="0.3">
      <c r="J3888" s="486" t="str">
        <f ca="1">IF(ROW()&gt;'Impact Indicator Target Update'!A595,"",INDIRECT("'Impact Indicators - Section B'!A"&amp;'Impact Indicator Target Update'!D595))</f>
        <v/>
      </c>
    </row>
    <row r="3889" spans="10:10" x14ac:dyDescent="0.3">
      <c r="J3889" s="486" t="str">
        <f ca="1">IF(ROW()&gt;'Impact Indicator Target Update'!A596,"",INDIRECT("'Impact Indicators - Section B'!A"&amp;'Impact Indicator Target Update'!D596))</f>
        <v/>
      </c>
    </row>
    <row r="3890" spans="10:10" x14ac:dyDescent="0.3">
      <c r="J3890" s="486" t="str">
        <f ca="1">IF(ROW()&gt;'Impact Indicator Target Update'!A597,"",INDIRECT("'Impact Indicators - Section B'!A"&amp;'Impact Indicator Target Update'!D597))</f>
        <v/>
      </c>
    </row>
    <row r="3891" spans="10:10" x14ac:dyDescent="0.3">
      <c r="J3891" s="486" t="str">
        <f ca="1">IF(ROW()&gt;'Impact Indicator Target Update'!A598,"",INDIRECT("'Impact Indicators - Section B'!A"&amp;'Impact Indicator Target Update'!D598))</f>
        <v/>
      </c>
    </row>
    <row r="3892" spans="10:10" x14ac:dyDescent="0.3">
      <c r="J3892" s="486" t="str">
        <f ca="1">IF(ROW()&gt;'Impact Indicator Target Update'!A599,"",INDIRECT("'Impact Indicators - Section B'!A"&amp;'Impact Indicator Target Update'!D599))</f>
        <v/>
      </c>
    </row>
    <row r="3893" spans="10:10" x14ac:dyDescent="0.3">
      <c r="J3893" s="486" t="str">
        <f ca="1">IF(ROW()&gt;'Impact Indicator Target Update'!A600,"",INDIRECT("'Impact Indicators - Section B'!A"&amp;'Impact Indicator Target Update'!D600))</f>
        <v/>
      </c>
    </row>
    <row r="3894" spans="10:10" x14ac:dyDescent="0.3">
      <c r="J3894" s="486" t="str">
        <f ca="1">IF(ROW()&gt;'Impact Indicator Target Update'!A601,"",INDIRECT("'Impact Indicators - Section B'!A"&amp;'Impact Indicator Target Update'!D601))</f>
        <v/>
      </c>
    </row>
    <row r="3895" spans="10:10" x14ac:dyDescent="0.3">
      <c r="J3895" s="486" t="str">
        <f ca="1">IF(ROW()&gt;'Impact Indicator Target Update'!A602,"",INDIRECT("'Impact Indicators - Section B'!A"&amp;'Impact Indicator Target Update'!D602))</f>
        <v/>
      </c>
    </row>
    <row r="3896" spans="10:10" x14ac:dyDescent="0.3">
      <c r="J3896" s="486" t="str">
        <f ca="1">IF(ROW()&gt;'Impact Indicator Target Update'!A603,"",INDIRECT("'Impact Indicators - Section B'!A"&amp;'Impact Indicator Target Update'!D603))</f>
        <v/>
      </c>
    </row>
    <row r="3897" spans="10:10" x14ac:dyDescent="0.3">
      <c r="J3897" s="486" t="str">
        <f ca="1">IF(ROW()&gt;'Impact Indicator Target Update'!A604,"",INDIRECT("'Impact Indicators - Section B'!A"&amp;'Impact Indicator Target Update'!D604))</f>
        <v/>
      </c>
    </row>
    <row r="3898" spans="10:10" x14ac:dyDescent="0.3">
      <c r="J3898" s="486" t="str">
        <f ca="1">IF(ROW()&gt;'Impact Indicator Target Update'!A605,"",INDIRECT("'Impact Indicators - Section B'!A"&amp;'Impact Indicator Target Update'!D605))</f>
        <v/>
      </c>
    </row>
    <row r="3899" spans="10:10" x14ac:dyDescent="0.3">
      <c r="J3899" s="486" t="str">
        <f ca="1">IF(ROW()&gt;'Impact Indicator Target Update'!A606,"",INDIRECT("'Impact Indicators - Section B'!A"&amp;'Impact Indicator Target Update'!D606))</f>
        <v/>
      </c>
    </row>
    <row r="3900" spans="10:10" x14ac:dyDescent="0.3">
      <c r="J3900" s="486" t="str">
        <f ca="1">IF(ROW()&gt;'Impact Indicator Target Update'!A607,"",INDIRECT("'Impact Indicators - Section B'!A"&amp;'Impact Indicator Target Update'!D607))</f>
        <v/>
      </c>
    </row>
    <row r="3901" spans="10:10" x14ac:dyDescent="0.3">
      <c r="J3901" s="486" t="str">
        <f ca="1">IF(ROW()&gt;'Impact Indicator Target Update'!A608,"",INDIRECT("'Impact Indicators - Section B'!A"&amp;'Impact Indicator Target Update'!D608))</f>
        <v/>
      </c>
    </row>
    <row r="3902" spans="10:10" x14ac:dyDescent="0.3">
      <c r="J3902" s="486" t="str">
        <f ca="1">IF(ROW()&gt;'Impact Indicator Target Update'!A609,"",INDIRECT("'Impact Indicators - Section B'!A"&amp;'Impact Indicator Target Update'!D609))</f>
        <v/>
      </c>
    </row>
    <row r="3903" spans="10:10" x14ac:dyDescent="0.3">
      <c r="J3903" s="486" t="str">
        <f ca="1">IF(ROW()&gt;'Impact Indicator Target Update'!A610,"",INDIRECT("'Impact Indicators - Section B'!A"&amp;'Impact Indicator Target Update'!D610))</f>
        <v/>
      </c>
    </row>
    <row r="3904" spans="10:10" x14ac:dyDescent="0.3">
      <c r="J3904" s="486" t="str">
        <f ca="1">IF(ROW()&gt;'Impact Indicator Target Update'!A611,"",INDIRECT("'Impact Indicators - Section B'!A"&amp;'Impact Indicator Target Update'!D611))</f>
        <v/>
      </c>
    </row>
    <row r="3905" spans="10:10" x14ac:dyDescent="0.3">
      <c r="J3905" s="486" t="str">
        <f ca="1">IF(ROW()&gt;'Impact Indicator Target Update'!A612,"",INDIRECT("'Impact Indicators - Section B'!A"&amp;'Impact Indicator Target Update'!D612))</f>
        <v/>
      </c>
    </row>
    <row r="3906" spans="10:10" x14ac:dyDescent="0.3">
      <c r="J3906" s="486" t="str">
        <f ca="1">IF(ROW()&gt;'Impact Indicator Target Update'!A613,"",INDIRECT("'Impact Indicators - Section B'!A"&amp;'Impact Indicator Target Update'!D613))</f>
        <v/>
      </c>
    </row>
    <row r="3907" spans="10:10" x14ac:dyDescent="0.3">
      <c r="J3907" s="486" t="str">
        <f ca="1">IF(ROW()&gt;'Impact Indicator Target Update'!A614,"",INDIRECT("'Impact Indicators - Section B'!A"&amp;'Impact Indicator Target Update'!D614))</f>
        <v/>
      </c>
    </row>
    <row r="3908" spans="10:10" x14ac:dyDescent="0.3">
      <c r="J3908" s="486" t="str">
        <f ca="1">IF(ROW()&gt;'Impact Indicator Target Update'!A615,"",INDIRECT("'Impact Indicators - Section B'!A"&amp;'Impact Indicator Target Update'!D615))</f>
        <v/>
      </c>
    </row>
    <row r="3909" spans="10:10" x14ac:dyDescent="0.3">
      <c r="J3909" s="486" t="str">
        <f ca="1">IF(ROW()&gt;'Impact Indicator Target Update'!A616,"",INDIRECT("'Impact Indicators - Section B'!A"&amp;'Impact Indicator Target Update'!D616))</f>
        <v/>
      </c>
    </row>
    <row r="3910" spans="10:10" x14ac:dyDescent="0.3">
      <c r="J3910" s="486" t="str">
        <f ca="1">IF(ROW()&gt;'Impact Indicator Target Update'!A617,"",INDIRECT("'Impact Indicators - Section B'!A"&amp;'Impact Indicator Target Update'!D617))</f>
        <v/>
      </c>
    </row>
    <row r="3911" spans="10:10" x14ac:dyDescent="0.3">
      <c r="J3911" s="486" t="str">
        <f ca="1">IF(ROW()&gt;'Impact Indicator Target Update'!A618,"",INDIRECT("'Impact Indicators - Section B'!A"&amp;'Impact Indicator Target Update'!D618))</f>
        <v/>
      </c>
    </row>
    <row r="3912" spans="10:10" x14ac:dyDescent="0.3">
      <c r="J3912" s="486" t="str">
        <f ca="1">IF(ROW()&gt;'Impact Indicator Target Update'!A619,"",INDIRECT("'Impact Indicators - Section B'!A"&amp;'Impact Indicator Target Update'!D619))</f>
        <v/>
      </c>
    </row>
  </sheetData>
  <sheetProtection password="8443" sheet="1" objects="1" scenarios="1"/>
  <dataValidations count="30">
    <dataValidation type="list" allowBlank="1" showInputMessage="1" showErrorMessage="1" errorTitle="X-Author for Excel" error="Please select either TRUE or FALSE from the dropdown." promptTitle="X-Author for Excel" sqref="A3:A33 Q2362:Q3322 A2362:A3322 A1411:A2191 A2196:A2356 A878:A1178 A1182:A1407 A511:A871 R445:R505 A445:A505 A259:A439 W223:W253 A223:A253 T39:T219 A39:A219 V3:V33" xr:uid="{60D7BF87-25D8-4BD3-8694-7DD2A621AAEF}">
      <formula1>"TRUE,FALSE"</formula1>
    </dataValidation>
    <dataValidation type="custom" allowBlank="1" showInputMessage="1" showErrorMessage="1" errorTitle="X-Author for Excel" error="Id and Lookup fields are not editable." promptTitle="X-Author for Excel" sqref="C3:C33 B2362:B3322 C1411:C2191 C2196:C2356 C878:C1178 C1182:C1407 C511:C871 C445:C505 C259:C439 C223:C253 C39:C219" xr:uid="{7930582D-A405-4239-A269-A1A0C6033464}">
      <formula1>""</formula1>
    </dataValidation>
    <dataValidation type="decimal" allowBlank="1" showInputMessage="1" showErrorMessage="1" errorTitle="X-Author for Excel" error="Please enter a valid numeric value. Valid range for Baseline % is -999.99 to 999.99." promptTitle="X-Author for Excel" sqref="D3:D33 E1411:E2191 E878:E1178 E1182:E1407 D445:D505 D223:D253" xr:uid="{9002D88F-7098-412F-B641-FB480C9387EB}">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11:H2191 H878:H1178 H1182:H1407 E445:E505 E223:E253" xr:uid="{00DC5D49-C365-4249-9F83-D81CEC323074}">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1411:G2191 G878:G1178 G1182:G1407 F223:F253" xr:uid="{D78D6C75-BA4C-4AE4-9515-0349DC521612}">
      <formula1>-100000000000000</formula1>
      <formula2>100000000000000</formula2>
    </dataValidation>
    <dataValidation type="list" allowBlank="1" showInputMessage="1" showErrorMessage="1" errorTitle="X-Author for Excel" error="Please select a value from the drop-down." promptTitle="X-Author for Excel" sqref="H3:H33" xr:uid="{C39E06EB-8775-4E0B-AF4B-4E3401BE3FE7}">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39:F219 D1182:D1407" xr:uid="{ED1EC836-EDF7-4993-97CA-6CE0DC231B84}">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J511:J871 I259:I439" xr:uid="{62A1B70C-1927-4136-856D-BDEC9654EBD6}">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39:J219 J259:J439" xr:uid="{82AD16AC-73CE-4CF3-8B46-272DC3B9BC31}">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39:K219 I511:I871 K259:K439" xr:uid="{28B8FEFB-32A1-4A1B-9F96-792B7A454F7F}">
      <formula1>-999.99</formula1>
      <formula2>999.99</formula2>
    </dataValidation>
    <dataValidation type="list" allowBlank="1" showInputMessage="1" showErrorMessage="1" errorTitle="X-Author for Excel" error="Please select a value from the drop-down." promptTitle="X-Author for Excel" sqref="L39:L219" xr:uid="{71BD0FBE-389C-4C91-8A29-7DA1B47A63EC}">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M259:M439" xr:uid="{BB1CD7A9-5265-4CA5-80E6-97AA9C2072B8}">
      <formula1>1</formula1>
      <formula2>767376</formula2>
    </dataValidation>
    <dataValidation type="list" allowBlank="1" showInputMessage="1" showErrorMessage="1" errorTitle="X-Author for Excel" error="Please select a value from the drop-down." promptTitle="X-Author for Excel" sqref="N39:N219" xr:uid="{146BFD22-292D-477C-9AE5-60EF2399C866}">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3:G253" xr:uid="{D5EAAA9F-0626-4D8A-A3AF-2C3C9BFB9DC3}">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F259:F439 D878:D1178" xr:uid="{D084CF80-0359-487F-B560-8DE601B92DB7}">
      <formula1>-1000000000000000000</formula1>
      <formula2>1000000000000000000</formula2>
    </dataValidation>
    <dataValidation type="list" allowBlank="1" showInputMessage="1" showErrorMessage="1" errorTitle="X-Author for Excel" error="Please select a value from the drop-down." promptTitle="X-Author for Excel" sqref="L259:L439" xr:uid="{5A7559A8-07FB-4449-8929-E0A010FB1238}">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59:N439" xr:uid="{D1D2ED41-D1D5-47D1-9ACC-5A296FA648D6}">
      <formula1>IF(IFERROR(ROWS(INDIRECT(SUBSTITUTE("AIM_Outcome_Indicator_Targets_Result__c.AIM_Mark_if_target_is_TBD__c"," ","_"))),-1) &lt; 0, 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Q259:Q439" xr:uid="{C6227E62-B294-4E4A-8515-E7FFFF8D7CAE}">
      <formula1>IF(IFERROR(ROWS(INDIRECT(SUBSTITUTE("AIM_Outcome_Indicator_Targets_Result__c.AIM_Due_for_Reporting__c"," ","_"))),-1) &lt; 0, XAuthorInvalidPicklistData,INDIRECT(SUBSTITUTE("AIM_Outcome_Indicator_Targets_Result__c.AIM_Due_for_Reporting__c"," ","_")))</formula1>
    </dataValidation>
    <dataValidation type="decimal" allowBlank="1" showInputMessage="1" showErrorMessage="1" errorTitle="X-Author for Excel" error="Please enter a valid numeric value. Valid range for Baseline N# is -1E+16 to 1E+16." promptTitle="X-Author for Excel" sqref="F445:F505" xr:uid="{E38A0D5E-5F9E-4E78-B03A-1D188D9B5D3C}">
      <formula1>-10000000000000000</formula1>
      <formula2>10000000000000000</formula2>
    </dataValidation>
    <dataValidation type="list" allowBlank="1" showInputMessage="1" showErrorMessage="1" errorTitle="X-Author for Excel" error="Please select a value from the drop-down." promptTitle="X-Author for Excel" sqref="L445:L505" xr:uid="{309D9BDE-1980-4E7E-8E77-95F13D399C5E}">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xr:uid="{7B62D9F4-C2D6-47CA-ADF7-3E86391CA523}">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xr:uid="{8191E05A-C49C-4F3D-9C86-226F4E2B5665}">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AF445:AF505 D1411:D2191 F511:F871" xr:uid="{C6187C2F-4C95-4182-BE90-CF75CF24F7DD}">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K511:K871" xr:uid="{D629FD52-06C1-46EB-AD44-E397F742DDF8}">
      <formula1>-10000000000000000</formula1>
      <formula2>10000000000000000</formula2>
    </dataValidation>
    <dataValidation type="list" allowBlank="1" showInputMessage="1" showErrorMessage="1" errorTitle="X-Author for Excel" error="Please select a value from the drop-down." promptTitle="X-Author for Excel" sqref="L511:L871" xr:uid="{06BC4AD3-CA7C-4FAC-B3E1-8EBE841EE2D8}">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11:T871" xr:uid="{58BBE3F6-7797-4AD9-8904-76F06DA0D533}">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82:I1407" xr:uid="{305A3856-9442-4B0F-80E2-599FDDEE4D44}">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878:I1178" xr:uid="{536E3286-9949-42DE-991A-F4983F623391}">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Key Activity Milestone Number is -1E+18 to 1E+18." promptTitle="X-Author for Excel" sqref="R2196:R2356 C2362:C3322" xr:uid="{4117224F-1C55-4780-9805-EEAD76E67127}">
      <formula1>-1000000000000000000</formula1>
      <formula2>1000000000000000000</formula2>
    </dataValidation>
    <dataValidation type="list" allowBlank="1" showInputMessage="1" showErrorMessage="1" errorTitle="X-Author for Excel" error="Please select a value from the drop-down." promptTitle="X-Author for Excel" sqref="I1411:I2191" xr:uid="{41DBD0EA-5FA9-4236-AA59-CD6DD4ED6172}">
      <formula1>IF(IFERROR(ROWS(INDIRECT(SUBSTITUTE("AIM_Coverage_Disaggregation__c.AIM_Year__c"," ","_"))),-1) &lt; 0, XAuthorInvalidPicklistData,INDIRECT(SUBSTITUTE("AIM_Coverage_Disaggregation__c.AIM_Year__c"," ","_")))</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Q74"/>
  <sheetViews>
    <sheetView topLeftCell="A10" workbookViewId="0">
      <selection activeCell="B21" sqref="B21"/>
    </sheetView>
  </sheetViews>
  <sheetFormatPr defaultRowHeight="15.6" x14ac:dyDescent="0.3"/>
  <cols>
    <col min="1" max="1" width="25.69921875" customWidth="1"/>
    <col min="4" max="4" width="17.19921875" customWidth="1"/>
    <col min="5" max="5" width="13.69921875" customWidth="1"/>
    <col min="6" max="6" width="16.19921875" customWidth="1"/>
    <col min="7" max="7" width="22.8984375" customWidth="1"/>
    <col min="9" max="9" width="21.09765625" customWidth="1"/>
    <col min="12" max="12" width="27.8984375" customWidth="1"/>
  </cols>
  <sheetData>
    <row r="1" spans="1:17" x14ac:dyDescent="0.3">
      <c r="A1" t="s">
        <v>286</v>
      </c>
      <c r="B1" t="s">
        <v>287</v>
      </c>
      <c r="C1" t="s">
        <v>288</v>
      </c>
      <c r="D1" t="s">
        <v>289</v>
      </c>
      <c r="E1" t="s">
        <v>290</v>
      </c>
      <c r="F1" t="s">
        <v>291</v>
      </c>
      <c r="G1" t="s">
        <v>292</v>
      </c>
      <c r="H1" t="s">
        <v>301</v>
      </c>
      <c r="L1" t="s">
        <v>374</v>
      </c>
      <c r="P1" s="232" t="s">
        <v>374</v>
      </c>
    </row>
    <row r="2" spans="1:17" x14ac:dyDescent="0.3">
      <c r="B2">
        <f>COUNTA(#REF!)-2</f>
        <v>-1</v>
      </c>
      <c r="C2">
        <f>COUNTA(#REF!)-2</f>
        <v>-1</v>
      </c>
      <c r="D2" s="132">
        <f>COUNTA(#REF!)-1</f>
        <v>0</v>
      </c>
      <c r="E2" s="132">
        <f>COUNTA(#REF!)-2</f>
        <v>-1</v>
      </c>
      <c r="F2" s="132">
        <f>COUNTA(#REF!)-1</f>
        <v>0</v>
      </c>
      <c r="G2" s="132">
        <f>COUNTA(#REF!)-1</f>
        <v>0</v>
      </c>
      <c r="H2">
        <f>COUNTA(#REF!)-2</f>
        <v>-1</v>
      </c>
      <c r="L2" t="str">
        <f t="array" ref="L2">IFERROR(INDEX(SectionAPopulation, MATCH(0, COUNTIF($L$1:L1, SectionAPopulation&amp;"") + IF(SectionAPopulation="",1,0), 0)), "")</f>
        <v>[Intervention FR]</v>
      </c>
      <c r="O2" s="232" t="str">
        <f ca="1">OFFSET('Overview - Section A'!$AK$123,MATCH(P2,'Overview - Section A'!$AN$123:$AN$174,0)-1,0,IF(COUNTIF('Overview - Section A'!$AN$123:$AN$174,P2)&gt;1,1,COUNTIF('Overview - Section A'!$AN$123:$AN$174,P2)),1)</f>
        <v/>
      </c>
      <c r="P2" s="164" t="str">
        <f t="array" ref="P2">IFERROR(INDEX('Overview - Section A'!$AN$123:$AN$174, MATCH(0, COUNTIF($P$1:P1, 'Overview - Section A'!$AN$123:$AN$174&amp;"") + IF('Overview - Section A'!$AN$123:$AN$174="",1,0), 0)), "")</f>
        <v/>
      </c>
      <c r="Q2" s="232" t="str">
        <f ca="1">OFFSET('Overview - Section A'!$AK$123,MATCH(P2,'Overview - Section A'!$AN$123:$AN$174,0)-1,1,IF(COUNTIF('Overview - Section A'!$AN$123:$AN$174,P2)&gt;1,1,COUNTIF('Overview - Section A'!$AN$123:$AN$174,P2)),1)</f>
        <v/>
      </c>
    </row>
    <row r="3" spans="1:17" x14ac:dyDescent="0.3">
      <c r="A3" t="s">
        <v>293</v>
      </c>
      <c r="B3">
        <f>B2*2</f>
        <v>-2</v>
      </c>
      <c r="C3">
        <f t="shared" ref="C3:G3" si="0">C2*2</f>
        <v>-2</v>
      </c>
      <c r="D3">
        <f t="shared" si="0"/>
        <v>0</v>
      </c>
      <c r="E3">
        <f t="shared" si="0"/>
        <v>-2</v>
      </c>
      <c r="F3">
        <f t="shared" si="0"/>
        <v>0</v>
      </c>
      <c r="G3">
        <f t="shared" si="0"/>
        <v>0</v>
      </c>
      <c r="L3" s="209" t="str">
        <f t="array" ref="L3">IFERROR(INDEX(SectionAPopulation, MATCH(0, COUNTIF($L$1:L2, SectionAPopulation&amp;"") + IF(SectionAPopulation="",1,0), 0)), "")</f>
        <v/>
      </c>
      <c r="O3" s="232" t="str">
        <f ca="1">OFFSET('Overview - Section A'!$AK$123,MATCH(P3,'Overview - Section A'!$AN$123:$AN$174,0)-1,0,IF(COUNTIF('Overview - Section A'!$AN$123:$AN$174,P3)&gt;1,1,COUNTIF('Overview - Section A'!$AN$123:$AN$174,P3)),1)</f>
        <v/>
      </c>
      <c r="P3" s="164" t="str">
        <f t="array" ref="P3">IFERROR(INDEX('Overview - Section A'!$AN$123:$AN$174, MATCH(0, COUNTIF($P$1:P2, 'Overview - Section A'!$AN$123:$AN$174&amp;"") + IF('Overview - Section A'!$AN$123:$AN$174="",1,0), 0)), "")</f>
        <v/>
      </c>
      <c r="Q3" s="232" t="str">
        <f ca="1">OFFSET('Overview - Section A'!$AK$123,MATCH(P3,'Overview - Section A'!$AN$123:$AN$174,0)-1,1,IF(COUNTIF('Overview - Section A'!$AN$123:$AN$174,P3)&gt;1,1,COUNTIF('Overview - Section A'!$AN$123:$AN$174,P3)),1)</f>
        <v/>
      </c>
    </row>
    <row r="4" spans="1:17" x14ac:dyDescent="0.3">
      <c r="L4" s="209" t="str">
        <f t="array" ref="L4">IFERROR(INDEX(SectionAPopulation, MATCH(0, COUNTIF($L$1:L3, SectionAPopulation&amp;"") + IF(SectionAPopulation="",1,0), 0)), "")</f>
        <v/>
      </c>
      <c r="O4" s="232" t="str">
        <f ca="1">OFFSET('Overview - Section A'!$AK$123,MATCH(P4,'Overview - Section A'!$AN$123:$AN$174,0)-1,0,IF(COUNTIF('Overview - Section A'!$AN$123:$AN$174,P4)&gt;1,1,COUNTIF('Overview - Section A'!$AN$123:$AN$174,P4)),1)</f>
        <v/>
      </c>
      <c r="P4" s="164" t="str">
        <f t="array" ref="P4">IFERROR(INDEX('Overview - Section A'!$AN$123:$AN$174, MATCH(0, COUNTIF($P$1:P3, 'Overview - Section A'!$AN$123:$AN$174&amp;"") + IF('Overview - Section A'!$AN$123:$AN$174="",1,0), 0)), "")</f>
        <v/>
      </c>
      <c r="Q4" s="232" t="str">
        <f ca="1">OFFSET('Overview - Section A'!$AK$123,MATCH(P4,'Overview - Section A'!$AN$123:$AN$174,0)-1,1,IF(COUNTIF('Overview - Section A'!$AN$123:$AN$174,P4)&gt;1,1,COUNTIF('Overview - Section A'!$AN$123:$AN$174,P4)),1)</f>
        <v/>
      </c>
    </row>
    <row r="5" spans="1:17" x14ac:dyDescent="0.3">
      <c r="A5" t="s">
        <v>294</v>
      </c>
      <c r="B5">
        <v>9</v>
      </c>
      <c r="L5" s="209" t="str">
        <f t="array" ref="L5">IFERROR(INDEX(SectionAPopulation, MATCH(0, COUNTIF($L$1:L4, SectionAPopulation&amp;"") + IF(SectionAPopulation="",1,0), 0)), "")</f>
        <v/>
      </c>
      <c r="O5" s="232" t="str">
        <f ca="1">OFFSET('Overview - Section A'!$AK$123,MATCH(P5,'Overview - Section A'!$AN$123:$AN$174,0)-1,0,IF(COUNTIF('Overview - Section A'!$AN$123:$AN$174,P5)&gt;1,1,COUNTIF('Overview - Section A'!$AN$123:$AN$174,P5)),1)</f>
        <v/>
      </c>
      <c r="P5" s="164" t="str">
        <f t="array" ref="P5">IFERROR(INDEX('Overview - Section A'!$AN$123:$AN$174, MATCH(0, COUNTIF($P$1:P4, 'Overview - Section A'!$AN$123:$AN$174&amp;"") + IF('Overview - Section A'!$AN$123:$AN$174="",1,0), 0)), "")</f>
        <v/>
      </c>
      <c r="Q5" s="232" t="str">
        <f ca="1">OFFSET('Overview - Section A'!$AK$123,MATCH(P5,'Overview - Section A'!$AN$123:$AN$174,0)-1,1,IF(COUNTIF('Overview - Section A'!$AN$123:$AN$174,P5)&gt;1,1,COUNTIF('Overview - Section A'!$AN$123:$AN$174,P5)),1)</f>
        <v/>
      </c>
    </row>
    <row r="6" spans="1:17" x14ac:dyDescent="0.3">
      <c r="A6" t="s">
        <v>295</v>
      </c>
      <c r="B6">
        <v>9</v>
      </c>
      <c r="L6" s="209" t="str">
        <f t="array" ref="L6">IFERROR(INDEX(SectionAPopulation, MATCH(0, COUNTIF($L$1:L5, SectionAPopulation&amp;"") + IF(SectionAPopulation="",1,0), 0)), "")</f>
        <v/>
      </c>
      <c r="O6" s="232" t="str">
        <f ca="1">OFFSET('Overview - Section A'!$AK$123,MATCH(P6,'Overview - Section A'!$AN$123:$AN$174,0)-1,0,IF(COUNTIF('Overview - Section A'!$AN$123:$AN$174,P6)&gt;1,1,COUNTIF('Overview - Section A'!$AN$123:$AN$174,P6)),1)</f>
        <v/>
      </c>
      <c r="P6" s="164" t="str">
        <f t="array" ref="P6">IFERROR(INDEX('Overview - Section A'!$AN$123:$AN$174, MATCH(0, COUNTIF($P$1:P5, 'Overview - Section A'!$AN$123:$AN$174&amp;"") + IF('Overview - Section A'!$AN$123:$AN$174="",1,0), 0)), "")</f>
        <v/>
      </c>
      <c r="Q6" s="232" t="str">
        <f ca="1">OFFSET('Overview - Section A'!$AK$123,MATCH(P6,'Overview - Section A'!$AN$123:$AN$174,0)-1,1,IF(COUNTIF('Overview - Section A'!$AN$123:$AN$174,P6)&gt;1,1,COUNTIF('Overview - Section A'!$AN$123:$AN$174,P6)),1)</f>
        <v/>
      </c>
    </row>
    <row r="7" spans="1:17" x14ac:dyDescent="0.3">
      <c r="A7" t="s">
        <v>296</v>
      </c>
      <c r="B7">
        <v>7</v>
      </c>
      <c r="L7" s="209" t="str">
        <f t="array" ref="L7">IFERROR(INDEX(SectionAPopulation, MATCH(0, COUNTIF($L$1:L6, SectionAPopulation&amp;"") + IF(SectionAPopulation="",1,0), 0)), "")</f>
        <v/>
      </c>
      <c r="O7" s="232" t="str">
        <f ca="1">OFFSET('Overview - Section A'!$AK$123,MATCH(P7,'Overview - Section A'!$AN$123:$AN$174,0)-1,0,IF(COUNTIF('Overview - Section A'!$AN$123:$AN$174,P7)&gt;1,1,COUNTIF('Overview - Section A'!$AN$123:$AN$174,P7)),1)</f>
        <v/>
      </c>
      <c r="P7" s="164" t="str">
        <f t="array" ref="P7">IFERROR(INDEX('Overview - Section A'!$AN$123:$AN$174, MATCH(0, COUNTIF($P$1:P6, 'Overview - Section A'!$AN$123:$AN$174&amp;"") + IF('Overview - Section A'!$AN$123:$AN$174="",1,0), 0)), "")</f>
        <v/>
      </c>
      <c r="Q7" s="232" t="str">
        <f ca="1">OFFSET('Overview - Section A'!$AK$123,MATCH(P7,'Overview - Section A'!$AN$123:$AN$174,0)-1,1,IF(COUNTIF('Overview - Section A'!$AN$123:$AN$174,P7)&gt;1,1,COUNTIF('Overview - Section A'!$AN$123:$AN$174,P7)),1)</f>
        <v/>
      </c>
    </row>
    <row r="8" spans="1:17" x14ac:dyDescent="0.3">
      <c r="A8" t="s">
        <v>297</v>
      </c>
      <c r="B8">
        <v>9</v>
      </c>
      <c r="L8" s="209" t="str">
        <f t="array" ref="L8">IFERROR(INDEX(SectionAPopulation, MATCH(0, COUNTIF($L$1:L7, SectionAPopulation&amp;"") + IF(SectionAPopulation="",1,0), 0)), "")</f>
        <v/>
      </c>
      <c r="O8" s="232" t="str">
        <f ca="1">OFFSET('Overview - Section A'!$AK$123,MATCH(P8,'Overview - Section A'!$AN$123:$AN$174,0)-1,0,IF(COUNTIF('Overview - Section A'!$AN$123:$AN$174,P8)&gt;1,1,COUNTIF('Overview - Section A'!$AN$123:$AN$174,P8)),1)</f>
        <v/>
      </c>
      <c r="P8" s="164" t="str">
        <f t="array" ref="P8">IFERROR(INDEX('Overview - Section A'!$AN$123:$AN$174, MATCH(0, COUNTIF($P$1:P7, 'Overview - Section A'!$AN$123:$AN$174&amp;"") + IF('Overview - Section A'!$AN$123:$AN$174="",1,0), 0)), "")</f>
        <v/>
      </c>
      <c r="Q8" s="232" t="str">
        <f ca="1">OFFSET('Overview - Section A'!$AK$123,MATCH(P8,'Overview - Section A'!$AN$123:$AN$174,0)-1,1,IF(COUNTIF('Overview - Section A'!$AN$123:$AN$174,P8)&gt;1,1,COUNTIF('Overview - Section A'!$AN$123:$AN$174,P8)),1)</f>
        <v/>
      </c>
    </row>
    <row r="9" spans="1:17" x14ac:dyDescent="0.3">
      <c r="A9" t="s">
        <v>298</v>
      </c>
      <c r="B9" s="132">
        <f>E2+B8+10</f>
        <v>18</v>
      </c>
      <c r="C9">
        <f>(B9-12)*2</f>
        <v>12</v>
      </c>
      <c r="L9" s="209" t="str">
        <f t="array" ref="L9">IFERROR(INDEX(SectionAPopulation, MATCH(0, COUNTIF($L$1:L8, SectionAPopulation&amp;"") + IF(SectionAPopulation="",1,0), 0)), "")</f>
        <v/>
      </c>
      <c r="O9" s="232" t="str">
        <f ca="1">OFFSET('Overview - Section A'!$AK$123,MATCH(P9,'Overview - Section A'!$AN$123:$AN$174,0)-1,0,IF(COUNTIF('Overview - Section A'!$AN$123:$AN$174,P9)&gt;1,1,COUNTIF('Overview - Section A'!$AN$123:$AN$174,P9)),1)</f>
        <v/>
      </c>
      <c r="P9" s="164" t="str">
        <f t="array" ref="P9">IFERROR(INDEX('Overview - Section A'!$AN$123:$AN$174, MATCH(0, COUNTIF($P$1:P8, 'Overview - Section A'!$AN$123:$AN$174&amp;"") + IF('Overview - Section A'!$AN$123:$AN$174="",1,0), 0)), "")</f>
        <v/>
      </c>
      <c r="Q9" s="232" t="str">
        <f ca="1">OFFSET('Overview - Section A'!$AK$123,MATCH(P9,'Overview - Section A'!$AN$123:$AN$174,0)-1,1,IF(COUNTIF('Overview - Section A'!$AN$123:$AN$174,P9)&gt;1,1,COUNTIF('Overview - Section A'!$AN$123:$AN$174,P9)),1)</f>
        <v/>
      </c>
    </row>
    <row r="10" spans="1:17" x14ac:dyDescent="0.3">
      <c r="A10" t="s">
        <v>299</v>
      </c>
      <c r="B10" s="132">
        <f>F2+B9+9</f>
        <v>27</v>
      </c>
      <c r="C10" s="192">
        <f>(B10-19)*2</f>
        <v>16</v>
      </c>
      <c r="L10" s="209" t="str">
        <f t="array" ref="L10">IFERROR(INDEX(SectionAPopulation, MATCH(0, COUNTIF($L$1:L9, SectionAPopulation&amp;"") + IF(SectionAPopulation="",1,0), 0)), "")</f>
        <v/>
      </c>
      <c r="O10" s="232" t="str">
        <f ca="1">OFFSET('Overview - Section A'!$AK$123,MATCH(P10,'Overview - Section A'!$AN$123:$AN$174,0)-1,0,IF(COUNTIF('Overview - Section A'!$AN$123:$AN$174,P10)&gt;1,1,COUNTIF('Overview - Section A'!$AN$123:$AN$174,P10)),1)</f>
        <v/>
      </c>
      <c r="P10" s="164" t="str">
        <f t="array" ref="P10">IFERROR(INDEX('Overview - Section A'!$AN$123:$AN$174, MATCH(0, COUNTIF($P$1:P9, 'Overview - Section A'!$AN$123:$AN$174&amp;"") + IF('Overview - Section A'!$AN$123:$AN$174="",1,0), 0)), "")</f>
        <v/>
      </c>
      <c r="Q10" s="232" t="str">
        <f ca="1">OFFSET('Overview - Section A'!$AK$123,MATCH(P10,'Overview - Section A'!$AN$123:$AN$174,0)-1,1,IF(COUNTIF('Overview - Section A'!$AN$123:$AN$174,P10)&gt;1,1,COUNTIF('Overview - Section A'!$AN$123:$AN$174,P10)),1)</f>
        <v/>
      </c>
    </row>
    <row r="11" spans="1:17" x14ac:dyDescent="0.3">
      <c r="A11" t="s">
        <v>300</v>
      </c>
      <c r="B11">
        <v>9</v>
      </c>
      <c r="L11" s="209" t="str">
        <f t="array" ref="L11">IFERROR(INDEX(SectionAPopulation, MATCH(0, COUNTIF($L$1:L10, SectionAPopulation&amp;"") + IF(SectionAPopulation="",1,0), 0)), "")</f>
        <v/>
      </c>
      <c r="O11" s="232" t="str">
        <f ca="1">OFFSET('Overview - Section A'!$AK$123,MATCH(P11,'Overview - Section A'!$AN$123:$AN$174,0)-1,0,IF(COUNTIF('Overview - Section A'!$AN$123:$AN$174,P11)&gt;1,1,COUNTIF('Overview - Section A'!$AN$123:$AN$174,P11)),1)</f>
        <v/>
      </c>
      <c r="P11" s="164" t="str">
        <f t="array" ref="P11">IFERROR(INDEX('Overview - Section A'!$AN$123:$AN$174, MATCH(0, COUNTIF($P$1:P10, 'Overview - Section A'!$AN$123:$AN$174&amp;"") + IF('Overview - Section A'!$AN$123:$AN$174="",1,0), 0)), "")</f>
        <v/>
      </c>
      <c r="Q11" s="232" t="str">
        <f ca="1">OFFSET('Overview - Section A'!$AK$123,MATCH(P11,'Overview - Section A'!$AN$123:$AN$174,0)-1,1,IF(COUNTIF('Overview - Section A'!$AN$123:$AN$174,P11)&gt;1,1,COUNTIF('Overview - Section A'!$AN$123:$AN$174,P11)),1)</f>
        <v/>
      </c>
    </row>
    <row r="12" spans="1:17" x14ac:dyDescent="0.3">
      <c r="L12" s="209" t="str">
        <f t="array" ref="L12">IFERROR(INDEX(SectionAPopulation, MATCH(0, COUNTIF($L$1:L11, SectionAPopulation&amp;"") + IF(SectionAPopulation="",1,0), 0)), "")</f>
        <v/>
      </c>
      <c r="O12" s="232" t="str">
        <f ca="1">OFFSET('Overview - Section A'!$AK$123,MATCH(P12,'Overview - Section A'!$AN$123:$AN$174,0)-1,0,IF(COUNTIF('Overview - Section A'!$AN$123:$AN$174,P12)&gt;1,1,COUNTIF('Overview - Section A'!$AN$123:$AN$174,P12)),1)</f>
        <v/>
      </c>
      <c r="P12" s="164" t="str">
        <f t="array" ref="P12">IFERROR(INDEX('Overview - Section A'!$AN$123:$AN$174, MATCH(0, COUNTIF($P$1:P11, 'Overview - Section A'!$AN$123:$AN$174&amp;"") + IF('Overview - Section A'!$AN$123:$AN$174="",1,0), 0)), "")</f>
        <v/>
      </c>
      <c r="Q12" s="232" t="str">
        <f ca="1">OFFSET('Overview - Section A'!$AK$123,MATCH(P12,'Overview - Section A'!$AN$123:$AN$174,0)-1,1,IF(COUNTIF('Overview - Section A'!$AN$123:$AN$174,P12)&gt;1,1,COUNTIF('Overview - Section A'!$AN$123:$AN$174,P12)),1)</f>
        <v/>
      </c>
    </row>
    <row r="13" spans="1:17" x14ac:dyDescent="0.3">
      <c r="L13" s="209" t="str">
        <f t="array" ref="L13">IFERROR(INDEX(SectionAPopulation, MATCH(0, COUNTIF($L$1:L12, SectionAPopulation&amp;"") + IF(SectionAPopulation="",1,0), 0)), "")</f>
        <v/>
      </c>
      <c r="O13" s="232" t="str">
        <f ca="1">OFFSET('Overview - Section A'!$AK$123,MATCH(P13,'Overview - Section A'!$AN$123:$AN$174,0)-1,0,IF(COUNTIF('Overview - Section A'!$AN$123:$AN$174,P13)&gt;1,1,COUNTIF('Overview - Section A'!$AN$123:$AN$174,P13)),1)</f>
        <v/>
      </c>
      <c r="P13" s="164" t="str">
        <f t="array" ref="P13">IFERROR(INDEX('Overview - Section A'!$AN$123:$AN$174, MATCH(0, COUNTIF($P$1:P12, 'Overview - Section A'!$AN$123:$AN$174&amp;"") + IF('Overview - Section A'!$AN$123:$AN$174="",1,0), 0)), "")</f>
        <v/>
      </c>
      <c r="Q13" s="232" t="str">
        <f ca="1">OFFSET('Overview - Section A'!$AK$123,MATCH(P13,'Overview - Section A'!$AN$123:$AN$174,0)-1,1,IF(COUNTIF('Overview - Section A'!$AN$123:$AN$174,P13)&gt;1,1,COUNTIF('Overview - Section A'!$AN$123:$AN$174,P13)),1)</f>
        <v/>
      </c>
    </row>
    <row r="14" spans="1:17" x14ac:dyDescent="0.3">
      <c r="A14" s="197" t="s">
        <v>320</v>
      </c>
      <c r="E14" s="232" t="s">
        <v>338</v>
      </c>
      <c r="G14" t="s">
        <v>1264</v>
      </c>
      <c r="I14" t="s">
        <v>1265</v>
      </c>
      <c r="L14" s="209" t="str">
        <f t="array" ref="L14">IFERROR(INDEX(SectionAPopulation, MATCH(0, COUNTIF($L$1:L13, SectionAPopulation&amp;"") + IF(SectionAPopulation="",1,0), 0)), "")</f>
        <v/>
      </c>
      <c r="O14" s="232" t="str">
        <f ca="1">OFFSET('Overview - Section A'!$AK$123,MATCH(P14,'Overview - Section A'!$AN$123:$AN$174,0)-1,0,IF(COUNTIF('Overview - Section A'!$AN$123:$AN$174,P14)&gt;1,1,COUNTIF('Overview - Section A'!$AN$123:$AN$174,P14)),1)</f>
        <v/>
      </c>
      <c r="P14" s="164" t="str">
        <f t="array" ref="P14">IFERROR(INDEX('Overview - Section A'!$AN$123:$AN$174, MATCH(0, COUNTIF($P$1:P13, 'Overview - Section A'!$AN$123:$AN$174&amp;"") + IF('Overview - Section A'!$AN$123:$AN$174="",1,0), 0)), "")</f>
        <v/>
      </c>
      <c r="Q14" s="232" t="str">
        <f ca="1">OFFSET('Overview - Section A'!$AK$123,MATCH(P14,'Overview - Section A'!$AN$123:$AN$174,0)-1,1,IF(COUNTIF('Overview - Section A'!$AN$123:$AN$174,P14)&gt;1,1,COUNTIF('Overview - Section A'!$AN$123:$AN$174,P14)),1)</f>
        <v/>
      </c>
    </row>
    <row r="15" spans="1:17" x14ac:dyDescent="0.3">
      <c r="E15" s="207" t="s">
        <v>888</v>
      </c>
      <c r="G15" s="207" t="str">
        <f ca="1">IF(OFFSET('Overview - Section A'!I$26,H15,0)&lt;&gt;"",OFFSET('Overview - Section A'!E$26,H15,0),"")</f>
        <v/>
      </c>
      <c r="H15">
        <v>1</v>
      </c>
      <c r="I15" t="str">
        <f ca="1">IFERROR(LOOKUP(2, 1/((COUNTIF(I$14:I14,$G$15:$G$41)=0)*($G$15:$G$41&lt;&gt;"")), $G$15:$G$41),"")</f>
        <v>Alliance Nationale Contre Le Sida en Cote D'Ivoire</v>
      </c>
      <c r="L15" s="209" t="str">
        <f t="array" ref="L15">IFERROR(INDEX(SectionAPopulation, MATCH(0, COUNTIF($L$1:L14, SectionAPopulation&amp;"") + IF(SectionAPopulation="",1,0), 0)), "")</f>
        <v/>
      </c>
      <c r="O15" s="232" t="str">
        <f ca="1">OFFSET('Overview - Section A'!$AK$123,MATCH(P15,'Overview - Section A'!$AN$123:$AN$174,0)-1,0,IF(COUNTIF('Overview - Section A'!$AN$123:$AN$174,P15)&gt;1,1,COUNTIF('Overview - Section A'!$AN$123:$AN$174,P15)),1)</f>
        <v/>
      </c>
      <c r="P15" s="164" t="str">
        <f t="array" ref="P15">IFERROR(INDEX('Overview - Section A'!$AN$123:$AN$174, MATCH(0, COUNTIF($P$1:P14, 'Overview - Section A'!$AN$123:$AN$174&amp;"") + IF('Overview - Section A'!$AN$123:$AN$174="",1,0), 0)), "")</f>
        <v/>
      </c>
      <c r="Q15" s="232" t="str">
        <f ca="1">OFFSET('Overview - Section A'!$AK$123,MATCH(P15,'Overview - Section A'!$AN$123:$AN$174,0)-1,1,IF(COUNTIF('Overview - Section A'!$AN$123:$AN$174,P15)&gt;1,1,COUNTIF('Overview - Section A'!$AN$123:$AN$174,P15)),1)</f>
        <v/>
      </c>
    </row>
    <row r="16" spans="1:17" x14ac:dyDescent="0.3">
      <c r="A16" s="197" t="s">
        <v>317</v>
      </c>
      <c r="E16" s="207" t="s">
        <v>889</v>
      </c>
      <c r="G16" s="207" t="str">
        <f ca="1">IF(OFFSET('Overview - Section A'!I$26,H16,0)&lt;&gt;"",OFFSET('Overview - Section A'!E$26,H16,0),"")</f>
        <v/>
      </c>
      <c r="H16">
        <v>2</v>
      </c>
      <c r="I16" s="232" t="str">
        <f ca="1">IFERROR(LOOKUP(2, 1/((COUNTIF(I$14:I15,$G$15:$G$41)=0)*($G$15:$G$41&lt;&gt;"")), $G$15:$G$41),"")</f>
        <v>Programme National de Lutte contre le SIDA de la République de Côte d'Ivoire</v>
      </c>
      <c r="L16" s="209" t="str">
        <f t="array" ref="L16">IFERROR(INDEX(SectionAPopulation, MATCH(0, COUNTIF($L$1:L15, SectionAPopulation&amp;"") + IF(SectionAPopulation="",1,0), 0)), "")</f>
        <v/>
      </c>
      <c r="O16" s="232" t="str">
        <f ca="1">OFFSET('Overview - Section A'!$AK$123,MATCH(P16,'Overview - Section A'!$AN$123:$AN$174,0)-1,0,IF(COUNTIF('Overview - Section A'!$AN$123:$AN$174,P16)&gt;1,1,COUNTIF('Overview - Section A'!$AN$123:$AN$174,P16)),1)</f>
        <v/>
      </c>
      <c r="P16" s="164" t="str">
        <f t="array" ref="P16">IFERROR(INDEX('Overview - Section A'!$AN$123:$AN$174, MATCH(0, COUNTIF($P$1:P15, 'Overview - Section A'!$AN$123:$AN$174&amp;"") + IF('Overview - Section A'!$AN$123:$AN$174="",1,0), 0)), "")</f>
        <v/>
      </c>
      <c r="Q16" s="232" t="str">
        <f ca="1">OFFSET('Overview - Section A'!$AK$123,MATCH(P16,'Overview - Section A'!$AN$123:$AN$174,0)-1,1,IF(COUNTIF('Overview - Section A'!$AN$123:$AN$174,P16)&gt;1,1,COUNTIF('Overview - Section A'!$AN$123:$AN$174,P16)),1)</f>
        <v/>
      </c>
    </row>
    <row r="17" spans="1:17" x14ac:dyDescent="0.3">
      <c r="A17" s="197" t="s">
        <v>318</v>
      </c>
      <c r="E17" s="207" t="s">
        <v>890</v>
      </c>
      <c r="G17" s="207" t="str">
        <f ca="1">IF(OFFSET('Overview - Section A'!I$26,H17,0)&lt;&gt;"",OFFSET('Overview - Section A'!E$26,H17,0),"")</f>
        <v/>
      </c>
      <c r="H17" s="232">
        <v>3</v>
      </c>
      <c r="I17" s="232" t="str">
        <f ca="1">IFERROR(LOOKUP(2, 1/((COUNTIF(I$14:I16,$G$15:$G$41)=0)*($G$15:$G$41&lt;&gt;"")), $G$15:$G$41),"")</f>
        <v/>
      </c>
      <c r="L17" s="209" t="str">
        <f t="array" ref="L17">IFERROR(INDEX(SectionAPopulation, MATCH(0, COUNTIF($L$1:L16, SectionAPopulation&amp;"") + IF(SectionAPopulation="",1,0), 0)), "")</f>
        <v/>
      </c>
      <c r="O17" s="232" t="str">
        <f ca="1">OFFSET('Overview - Section A'!$AK$123,MATCH(P17,'Overview - Section A'!$AN$123:$AN$174,0)-1,0,IF(COUNTIF('Overview - Section A'!$AN$123:$AN$174,P17)&gt;1,1,COUNTIF('Overview - Section A'!$AN$123:$AN$174,P17)),1)</f>
        <v/>
      </c>
      <c r="P17" s="164" t="str">
        <f t="array" ref="P17">IFERROR(INDEX('Overview - Section A'!$AN$123:$AN$174, MATCH(0, COUNTIF($P$1:P16, 'Overview - Section A'!$AN$123:$AN$174&amp;"") + IF('Overview - Section A'!$AN$123:$AN$174="",1,0), 0)), "")</f>
        <v/>
      </c>
      <c r="Q17" s="232" t="str">
        <f ca="1">OFFSET('Overview - Section A'!$AK$123,MATCH(P17,'Overview - Section A'!$AN$123:$AN$174,0)-1,1,IF(COUNTIF('Overview - Section A'!$AN$123:$AN$174,P17)&gt;1,1,COUNTIF('Overview - Section A'!$AN$123:$AN$174,P17)),1)</f>
        <v/>
      </c>
    </row>
    <row r="18" spans="1:17" x14ac:dyDescent="0.3">
      <c r="A18" s="197" t="s">
        <v>319</v>
      </c>
      <c r="E18" s="197"/>
      <c r="G18" s="207" t="str">
        <f ca="1">IF(OFFSET('Overview - Section A'!I$26,H18,0)&lt;&gt;"",OFFSET('Overview - Section A'!E$26,H18,0),"")</f>
        <v/>
      </c>
      <c r="H18" s="232">
        <v>4</v>
      </c>
      <c r="I18" s="232" t="str">
        <f ca="1">IFERROR(LOOKUP(2, 1/((COUNTIF(I$14:I17,$G$15:$G$41)=0)*($G$15:$G$41&lt;&gt;"")), $G$15:$G$41),"")</f>
        <v/>
      </c>
      <c r="L18" s="209" t="str">
        <f t="array" ref="L18">IFERROR(INDEX(SectionAPopulation, MATCH(0, COUNTIF($L$1:L17, SectionAPopulation&amp;"") + IF(SectionAPopulation="",1,0), 0)), "")</f>
        <v/>
      </c>
      <c r="O18" s="232" t="str">
        <f ca="1">OFFSET('Overview - Section A'!$AK$123,MATCH(P18,'Overview - Section A'!$AN$123:$AN$174,0)-1,0,IF(COUNTIF('Overview - Section A'!$AN$123:$AN$174,P18)&gt;1,1,COUNTIF('Overview - Section A'!$AN$123:$AN$174,P18)),1)</f>
        <v/>
      </c>
      <c r="P18" s="164" t="str">
        <f t="array" ref="P18">IFERROR(INDEX('Overview - Section A'!$AN$123:$AN$174, MATCH(0, COUNTIF($P$1:P17, 'Overview - Section A'!$AN$123:$AN$174&amp;"") + IF('Overview - Section A'!$AN$123:$AN$174="",1,0), 0)), "")</f>
        <v/>
      </c>
      <c r="Q18" s="232" t="str">
        <f ca="1">OFFSET('Overview - Section A'!$AK$123,MATCH(P18,'Overview - Section A'!$AN$123:$AN$174,0)-1,1,IF(COUNTIF('Overview - Section A'!$AN$123:$AN$174,P18)&gt;1,1,COUNTIF('Overview - Section A'!$AN$123:$AN$174,P18)),1)</f>
        <v/>
      </c>
    </row>
    <row r="19" spans="1:17" x14ac:dyDescent="0.3">
      <c r="G19" s="207" t="str">
        <f ca="1">IF(OFFSET('Overview - Section A'!I$26,H19,0)&lt;&gt;"",OFFSET('Overview - Section A'!E$26,H19,0),"")</f>
        <v/>
      </c>
      <c r="H19" s="232">
        <v>5</v>
      </c>
      <c r="I19" s="232" t="str">
        <f ca="1">IFERROR(LOOKUP(2, 1/((COUNTIF(I$14:I18,$G$15:$G$41)=0)*($G$15:$G$41&lt;&gt;"")), $G$15:$G$41),"")</f>
        <v/>
      </c>
      <c r="L19" s="209" t="str">
        <f t="array" ref="L19">IFERROR(INDEX(SectionAPopulation, MATCH(0, COUNTIF($L$1:L18, SectionAPopulation&amp;"") + IF(SectionAPopulation="",1,0), 0)), "")</f>
        <v/>
      </c>
      <c r="O19" s="232" t="str">
        <f ca="1">OFFSET('Overview - Section A'!$AK$123,MATCH(P19,'Overview - Section A'!$AN$123:$AN$174,0)-1,0,IF(COUNTIF('Overview - Section A'!$AN$123:$AN$174,P19)&gt;1,1,COUNTIF('Overview - Section A'!$AN$123:$AN$174,P19)),1)</f>
        <v/>
      </c>
      <c r="P19" s="164" t="str">
        <f t="array" ref="P19">IFERROR(INDEX('Overview - Section A'!$AN$123:$AN$174, MATCH(0, COUNTIF($P$1:P18, 'Overview - Section A'!$AN$123:$AN$174&amp;"") + IF('Overview - Section A'!$AN$123:$AN$174="",1,0), 0)), "")</f>
        <v/>
      </c>
      <c r="Q19" s="232" t="str">
        <f ca="1">OFFSET('Overview - Section A'!$AK$123,MATCH(P19,'Overview - Section A'!$AN$123:$AN$174,0)-1,1,IF(COUNTIF('Overview - Section A'!$AN$123:$AN$174,P19)&gt;1,1,COUNTIF('Overview - Section A'!$AN$123:$AN$174,P19)),1)</f>
        <v/>
      </c>
    </row>
    <row r="20" spans="1:17" x14ac:dyDescent="0.3">
      <c r="A20" s="601" t="s">
        <v>1292</v>
      </c>
      <c r="B20" s="601"/>
      <c r="C20" s="601"/>
      <c r="D20" s="601"/>
      <c r="G20" s="207" t="str">
        <f ca="1">IF(OFFSET('Overview - Section A'!I$26,H20,0)&lt;&gt;"",OFFSET('Overview - Section A'!E$26,H20,0),"")</f>
        <v/>
      </c>
      <c r="H20" s="232">
        <v>6</v>
      </c>
      <c r="I20" s="232" t="str">
        <f ca="1">IFERROR(LOOKUP(2, 1/((COUNTIF(I$14:I19,$G$15:$G$41)=0)*($G$15:$G$41&lt;&gt;"")), $G$15:$G$41),"")</f>
        <v/>
      </c>
      <c r="L20" s="209" t="str">
        <f t="array" ref="L20">IFERROR(INDEX(SectionAPopulation, MATCH(0, COUNTIF($L$1:L19, SectionAPopulation&amp;"") + IF(SectionAPopulation="",1,0), 0)), "")</f>
        <v/>
      </c>
      <c r="O20" s="232" t="str">
        <f ca="1">OFFSET('Overview - Section A'!$AK$123,MATCH(P20,'Overview - Section A'!$AN$123:$AN$174,0)-1,0,IF(COUNTIF('Overview - Section A'!$AN$123:$AN$174,P20)&gt;1,1,COUNTIF('Overview - Section A'!$AN$123:$AN$174,P20)),1)</f>
        <v/>
      </c>
      <c r="P20" s="164" t="str">
        <f t="array" ref="P20">IFERROR(INDEX('Overview - Section A'!$AN$123:$AN$174, MATCH(0, COUNTIF($P$1:P19, 'Overview - Section A'!$AN$123:$AN$174&amp;"") + IF('Overview - Section A'!$AN$123:$AN$174="",1,0), 0)), "")</f>
        <v/>
      </c>
      <c r="Q20" s="232" t="str">
        <f ca="1">OFFSET('Overview - Section A'!$AK$123,MATCH(P20,'Overview - Section A'!$AN$123:$AN$174,0)-1,1,IF(COUNTIF('Overview - Section A'!$AN$123:$AN$174,P20)&gt;1,1,COUNTIF('Overview - Section A'!$AN$123:$AN$174,P20)),1)</f>
        <v/>
      </c>
    </row>
    <row r="21" spans="1:17" x14ac:dyDescent="0.3">
      <c r="A21" s="197" t="s">
        <v>325</v>
      </c>
      <c r="B21" s="192">
        <f>MAX('update Helper'!U3:U34)</f>
        <v>15</v>
      </c>
      <c r="G21" s="207" t="str">
        <f ca="1">IF(OFFSET('Overview - Section A'!I$26,H21,0)&lt;&gt;"",OFFSET('Overview - Section A'!E$26,H21,0),"")</f>
        <v/>
      </c>
      <c r="H21" s="232">
        <v>7</v>
      </c>
      <c r="I21" s="232" t="str">
        <f ca="1">IFERROR(LOOKUP(2, 1/((COUNTIF(I$14:I20,$G$15:$G$41)=0)*($G$15:$G$41&lt;&gt;"")), $G$15:$G$41),"")</f>
        <v/>
      </c>
      <c r="L21" s="209" t="str">
        <f t="array" ref="L21">IFERROR(INDEX(SectionAPopulation, MATCH(0, COUNTIF($L$1:L20, SectionAPopulation&amp;"") + IF(SectionAPopulation="",1,0), 0)), "")</f>
        <v/>
      </c>
      <c r="O21" s="232" t="str">
        <f ca="1">OFFSET('Overview - Section A'!$AK$123,MATCH(P21,'Overview - Section A'!$AN$123:$AN$174,0)-1,0,IF(COUNTIF('Overview - Section A'!$AN$123:$AN$174,P21)&gt;1,1,COUNTIF('Overview - Section A'!$AN$123:$AN$174,P21)),1)</f>
        <v/>
      </c>
      <c r="P21" s="164" t="str">
        <f t="array" ref="P21">IFERROR(INDEX('Overview - Section A'!$AN$123:$AN$174, MATCH(0, COUNTIF($P$1:P20, 'Overview - Section A'!$AN$123:$AN$174&amp;"") + IF('Overview - Section A'!$AN$123:$AN$174="",1,0), 0)), "")</f>
        <v/>
      </c>
      <c r="Q21" s="232" t="str">
        <f ca="1">OFFSET('Overview - Section A'!$AK$123,MATCH(P21,'Overview - Section A'!$AN$123:$AN$174,0)-1,1,IF(COUNTIF('Overview - Section A'!$AN$123:$AN$174,P21)&gt;1,1,COUNTIF('Overview - Section A'!$AN$123:$AN$174,P21)),1)</f>
        <v/>
      </c>
    </row>
    <row r="22" spans="1:17" x14ac:dyDescent="0.3">
      <c r="A22" s="192" t="s">
        <v>326</v>
      </c>
      <c r="B22">
        <f>MAX('update Helper'!P38:P220)</f>
        <v>90</v>
      </c>
      <c r="G22" s="207" t="str">
        <f ca="1">IF(OFFSET('Overview - Section A'!I$26,H22,0)&lt;&gt;"",OFFSET('Overview - Section A'!E$26,H22,0),"")</f>
        <v/>
      </c>
      <c r="H22" s="232">
        <v>8</v>
      </c>
      <c r="I22" s="232" t="str">
        <f ca="1">IFERROR(LOOKUP(2, 1/((COUNTIF(I$14:I21,$G$15:$G$41)=0)*($G$15:$G$41&lt;&gt;"")), $G$15:$G$41),"")</f>
        <v/>
      </c>
      <c r="L22" s="209" t="str">
        <f t="array" ref="L22">IFERROR(INDEX(SectionAPopulation, MATCH(0, COUNTIF($L$1:L21, SectionAPopulation&amp;"") + IF(SectionAPopulation="",1,0), 0)), "")</f>
        <v/>
      </c>
      <c r="O22" s="232" t="str">
        <f ca="1">OFFSET('Overview - Section A'!$AK$123,MATCH(P22,'Overview - Section A'!$AN$123:$AN$174,0)-1,0,IF(COUNTIF('Overview - Section A'!$AN$123:$AN$174,P22)&gt;1,1,COUNTIF('Overview - Section A'!$AN$123:$AN$174,P22)),1)</f>
        <v/>
      </c>
      <c r="P22" s="164" t="str">
        <f t="array" ref="P22">IFERROR(INDEX('Overview - Section A'!$AN$123:$AN$174, MATCH(0, COUNTIF($P$1:P21, 'Overview - Section A'!$AN$123:$AN$174&amp;"") + IF('Overview - Section A'!$AN$123:$AN$174="",1,0), 0)), "")</f>
        <v/>
      </c>
      <c r="Q22" s="232" t="str">
        <f ca="1">OFFSET('Overview - Section A'!$AK$123,MATCH(P22,'Overview - Section A'!$AN$123:$AN$174,0)-1,1,IF(COUNTIF('Overview - Section A'!$AN$123:$AN$174,P22)&gt;1,1,COUNTIF('Overview - Section A'!$AN$123:$AN$174,P22)),1)</f>
        <v/>
      </c>
    </row>
    <row r="23" spans="1:17" x14ac:dyDescent="0.3">
      <c r="A23" s="192" t="s">
        <v>327</v>
      </c>
      <c r="B23" s="192">
        <f>MAX('update Helper'!V223:V254)</f>
        <v>15</v>
      </c>
      <c r="G23" s="207" t="str">
        <f ca="1">IF(OFFSET('Overview - Section A'!I$26,H23,0)&lt;&gt;"",OFFSET('Overview - Section A'!E$26,H23,0),"")</f>
        <v/>
      </c>
      <c r="H23" s="232">
        <v>9</v>
      </c>
      <c r="I23" s="232" t="str">
        <f ca="1">IFERROR(LOOKUP(2, 1/((COUNTIF(I$14:I22,$G$15:$G$41)=0)*($G$15:$G$41&lt;&gt;"")), $G$15:$G$41),"")</f>
        <v/>
      </c>
      <c r="L23" s="209" t="str">
        <f t="array" ref="L23">IFERROR(INDEX(SectionAPopulation, MATCH(0, COUNTIF($L$1:L22, SectionAPopulation&amp;"") + IF(SectionAPopulation="",1,0), 0)), "")</f>
        <v/>
      </c>
      <c r="O23" s="232" t="str">
        <f ca="1">OFFSET('Overview - Section A'!$AK$123,MATCH(P23,'Overview - Section A'!$AN$123:$AN$174,0)-1,0,IF(COUNTIF('Overview - Section A'!$AN$123:$AN$174,P23)&gt;1,1,COUNTIF('Overview - Section A'!$AN$123:$AN$174,P23)),1)</f>
        <v/>
      </c>
      <c r="P23" s="164" t="str">
        <f t="array" ref="P23">IFERROR(INDEX('Overview - Section A'!$AN$123:$AN$174, MATCH(0, COUNTIF($P$1:P22, 'Overview - Section A'!$AN$123:$AN$174&amp;"") + IF('Overview - Section A'!$AN$123:$AN$174="",1,0), 0)), "")</f>
        <v/>
      </c>
      <c r="Q23" s="232" t="str">
        <f ca="1">OFFSET('Overview - Section A'!$AK$123,MATCH(P23,'Overview - Section A'!$AN$123:$AN$174,0)-1,1,IF(COUNTIF('Overview - Section A'!$AN$123:$AN$174,P23)&gt;1,1,COUNTIF('Overview - Section A'!$AN$123:$AN$174,P23)),1)</f>
        <v/>
      </c>
    </row>
    <row r="24" spans="1:17" x14ac:dyDescent="0.3">
      <c r="A24" s="192" t="s">
        <v>328</v>
      </c>
      <c r="B24" s="192">
        <f>'update Helper'!AC2</f>
        <v>90</v>
      </c>
      <c r="G24" t="str">
        <f ca="1">IF(OFFSET('Overview - Section A'!J$30,H24,0)&lt;&gt;0,OFFSET('Overview - Section A'!E$30,H24,0),"")</f>
        <v>Programme National de Lutte contre le SIDA de la République de Côte d'Ivoire</v>
      </c>
      <c r="H24">
        <v>1</v>
      </c>
      <c r="I24" s="232" t="str">
        <f ca="1">IFERROR(LOOKUP(2, 1/((COUNTIF(I$14:I23,$G$15:$G$41)=0)*($G$15:$G$41&lt;&gt;"")), $G$15:$G$41),"")</f>
        <v/>
      </c>
      <c r="L24" s="209" t="str">
        <f t="array" ref="L24">IFERROR(INDEX(SectionAPopulation, MATCH(0, COUNTIF($L$1:L23, SectionAPopulation&amp;"") + IF(SectionAPopulation="",1,0), 0)), "")</f>
        <v/>
      </c>
      <c r="O24" s="232" t="str">
        <f ca="1">OFFSET('Overview - Section A'!$AK$123,MATCH(P24,'Overview - Section A'!$AN$123:$AN$174,0)-1,0,IF(COUNTIF('Overview - Section A'!$AN$123:$AN$174,P24)&gt;1,1,COUNTIF('Overview - Section A'!$AN$123:$AN$174,P24)),1)</f>
        <v/>
      </c>
      <c r="P24" s="164" t="str">
        <f t="array" ref="P24">IFERROR(INDEX('Overview - Section A'!$AN$123:$AN$174, MATCH(0, COUNTIF($P$1:P23, 'Overview - Section A'!$AN$123:$AN$174&amp;"") + IF('Overview - Section A'!$AN$123:$AN$174="",1,0), 0)), "")</f>
        <v/>
      </c>
      <c r="Q24" s="232" t="str">
        <f ca="1">OFFSET('Overview - Section A'!$AK$123,MATCH(P24,'Overview - Section A'!$AN$123:$AN$174,0)-1,1,IF(COUNTIF('Overview - Section A'!$AN$123:$AN$174,P24)&gt;1,1,COUNTIF('Overview - Section A'!$AN$123:$AN$174,P24)),1)</f>
        <v/>
      </c>
    </row>
    <row r="25" spans="1:17" x14ac:dyDescent="0.3">
      <c r="A25" s="192" t="s">
        <v>329</v>
      </c>
      <c r="B25" s="192">
        <f>MAX('update Helper'!AC445:AC506)</f>
        <v>30</v>
      </c>
      <c r="G25" s="232" t="str">
        <f ca="1">IF(OFFSET('Overview - Section A'!J$30,H25,0)&lt;&gt;0,OFFSET('Overview - Section A'!E$30,H25,0),"")</f>
        <v>Alliance Nationale Contre Le Sida en Cote D'Ivoire</v>
      </c>
      <c r="H25">
        <v>2</v>
      </c>
      <c r="I25" s="232" t="str">
        <f ca="1">IFERROR(LOOKUP(2, 1/((COUNTIF(I$14:I24,$G$15:$G$41)=0)*($G$15:$G$41&lt;&gt;"")), $G$15:$G$41),"")</f>
        <v/>
      </c>
      <c r="L25" s="209" t="str">
        <f t="array" ref="L25">IFERROR(INDEX(SectionAPopulation, MATCH(0, COUNTIF($L$1:L24, SectionAPopulation&amp;"") + IF(SectionAPopulation="",1,0), 0)), "")</f>
        <v/>
      </c>
      <c r="O25" s="232" t="str">
        <f ca="1">OFFSET('Overview - Section A'!$AK$123,MATCH(P25,'Overview - Section A'!$AN$123:$AN$174,0)-1,0,IF(COUNTIF('Overview - Section A'!$AN$123:$AN$174,P25)&gt;1,1,COUNTIF('Overview - Section A'!$AN$123:$AN$174,P25)),1)</f>
        <v/>
      </c>
      <c r="P25" s="164" t="str">
        <f t="array" ref="P25">IFERROR(INDEX('Overview - Section A'!$AN$123:$AN$174, MATCH(0, COUNTIF($P$1:P24, 'Overview - Section A'!$AN$123:$AN$174&amp;"") + IF('Overview - Section A'!$AN$123:$AN$174="",1,0), 0)), "")</f>
        <v/>
      </c>
      <c r="Q25" s="232" t="str">
        <f ca="1">OFFSET('Overview - Section A'!$AK$123,MATCH(P25,'Overview - Section A'!$AN$123:$AN$174,0)-1,1,IF(COUNTIF('Overview - Section A'!$AN$123:$AN$174,P25)&gt;1,1,COUNTIF('Overview - Section A'!$AN$123:$AN$174,P25)),1)</f>
        <v/>
      </c>
    </row>
    <row r="26" spans="1:17" x14ac:dyDescent="0.3">
      <c r="A26" t="s">
        <v>1275</v>
      </c>
      <c r="B26">
        <f>MAX('update Helper'!P511:P872)</f>
        <v>180</v>
      </c>
      <c r="G26" s="232" t="str">
        <f ca="1">IF(OFFSET('Overview - Section A'!J$30,H26,0)&lt;&gt;0,OFFSET('Overview - Section A'!E$30,H26,0),"")</f>
        <v/>
      </c>
      <c r="H26" s="232">
        <v>3</v>
      </c>
      <c r="I26" s="232" t="str">
        <f ca="1">IFERROR(LOOKUP(2, 1/((COUNTIF(I$14:I25,$G$15:$G$41)=0)*($G$15:$G$41&lt;&gt;"")), $G$15:$G$41),"")</f>
        <v/>
      </c>
      <c r="L26" s="209" t="str">
        <f t="array" ref="L26">IFERROR(INDEX(SectionAPopulation, MATCH(0, COUNTIF($L$1:L25, SectionAPopulation&amp;"") + IF(SectionAPopulation="",1,0), 0)), "")</f>
        <v/>
      </c>
      <c r="O26" s="232" t="str">
        <f ca="1">OFFSET('Overview - Section A'!$AK$123,MATCH(P26,'Overview - Section A'!$AN$123:$AN$174,0)-1,0,IF(COUNTIF('Overview - Section A'!$AN$123:$AN$174,P26)&gt;1,1,COUNTIF('Overview - Section A'!$AN$123:$AN$174,P26)),1)</f>
        <v/>
      </c>
      <c r="P26" s="164" t="str">
        <f t="array" ref="P26">IFERROR(INDEX('Overview - Section A'!$AN$123:$AN$174, MATCH(0, COUNTIF($P$1:P25, 'Overview - Section A'!$AN$123:$AN$174&amp;"") + IF('Overview - Section A'!$AN$123:$AN$174="",1,0), 0)), "")</f>
        <v/>
      </c>
      <c r="Q26" s="232" t="str">
        <f ca="1">OFFSET('Overview - Section A'!$AK$123,MATCH(P26,'Overview - Section A'!$AN$123:$AN$174,0)-1,1,IF(COUNTIF('Overview - Section A'!$AN$123:$AN$174,P26)&gt;1,1,COUNTIF('Overview - Section A'!$AN$123:$AN$174,P26)),1)</f>
        <v/>
      </c>
    </row>
    <row r="27" spans="1:17" x14ac:dyDescent="0.3">
      <c r="A27" t="s">
        <v>1287</v>
      </c>
      <c r="B27">
        <f>MAX('update Helper'!P511:P872)</f>
        <v>180</v>
      </c>
      <c r="G27" s="232" t="str">
        <f ca="1">IF(OFFSET('Overview - Section A'!J$30,H27,0)&lt;&gt;0,OFFSET('Overview - Section A'!E$30,H27,0),"")</f>
        <v/>
      </c>
      <c r="H27" s="232">
        <v>4</v>
      </c>
      <c r="I27" s="232" t="str">
        <f ca="1">IFERROR(LOOKUP(2, 1/((COUNTIF(I$14:I26,$G$15:$G$41)=0)*($G$15:$G$41&lt;&gt;"")), $G$15:$G$41),"")</f>
        <v/>
      </c>
      <c r="L27" s="209" t="str">
        <f t="array" ref="L27">IFERROR(INDEX(SectionAPopulation, MATCH(0, COUNTIF($L$1:L26, SectionAPopulation&amp;"") + IF(SectionAPopulation="",1,0), 0)), "")</f>
        <v/>
      </c>
      <c r="O27" s="232" t="str">
        <f ca="1">OFFSET('Overview - Section A'!$AK$123,MATCH(P27,'Overview - Section A'!$AN$123:$AN$174,0)-1,0,IF(COUNTIF('Overview - Section A'!$AN$123:$AN$174,P27)&gt;1,1,COUNTIF('Overview - Section A'!$AN$123:$AN$174,P27)),1)</f>
        <v/>
      </c>
      <c r="P27" s="164" t="str">
        <f t="array" ref="P27">IFERROR(INDEX('Overview - Section A'!$AN$123:$AN$174, MATCH(0, COUNTIF($P$1:P26, 'Overview - Section A'!$AN$123:$AN$174&amp;"") + IF('Overview - Section A'!$AN$123:$AN$174="",1,0), 0)), "")</f>
        <v/>
      </c>
      <c r="Q27" s="232" t="str">
        <f ca="1">OFFSET('Overview - Section A'!$AK$123,MATCH(P27,'Overview - Section A'!$AN$123:$AN$174,0)-1,1,IF(COUNTIF('Overview - Section A'!$AN$123:$AN$174,P27)&gt;1,1,COUNTIF('Overview - Section A'!$AN$123:$AN$174,P27)),1)</f>
        <v/>
      </c>
    </row>
    <row r="28" spans="1:17" x14ac:dyDescent="0.3">
      <c r="G28" s="232" t="str">
        <f ca="1">IF(OFFSET('Overview - Section A'!J$30,H28,0)&lt;&gt;0,OFFSET('Overview - Section A'!E$30,H28,0),"")</f>
        <v/>
      </c>
      <c r="H28" s="232">
        <v>5</v>
      </c>
      <c r="I28" s="232" t="str">
        <f ca="1">IFERROR(LOOKUP(2, 1/((COUNTIF(I$14:I27,$G$15:$G$41)=0)*($G$15:$G$41&lt;&gt;"")), $G$15:$G$41),"")</f>
        <v/>
      </c>
      <c r="L28" s="209" t="str">
        <f t="array" ref="L28">IFERROR(INDEX(SectionAPopulation, MATCH(0, COUNTIF($L$1:L27, SectionAPopulation&amp;"") + IF(SectionAPopulation="",1,0), 0)), "")</f>
        <v/>
      </c>
      <c r="O28" s="232" t="str">
        <f ca="1">OFFSET('Overview - Section A'!$AK$123,MATCH(P28,'Overview - Section A'!$AN$123:$AN$174,0)-1,0,IF(COUNTIF('Overview - Section A'!$AN$123:$AN$174,P28)&gt;1,1,COUNTIF('Overview - Section A'!$AN$123:$AN$174,P28)),1)</f>
        <v/>
      </c>
      <c r="P28" s="164" t="str">
        <f t="array" ref="P28">IFERROR(INDEX('Overview - Section A'!$AN$123:$AN$174, MATCH(0, COUNTIF($P$1:P27, 'Overview - Section A'!$AN$123:$AN$174&amp;"") + IF('Overview - Section A'!$AN$123:$AN$174="",1,0), 0)), "")</f>
        <v/>
      </c>
      <c r="Q28" s="232" t="str">
        <f ca="1">OFFSET('Overview - Section A'!$AK$123,MATCH(P28,'Overview - Section A'!$AN$123:$AN$174,0)-1,1,IF(COUNTIF('Overview - Section A'!$AN$123:$AN$174,P28)&gt;1,1,COUNTIF('Overview - Section A'!$AN$123:$AN$174,P28)),1)</f>
        <v/>
      </c>
    </row>
    <row r="29" spans="1:17" x14ac:dyDescent="0.3">
      <c r="A29" t="s">
        <v>254</v>
      </c>
      <c r="G29" s="232" t="str">
        <f ca="1">IF(OFFSET('Overview - Section A'!J$30,H29,0)&lt;&gt;0,OFFSET('Overview - Section A'!E$30,H29,0),"")</f>
        <v/>
      </c>
      <c r="H29" s="232">
        <v>6</v>
      </c>
      <c r="I29" s="232" t="str">
        <f ca="1">IFERROR(LOOKUP(2, 1/((COUNTIF(I$14:I28,$G$15:$G$41)=0)*($G$15:$G$41&lt;&gt;"")), $G$15:$G$41),"")</f>
        <v/>
      </c>
      <c r="L29" s="209" t="str">
        <f t="array" ref="L29">IFERROR(INDEX(SectionAPopulation, MATCH(0, COUNTIF($L$1:L28, SectionAPopulation&amp;"") + IF(SectionAPopulation="",1,0), 0)), "")</f>
        <v/>
      </c>
      <c r="O29" s="232" t="str">
        <f ca="1">OFFSET('Overview - Section A'!$AK$123,MATCH(P29,'Overview - Section A'!$AN$123:$AN$174,0)-1,0,IF(COUNTIF('Overview - Section A'!$AN$123:$AN$174,P29)&gt;1,1,COUNTIF('Overview - Section A'!$AN$123:$AN$174,P29)),1)</f>
        <v/>
      </c>
      <c r="P29" s="164" t="str">
        <f t="array" ref="P29">IFERROR(INDEX('Overview - Section A'!$AN$123:$AN$174, MATCH(0, COUNTIF($P$1:P28, 'Overview - Section A'!$AN$123:$AN$174&amp;"") + IF('Overview - Section A'!$AN$123:$AN$174="",1,0), 0)), "")</f>
        <v/>
      </c>
      <c r="Q29" s="232" t="str">
        <f ca="1">OFFSET('Overview - Section A'!$AK$123,MATCH(P29,'Overview - Section A'!$AN$123:$AN$174,0)-1,1,IF(COUNTIF('Overview - Section A'!$AN$123:$AN$174,P29)&gt;1,1,COUNTIF('Overview - Section A'!$AN$123:$AN$174,P29)),1)</f>
        <v/>
      </c>
    </row>
    <row r="30" spans="1:17" x14ac:dyDescent="0.3">
      <c r="G30" s="232" t="str">
        <f ca="1">IF(OFFSET('Overview - Section A'!J$30,H30,0)&lt;&gt;0,OFFSET('Overview - Section A'!E$30,H30,0),"")</f>
        <v/>
      </c>
      <c r="H30" s="232">
        <v>7</v>
      </c>
      <c r="I30" s="232" t="str">
        <f ca="1">IFERROR(LOOKUP(2, 1/((COUNTIF(I$14:I29,$G$15:$G$41)=0)*($G$15:$G$41&lt;&gt;"")), $G$15:$G$41),"")</f>
        <v/>
      </c>
      <c r="L30" s="209" t="str">
        <f t="array" ref="L30">IFERROR(INDEX(SectionAPopulation, MATCH(0, COUNTIF($L$1:L29, SectionAPopulation&amp;"") + IF(SectionAPopulation="",1,0), 0)), "")</f>
        <v/>
      </c>
      <c r="O30" s="232" t="str">
        <f ca="1">OFFSET('Overview - Section A'!$AK$123,MATCH(P30,'Overview - Section A'!$AN$123:$AN$174,0)-1,0,IF(COUNTIF('Overview - Section A'!$AN$123:$AN$174,P30)&gt;1,1,COUNTIF('Overview - Section A'!$AN$123:$AN$174,P30)),1)</f>
        <v/>
      </c>
      <c r="P30" s="164" t="str">
        <f t="array" ref="P30">IFERROR(INDEX('Overview - Section A'!$AN$123:$AN$174, MATCH(0, COUNTIF($P$1:P29, 'Overview - Section A'!$AN$123:$AN$174&amp;"") + IF('Overview - Section A'!$AN$123:$AN$174="",1,0), 0)), "")</f>
        <v/>
      </c>
      <c r="Q30" s="232" t="str">
        <f ca="1">OFFSET('Overview - Section A'!$AK$123,MATCH(P30,'Overview - Section A'!$AN$123:$AN$174,0)-1,1,IF(COUNTIF('Overview - Section A'!$AN$123:$AN$174,P30)&gt;1,1,COUNTIF('Overview - Section A'!$AN$123:$AN$174,P30)),1)</f>
        <v/>
      </c>
    </row>
    <row r="31" spans="1:17" x14ac:dyDescent="0.3">
      <c r="C31">
        <v>2002</v>
      </c>
      <c r="G31" s="232" t="str">
        <f ca="1">IF(OFFSET('Overview - Section A'!J$30,H31,0)&lt;&gt;0,OFFSET('Overview - Section A'!E$30,H31,0),"")</f>
        <v/>
      </c>
      <c r="H31" s="232">
        <v>8</v>
      </c>
      <c r="I31" s="232" t="str">
        <f ca="1">IFERROR(LOOKUP(2, 1/((COUNTIF(I$14:I30,$G$15:$G$41)=0)*($G$15:$G$41&lt;&gt;"")), $G$15:$G$41),"")</f>
        <v/>
      </c>
      <c r="L31" s="209" t="str">
        <f t="array" ref="L31">IFERROR(INDEX(SectionAPopulation, MATCH(0, COUNTIF($L$1:L30, SectionAPopulation&amp;"") + IF(SectionAPopulation="",1,0), 0)), "")</f>
        <v/>
      </c>
      <c r="O31" s="232" t="str">
        <f ca="1">OFFSET('Overview - Section A'!$AK$123,MATCH(P31,'Overview - Section A'!$AN$123:$AN$174,0)-1,0,IF(COUNTIF('Overview - Section A'!$AN$123:$AN$174,P31)&gt;1,1,COUNTIF('Overview - Section A'!$AN$123:$AN$174,P31)),1)</f>
        <v/>
      </c>
      <c r="P31" s="164" t="str">
        <f t="array" ref="P31">IFERROR(INDEX('Overview - Section A'!$AN$123:$AN$174, MATCH(0, COUNTIF($P$1:P30, 'Overview - Section A'!$AN$123:$AN$174&amp;"") + IF('Overview - Section A'!$AN$123:$AN$174="",1,0), 0)), "")</f>
        <v/>
      </c>
      <c r="Q31" s="232" t="str">
        <f ca="1">OFFSET('Overview - Section A'!$AK$123,MATCH(P31,'Overview - Section A'!$AN$123:$AN$174,0)-1,1,IF(COUNTIF('Overview - Section A'!$AN$123:$AN$174,P31)&gt;1,1,COUNTIF('Overview - Section A'!$AN$123:$AN$174,P31)),1)</f>
        <v/>
      </c>
    </row>
    <row r="32" spans="1:17" x14ac:dyDescent="0.3">
      <c r="A32" t="s">
        <v>339</v>
      </c>
      <c r="C32">
        <v>2003</v>
      </c>
      <c r="G32" s="232" t="str">
        <f ca="1">IF(OFFSET('Overview - Section A'!J$30,H32,0)&lt;&gt;0,OFFSET('Overview - Section A'!E$30,H32,0),"")</f>
        <v/>
      </c>
      <c r="H32" s="232">
        <v>9</v>
      </c>
      <c r="I32" s="232" t="str">
        <f ca="1">IFERROR(LOOKUP(2, 1/((COUNTIF(I$14:I31,$G$15:$G$41)=0)*($G$15:$G$41&lt;&gt;"")), $G$15:$G$41),"")</f>
        <v/>
      </c>
      <c r="L32" s="209" t="str">
        <f t="array" ref="L32">IFERROR(INDEX(SectionAPopulation, MATCH(0, COUNTIF($L$1:L31, SectionAPopulation&amp;"") + IF(SectionAPopulation="",1,0), 0)), "")</f>
        <v/>
      </c>
      <c r="O32" s="232" t="str">
        <f ca="1">OFFSET('Overview - Section A'!$AK$123,MATCH(P32,'Overview - Section A'!$AN$123:$AN$174,0)-1,0,IF(COUNTIF('Overview - Section A'!$AN$123:$AN$174,P32)&gt;1,1,COUNTIF('Overview - Section A'!$AN$123:$AN$174,P32)),1)</f>
        <v/>
      </c>
      <c r="P32" s="164" t="str">
        <f t="array" ref="P32">IFERROR(INDEX('Overview - Section A'!$AN$123:$AN$174, MATCH(0, COUNTIF($P$1:P31, 'Overview - Section A'!$AN$123:$AN$174&amp;"") + IF('Overview - Section A'!$AN$123:$AN$174="",1,0), 0)), "")</f>
        <v/>
      </c>
      <c r="Q32" s="232" t="str">
        <f ca="1">OFFSET('Overview - Section A'!$AK$123,MATCH(P32,'Overview - Section A'!$AN$123:$AN$174,0)-1,1,IF(COUNTIF('Overview - Section A'!$AN$123:$AN$174,P32)&gt;1,1,COUNTIF('Overview - Section A'!$AN$123:$AN$174,P32)),1)</f>
        <v/>
      </c>
    </row>
    <row r="33" spans="1:17" x14ac:dyDescent="0.3">
      <c r="A33" s="204" t="str">
        <f ca="1">IF(ISNUMBER(DATEVALUE(TEXT(TODAY(),"a-mmm-jj"))),"j-mmm-aa","[$-en-GB]d-mmm-yy")</f>
        <v>[$-en-GB]d-mmm-yy</v>
      </c>
      <c r="C33" s="232">
        <v>2004</v>
      </c>
      <c r="G33" t="str">
        <f ca="1">IF(AND(OFFSET('Overview - Section A'!K$30,H33,0)&lt;&gt;0,OFFSET('Overview - Section A'!D$30,H33,0)&lt;&gt;0),OFFSET('Overview - Section A'!D$30,H33,0),"")</f>
        <v/>
      </c>
      <c r="H33">
        <v>1</v>
      </c>
      <c r="I33" s="232" t="str">
        <f ca="1">IFERROR(LOOKUP(2, 1/((COUNTIF(I$14:I32,$G$15:$G$41)=0)*($G$15:$G$41&lt;&gt;"")), $G$15:$G$41),"")</f>
        <v/>
      </c>
      <c r="L33" s="209" t="str">
        <f t="array" ref="L33">IFERROR(INDEX(SectionAPopulation, MATCH(0, COUNTIF($L$1:L32, SectionAPopulation&amp;"") + IF(SectionAPopulation="",1,0), 0)), "")</f>
        <v/>
      </c>
      <c r="O33" s="232" t="str">
        <f ca="1">OFFSET('Overview - Section A'!$AK$123,MATCH(P33,'Overview - Section A'!$AN$123:$AN$174,0)-1,0,IF(COUNTIF('Overview - Section A'!$AN$123:$AN$174,P33)&gt;1,1,COUNTIF('Overview - Section A'!$AN$123:$AN$174,P33)),1)</f>
        <v/>
      </c>
      <c r="P33" s="164" t="str">
        <f t="array" ref="P33">IFERROR(INDEX('Overview - Section A'!$AN$123:$AN$174, MATCH(0, COUNTIF($P$1:P32, 'Overview - Section A'!$AN$123:$AN$174&amp;"") + IF('Overview - Section A'!$AN$123:$AN$174="",1,0), 0)), "")</f>
        <v/>
      </c>
      <c r="Q33" s="232" t="str">
        <f ca="1">OFFSET('Overview - Section A'!$AK$123,MATCH(P33,'Overview - Section A'!$AN$123:$AN$174,0)-1,1,IF(COUNTIF('Overview - Section A'!$AN$123:$AN$174,P33)&gt;1,1,COUNTIF('Overview - Section A'!$AN$123:$AN$174,P33)),1)</f>
        <v/>
      </c>
    </row>
    <row r="34" spans="1:17" x14ac:dyDescent="0.3">
      <c r="A34" s="204"/>
      <c r="C34" s="232">
        <v>2005</v>
      </c>
      <c r="G34" s="232" t="str">
        <f ca="1">IF(AND(OFFSET('Overview - Section A'!K$30,H34,0)&lt;&gt;0,OFFSET('Overview - Section A'!D$30,H34,0)&lt;&gt;0),OFFSET('Overview - Section A'!D$30,H34,0),"")</f>
        <v/>
      </c>
      <c r="H34">
        <v>2</v>
      </c>
      <c r="I34" s="232" t="str">
        <f ca="1">IFERROR(LOOKUP(2, 1/((COUNTIF(I$14:I33,$G$15:$G$41)=0)*($G$15:$G$41&lt;&gt;"")), $G$15:$G$41),"")</f>
        <v/>
      </c>
      <c r="L34" s="209" t="str">
        <f t="array" ref="L34">IFERROR(INDEX(SectionAPopulation, MATCH(0, COUNTIF($L$1:L33, SectionAPopulation&amp;"") + IF(SectionAPopulation="",1,0), 0)), "")</f>
        <v/>
      </c>
      <c r="O34" s="232" t="str">
        <f ca="1">OFFSET('Overview - Section A'!$AK$123,MATCH(P34,'Overview - Section A'!$AN$123:$AN$174,0)-1,0,IF(COUNTIF('Overview - Section A'!$AN$123:$AN$174,P34)&gt;1,1,COUNTIF('Overview - Section A'!$AN$123:$AN$174,P34)),1)</f>
        <v/>
      </c>
      <c r="P34" s="164" t="str">
        <f t="array" ref="P34">IFERROR(INDEX('Overview - Section A'!$AN$123:$AN$174, MATCH(0, COUNTIF($P$1:P33, 'Overview - Section A'!$AN$123:$AN$174&amp;"") + IF('Overview - Section A'!$AN$123:$AN$174="",1,0), 0)), "")</f>
        <v/>
      </c>
      <c r="Q34" s="232" t="str">
        <f ca="1">OFFSET('Overview - Section A'!$AK$123,MATCH(P34,'Overview - Section A'!$AN$123:$AN$174,0)-1,1,IF(COUNTIF('Overview - Section A'!$AN$123:$AN$174,P34)&gt;1,1,COUNTIF('Overview - Section A'!$AN$123:$AN$174,P34)),1)</f>
        <v/>
      </c>
    </row>
    <row r="35" spans="1:17" x14ac:dyDescent="0.3">
      <c r="C35" s="232">
        <v>2006</v>
      </c>
      <c r="G35" s="232" t="str">
        <f ca="1">IF(AND(OFFSET('Overview - Section A'!K$30,H35,0)&lt;&gt;0,OFFSET('Overview - Section A'!D$30,H35,0)&lt;&gt;0),OFFSET('Overview - Section A'!D$30,H35,0),"")</f>
        <v/>
      </c>
      <c r="H35" s="232">
        <v>3</v>
      </c>
      <c r="I35" s="232" t="str">
        <f ca="1">IFERROR(LOOKUP(2, 1/((COUNTIF(I$14:I34,$G$15:$G$41)=0)*($G$15:$G$41&lt;&gt;"")), $G$15:$G$41),"")</f>
        <v/>
      </c>
      <c r="L35" s="209" t="str">
        <f t="array" ref="L35">IFERROR(INDEX(SectionAPopulation, MATCH(0, COUNTIF($L$1:L34, SectionAPopulation&amp;"") + IF(SectionAPopulation="",1,0), 0)), "")</f>
        <v/>
      </c>
      <c r="O35" s="232" t="str">
        <f ca="1">OFFSET('Overview - Section A'!$AK$123,MATCH(P35,'Overview - Section A'!$AN$123:$AN$174,0)-1,0,IF(COUNTIF('Overview - Section A'!$AN$123:$AN$174,P35)&gt;1,1,COUNTIF('Overview - Section A'!$AN$123:$AN$174,P35)),1)</f>
        <v/>
      </c>
      <c r="P35" s="164" t="str">
        <f t="array" ref="P35">IFERROR(INDEX('Overview - Section A'!$AN$123:$AN$174, MATCH(0, COUNTIF($P$1:P34, 'Overview - Section A'!$AN$123:$AN$174&amp;"") + IF('Overview - Section A'!$AN$123:$AN$174="",1,0), 0)), "")</f>
        <v/>
      </c>
      <c r="Q35" s="232" t="str">
        <f ca="1">OFFSET('Overview - Section A'!$AK$123,MATCH(P35,'Overview - Section A'!$AN$123:$AN$174,0)-1,1,IF(COUNTIF('Overview - Section A'!$AN$123:$AN$174,P35)&gt;1,1,COUNTIF('Overview - Section A'!$AN$123:$AN$174,P35)),1)</f>
        <v/>
      </c>
    </row>
    <row r="36" spans="1:17" x14ac:dyDescent="0.3">
      <c r="C36" s="232">
        <v>2007</v>
      </c>
      <c r="G36" s="232" t="str">
        <f ca="1">IF(AND(OFFSET('Overview - Section A'!K$30,H36,0)&lt;&gt;0,OFFSET('Overview - Section A'!D$30,H36,0)&lt;&gt;0),OFFSET('Overview - Section A'!D$30,H36,0),"")</f>
        <v/>
      </c>
      <c r="H36" s="232">
        <v>4</v>
      </c>
      <c r="I36" s="232" t="str">
        <f ca="1">IFERROR(LOOKUP(2, 1/((COUNTIF(I$14:I35,$G$15:$G$41)=0)*($G$15:$G$41&lt;&gt;"")), $G$15:$G$41),"")</f>
        <v/>
      </c>
      <c r="L36" s="209" t="str">
        <f t="array" ref="L36">IFERROR(INDEX(SectionAPopulation, MATCH(0, COUNTIF($L$1:L35, SectionAPopulation&amp;"") + IF(SectionAPopulation="",1,0), 0)), "")</f>
        <v/>
      </c>
      <c r="O36" s="232" t="str">
        <f ca="1">OFFSET('Overview - Section A'!$AK$123,MATCH(P36,'Overview - Section A'!$AN$123:$AN$174,0)-1,0,IF(COUNTIF('Overview - Section A'!$AN$123:$AN$174,P36)&gt;1,1,COUNTIF('Overview - Section A'!$AN$123:$AN$174,P36)),1)</f>
        <v/>
      </c>
      <c r="P36" s="164" t="str">
        <f t="array" ref="P36">IFERROR(INDEX('Overview - Section A'!$AN$123:$AN$174, MATCH(0, COUNTIF($P$1:P35, 'Overview - Section A'!$AN$123:$AN$174&amp;"") + IF('Overview - Section A'!$AN$123:$AN$174="",1,0), 0)), "")</f>
        <v/>
      </c>
      <c r="Q36" s="232" t="str">
        <f ca="1">OFFSET('Overview - Section A'!$AK$123,MATCH(P36,'Overview - Section A'!$AN$123:$AN$174,0)-1,1,IF(COUNTIF('Overview - Section A'!$AN$123:$AN$174,P36)&gt;1,1,COUNTIF('Overview - Section A'!$AN$123:$AN$174,P36)),1)</f>
        <v/>
      </c>
    </row>
    <row r="37" spans="1:17" x14ac:dyDescent="0.3">
      <c r="C37" s="232">
        <v>2008</v>
      </c>
      <c r="G37" s="232" t="str">
        <f ca="1">IF(AND(OFFSET('Overview - Section A'!K$30,H37,0)&lt;&gt;0,OFFSET('Overview - Section A'!D$30,H37,0)&lt;&gt;0),OFFSET('Overview - Section A'!D$30,H37,0),"")</f>
        <v/>
      </c>
      <c r="H37" s="232">
        <v>5</v>
      </c>
      <c r="I37" s="232" t="str">
        <f ca="1">IFERROR(LOOKUP(2, 1/((COUNTIF(I$14:I36,$G$15:$G$41)=0)*($G$15:$G$41&lt;&gt;"")), $G$15:$G$41),"")</f>
        <v/>
      </c>
      <c r="L37" s="209" t="str">
        <f t="array" ref="L37">IFERROR(INDEX(SectionAPopulation, MATCH(0, COUNTIF($L$1:L36, SectionAPopulation&amp;"") + IF(SectionAPopulation="",1,0), 0)), "")</f>
        <v/>
      </c>
      <c r="O37" s="232" t="str">
        <f ca="1">OFFSET('Overview - Section A'!$AK$123,MATCH(P37,'Overview - Section A'!$AN$123:$AN$174,0)-1,0,IF(COUNTIF('Overview - Section A'!$AN$123:$AN$174,P37)&gt;1,1,COUNTIF('Overview - Section A'!$AN$123:$AN$174,P37)),1)</f>
        <v/>
      </c>
      <c r="P37" s="164" t="str">
        <f t="array" ref="P37">IFERROR(INDEX('Overview - Section A'!$AN$123:$AN$174, MATCH(0, COUNTIF($P$1:P36, 'Overview - Section A'!$AN$123:$AN$174&amp;"") + IF('Overview - Section A'!$AN$123:$AN$174="",1,0), 0)), "")</f>
        <v/>
      </c>
      <c r="Q37" s="232" t="str">
        <f ca="1">OFFSET('Overview - Section A'!$AK$123,MATCH(P37,'Overview - Section A'!$AN$123:$AN$174,0)-1,1,IF(COUNTIF('Overview - Section A'!$AN$123:$AN$174,P37)&gt;1,1,COUNTIF('Overview - Section A'!$AN$123:$AN$174,P37)),1)</f>
        <v/>
      </c>
    </row>
    <row r="38" spans="1:17" x14ac:dyDescent="0.3">
      <c r="C38" s="232">
        <v>2009</v>
      </c>
      <c r="G38" s="232" t="str">
        <f ca="1">IF(AND(OFFSET('Overview - Section A'!K$30,H38,0)&lt;&gt;0,OFFSET('Overview - Section A'!D$30,H38,0)&lt;&gt;0),OFFSET('Overview - Section A'!D$30,H38,0),"")</f>
        <v/>
      </c>
      <c r="H38" s="232">
        <v>6</v>
      </c>
      <c r="I38" s="232" t="str">
        <f ca="1">IFERROR(LOOKUP(2, 1/((COUNTIF(I$14:I37,$G$15:$G$41)=0)*($G$15:$G$41&lt;&gt;"")), $G$15:$G$41),"")</f>
        <v/>
      </c>
      <c r="L38" s="209" t="str">
        <f t="array" ref="L38">IFERROR(INDEX(SectionAPopulation, MATCH(0, COUNTIF($L$1:L37, SectionAPopulation&amp;"") + IF(SectionAPopulation="",1,0), 0)), "")</f>
        <v/>
      </c>
      <c r="O38" s="232" t="str">
        <f ca="1">OFFSET('Overview - Section A'!$AK$123,MATCH(P38,'Overview - Section A'!$AN$123:$AN$174,0)-1,0,IF(COUNTIF('Overview - Section A'!$AN$123:$AN$174,P38)&gt;1,1,COUNTIF('Overview - Section A'!$AN$123:$AN$174,P38)),1)</f>
        <v/>
      </c>
      <c r="P38" s="164" t="str">
        <f t="array" ref="P38">IFERROR(INDEX('Overview - Section A'!$AN$123:$AN$174, MATCH(0, COUNTIF($P$1:P37, 'Overview - Section A'!$AN$123:$AN$174&amp;"") + IF('Overview - Section A'!$AN$123:$AN$174="",1,0), 0)), "")</f>
        <v/>
      </c>
      <c r="Q38" s="232" t="str">
        <f ca="1">OFFSET('Overview - Section A'!$AK$123,MATCH(P38,'Overview - Section A'!$AN$123:$AN$174,0)-1,1,IF(COUNTIF('Overview - Section A'!$AN$123:$AN$174,P38)&gt;1,1,COUNTIF('Overview - Section A'!$AN$123:$AN$174,P38)),1)</f>
        <v/>
      </c>
    </row>
    <row r="39" spans="1:17" x14ac:dyDescent="0.3">
      <c r="C39" s="232">
        <v>2010</v>
      </c>
      <c r="G39" s="232" t="str">
        <f ca="1">IF(AND(OFFSET('Overview - Section A'!K$30,H39,0)&lt;&gt;0,OFFSET('Overview - Section A'!D$30,H39,0)&lt;&gt;0),OFFSET('Overview - Section A'!D$30,H39,0),"")</f>
        <v/>
      </c>
      <c r="H39" s="232">
        <v>7</v>
      </c>
      <c r="I39" s="232" t="str">
        <f ca="1">IFERROR(LOOKUP(2, 1/((COUNTIF(I$14:I38,$G$15:$G$41)=0)*($G$15:$G$41&lt;&gt;"")), $G$15:$G$41),"")</f>
        <v/>
      </c>
      <c r="L39" s="209" t="str">
        <f t="array" ref="L39">IFERROR(INDEX(SectionAPopulation, MATCH(0, COUNTIF($L$1:L38, SectionAPopulation&amp;"") + IF(SectionAPopulation="",1,0), 0)), "")</f>
        <v/>
      </c>
      <c r="O39" s="232" t="str">
        <f ca="1">OFFSET('Overview - Section A'!$AK$123,MATCH(P39,'Overview - Section A'!$AN$123:$AN$174,0)-1,0,IF(COUNTIF('Overview - Section A'!$AN$123:$AN$174,P39)&gt;1,1,COUNTIF('Overview - Section A'!$AN$123:$AN$174,P39)),1)</f>
        <v/>
      </c>
      <c r="P39" s="164" t="str">
        <f t="array" ref="P39">IFERROR(INDEX('Overview - Section A'!$AN$123:$AN$174, MATCH(0, COUNTIF($P$1:P38, 'Overview - Section A'!$AN$123:$AN$174&amp;"") + IF('Overview - Section A'!$AN$123:$AN$174="",1,0), 0)), "")</f>
        <v/>
      </c>
      <c r="Q39" s="232" t="str">
        <f ca="1">OFFSET('Overview - Section A'!$AK$123,MATCH(P39,'Overview - Section A'!$AN$123:$AN$174,0)-1,1,IF(COUNTIF('Overview - Section A'!$AN$123:$AN$174,P39)&gt;1,1,COUNTIF('Overview - Section A'!$AN$123:$AN$174,P39)),1)</f>
        <v/>
      </c>
    </row>
    <row r="40" spans="1:17" x14ac:dyDescent="0.3">
      <c r="C40" s="232">
        <v>2011</v>
      </c>
      <c r="G40" s="232" t="str">
        <f ca="1">IF(AND(OFFSET('Overview - Section A'!K$30,H40,0)&lt;&gt;0,OFFSET('Overview - Section A'!D$30,H40,0)&lt;&gt;0),OFFSET('Overview - Section A'!D$30,H40,0),"")</f>
        <v/>
      </c>
      <c r="H40" s="232">
        <v>8</v>
      </c>
      <c r="I40" s="232" t="str">
        <f ca="1">IFERROR(LOOKUP(2, 1/((COUNTIF(I$14:I39,$G$15:$G$41)=0)*($G$15:$G$41&lt;&gt;"")), $G$15:$G$41),"")</f>
        <v/>
      </c>
      <c r="L40" s="209" t="str">
        <f t="array" ref="L40">IFERROR(INDEX(SectionAPopulation, MATCH(0, COUNTIF($L$1:L39, SectionAPopulation&amp;"") + IF(SectionAPopulation="",1,0), 0)), "")</f>
        <v/>
      </c>
      <c r="O40" s="232" t="str">
        <f ca="1">OFFSET('Overview - Section A'!$AK$123,MATCH(P40,'Overview - Section A'!$AN$123:$AN$174,0)-1,0,IF(COUNTIF('Overview - Section A'!$AN$123:$AN$174,P40)&gt;1,1,COUNTIF('Overview - Section A'!$AN$123:$AN$174,P40)),1)</f>
        <v/>
      </c>
      <c r="P40" s="164" t="str">
        <f t="array" ref="P40">IFERROR(INDEX('Overview - Section A'!$AN$123:$AN$174, MATCH(0, COUNTIF($P$1:P39, 'Overview - Section A'!$AN$123:$AN$174&amp;"") + IF('Overview - Section A'!$AN$123:$AN$174="",1,0), 0)), "")</f>
        <v/>
      </c>
      <c r="Q40" s="232" t="str">
        <f ca="1">OFFSET('Overview - Section A'!$AK$123,MATCH(P40,'Overview - Section A'!$AN$123:$AN$174,0)-1,1,IF(COUNTIF('Overview - Section A'!$AN$123:$AN$174,P40)&gt;1,1,COUNTIF('Overview - Section A'!$AN$123:$AN$174,P40)),1)</f>
        <v/>
      </c>
    </row>
    <row r="41" spans="1:17" x14ac:dyDescent="0.3">
      <c r="C41" s="232">
        <v>2012</v>
      </c>
      <c r="G41" s="232" t="str">
        <f ca="1">IF(AND(OFFSET('Overview - Section A'!K$30,H41,0)&lt;&gt;0,OFFSET('Overview - Section A'!D$30,H41,0)&lt;&gt;0),OFFSET('Overview - Section A'!D$30,H41,0),"")</f>
        <v/>
      </c>
      <c r="H41" s="232">
        <v>9</v>
      </c>
      <c r="I41" s="232" t="str">
        <f ca="1">IFERROR(LOOKUP(2, 1/((COUNTIF(I$14:I40,$G$15:$G$41)=0)*($G$15:$G$41&lt;&gt;"")), $G$15:$G$41),"")</f>
        <v/>
      </c>
      <c r="L41" s="209" t="str">
        <f t="array" ref="L41">IFERROR(INDEX(SectionAPopulation, MATCH(0, COUNTIF($L$1:L40, SectionAPopulation&amp;"") + IF(SectionAPopulation="",1,0), 0)), "")</f>
        <v/>
      </c>
      <c r="O41" s="232" t="str">
        <f ca="1">OFFSET('Overview - Section A'!$AK$123,MATCH(P41,'Overview - Section A'!$AN$123:$AN$174,0)-1,0,IF(COUNTIF('Overview - Section A'!$AN$123:$AN$174,P41)&gt;1,1,COUNTIF('Overview - Section A'!$AN$123:$AN$174,P41)),1)</f>
        <v/>
      </c>
      <c r="P41" s="164" t="str">
        <f t="array" ref="P41">IFERROR(INDEX('Overview - Section A'!$AN$123:$AN$174, MATCH(0, COUNTIF($P$1:P40, 'Overview - Section A'!$AN$123:$AN$174&amp;"") + IF('Overview - Section A'!$AN$123:$AN$174="",1,0), 0)), "")</f>
        <v/>
      </c>
      <c r="Q41" s="232" t="str">
        <f ca="1">OFFSET('Overview - Section A'!$AK$123,MATCH(P41,'Overview - Section A'!$AN$123:$AN$174,0)-1,1,IF(COUNTIF('Overview - Section A'!$AN$123:$AN$174,P41)&gt;1,1,COUNTIF('Overview - Section A'!$AN$123:$AN$174,P41)),1)</f>
        <v/>
      </c>
    </row>
    <row r="42" spans="1:17" x14ac:dyDescent="0.3">
      <c r="C42" s="232">
        <v>2013</v>
      </c>
      <c r="L42" s="209" t="str">
        <f t="array" ref="L42">IFERROR(INDEX(SectionAPopulation, MATCH(0, COUNTIF($L$1:L41, SectionAPopulation&amp;"") + IF(SectionAPopulation="",1,0), 0)), "")</f>
        <v/>
      </c>
      <c r="O42" s="232" t="str">
        <f ca="1">OFFSET('Overview - Section A'!$AK$123,MATCH(P42,'Overview - Section A'!$AN$123:$AN$174,0)-1,0,IF(COUNTIF('Overview - Section A'!$AN$123:$AN$174,P42)&gt;1,1,COUNTIF('Overview - Section A'!$AN$123:$AN$174,P42)),1)</f>
        <v/>
      </c>
      <c r="P42" s="164" t="str">
        <f t="array" ref="P42">IFERROR(INDEX('Overview - Section A'!$AN$123:$AN$174, MATCH(0, COUNTIF($P$1:P41, 'Overview - Section A'!$AN$123:$AN$174&amp;"") + IF('Overview - Section A'!$AN$123:$AN$174="",1,0), 0)), "")</f>
        <v/>
      </c>
      <c r="Q42" s="232" t="str">
        <f ca="1">OFFSET('Overview - Section A'!$AK$123,MATCH(P42,'Overview - Section A'!$AN$123:$AN$174,0)-1,1,IF(COUNTIF('Overview - Section A'!$AN$123:$AN$174,P42)&gt;1,1,COUNTIF('Overview - Section A'!$AN$123:$AN$174,P42)),1)</f>
        <v/>
      </c>
    </row>
    <row r="43" spans="1:17" x14ac:dyDescent="0.3">
      <c r="C43" s="232">
        <v>2014</v>
      </c>
      <c r="L43" s="209" t="str">
        <f t="array" ref="L43">IFERROR(INDEX(SectionAPopulation, MATCH(0, COUNTIF($L$1:L42, SectionAPopulation&amp;"") + IF(SectionAPopulation="",1,0), 0)), "")</f>
        <v/>
      </c>
      <c r="O43" s="232" t="str">
        <f ca="1">OFFSET('Overview - Section A'!$AK$123,MATCH(P43,'Overview - Section A'!$AN$123:$AN$174,0)-1,0,IF(COUNTIF('Overview - Section A'!$AN$123:$AN$174,P43)&gt;1,1,COUNTIF('Overview - Section A'!$AN$123:$AN$174,P43)),1)</f>
        <v/>
      </c>
      <c r="P43" s="164" t="str">
        <f t="array" ref="P43">IFERROR(INDEX('Overview - Section A'!$AN$123:$AN$174, MATCH(0, COUNTIF($P$1:P42, 'Overview - Section A'!$AN$123:$AN$174&amp;"") + IF('Overview - Section A'!$AN$123:$AN$174="",1,0), 0)), "")</f>
        <v/>
      </c>
      <c r="Q43" s="232" t="str">
        <f ca="1">OFFSET('Overview - Section A'!$AK$123,MATCH(P43,'Overview - Section A'!$AN$123:$AN$174,0)-1,1,IF(COUNTIF('Overview - Section A'!$AN$123:$AN$174,P43)&gt;1,1,COUNTIF('Overview - Section A'!$AN$123:$AN$174,P43)),1)</f>
        <v/>
      </c>
    </row>
    <row r="44" spans="1:17" x14ac:dyDescent="0.3">
      <c r="C44" s="232">
        <v>2015</v>
      </c>
      <c r="L44" s="209" t="str">
        <f t="array" ref="L44">IFERROR(INDEX(SectionAPopulation, MATCH(0, COUNTIF($L$1:L43, SectionAPopulation&amp;"") + IF(SectionAPopulation="",1,0), 0)), "")</f>
        <v/>
      </c>
      <c r="O44" s="232" t="str">
        <f ca="1">OFFSET('Overview - Section A'!$AK$123,MATCH(P44,'Overview - Section A'!$AN$123:$AN$174,0)-1,0,IF(COUNTIF('Overview - Section A'!$AN$123:$AN$174,P44)&gt;1,1,COUNTIF('Overview - Section A'!$AN$123:$AN$174,P44)),1)</f>
        <v/>
      </c>
      <c r="P44" s="164" t="str">
        <f t="array" ref="P44">IFERROR(INDEX('Overview - Section A'!$AN$123:$AN$174, MATCH(0, COUNTIF($P$1:P43, 'Overview - Section A'!$AN$123:$AN$174&amp;"") + IF('Overview - Section A'!$AN$123:$AN$174="",1,0), 0)), "")</f>
        <v/>
      </c>
      <c r="Q44" s="232" t="str">
        <f ca="1">OFFSET('Overview - Section A'!$AK$123,MATCH(P44,'Overview - Section A'!$AN$123:$AN$174,0)-1,1,IF(COUNTIF('Overview - Section A'!$AN$123:$AN$174,P44)&gt;1,1,COUNTIF('Overview - Section A'!$AN$123:$AN$174,P44)),1)</f>
        <v/>
      </c>
    </row>
    <row r="45" spans="1:17" x14ac:dyDescent="0.3">
      <c r="C45" s="232">
        <v>2016</v>
      </c>
      <c r="L45" s="209" t="str">
        <f t="array" ref="L45">IFERROR(INDEX(SectionAPopulation, MATCH(0, COUNTIF($L$1:L44, SectionAPopulation&amp;"") + IF(SectionAPopulation="",1,0), 0)), "")</f>
        <v/>
      </c>
      <c r="O45" s="232" t="str">
        <f ca="1">OFFSET('Overview - Section A'!$AK$123,MATCH(P45,'Overview - Section A'!$AN$123:$AN$174,0)-1,0,IF(COUNTIF('Overview - Section A'!$AN$123:$AN$174,P45)&gt;1,1,COUNTIF('Overview - Section A'!$AN$123:$AN$174,P45)),1)</f>
        <v/>
      </c>
      <c r="P45" s="164" t="str">
        <f t="array" ref="P45">IFERROR(INDEX('Overview - Section A'!$AN$123:$AN$174, MATCH(0, COUNTIF($P$1:P44, 'Overview - Section A'!$AN$123:$AN$174&amp;"") + IF('Overview - Section A'!$AN$123:$AN$174="",1,0), 0)), "")</f>
        <v/>
      </c>
      <c r="Q45" s="232" t="str">
        <f ca="1">OFFSET('Overview - Section A'!$AK$123,MATCH(P45,'Overview - Section A'!$AN$123:$AN$174,0)-1,1,IF(COUNTIF('Overview - Section A'!$AN$123:$AN$174,P45)&gt;1,1,COUNTIF('Overview - Section A'!$AN$123:$AN$174,P45)),1)</f>
        <v/>
      </c>
    </row>
    <row r="46" spans="1:17" x14ac:dyDescent="0.3">
      <c r="C46" s="232">
        <v>2017</v>
      </c>
      <c r="L46" s="209" t="str">
        <f t="array" ref="L46">IFERROR(INDEX(SectionAPopulation, MATCH(0, COUNTIF($L$1:L45, SectionAPopulation&amp;"") + IF(SectionAPopulation="",1,0), 0)), "")</f>
        <v/>
      </c>
      <c r="O46" s="232" t="str">
        <f ca="1">OFFSET('Overview - Section A'!$AK$123,MATCH(P46,'Overview - Section A'!$AN$123:$AN$174,0)-1,0,IF(COUNTIF('Overview - Section A'!$AN$123:$AN$174,P46)&gt;1,1,COUNTIF('Overview - Section A'!$AN$123:$AN$174,P46)),1)</f>
        <v/>
      </c>
      <c r="P46" s="164" t="str">
        <f t="array" ref="P46">IFERROR(INDEX('Overview - Section A'!$AN$123:$AN$174, MATCH(0, COUNTIF($P$1:P45, 'Overview - Section A'!$AN$123:$AN$174&amp;"") + IF('Overview - Section A'!$AN$123:$AN$174="",1,0), 0)), "")</f>
        <v/>
      </c>
      <c r="Q46" s="232" t="str">
        <f ca="1">OFFSET('Overview - Section A'!$AK$123,MATCH(P46,'Overview - Section A'!$AN$123:$AN$174,0)-1,1,IF(COUNTIF('Overview - Section A'!$AN$123:$AN$174,P46)&gt;1,1,COUNTIF('Overview - Section A'!$AN$123:$AN$174,P46)),1)</f>
        <v/>
      </c>
    </row>
    <row r="47" spans="1:17" x14ac:dyDescent="0.3">
      <c r="C47" s="232">
        <v>2018</v>
      </c>
      <c r="L47" s="209" t="str">
        <f t="array" ref="L47">IFERROR(INDEX(SectionAPopulation, MATCH(0, COUNTIF($L$1:L46, SectionAPopulation&amp;"") + IF(SectionAPopulation="",1,0), 0)), "")</f>
        <v/>
      </c>
      <c r="O47" s="232" t="str">
        <f ca="1">OFFSET('Overview - Section A'!$AK$123,MATCH(P47,'Overview - Section A'!$AN$123:$AN$174,0)-1,0,IF(COUNTIF('Overview - Section A'!$AN$123:$AN$174,P47)&gt;1,1,COUNTIF('Overview - Section A'!$AN$123:$AN$174,P47)),1)</f>
        <v/>
      </c>
      <c r="P47" s="164" t="str">
        <f t="array" ref="P47">IFERROR(INDEX('Overview - Section A'!$AN$123:$AN$174, MATCH(0, COUNTIF($P$1:P46, 'Overview - Section A'!$AN$123:$AN$174&amp;"") + IF('Overview - Section A'!$AN$123:$AN$174="",1,0), 0)), "")</f>
        <v/>
      </c>
      <c r="Q47" s="232" t="str">
        <f ca="1">OFFSET('Overview - Section A'!$AK$123,MATCH(P47,'Overview - Section A'!$AN$123:$AN$174,0)-1,1,IF(COUNTIF('Overview - Section A'!$AN$123:$AN$174,P47)&gt;1,1,COUNTIF('Overview - Section A'!$AN$123:$AN$174,P47)),1)</f>
        <v/>
      </c>
    </row>
    <row r="48" spans="1:17" x14ac:dyDescent="0.3">
      <c r="C48" s="232">
        <v>2019</v>
      </c>
      <c r="L48" s="209" t="str">
        <f t="array" ref="L48">IFERROR(INDEX(SectionAPopulation, MATCH(0, COUNTIF($L$1:L47, SectionAPopulation&amp;"") + IF(SectionAPopulation="",1,0), 0)), "")</f>
        <v/>
      </c>
      <c r="O48" s="232" t="str">
        <f ca="1">OFFSET('Overview - Section A'!$AK$123,MATCH(P48,'Overview - Section A'!$AN$123:$AN$174,0)-1,0,IF(COUNTIF('Overview - Section A'!$AN$123:$AN$174,P48)&gt;1,1,COUNTIF('Overview - Section A'!$AN$123:$AN$174,P48)),1)</f>
        <v/>
      </c>
      <c r="P48" s="164" t="str">
        <f t="array" ref="P48">IFERROR(INDEX('Overview - Section A'!$AN$123:$AN$174, MATCH(0, COUNTIF($P$1:P47, 'Overview - Section A'!$AN$123:$AN$174&amp;"") + IF('Overview - Section A'!$AN$123:$AN$174="",1,0), 0)), "")</f>
        <v/>
      </c>
      <c r="Q48" s="232" t="str">
        <f ca="1">OFFSET('Overview - Section A'!$AK$123,MATCH(P48,'Overview - Section A'!$AN$123:$AN$174,0)-1,1,IF(COUNTIF('Overview - Section A'!$AN$123:$AN$174,P48)&gt;1,1,COUNTIF('Overview - Section A'!$AN$123:$AN$174,P48)),1)</f>
        <v/>
      </c>
    </row>
    <row r="49" spans="3:17" x14ac:dyDescent="0.3">
      <c r="C49" s="232">
        <v>2020</v>
      </c>
      <c r="L49" s="209" t="str">
        <f t="array" ref="L49">IFERROR(INDEX(SectionAPopulation, MATCH(0, COUNTIF($L$1:L48, SectionAPopulation&amp;"") + IF(SectionAPopulation="",1,0), 0)), "")</f>
        <v/>
      </c>
      <c r="O49" s="232" t="str">
        <f ca="1">OFFSET('Overview - Section A'!$AK$123,MATCH(P49,'Overview - Section A'!$AN$123:$AN$174,0)-1,0,IF(COUNTIF('Overview - Section A'!$AN$123:$AN$174,P49)&gt;1,1,COUNTIF('Overview - Section A'!$AN$123:$AN$174,P49)),1)</f>
        <v/>
      </c>
      <c r="P49" s="164" t="str">
        <f t="array" ref="P49">IFERROR(INDEX('Overview - Section A'!$AN$123:$AN$174, MATCH(0, COUNTIF($P$1:P48, 'Overview - Section A'!$AN$123:$AN$174&amp;"") + IF('Overview - Section A'!$AN$123:$AN$174="",1,0), 0)), "")</f>
        <v/>
      </c>
      <c r="Q49" s="232" t="str">
        <f ca="1">OFFSET('Overview - Section A'!$AK$123,MATCH(P49,'Overview - Section A'!$AN$123:$AN$174,0)-1,1,IF(COUNTIF('Overview - Section A'!$AN$123:$AN$174,P49)&gt;1,1,COUNTIF('Overview - Section A'!$AN$123:$AN$174,P49)),1)</f>
        <v/>
      </c>
    </row>
    <row r="50" spans="3:17" x14ac:dyDescent="0.3">
      <c r="C50" s="232">
        <v>2021</v>
      </c>
      <c r="O50" s="232" t="str">
        <f ca="1">OFFSET('Overview - Section A'!$AK$123,MATCH(P50,'Overview - Section A'!$AN$123:$AN$174,0)-1,0,IF(COUNTIF('Overview - Section A'!$AN$123:$AN$174,P50)&gt;1,1,COUNTIF('Overview - Section A'!$AN$123:$AN$174,P50)),1)</f>
        <v/>
      </c>
      <c r="P50" s="164" t="str">
        <f t="array" ref="P50">IFERROR(INDEX('Overview - Section A'!$AN$123:$AN$174, MATCH(0, COUNTIF($P$1:P49, 'Overview - Section A'!$AN$123:$AN$174&amp;"") + IF('Overview - Section A'!$AN$123:$AN$174="",1,0), 0)), "")</f>
        <v/>
      </c>
      <c r="Q50" s="232" t="str">
        <f ca="1">OFFSET('Overview - Section A'!$AK$123,MATCH(P50,'Overview - Section A'!$AN$123:$AN$174,0)-1,1,IF(COUNTIF('Overview - Section A'!$AN$123:$AN$174,P50)&gt;1,1,COUNTIF('Overview - Section A'!$AN$123:$AN$174,P50)),1)</f>
        <v/>
      </c>
    </row>
    <row r="51" spans="3:17" x14ac:dyDescent="0.3">
      <c r="C51" s="232">
        <v>2022</v>
      </c>
      <c r="O51" s="232" t="str">
        <f ca="1">OFFSET('Overview - Section A'!$AK$123,MATCH(P51,'Overview - Section A'!$AN$123:$AN$174,0)-1,0,IF(COUNTIF('Overview - Section A'!$AN$123:$AN$174,P51)&gt;1,1,COUNTIF('Overview - Section A'!$AN$123:$AN$174,P51)),1)</f>
        <v/>
      </c>
      <c r="P51" s="164" t="str">
        <f t="array" ref="P51">IFERROR(INDEX('Overview - Section A'!$AN$123:$AN$174, MATCH(0, COUNTIF($P$1:P50, 'Overview - Section A'!$AN$123:$AN$174&amp;"") + IF('Overview - Section A'!$AN$123:$AN$174="",1,0), 0)), "")</f>
        <v/>
      </c>
      <c r="Q51" s="232" t="str">
        <f ca="1">OFFSET('Overview - Section A'!$AK$123,MATCH(P51,'Overview - Section A'!$AN$123:$AN$174,0)-1,1,IF(COUNTIF('Overview - Section A'!$AN$123:$AN$174,P51)&gt;1,1,COUNTIF('Overview - Section A'!$AN$123:$AN$174,P51)),1)</f>
        <v/>
      </c>
    </row>
    <row r="52" spans="3:17" x14ac:dyDescent="0.3">
      <c r="C52" s="232">
        <v>2023</v>
      </c>
      <c r="O52" s="232" t="str">
        <f ca="1">OFFSET('Overview - Section A'!$AK$123,MATCH(P52,'Overview - Section A'!$AN$123:$AN$174,0)-1,0,IF(COUNTIF('Overview - Section A'!$AN$123:$AN$174,P52)&gt;1,1,COUNTIF('Overview - Section A'!$AN$123:$AN$174,P52)),1)</f>
        <v/>
      </c>
      <c r="P52" s="164" t="str">
        <f t="array" ref="P52">IFERROR(INDEX('Overview - Section A'!$AN$123:$AN$174, MATCH(0, COUNTIF($P$1:P51, 'Overview - Section A'!$AN$123:$AN$174&amp;"") + IF('Overview - Section A'!$AN$123:$AN$174="",1,0), 0)), "")</f>
        <v/>
      </c>
      <c r="Q52" s="232" t="str">
        <f ca="1">OFFSET('Overview - Section A'!$AK$123,MATCH(P52,'Overview - Section A'!$AN$123:$AN$174,0)-1,1,IF(COUNTIF('Overview - Section A'!$AN$123:$AN$174,P52)&gt;1,1,COUNTIF('Overview - Section A'!$AN$123:$AN$174,P52)),1)</f>
        <v/>
      </c>
    </row>
    <row r="53" spans="3:17" x14ac:dyDescent="0.3">
      <c r="C53" s="232">
        <v>2024</v>
      </c>
      <c r="O53" s="232" t="str">
        <f ca="1">OFFSET('Overview - Section A'!$AK$123,MATCH(P53,'Overview - Section A'!$AN$123:$AN$174,0)-1,0,IF(COUNTIF('Overview - Section A'!$AN$123:$AN$174,P53)&gt;1,1,COUNTIF('Overview - Section A'!$AN$123:$AN$174,P53)),1)</f>
        <v/>
      </c>
      <c r="P53" s="164" t="str">
        <f t="array" ref="P53">IFERROR(INDEX('Overview - Section A'!$AN$123:$AN$174, MATCH(0, COUNTIF($P$1:P52, 'Overview - Section A'!$AN$123:$AN$174&amp;"") + IF('Overview - Section A'!$AN$123:$AN$174="",1,0), 0)), "")</f>
        <v/>
      </c>
      <c r="Q53" s="232" t="str">
        <f ca="1">OFFSET('Overview - Section A'!$AK$123,MATCH(P53,'Overview - Section A'!$AN$123:$AN$174,0)-1,1,IF(COUNTIF('Overview - Section A'!$AN$123:$AN$174,P53)&gt;1,1,COUNTIF('Overview - Section A'!$AN$123:$AN$174,P53)),1)</f>
        <v/>
      </c>
    </row>
    <row r="54" spans="3:17" x14ac:dyDescent="0.3">
      <c r="C54" s="232">
        <v>2025</v>
      </c>
      <c r="O54" s="232" t="str">
        <f ca="1">OFFSET('Overview - Section A'!$AK$123,MATCH(P54,'Overview - Section A'!$AN$123:$AN$174,0)-1,0,IF(COUNTIF('Overview - Section A'!$AN$123:$AN$174,P54)&gt;1,1,COUNTIF('Overview - Section A'!$AN$123:$AN$174,P54)),1)</f>
        <v/>
      </c>
      <c r="P54" s="164" t="str">
        <f t="array" ref="P54">IFERROR(INDEX('Overview - Section A'!$AN$123:$AN$174, MATCH(0, COUNTIF($P$1:P53, 'Overview - Section A'!$AN$123:$AN$174&amp;"") + IF('Overview - Section A'!$AN$123:$AN$174="",1,0), 0)), "")</f>
        <v/>
      </c>
      <c r="Q54" s="232" t="str">
        <f ca="1">OFFSET('Overview - Section A'!$AK$123,MATCH(P54,'Overview - Section A'!$AN$123:$AN$174,0)-1,1,IF(COUNTIF('Overview - Section A'!$AN$123:$AN$174,P54)&gt;1,1,COUNTIF('Overview - Section A'!$AN$123:$AN$174,P54)),1)</f>
        <v/>
      </c>
    </row>
    <row r="55" spans="3:17" x14ac:dyDescent="0.3">
      <c r="C55" s="209"/>
      <c r="O55" s="232" t="str">
        <f ca="1">OFFSET('Overview - Section A'!$AK$123,MATCH(P55,'Overview - Section A'!$AN$123:$AN$174,0)-1,0,IF(COUNTIF('Overview - Section A'!$AN$123:$AN$174,P55)&gt;1,1,COUNTIF('Overview - Section A'!$AN$123:$AN$174,P55)),1)</f>
        <v/>
      </c>
      <c r="P55" s="164" t="str">
        <f t="array" ref="P55">IFERROR(INDEX('Overview - Section A'!$AN$123:$AN$174, MATCH(0, COUNTIF($P$1:P54, 'Overview - Section A'!$AN$123:$AN$174&amp;"") + IF('Overview - Section A'!$AN$123:$AN$174="",1,0), 0)), "")</f>
        <v/>
      </c>
      <c r="Q55" s="232" t="str">
        <f ca="1">OFFSET('Overview - Section A'!$AK$123,MATCH(P55,'Overview - Section A'!$AN$123:$AN$174,0)-1,1,IF(COUNTIF('Overview - Section A'!$AN$123:$AN$174,P55)&gt;1,1,COUNTIF('Overview - Section A'!$AN$123:$AN$174,P55)),1)</f>
        <v/>
      </c>
    </row>
    <row r="56" spans="3:17" x14ac:dyDescent="0.3">
      <c r="C56" s="209"/>
      <c r="O56" s="232" t="str">
        <f ca="1">OFFSET('Overview - Section A'!$AK$123,MATCH(P56,'Overview - Section A'!$AN$123:$AN$174,0)-1,0,IF(COUNTIF('Overview - Section A'!$AN$123:$AN$174,P56)&gt;1,1,COUNTIF('Overview - Section A'!$AN$123:$AN$174,P56)),1)</f>
        <v/>
      </c>
      <c r="P56" s="164" t="str">
        <f t="array" ref="P56">IFERROR(INDEX('Overview - Section A'!$AN$123:$AN$174, MATCH(0, COUNTIF($P$1:P55, 'Overview - Section A'!$AN$123:$AN$174&amp;"") + IF('Overview - Section A'!$AN$123:$AN$174="",1,0), 0)), "")</f>
        <v/>
      </c>
      <c r="Q56" s="232" t="str">
        <f ca="1">OFFSET('Overview - Section A'!$AK$123,MATCH(P56,'Overview - Section A'!$AN$123:$AN$174,0)-1,1,IF(COUNTIF('Overview - Section A'!$AN$123:$AN$174,P56)&gt;1,1,COUNTIF('Overview - Section A'!$AN$123:$AN$174,P56)),1)</f>
        <v/>
      </c>
    </row>
    <row r="57" spans="3:17" x14ac:dyDescent="0.3">
      <c r="C57" s="209"/>
      <c r="O57" s="232" t="str">
        <f ca="1">OFFSET('Overview - Section A'!$AK$123,MATCH(P57,'Overview - Section A'!$AN$123:$AN$174,0)-1,0,IF(COUNTIF('Overview - Section A'!$AN$123:$AN$174,P57)&gt;1,1,COUNTIF('Overview - Section A'!$AN$123:$AN$174,P57)),1)</f>
        <v/>
      </c>
      <c r="P57" s="164" t="str">
        <f t="array" ref="P57">IFERROR(INDEX('Overview - Section A'!$AN$123:$AN$174, MATCH(0, COUNTIF($P$1:P56, 'Overview - Section A'!$AN$123:$AN$174&amp;"") + IF('Overview - Section A'!$AN$123:$AN$174="",1,0), 0)), "")</f>
        <v/>
      </c>
      <c r="Q57" s="232" t="str">
        <f ca="1">OFFSET('Overview - Section A'!$AK$123,MATCH(P57,'Overview - Section A'!$AN$123:$AN$174,0)-1,1,IF(COUNTIF('Overview - Section A'!$AN$123:$AN$174,P57)&gt;1,1,COUNTIF('Overview - Section A'!$AN$123:$AN$174,P57)),1)</f>
        <v/>
      </c>
    </row>
    <row r="58" spans="3:17" x14ac:dyDescent="0.3">
      <c r="C58" s="209"/>
      <c r="O58" s="232" t="str">
        <f ca="1">OFFSET('Overview - Section A'!$AK$123,MATCH(P58,'Overview - Section A'!$AN$123:$AN$174,0)-1,0,IF(COUNTIF('Overview - Section A'!$AN$123:$AN$174,P58)&gt;1,1,COUNTIF('Overview - Section A'!$AN$123:$AN$174,P58)),1)</f>
        <v/>
      </c>
      <c r="P58" s="164" t="str">
        <f t="array" ref="P58">IFERROR(INDEX('Overview - Section A'!$AN$123:$AN$174, MATCH(0, COUNTIF($P$1:P57, 'Overview - Section A'!$AN$123:$AN$174&amp;"") + IF('Overview - Section A'!$AN$123:$AN$174="",1,0), 0)), "")</f>
        <v/>
      </c>
      <c r="Q58" s="232" t="str">
        <f ca="1">OFFSET('Overview - Section A'!$AK$123,MATCH(P58,'Overview - Section A'!$AN$123:$AN$174,0)-1,1,IF(COUNTIF('Overview - Section A'!$AN$123:$AN$174,P58)&gt;1,1,COUNTIF('Overview - Section A'!$AN$123:$AN$174,P58)),1)</f>
        <v/>
      </c>
    </row>
    <row r="59" spans="3:17" x14ac:dyDescent="0.3">
      <c r="C59" s="209"/>
      <c r="O59" s="232" t="str">
        <f ca="1">OFFSET('Overview - Section A'!$AK$123,MATCH(P59,'Overview - Section A'!$AN$123:$AN$174,0)-1,0,IF(COUNTIF('Overview - Section A'!$AN$123:$AN$174,P59)&gt;1,1,COUNTIF('Overview - Section A'!$AN$123:$AN$174,P59)),1)</f>
        <v/>
      </c>
      <c r="P59" s="164" t="str">
        <f t="array" ref="P59">IFERROR(INDEX('Overview - Section A'!$AN$123:$AN$174, MATCH(0, COUNTIF($P$1:P58, 'Overview - Section A'!$AN$123:$AN$174&amp;"") + IF('Overview - Section A'!$AN$123:$AN$174="",1,0), 0)), "")</f>
        <v/>
      </c>
      <c r="Q59" s="232" t="str">
        <f ca="1">OFFSET('Overview - Section A'!$AK$123,MATCH(P59,'Overview - Section A'!$AN$123:$AN$174,0)-1,1,IF(COUNTIF('Overview - Section A'!$AN$123:$AN$174,P59)&gt;1,1,COUNTIF('Overview - Section A'!$AN$123:$AN$174,P59)),1)</f>
        <v/>
      </c>
    </row>
    <row r="60" spans="3:17" x14ac:dyDescent="0.3">
      <c r="C60" s="209"/>
      <c r="O60" s="232" t="str">
        <f ca="1">OFFSET('Overview - Section A'!$AK$123,MATCH(P60,'Overview - Section A'!$AN$123:$AN$174,0)-1,0,IF(COUNTIF('Overview - Section A'!$AN$123:$AN$174,P60)&gt;1,1,COUNTIF('Overview - Section A'!$AN$123:$AN$174,P60)),1)</f>
        <v/>
      </c>
      <c r="P60" s="164" t="str">
        <f t="array" ref="P60">IFERROR(INDEX('Overview - Section A'!$AN$123:$AN$174, MATCH(0, COUNTIF($P$1:P59, 'Overview - Section A'!$AN$123:$AN$174&amp;"") + IF('Overview - Section A'!$AN$123:$AN$174="",1,0), 0)), "")</f>
        <v/>
      </c>
      <c r="Q60" s="232" t="str">
        <f ca="1">OFFSET('Overview - Section A'!$AK$123,MATCH(P60,'Overview - Section A'!$AN$123:$AN$174,0)-1,1,IF(COUNTIF('Overview - Section A'!$AN$123:$AN$174,P60)&gt;1,1,COUNTIF('Overview - Section A'!$AN$123:$AN$174,P60)),1)</f>
        <v/>
      </c>
    </row>
    <row r="61" spans="3:17" x14ac:dyDescent="0.3">
      <c r="C61" s="209"/>
      <c r="O61" s="232" t="str">
        <f ca="1">OFFSET('Overview - Section A'!$AK$123,MATCH(P61,'Overview - Section A'!$AN$123:$AN$174,0)-1,0,IF(COUNTIF('Overview - Section A'!$AN$123:$AN$174,P61)&gt;1,1,COUNTIF('Overview - Section A'!$AN$123:$AN$174,P61)),1)</f>
        <v/>
      </c>
      <c r="P61" s="164" t="str">
        <f t="array" ref="P61">IFERROR(INDEX('Overview - Section A'!$AN$123:$AN$174, MATCH(0, COUNTIF($P$1:P60, 'Overview - Section A'!$AN$123:$AN$174&amp;"") + IF('Overview - Section A'!$AN$123:$AN$174="",1,0), 0)), "")</f>
        <v/>
      </c>
      <c r="Q61" s="232" t="str">
        <f ca="1">OFFSET('Overview - Section A'!$AK$123,MATCH(P61,'Overview - Section A'!$AN$123:$AN$174,0)-1,1,IF(COUNTIF('Overview - Section A'!$AN$123:$AN$174,P61)&gt;1,1,COUNTIF('Overview - Section A'!$AN$123:$AN$174,P61)),1)</f>
        <v/>
      </c>
    </row>
    <row r="62" spans="3:17" x14ac:dyDescent="0.3">
      <c r="C62" s="209"/>
    </row>
    <row r="63" spans="3:17" x14ac:dyDescent="0.3">
      <c r="C63" s="209"/>
    </row>
    <row r="64" spans="3:17" x14ac:dyDescent="0.3">
      <c r="C64" s="209"/>
    </row>
    <row r="65" spans="3:3" x14ac:dyDescent="0.3">
      <c r="C65" s="209"/>
    </row>
    <row r="66" spans="3:3" x14ac:dyDescent="0.3">
      <c r="C66" s="209"/>
    </row>
    <row r="67" spans="3:3" x14ac:dyDescent="0.3">
      <c r="C67" s="209"/>
    </row>
    <row r="68" spans="3:3" x14ac:dyDescent="0.3">
      <c r="C68" s="209"/>
    </row>
    <row r="69" spans="3:3" x14ac:dyDescent="0.3">
      <c r="C69" s="209"/>
    </row>
    <row r="70" spans="3:3" x14ac:dyDescent="0.3">
      <c r="C70" s="209"/>
    </row>
    <row r="71" spans="3:3" x14ac:dyDescent="0.3">
      <c r="C71" s="209"/>
    </row>
    <row r="72" spans="3:3" x14ac:dyDescent="0.3">
      <c r="C72" s="209"/>
    </row>
    <row r="73" spans="3:3" x14ac:dyDescent="0.3">
      <c r="C73" s="209"/>
    </row>
    <row r="74" spans="3:3" x14ac:dyDescent="0.3">
      <c r="C74" s="209"/>
    </row>
  </sheetData>
  <mergeCells count="1">
    <mergeCell ref="A20:D2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U616"/>
  <sheetViews>
    <sheetView topLeftCell="G1" workbookViewId="0">
      <selection activeCell="T2" sqref="T2"/>
    </sheetView>
  </sheetViews>
  <sheetFormatPr defaultRowHeight="15.6" x14ac:dyDescent="0.3"/>
  <cols>
    <col min="2" max="2" width="17.19921875" customWidth="1"/>
    <col min="4" max="5" width="14.19921875" customWidth="1"/>
    <col min="6" max="6" width="20.59765625" customWidth="1"/>
    <col min="7" max="7" width="13.19921875" customWidth="1"/>
    <col min="8" max="8" width="15.19921875" customWidth="1"/>
    <col min="9" max="9" width="17.5" customWidth="1"/>
    <col min="10" max="10" width="21.69921875" customWidth="1"/>
    <col min="12" max="12" width="11.69921875" customWidth="1"/>
    <col min="13" max="13" width="14.19921875" customWidth="1"/>
    <col min="14" max="14" width="12.09765625" customWidth="1"/>
  </cols>
  <sheetData>
    <row r="1" spans="1:21" ht="54" customHeight="1" x14ac:dyDescent="0.3">
      <c r="A1" s="162" t="s">
        <v>251</v>
      </c>
      <c r="B1" t="s">
        <v>6</v>
      </c>
      <c r="C1" t="s">
        <v>247</v>
      </c>
      <c r="D1" t="s">
        <v>248</v>
      </c>
      <c r="E1" t="s">
        <v>249</v>
      </c>
      <c r="F1" t="s">
        <v>250</v>
      </c>
      <c r="H1" t="s">
        <v>7</v>
      </c>
      <c r="I1" s="129" t="s">
        <v>8</v>
      </c>
      <c r="J1" s="129" t="s">
        <v>26</v>
      </c>
      <c r="K1" s="129" t="s">
        <v>109</v>
      </c>
      <c r="L1" s="130" t="s">
        <v>252</v>
      </c>
      <c r="M1" s="130" t="s">
        <v>253</v>
      </c>
      <c r="N1" s="162" t="s">
        <v>149</v>
      </c>
      <c r="P1" t="s">
        <v>48</v>
      </c>
      <c r="Q1" t="s">
        <v>48</v>
      </c>
      <c r="R1" s="162" t="s">
        <v>275</v>
      </c>
      <c r="T1" s="162" t="s">
        <v>46</v>
      </c>
    </row>
    <row r="2" spans="1:21" hidden="1" x14ac:dyDescent="0.3">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31"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32">
        <f>COUNTA(#REF!)+2</f>
        <v>3</v>
      </c>
      <c r="T2" t="b">
        <v>1</v>
      </c>
      <c r="U2" t="str">
        <f ca="1">IF(ROW()&gt;$A$2,"",IF(ISNUMBER(OFFSET(INDIRECT(ADDRESS(ROW(), COLUMN())),-1,0)),IF(OFFSET(INDIRECT(ADDRESS(ROW(), COLUMN())),-1,0)&lt;5,OFFSET(INDIRECT(ADDRESS(ROW(), COLUMN())),-1,0)+1,1),1))</f>
        <v/>
      </c>
    </row>
    <row r="3" spans="1:21" x14ac:dyDescent="0.3">
      <c r="G3" s="162"/>
      <c r="H3" s="162"/>
      <c r="I3" s="162"/>
      <c r="J3" s="131"/>
      <c r="L3" s="162"/>
      <c r="M3" s="162"/>
      <c r="N3" s="162"/>
      <c r="O3" s="162"/>
    </row>
    <row r="4" spans="1:21" x14ac:dyDescent="0.3">
      <c r="J4" s="131"/>
    </row>
    <row r="5" spans="1:21" x14ac:dyDescent="0.3">
      <c r="J5" s="131"/>
    </row>
    <row r="6" spans="1:21" x14ac:dyDescent="0.3">
      <c r="J6" s="131"/>
    </row>
    <row r="7" spans="1:21" x14ac:dyDescent="0.3">
      <c r="J7" s="131"/>
    </row>
    <row r="8" spans="1:21" x14ac:dyDescent="0.3">
      <c r="J8" s="131"/>
    </row>
    <row r="9" spans="1:21" x14ac:dyDescent="0.3">
      <c r="J9" s="131"/>
    </row>
    <row r="10" spans="1:21" x14ac:dyDescent="0.3">
      <c r="J10" s="131"/>
    </row>
    <row r="11" spans="1:21" x14ac:dyDescent="0.3">
      <c r="J11" s="131"/>
    </row>
    <row r="12" spans="1:21" x14ac:dyDescent="0.3">
      <c r="J12" s="131"/>
    </row>
    <row r="13" spans="1:21" x14ac:dyDescent="0.3">
      <c r="J13" s="131"/>
    </row>
    <row r="14" spans="1:21" x14ac:dyDescent="0.3">
      <c r="J14" s="131"/>
    </row>
    <row r="15" spans="1:21" x14ac:dyDescent="0.3">
      <c r="J15" s="131"/>
    </row>
    <row r="16" spans="1:21" x14ac:dyDescent="0.3">
      <c r="J16" s="131"/>
    </row>
    <row r="17" spans="10:10" x14ac:dyDescent="0.3">
      <c r="J17" s="131"/>
    </row>
    <row r="18" spans="10:10" x14ac:dyDescent="0.3">
      <c r="J18" s="131"/>
    </row>
    <row r="19" spans="10:10" x14ac:dyDescent="0.3">
      <c r="J19" s="131"/>
    </row>
    <row r="20" spans="10:10" x14ac:dyDescent="0.3">
      <c r="J20" s="131"/>
    </row>
    <row r="21" spans="10:10" x14ac:dyDescent="0.3">
      <c r="J21" s="131"/>
    </row>
    <row r="22" spans="10:10" x14ac:dyDescent="0.3">
      <c r="J22" s="131"/>
    </row>
    <row r="23" spans="10:10" x14ac:dyDescent="0.3">
      <c r="J23" s="131"/>
    </row>
    <row r="24" spans="10:10" x14ac:dyDescent="0.3">
      <c r="J24" s="131"/>
    </row>
    <row r="25" spans="10:10" x14ac:dyDescent="0.3">
      <c r="J25" s="131"/>
    </row>
    <row r="26" spans="10:10" x14ac:dyDescent="0.3">
      <c r="J26" s="131"/>
    </row>
    <row r="27" spans="10:10" x14ac:dyDescent="0.3">
      <c r="J27" s="131"/>
    </row>
    <row r="28" spans="10:10" x14ac:dyDescent="0.3">
      <c r="J28" s="131"/>
    </row>
    <row r="29" spans="10:10" x14ac:dyDescent="0.3">
      <c r="J29" s="131"/>
    </row>
    <row r="30" spans="10:10" x14ac:dyDescent="0.3">
      <c r="J30" s="131"/>
    </row>
    <row r="31" spans="10:10" x14ac:dyDescent="0.3">
      <c r="J31" s="131"/>
    </row>
    <row r="32" spans="10:10" x14ac:dyDescent="0.3">
      <c r="J32" s="131"/>
    </row>
    <row r="33" spans="10:10" x14ac:dyDescent="0.3">
      <c r="J33" s="131"/>
    </row>
    <row r="34" spans="10:10" x14ac:dyDescent="0.3">
      <c r="J34" s="131"/>
    </row>
    <row r="35" spans="10:10" x14ac:dyDescent="0.3">
      <c r="J35" s="131"/>
    </row>
    <row r="36" spans="10:10" x14ac:dyDescent="0.3">
      <c r="J36" s="131"/>
    </row>
    <row r="37" spans="10:10" x14ac:dyDescent="0.3">
      <c r="J37" s="131"/>
    </row>
    <row r="38" spans="10:10" x14ac:dyDescent="0.3">
      <c r="J38" s="131"/>
    </row>
    <row r="39" spans="10:10" x14ac:dyDescent="0.3">
      <c r="J39" s="131"/>
    </row>
    <row r="40" spans="10:10" x14ac:dyDescent="0.3">
      <c r="J40" s="131"/>
    </row>
    <row r="41" spans="10:10" x14ac:dyDescent="0.3">
      <c r="J41" s="131"/>
    </row>
    <row r="42" spans="10:10" x14ac:dyDescent="0.3">
      <c r="J42" s="131"/>
    </row>
    <row r="43" spans="10:10" x14ac:dyDescent="0.3">
      <c r="J43" s="131"/>
    </row>
    <row r="44" spans="10:10" x14ac:dyDescent="0.3">
      <c r="J44" s="131"/>
    </row>
    <row r="45" spans="10:10" x14ac:dyDescent="0.3">
      <c r="J45" s="131"/>
    </row>
    <row r="46" spans="10:10" x14ac:dyDescent="0.3">
      <c r="J46" s="131"/>
    </row>
    <row r="47" spans="10:10" x14ac:dyDescent="0.3">
      <c r="J47" s="131"/>
    </row>
    <row r="48" spans="10:10" x14ac:dyDescent="0.3">
      <c r="J48" s="131"/>
    </row>
    <row r="49" spans="10:10" x14ac:dyDescent="0.3">
      <c r="J49" s="131"/>
    </row>
    <row r="50" spans="10:10" x14ac:dyDescent="0.3">
      <c r="J50" s="131"/>
    </row>
    <row r="51" spans="10:10" x14ac:dyDescent="0.3">
      <c r="J51" s="131"/>
    </row>
    <row r="52" spans="10:10" x14ac:dyDescent="0.3">
      <c r="J52" s="131"/>
    </row>
    <row r="53" spans="10:10" x14ac:dyDescent="0.3">
      <c r="J53" s="131"/>
    </row>
    <row r="54" spans="10:10" x14ac:dyDescent="0.3">
      <c r="J54" s="131"/>
    </row>
    <row r="55" spans="10:10" x14ac:dyDescent="0.3">
      <c r="J55" s="131"/>
    </row>
    <row r="56" spans="10:10" x14ac:dyDescent="0.3">
      <c r="J56" s="131"/>
    </row>
    <row r="57" spans="10:10" x14ac:dyDescent="0.3">
      <c r="J57" s="131"/>
    </row>
    <row r="58" spans="10:10" x14ac:dyDescent="0.3">
      <c r="J58" s="131"/>
    </row>
    <row r="59" spans="10:10" x14ac:dyDescent="0.3">
      <c r="J59" s="131"/>
    </row>
    <row r="60" spans="10:10" x14ac:dyDescent="0.3">
      <c r="J60" s="131"/>
    </row>
    <row r="61" spans="10:10" x14ac:dyDescent="0.3">
      <c r="J61" s="131"/>
    </row>
    <row r="62" spans="10:10" x14ac:dyDescent="0.3">
      <c r="J62" s="131"/>
    </row>
    <row r="63" spans="10:10" x14ac:dyDescent="0.3">
      <c r="J63" s="131"/>
    </row>
    <row r="64" spans="10:10" x14ac:dyDescent="0.3">
      <c r="J64" s="131"/>
    </row>
    <row r="65" spans="10:10" x14ac:dyDescent="0.3">
      <c r="J65" s="131"/>
    </row>
    <row r="66" spans="10:10" x14ac:dyDescent="0.3">
      <c r="J66" s="131"/>
    </row>
    <row r="67" spans="10:10" x14ac:dyDescent="0.3">
      <c r="J67" s="131"/>
    </row>
    <row r="68" spans="10:10" x14ac:dyDescent="0.3">
      <c r="J68" s="131"/>
    </row>
    <row r="69" spans="10:10" x14ac:dyDescent="0.3">
      <c r="J69" s="131"/>
    </row>
    <row r="70" spans="10:10" x14ac:dyDescent="0.3">
      <c r="J70" s="131"/>
    </row>
    <row r="71" spans="10:10" x14ac:dyDescent="0.3">
      <c r="J71" s="131"/>
    </row>
    <row r="72" spans="10:10" x14ac:dyDescent="0.3">
      <c r="J72" s="131"/>
    </row>
    <row r="73" spans="10:10" x14ac:dyDescent="0.3">
      <c r="J73" s="131"/>
    </row>
    <row r="74" spans="10:10" x14ac:dyDescent="0.3">
      <c r="J74" s="131"/>
    </row>
    <row r="75" spans="10:10" x14ac:dyDescent="0.3">
      <c r="J75" s="131"/>
    </row>
    <row r="76" spans="10:10" x14ac:dyDescent="0.3">
      <c r="J76" s="131"/>
    </row>
    <row r="77" spans="10:10" x14ac:dyDescent="0.3">
      <c r="J77" s="131"/>
    </row>
    <row r="78" spans="10:10" x14ac:dyDescent="0.3">
      <c r="J78" s="131"/>
    </row>
    <row r="79" spans="10:10" x14ac:dyDescent="0.3">
      <c r="J79" s="131"/>
    </row>
    <row r="80" spans="10:10" x14ac:dyDescent="0.3">
      <c r="J80" s="131"/>
    </row>
    <row r="81" spans="10:10" x14ac:dyDescent="0.3">
      <c r="J81" s="131"/>
    </row>
    <row r="82" spans="10:10" x14ac:dyDescent="0.3">
      <c r="J82" s="131"/>
    </row>
    <row r="83" spans="10:10" x14ac:dyDescent="0.3">
      <c r="J83" s="131"/>
    </row>
    <row r="84" spans="10:10" x14ac:dyDescent="0.3">
      <c r="J84" s="131"/>
    </row>
    <row r="85" spans="10:10" x14ac:dyDescent="0.3">
      <c r="J85" s="131"/>
    </row>
    <row r="86" spans="10:10" x14ac:dyDescent="0.3">
      <c r="J86" s="131"/>
    </row>
    <row r="87" spans="10:10" x14ac:dyDescent="0.3">
      <c r="J87" s="131"/>
    </row>
    <row r="88" spans="10:10" x14ac:dyDescent="0.3">
      <c r="J88" s="131"/>
    </row>
    <row r="89" spans="10:10" x14ac:dyDescent="0.3">
      <c r="J89" s="131"/>
    </row>
    <row r="90" spans="10:10" x14ac:dyDescent="0.3">
      <c r="J90" s="131"/>
    </row>
    <row r="91" spans="10:10" x14ac:dyDescent="0.3">
      <c r="J91" s="131"/>
    </row>
    <row r="92" spans="10:10" x14ac:dyDescent="0.3">
      <c r="J92" s="131"/>
    </row>
    <row r="93" spans="10:10" x14ac:dyDescent="0.3">
      <c r="J93" s="131"/>
    </row>
    <row r="94" spans="10:10" x14ac:dyDescent="0.3">
      <c r="J94" s="131"/>
    </row>
    <row r="95" spans="10:10" x14ac:dyDescent="0.3">
      <c r="J95" s="131"/>
    </row>
    <row r="96" spans="10:10" x14ac:dyDescent="0.3">
      <c r="J96" s="131"/>
    </row>
    <row r="97" spans="10:10" x14ac:dyDescent="0.3">
      <c r="J97" s="131"/>
    </row>
    <row r="98" spans="10:10" x14ac:dyDescent="0.3">
      <c r="J98" s="131"/>
    </row>
    <row r="99" spans="10:10" x14ac:dyDescent="0.3">
      <c r="J99" s="131"/>
    </row>
    <row r="100" spans="10:10" x14ac:dyDescent="0.3">
      <c r="J100" s="131"/>
    </row>
    <row r="101" spans="10:10" x14ac:dyDescent="0.3">
      <c r="J101" s="131"/>
    </row>
    <row r="102" spans="10:10" x14ac:dyDescent="0.3">
      <c r="J102" s="131"/>
    </row>
    <row r="103" spans="10:10" x14ac:dyDescent="0.3">
      <c r="J103" s="131"/>
    </row>
    <row r="104" spans="10:10" x14ac:dyDescent="0.3">
      <c r="J104" s="131"/>
    </row>
    <row r="105" spans="10:10" x14ac:dyDescent="0.3">
      <c r="J105" s="131"/>
    </row>
    <row r="106" spans="10:10" x14ac:dyDescent="0.3">
      <c r="J106" s="131"/>
    </row>
    <row r="107" spans="10:10" x14ac:dyDescent="0.3">
      <c r="J107" s="131"/>
    </row>
    <row r="108" spans="10:10" x14ac:dyDescent="0.3">
      <c r="J108" s="131"/>
    </row>
    <row r="109" spans="10:10" x14ac:dyDescent="0.3">
      <c r="J109" s="131"/>
    </row>
    <row r="110" spans="10:10" x14ac:dyDescent="0.3">
      <c r="J110" s="131"/>
    </row>
    <row r="111" spans="10:10" x14ac:dyDescent="0.3">
      <c r="J111" s="131"/>
    </row>
    <row r="112" spans="10:10" x14ac:dyDescent="0.3">
      <c r="J112" s="131"/>
    </row>
    <row r="113" spans="10:10" x14ac:dyDescent="0.3">
      <c r="J113" s="131"/>
    </row>
    <row r="114" spans="10:10" x14ac:dyDescent="0.3">
      <c r="J114" s="131"/>
    </row>
    <row r="115" spans="10:10" x14ac:dyDescent="0.3">
      <c r="J115" s="131"/>
    </row>
    <row r="116" spans="10:10" x14ac:dyDescent="0.3">
      <c r="J116" s="131"/>
    </row>
    <row r="117" spans="10:10" x14ac:dyDescent="0.3">
      <c r="J117" s="131"/>
    </row>
    <row r="118" spans="10:10" x14ac:dyDescent="0.3">
      <c r="J118" s="131"/>
    </row>
    <row r="119" spans="10:10" x14ac:dyDescent="0.3">
      <c r="J119" s="131"/>
    </row>
    <row r="120" spans="10:10" x14ac:dyDescent="0.3">
      <c r="J120" s="131"/>
    </row>
    <row r="121" spans="10:10" x14ac:dyDescent="0.3">
      <c r="J121" s="131"/>
    </row>
    <row r="122" spans="10:10" x14ac:dyDescent="0.3">
      <c r="J122" s="131"/>
    </row>
    <row r="123" spans="10:10" x14ac:dyDescent="0.3">
      <c r="J123" s="131"/>
    </row>
    <row r="124" spans="10:10" x14ac:dyDescent="0.3">
      <c r="J124" s="131"/>
    </row>
    <row r="125" spans="10:10" x14ac:dyDescent="0.3">
      <c r="J125" s="131"/>
    </row>
    <row r="126" spans="10:10" x14ac:dyDescent="0.3">
      <c r="J126" s="131"/>
    </row>
    <row r="127" spans="10:10" x14ac:dyDescent="0.3">
      <c r="J127" s="131"/>
    </row>
    <row r="128" spans="10:10" x14ac:dyDescent="0.3">
      <c r="J128" s="131"/>
    </row>
    <row r="129" spans="10:10" x14ac:dyDescent="0.3">
      <c r="J129" s="131"/>
    </row>
    <row r="130" spans="10:10" x14ac:dyDescent="0.3">
      <c r="J130" s="131"/>
    </row>
    <row r="131" spans="10:10" x14ac:dyDescent="0.3">
      <c r="J131" s="131"/>
    </row>
    <row r="132" spans="10:10" x14ac:dyDescent="0.3">
      <c r="J132" s="131"/>
    </row>
    <row r="133" spans="10:10" x14ac:dyDescent="0.3">
      <c r="J133" s="131"/>
    </row>
    <row r="134" spans="10:10" x14ac:dyDescent="0.3">
      <c r="J134" s="131"/>
    </row>
    <row r="135" spans="10:10" x14ac:dyDescent="0.3">
      <c r="J135" s="131"/>
    </row>
    <row r="136" spans="10:10" x14ac:dyDescent="0.3">
      <c r="J136" s="131"/>
    </row>
    <row r="137" spans="10:10" x14ac:dyDescent="0.3">
      <c r="J137" s="131"/>
    </row>
    <row r="138" spans="10:10" x14ac:dyDescent="0.3">
      <c r="J138" s="131"/>
    </row>
    <row r="139" spans="10:10" x14ac:dyDescent="0.3">
      <c r="J139" s="131"/>
    </row>
    <row r="140" spans="10:10" x14ac:dyDescent="0.3">
      <c r="J140" s="131"/>
    </row>
    <row r="141" spans="10:10" x14ac:dyDescent="0.3">
      <c r="J141" s="131"/>
    </row>
    <row r="142" spans="10:10" x14ac:dyDescent="0.3">
      <c r="J142" s="131"/>
    </row>
    <row r="143" spans="10:10" x14ac:dyDescent="0.3">
      <c r="J143" s="131"/>
    </row>
    <row r="144" spans="10:10" x14ac:dyDescent="0.3">
      <c r="J144" s="131"/>
    </row>
    <row r="145" spans="10:10" x14ac:dyDescent="0.3">
      <c r="J145" s="131"/>
    </row>
    <row r="146" spans="10:10" x14ac:dyDescent="0.3">
      <c r="J146" s="131"/>
    </row>
    <row r="147" spans="10:10" x14ac:dyDescent="0.3">
      <c r="J147" s="131"/>
    </row>
    <row r="148" spans="10:10" x14ac:dyDescent="0.3">
      <c r="J148" s="131"/>
    </row>
    <row r="149" spans="10:10" x14ac:dyDescent="0.3">
      <c r="J149" s="131"/>
    </row>
    <row r="150" spans="10:10" x14ac:dyDescent="0.3">
      <c r="J150" s="131"/>
    </row>
    <row r="151" spans="10:10" x14ac:dyDescent="0.3">
      <c r="J151" s="131"/>
    </row>
    <row r="152" spans="10:10" x14ac:dyDescent="0.3">
      <c r="J152" s="131"/>
    </row>
    <row r="153" spans="10:10" x14ac:dyDescent="0.3">
      <c r="J153" s="131"/>
    </row>
    <row r="154" spans="10:10" x14ac:dyDescent="0.3">
      <c r="J154" s="131"/>
    </row>
    <row r="155" spans="10:10" x14ac:dyDescent="0.3">
      <c r="J155" s="131"/>
    </row>
    <row r="156" spans="10:10" x14ac:dyDescent="0.3">
      <c r="J156" s="131"/>
    </row>
    <row r="157" spans="10:10" x14ac:dyDescent="0.3">
      <c r="J157" s="131"/>
    </row>
    <row r="158" spans="10:10" x14ac:dyDescent="0.3">
      <c r="J158" s="131"/>
    </row>
    <row r="159" spans="10:10" x14ac:dyDescent="0.3">
      <c r="J159" s="131"/>
    </row>
    <row r="160" spans="10:10" x14ac:dyDescent="0.3">
      <c r="J160" s="131"/>
    </row>
    <row r="161" spans="10:10" x14ac:dyDescent="0.3">
      <c r="J161" s="131"/>
    </row>
    <row r="162" spans="10:10" x14ac:dyDescent="0.3">
      <c r="J162" s="131"/>
    </row>
    <row r="163" spans="10:10" x14ac:dyDescent="0.3">
      <c r="J163" s="131"/>
    </row>
    <row r="164" spans="10:10" x14ac:dyDescent="0.3">
      <c r="J164" s="131"/>
    </row>
    <row r="165" spans="10:10" x14ac:dyDescent="0.3">
      <c r="J165" s="131"/>
    </row>
    <row r="166" spans="10:10" x14ac:dyDescent="0.3">
      <c r="J166" s="131"/>
    </row>
    <row r="167" spans="10:10" x14ac:dyDescent="0.3">
      <c r="J167" s="131"/>
    </row>
    <row r="168" spans="10:10" x14ac:dyDescent="0.3">
      <c r="J168" s="131"/>
    </row>
    <row r="169" spans="10:10" x14ac:dyDescent="0.3">
      <c r="J169" s="131"/>
    </row>
    <row r="170" spans="10:10" x14ac:dyDescent="0.3">
      <c r="J170" s="131"/>
    </row>
    <row r="171" spans="10:10" x14ac:dyDescent="0.3">
      <c r="J171" s="131"/>
    </row>
    <row r="172" spans="10:10" x14ac:dyDescent="0.3">
      <c r="J172" s="131"/>
    </row>
    <row r="173" spans="10:10" x14ac:dyDescent="0.3">
      <c r="J173" s="131"/>
    </row>
    <row r="174" spans="10:10" x14ac:dyDescent="0.3">
      <c r="J174" s="131"/>
    </row>
    <row r="175" spans="10:10" x14ac:dyDescent="0.3">
      <c r="J175" s="131"/>
    </row>
    <row r="176" spans="10:10" x14ac:dyDescent="0.3">
      <c r="J176" s="131"/>
    </row>
    <row r="177" spans="10:10" x14ac:dyDescent="0.3">
      <c r="J177" s="131"/>
    </row>
    <row r="178" spans="10:10" x14ac:dyDescent="0.3">
      <c r="J178" s="131"/>
    </row>
    <row r="179" spans="10:10" x14ac:dyDescent="0.3">
      <c r="J179" s="131"/>
    </row>
    <row r="180" spans="10:10" x14ac:dyDescent="0.3">
      <c r="J180" s="131"/>
    </row>
    <row r="181" spans="10:10" x14ac:dyDescent="0.3">
      <c r="J181" s="131"/>
    </row>
    <row r="182" spans="10:10" x14ac:dyDescent="0.3">
      <c r="J182" s="131"/>
    </row>
    <row r="183" spans="10:10" x14ac:dyDescent="0.3">
      <c r="J183" s="131"/>
    </row>
    <row r="184" spans="10:10" x14ac:dyDescent="0.3">
      <c r="J184" s="131"/>
    </row>
    <row r="185" spans="10:10" x14ac:dyDescent="0.3">
      <c r="J185" s="131"/>
    </row>
    <row r="186" spans="10:10" x14ac:dyDescent="0.3">
      <c r="J186" s="131"/>
    </row>
    <row r="187" spans="10:10" x14ac:dyDescent="0.3">
      <c r="J187" s="131"/>
    </row>
    <row r="188" spans="10:10" x14ac:dyDescent="0.3">
      <c r="J188" s="131"/>
    </row>
    <row r="189" spans="10:10" x14ac:dyDescent="0.3">
      <c r="J189" s="131"/>
    </row>
    <row r="190" spans="10:10" x14ac:dyDescent="0.3">
      <c r="J190" s="131"/>
    </row>
    <row r="191" spans="10:10" x14ac:dyDescent="0.3">
      <c r="J191" s="131"/>
    </row>
    <row r="192" spans="10:10" x14ac:dyDescent="0.3">
      <c r="J192" s="131"/>
    </row>
    <row r="193" spans="10:10" x14ac:dyDescent="0.3">
      <c r="J193" s="131"/>
    </row>
    <row r="194" spans="10:10" x14ac:dyDescent="0.3">
      <c r="J194" s="131"/>
    </row>
    <row r="195" spans="10:10" x14ac:dyDescent="0.3">
      <c r="J195" s="131"/>
    </row>
    <row r="196" spans="10:10" x14ac:dyDescent="0.3">
      <c r="J196" s="131"/>
    </row>
    <row r="197" spans="10:10" x14ac:dyDescent="0.3">
      <c r="J197" s="131"/>
    </row>
    <row r="198" spans="10:10" x14ac:dyDescent="0.3">
      <c r="J198" s="131"/>
    </row>
    <row r="199" spans="10:10" x14ac:dyDescent="0.3">
      <c r="J199" s="131"/>
    </row>
    <row r="200" spans="10:10" x14ac:dyDescent="0.3">
      <c r="J200" s="131"/>
    </row>
    <row r="201" spans="10:10" x14ac:dyDescent="0.3">
      <c r="J201" s="131"/>
    </row>
    <row r="202" spans="10:10" x14ac:dyDescent="0.3">
      <c r="J202" s="131"/>
    </row>
    <row r="203" spans="10:10" x14ac:dyDescent="0.3">
      <c r="J203" s="131"/>
    </row>
    <row r="204" spans="10:10" x14ac:dyDescent="0.3">
      <c r="J204" s="131"/>
    </row>
    <row r="205" spans="10:10" x14ac:dyDescent="0.3">
      <c r="J205" s="131"/>
    </row>
    <row r="206" spans="10:10" x14ac:dyDescent="0.3">
      <c r="J206" s="131"/>
    </row>
    <row r="207" spans="10:10" x14ac:dyDescent="0.3">
      <c r="J207" s="131"/>
    </row>
    <row r="208" spans="10:10" x14ac:dyDescent="0.3">
      <c r="J208" s="131"/>
    </row>
    <row r="209" spans="10:10" x14ac:dyDescent="0.3">
      <c r="J209" s="131"/>
    </row>
    <row r="210" spans="10:10" x14ac:dyDescent="0.3">
      <c r="J210" s="131"/>
    </row>
    <row r="211" spans="10:10" x14ac:dyDescent="0.3">
      <c r="J211" s="131"/>
    </row>
    <row r="212" spans="10:10" x14ac:dyDescent="0.3">
      <c r="J212" s="131"/>
    </row>
    <row r="213" spans="10:10" x14ac:dyDescent="0.3">
      <c r="J213" s="131"/>
    </row>
    <row r="214" spans="10:10" x14ac:dyDescent="0.3">
      <c r="J214" s="131"/>
    </row>
    <row r="215" spans="10:10" x14ac:dyDescent="0.3">
      <c r="J215" s="131"/>
    </row>
    <row r="216" spans="10:10" x14ac:dyDescent="0.3">
      <c r="J216" s="131"/>
    </row>
    <row r="217" spans="10:10" x14ac:dyDescent="0.3">
      <c r="J217" s="131"/>
    </row>
    <row r="218" spans="10:10" x14ac:dyDescent="0.3">
      <c r="J218" s="131"/>
    </row>
    <row r="219" spans="10:10" x14ac:dyDescent="0.3">
      <c r="J219" s="131"/>
    </row>
    <row r="220" spans="10:10" x14ac:dyDescent="0.3">
      <c r="J220" s="131"/>
    </row>
    <row r="221" spans="10:10" x14ac:dyDescent="0.3">
      <c r="J221" s="131"/>
    </row>
    <row r="222" spans="10:10" x14ac:dyDescent="0.3">
      <c r="J222" s="131"/>
    </row>
    <row r="223" spans="10:10" x14ac:dyDescent="0.3">
      <c r="J223" s="131"/>
    </row>
    <row r="224" spans="10:10" x14ac:dyDescent="0.3">
      <c r="J224" s="131"/>
    </row>
    <row r="225" spans="10:10" x14ac:dyDescent="0.3">
      <c r="J225" s="131"/>
    </row>
    <row r="226" spans="10:10" x14ac:dyDescent="0.3">
      <c r="J226" s="131"/>
    </row>
    <row r="227" spans="10:10" x14ac:dyDescent="0.3">
      <c r="J227" s="131"/>
    </row>
    <row r="228" spans="10:10" x14ac:dyDescent="0.3">
      <c r="J228" s="131"/>
    </row>
    <row r="229" spans="10:10" x14ac:dyDescent="0.3">
      <c r="J229" s="131"/>
    </row>
    <row r="230" spans="10:10" x14ac:dyDescent="0.3">
      <c r="J230" s="131"/>
    </row>
    <row r="231" spans="10:10" x14ac:dyDescent="0.3">
      <c r="J231" s="131"/>
    </row>
    <row r="232" spans="10:10" x14ac:dyDescent="0.3">
      <c r="J232" s="131"/>
    </row>
    <row r="233" spans="10:10" x14ac:dyDescent="0.3">
      <c r="J233" s="131"/>
    </row>
    <row r="234" spans="10:10" x14ac:dyDescent="0.3">
      <c r="J234" s="131"/>
    </row>
    <row r="235" spans="10:10" x14ac:dyDescent="0.3">
      <c r="J235" s="131"/>
    </row>
    <row r="236" spans="10:10" x14ac:dyDescent="0.3">
      <c r="J236" s="131"/>
    </row>
    <row r="237" spans="10:10" x14ac:dyDescent="0.3">
      <c r="J237" s="131"/>
    </row>
    <row r="238" spans="10:10" x14ac:dyDescent="0.3">
      <c r="J238" s="131"/>
    </row>
    <row r="239" spans="10:10" x14ac:dyDescent="0.3">
      <c r="J239" s="131"/>
    </row>
    <row r="240" spans="10:10" x14ac:dyDescent="0.3">
      <c r="J240" s="131"/>
    </row>
    <row r="241" spans="10:10" x14ac:dyDescent="0.3">
      <c r="J241" s="131"/>
    </row>
    <row r="242" spans="10:10" x14ac:dyDescent="0.3">
      <c r="J242" s="131"/>
    </row>
    <row r="243" spans="10:10" x14ac:dyDescent="0.3">
      <c r="J243" s="131"/>
    </row>
    <row r="244" spans="10:10" x14ac:dyDescent="0.3">
      <c r="J244" s="131"/>
    </row>
    <row r="245" spans="10:10" x14ac:dyDescent="0.3">
      <c r="J245" s="131"/>
    </row>
    <row r="246" spans="10:10" x14ac:dyDescent="0.3">
      <c r="J246" s="131"/>
    </row>
    <row r="247" spans="10:10" x14ac:dyDescent="0.3">
      <c r="J247" s="131"/>
    </row>
    <row r="248" spans="10:10" x14ac:dyDescent="0.3">
      <c r="J248" s="131"/>
    </row>
    <row r="249" spans="10:10" x14ac:dyDescent="0.3">
      <c r="J249" s="131"/>
    </row>
    <row r="250" spans="10:10" x14ac:dyDescent="0.3">
      <c r="J250" s="131"/>
    </row>
    <row r="251" spans="10:10" x14ac:dyDescent="0.3">
      <c r="J251" s="131"/>
    </row>
    <row r="252" spans="10:10" x14ac:dyDescent="0.3">
      <c r="J252" s="131"/>
    </row>
    <row r="253" spans="10:10" x14ac:dyDescent="0.3">
      <c r="J253" s="131"/>
    </row>
    <row r="254" spans="10:10" x14ac:dyDescent="0.3">
      <c r="J254" s="131"/>
    </row>
    <row r="255" spans="10:10" x14ac:dyDescent="0.3">
      <c r="J255" s="131"/>
    </row>
    <row r="256" spans="10:10" x14ac:dyDescent="0.3">
      <c r="J256" s="131"/>
    </row>
    <row r="257" spans="10:10" x14ac:dyDescent="0.3">
      <c r="J257" s="131"/>
    </row>
    <row r="258" spans="10:10" x14ac:dyDescent="0.3">
      <c r="J258" s="131"/>
    </row>
    <row r="259" spans="10:10" x14ac:dyDescent="0.3">
      <c r="J259" s="131"/>
    </row>
    <row r="260" spans="10:10" x14ac:dyDescent="0.3">
      <c r="J260" s="131"/>
    </row>
    <row r="261" spans="10:10" x14ac:dyDescent="0.3">
      <c r="J261" s="131"/>
    </row>
    <row r="262" spans="10:10" x14ac:dyDescent="0.3">
      <c r="J262" s="131"/>
    </row>
    <row r="263" spans="10:10" x14ac:dyDescent="0.3">
      <c r="J263" s="131"/>
    </row>
    <row r="264" spans="10:10" x14ac:dyDescent="0.3">
      <c r="J264" s="131"/>
    </row>
    <row r="265" spans="10:10" x14ac:dyDescent="0.3">
      <c r="J265" s="131"/>
    </row>
    <row r="266" spans="10:10" x14ac:dyDescent="0.3">
      <c r="J266" s="131"/>
    </row>
    <row r="267" spans="10:10" x14ac:dyDescent="0.3">
      <c r="J267" s="131"/>
    </row>
    <row r="268" spans="10:10" x14ac:dyDescent="0.3">
      <c r="J268" s="131"/>
    </row>
    <row r="269" spans="10:10" x14ac:dyDescent="0.3">
      <c r="J269" s="131"/>
    </row>
    <row r="270" spans="10:10" x14ac:dyDescent="0.3">
      <c r="J270" s="131"/>
    </row>
    <row r="271" spans="10:10" x14ac:dyDescent="0.3">
      <c r="J271" s="131"/>
    </row>
    <row r="272" spans="10:10" x14ac:dyDescent="0.3">
      <c r="J272" s="131"/>
    </row>
    <row r="273" spans="10:10" x14ac:dyDescent="0.3">
      <c r="J273" s="131"/>
    </row>
    <row r="274" spans="10:10" x14ac:dyDescent="0.3">
      <c r="J274" s="131"/>
    </row>
    <row r="275" spans="10:10" x14ac:dyDescent="0.3">
      <c r="J275" s="131"/>
    </row>
    <row r="276" spans="10:10" x14ac:dyDescent="0.3">
      <c r="J276" s="131"/>
    </row>
    <row r="277" spans="10:10" x14ac:dyDescent="0.3">
      <c r="J277" s="131"/>
    </row>
    <row r="278" spans="10:10" x14ac:dyDescent="0.3">
      <c r="J278" s="131"/>
    </row>
    <row r="279" spans="10:10" x14ac:dyDescent="0.3">
      <c r="J279" s="131"/>
    </row>
    <row r="280" spans="10:10" x14ac:dyDescent="0.3">
      <c r="J280" s="131"/>
    </row>
    <row r="281" spans="10:10" x14ac:dyDescent="0.3">
      <c r="J281" s="131"/>
    </row>
    <row r="282" spans="10:10" x14ac:dyDescent="0.3">
      <c r="J282" s="131"/>
    </row>
    <row r="283" spans="10:10" x14ac:dyDescent="0.3">
      <c r="J283" s="131"/>
    </row>
    <row r="284" spans="10:10" x14ac:dyDescent="0.3">
      <c r="J284" s="131"/>
    </row>
    <row r="285" spans="10:10" x14ac:dyDescent="0.3">
      <c r="J285" s="131"/>
    </row>
    <row r="286" spans="10:10" x14ac:dyDescent="0.3">
      <c r="J286" s="131"/>
    </row>
    <row r="287" spans="10:10" x14ac:dyDescent="0.3">
      <c r="J287" s="131"/>
    </row>
    <row r="288" spans="10:10" x14ac:dyDescent="0.3">
      <c r="J288" s="131"/>
    </row>
    <row r="289" spans="10:10" x14ac:dyDescent="0.3">
      <c r="J289" s="131"/>
    </row>
    <row r="290" spans="10:10" x14ac:dyDescent="0.3">
      <c r="J290" s="131"/>
    </row>
    <row r="291" spans="10:10" x14ac:dyDescent="0.3">
      <c r="J291" s="131"/>
    </row>
    <row r="292" spans="10:10" x14ac:dyDescent="0.3">
      <c r="J292" s="131"/>
    </row>
    <row r="293" spans="10:10" x14ac:dyDescent="0.3">
      <c r="J293" s="131"/>
    </row>
    <row r="294" spans="10:10" x14ac:dyDescent="0.3">
      <c r="J294" s="131"/>
    </row>
    <row r="295" spans="10:10" x14ac:dyDescent="0.3">
      <c r="J295" s="131"/>
    </row>
    <row r="296" spans="10:10" x14ac:dyDescent="0.3">
      <c r="J296" s="131"/>
    </row>
    <row r="297" spans="10:10" x14ac:dyDescent="0.3">
      <c r="J297" s="131"/>
    </row>
    <row r="298" spans="10:10" x14ac:dyDescent="0.3">
      <c r="J298" s="131"/>
    </row>
    <row r="299" spans="10:10" x14ac:dyDescent="0.3">
      <c r="J299" s="131"/>
    </row>
    <row r="300" spans="10:10" x14ac:dyDescent="0.3">
      <c r="J300" s="131"/>
    </row>
    <row r="301" spans="10:10" x14ac:dyDescent="0.3">
      <c r="J301" s="131"/>
    </row>
    <row r="302" spans="10:10" x14ac:dyDescent="0.3">
      <c r="J302" s="131"/>
    </row>
    <row r="303" spans="10:10" x14ac:dyDescent="0.3">
      <c r="J303" s="131"/>
    </row>
    <row r="304" spans="10:10" x14ac:dyDescent="0.3">
      <c r="J304" s="131"/>
    </row>
    <row r="305" spans="10:10" x14ac:dyDescent="0.3">
      <c r="J305" s="131"/>
    </row>
    <row r="306" spans="10:10" x14ac:dyDescent="0.3">
      <c r="J306" s="131"/>
    </row>
    <row r="307" spans="10:10" x14ac:dyDescent="0.3">
      <c r="J307" s="131"/>
    </row>
    <row r="308" spans="10:10" x14ac:dyDescent="0.3">
      <c r="J308" s="131"/>
    </row>
    <row r="309" spans="10:10" x14ac:dyDescent="0.3">
      <c r="J309" s="131"/>
    </row>
    <row r="310" spans="10:10" x14ac:dyDescent="0.3">
      <c r="J310" s="131"/>
    </row>
    <row r="311" spans="10:10" x14ac:dyDescent="0.3">
      <c r="J311" s="131"/>
    </row>
    <row r="312" spans="10:10" x14ac:dyDescent="0.3">
      <c r="J312" s="131"/>
    </row>
    <row r="313" spans="10:10" x14ac:dyDescent="0.3">
      <c r="J313" s="131"/>
    </row>
    <row r="314" spans="10:10" x14ac:dyDescent="0.3">
      <c r="J314" s="131"/>
    </row>
    <row r="315" spans="10:10" x14ac:dyDescent="0.3">
      <c r="J315" s="131"/>
    </row>
    <row r="316" spans="10:10" x14ac:dyDescent="0.3">
      <c r="J316" s="131"/>
    </row>
    <row r="317" spans="10:10" x14ac:dyDescent="0.3">
      <c r="J317" s="131"/>
    </row>
    <row r="318" spans="10:10" x14ac:dyDescent="0.3">
      <c r="J318" s="131"/>
    </row>
    <row r="319" spans="10:10" x14ac:dyDescent="0.3">
      <c r="J319" s="131"/>
    </row>
    <row r="320" spans="10:10" x14ac:dyDescent="0.3">
      <c r="J320" s="131"/>
    </row>
    <row r="321" spans="10:10" x14ac:dyDescent="0.3">
      <c r="J321" s="131"/>
    </row>
    <row r="322" spans="10:10" x14ac:dyDescent="0.3">
      <c r="J322" s="131"/>
    </row>
    <row r="323" spans="10:10" x14ac:dyDescent="0.3">
      <c r="J323" s="131"/>
    </row>
    <row r="324" spans="10:10" x14ac:dyDescent="0.3">
      <c r="J324" s="131"/>
    </row>
    <row r="325" spans="10:10" x14ac:dyDescent="0.3">
      <c r="J325" s="131"/>
    </row>
    <row r="326" spans="10:10" x14ac:dyDescent="0.3">
      <c r="J326" s="131"/>
    </row>
    <row r="327" spans="10:10" x14ac:dyDescent="0.3">
      <c r="J327" s="131"/>
    </row>
    <row r="328" spans="10:10" x14ac:dyDescent="0.3">
      <c r="J328" s="131"/>
    </row>
    <row r="329" spans="10:10" x14ac:dyDescent="0.3">
      <c r="J329" s="131"/>
    </row>
    <row r="330" spans="10:10" x14ac:dyDescent="0.3">
      <c r="J330" s="131"/>
    </row>
    <row r="331" spans="10:10" x14ac:dyDescent="0.3">
      <c r="J331" s="131"/>
    </row>
    <row r="332" spans="10:10" x14ac:dyDescent="0.3">
      <c r="J332" s="131"/>
    </row>
    <row r="333" spans="10:10" x14ac:dyDescent="0.3">
      <c r="J333" s="131"/>
    </row>
    <row r="334" spans="10:10" x14ac:dyDescent="0.3">
      <c r="J334" s="131"/>
    </row>
    <row r="335" spans="10:10" x14ac:dyDescent="0.3">
      <c r="J335" s="131"/>
    </row>
    <row r="336" spans="10:10" x14ac:dyDescent="0.3">
      <c r="J336" s="131"/>
    </row>
    <row r="337" spans="10:10" x14ac:dyDescent="0.3">
      <c r="J337" s="131"/>
    </row>
    <row r="338" spans="10:10" x14ac:dyDescent="0.3">
      <c r="J338" s="131"/>
    </row>
    <row r="339" spans="10:10" x14ac:dyDescent="0.3">
      <c r="J339" s="131"/>
    </row>
    <row r="340" spans="10:10" x14ac:dyDescent="0.3">
      <c r="J340" s="131"/>
    </row>
    <row r="341" spans="10:10" x14ac:dyDescent="0.3">
      <c r="J341" s="131"/>
    </row>
    <row r="342" spans="10:10" x14ac:dyDescent="0.3">
      <c r="J342" s="131"/>
    </row>
    <row r="343" spans="10:10" x14ac:dyDescent="0.3">
      <c r="J343" s="131"/>
    </row>
    <row r="344" spans="10:10" x14ac:dyDescent="0.3">
      <c r="J344" s="131"/>
    </row>
    <row r="345" spans="10:10" x14ac:dyDescent="0.3">
      <c r="J345" s="131"/>
    </row>
    <row r="346" spans="10:10" x14ac:dyDescent="0.3">
      <c r="J346" s="131"/>
    </row>
    <row r="347" spans="10:10" x14ac:dyDescent="0.3">
      <c r="J347" s="131"/>
    </row>
    <row r="348" spans="10:10" x14ac:dyDescent="0.3">
      <c r="J348" s="131"/>
    </row>
    <row r="349" spans="10:10" x14ac:dyDescent="0.3">
      <c r="J349" s="131"/>
    </row>
    <row r="350" spans="10:10" x14ac:dyDescent="0.3">
      <c r="J350" s="131"/>
    </row>
    <row r="351" spans="10:10" x14ac:dyDescent="0.3">
      <c r="J351" s="131"/>
    </row>
    <row r="352" spans="10:10" x14ac:dyDescent="0.3">
      <c r="J352" s="131"/>
    </row>
    <row r="353" spans="10:10" x14ac:dyDescent="0.3">
      <c r="J353" s="131"/>
    </row>
    <row r="354" spans="10:10" x14ac:dyDescent="0.3">
      <c r="J354" s="131"/>
    </row>
    <row r="355" spans="10:10" x14ac:dyDescent="0.3">
      <c r="J355" s="131"/>
    </row>
    <row r="356" spans="10:10" x14ac:dyDescent="0.3">
      <c r="J356" s="131"/>
    </row>
    <row r="357" spans="10:10" x14ac:dyDescent="0.3">
      <c r="J357" s="131"/>
    </row>
    <row r="358" spans="10:10" x14ac:dyDescent="0.3">
      <c r="J358" s="131"/>
    </row>
    <row r="359" spans="10:10" x14ac:dyDescent="0.3">
      <c r="J359" s="131"/>
    </row>
    <row r="360" spans="10:10" x14ac:dyDescent="0.3">
      <c r="J360" s="131"/>
    </row>
    <row r="361" spans="10:10" x14ac:dyDescent="0.3">
      <c r="J361" s="131"/>
    </row>
    <row r="362" spans="10:10" x14ac:dyDescent="0.3">
      <c r="J362" s="131"/>
    </row>
    <row r="363" spans="10:10" x14ac:dyDescent="0.3">
      <c r="J363" s="131"/>
    </row>
    <row r="364" spans="10:10" x14ac:dyDescent="0.3">
      <c r="J364" s="131"/>
    </row>
    <row r="365" spans="10:10" x14ac:dyDescent="0.3">
      <c r="J365" s="131"/>
    </row>
    <row r="366" spans="10:10" x14ac:dyDescent="0.3">
      <c r="J366" s="131"/>
    </row>
    <row r="367" spans="10:10" x14ac:dyDescent="0.3">
      <c r="J367" s="131"/>
    </row>
    <row r="368" spans="10:10" x14ac:dyDescent="0.3">
      <c r="J368" s="131"/>
    </row>
    <row r="369" spans="10:10" x14ac:dyDescent="0.3">
      <c r="J369" s="131"/>
    </row>
    <row r="370" spans="10:10" x14ac:dyDescent="0.3">
      <c r="J370" s="131"/>
    </row>
    <row r="371" spans="10:10" x14ac:dyDescent="0.3">
      <c r="J371" s="131"/>
    </row>
    <row r="372" spans="10:10" x14ac:dyDescent="0.3">
      <c r="J372" s="131"/>
    </row>
    <row r="373" spans="10:10" x14ac:dyDescent="0.3">
      <c r="J373" s="131"/>
    </row>
    <row r="374" spans="10:10" x14ac:dyDescent="0.3">
      <c r="J374" s="131"/>
    </row>
    <row r="375" spans="10:10" x14ac:dyDescent="0.3">
      <c r="J375" s="131"/>
    </row>
    <row r="376" spans="10:10" x14ac:dyDescent="0.3">
      <c r="J376" s="131"/>
    </row>
    <row r="377" spans="10:10" x14ac:dyDescent="0.3">
      <c r="J377" s="131"/>
    </row>
    <row r="378" spans="10:10" x14ac:dyDescent="0.3">
      <c r="J378" s="131"/>
    </row>
    <row r="379" spans="10:10" x14ac:dyDescent="0.3">
      <c r="J379" s="131"/>
    </row>
    <row r="380" spans="10:10" x14ac:dyDescent="0.3">
      <c r="J380" s="131"/>
    </row>
    <row r="381" spans="10:10" x14ac:dyDescent="0.3">
      <c r="J381" s="131"/>
    </row>
    <row r="382" spans="10:10" x14ac:dyDescent="0.3">
      <c r="J382" s="131"/>
    </row>
    <row r="383" spans="10:10" x14ac:dyDescent="0.3">
      <c r="J383" s="131"/>
    </row>
    <row r="384" spans="10:10" x14ac:dyDescent="0.3">
      <c r="J384" s="131"/>
    </row>
    <row r="385" spans="10:10" x14ac:dyDescent="0.3">
      <c r="J385" s="131"/>
    </row>
    <row r="386" spans="10:10" x14ac:dyDescent="0.3">
      <c r="J386" s="131"/>
    </row>
    <row r="387" spans="10:10" x14ac:dyDescent="0.3">
      <c r="J387" s="131"/>
    </row>
    <row r="388" spans="10:10" x14ac:dyDescent="0.3">
      <c r="J388" s="131"/>
    </row>
    <row r="389" spans="10:10" x14ac:dyDescent="0.3">
      <c r="J389" s="131"/>
    </row>
    <row r="390" spans="10:10" x14ac:dyDescent="0.3">
      <c r="J390" s="131"/>
    </row>
    <row r="391" spans="10:10" x14ac:dyDescent="0.3">
      <c r="J391" s="131"/>
    </row>
    <row r="392" spans="10:10" x14ac:dyDescent="0.3">
      <c r="J392" s="131"/>
    </row>
    <row r="393" spans="10:10" x14ac:dyDescent="0.3">
      <c r="J393" s="131"/>
    </row>
    <row r="394" spans="10:10" x14ac:dyDescent="0.3">
      <c r="J394" s="131"/>
    </row>
    <row r="395" spans="10:10" x14ac:dyDescent="0.3">
      <c r="J395" s="131"/>
    </row>
    <row r="396" spans="10:10" x14ac:dyDescent="0.3">
      <c r="J396" s="131"/>
    </row>
    <row r="397" spans="10:10" x14ac:dyDescent="0.3">
      <c r="J397" s="131"/>
    </row>
    <row r="398" spans="10:10" x14ac:dyDescent="0.3">
      <c r="J398" s="131"/>
    </row>
    <row r="399" spans="10:10" x14ac:dyDescent="0.3">
      <c r="J399" s="131"/>
    </row>
    <row r="400" spans="10:10" x14ac:dyDescent="0.3">
      <c r="J400" s="131"/>
    </row>
    <row r="401" spans="10:10" x14ac:dyDescent="0.3">
      <c r="J401" s="131"/>
    </row>
    <row r="402" spans="10:10" x14ac:dyDescent="0.3">
      <c r="J402" s="131"/>
    </row>
    <row r="403" spans="10:10" x14ac:dyDescent="0.3">
      <c r="J403" s="131"/>
    </row>
    <row r="404" spans="10:10" x14ac:dyDescent="0.3">
      <c r="J404" s="131"/>
    </row>
    <row r="405" spans="10:10" x14ac:dyDescent="0.3">
      <c r="J405" s="131"/>
    </row>
    <row r="406" spans="10:10" x14ac:dyDescent="0.3">
      <c r="J406" s="131"/>
    </row>
    <row r="407" spans="10:10" x14ac:dyDescent="0.3">
      <c r="J407" s="131"/>
    </row>
    <row r="408" spans="10:10" x14ac:dyDescent="0.3">
      <c r="J408" s="131"/>
    </row>
    <row r="409" spans="10:10" x14ac:dyDescent="0.3">
      <c r="J409" s="131"/>
    </row>
    <row r="410" spans="10:10" x14ac:dyDescent="0.3">
      <c r="J410" s="131"/>
    </row>
    <row r="411" spans="10:10" x14ac:dyDescent="0.3">
      <c r="J411" s="131"/>
    </row>
    <row r="412" spans="10:10" x14ac:dyDescent="0.3">
      <c r="J412" s="131"/>
    </row>
    <row r="413" spans="10:10" x14ac:dyDescent="0.3">
      <c r="J413" s="131"/>
    </row>
    <row r="414" spans="10:10" x14ac:dyDescent="0.3">
      <c r="J414" s="131"/>
    </row>
    <row r="415" spans="10:10" x14ac:dyDescent="0.3">
      <c r="J415" s="131"/>
    </row>
    <row r="416" spans="10:10" x14ac:dyDescent="0.3">
      <c r="J416" s="131"/>
    </row>
    <row r="417" spans="10:10" x14ac:dyDescent="0.3">
      <c r="J417" s="131"/>
    </row>
    <row r="418" spans="10:10" x14ac:dyDescent="0.3">
      <c r="J418" s="131"/>
    </row>
    <row r="419" spans="10:10" x14ac:dyDescent="0.3">
      <c r="J419" s="131"/>
    </row>
    <row r="420" spans="10:10" x14ac:dyDescent="0.3">
      <c r="J420" s="131"/>
    </row>
    <row r="421" spans="10:10" x14ac:dyDescent="0.3">
      <c r="J421" s="131"/>
    </row>
    <row r="422" spans="10:10" x14ac:dyDescent="0.3">
      <c r="J422" s="131"/>
    </row>
    <row r="423" spans="10:10" x14ac:dyDescent="0.3">
      <c r="J423" s="131"/>
    </row>
    <row r="424" spans="10:10" x14ac:dyDescent="0.3">
      <c r="J424" s="131"/>
    </row>
    <row r="425" spans="10:10" x14ac:dyDescent="0.3">
      <c r="J425" s="131"/>
    </row>
    <row r="426" spans="10:10" x14ac:dyDescent="0.3">
      <c r="J426" s="131"/>
    </row>
    <row r="427" spans="10:10" x14ac:dyDescent="0.3">
      <c r="J427" s="131"/>
    </row>
    <row r="428" spans="10:10" x14ac:dyDescent="0.3">
      <c r="J428" s="131"/>
    </row>
    <row r="429" spans="10:10" x14ac:dyDescent="0.3">
      <c r="J429" s="131"/>
    </row>
    <row r="430" spans="10:10" x14ac:dyDescent="0.3">
      <c r="J430" s="131"/>
    </row>
    <row r="431" spans="10:10" x14ac:dyDescent="0.3">
      <c r="J431" s="131"/>
    </row>
    <row r="432" spans="10:10" x14ac:dyDescent="0.3">
      <c r="J432" s="131"/>
    </row>
    <row r="433" spans="10:10" x14ac:dyDescent="0.3">
      <c r="J433" s="131"/>
    </row>
    <row r="434" spans="10:10" x14ac:dyDescent="0.3">
      <c r="J434" s="131"/>
    </row>
    <row r="435" spans="10:10" x14ac:dyDescent="0.3">
      <c r="J435" s="131"/>
    </row>
    <row r="436" spans="10:10" x14ac:dyDescent="0.3">
      <c r="J436" s="131"/>
    </row>
    <row r="437" spans="10:10" x14ac:dyDescent="0.3">
      <c r="J437" s="131"/>
    </row>
    <row r="438" spans="10:10" x14ac:dyDescent="0.3">
      <c r="J438" s="131"/>
    </row>
    <row r="439" spans="10:10" x14ac:dyDescent="0.3">
      <c r="J439" s="131"/>
    </row>
    <row r="440" spans="10:10" x14ac:dyDescent="0.3">
      <c r="J440" s="131"/>
    </row>
    <row r="441" spans="10:10" x14ac:dyDescent="0.3">
      <c r="J441" s="131"/>
    </row>
    <row r="442" spans="10:10" x14ac:dyDescent="0.3">
      <c r="J442" s="131"/>
    </row>
    <row r="443" spans="10:10" x14ac:dyDescent="0.3">
      <c r="J443" s="131"/>
    </row>
    <row r="444" spans="10:10" x14ac:dyDescent="0.3">
      <c r="J444" s="131"/>
    </row>
    <row r="445" spans="10:10" x14ac:dyDescent="0.3">
      <c r="J445" s="131"/>
    </row>
    <row r="446" spans="10:10" x14ac:dyDescent="0.3">
      <c r="J446" s="131"/>
    </row>
    <row r="447" spans="10:10" x14ac:dyDescent="0.3">
      <c r="J447" s="131"/>
    </row>
    <row r="448" spans="10:10" x14ac:dyDescent="0.3">
      <c r="J448" s="131"/>
    </row>
    <row r="449" spans="10:10" x14ac:dyDescent="0.3">
      <c r="J449" s="131"/>
    </row>
    <row r="450" spans="10:10" x14ac:dyDescent="0.3">
      <c r="J450" s="131"/>
    </row>
    <row r="451" spans="10:10" x14ac:dyDescent="0.3">
      <c r="J451" s="131"/>
    </row>
    <row r="452" spans="10:10" x14ac:dyDescent="0.3">
      <c r="J452" s="131"/>
    </row>
    <row r="453" spans="10:10" x14ac:dyDescent="0.3">
      <c r="J453" s="131"/>
    </row>
    <row r="454" spans="10:10" x14ac:dyDescent="0.3">
      <c r="J454" s="131"/>
    </row>
    <row r="455" spans="10:10" x14ac:dyDescent="0.3">
      <c r="J455" s="131"/>
    </row>
    <row r="456" spans="10:10" x14ac:dyDescent="0.3">
      <c r="J456" s="131"/>
    </row>
    <row r="457" spans="10:10" x14ac:dyDescent="0.3">
      <c r="J457" s="131"/>
    </row>
    <row r="458" spans="10:10" x14ac:dyDescent="0.3">
      <c r="J458" s="131"/>
    </row>
    <row r="459" spans="10:10" x14ac:dyDescent="0.3">
      <c r="J459" s="131"/>
    </row>
    <row r="460" spans="10:10" x14ac:dyDescent="0.3">
      <c r="J460" s="131"/>
    </row>
    <row r="461" spans="10:10" x14ac:dyDescent="0.3">
      <c r="J461" s="131"/>
    </row>
    <row r="462" spans="10:10" x14ac:dyDescent="0.3">
      <c r="J462" s="131"/>
    </row>
    <row r="463" spans="10:10" x14ac:dyDescent="0.3">
      <c r="J463" s="131"/>
    </row>
    <row r="464" spans="10:10" x14ac:dyDescent="0.3">
      <c r="J464" s="131"/>
    </row>
    <row r="465" spans="10:10" x14ac:dyDescent="0.3">
      <c r="J465" s="131"/>
    </row>
    <row r="466" spans="10:10" x14ac:dyDescent="0.3">
      <c r="J466" s="131"/>
    </row>
    <row r="467" spans="10:10" x14ac:dyDescent="0.3">
      <c r="J467" s="131"/>
    </row>
    <row r="468" spans="10:10" x14ac:dyDescent="0.3">
      <c r="J468" s="131"/>
    </row>
    <row r="469" spans="10:10" x14ac:dyDescent="0.3">
      <c r="J469" s="131"/>
    </row>
    <row r="470" spans="10:10" x14ac:dyDescent="0.3">
      <c r="J470" s="131"/>
    </row>
    <row r="471" spans="10:10" x14ac:dyDescent="0.3">
      <c r="J471" s="131"/>
    </row>
    <row r="472" spans="10:10" x14ac:dyDescent="0.3">
      <c r="J472" s="131"/>
    </row>
    <row r="473" spans="10:10" x14ac:dyDescent="0.3">
      <c r="J473" s="131"/>
    </row>
    <row r="474" spans="10:10" x14ac:dyDescent="0.3">
      <c r="J474" s="131"/>
    </row>
    <row r="475" spans="10:10" x14ac:dyDescent="0.3">
      <c r="J475" s="131"/>
    </row>
    <row r="476" spans="10:10" x14ac:dyDescent="0.3">
      <c r="J476" s="131"/>
    </row>
    <row r="477" spans="10:10" x14ac:dyDescent="0.3">
      <c r="J477" s="131"/>
    </row>
    <row r="478" spans="10:10" x14ac:dyDescent="0.3">
      <c r="J478" s="131"/>
    </row>
    <row r="479" spans="10:10" x14ac:dyDescent="0.3">
      <c r="J479" s="131"/>
    </row>
    <row r="480" spans="10:10" x14ac:dyDescent="0.3">
      <c r="J480" s="131"/>
    </row>
    <row r="481" spans="10:10" x14ac:dyDescent="0.3">
      <c r="J481" s="131"/>
    </row>
    <row r="482" spans="10:10" x14ac:dyDescent="0.3">
      <c r="J482" s="131"/>
    </row>
    <row r="483" spans="10:10" x14ac:dyDescent="0.3">
      <c r="J483" s="131"/>
    </row>
    <row r="484" spans="10:10" x14ac:dyDescent="0.3">
      <c r="J484" s="131"/>
    </row>
    <row r="485" spans="10:10" x14ac:dyDescent="0.3">
      <c r="J485" s="131"/>
    </row>
    <row r="486" spans="10:10" x14ac:dyDescent="0.3">
      <c r="J486" s="131"/>
    </row>
    <row r="487" spans="10:10" x14ac:dyDescent="0.3">
      <c r="J487" s="131"/>
    </row>
    <row r="488" spans="10:10" x14ac:dyDescent="0.3">
      <c r="J488" s="131"/>
    </row>
    <row r="489" spans="10:10" x14ac:dyDescent="0.3">
      <c r="J489" s="131"/>
    </row>
    <row r="490" spans="10:10" x14ac:dyDescent="0.3">
      <c r="J490" s="131"/>
    </row>
    <row r="491" spans="10:10" x14ac:dyDescent="0.3">
      <c r="J491" s="131"/>
    </row>
    <row r="492" spans="10:10" x14ac:dyDescent="0.3">
      <c r="J492" s="131"/>
    </row>
    <row r="493" spans="10:10" x14ac:dyDescent="0.3">
      <c r="J493" s="131"/>
    </row>
    <row r="494" spans="10:10" x14ac:dyDescent="0.3">
      <c r="J494" s="131"/>
    </row>
    <row r="495" spans="10:10" x14ac:dyDescent="0.3">
      <c r="J495" s="131"/>
    </row>
    <row r="496" spans="10:10" x14ac:dyDescent="0.3">
      <c r="J496" s="131"/>
    </row>
    <row r="497" spans="10:10" x14ac:dyDescent="0.3">
      <c r="J497" s="131"/>
    </row>
    <row r="498" spans="10:10" x14ac:dyDescent="0.3">
      <c r="J498" s="131"/>
    </row>
    <row r="499" spans="10:10" x14ac:dyDescent="0.3">
      <c r="J499" s="131"/>
    </row>
    <row r="500" spans="10:10" x14ac:dyDescent="0.3">
      <c r="J500" s="131"/>
    </row>
    <row r="501" spans="10:10" x14ac:dyDescent="0.3">
      <c r="J501" s="131"/>
    </row>
    <row r="502" spans="10:10" x14ac:dyDescent="0.3">
      <c r="J502" s="131"/>
    </row>
    <row r="503" spans="10:10" x14ac:dyDescent="0.3">
      <c r="J503" s="131"/>
    </row>
    <row r="504" spans="10:10" x14ac:dyDescent="0.3">
      <c r="J504" s="131"/>
    </row>
    <row r="505" spans="10:10" x14ac:dyDescent="0.3">
      <c r="J505" s="131"/>
    </row>
    <row r="506" spans="10:10" x14ac:dyDescent="0.3">
      <c r="J506" s="131"/>
    </row>
    <row r="507" spans="10:10" x14ac:dyDescent="0.3">
      <c r="J507" s="131"/>
    </row>
    <row r="508" spans="10:10" x14ac:dyDescent="0.3">
      <c r="J508" s="131"/>
    </row>
    <row r="509" spans="10:10" x14ac:dyDescent="0.3">
      <c r="J509" s="131"/>
    </row>
    <row r="510" spans="10:10" x14ac:dyDescent="0.3">
      <c r="J510" s="131"/>
    </row>
    <row r="511" spans="10:10" x14ac:dyDescent="0.3">
      <c r="J511" s="131"/>
    </row>
    <row r="512" spans="10:10" x14ac:dyDescent="0.3">
      <c r="J512" s="131"/>
    </row>
    <row r="513" spans="10:10" x14ac:dyDescent="0.3">
      <c r="J513" s="131"/>
    </row>
    <row r="514" spans="10:10" x14ac:dyDescent="0.3">
      <c r="J514" s="131"/>
    </row>
    <row r="515" spans="10:10" x14ac:dyDescent="0.3">
      <c r="J515" s="131"/>
    </row>
    <row r="516" spans="10:10" x14ac:dyDescent="0.3">
      <c r="J516" s="131"/>
    </row>
    <row r="517" spans="10:10" x14ac:dyDescent="0.3">
      <c r="J517" s="131"/>
    </row>
    <row r="518" spans="10:10" x14ac:dyDescent="0.3">
      <c r="J518" s="131"/>
    </row>
    <row r="519" spans="10:10" x14ac:dyDescent="0.3">
      <c r="J519" s="131"/>
    </row>
    <row r="520" spans="10:10" x14ac:dyDescent="0.3">
      <c r="J520" s="131"/>
    </row>
    <row r="521" spans="10:10" x14ac:dyDescent="0.3">
      <c r="J521" s="131"/>
    </row>
    <row r="522" spans="10:10" x14ac:dyDescent="0.3">
      <c r="J522" s="131"/>
    </row>
    <row r="523" spans="10:10" x14ac:dyDescent="0.3">
      <c r="J523" s="131"/>
    </row>
    <row r="524" spans="10:10" x14ac:dyDescent="0.3">
      <c r="J524" s="131"/>
    </row>
    <row r="525" spans="10:10" x14ac:dyDescent="0.3">
      <c r="J525" s="131"/>
    </row>
    <row r="526" spans="10:10" x14ac:dyDescent="0.3">
      <c r="J526" s="131"/>
    </row>
    <row r="527" spans="10:10" x14ac:dyDescent="0.3">
      <c r="J527" s="131"/>
    </row>
    <row r="528" spans="10:10" x14ac:dyDescent="0.3">
      <c r="J528" s="131"/>
    </row>
    <row r="529" spans="10:10" x14ac:dyDescent="0.3">
      <c r="J529" s="131"/>
    </row>
    <row r="530" spans="10:10" x14ac:dyDescent="0.3">
      <c r="J530" s="131"/>
    </row>
    <row r="531" spans="10:10" x14ac:dyDescent="0.3">
      <c r="J531" s="131"/>
    </row>
    <row r="532" spans="10:10" x14ac:dyDescent="0.3">
      <c r="J532" s="131"/>
    </row>
    <row r="533" spans="10:10" x14ac:dyDescent="0.3">
      <c r="J533" s="131"/>
    </row>
    <row r="534" spans="10:10" x14ac:dyDescent="0.3">
      <c r="J534" s="131"/>
    </row>
    <row r="535" spans="10:10" x14ac:dyDescent="0.3">
      <c r="J535" s="131"/>
    </row>
    <row r="536" spans="10:10" x14ac:dyDescent="0.3">
      <c r="J536" s="131"/>
    </row>
    <row r="537" spans="10:10" x14ac:dyDescent="0.3">
      <c r="J537" s="131"/>
    </row>
    <row r="538" spans="10:10" x14ac:dyDescent="0.3">
      <c r="J538" s="131"/>
    </row>
    <row r="539" spans="10:10" x14ac:dyDescent="0.3">
      <c r="J539" s="131"/>
    </row>
    <row r="540" spans="10:10" x14ac:dyDescent="0.3">
      <c r="J540" s="131"/>
    </row>
    <row r="541" spans="10:10" x14ac:dyDescent="0.3">
      <c r="J541" s="131"/>
    </row>
    <row r="542" spans="10:10" x14ac:dyDescent="0.3">
      <c r="J542" s="131"/>
    </row>
    <row r="543" spans="10:10" x14ac:dyDescent="0.3">
      <c r="J543" s="131"/>
    </row>
    <row r="544" spans="10:10" x14ac:dyDescent="0.3">
      <c r="J544" s="131"/>
    </row>
    <row r="545" spans="10:10" x14ac:dyDescent="0.3">
      <c r="J545" s="131"/>
    </row>
    <row r="546" spans="10:10" x14ac:dyDescent="0.3">
      <c r="J546" s="131"/>
    </row>
    <row r="547" spans="10:10" x14ac:dyDescent="0.3">
      <c r="J547" s="131"/>
    </row>
    <row r="548" spans="10:10" x14ac:dyDescent="0.3">
      <c r="J548" s="131"/>
    </row>
    <row r="549" spans="10:10" x14ac:dyDescent="0.3">
      <c r="J549" s="131"/>
    </row>
    <row r="550" spans="10:10" x14ac:dyDescent="0.3">
      <c r="J550" s="131"/>
    </row>
    <row r="551" spans="10:10" x14ac:dyDescent="0.3">
      <c r="J551" s="131"/>
    </row>
    <row r="552" spans="10:10" x14ac:dyDescent="0.3">
      <c r="J552" s="131"/>
    </row>
    <row r="553" spans="10:10" x14ac:dyDescent="0.3">
      <c r="J553" s="131"/>
    </row>
    <row r="554" spans="10:10" x14ac:dyDescent="0.3">
      <c r="J554" s="131"/>
    </row>
    <row r="555" spans="10:10" x14ac:dyDescent="0.3">
      <c r="J555" s="131"/>
    </row>
    <row r="556" spans="10:10" x14ac:dyDescent="0.3">
      <c r="J556" s="131"/>
    </row>
    <row r="557" spans="10:10" x14ac:dyDescent="0.3">
      <c r="J557" s="131"/>
    </row>
    <row r="558" spans="10:10" x14ac:dyDescent="0.3">
      <c r="J558" s="131"/>
    </row>
    <row r="559" spans="10:10" x14ac:dyDescent="0.3">
      <c r="J559" s="131"/>
    </row>
    <row r="560" spans="10:10" x14ac:dyDescent="0.3">
      <c r="J560" s="131"/>
    </row>
    <row r="561" spans="10:10" x14ac:dyDescent="0.3">
      <c r="J561" s="131"/>
    </row>
    <row r="562" spans="10:10" x14ac:dyDescent="0.3">
      <c r="J562" s="131"/>
    </row>
    <row r="563" spans="10:10" x14ac:dyDescent="0.3">
      <c r="J563" s="131"/>
    </row>
    <row r="564" spans="10:10" x14ac:dyDescent="0.3">
      <c r="J564" s="131"/>
    </row>
    <row r="565" spans="10:10" x14ac:dyDescent="0.3">
      <c r="J565" s="131"/>
    </row>
    <row r="566" spans="10:10" x14ac:dyDescent="0.3">
      <c r="J566" s="131"/>
    </row>
    <row r="567" spans="10:10" x14ac:dyDescent="0.3">
      <c r="J567" s="131"/>
    </row>
    <row r="568" spans="10:10" x14ac:dyDescent="0.3">
      <c r="J568" s="131"/>
    </row>
    <row r="569" spans="10:10" x14ac:dyDescent="0.3">
      <c r="J569" s="131"/>
    </row>
    <row r="570" spans="10:10" x14ac:dyDescent="0.3">
      <c r="J570" s="131"/>
    </row>
    <row r="571" spans="10:10" x14ac:dyDescent="0.3">
      <c r="J571" s="131"/>
    </row>
    <row r="572" spans="10:10" x14ac:dyDescent="0.3">
      <c r="J572" s="131"/>
    </row>
    <row r="573" spans="10:10" x14ac:dyDescent="0.3">
      <c r="J573" s="131"/>
    </row>
    <row r="574" spans="10:10" x14ac:dyDescent="0.3">
      <c r="J574" s="131"/>
    </row>
    <row r="575" spans="10:10" x14ac:dyDescent="0.3">
      <c r="J575" s="131"/>
    </row>
    <row r="576" spans="10:10" x14ac:dyDescent="0.3">
      <c r="J576" s="131"/>
    </row>
    <row r="577" spans="10:10" x14ac:dyDescent="0.3">
      <c r="J577" s="131"/>
    </row>
    <row r="578" spans="10:10" x14ac:dyDescent="0.3">
      <c r="J578" s="131"/>
    </row>
    <row r="579" spans="10:10" x14ac:dyDescent="0.3">
      <c r="J579" s="131"/>
    </row>
    <row r="580" spans="10:10" x14ac:dyDescent="0.3">
      <c r="J580" s="131"/>
    </row>
    <row r="581" spans="10:10" x14ac:dyDescent="0.3">
      <c r="J581" s="131"/>
    </row>
    <row r="582" spans="10:10" x14ac:dyDescent="0.3">
      <c r="J582" s="131"/>
    </row>
    <row r="583" spans="10:10" x14ac:dyDescent="0.3">
      <c r="J583" s="131"/>
    </row>
    <row r="584" spans="10:10" x14ac:dyDescent="0.3">
      <c r="J584" s="131"/>
    </row>
    <row r="585" spans="10:10" x14ac:dyDescent="0.3">
      <c r="J585" s="131"/>
    </row>
    <row r="586" spans="10:10" x14ac:dyDescent="0.3">
      <c r="J586" s="131"/>
    </row>
    <row r="587" spans="10:10" x14ac:dyDescent="0.3">
      <c r="J587" s="131"/>
    </row>
    <row r="588" spans="10:10" x14ac:dyDescent="0.3">
      <c r="J588" s="131"/>
    </row>
    <row r="589" spans="10:10" x14ac:dyDescent="0.3">
      <c r="J589" s="131"/>
    </row>
    <row r="590" spans="10:10" x14ac:dyDescent="0.3">
      <c r="J590" s="131"/>
    </row>
    <row r="591" spans="10:10" x14ac:dyDescent="0.3">
      <c r="J591" s="131"/>
    </row>
    <row r="592" spans="10:10" x14ac:dyDescent="0.3">
      <c r="J592" s="131"/>
    </row>
    <row r="593" spans="10:10" x14ac:dyDescent="0.3">
      <c r="J593" s="131"/>
    </row>
    <row r="594" spans="10:10" x14ac:dyDescent="0.3">
      <c r="J594" s="131"/>
    </row>
    <row r="595" spans="10:10" x14ac:dyDescent="0.3">
      <c r="J595" s="131"/>
    </row>
    <row r="596" spans="10:10" x14ac:dyDescent="0.3">
      <c r="J596" s="131"/>
    </row>
    <row r="597" spans="10:10" x14ac:dyDescent="0.3">
      <c r="J597" s="131"/>
    </row>
    <row r="598" spans="10:10" x14ac:dyDescent="0.3">
      <c r="J598" s="131"/>
    </row>
    <row r="599" spans="10:10" x14ac:dyDescent="0.3">
      <c r="J599" s="131"/>
    </row>
    <row r="600" spans="10:10" x14ac:dyDescent="0.3">
      <c r="J600" s="131"/>
    </row>
    <row r="601" spans="10:10" x14ac:dyDescent="0.3">
      <c r="J601" s="131"/>
    </row>
    <row r="602" spans="10:10" x14ac:dyDescent="0.3">
      <c r="J602" s="131"/>
    </row>
    <row r="603" spans="10:10" x14ac:dyDescent="0.3">
      <c r="J603" s="131"/>
    </row>
    <row r="604" spans="10:10" x14ac:dyDescent="0.3">
      <c r="J604" s="131"/>
    </row>
    <row r="605" spans="10:10" x14ac:dyDescent="0.3">
      <c r="J605" s="131"/>
    </row>
    <row r="606" spans="10:10" x14ac:dyDescent="0.3">
      <c r="J606" s="131"/>
    </row>
    <row r="607" spans="10:10" x14ac:dyDescent="0.3">
      <c r="J607" s="131"/>
    </row>
    <row r="608" spans="10:10" x14ac:dyDescent="0.3">
      <c r="J608" s="131"/>
    </row>
    <row r="609" spans="10:10" x14ac:dyDescent="0.3">
      <c r="J609" s="131"/>
    </row>
    <row r="610" spans="10:10" x14ac:dyDescent="0.3">
      <c r="J610" s="131"/>
    </row>
    <row r="611" spans="10:10" x14ac:dyDescent="0.3">
      <c r="J611" s="131"/>
    </row>
    <row r="612" spans="10:10" x14ac:dyDescent="0.3">
      <c r="J612" s="131"/>
    </row>
    <row r="613" spans="10:10" x14ac:dyDescent="0.3">
      <c r="J613" s="131"/>
    </row>
    <row r="614" spans="10:10" x14ac:dyDescent="0.3">
      <c r="J614" s="131"/>
    </row>
    <row r="615" spans="10:10" x14ac:dyDescent="0.3">
      <c r="J615" s="131"/>
    </row>
    <row r="616" spans="10:10" x14ac:dyDescent="0.3">
      <c r="J616" s="131"/>
    </row>
  </sheetData>
  <pageMargins left="0.7" right="0.7" top="0.75" bottom="0.75" header="0.3" footer="0.3"/>
  <pageSetup paperSize="9" orientation="portrait" r:id="rId1"/>
  <ignoredErrors>
    <ignoredError sqref="M2 Q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713ECAB89B2D45978C966736D2132B" ma:contentTypeVersion="18" ma:contentTypeDescription="Create a new document." ma:contentTypeScope="" ma:versionID="f26c0adf57217e29233e77a6405c03c4">
  <xsd:schema xmlns:xsd="http://www.w3.org/2001/XMLSchema" xmlns:xs="http://www.w3.org/2001/XMLSchema" xmlns:p="http://schemas.microsoft.com/office/2006/metadata/properties" xmlns:ns2="6a6644d3-f248-4067-83c6-e7eac864ebba" xmlns:ns3="bd6503db-64e4-4edd-a88a-28c904500f78" xmlns:ns4="a345560c-7f88-4e77-be50-7aca9d40ee02" targetNamespace="http://schemas.microsoft.com/office/2006/metadata/properties" ma:root="true" ma:fieldsID="70d17c2b85150eaa3abb7346f0621005" ns2:_="" ns3:_="" ns4:_="">
    <xsd:import namespace="6a6644d3-f248-4067-83c6-e7eac864ebba"/>
    <xsd:import namespace="bd6503db-64e4-4edd-a88a-28c904500f78"/>
    <xsd:import namespace="a345560c-7f88-4e77-be50-7aca9d40ee02"/>
    <xsd:element name="properties">
      <xsd:complexType>
        <xsd:sequence>
          <xsd:element name="documentManagement">
            <xsd:complexType>
              <xsd:all>
                <xsd:element ref="ns2:_dlc_DocId" minOccurs="0"/>
                <xsd:element ref="ns2:_dlc_DocIdUrl" minOccurs="0"/>
                <xsd:element ref="ns2:_dlc_DocIdPersistId" minOccurs="0"/>
                <xsd:element ref="ns3:Original_x0020_File_x0020_Name" minOccurs="0"/>
                <xsd:element ref="ns3:Language" minOccurs="0"/>
                <xsd:element ref="ns3:Window_x0020_number" minOccurs="0"/>
                <xsd:element ref="ns3:Document_x0020_File_x0020_Type" minOccurs="0"/>
                <xsd:element ref="ns4:SharedWithUsers" minOccurs="0"/>
                <xsd:element ref="ns4: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salesforceProperties" minOccurs="0"/>
                <xsd:element ref="ns3:MediaServiceAutoTags" minOccurs="0"/>
                <xsd:element ref="ns3:MediaServiceOCR" minOccurs="0"/>
                <xsd:element ref="ns3:MediaServiceGenerationTime" minOccurs="0"/>
                <xsd:element ref="ns3:MediaServiceEventHashCode" minOccurs="0"/>
                <xsd:element ref="ns3:_Flow_SignoffStatu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6644d3-f248-4067-83c6-e7eac864ebb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d6503db-64e4-4edd-a88a-28c904500f78" elementFormDefault="qualified">
    <xsd:import namespace="http://schemas.microsoft.com/office/2006/documentManagement/types"/>
    <xsd:import namespace="http://schemas.microsoft.com/office/infopath/2007/PartnerControls"/>
    <xsd:element name="Original_x0020_File_x0020_Name" ma:index="11" nillable="true" ma:displayName="Original File Name" ma:internalName="Original_x0020_File_x0020_Name">
      <xsd:simpleType>
        <xsd:restriction base="dms:Text">
          <xsd:maxLength value="255"/>
        </xsd:restriction>
      </xsd:simpleType>
    </xsd:element>
    <xsd:element name="Language" ma:index="12" nillable="true" ma:displayName="Language" ma:internalName="Language">
      <xsd:simpleType>
        <xsd:restriction base="dms:Text">
          <xsd:maxLength value="80"/>
        </xsd:restriction>
      </xsd:simpleType>
    </xsd:element>
    <xsd:element name="Window_x0020_number" ma:index="13" nillable="true" ma:displayName="Window number" ma:internalName="Window_x0020_number">
      <xsd:simpleType>
        <xsd:restriction base="dms:Text">
          <xsd:maxLength value="255"/>
        </xsd:restriction>
      </xsd:simpleType>
    </xsd:element>
    <xsd:element name="Document_x0020_File_x0020_Type" ma:index="14" nillable="true" ma:displayName="Document File Type" ma:internalName="Document_x0020_File_x0020_Type">
      <xsd:simpleType>
        <xsd:restriction base="dms:Text">
          <xsd:maxLength value="100"/>
        </xsd:restriction>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salesforceProperties" ma:index="22" nillable="true" ma:displayName="salesforceProperties" ma:default="1" ma:internalName="salesforceProperties">
      <xsd:simpleType>
        <xsd:restriction base="dms:Boolean"/>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_Flow_SignoffStatus" ma:index="27" nillable="true" ma:displayName="Sign-off status" ma:internalName="Sign_x002d_off_x0020_status">
      <xsd:simpleType>
        <xsd:restriction base="dms:Text"/>
      </xsd:simpleType>
    </xsd:element>
    <xsd:element name="MediaLengthInSeconds" ma:index="2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345560c-7f88-4e77-be50-7aca9d40ee0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indow_x0020_number xmlns="bd6503db-64e4-4edd-a88a-28c904500f78">Window 2b - May 2020</Window_x0020_number>
    <Document_x0020_File_x0020_Type xmlns="bd6503db-64e4-4edd-a88a-28c904500f78">Performance Framework</Document_x0020_File_x0020_Type>
    <Original_x0020_File_x0020_Name xmlns="bd6503db-64e4-4edd-a88a-28c904500f78">FR941-CIV-H_PF_17Jun20_Fr</Original_x0020_File_x0020_Name>
    <Language xmlns="bd6503db-64e4-4edd-a88a-28c904500f78">French</Language>
    <salesforceProperties xmlns="bd6503db-64e4-4edd-a88a-28c904500f78">false</salesforceProperties>
    <_dlc_DocId xmlns="6a6644d3-f248-4067-83c6-e7eac864ebba">NAXEWDDVUNHE-581286713-8403</_dlc_DocId>
    <_dlc_DocIdUrl xmlns="6a6644d3-f248-4067-83c6-e7eac864ebba">
      <Url>https://tgf.sharepoint.com/sites/ESA2F1/TRPL/_layouts/15/DocIdRedir.aspx?ID=NAXEWDDVUNHE-581286713-8403</Url>
      <Description>NAXEWDDVUNHE-581286713-8403</Description>
    </_dlc_DocIdUrl>
    <_Flow_SignoffStatus xmlns="bd6503db-64e4-4edd-a88a-28c904500f78" xsi:nil="true"/>
  </documentManagement>
</p:properties>
</file>

<file path=customXml/itemProps1.xml><?xml version="1.0" encoding="utf-8"?>
<ds:datastoreItem xmlns:ds="http://schemas.openxmlformats.org/officeDocument/2006/customXml" ds:itemID="{5FB98E7A-8487-4890-BC88-99DB9833565F}"/>
</file>

<file path=customXml/itemProps2.xml><?xml version="1.0" encoding="utf-8"?>
<ds:datastoreItem xmlns:ds="http://schemas.openxmlformats.org/officeDocument/2006/customXml" ds:itemID="{936F0A6F-7391-4283-8C45-13281B6A23F0}"/>
</file>

<file path=customXml/itemProps3.xml><?xml version="1.0" encoding="utf-8"?>
<ds:datastoreItem xmlns:ds="http://schemas.openxmlformats.org/officeDocument/2006/customXml" ds:itemID="{8DE7F169-3719-4FC1-8629-1D3BFB0C53AF}"/>
</file>

<file path=customXml/itemProps4.xml><?xml version="1.0" encoding="utf-8"?>
<ds:datastoreItem xmlns:ds="http://schemas.openxmlformats.org/officeDocument/2006/customXml" ds:itemID="{3BE50142-D773-44E6-BC55-5018A44148D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612</vt:i4>
      </vt:variant>
    </vt:vector>
  </HeadingPairs>
  <TitlesOfParts>
    <vt:vector size="620" baseType="lpstr">
      <vt:lpstr>Instructions-FR</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_009096bb_77c7_47e9_ab78_bac00c84b439</vt:lpstr>
      <vt:lpstr>_014af77a_8bcb_4d0c_beeb_a3d72f1332b5</vt:lpstr>
      <vt:lpstr>_01bfc0ce_3a93_4136_98df_2e5ab51007c4</vt:lpstr>
      <vt:lpstr>_01cccfef_5573_4d36_b9d3_e32bd9199c70</vt:lpstr>
      <vt:lpstr>_0215c642_4079_4a66_b33f_02948e5b161c</vt:lpstr>
      <vt:lpstr>_02305739_ec80_4503_b191_2e272f7ad158</vt:lpstr>
      <vt:lpstr>_0278b5de_0da4_4498_a134_99a2744a9fab</vt:lpstr>
      <vt:lpstr>_033fcd6d_adce_4700_8852_ca583a6bef6b</vt:lpstr>
      <vt:lpstr>_041a39b4_8ff8_4bdd_bc99_4f008e44b010</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_0a25a90c_3219_438f_af02_7dbbd6432e17</vt:lpstr>
      <vt:lpstr>_0b061e63_2d62_4e7f_be44_4eac7747625a</vt:lpstr>
      <vt:lpstr>_0ba5fba9_1998_4ded_9b12_f967fc1c76dc</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_0f6dd035_5a2a_4fb8_9c03_136130f7ba45</vt:lpstr>
      <vt:lpstr>_10373643_8727_4ea7_b41d_1b5ebdd41ba4</vt:lpstr>
      <vt:lpstr>_1121e55d_6d32_4888_b652_ac9583a82d46</vt:lpstr>
      <vt:lpstr>_1279d174_765e_40f7_9774_a1502cee1084</vt:lpstr>
      <vt:lpstr>_13f5bbc3_a06d_4a3e_b75e_ac6929e1cb91</vt:lpstr>
      <vt:lpstr>_13f7ccf9_e83b_492d_b75e_505ddf064a0d</vt:lpstr>
      <vt:lpstr>_144bb8c4_0b16_4558_9e0b_bfebb0a9604a</vt:lpstr>
      <vt:lpstr>_14a567c8_d8f6_4162_9aa0_c1538b8740a0</vt:lpstr>
      <vt:lpstr>_164e6d09_185f_4eb7_8d48_b40f818dce2a</vt:lpstr>
      <vt:lpstr>_181f0491_3526_4056_a1b6_cc19485d3206</vt:lpstr>
      <vt:lpstr>_185f9a59_e3dc_4a86_b1fd_a4a300de92e9</vt:lpstr>
      <vt:lpstr>_18fcd6ea_974c_4b82_9069_cd9097340c65</vt:lpstr>
      <vt:lpstr>_1955075b_5332_4022_9e1d_d8310266160b</vt:lpstr>
      <vt:lpstr>_195784db_c268_4c63_8483_153347963bf4</vt:lpstr>
      <vt:lpstr>_1973a1fe_f6bd_4298_a9ef_0f4352e0ed5c</vt:lpstr>
      <vt:lpstr>_198b5a5f_0f03_476f_accf_4c39afec46de</vt:lpstr>
      <vt:lpstr>_1a080622_0d74_49cf_97f9_4810bf8030df</vt:lpstr>
      <vt:lpstr>_1a5b1cfb_0aff_4bfb_a8cf_305d6cff91c4</vt:lpstr>
      <vt:lpstr>_1a724e84_de47_4d84_99f6_1ebe05a5198e</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_234097fa_7af3_40a6_9a0b_c63fe2b310fb</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_26871ad2_5643_4577_a42a_cef86a91d97d</vt:lpstr>
      <vt:lpstr>_269ad186_a2a4_4f46_8ca7_07cb583e612e</vt:lpstr>
      <vt:lpstr>_27c6dfb2_6e2c_4519_aff6_82afcaea4b81</vt:lpstr>
      <vt:lpstr>_28d737f3_d683_41ef_b960_db024c047aff</vt:lpstr>
      <vt:lpstr>_29114823_71c7_429d_a280_da9290ae2726</vt:lpstr>
      <vt:lpstr>_29485cc3_b6f0_4699_8a0a_9b1b9b557d0a</vt:lpstr>
      <vt:lpstr>_295f3441_adc3_4dc5_8a9e_67266d697395</vt:lpstr>
      <vt:lpstr>_29cebab7_2d83_4f3c_9514_8297fc24a341</vt:lpstr>
      <vt:lpstr>_29dc2e64_1893_44f6_9dcf_87e619efff18</vt:lpstr>
      <vt:lpstr>_29de1210_4fea_46a8_ac63_eb3a3734b209</vt:lpstr>
      <vt:lpstr>_2aadba24_f284_4106_939e_021fa73526f3</vt:lpstr>
      <vt:lpstr>_2ab1dfcf_a207_4488_9778_05865ff67402</vt:lpstr>
      <vt:lpstr>_2b6b996f_cb14_4a6f_a9d2_340471f8299f</vt:lpstr>
      <vt:lpstr>_2bad41a3_d2d5_4a30_a026_b211ed401ae9</vt:lpstr>
      <vt:lpstr>_2c6b8785_2f7e_4ce5_948e_2066c6838182</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_31abdfc0_7b3f_4421_9bb3_3010b64c33c6</vt:lpstr>
      <vt:lpstr>_31d120e8_a153_4549_b61b_13f625c541fd</vt:lpstr>
      <vt:lpstr>_31e1e97a_f8b3_42a3_9dba_54263b984934</vt:lpstr>
      <vt:lpstr>_33898a8c_e55b_4fb6_a523_fc8d172930cd</vt:lpstr>
      <vt:lpstr>_33f94c69_7ad0_42e4_ae97_cd43ab2f6fb1</vt:lpstr>
      <vt:lpstr>_345d0d9b_6a28_4efe_b573_e24f2d2c320a</vt:lpstr>
      <vt:lpstr>_3599e6a2_76d5_4a3e_b94f_263ea328a754</vt:lpstr>
      <vt:lpstr>_35a3a7c3_ebbd_4b4d_a304_0699e84940ff</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_38de050d_86ee_49c2_9fbb_229243dfc39c</vt:lpstr>
      <vt:lpstr>_3a54c0cb_5d61_44ab_9f5f_59c0b83c7017</vt:lpstr>
      <vt:lpstr>_3a87c5f7_0769_4a3a_a3e3_82a4b0341068</vt:lpstr>
      <vt:lpstr>_3aa3a9d7_516a_4076_842d_45635c693b16</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_3e75799f_c328_461d_aa21_8f9a9eab5513</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_4168f68f_65b0_4ea5_bc1b_2714af57d8d9</vt:lpstr>
      <vt:lpstr>_423d3c20_41cf_4997_a293_9b1150fb8eaa</vt:lpstr>
      <vt:lpstr>_425b05fb_599f_421c_ad67_1b45a511d0c0</vt:lpstr>
      <vt:lpstr>_4266c6da_54ca_4a1a_a567_1b51c0445aba</vt:lpstr>
      <vt:lpstr>_42a2ef20_7507_4137_ae83_1c4ed24d9bd9</vt:lpstr>
      <vt:lpstr>_42d7fb51_4e33_4fc0_b034_1c2d76e20fd5</vt:lpstr>
      <vt:lpstr>_450947d9_3973_46bc_ab14_5dab8bf5c8fb</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_4ae48ad8_e1d2_4fe8_923d_d826a0a6db3d</vt:lpstr>
      <vt:lpstr>_4af41944_42f7_4e99_8627_878d677a4e30</vt:lpstr>
      <vt:lpstr>_4b36df75_ea3b_4116_b8ac_4a66abe762ad</vt:lpstr>
      <vt:lpstr>_4c42d79f_dbe5_4149_82f9_e7c685dd6770</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_533bb3c1_719b_49f8_944a_16db5ad7c120</vt:lpstr>
      <vt:lpstr>_53737226_720f_44cb_8b6f_c2a7829a2378</vt:lpstr>
      <vt:lpstr>_54eeb97e_db74_4058_898e_3c70d10a60fb</vt:lpstr>
      <vt:lpstr>_551ff597_4d6b_4e43_80ec_d627591a4405</vt:lpstr>
      <vt:lpstr>_556ddeb1_283d_4119_8033_220d00837221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_5ab6d726_9fce_48bb_aa46_4986e5a2e80e</vt:lpstr>
      <vt:lpstr>_5b7858ba_c7ed_4c9b_bc1f_4266d944d694</vt:lpstr>
      <vt:lpstr>_5bfda244_8ccf_4224_a2ea_9a3800784bec</vt:lpstr>
      <vt:lpstr>_5c348667_29c7_4f46_8bdf_9340e7ffe341</vt:lpstr>
      <vt:lpstr>_5c482c04_4e59_4d71_9f75_de3d9d16970b</vt:lpstr>
      <vt:lpstr>_5ca483d4_a607_464c_bfdb_b77cba9ec0a9</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_5e92d889_8ba8_4c5a_940f_5b9f94b6e30a</vt:lpstr>
      <vt:lpstr>_5fd64279_1bd2_488c_9e62_4053f45567f5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_6455b8f3_a4e7_439d_8059_19ecc4f1f876</vt:lpstr>
      <vt:lpstr>_64b80052_1148_4ad0_a719_2605a229a5dd</vt:lpstr>
      <vt:lpstr>_651c1cff_29dc_4f61_8994_ff4aa592187f</vt:lpstr>
      <vt:lpstr>_654bca83_10b5_4fb3_962f_80e82dfc63ce</vt:lpstr>
      <vt:lpstr>_65c26b5a_0465_48fc_a362_f2e87b3413d9</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_7111a6af_994e_4c8e_91da_0cd71318b438</vt:lpstr>
      <vt:lpstr>_7210282b_6d37_40e9_9208_b22105dfdb45</vt:lpstr>
      <vt:lpstr>_7318b74f_0f66_4a96_9490_a6e530953ede</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_77c0e58c_063b_4191_abfd_5b535878c189</vt:lpstr>
      <vt:lpstr>_78b9de5e_0b4f_481c_a62c_142b52c36488</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_7e97bb3f_85c0_4041_8e33_f4dfd9b2bd63</vt:lpstr>
      <vt:lpstr>_7e99718f_b927_43f8_a72d_f5933e7780ca</vt:lpstr>
      <vt:lpstr>_7ea43aa2_3fad_4650_821c_ea2dc5b2b6d6</vt:lpstr>
      <vt:lpstr>_7ed2ad39_d4a3_43ed_a915_8a79ae9d08a6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_84d9d01d_791d_4814_96ca_cef45a6abd3a</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_8a518e78_c2e7_4107_86f8_cda6bfbbe864</vt:lpstr>
      <vt:lpstr>_8a9ff9a8_7b42_4a34_a7bb_8f85ce3a36e0</vt:lpstr>
      <vt:lpstr>_8aa2c9e8_97d3_45b0_9755_0e8c5c3f294b</vt:lpstr>
      <vt:lpstr>_8aa4cf9f_eda6_4444_a907_3c8c602dbf88</vt:lpstr>
      <vt:lpstr>_8c12beea_ae57_4cdc_a86e_9bbd3bae88f2</vt:lpstr>
      <vt:lpstr>_8c83dafc_06c9_46d5_82dd_2edc4cdd71ef</vt:lpstr>
      <vt:lpstr>_8c97b788_a56a_4fd4_ab1d_553fdacd56ee</vt:lpstr>
      <vt:lpstr>_8d086166_aaa3_4eec_872e_985dceb20c48</vt:lpstr>
      <vt:lpstr>_8d18a379_8755_4412_801e_3a24e67a6467</vt:lpstr>
      <vt:lpstr>_8dbce8a5_0984_44b3_b1a6_cf993b957b30</vt:lpstr>
      <vt:lpstr>_8f098222_d066_4a46_afe4_a2860f259340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_95c01be7_c627_4449_a788_13be67006d54</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_9a822c43_2840_4d32_8d2c_f62815eccb99</vt:lpstr>
      <vt:lpstr>_9a975b68_4a25_421c_bf56_ce3e9602ca12</vt:lpstr>
      <vt:lpstr>_9c766a82_9c33_4b1d_9f4c_76c2bcf6e551</vt:lpstr>
      <vt:lpstr>_9c8612d6_cb9f_4fcd_b707_4fdfc8d07b47</vt:lpstr>
      <vt:lpstr>_9cbfedb3_84f3_41cb_bf05_f57356c30d3b</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_a4e3ee83_9e06_474b_907f_71086c0c2985</vt:lpstr>
      <vt:lpstr>_a4f8ca5a_c29b_4e8a_b75c_6e98ee1c35c5</vt:lpstr>
      <vt:lpstr>_a561960e_2837_4ef6_9fb3_06bd14045f9f</vt:lpstr>
      <vt:lpstr>_a56e44bf_ca89_4206_8199_57e3e8408cd6</vt:lpstr>
      <vt:lpstr>_a5dfcb7f_e430_4fb5_9b5b_e22c4b6ca98e</vt:lpstr>
      <vt:lpstr>_a7712b00_96b7_482b_952c_492d2f0b2fc2</vt:lpstr>
      <vt:lpstr>_a7b11238_9f6e_4351_921e_572fe001503d</vt:lpstr>
      <vt:lpstr>_a7c4333b_5ea5_49df_97fa_fe1307e6522f</vt:lpstr>
      <vt:lpstr>_a80237bb_7952_4c04_9a7a_1cdad38cbd16</vt:lpstr>
      <vt:lpstr>_a8f46077_3c03_49ff_b812_2b8ac08cae66</vt:lpstr>
      <vt:lpstr>_aa924ff3_7862_4e6d_9948_5a270e34c8a1</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_b38bd4f0_1352_4868_a619_3a6c9defba4d</vt:lpstr>
      <vt:lpstr>_b50509cf_996c_4fbc_99d9_4d166ae6823c</vt:lpstr>
      <vt:lpstr>_b517363e_a660_4f5c_8200_ca9f715b3954</vt:lpstr>
      <vt:lpstr>_b5821112_3c0f_46ea_8691_81e5396982ed</vt:lpstr>
      <vt:lpstr>_b5e8f7c0_1f6c_4f34_9e09_d35ca3f3eb39</vt:lpstr>
      <vt:lpstr>_b5f2092b_488a_4789_9fbe_8833441f7329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_ba0267ad_21bf_4c68_8330_e529db295d81</vt:lpstr>
      <vt:lpstr>_ba047ad1_b51f_49a2_b3c8_be30d392985a</vt:lpstr>
      <vt:lpstr>_ba186ca8_9498_4c8b_870e_5c94facff255</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_c0adc2e9_f3e8_47e3_ab9a_3b0590b08e3b</vt:lpstr>
      <vt:lpstr>_c0c1183c_d263_4027_b93d_dd5bf32aa5a0</vt:lpstr>
      <vt:lpstr>_c0eb8ac6_1c46_4f57_b21f_9a8652dcb01f</vt:lpstr>
      <vt:lpstr>_c169a647_ad7f_4a68_9402_5984b64252f0</vt:lpstr>
      <vt:lpstr>_c1e3d9da_0aa8_4938_92fd_28ad968bd219</vt:lpstr>
      <vt:lpstr>_c27248fe_f16e_4b61_a04b_ff479754f280</vt:lpstr>
      <vt:lpstr>_c2ce4f6c_2a30_403e_b675_be582ab6f618</vt:lpstr>
      <vt:lpstr>_c2d8fcc6_db4c_4b6b_92f6_d573ed2a5c90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_c8d512d8_6c8d_45f3_ade0_c3987af540b2</vt:lpstr>
      <vt:lpstr>_c904cc72_9432_420c_93d8_3f5f3946db88</vt:lpstr>
      <vt:lpstr>_c92aee90_9ab7_4c5b_90be_8f181e56b287</vt:lpstr>
      <vt:lpstr>_c9967ba7_c4a7_4678_af94_bd3ef0f6e3f4</vt:lpstr>
      <vt:lpstr>_c9d716d6_9c15_4e1f_ac60_1e26110a756c</vt:lpstr>
      <vt:lpstr>_ca097bd7_db68_4bb8_9e65_dadac87572e5</vt:lpstr>
      <vt:lpstr>_ca4ab06b_5324_40ab_a432_1139d7cb9e9a</vt:lpstr>
      <vt:lpstr>_ca7e0af3_de36_4376_a561_5d3c742acebc</vt:lpstr>
      <vt:lpstr>_cad4e7f5_784c_4195_8cb5_8c1ed2df9118</vt:lpstr>
      <vt:lpstr>_cbe75001_1b1f_4684_b8fc_dd97cd572e08</vt:lpstr>
      <vt:lpstr>_cc652be8_c987_44b0_a7b8_b38f24a774fd</vt:lpstr>
      <vt:lpstr>_cd1a838d_967d_4df8_8959_da3e91d019c7</vt:lpstr>
      <vt:lpstr>_cd3a8228_a564_4a29_bb53_8d23f3af4f8d</vt:lpstr>
      <vt:lpstr>_ce356606_b70e_455c_a7f0_278a9274c30f</vt:lpstr>
      <vt:lpstr>_ce427541_94c6_4e19_bfba_334471291dc9</vt:lpstr>
      <vt:lpstr>_ced5d642_f902_4116_8eec_365c1d0be056</vt:lpstr>
      <vt:lpstr>_cf337c18_bbd6_41ea_aeb8_6889dc68b851</vt:lpstr>
      <vt:lpstr>_cfcb4c96_c88e_4a35_803a_a889e9dd7d09</vt:lpstr>
      <vt:lpstr>_d0955b05_c628_4518_9af2_80c991d01234</vt:lpstr>
      <vt:lpstr>_d0af162b_ba98_4147_a6fc_7c6ff1aaf471</vt:lpstr>
      <vt:lpstr>_d0c4e2e8_ed5b_4f3b_98ce_3538f040ffdd</vt:lpstr>
      <vt:lpstr>_d0e6db09_4210_45d4_bc55_3258a5a7becd</vt:lpstr>
      <vt:lpstr>_d11bffcb_80bc_4142_b578_f8fd7b2ed872</vt:lpstr>
      <vt:lpstr>_d1f82863_9819_4548_ae1f_e4cfe92df877</vt:lpstr>
      <vt:lpstr>_d20ef977_ad63_4fe7_833a_109f9e7d5f64</vt:lpstr>
      <vt:lpstr>_d23e2880_4b88_4ba1_b381_3bc8c5f940af</vt:lpstr>
      <vt:lpstr>_d24f669d_00e1_4357_b04c_2c97c933dfec</vt:lpstr>
      <vt:lpstr>_d2c977b0_75f6_4448_a11e_cb59fc25d8cd</vt:lpstr>
      <vt:lpstr>_d36529d4_505a_4d7c_b7e5_0c40a3c08386</vt:lpstr>
      <vt:lpstr>_d379908f_16e6_4aad_b988_5b7982eb826c</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_de8125e3_2f55_471a_b44e_3fc797d5bb7c</vt:lpstr>
      <vt:lpstr>_e0977557_e4c5_4ef4_9559_6de2a1c73a50</vt:lpstr>
      <vt:lpstr>_e10c609e_8d1f_432f_a13e_7b8a8126b45f</vt:lpstr>
      <vt:lpstr>_e1b18bf0_c01a_41f9_9d0f_7ff41a4c9212</vt:lpstr>
      <vt:lpstr>_e298e0a5_e974_47dc_98cc_18bdd69218f6</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_e6036c71_a0b0_45ea_b10c_37043207b399</vt:lpstr>
      <vt:lpstr>_e6d95e65_44bf_4846_b78f_816689d6036f</vt:lpstr>
      <vt:lpstr>_e713ed26_c546_4a6a_a951_288830ca8584</vt:lpstr>
      <vt:lpstr>_e774554e_fb6f_43f6_baf0_c17f0492b38e</vt:lpstr>
      <vt:lpstr>_e791e9cc_e0a5_4bd0_a74b_188698c51274</vt:lpstr>
      <vt:lpstr>_e7e9d6df_5983_4b14_8cdc_daf32af1a30f</vt:lpstr>
      <vt:lpstr>_e80f85f8_0abc_454b_92e1_70be11b30e29</vt:lpstr>
      <vt:lpstr>_e8ee11f8_cd11_4941_8f4e_979bc348765e</vt:lpstr>
      <vt:lpstr>_e997142a_f700_4b71_9747_d54e4a4ef7c7</vt:lpstr>
      <vt:lpstr>_ea0a6aff_050a_4e7c_bb67_efe887a6ff8c</vt:lpstr>
      <vt:lpstr>_ea72c56b_d1e9_4c5d_ba1d_cc707a1c7a52</vt:lpstr>
      <vt:lpstr>_eabb6097_6646_49fe_9d42_cce1d696601b</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_f0f5c51b_e422_42f2_88da_9eff4b5a59d3</vt:lpstr>
      <vt:lpstr>_f1c519aa_961b_42b6_a4f4_d9f451ddf622</vt:lpstr>
      <vt:lpstr>_f2045cc5_f4d7_4b1d_8aeb_d44e7918995b</vt:lpstr>
      <vt:lpstr>_f21c8db1_2baf_45f9_a210_b096e419362b</vt:lpstr>
      <vt:lpstr>_f2e17f54_33e5_4fb3_8547_527de2a7d0ac</vt:lpstr>
      <vt:lpstr>_f3654abd_3fbc_41ef_a2e7_0d54ea478341</vt:lpstr>
      <vt:lpstr>_f39f3286_1b88_4f0b_b268_bc711c9c67e1</vt:lpstr>
      <vt:lpstr>_f686534e_e5b4_42a0_a0f2_a919117d0136</vt:lpstr>
      <vt:lpstr>_f6cc91f7_16cd_4c28_ae23_539a66875c7e</vt:lpstr>
      <vt:lpstr>_f7611a26_2008_46e2_a2c0_dadeef65f0ed</vt:lpstr>
      <vt:lpstr>_f764864d_aa9b_444c_a466_cce493ea1b3b</vt:lpstr>
      <vt:lpstr>_f8da171f_1ef1_4701_824e_35a927e47c50</vt:lpstr>
      <vt:lpstr>_fa55b4d1_29cb_4b51_b2d0_8f7892f292e2</vt:lpstr>
      <vt:lpstr>_fa828cb2_bd98_4c85_a567_d82b0ffa1d3f</vt:lpstr>
      <vt:lpstr>_faacf26c_51ba_405a_bccb_3b2bf0981690</vt:lpstr>
      <vt:lpstr>_facd5aba_c813_47e2_8877_94bdd6685d41</vt:lpstr>
      <vt:lpstr>_fbc5eaa3_1127_42c4_a746_2bd3d587fad5</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_ffc69f08_b317_4d33_8688_bf480f40f783</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AIM_Outcome_Indicator_Targets_Result__c.AIM_Due_for_Reporting__c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vt:lpstr>
      <vt:lpstr>Coverage_Indicator_Disaggregation_new</vt:lpstr>
      <vt:lpstr>Coverage_Indicator_Targets__section_D</vt:lpstr>
      <vt:lpstr>Coverage_indicators__secton_D</vt:lpstr>
      <vt:lpstr>CoverageColumn</vt:lpstr>
      <vt:lpstr>'Instructions-ES'!CoverageStart</vt:lpstr>
      <vt:lpstr>CoverageStart</vt:lpstr>
      <vt:lpstr>'Account Role'!Extract</vt:lpstr>
      <vt:lpstr>Impact_indicator___section_B</vt:lpstr>
      <vt:lpstr>Impact_Indicator_Disaggregation</vt:lpstr>
      <vt:lpstr>Impact_Indicator_Disaggregation_new</vt:lpstr>
      <vt:lpstr>Impact_indicator_targets___section_B</vt:lpstr>
      <vt:lpstr>'Instructions-FR'!Instruction__Section_A</vt:lpstr>
      <vt:lpstr>'Instructions-FR'!InstructionA</vt:lpstr>
      <vt:lpstr>'Instructions-FR'!InstructionB</vt:lpstr>
      <vt:lpstr>'Instructions-FR'!InstructionC</vt:lpstr>
      <vt:lpstr>'Instructions-FR'!InstructionD</vt:lpstr>
      <vt:lpstr>'Instructions-FR'!InstructionE</vt:lpstr>
      <vt:lpstr>'Instructions-FR'!InstructionsSectionF</vt:lpstr>
      <vt:lpstr>KeyActivityColumn</vt:lpstr>
      <vt:lpstr>KeyActivityStart</vt:lpstr>
      <vt:lpstr>LangOffset</vt:lpstr>
      <vt:lpstr>Language</vt:lpstr>
      <vt:lpstr>List</vt:lpstr>
      <vt:lpstr>'Instructions-ES'!ModuleColumn</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vt:lpstr>
      <vt:lpstr>Population_by_intervention</vt:lpstr>
      <vt:lpstr>Population_by_Intervention_name</vt:lpstr>
      <vt:lpstr>PopulationByCoverage</vt:lpstr>
      <vt:lpstr>'Instructions-FR'!Print_Area</vt:lpstr>
      <vt:lpstr>'Overview - Section A'!Print_Area</vt:lpstr>
      <vt:lpstr>'Print View'!Print_Area</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'Instructions-FR'!XAuthorInvalidPicklistData</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Roselyne Souvannakane</cp:lastModifiedBy>
  <cp:lastPrinted>2019-09-25T09:55:54Z</cp:lastPrinted>
  <dcterms:created xsi:type="dcterms:W3CDTF">2016-09-24T07:20:04Z</dcterms:created>
  <dcterms:modified xsi:type="dcterms:W3CDTF">2020-06-18T08:17:20Z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0x01010052713ECAB89B2D45978C966736D2132B</vt:lpwstr>
  </property>
  <property fmtid="{D5CDD505-2E9C-101B-9397-08002B2CF9AE}" pid="4" name="_dlc_DocIdItemGuid">
    <vt:lpwstr>a7fd096f-2f0a-40a0-a6d8-42365d10702d</vt:lpwstr>
  </property>
</Properties>
</file>